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charts/chart27.xml" ContentType="application/vnd.openxmlformats-officedocument.drawingml.chart+xml"/>
  <Override PartName="/xl/charts/style18.xml" ContentType="application/vnd.ms-office.chartstyle+xml"/>
  <Override PartName="/xl/charts/colors18.xml" ContentType="application/vnd.ms-office.chartcolorstyle+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charts/chart31.xml" ContentType="application/vnd.openxmlformats-officedocument.drawingml.chart+xml"/>
  <Override PartName="/xl/charts/style22.xml" ContentType="application/vnd.ms-office.chartstyle+xml"/>
  <Override PartName="/xl/charts/colors22.xml" ContentType="application/vnd.ms-office.chartcolorstyle+xml"/>
  <Override PartName="/xl/charts/chart32.xml" ContentType="application/vnd.openxmlformats-officedocument.drawingml.chart+xml"/>
  <Override PartName="/xl/charts/style23.xml" ContentType="application/vnd.ms-office.chartstyle+xml"/>
  <Override PartName="/xl/charts/colors23.xml" ContentType="application/vnd.ms-office.chartcolorstyle+xml"/>
  <Override PartName="/xl/charts/chart33.xml" ContentType="application/vnd.openxmlformats-officedocument.drawingml.chart+xml"/>
  <Override PartName="/xl/charts/style24.xml" ContentType="application/vnd.ms-office.chartstyle+xml"/>
  <Override PartName="/xl/charts/colors24.xml" ContentType="application/vnd.ms-office.chartcolorstyle+xml"/>
  <Override PartName="/xl/charts/chart34.xml" ContentType="application/vnd.openxmlformats-officedocument.drawingml.chart+xml"/>
  <Override PartName="/xl/charts/style25.xml" ContentType="application/vnd.ms-office.chartstyle+xml"/>
  <Override PartName="/xl/charts/colors25.xml" ContentType="application/vnd.ms-office.chartcolorstyle+xml"/>
  <Override PartName="/xl/charts/chart35.xml" ContentType="application/vnd.openxmlformats-officedocument.drawingml.chart+xml"/>
  <Override PartName="/xl/charts/style26.xml" ContentType="application/vnd.ms-office.chartstyle+xml"/>
  <Override PartName="/xl/charts/colors26.xml" ContentType="application/vnd.ms-office.chartcolorstyle+xml"/>
  <Override PartName="/xl/charts/chart36.xml" ContentType="application/vnd.openxmlformats-officedocument.drawingml.chart+xml"/>
  <Override PartName="/xl/charts/style27.xml" ContentType="application/vnd.ms-office.chartstyle+xml"/>
  <Override PartName="/xl/charts/colors27.xml" ContentType="application/vnd.ms-office.chartcolorstyle+xml"/>
  <Override PartName="/xl/charts/chart37.xml" ContentType="application/vnd.openxmlformats-officedocument.drawingml.chart+xml"/>
  <Override PartName="/xl/charts/style28.xml" ContentType="application/vnd.ms-office.chartstyle+xml"/>
  <Override PartName="/xl/charts/colors28.xml" ContentType="application/vnd.ms-office.chartcolorstyle+xml"/>
  <Override PartName="/xl/charts/chart38.xml" ContentType="application/vnd.openxmlformats-officedocument.drawingml.chart+xml"/>
  <Override PartName="/xl/charts/style29.xml" ContentType="application/vnd.ms-office.chartstyle+xml"/>
  <Override PartName="/xl/charts/colors29.xml" ContentType="application/vnd.ms-office.chartcolorstyle+xml"/>
  <Override PartName="/xl/charts/chart39.xml" ContentType="application/vnd.openxmlformats-officedocument.drawingml.chart+xml"/>
  <Override PartName="/xl/charts/style30.xml" ContentType="application/vnd.ms-office.chartstyle+xml"/>
  <Override PartName="/xl/charts/colors30.xml" ContentType="application/vnd.ms-office.chartcolorstyle+xml"/>
  <Override PartName="/xl/charts/chart40.xml" ContentType="application/vnd.openxmlformats-officedocument.drawingml.chart+xml"/>
  <Override PartName="/xl/charts/style31.xml" ContentType="application/vnd.ms-office.chartstyle+xml"/>
  <Override PartName="/xl/charts/colors31.xml" ContentType="application/vnd.ms-office.chartcolorstyle+xml"/>
  <Override PartName="/xl/charts/chart41.xml" ContentType="application/vnd.openxmlformats-officedocument.drawingml.chart+xml"/>
  <Override PartName="/xl/charts/style32.xml" ContentType="application/vnd.ms-office.chartstyle+xml"/>
  <Override PartName="/xl/charts/colors32.xml" ContentType="application/vnd.ms-office.chartcolorstyle+xml"/>
  <Override PartName="/xl/charts/chart42.xml" ContentType="application/vnd.openxmlformats-officedocument.drawingml.chart+xml"/>
  <Override PartName="/xl/charts/style33.xml" ContentType="application/vnd.ms-office.chartstyle+xml"/>
  <Override PartName="/xl/charts/colors33.xml" ContentType="application/vnd.ms-office.chartcolorstyle+xml"/>
  <Override PartName="/xl/charts/chart43.xml" ContentType="application/vnd.openxmlformats-officedocument.drawingml.chart+xml"/>
  <Override PartName="/xl/charts/style34.xml" ContentType="application/vnd.ms-office.chartstyle+xml"/>
  <Override PartName="/xl/charts/colors34.xml" ContentType="application/vnd.ms-office.chartcolorstyle+xml"/>
  <Override PartName="/xl/charts/chart44.xml" ContentType="application/vnd.openxmlformats-officedocument.drawingml.chart+xml"/>
  <Override PartName="/xl/charts/style35.xml" ContentType="application/vnd.ms-office.chartstyle+xml"/>
  <Override PartName="/xl/charts/colors35.xml" ContentType="application/vnd.ms-office.chartcolorstyle+xml"/>
  <Override PartName="/xl/charts/chart45.xml" ContentType="application/vnd.openxmlformats-officedocument.drawingml.chart+xml"/>
  <Override PartName="/xl/charts/style36.xml" ContentType="application/vnd.ms-office.chartstyle+xml"/>
  <Override PartName="/xl/charts/colors36.xml" ContentType="application/vnd.ms-office.chartcolorstyle+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charts/chart49.xml" ContentType="application/vnd.openxmlformats-officedocument.drawingml.chart+xml"/>
  <Override PartName="/xl/charts/style40.xml" ContentType="application/vnd.ms-office.chartstyle+xml"/>
  <Override PartName="/xl/charts/colors40.xml" ContentType="application/vnd.ms-office.chartcolorstyle+xml"/>
  <Override PartName="/xl/charts/chart50.xml" ContentType="application/vnd.openxmlformats-officedocument.drawingml.chart+xml"/>
  <Override PartName="/xl/charts/style41.xml" ContentType="application/vnd.ms-office.chartstyle+xml"/>
  <Override PartName="/xl/charts/colors41.xml" ContentType="application/vnd.ms-office.chartcolorstyle+xml"/>
  <Override PartName="/xl/charts/chart51.xml" ContentType="application/vnd.openxmlformats-officedocument.drawingml.chart+xml"/>
  <Override PartName="/xl/charts/style42.xml" ContentType="application/vnd.ms-office.chartstyle+xml"/>
  <Override PartName="/xl/charts/colors42.xml" ContentType="application/vnd.ms-office.chartcolorstyle+xml"/>
  <Override PartName="/xl/charts/chart52.xml" ContentType="application/vnd.openxmlformats-officedocument.drawingml.chart+xml"/>
  <Override PartName="/xl/charts/style43.xml" ContentType="application/vnd.ms-office.chartstyle+xml"/>
  <Override PartName="/xl/charts/colors43.xml" ContentType="application/vnd.ms-office.chartcolorstyle+xml"/>
  <Override PartName="/xl/charts/chart53.xml" ContentType="application/vnd.openxmlformats-officedocument.drawingml.chart+xml"/>
  <Override PartName="/xl/charts/style44.xml" ContentType="application/vnd.ms-office.chartstyle+xml"/>
  <Override PartName="/xl/charts/colors44.xml" ContentType="application/vnd.ms-office.chartcolorstyle+xml"/>
  <Override PartName="/xl/charts/chart54.xml" ContentType="application/vnd.openxmlformats-officedocument.drawingml.chart+xml"/>
  <Override PartName="/xl/charts/style45.xml" ContentType="application/vnd.ms-office.chartstyle+xml"/>
  <Override PartName="/xl/charts/colors45.xml" ContentType="application/vnd.ms-office.chartcolorstyle+xml"/>
  <Override PartName="/xl/charts/chart55.xml" ContentType="application/vnd.openxmlformats-officedocument.drawingml.chart+xml"/>
  <Override PartName="/xl/charts/style46.xml" ContentType="application/vnd.ms-office.chartstyle+xml"/>
  <Override PartName="/xl/charts/colors46.xml" ContentType="application/vnd.ms-office.chartcolorstyle+xml"/>
  <Override PartName="/xl/charts/chart56.xml" ContentType="application/vnd.openxmlformats-officedocument.drawingml.chart+xml"/>
  <Override PartName="/xl/charts/style47.xml" ContentType="application/vnd.ms-office.chartstyle+xml"/>
  <Override PartName="/xl/charts/colors47.xml" ContentType="application/vnd.ms-office.chartcolorstyle+xml"/>
  <Override PartName="/xl/charts/chart57.xml" ContentType="application/vnd.openxmlformats-officedocument.drawingml.chart+xml"/>
  <Override PartName="/xl/charts/style48.xml" ContentType="application/vnd.ms-office.chartstyle+xml"/>
  <Override PartName="/xl/charts/colors48.xml" ContentType="application/vnd.ms-office.chartcolorstyle+xml"/>
  <Override PartName="/xl/charts/chart58.xml" ContentType="application/vnd.openxmlformats-officedocument.drawingml.chart+xml"/>
  <Override PartName="/xl/charts/style49.xml" ContentType="application/vnd.ms-office.chartstyle+xml"/>
  <Override PartName="/xl/charts/colors49.xml" ContentType="application/vnd.ms-office.chartcolorstyle+xml"/>
  <Override PartName="/xl/charts/chart59.xml" ContentType="application/vnd.openxmlformats-officedocument.drawingml.chart+xml"/>
  <Override PartName="/xl/charts/style50.xml" ContentType="application/vnd.ms-office.chartstyle+xml"/>
  <Override PartName="/xl/charts/colors50.xml" ContentType="application/vnd.ms-office.chartcolorstyle+xml"/>
  <Override PartName="/xl/charts/chart60.xml" ContentType="application/vnd.openxmlformats-officedocument.drawingml.chart+xml"/>
  <Override PartName="/xl/charts/style51.xml" ContentType="application/vnd.ms-office.chartstyle+xml"/>
  <Override PartName="/xl/charts/colors51.xml" ContentType="application/vnd.ms-office.chartcolorstyle+xml"/>
  <Override PartName="/xl/charts/chart61.xml" ContentType="application/vnd.openxmlformats-officedocument.drawingml.chart+xml"/>
  <Override PartName="/xl/charts/style52.xml" ContentType="application/vnd.ms-office.chartstyle+xml"/>
  <Override PartName="/xl/charts/colors52.xml" ContentType="application/vnd.ms-office.chartcolorstyle+xml"/>
  <Override PartName="/xl/charts/chart62.xml" ContentType="application/vnd.openxmlformats-officedocument.drawingml.chart+xml"/>
  <Override PartName="/xl/charts/style53.xml" ContentType="application/vnd.ms-office.chartstyle+xml"/>
  <Override PartName="/xl/charts/colors53.xml" ContentType="application/vnd.ms-office.chartcolorstyle+xml"/>
  <Override PartName="/xl/charts/chart63.xml" ContentType="application/vnd.openxmlformats-officedocument.drawingml.chart+xml"/>
  <Override PartName="/xl/charts/style54.xml" ContentType="application/vnd.ms-office.chartstyle+xml"/>
  <Override PartName="/xl/charts/colors54.xml" ContentType="application/vnd.ms-office.chartcolorstyle+xml"/>
  <Override PartName="/xl/charts/chart64.xml" ContentType="application/vnd.openxmlformats-officedocument.drawingml.chart+xml"/>
  <Override PartName="/xl/charts/style55.xml" ContentType="application/vnd.ms-office.chartstyle+xml"/>
  <Override PartName="/xl/charts/colors55.xml" ContentType="application/vnd.ms-office.chartcolorstyle+xml"/>
  <Override PartName="/xl/charts/chart65.xml" ContentType="application/vnd.openxmlformats-officedocument.drawingml.chart+xml"/>
  <Override PartName="/xl/charts/style56.xml" ContentType="application/vnd.ms-office.chartstyle+xml"/>
  <Override PartName="/xl/charts/colors56.xml" ContentType="application/vnd.ms-office.chartcolorstyle+xml"/>
  <Override PartName="/xl/charts/chart66.xml" ContentType="application/vnd.openxmlformats-officedocument.drawingml.chart+xml"/>
  <Override PartName="/xl/charts/style57.xml" ContentType="application/vnd.ms-office.chartstyle+xml"/>
  <Override PartName="/xl/charts/colors57.xml" ContentType="application/vnd.ms-office.chartcolorstyle+xml"/>
  <Override PartName="/xl/charts/chart67.xml" ContentType="application/vnd.openxmlformats-officedocument.drawingml.chart+xml"/>
  <Override PartName="/xl/charts/style58.xml" ContentType="application/vnd.ms-office.chartstyle+xml"/>
  <Override PartName="/xl/charts/colors58.xml" ContentType="application/vnd.ms-office.chartcolorstyle+xml"/>
  <Override PartName="/xl/charts/chart68.xml" ContentType="application/vnd.openxmlformats-officedocument.drawingml.chart+xml"/>
  <Override PartName="/xl/charts/style59.xml" ContentType="application/vnd.ms-office.chartstyle+xml"/>
  <Override PartName="/xl/charts/colors59.xml" ContentType="application/vnd.ms-office.chartcolorstyle+xml"/>
  <Override PartName="/xl/charts/chart69.xml" ContentType="application/vnd.openxmlformats-officedocument.drawingml.chart+xml"/>
  <Override PartName="/xl/charts/style60.xml" ContentType="application/vnd.ms-office.chartstyle+xml"/>
  <Override PartName="/xl/charts/colors60.xml" ContentType="application/vnd.ms-office.chartcolorstyle+xml"/>
  <Override PartName="/xl/charts/chart70.xml" ContentType="application/vnd.openxmlformats-officedocument.drawingml.chart+xml"/>
  <Override PartName="/xl/charts/style61.xml" ContentType="application/vnd.ms-office.chartstyle+xml"/>
  <Override PartName="/xl/charts/colors61.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harts/chart71.xml" ContentType="application/vnd.openxmlformats-officedocument.drawingml.chart+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charts/chart7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xml" ContentType="application/vnd.openxmlformats-officedocument.drawing+xml"/>
  <Override PartName="/xl/comments8.xml" ContentType="application/vnd.openxmlformats-officedocument.spreadsheetml.comments+xml"/>
  <Override PartName="/xl/charts/chart73.xml" ContentType="application/vnd.openxmlformats-officedocument.drawingml.chart+xml"/>
  <Override PartName="/xl/charts/style63.xml" ContentType="application/vnd.ms-office.chartstyle+xml"/>
  <Override PartName="/xl/charts/colors63.xml" ContentType="application/vnd.ms-office.chartcolorstyle+xml"/>
  <Override PartName="/xl/charts/chart74.xml" ContentType="application/vnd.openxmlformats-officedocument.drawingml.chart+xml"/>
  <Override PartName="/xl/charts/style64.xml" ContentType="application/vnd.ms-office.chartstyle+xml"/>
  <Override PartName="/xl/charts/colors64.xml" ContentType="application/vnd.ms-office.chartcolorstyle+xml"/>
  <Override PartName="/xl/charts/chart75.xml" ContentType="application/vnd.openxmlformats-officedocument.drawingml.chart+xml"/>
  <Override PartName="/xl/charts/style65.xml" ContentType="application/vnd.ms-office.chartstyle+xml"/>
  <Override PartName="/xl/charts/colors65.xml" ContentType="application/vnd.ms-office.chartcolorstyle+xml"/>
  <Override PartName="/xl/charts/chart7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xml" ContentType="application/vnd.openxmlformats-officedocument.drawing+xml"/>
  <Override PartName="/xl/comments9.xml" ContentType="application/vnd.openxmlformats-officedocument.spreadsheetml.comments+xml"/>
  <Override PartName="/xl/charts/chart77.xml" ContentType="application/vnd.openxmlformats-officedocument.drawingml.chart+xml"/>
  <Override PartName="/xl/charts/chart78.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8.xml" ContentType="application/vnd.openxmlformats-officedocument.drawing+xml"/>
  <Override PartName="/xl/comments10.xml" ContentType="application/vnd.openxmlformats-officedocument.spreadsheetml.comments+xml"/>
  <Override PartName="/xl/charts/chart79.xml" ContentType="application/vnd.openxmlformats-officedocument.drawingml.chart+xml"/>
  <Override PartName="/xl/charts/style68.xml" ContentType="application/vnd.ms-office.chartstyle+xml"/>
  <Override PartName="/xl/charts/colors68.xml" ContentType="application/vnd.ms-office.chartcolorstyle+xml"/>
  <Override PartName="/xl/charts/chart80.xml" ContentType="application/vnd.openxmlformats-officedocument.drawingml.chart+xml"/>
  <Override PartName="/xl/charts/style69.xml" ContentType="application/vnd.ms-office.chartstyle+xml"/>
  <Override PartName="/xl/charts/colors69.xml" ContentType="application/vnd.ms-office.chartcolorstyle+xml"/>
  <Override PartName="/xl/charts/chart81.xml" ContentType="application/vnd.openxmlformats-officedocument.drawingml.chart+xml"/>
  <Override PartName="/xl/charts/style70.xml" ContentType="application/vnd.ms-office.chartstyle+xml"/>
  <Override PartName="/xl/charts/colors70.xml" ContentType="application/vnd.ms-office.chartcolorstyle+xml"/>
  <Override PartName="/xl/charts/chart82.xml" ContentType="application/vnd.openxmlformats-officedocument.drawingml.chart+xml"/>
  <Override PartName="/xl/charts/style71.xml" ContentType="application/vnd.ms-office.chartstyle+xml"/>
  <Override PartName="/xl/charts/colors71.xml" ContentType="application/vnd.ms-office.chartcolorstyle+xml"/>
  <Override PartName="/xl/charts/chart8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9.xml" ContentType="application/vnd.openxmlformats-officedocument.drawing+xml"/>
  <Override PartName="/xl/charts/chart84.xml" ContentType="application/vnd.openxmlformats-officedocument.drawingml.chart+xml"/>
  <Override PartName="/xl/charts/style73.xml" ContentType="application/vnd.ms-office.chartstyle+xml"/>
  <Override PartName="/xl/charts/colors73.xml" ContentType="application/vnd.ms-office.chartcolorstyle+xml"/>
  <Override PartName="/xl/charts/chart85.xml" ContentType="application/vnd.openxmlformats-officedocument.drawingml.chart+xml"/>
  <Override PartName="/xl/charts/style74.xml" ContentType="application/vnd.ms-office.chartstyle+xml"/>
  <Override PartName="/xl/charts/colors74.xml" ContentType="application/vnd.ms-office.chartcolorstyle+xml"/>
  <Override PartName="/xl/charts/chart86.xml" ContentType="application/vnd.openxmlformats-officedocument.drawingml.chart+xml"/>
  <Override PartName="/xl/charts/style75.xml" ContentType="application/vnd.ms-office.chartstyle+xml"/>
  <Override PartName="/xl/charts/colors75.xml" ContentType="application/vnd.ms-office.chartcolorstyle+xml"/>
  <Override PartName="/xl/charts/chart87.xml" ContentType="application/vnd.openxmlformats-officedocument.drawingml.chart+xml"/>
  <Override PartName="/xl/charts/style76.xml" ContentType="application/vnd.ms-office.chartstyle+xml"/>
  <Override PartName="/xl/charts/colors76.xml" ContentType="application/vnd.ms-office.chartcolorstyle+xml"/>
  <Override PartName="/xl/charts/chart88.xml" ContentType="application/vnd.openxmlformats-officedocument.drawingml.chart+xml"/>
  <Override PartName="/xl/charts/style77.xml" ContentType="application/vnd.ms-office.chartstyle+xml"/>
  <Override PartName="/xl/charts/colors77.xml" ContentType="application/vnd.ms-office.chartcolorstyle+xml"/>
  <Override PartName="/xl/charts/chart89.xml" ContentType="application/vnd.openxmlformats-officedocument.drawingml.chart+xml"/>
  <Override PartName="/xl/charts/style78.xml" ContentType="application/vnd.ms-office.chartstyle+xml"/>
  <Override PartName="/xl/charts/colors78.xml" ContentType="application/vnd.ms-office.chartcolorstyle+xml"/>
  <Override PartName="/xl/charts/chart90.xml" ContentType="application/vnd.openxmlformats-officedocument.drawingml.chart+xml"/>
  <Override PartName="/xl/charts/style79.xml" ContentType="application/vnd.ms-office.chartstyle+xml"/>
  <Override PartName="/xl/charts/colors79.xml" ContentType="application/vnd.ms-office.chartcolorstyle+xml"/>
  <Override PartName="/xl/charts/chart91.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1.xml" ContentType="application/vnd.openxmlformats-officedocument.themeOverride+xml"/>
  <Override PartName="/xl/charts/chart92.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2.xml" ContentType="application/vnd.openxmlformats-officedocument.themeOverride+xml"/>
  <Override PartName="/xl/charts/chart93.xml" ContentType="application/vnd.openxmlformats-officedocument.drawingml.chart+xml"/>
  <Override PartName="/xl/charts/style82.xml" ContentType="application/vnd.ms-office.chartstyle+xml"/>
  <Override PartName="/xl/charts/colors82.xml" ContentType="application/vnd.ms-office.chartcolorstyle+xml"/>
  <Override PartName="/xl/charts/chart94.xml" ContentType="application/vnd.openxmlformats-officedocument.drawingml.chart+xml"/>
  <Override PartName="/xl/charts/style83.xml" ContentType="application/vnd.ms-office.chartstyle+xml"/>
  <Override PartName="/xl/charts/colors83.xml" ContentType="application/vnd.ms-office.chartcolorstyle+xml"/>
  <Override PartName="/xl/charts/chart95.xml" ContentType="application/vnd.openxmlformats-officedocument.drawingml.chart+xml"/>
  <Override PartName="/xl/charts/style84.xml" ContentType="application/vnd.ms-office.chartstyle+xml"/>
  <Override PartName="/xl/charts/colors84.xml" ContentType="application/vnd.ms-office.chartcolorstyle+xml"/>
  <Override PartName="/xl/charts/chart96.xml" ContentType="application/vnd.openxmlformats-officedocument.drawingml.chart+xml"/>
  <Override PartName="/xl/charts/style85.xml" ContentType="application/vnd.ms-office.chartstyle+xml"/>
  <Override PartName="/xl/charts/colors85.xml" ContentType="application/vnd.ms-office.chartcolorstyle+xml"/>
  <Override PartName="/xl/charts/chart97.xml" ContentType="application/vnd.openxmlformats-officedocument.drawingml.chart+xml"/>
  <Override PartName="/xl/charts/style86.xml" ContentType="application/vnd.ms-office.chartstyle+xml"/>
  <Override PartName="/xl/charts/colors86.xml" ContentType="application/vnd.ms-office.chartcolorstyle+xml"/>
  <Override PartName="/xl/charts/chart98.xml" ContentType="application/vnd.openxmlformats-officedocument.drawingml.chart+xml"/>
  <Override PartName="/xl/charts/style87.xml" ContentType="application/vnd.ms-office.chartstyle+xml"/>
  <Override PartName="/xl/charts/colors87.xml" ContentType="application/vnd.ms-office.chartcolorstyle+xml"/>
  <Override PartName="/xl/charts/chart99.xml" ContentType="application/vnd.openxmlformats-officedocument.drawingml.chart+xml"/>
  <Override PartName="/xl/charts/style88.xml" ContentType="application/vnd.ms-office.chartstyle+xml"/>
  <Override PartName="/xl/charts/colors88.xml" ContentType="application/vnd.ms-office.chartcolorstyle+xml"/>
  <Override PartName="/xl/charts/chart100.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0.xml" ContentType="application/vnd.openxmlformats-officedocument.drawing+xml"/>
  <Override PartName="/xl/comments11.xml" ContentType="application/vnd.openxmlformats-officedocument.spreadsheetml.comments+xml"/>
  <Override PartName="/xl/charts/chart101.xml" ContentType="application/vnd.openxmlformats-officedocument.drawingml.chart+xml"/>
  <Override PartName="/xl/charts/chart102.xml" ContentType="application/vnd.openxmlformats-officedocument.drawingml.chart+xml"/>
  <Override PartName="/xl/charts/style90.xml" ContentType="application/vnd.ms-office.chartstyle+xml"/>
  <Override PartName="/xl/charts/colors90.xml" ContentType="application/vnd.ms-office.chartcolorstyle+xml"/>
  <Override PartName="/xl/charts/chart103.xml" ContentType="application/vnd.openxmlformats-officedocument.drawingml.chart+xml"/>
  <Override PartName="/xl/charts/style91.xml" ContentType="application/vnd.ms-office.chartstyle+xml"/>
  <Override PartName="/xl/charts/colors91.xml" ContentType="application/vnd.ms-office.chartcolorstyle+xml"/>
  <Override PartName="/xl/comments12.xml" ContentType="application/vnd.openxmlformats-officedocument.spreadsheetml.comments+xml"/>
  <Override PartName="/xl/comments13.xml" ContentType="application/vnd.openxmlformats-officedocument.spreadsheetml.comments+xml"/>
  <Override PartName="/xl/drawings/drawing11.xml" ContentType="application/vnd.openxmlformats-officedocument.drawing+xml"/>
  <Override PartName="/xl/comments14.xml" ContentType="application/vnd.openxmlformats-officedocument.spreadsheetml.comments+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style92.xml" ContentType="application/vnd.ms-office.chartstyle+xml"/>
  <Override PartName="/xl/charts/colors92.xml" ContentType="application/vnd.ms-office.chartcolorstyle+xml"/>
  <Override PartName="/xl/charts/chart111.xml" ContentType="application/vnd.openxmlformats-officedocument.drawingml.chart+xml"/>
  <Override PartName="/xl/charts/style93.xml" ContentType="application/vnd.ms-office.chartstyle+xml"/>
  <Override PartName="/xl/charts/colors93.xml" ContentType="application/vnd.ms-office.chartcolorstyle+xml"/>
  <Override PartName="/xl/charts/chart112.xml" ContentType="application/vnd.openxmlformats-officedocument.drawingml.chart+xml"/>
  <Override PartName="/xl/charts/style94.xml" ContentType="application/vnd.ms-office.chartstyle+xml"/>
  <Override PartName="/xl/charts/colors94.xml" ContentType="application/vnd.ms-office.chartcolorstyle+xml"/>
  <Override PartName="/xl/charts/chart113.xml" ContentType="application/vnd.openxmlformats-officedocument.drawingml.chart+xml"/>
  <Override PartName="/xl/charts/style95.xml" ContentType="application/vnd.ms-office.chartstyle+xml"/>
  <Override PartName="/xl/charts/colors95.xml" ContentType="application/vnd.ms-office.chartcolorstyle+xml"/>
  <Override PartName="/xl/charts/chart114.xml" ContentType="application/vnd.openxmlformats-officedocument.drawingml.chart+xml"/>
  <Override PartName="/xl/charts/style96.xml" ContentType="application/vnd.ms-office.chartstyle+xml"/>
  <Override PartName="/xl/charts/colors9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S:\TELECOMS\STOCKS\EMEA\Latam\Televisa\Models\Current model\"/>
    </mc:Choice>
  </mc:AlternateContent>
  <xr:revisionPtr revIDLastSave="0" documentId="13_ncr:1_{DF8BCE02-B21B-48F4-B32D-670DC14C00BA}" xr6:coauthVersionLast="47" xr6:coauthVersionMax="47" xr10:uidLastSave="{00000000-0000-0000-0000-000000000000}"/>
  <bookViews>
    <workbookView xWindow="38280" yWindow="-8010" windowWidth="38640" windowHeight="21840" tabRatio="786" xr2:uid="{00000000-000D-0000-FFFF-FFFF00000000}"/>
  </bookViews>
  <sheets>
    <sheet name="Cover" sheetId="24" r:id="rId1"/>
    <sheet name="Summary I" sheetId="26" r:id="rId2"/>
    <sheet name="SOP" sheetId="9" r:id="rId3"/>
    <sheet name="Analysis" sheetId="16" r:id="rId4"/>
    <sheet name="Valuation" sheetId="7" r:id="rId5"/>
    <sheet name="Master" sheetId="1" r:id="rId6"/>
    <sheet name="Cable cos" sheetId="10" r:id="rId7"/>
    <sheet name="SKY Mex" sheetId="13" r:id="rId8"/>
    <sheet name="VOD" sheetId="25" r:id="rId9"/>
    <sheet name="VOD-quarts" sheetId="27" r:id="rId10"/>
    <sheet name="Content" sheetId="14" r:id="rId11"/>
    <sheet name="Mobile" sheetId="21" r:id="rId12"/>
    <sheet name="Interims" sheetId="5" r:id="rId13"/>
    <sheet name="Earnings Snaps" sheetId="28" r:id="rId14"/>
    <sheet name="Consensus" sheetId="29" r:id="rId15"/>
    <sheet name="Notes" sheetId="3" r:id="rId16"/>
    <sheet name="Questions" sheetId="8" r:id="rId17"/>
    <sheet name="Anna" sheetId="18" r:id="rId18"/>
    <sheet name="Pricing comps" sheetId="17" r:id="rId19"/>
    <sheet name="Iusacell" sheetId="11" r:id="rId20"/>
    <sheet name="Univision" sheetId="12" r:id="rId21"/>
    <sheet name="JER" sheetId="20" r:id="rId22"/>
    <sheet name="SEGMENTOS" sheetId="4" r:id="rId23"/>
    <sheet name="Shares" sheetId="2" r:id="rId24"/>
    <sheet name="export to DTV" sheetId="19" r:id="rId25"/>
    <sheet name="FKLink" sheetId="2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__" localSheetId="25">#REF!</definedName>
    <definedName name="___">#REF!</definedName>
    <definedName name="________yr1996" localSheetId="25">#REF!</definedName>
    <definedName name="________yr1996">#REF!</definedName>
    <definedName name="___yr1996" localSheetId="25">#REF!</definedName>
    <definedName name="___yr1996">#REF!</definedName>
    <definedName name="__FDS_HYPERLINK_TOGGLE_STATE__" hidden="1">"ON"</definedName>
    <definedName name="_1993A">#REF!</definedName>
    <definedName name="_1994A">#REF!</definedName>
    <definedName name="_1995">#REF!</definedName>
    <definedName name="_1995A">#REF!</definedName>
    <definedName name="_1996">#REF!</definedName>
    <definedName name="_1996A">#REF!</definedName>
    <definedName name="_1997">#REF!</definedName>
    <definedName name="_1997A">#REF!</definedName>
    <definedName name="_1998">#REF!</definedName>
    <definedName name="_1998E">#REF!</definedName>
    <definedName name="_1999">#REF!</definedName>
    <definedName name="_1999E">#REF!</definedName>
    <definedName name="_2000">#REF!</definedName>
    <definedName name="_2000E">#REF!</definedName>
    <definedName name="_2001">#REF!</definedName>
    <definedName name="_2001E">#REF!</definedName>
    <definedName name="_2002">#REF!</definedName>
    <definedName name="_2002E">#REF!</definedName>
    <definedName name="_2003E">#REF!</definedName>
    <definedName name="_2004E">#REF!</definedName>
    <definedName name="_2005E">#REF!</definedName>
    <definedName name="_Admin" hidden="1">"No"</definedName>
    <definedName name="_Fill" hidden="1">#REF!</definedName>
    <definedName name="_xlnm._FilterDatabase" hidden="1">#REF!</definedName>
    <definedName name="_GSR008" hidden="1">[1]Equipment!$E$134:$DT$134</definedName>
    <definedName name="_GSR012" hidden="1">[1]Equipment!$E$185:$DT$185</definedName>
    <definedName name="_InAdmin" hidden="1">"No"</definedName>
    <definedName name="_Key1" localSheetId="0" hidden="1">#REF!</definedName>
    <definedName name="_Key1" hidden="1">#REF!</definedName>
    <definedName name="_LegalOk" hidden="1">"No"</definedName>
    <definedName name="_MC16" hidden="1">[1]Equipment!$E$80:$DT$80</definedName>
    <definedName name="_MC28" hidden="1">[1]Equipment!$E$77:$DT$77</definedName>
    <definedName name="_Order1" hidden="1">255</definedName>
    <definedName name="_Order2" hidden="1">0</definedName>
    <definedName name="_Sort" localSheetId="0" hidden="1">#REF!</definedName>
    <definedName name="_Sort" hidden="1">#REF!</definedName>
    <definedName name="_UP">#REF!</definedName>
    <definedName name="_yr1996">#REF!</definedName>
    <definedName name="a_sted">'[2]A-sted'!$A$8:$J$52</definedName>
    <definedName name="a_sted_akk">'[2]A-sted'!$O$8:$AA$59</definedName>
    <definedName name="adfa" hidden="1">#REF!</definedName>
    <definedName name="anscount" localSheetId="0" hidden="1">2</definedName>
    <definedName name="anscount" hidden="1">1</definedName>
    <definedName name="Användare">#REF!</definedName>
    <definedName name="AP" hidden="1">[1]Model!$E$41</definedName>
    <definedName name="aRG">#REF!</definedName>
    <definedName name="ARPUInput" hidden="1">[1]Model!$E$142:$DT$142</definedName>
    <definedName name="asdfdf" hidden="1">{#N/A,#N/A,FALSE,"Statement of Ops";#N/A,#N/A,FALSE,"Trend Ops"}</definedName>
    <definedName name="assoc">#REF!</definedName>
    <definedName name="Assumptions" hidden="1">[1]Model!$A$30:$A$122</definedName>
    <definedName name="Austria_telenor_mobile_export">[3]IM!#REF!</definedName>
    <definedName name="AvgVoiceLines" hidden="1">[1]Model!$E$136:$DT$136</definedName>
    <definedName name="Balance_Sheet" hidden="1">'[1]Financial Statements'!$A$126:$A$177</definedName>
    <definedName name="bb" hidden="1">{#N/A,#N/A,FALSE,"Statement of Ops";#N/A,#N/A,FALSE,"Trend Ops"}</definedName>
    <definedName name="Belgium_Belgacom_fixed_export">#REF!</definedName>
    <definedName name="Belgium_Belgacom_mobile_export">#REF!</definedName>
    <definedName name="bondcos">#REF!</definedName>
    <definedName name="bondcost">#REF!</definedName>
    <definedName name="BPackClust" hidden="1">[1]Equipment!$E$226:$DT$226</definedName>
    <definedName name="BPackRTU" hidden="1">[1]Equipment!$E$220:$DT$220</definedName>
    <definedName name="BPackRTUCapex" hidden="1">[1]Capex!$E$220:$DT$220</definedName>
    <definedName name="BPackRTULife" hidden="1">[1]Capex!$C$116</definedName>
    <definedName name="BPackRTUMaint" hidden="1">[1]Capex!$E$248:$DT$248</definedName>
    <definedName name="bsminority">#REF!</definedName>
    <definedName name="BT_Att">#REF!</definedName>
    <definedName name="BT_BSMins">#REF!</definedName>
    <definedName name="BT_CFPS">#REF!</definedName>
    <definedName name="BT_CFPS_fd">#REF!</definedName>
    <definedName name="BT_DPS">#REF!</definedName>
    <definedName name="BT_DtoE">#REF!</definedName>
    <definedName name="BT_EBITDA">#REF!</definedName>
    <definedName name="BT_EPS_fd">#REF!</definedName>
    <definedName name="BT_FA">#REF!</definedName>
    <definedName name="BT_Min">#REF!</definedName>
    <definedName name="BT_Minorities">#REF!</definedName>
    <definedName name="BT_Mins">#REF!</definedName>
    <definedName name="BT_NAV">#REF!</definedName>
    <definedName name="BT_NDebt">#REF!</definedName>
    <definedName name="BT_netdebt">#REF!</definedName>
    <definedName name="BT_Provs">#REF!</definedName>
    <definedName name="BT_R">#REF!</definedName>
    <definedName name="BT_Rec">#REF!</definedName>
    <definedName name="BT_ROCE">#REF!</definedName>
    <definedName name="BT_ROE">#REF!</definedName>
    <definedName name="BT_Sales">#REF!</definedName>
    <definedName name="BT_Shf">#REF!</definedName>
    <definedName name="BT_Shissued">#REF!</definedName>
    <definedName name="BT_UK_export">[4]IM!$K$12:$AL$48</definedName>
    <definedName name="BT_UP">#REF!</definedName>
    <definedName name="BTS" hidden="1">[1]Equipment!$E$212:$DT$212</definedName>
    <definedName name="BTSAppRTUCapex" hidden="1">[1]Capex!$E$218:$DT$218</definedName>
    <definedName name="BTSAppRTULife" hidden="1">[1]Capex!$C$114</definedName>
    <definedName name="BTSAppRTUMaint" hidden="1">[1]Capex!$E$247:$DT$247</definedName>
    <definedName name="BTSLife" hidden="1">[1]Capex!$C$112</definedName>
    <definedName name="BTSPlatRTUCapex" hidden="1">[1]Capex!$E$217:$DT$217</definedName>
    <definedName name="BTSPlatRTULife" hidden="1">[1]Capex!$C$113</definedName>
    <definedName name="BTSPlatRTUMaint" hidden="1">[1]Capex!$E$246:$DT$246</definedName>
    <definedName name="BTSRTU" hidden="1">[1]Equipment!$E$206:$DT$206</definedName>
    <definedName name="CalcSetting" hidden="1">[1]Equipment!$B$10</definedName>
    <definedName name="CallMgmtPctInbound" hidden="1">[1]Model!$E$118:$DT$118</definedName>
    <definedName name="CallMgmtPctOutbound" hidden="1">[1]Model!$E$119:$DT$119</definedName>
    <definedName name="Capital_Employed">#REF!</definedName>
    <definedName name="Card" hidden="1">[1]Equipment!$E$40:$DT$40</definedName>
    <definedName name="CardInput" hidden="1">'[1]Capex Input'!$E$48:$DT$48</definedName>
    <definedName name="cash">#REF!</definedName>
    <definedName name="Cash_Flow_Statement" hidden="1">'[1]Financial Statements'!$A$69:$A$122</definedName>
    <definedName name="casheps">#REF!</definedName>
    <definedName name="changend">#REF!</definedName>
    <definedName name="Chile">#REF!</definedName>
    <definedName name="CHT" hidden="1">[1]Equipment!$E$202:$DT$202</definedName>
    <definedName name="CHTInput" hidden="1">'[1]Capex Input'!$E$41:$DT$41</definedName>
    <definedName name="CMTSInputs" hidden="1">[1]Equipment!$E$13:$DT$57</definedName>
    <definedName name="CMTSOutputs" hidden="1">[1]Equipment!$E$59:$DT$68</definedName>
    <definedName name="CNAMPctInbound" hidden="1">[1]Model!$E$116:$DT$116</definedName>
    <definedName name="CNAMPctOutbound" hidden="1">[1]Model!$E$117:$DT$117</definedName>
    <definedName name="CodecInput" hidden="1">'[1]Capex Input'!$E$33:$DT$33</definedName>
    <definedName name="Cognit" hidden="1">[1]Equipment!$E$235:$DT$235</definedName>
    <definedName name="ColCount" hidden="1">[1]Equipment!$B$11</definedName>
    <definedName name="Company_Code">[5]Front!$E$10</definedName>
    <definedName name="Company_Name">[5]Front!$E$11</definedName>
    <definedName name="Core_old__BT_cap_ex">#REF!</definedName>
    <definedName name="corecapex">#REF!</definedName>
    <definedName name="cost_of_capital" hidden="1">[1]Model!$E$43</definedName>
    <definedName name="CPE">#REF!</definedName>
    <definedName name="CPULimit" hidden="1">[1]Equipment!$E$56:$DT$56</definedName>
    <definedName name="CPUPerDataSub" hidden="1">[1]Equipment!$E$36:$DT$36</definedName>
    <definedName name="CPUPerDS0" hidden="1">[1]Equipment!$E$35:$DT$35</definedName>
    <definedName name="CPUUtil" hidden="1">[1]Equipment!$E$63:$DT$63</definedName>
    <definedName name="CPUUtilData" hidden="1">[1]Equipment!$E$68:$DT$68</definedName>
    <definedName name="creditors">#REF!</definedName>
    <definedName name="cueps">#REF!</definedName>
    <definedName name="Currency">[5]Front!$E$15</definedName>
    <definedName name="Datatabell">#REF!</definedName>
    <definedName name="Date">[5]Front!$E$16</definedName>
    <definedName name="DB">"WIREUK"</definedName>
    <definedName name="DCF_Valuation">[6]UK!#REF!</definedName>
    <definedName name="debtors">#REF!</definedName>
    <definedName name="depre">#REF!</definedName>
    <definedName name="depreciation">#REF!</definedName>
    <definedName name="dere" hidden="1">{#N/A,#N/A,FALSE,"Statement of Ops";#N/A,#N/A,FALSE,"Trend Ops"}</definedName>
    <definedName name="dfdfd" hidden="1">{#N/A,#N/A,FALSE,"Statement of Ops";#N/A,#N/A,FALSE,"Trend Ops"}</definedName>
    <definedName name="dfsdf" hidden="1">{#N/A,#N/A,FALSE,"Statement of Ops";#N/A,#N/A,FALSE,"Trend Ops"}</definedName>
    <definedName name="disposals">#REF!</definedName>
    <definedName name="divpaid">#REF!</definedName>
    <definedName name="dps">#REF!</definedName>
    <definedName name="dsf" hidden="1">{#N/A,#N/A,FALSE,"Statement of Ops";#N/A,#N/A,FALSE,"Trend Ops"}</definedName>
    <definedName name="DSPerDataSub" hidden="1">[1]Equipment!$E$30:$DT$30</definedName>
    <definedName name="DSPerDataSubInput" hidden="1">'[1]Capex Input'!$E$42:$DT$42</definedName>
    <definedName name="DSPerDom" hidden="1">[1]Equipment!$E$46:$DT$46</definedName>
    <definedName name="DSPerDS0" hidden="1">[1]Equipment!$E$24:$DT$24</definedName>
    <definedName name="DSUtil" hidden="1">[1]Equipment!$E$60:$DT$60</definedName>
    <definedName name="DSUtilData" hidden="1">[1]Equipment!$E$65:$DT$65</definedName>
    <definedName name="DualPctData" hidden="1">[1]Capex!$E$32:$DT$32</definedName>
    <definedName name="DualPctVoiceInput" hidden="1">[1]Model!$E$86:$DT$86</definedName>
    <definedName name="eeeeeeeeee" hidden="1">{#N/A,#N/A,FALSE,"Statement of Ops";#N/A,#N/A,FALSE,"Trend Ops"}</definedName>
    <definedName name="EgenRappPath">#REF!</definedName>
    <definedName name="eps">#REF!</definedName>
    <definedName name="Equipment_and_CAPEX" hidden="1">[1]Model!$A$199:$A$265</definedName>
    <definedName name="erere" hidden="1">{#N/A,#N/A,FALSE,"Statement of Ops";#N/A,#N/A,FALSE,"Trend Ops"}</definedName>
    <definedName name="ererere" hidden="1">{#N/A,#N/A,FALSE,"Statement of Ops";#N/A,#N/A,FALSE,"Trend Ops"}</definedName>
    <definedName name="ErlangsPerLine" hidden="1">[1]Equipment!$E$29:$DT$29</definedName>
    <definedName name="ErlangsPerLineInput" hidden="1">'[1]Capex Input'!$E$40:$DT$40</definedName>
    <definedName name="F.1981.03">#REF!</definedName>
    <definedName name="F.1982.03">#REF!</definedName>
    <definedName name="F.1983.03">#REF!</definedName>
    <definedName name="F.1984.03">#REF!</definedName>
    <definedName name="F.1985.03">#REF!</definedName>
    <definedName name="F.1986.03">#REF!</definedName>
    <definedName name="F.1987.03">#REF!</definedName>
    <definedName name="F.1988.03">#REF!</definedName>
    <definedName name="F.1989.03">#REF!</definedName>
    <definedName name="F.1990.03">#REF!</definedName>
    <definedName name="F.1991.03">#REF!</definedName>
    <definedName name="F.1992.03">#REF!</definedName>
    <definedName name="F.1993.03">#REF!</definedName>
    <definedName name="F.1994.03">#REF!</definedName>
    <definedName name="F.1995.03">#REF!</definedName>
    <definedName name="F.1998.03">#REF!</definedName>
    <definedName name="fcf">#REF!</definedName>
    <definedName name="France_Telecom">#REF!</definedName>
    <definedName name="France_Telecom_Belgium_mobile_interconnect_receipts">#REF!</definedName>
    <definedName name="France_Telecom_Belgium_mobile_interconnect_receipts_from_fixed_operators">#REF!</definedName>
    <definedName name="France_Telecom_Belgium_mobile_interconnect_receipts_from_mobile_operators">#REF!</definedName>
    <definedName name="France_Telecom_Belgium_mobile_other_revenue">#REF!</definedName>
    <definedName name="France_Telecom_Belgium_mobile_retail_and_wholesale_services_revenue">#REF!</definedName>
    <definedName name="France_Telecom_Belgium_mobile_retail_revenue">#REF!</definedName>
    <definedName name="France_Telecom_Belgium_mobile_retail_subscribers">#REF!</definedName>
    <definedName name="France_Telecom_Belgium_mobile_revenue">#REF!</definedName>
    <definedName name="France_Telecom_Belgium_mobile_wholesale_revenue">#REF!</definedName>
    <definedName name="France_Telecom_Belgium_mobile_wholesale_subscribers">#REF!</definedName>
    <definedName name="France_Telecom_Denmark_mobile_interconnect_receipts">#REF!</definedName>
    <definedName name="France_Telecom_Denmark_mobile_interconnect_receipts_from_fixed_operators">#REF!</definedName>
    <definedName name="France_Telecom_Denmark_mobile_interconnect_receipts_from_mobile_operators">#REF!</definedName>
    <definedName name="France_Telecom_Denmark_mobile_other_revenue">#REF!</definedName>
    <definedName name="France_Telecom_Denmark_mobile_retail_and_wholesale_services_revenue">#REF!</definedName>
    <definedName name="France_Telecom_Denmark_mobile_retail_revenue">#REF!</definedName>
    <definedName name="France_Telecom_Denmark_mobile_retail_subscribers">#REF!</definedName>
    <definedName name="France_Telecom_Denmark_mobile_revenue">#REF!</definedName>
    <definedName name="France_Telecom_Denmark_mobile_wholesale_revenue">#REF!</definedName>
    <definedName name="France_Telecom_Denmark_mobile_wholesale_subscribers">#REF!</definedName>
    <definedName name="France_Telecom_Egypt_mobile_interconnect_receipts">#REF!</definedName>
    <definedName name="France_Telecom_Egypt_mobile_interconnect_receipts_from_fixed_operators">#REF!</definedName>
    <definedName name="France_Telecom_Egypt_mobile_interconnect_receipts_from_mobile_operators">#REF!</definedName>
    <definedName name="France_Telecom_Egypt_mobile_other_revenue">#REF!</definedName>
    <definedName name="France_Telecom_Egypt_mobile_retail_and_wholesale_services_revenue">#REF!</definedName>
    <definedName name="France_Telecom_Egypt_mobile_retail_revenue">#REF!</definedName>
    <definedName name="France_Telecom_Egypt_mobile_retail_subscribers">#REF!</definedName>
    <definedName name="France_Telecom_Egypt_mobile_revenue">#REF!</definedName>
    <definedName name="France_Telecom_Egypt_mobile_wholesale_revenue">#REF!</definedName>
    <definedName name="France_Telecom_Egypt_mobile_wholesale_subscribers">#REF!</definedName>
    <definedName name="France_Telecom_France_fixed_broadband_revenue__business">#REF!</definedName>
    <definedName name="France_Telecom_France_fixed_broadband_revenue__residential">#REF!</definedName>
    <definedName name="France_Telecom_France_fixed_broadband_revenue__residential___business">#REF!</definedName>
    <definedName name="France_Telecom_France_fixed_interconnect_receipts">#REF!</definedName>
    <definedName name="France_Telecom_France_fixed_interconnect_receipts_from_fixed_operators">#REF!</definedName>
    <definedName name="France_Telecom_France_fixed_interconnect_receipts_from_mobile_operators">#REF!</definedName>
    <definedName name="France_Telecom_France_fixed_other_revenue">#REF!</definedName>
    <definedName name="France_Telecom_France_fixed_retail_and_wholesale_services_revenue">#REF!</definedName>
    <definedName name="France_Telecom_France_fixed_retail_broadband_business_sites">#REF!</definedName>
    <definedName name="France_Telecom_France_fixed_retail_broadband_homes">#REF!</definedName>
    <definedName name="France_Telecom_France_fixed_retail_broadband_sites__homes_and_businesses">#REF!</definedName>
    <definedName name="France_Telecom_France_fixed_retail_business_sites">#REF!</definedName>
    <definedName name="France_Telecom_France_fixed_retail_homes">#REF!</definedName>
    <definedName name="France_Telecom_France_fixed_retail_lines__business">#REF!</definedName>
    <definedName name="France_Telecom_France_fixed_retail_lines__ISDN">#REF!</definedName>
    <definedName name="France_Telecom_France_fixed_retail_lines__PSTN">#REF!</definedName>
    <definedName name="France_Telecom_France_fixed_retail_lines__PSTN___ISDN">#REF!</definedName>
    <definedName name="France_Telecom_France_fixed_retail_lines__residential">#REF!</definedName>
    <definedName name="France_Telecom_France_fixed_retail_lines__residential___business">#REF!</definedName>
    <definedName name="France_Telecom_France_fixed_retail_revenue__business">#REF!</definedName>
    <definedName name="France_Telecom_France_fixed_retail_revenue__residential">#REF!</definedName>
    <definedName name="France_Telecom_France_fixed_retail_revenue__residential___business">#REF!</definedName>
    <definedName name="France_Telecom_France_fixed_revenue">#REF!</definedName>
    <definedName name="France_Telecom_France_fixed_wholesale_and_interconnect_services_revenue">#REF!</definedName>
    <definedName name="France_Telecom_France_fixed_wholesale_broadband_business_sites">#REF!</definedName>
    <definedName name="France_Telecom_France_fixed_wholesale_broadband_homes">#REF!</definedName>
    <definedName name="France_Telecom_France_fixed_wholesale_broadband_sites__homes_and_businesses">#REF!</definedName>
    <definedName name="France_Telecom_France_fixed_wholesale_business_sites">#REF!</definedName>
    <definedName name="France_Telecom_France_fixed_wholesale_homes">#REF!</definedName>
    <definedName name="France_Telecom_France_fixed_wholesale_lines__business">#REF!</definedName>
    <definedName name="France_Telecom_France_fixed_wholesale_lines__ISDN">#REF!</definedName>
    <definedName name="France_Telecom_France_fixed_wholesale_lines__PSTN">#REF!</definedName>
    <definedName name="France_Telecom_France_fixed_wholesale_lines__PSTN___ISDN">#REF!</definedName>
    <definedName name="France_Telecom_France_fixed_wholesale_lines__residential">#REF!</definedName>
    <definedName name="France_Telecom_France_fixed_wholesale_lines__residential___business">#REF!</definedName>
    <definedName name="France_Telecom_France_fixed_wholesale_revenue">#REF!</definedName>
    <definedName name="France_Telecom_France_mobile_interconnect_receipts">#REF!</definedName>
    <definedName name="France_Telecom_France_mobile_interconnect_receipts_from_fixed_operators">#REF!</definedName>
    <definedName name="France_Telecom_France_mobile_interconnect_receipts_from_mobile_operators">#REF!</definedName>
    <definedName name="France_Telecom_France_mobile_other_revenue">#REF!</definedName>
    <definedName name="France_Telecom_France_mobile_retail_and_wholesale_services_revenue">#REF!</definedName>
    <definedName name="France_Telecom_France_mobile_retail_revenue">#REF!</definedName>
    <definedName name="France_Telecom_France_mobile_retail_subscribers">#REF!</definedName>
    <definedName name="France_Telecom_France_mobile_revenue">#REF!</definedName>
    <definedName name="France_Telecom_France_mobile_wholesale_revenue">#REF!</definedName>
    <definedName name="France_Telecom_France_mobile_wholesale_subscribers">#REF!</definedName>
    <definedName name="France_Telecom_Netherlands_mobile_interconnect_receipts">#REF!</definedName>
    <definedName name="France_Telecom_Netherlands_mobile_interconnect_receipts_from_fixed_operators">#REF!</definedName>
    <definedName name="France_Telecom_Netherlands_mobile_interconnect_receipts_from_mobile_operators">#REF!</definedName>
    <definedName name="France_Telecom_Netherlands_mobile_other_revenue">#REF!</definedName>
    <definedName name="France_Telecom_Netherlands_mobile_retail_and_wholesale_services_revenue">#REF!</definedName>
    <definedName name="France_Telecom_Netherlands_mobile_retail_revenue">#REF!</definedName>
    <definedName name="France_Telecom_Netherlands_mobile_retail_subscribers">#REF!</definedName>
    <definedName name="France_Telecom_Netherlands_mobile_revenue">#REF!</definedName>
    <definedName name="France_Telecom_Netherlands_mobile_wholesale_revenue">#REF!</definedName>
    <definedName name="France_Telecom_Netherlands_mobile_wholesale_subscribers">#REF!</definedName>
    <definedName name="France_Telecom_Poland_fixed_broadband_revenue__business">#REF!</definedName>
    <definedName name="France_Telecom_Poland_fixed_broadband_revenue__residential">#REF!</definedName>
    <definedName name="France_Telecom_Poland_fixed_broadband_revenue__residential___business">#REF!</definedName>
    <definedName name="France_Telecom_Poland_fixed_interconnect_receipts">#REF!</definedName>
    <definedName name="France_Telecom_Poland_fixed_interconnect_receipts_from_fixed_operators">#REF!</definedName>
    <definedName name="France_Telecom_Poland_fixed_interconnect_receipts_from_mobile_operators">#REF!</definedName>
    <definedName name="France_Telecom_Poland_fixed_other_revenue">#REF!</definedName>
    <definedName name="France_Telecom_Poland_fixed_retail_and_wholesale_services_revenue">#REF!</definedName>
    <definedName name="France_Telecom_Poland_fixed_retail_broadband_business_sites">#REF!</definedName>
    <definedName name="France_Telecom_Poland_fixed_retail_broadband_homes">#REF!</definedName>
    <definedName name="France_Telecom_Poland_fixed_retail_broadband_sites__homes_and_businesses">#REF!</definedName>
    <definedName name="France_Telecom_Poland_fixed_retail_business_sites">#REF!</definedName>
    <definedName name="France_Telecom_Poland_fixed_retail_homes">#REF!</definedName>
    <definedName name="France_Telecom_Poland_fixed_retail_lines__business">#REF!</definedName>
    <definedName name="France_Telecom_Poland_fixed_retail_lines__ISDN">#REF!</definedName>
    <definedName name="France_Telecom_Poland_fixed_retail_lines__PSTN">#REF!</definedName>
    <definedName name="France_Telecom_Poland_fixed_retail_lines__PSTN___ISDN">#REF!</definedName>
    <definedName name="France_Telecom_Poland_fixed_retail_lines__residential">#REF!</definedName>
    <definedName name="France_Telecom_Poland_fixed_retail_lines__residential___business">#REF!</definedName>
    <definedName name="France_Telecom_Poland_fixed_retail_revenue__business">#REF!</definedName>
    <definedName name="France_Telecom_Poland_fixed_retail_revenue__residential">#REF!</definedName>
    <definedName name="France_Telecom_Poland_fixed_retail_revenue__residential___business">#REF!</definedName>
    <definedName name="France_Telecom_Poland_fixed_revenue">#REF!</definedName>
    <definedName name="France_Telecom_Poland_fixed_wholesale_and_interconnect_services_revenue">#REF!</definedName>
    <definedName name="France_Telecom_Poland_fixed_wholesale_broadband_business_sites">#REF!</definedName>
    <definedName name="France_Telecom_Poland_fixed_wholesale_broadband_homes">#REF!</definedName>
    <definedName name="France_Telecom_Poland_fixed_wholesale_broadband_sites__homes_and_businesses">#REF!</definedName>
    <definedName name="France_Telecom_Poland_fixed_wholesale_business_sites">#REF!</definedName>
    <definedName name="France_Telecom_Poland_fixed_wholesale_homes">#REF!</definedName>
    <definedName name="France_Telecom_Poland_fixed_wholesale_lines__business">#REF!</definedName>
    <definedName name="France_Telecom_Poland_fixed_wholesale_lines__ISDN">#REF!</definedName>
    <definedName name="France_Telecom_Poland_fixed_wholesale_lines__PSTN">#REF!</definedName>
    <definedName name="France_Telecom_Poland_fixed_wholesale_lines__PSTN___ISDN">#REF!</definedName>
    <definedName name="France_Telecom_Poland_fixed_wholesale_lines__residential">#REF!</definedName>
    <definedName name="France_Telecom_Poland_fixed_wholesale_lines__residential___business">#REF!</definedName>
    <definedName name="France_Telecom_Poland_fixed_wholesale_revenue">#REF!</definedName>
    <definedName name="France_Telecom_Poland_mobile_interconnect_receipts">#REF!</definedName>
    <definedName name="France_Telecom_Poland_mobile_interconnect_receipts_from_fixed_operators">#REF!</definedName>
    <definedName name="France_Telecom_Poland_mobile_interconnect_receipts_from_mobile_operators">#REF!</definedName>
    <definedName name="France_Telecom_Poland_mobile_other_revenue">#REF!</definedName>
    <definedName name="France_Telecom_Poland_mobile_retail_and_wholesale_services_revenue">#REF!</definedName>
    <definedName name="France_Telecom_Poland_mobile_retail_revenue">#REF!</definedName>
    <definedName name="France_Telecom_Poland_mobile_retail_subscribers">#REF!</definedName>
    <definedName name="France_Telecom_Poland_mobile_revenue">#REF!</definedName>
    <definedName name="France_Telecom_Poland_mobile_wholesale_revenue">#REF!</definedName>
    <definedName name="France_Telecom_Poland_mobile_wholesale_subscribers">#REF!</definedName>
    <definedName name="France_Telecom_Romania_mobile_interconnect_receipts">#REF!</definedName>
    <definedName name="France_Telecom_Romania_mobile_interconnect_receipts_from_fixed_operators">#REF!</definedName>
    <definedName name="France_Telecom_Romania_mobile_interconnect_receipts_from_mobile_operators">#REF!</definedName>
    <definedName name="France_Telecom_Romania_mobile_other_revenue">#REF!</definedName>
    <definedName name="France_Telecom_Romania_mobile_retail_and_wholesale_services_revenue">#REF!</definedName>
    <definedName name="France_Telecom_Romania_mobile_retail_revenue">#REF!</definedName>
    <definedName name="France_Telecom_Romania_mobile_retail_subscribers">#REF!</definedName>
    <definedName name="France_Telecom_Romania_mobile_revenue">#REF!</definedName>
    <definedName name="France_Telecom_Romania_mobile_wholesale_revenue">#REF!</definedName>
    <definedName name="France_Telecom_Romania_mobile_wholesale_subscribers">#REF!</definedName>
    <definedName name="France_Telecom_Slovakia_mobile_interconnect_receipts">#REF!</definedName>
    <definedName name="France_Telecom_Slovakia_mobile_interconnect_receipts_from_fixed_operators">#REF!</definedName>
    <definedName name="France_Telecom_Slovakia_mobile_interconnect_receipts_from_mobile_operators">#REF!</definedName>
    <definedName name="France_Telecom_Slovakia_mobile_other_revenue">#REF!</definedName>
    <definedName name="France_Telecom_Slovakia_mobile_retail_and_wholesale_services_revenue">#REF!</definedName>
    <definedName name="France_Telecom_Slovakia_mobile_retail_revenue">#REF!</definedName>
    <definedName name="France_Telecom_Slovakia_mobile_retail_subscribers">#REF!</definedName>
    <definedName name="France_Telecom_Slovakia_mobile_revenue">#REF!</definedName>
    <definedName name="France_Telecom_Slovakia_mobile_wholesale_revenue">#REF!</definedName>
    <definedName name="France_Telecom_Slovakia_mobile_wholesale_subscribers">#REF!</definedName>
    <definedName name="France_Telecom_Switzerland_mobile_interconnect_receipts">#REF!</definedName>
    <definedName name="France_Telecom_Switzerland_mobile_interconnect_receipts_from_fixed_operators">#REF!</definedName>
    <definedName name="France_Telecom_Switzerland_mobile_interconnect_receipts_from_mobile_operators">#REF!</definedName>
    <definedName name="France_Telecom_Switzerland_mobile_other_revenue">#REF!</definedName>
    <definedName name="France_Telecom_Switzerland_mobile_retail_and_wholesale_services_revenue">#REF!</definedName>
    <definedName name="France_Telecom_Switzerland_mobile_retail_revenue">#REF!</definedName>
    <definedName name="France_Telecom_Switzerland_mobile_retail_subscribers">#REF!</definedName>
    <definedName name="France_Telecom_Switzerland_mobile_revenue">#REF!</definedName>
    <definedName name="France_Telecom_Switzerland_mobile_wholesale_revenue">#REF!</definedName>
    <definedName name="France_Telecom_Switzerland_mobile_wholesale_subscribers">#REF!</definedName>
    <definedName name="France_Telecom2">#REF!</definedName>
    <definedName name="France_TelecomFrancefixedretail_revenue__residential">#REF!</definedName>
    <definedName name="FT">#REF!</definedName>
    <definedName name="g_Cumulative_Net_Income" hidden="1">[1]Results!$P$157:$AH$192</definedName>
    <definedName name="g_Discounted_Cash" hidden="1">[1]Results!$A$341:$M$376</definedName>
    <definedName name="g_Expenses" hidden="1">[1]Results!$P$203:$AH$238</definedName>
    <definedName name="g_IRR" hidden="1">[1]Results!$P$65:$AH$100</definedName>
    <definedName name="g_Net_Income" hidden="1">[1]Results!$A$157:$M$192</definedName>
    <definedName name="g_NPV" hidden="1">[1]Results!$A$65:$M$100</definedName>
    <definedName name="g_Service_Revenue" hidden="1">[1]Results!$A$203:$M$238</definedName>
    <definedName name="g_User_defined_1" hidden="1">[1]Results!$A$249:$M$284</definedName>
    <definedName name="g_User_defined_2" hidden="1">[1]Results!$P$249:$AH$284</definedName>
    <definedName name="g_User_defined_3" hidden="1">[1]Results!$A$295:$M$330</definedName>
    <definedName name="g_User_defined_4" hidden="1">[1]Results!$P$295:$AH$330</definedName>
    <definedName name="GBPUSD">[7]Summary!$C$84</definedName>
    <definedName name="gdps">#REF!</definedName>
    <definedName name="GOS" hidden="1">[1]Equipment!$E$23:$DT$23</definedName>
    <definedName name="GOSInput" hidden="1">'[1]Capex Input'!$E$36:$DT$36</definedName>
    <definedName name="Graphs" hidden="1">[1]Results!$A$49:$A$62</definedName>
    <definedName name="GrossAddDual" hidden="1">[1]Model!$E$104:$DT$104</definedName>
    <definedName name="GrossAddFromHSD" hidden="1">[1]Model!$E$102:$DT$102</definedName>
    <definedName name="GrossAddVoiceOnly" hidden="1">[1]Model!$E$100:$DT$100</definedName>
    <definedName name="GrossLineAdds" hidden="1">[1]Model!$E$107:$DT$107</definedName>
    <definedName name="GSR008Data" hidden="1">[1]Equipment!$E$143:$DT$143</definedName>
    <definedName name="GSR012Data" hidden="1">[1]Equipment!$E$191:$DT$191</definedName>
    <definedName name="GSR1OC12_CMTS" hidden="1">[1]Equipment!$E$131:$DT$131</definedName>
    <definedName name="GSR1OC12Data_CMTS" hidden="1">[1]Equipment!$E$140:$DT$140</definedName>
    <definedName name="GSR4OC12_DC" hidden="1">[1]Equipment!$E$179:$DT$179</definedName>
    <definedName name="GSR4OC12ATM" hidden="1">[1]Equipment!$E$182:$DT$182</definedName>
    <definedName name="GSR4OC12Data_DC" hidden="1">[1]Equipment!$E$188:$DT$188</definedName>
    <definedName name="GSR4OC3_CMTS" hidden="1">[1]Equipment!$E$128:$DT$128</definedName>
    <definedName name="GSR4OC3Data_CMTS" hidden="1">[1]Equipment!$E$137:$DT$137</definedName>
    <definedName name="GSRCapex" hidden="1">[1]Capex!$E$266:$DT$266</definedName>
    <definedName name="GSRLife" hidden="1">[1]Capex!$C$102</definedName>
    <definedName name="GSRMaint" hidden="1">[1]Capex!$E$291:$DT$291</definedName>
    <definedName name="h.IsCSM" hidden="1">"CSModel"</definedName>
    <definedName name="HHP" hidden="1">[1]Capex!$E$12:$DT$12</definedName>
    <definedName name="HHPInput" hidden="1">[1]Model!$E$71:$DT$71</definedName>
    <definedName name="HTML_CodePage" hidden="1">1252</definedName>
    <definedName name="HTML_Description" hidden="1">"IBN Products"</definedName>
    <definedName name="HTML_Email" hidden="1">""</definedName>
    <definedName name="HTML_Header" hidden="1">"Edit"</definedName>
    <definedName name="HTML_LastUpdate" hidden="1">"24/05/97"</definedName>
    <definedName name="HTML_LineAfter" hidden="1">FALSE</definedName>
    <definedName name="HTML_LineBefore" hidden="1">TRUE</definedName>
    <definedName name="HTML_Name" hidden="1">"Mike Bibbings"</definedName>
    <definedName name="HTML_OBDlg2" hidden="1">TRUE</definedName>
    <definedName name="HTML_OBDlg4" hidden="1">TRUE</definedName>
    <definedName name="HTML_OS" hidden="1">0</definedName>
    <definedName name="HTML_PathFile" hidden="1">"C:\My Documents\mmelHTML.htm"</definedName>
    <definedName name="HTML_Title" hidden="1">"Master Edit List"</definedName>
    <definedName name="HubSize" hidden="1">[1]Equipment!$E$17:$DT$17</definedName>
    <definedName name="HubSizeInput" hidden="1">'[1]Capex Input'!$E$27:$DT$27</definedName>
    <definedName name="I1.1989.09">[8]cuslink!#REF!</definedName>
    <definedName name="I1.1996.09">#REF!</definedName>
    <definedName name="inccred">#REF!</definedName>
    <definedName name="Income_Statement" hidden="1">'[1]Financial Statements'!$A$31:$A$65</definedName>
    <definedName name="income_tax_rate" hidden="1">[1]Model!$E$42</definedName>
    <definedName name="incpenprov">#REF!</definedName>
    <definedName name="increc">#REF!</definedName>
    <definedName name="incstock">#REF!</definedName>
    <definedName name="Intangible_Fixed_Assets">#REF!</definedName>
    <definedName name="InTC">#REF!</definedName>
    <definedName name="investment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39420.5584027778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smin">#REF!</definedName>
    <definedName name="issord">#REF!</definedName>
    <definedName name="ITC">#REF!</definedName>
    <definedName name="k_kost">'[2]K-kost'!$A$9:$J$37</definedName>
    <definedName name="k_kost_akk">'[2]K-kost'!$O$8:$AA$42</definedName>
    <definedName name="kk" hidden="1">#REF!</definedName>
    <definedName name="Kopieringsområde">'[9]Business Sol'!$A$7:$K$77</definedName>
    <definedName name="LATASize" hidden="1">[1]Equipment!$E$149:$DT$149</definedName>
    <definedName name="LATASizeInput" hidden="1">'[1]Capex Input'!$E$28:$DT$28</definedName>
    <definedName name="Leased">#REF!</definedName>
    <definedName name="LegalOk" hidden="1">"No"</definedName>
    <definedName name="limcount" hidden="1">1</definedName>
    <definedName name="Linerent">#REF!</definedName>
    <definedName name="Lines_per_100_pop">#REF!</definedName>
    <definedName name="LinesPerFN" hidden="1">[1]Equipment!$E$15:$DT$15</definedName>
    <definedName name="LinesPerSubInput" hidden="1">[1]Model!$E$77:$DT$77</definedName>
    <definedName name="lll" hidden="1">{#N/A,#N/A,FALSE,"Statement of Ops";#N/A,#N/A,FALSE,"Trend Ops"}</definedName>
    <definedName name="llll" hidden="1">{#N/A,#N/A,FALSE,"Statement of Ops";#N/A,#N/A,FALSE,"Trend Ops"}</definedName>
    <definedName name="lllll" hidden="1">{#N/A,#N/A,FALSE,"Statement of Ops";#N/A,#N/A,FALSE,"Trend Ops"}</definedName>
    <definedName name="LNPPct" hidden="1">[1]Model!$E$120:$DT$120</definedName>
    <definedName name="LookupAppRTU" hidden="1">'[1]BTS Tables'!$B$30:$B$81</definedName>
    <definedName name="LookupCPS" hidden="1">'[1]BTS Tables'!$A$3:$A$27</definedName>
    <definedName name="LookupLines" hidden="1">'[1]BTS Tables'!$A$30:$A$81</definedName>
    <definedName name="LookupPlatRTU" hidden="1">'[1]BTS Tables'!$B$3:$B$27</definedName>
    <definedName name="Lösenord">#REF!</definedName>
    <definedName name="ltd">#REF!</definedName>
    <definedName name="måned">[10]Grunndata!$B$3:$C$14</definedName>
    <definedName name="MC16Data" hidden="1">[1]Equipment!$E$98:$DT$98</definedName>
    <definedName name="MC28Data" hidden="1">[1]Equipment!$E$95:$DT$95</definedName>
    <definedName name="md" hidden="1">[1]Model!$E$52</definedName>
    <definedName name="MGX" hidden="1">[1]Equipment!$E$161:$DT$161</definedName>
    <definedName name="MGXCapex" hidden="1">[1]Capex!$E$267:$DT$267</definedName>
    <definedName name="MGXLife" hidden="1">[1]Capex!$C$108</definedName>
    <definedName name="MGXMaint" hidden="1">[1]Capex!$E$292:$DT$292</definedName>
    <definedName name="minority">#REF!</definedName>
    <definedName name="MinPerLineLocal" hidden="1">[1]Model!$E$111:$DT$111</definedName>
    <definedName name="MinPerLineToll" hidden="1">[1]Model!$E$112:$DT$112</definedName>
    <definedName name="Mobile">#REF!</definedName>
    <definedName name="mv" hidden="1">[1]Model!$E$51</definedName>
    <definedName name="Net_Assets">#REF!</definedName>
    <definedName name="Net_Profit_SGW_Adjusted_">#REF!</definedName>
    <definedName name="netint">#REF!</definedName>
    <definedName name="netprofit">#REF!</definedName>
    <definedName name="ni_divs">#REF!</definedName>
    <definedName name="nidivs">#REF!</definedName>
    <definedName name="oldcueps">#REF!</definedName>
    <definedName name="OnNetMaxInput" hidden="1">'[1]Capex Input'!$E$29:$DT$29</definedName>
    <definedName name="Operations" hidden="1">[1]Model!$A$269:$A$412</definedName>
    <definedName name="oppro">#REF!</definedName>
    <definedName name="opprofit">#REF!</definedName>
    <definedName name="Oss">#REF!</definedName>
    <definedName name="OSSInput" hidden="1">'[1]Capex Input'!$E$144:$DT$144</definedName>
    <definedName name="Other_Long_Term_Liabilities">#REF!</definedName>
    <definedName name="Otherinc">#REF!</definedName>
    <definedName name="Otherop">#REF!</definedName>
    <definedName name="Otheropcf">#REF!</definedName>
    <definedName name="ownwork">#REF!</definedName>
    <definedName name="p" hidden="1">[1]Model!$E$53</definedName>
    <definedName name="pbt">#REF!</definedName>
    <definedName name="PentrData" hidden="1">[1]Equipment!$E$4:$DT$4</definedName>
    <definedName name="PentrDataInput" hidden="1">[1]Model!$E$76:$DT$76</definedName>
    <definedName name="PentrVoice" hidden="1">[1]Equipment!$E$2:$DT$2</definedName>
    <definedName name="PentrVoiceInput" hidden="1">[1]Model!$E$75:$DT$75</definedName>
    <definedName name="Period">[5]Front!$E$12</definedName>
    <definedName name="Peru">#REF!</definedName>
    <definedName name="PHSInput" hidden="1">'[1]Capex Input'!$E$35:$DT$35</definedName>
    <definedName name="PlatformInput" hidden="1">'[1]Capex Input'!$E$47:$DT$47</definedName>
    <definedName name="_xlnm.Print_Area" localSheetId="3">Analysis!$A$1:$AC$100</definedName>
    <definedName name="_xlnm.Print_Area" localSheetId="0">#REF!</definedName>
    <definedName name="_xlnm.Print_Area" localSheetId="2">SOP!$A$1:$AH$85</definedName>
    <definedName name="_xlnm.Print_Area">#N/A</definedName>
    <definedName name="_xlnm.Print_Titles" localSheetId="0">#REF!</definedName>
    <definedName name="_xlnm.Print_Titles" localSheetId="12">Interims!$A:$A,Interims!$3:$4</definedName>
    <definedName name="_xlnm.Print_Titles" localSheetId="22">SEGMENTOS!$A:$A,SEGMENTOS!$3:$4</definedName>
    <definedName name="_xlnm.Print_Titles">#N/A</definedName>
    <definedName name="proforma">[11]proforma!#REF!</definedName>
    <definedName name="ProjectName" localSheetId="25">{"Client Name or Project Name"}</definedName>
    <definedName name="ProjectName">{"Client Name or Project Name"}</definedName>
    <definedName name="PT_Portugal_fixed_export">#REF!</definedName>
    <definedName name="PT_Portugal_mobile_export">#REF!</definedName>
    <definedName name="Purchase_of_tangible_fixed_assets">#REF!</definedName>
    <definedName name="purfai">#REF!</definedName>
    <definedName name="pursub">#REF!</definedName>
    <definedName name="purtfa">#REF!</definedName>
    <definedName name="Q1.1996.06">#REF!</definedName>
    <definedName name="Q1_Account">#REF!</definedName>
    <definedName name="Q1_Coding">#REF!</definedName>
    <definedName name="Q1_Data">#REF!</definedName>
    <definedName name="Q1_Period">#REF!</definedName>
    <definedName name="Q1_TP">#REF!</definedName>
    <definedName name="Q2.1996.09">#REF!</definedName>
    <definedName name="Q2_Account">#REF!</definedName>
    <definedName name="Q2_Coding">#REF!</definedName>
    <definedName name="Q2_Data">#REF!</definedName>
    <definedName name="Q2_Period">#REF!</definedName>
    <definedName name="Q2_TP">#REF!</definedName>
    <definedName name="Q3.1996.12">#REF!</definedName>
    <definedName name="Q3_Account">#REF!</definedName>
    <definedName name="Q3_Coding">#REF!</definedName>
    <definedName name="Q3_Data">#REF!</definedName>
    <definedName name="Q3_Period">#REF!</definedName>
    <definedName name="Q3_TP">#REF!</definedName>
    <definedName name="Q4_Account">#REF!</definedName>
    <definedName name="Q4_Coding">#REF!</definedName>
    <definedName name="Q4_Data">#REF!</definedName>
    <definedName name="Q4_Period">#REF!</definedName>
    <definedName name="Q4_TP">#REF!</definedName>
    <definedName name="QC用労働時間有">'[12]03FY 2nd Hafl Latest Estimate'!$A$1:$A$2638</definedName>
    <definedName name="QC用労働時間無">'[12]03FY 2nd Hafl Latest Estimate'!$A$1:$D$618</definedName>
    <definedName name="RapportTyp">#REF!</definedName>
    <definedName name="Redundancy">#REF!</definedName>
    <definedName name="RedundantEdgeInput" hidden="1">'[1]Capex Input'!$E$51:$DT$51</definedName>
    <definedName name="RedundantGWInput" hidden="1">'[1]Capex Input'!$E$53:$DT$53</definedName>
    <definedName name="RedundNInput" hidden="1">'[1]Capex Input'!$E$58:$DT$58</definedName>
    <definedName name="Repdate1">#REF!</definedName>
    <definedName name="Repdate2">#REF!</definedName>
    <definedName name="res_2002">#REF!</definedName>
    <definedName name="res_2002_a">#REF!</definedName>
    <definedName name="Revenue">#REF!</definedName>
    <definedName name="RevFixed_05">[13]TPSA_Model!$O$468</definedName>
    <definedName name="RF" hidden="1">[1]Equipment!$E$92:$DT$92</definedName>
    <definedName name="RFData" hidden="1">[1]Equipment!$E$110:$DT$110</definedName>
    <definedName name="rngColData">'[14]RevCost Report'!$G$1:$Y$65536,'[14]RevCost Report'!$AA$1:$BV$65536</definedName>
    <definedName name="rngColHidden">'[14]RevCost Report'!$A$1:$B$65536,'[14]RevCost Report'!$D$1:$D$65536</definedName>
    <definedName name="rngHideMissingColumns">FALSE</definedName>
    <definedName name="rngHideMissingRows">FALSE</definedName>
    <definedName name="rngRowHidden">'[14]RevCost Report'!$A$4:$IV$5,'[14]RevCost Report'!$A$11:$IV$17</definedName>
    <definedName name="RoutesPerLATA" hidden="1">[1]Model!$E$114:$DT$114</definedName>
    <definedName name="Rpt_Month">[15]★ﾒﾆｭｰ!$I$31</definedName>
    <definedName name="Rpt_Year">[15]★ﾒﾆｭｰ!$I$30</definedName>
    <definedName name="salefa">#REF!</definedName>
    <definedName name="SalvagePct" hidden="1">[1]Model!$E$38</definedName>
    <definedName name="SampleInput" hidden="1">'[1]Capex Input'!$E$34:$DT$34</definedName>
    <definedName name="SAPBEXhrIndnt" hidden="1">1</definedName>
    <definedName name="SAPBEXrevision" hidden="1">0</definedName>
    <definedName name="SAPBEXsysID" hidden="1">"UBP"</definedName>
    <definedName name="SAPBEXwbID" hidden="1">"46ZQZIX9P9TMSSGKMZCTXHTXP"</definedName>
    <definedName name="sdsdsd" hidden="1">{#N/A,#N/A,FALSE,"Statement of Ops";#N/A,#N/A,FALSE,"Trend Ops"}</definedName>
    <definedName name="SecretArchiveNumber" hidden="1">1</definedName>
    <definedName name="Select_Inc_Exp">[16]Ref!$B$12</definedName>
    <definedName name="sencount" localSheetId="0" hidden="1">2</definedName>
    <definedName name="sencount" hidden="1">1</definedName>
    <definedName name="ServerHWCapex" hidden="1">[1]Capex!$E$268:$DT$268</definedName>
    <definedName name="ServerHWMaint" hidden="1">[1]Capex!$E$293:$DT$293</definedName>
    <definedName name="Services_and_Revenue" hidden="1">[1]Model!$A$126:$A$195</definedName>
    <definedName name="sfsdf" hidden="1">{#N/A,#N/A,FALSE,"Statement of Ops";#N/A,#N/A,FALSE,"Trend Ops"}</definedName>
    <definedName name="sharecap">#REF!</definedName>
    <definedName name="Sheetname_Instructions">[16]Ref!#REF!</definedName>
    <definedName name="show_base">[16]WaterFall_Prep!$U$1</definedName>
    <definedName name="show_newbase">[16]WaterFall_Prep!$W$1</definedName>
    <definedName name="show_pctchange">[16]WaterFall_Prep!$Y$1</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APrint">[17]SPA!$A$1:$AD$48,[17]SPA!$A$90:$AD$137</definedName>
    <definedName name="Staff">#REF!</definedName>
    <definedName name="staffcosts">#REF!</definedName>
    <definedName name="std">#REF!</definedName>
    <definedName name="stocks">#REF!</definedName>
    <definedName name="subs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total">[18]基礎ﾃﾞｰﾀ!#REF!</definedName>
    <definedName name="sweden_telenor_mobile_export">[3]IM!#REF!</definedName>
    <definedName name="TA">[12]Sheet3!$A$1:$E$196</definedName>
    <definedName name="Tangible_Fixed_Assets">#REF!</definedName>
    <definedName name="tax">#REF!</definedName>
    <definedName name="taxpaid">#REF!</definedName>
    <definedName name="telcopay">#REF!</definedName>
    <definedName name="Telesp">#REF!</definedName>
    <definedName name="Template.WIRE">"DBACCESS"</definedName>
    <definedName name="tfa">#REF!</definedName>
    <definedName name="TI_Italy_fixed_export">#REF!</definedName>
    <definedName name="Total_lines">#REF!</definedName>
    <definedName name="Trace">FALSE</definedName>
    <definedName name="Transaction_Type">[5]Front!$E$20</definedName>
    <definedName name="Trend_Start">[15]★ﾒﾆｭｰ!$L$31</definedName>
    <definedName name="uBR10Data" hidden="1">[1]Equipment!$E$100:$DT$100</definedName>
    <definedName name="uBR1OC12" hidden="1">[1]Equipment!$E$91:$DT$91</definedName>
    <definedName name="uBR1OC12Data" hidden="1">[1]Equipment!$E$109:$DT$109</definedName>
    <definedName name="uBR1OC3" hidden="1">[1]Equipment!$E$88:$DT$88</definedName>
    <definedName name="uBR1OC3Data" hidden="1">[1]Equipment!$E$106:$DT$106</definedName>
    <definedName name="uBR7Data" hidden="1">[1]Equipment!$E$103:$DT$103</definedName>
    <definedName name="uBRCapex" hidden="1">[1]Capex!$E$265:$DT$265</definedName>
    <definedName name="uBRLife" hidden="1">[1]Capex!$C$92</definedName>
    <definedName name="uBRMaint" hidden="1">[1]Capex!$E$290:$DT$290</definedName>
    <definedName name="UK_population__ms">#REF!</definedName>
    <definedName name="UKPrint">[17]UK!$A$90:$AD$137,[17]UK!$A$1:$AD$48</definedName>
    <definedName name="unadjusted">#REF!</definedName>
    <definedName name="uOne" hidden="1">[1]Equipment!$E$259:$DT$259</definedName>
    <definedName name="UpgradeVersion">"v2.35"</definedName>
    <definedName name="UPIBVPrint">[17]UPIBV!$A$1:$AD$48,[17]UPIBV!$A$90:$AD$137</definedName>
    <definedName name="UPIOPrint">[17]UPIO!$A$90:$AD$137,[17]UPIO!$A$1:$AD$48</definedName>
    <definedName name="UPVPPrint">[17]UPVP!$A$1:$AD$48,[17]UPVP!$A$90:$AD$137</definedName>
    <definedName name="USBandwidth" hidden="1">[1]Equipment!$E$54:$DT$54</definedName>
    <definedName name="USDBRL">[7]Summary!$C$86</definedName>
    <definedName name="USDJPY">[7]Summary!$C$87</definedName>
    <definedName name="UsefulLife" hidden="1">[1]Model!$E$37</definedName>
    <definedName name="USPerDataSub" hidden="1">[1]Equipment!$E$31:$DT$31</definedName>
    <definedName name="USPerDataSubInput" hidden="1">'[1]Capex Input'!$E$43:$DT$43</definedName>
    <definedName name="USPerDom" hidden="1">[1]Equipment!$E$47:$DT$47</definedName>
    <definedName name="USPerDS0" hidden="1">[1]Equipment!$E$25:$DT$25</definedName>
    <definedName name="USUtil" hidden="1">[1]Equipment!$E$61:$DT$61</definedName>
    <definedName name="USUtilData" hidden="1">[1]Equipment!$E$66:$DT$66</definedName>
    <definedName name="valuearea">[19]data!$AQ$26:$CS$864</definedName>
    <definedName name="variance_logic">#REF!</definedName>
    <definedName name="VerintFixed" hidden="1">[1]Equipment!$E$244:$DT$244</definedName>
    <definedName name="VerintVar" hidden="1">[1]Equipment!$E$250:$DT$250</definedName>
    <definedName name="Version.WIRE">1</definedName>
    <definedName name="vis_måned">[10]Grunndata!$A$3:$B$14</definedName>
    <definedName name="VISM" hidden="1">[1]Equipment!$E$159:$DT$159</definedName>
    <definedName name="VoiceLines" hidden="1">[1]Model!$E$83:$DT$83</definedName>
    <definedName name="VoiceSubs" hidden="1">[1]Model!$E$81:$DT$81</definedName>
    <definedName name="WANBandwidth" hidden="1">[1]Equipment!$E$55:$DT$55</definedName>
    <definedName name="WANPerDataSub" hidden="1">[1]Equipment!$E$32:$DT$32</definedName>
    <definedName name="WANPerDS0" hidden="1">[1]Equipment!$E$26:$DT$26</definedName>
    <definedName name="WANUtil" hidden="1">[1]Equipment!$E$62:$DT$62</definedName>
    <definedName name="WANUtilData" hidden="1">[1]Equipment!$E$67:$DT$67</definedName>
    <definedName name="WhoIs" hidden="1">"Developed by Cisco Systems, August 2002"</definedName>
    <definedName name="Workbook.Author">[20]Contents!$B$14</definedName>
    <definedName name="Workbook.Authors_Email_Address">[20]Contents!$B$15</definedName>
    <definedName name="Workbook.Objective">[20]Contents!$B$6</definedName>
    <definedName name="Workbook.Status">[20]Contents!$B$9</definedName>
    <definedName name="Workbook.Title">[20]Contents!$B$5</definedName>
    <definedName name="Workbook.Version">[20]Contents!$B$8</definedName>
    <definedName name="WORKBOOK_SAPBEXq0003" comment="DP_4">"DP_4"</definedName>
    <definedName name="WORKBOOK_SAPBEXq0004" comment="DP_5">"DP_5"</definedName>
    <definedName name="WORKBOOK_SAPBEXq0009" comment="DP_6">"DP_6"</definedName>
    <definedName name="WORKBOOK_SAPBEXq0010" comment="DP_7">"DP_7"</definedName>
    <definedName name="WORKBOOK_SAPBEXq0011" comment="DP_8">"DP_8"</definedName>
    <definedName name="WORKBOOK_SAPBEXq0012" comment="DP_9">"DP_9"</definedName>
    <definedName name="WORKBOOK_SAPBEXq0015" comment="DP_10">"DP_10"</definedName>
    <definedName name="wrn.4Q._.Report." hidden="1">{"Summary OCF",#N/A,FALSE,"Summary OCF";"Rev &amp; OCF",#N/A,FALSE,"Revenue and OCF";"Exp",#N/A,FALSE,"Expenses";"Subs",#N/A,FALSE,"Subscribers"}</definedName>
    <definedName name="wrn.Budget._.Annual."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Trend."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Cable._.Headcount._.Reports." hidden="1">{"Headcount Annual",#N/A,FALSE,"Headcount";"Headcount Monthly",#N/A,FALSE,"Headcount"}</definedName>
    <definedName name="wrn.Capital." hidden="1">{"Capital",#N/A,FALSE,"CapSum"}</definedName>
    <definedName name="wrn.Capital._.Report." hidden="1">{"Capital",#N/A,FALSE,"CapSum"}</definedName>
    <definedName name="wrn.Capital._.Reports." hidden="1">{"Capital Summary",#N/A,FALSE,"CapSum";"Other Capital",#N/A,FALSE,"CapDet";"Construction Report",#N/A,FALSE,"ConstRep"}</definedName>
    <definedName name="wrn.Capital._.Summary." hidden="1">{"Capital",#N/A,FALSE,"CapSum"}</definedName>
    <definedName name="wrn.Current._.Month." hidden="1">{"current month",#N/A,FALSE,"Capitalization"}</definedName>
    <definedName name="wrn.Digital._.Sub._.Detail." hidden="1">{"Digital Detail",#N/A,FALSE,"Digital"}</definedName>
    <definedName name="wrn.Financial._.Reports."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Monthly._.Financial._.Reports."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No._.Ad._.Sales._.Reports." hidden="1">{"Annual P&amp;L NoAd",#N/A,FALSE,"P&amp;L No Ad Sales";"Annual Rev NoAd",#N/A,FALSE,"DetRev No Ad Sales";"Monthly P&amp;L NoAd",#N/A,FALSE,"P&amp;L No Ad Sales";"Monthly Rev NoAd",#N/A,FALSE,"DetRev No Ad Sales"}</definedName>
    <definedName name="wrn.No._.AdSales._.Annual." hidden="1">{"P&amp;L No Ads Annual",#N/A,TRUE,"P&amp;L No Ad Sales";"Revenue No Ads Annual",#N/A,TRUE,"DetRev No Ad Sales"}</definedName>
    <definedName name="wrn.No._.AdSales._.Financial." hidden="1">{"Annual P&amp;L No Ads",#N/A,TRUE,"Trend No AdSales";"Monthly P&amp;L No Ads",#N/A,TRUE,"Trend No AdSales";"Annual Rev no Ads",#N/A,TRUE,"Trend Rev No AdSales";"Monthly Rev No Ads",#N/A,TRUE,"Trend Rev No AdSales"}</definedName>
    <definedName name="wrn.No._.Adsales._.Reports." hidden="1">{"Trend P&amp;L No Adsales",#N/A,TRUE,"P&amp;L No Ad Sales";"Annual P&amp;L No Adsales",#N/A,TRUE,"P&amp;L No Ad Sales";"Trend Revenue no Adsales",#N/A,TRUE,"DetRev No AdSales";"Annual Revenue No AdSales",#N/A,TRUE,"DetRev No AdSales"}</definedName>
    <definedName name="wrn.No._.AdSales._.Trend." hidden="1">{"P&amp;L No Ads Trend",#N/A,TRUE,"P&amp;L No Ad Sales";"Revenue No Ads Trend",#N/A,TRUE,"DetRev No Ad Sales"}</definedName>
    <definedName name="wrn.Online._.Headcount._.Reports." hidden="1">{"Online Headcount Annual",#N/A,FALSE,"Headcount";"Online Headcount Monthly",#N/A,FALSE,"Headcount"}</definedName>
    <definedName name="wrn.Online._.Sub._.Detail." hidden="1">{"Online Detail",#N/A,FALSE,"OnLine"}</definedName>
    <definedName name="wrn.PandL." localSheetId="25" hidden="1">{"P&amp;L",#N/A,FALSE,"annual"}</definedName>
    <definedName name="wrn.PandL." hidden="1">{"P&amp;L",#N/A,FALSE,"annual"}</definedName>
    <definedName name="wrn.Pay._.Sub._.Detail." hidden="1">{"Pay Detail",#N/A,FALSE,"Pay"}</definedName>
    <definedName name="wrn.Trend." hidden="1">{"trend",#N/A,TRUE,"Capitalization"}</definedName>
    <definedName name="wrn.Trend._.Reports." hidden="1">{"P&amp;L Trend",#N/A,TRUE,"P&amp;L";"Revenue Trend",#N/A,TRUE,"DetRev";"Tech Trend",#N/A,TRUE,"DetTech";"Customer Service Trend",#N/A,TRUE,"DetCSR";"Marketing Trend",#N/A,TRUE,"DetMrkt";"Online Trend",#N/A,TRUE,"DetOnline";"Telephony Trend",#N/A,TRUE,"DetTelephony";"Adsales Trend",#N/A,TRUE,"DetAdSales";"LO Trend",#N/A,TRUE,"DETLO";"Admin Trend",#N/A,TRUE,"DetAdmin";"Product Trend",#N/A,TRUE,"DetProd"}</definedName>
    <definedName name="wrn.Vodafone._.printout." localSheetId="25" hidden="1">{"Groupannual",#N/A,FALSE,"Groupannual";"VodMann",#N/A,FALSE,"VodMann";"Data",#N/A,FALSE,"Data";"Group International",#N/A,FALSE,"Group International";"BellAir",#N/A,FALSE,"BellAir";"DCF sum of parts",#N/A,FALSE,"DCF sum of parts";"licences",#N/A,FALSE,"licences"}</definedName>
    <definedName name="wrn.Vodafone._.printout." hidden="1">{"Groupannual",#N/A,FALSE,"Groupannual";"VodMann",#N/A,FALSE,"VodMann";"Data",#N/A,FALSE,"Data";"Group International",#N/A,FALSE,"Group International";"BellAir",#N/A,FALSE,"BellAir";"DCF sum of parts",#N/A,FALSE,"DCF sum of parts";"licences",#N/A,FALSE,"licences"}</definedName>
    <definedName name="wwwwwwwwwwwww" hidden="1">{#N/A,#N/A,FALSE,"Statement of Ops";#N/A,#N/A,FALSE,"Trend Ops"}</definedName>
    <definedName name="xxxx" hidden="1">{"P&amp;L Annual",#N/A,FALSE,"P&amp;L";"Rev Annual",#N/A,FALSE,"DetRev";"Tech Annual",#N/A,FALSE,"DetTech";"CSR Annual",#N/A,FALSE,"DetCSR";"Marketing Annual",#N/A,FALSE,"DetMrkt";"Ad Sales Annual",#N/A,FALSE,"DetAdSales";"LO Annual",#N/A,FALSE,"DETLO";"Admin Annual",#N/A,FALSE,"DetAdmin";"Product Annual",#N/A,FALSE,"DetProd"}</definedName>
    <definedName name="Year_ending_March">#REF!</definedName>
    <definedName name="years">#REF!</definedName>
    <definedName name="Yellow">#REF!</definedName>
    <definedName name="YTDcomrange1">#REF!</definedName>
    <definedName name="YTDcomrange2">#REF!</definedName>
    <definedName name="Z_FB9FEF07_E23D_4093_B787_DA7C6E65880F_.wvu.PrintTitles" hidden="1">'[21]Inputs - Debt Roll'!$A$1:$F$65536,'[21]Inputs - Debt Roll'!$A$1:$IV$9</definedName>
    <definedName name="ｸﾞﾚｰ">'[22]ﾃﾞｰﾀ加工(MTD)'!$EY$4</definedName>
    <definedName name="ｸﾞﾚｰY">'[22]ﾃﾞｰﾀ加工(YTD)'!$EY$4</definedName>
    <definedName name="チケット別日別販売実績_DAT">#REF!</definedName>
    <definedName name="ベニューリスト">#REF!</definedName>
    <definedName name="元DATA">'[12]03FY 2nd Hafl Latest Estimate'!$B$2:$J$1450</definedName>
    <definedName name="利益処分計算">'[12]03FY 2nd Hafl Latest Estimate'!#REF!</definedName>
    <definedName name="勘定科目">#REF!</definedName>
    <definedName name="印刷01">'[12]03FY 2nd Hafl Latest Estimate'!$B$4:$Z$399</definedName>
    <definedName name="印刷02">'[12]03FY 2nd Hafl Latest Estimate'!$B$400:$Z$474</definedName>
    <definedName name="反転">'[22]ﾃﾞｰﾀ加工(MTD)'!$FC$4</definedName>
    <definedName name="反転Y">'[22]ﾃﾞｰﾀ加工(YTD)'!$FC$4</definedName>
    <definedName name="基本項目_FLAG">[18]基礎ﾃﾞｰﾀ!#REF!</definedName>
    <definedName name="消税率">#REF!</definedName>
  </definedNames>
  <calcPr calcId="191029" calcMode="manual"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U69" i="27" l="1"/>
  <c r="X68" i="27"/>
  <c r="T69" i="27"/>
  <c r="W67" i="27"/>
  <c r="X67" i="27" s="1"/>
  <c r="U62" i="27"/>
  <c r="V62" i="27" s="1"/>
  <c r="W62" i="27" s="1"/>
  <c r="X62" i="27" s="1"/>
  <c r="V66" i="27"/>
  <c r="W66" i="27" s="1"/>
  <c r="U65" i="27"/>
  <c r="V65" i="27" s="1"/>
  <c r="W65" i="27" s="1"/>
  <c r="T64" i="27"/>
  <c r="U64" i="27" s="1"/>
  <c r="V64" i="27" s="1"/>
  <c r="G3069" i="16"/>
  <c r="D3069" i="16"/>
  <c r="X66" i="27" l="1"/>
  <c r="X69" i="27" s="1"/>
  <c r="W69" i="27"/>
  <c r="V69" i="27"/>
  <c r="B3065" i="16"/>
  <c r="B3064" i="16"/>
  <c r="B3063" i="16"/>
  <c r="E3055" i="16"/>
  <c r="I3031" i="16"/>
  <c r="D3050" i="16"/>
  <c r="H3048" i="16"/>
  <c r="I3048" i="16" s="1"/>
  <c r="G3048" i="16"/>
  <c r="F3048" i="16"/>
  <c r="E3048" i="16"/>
  <c r="D3048" i="16"/>
  <c r="B3048" i="16"/>
  <c r="B3047" i="16"/>
  <c r="H3039" i="16"/>
  <c r="G3039" i="16"/>
  <c r="F3039" i="16"/>
  <c r="E3039" i="16"/>
  <c r="H3038" i="16"/>
  <c r="G3038" i="16"/>
  <c r="F3038" i="16"/>
  <c r="E3038" i="16"/>
  <c r="D3039" i="16"/>
  <c r="D3038" i="16"/>
  <c r="D3028" i="16"/>
  <c r="D3035" i="16"/>
  <c r="F3055" i="16" l="1"/>
  <c r="F3069" i="16" s="1"/>
  <c r="E3069" i="16"/>
  <c r="X71" i="1"/>
  <c r="Y71" i="1" s="1"/>
  <c r="Z71" i="1" s="1"/>
  <c r="AA71" i="1" s="1"/>
  <c r="AB71" i="1" s="1"/>
  <c r="AC71" i="1" s="1"/>
  <c r="Y94" i="13"/>
  <c r="Z94" i="13" s="1"/>
  <c r="AA94" i="13" s="1"/>
  <c r="X94" i="13"/>
  <c r="W94" i="13"/>
  <c r="BV163" i="5"/>
  <c r="BU163" i="5"/>
  <c r="V333" i="1"/>
  <c r="U333" i="1"/>
  <c r="T333" i="1"/>
  <c r="S333" i="1"/>
  <c r="BO150" i="5"/>
  <c r="BT150" i="5"/>
  <c r="BV137" i="5"/>
  <c r="BV127" i="5"/>
  <c r="BU127" i="5"/>
  <c r="BV112" i="5"/>
  <c r="BU112" i="5"/>
  <c r="BU25" i="5" l="1"/>
  <c r="BV25" i="5"/>
  <c r="V20" i="13"/>
  <c r="X75" i="13"/>
  <c r="Y75" i="13" s="1"/>
  <c r="Z75" i="13" s="1"/>
  <c r="W75" i="13"/>
  <c r="V75" i="13"/>
  <c r="U75" i="13"/>
  <c r="AA75" i="13" l="1"/>
  <c r="U72" i="13" l="1"/>
  <c r="T117" i="10"/>
  <c r="U117" i="10" s="1"/>
  <c r="V117" i="10" s="1"/>
  <c r="W117" i="10" s="1"/>
  <c r="X117" i="10" s="1"/>
  <c r="Y117" i="10" s="1"/>
  <c r="S117" i="10"/>
  <c r="S118" i="10" l="1"/>
  <c r="BU236" i="5"/>
  <c r="BV236" i="5" s="1"/>
  <c r="E3000" i="16" l="1"/>
  <c r="D3000" i="16"/>
  <c r="C3012" i="16"/>
  <c r="C2981" i="16"/>
  <c r="C2980" i="16"/>
  <c r="B2981" i="16"/>
  <c r="B2990" i="16" s="1"/>
  <c r="B2994" i="16" s="1"/>
  <c r="B2980" i="16"/>
  <c r="B2989" i="16" s="1"/>
  <c r="B2993" i="16" s="1"/>
  <c r="C2977" i="16"/>
  <c r="C2976" i="16"/>
  <c r="D2975" i="16"/>
  <c r="D3002" i="16" l="1"/>
  <c r="D3036" i="16"/>
  <c r="F3000" i="16"/>
  <c r="E3036" i="16"/>
  <c r="E2975" i="16"/>
  <c r="D3024" i="16"/>
  <c r="D3031" i="16" s="1"/>
  <c r="C2986" i="16"/>
  <c r="C2985" i="16"/>
  <c r="C2982" i="16"/>
  <c r="D3004" i="16"/>
  <c r="D3010" i="16" s="1"/>
  <c r="B2986" i="16"/>
  <c r="C2978" i="16"/>
  <c r="B2985" i="16"/>
  <c r="AP126" i="13"/>
  <c r="G3000" i="16" l="1"/>
  <c r="F3036" i="16"/>
  <c r="F2975" i="16"/>
  <c r="E3024" i="16"/>
  <c r="E3031" i="16" s="1"/>
  <c r="C2983" i="16"/>
  <c r="C3006" i="16"/>
  <c r="C3007" i="16" s="1"/>
  <c r="C2987" i="16"/>
  <c r="AM128" i="13"/>
  <c r="H3000" i="16" l="1"/>
  <c r="H3036" i="16" s="1"/>
  <c r="G3036" i="16"/>
  <c r="G2975" i="16"/>
  <c r="F3024" i="16"/>
  <c r="F3031" i="16" s="1"/>
  <c r="BM252" i="5"/>
  <c r="BL252" i="5"/>
  <c r="BK252" i="5"/>
  <c r="BJ252" i="5"/>
  <c r="BO252" i="5"/>
  <c r="BP252" i="5"/>
  <c r="BT252" i="5"/>
  <c r="BQ252" i="5"/>
  <c r="BR252" i="5"/>
  <c r="BT32" i="28"/>
  <c r="BP32" i="28"/>
  <c r="AT136" i="28"/>
  <c r="H2975" i="16" l="1"/>
  <c r="H3024" i="16" s="1"/>
  <c r="H3031" i="16" s="1"/>
  <c r="G3024" i="16"/>
  <c r="G3031" i="16" s="1"/>
  <c r="BT34" i="28"/>
  <c r="BP34" i="28"/>
  <c r="BP33" i="28"/>
  <c r="BT33" i="28"/>
  <c r="BT67" i="5"/>
  <c r="BT126" i="5"/>
  <c r="BT127" i="5" s="1"/>
  <c r="BT31" i="5"/>
  <c r="O27" i="29" s="1"/>
  <c r="BT14" i="28"/>
  <c r="BT9" i="28"/>
  <c r="AT101" i="28"/>
  <c r="AT108" i="28" s="1"/>
  <c r="AT99" i="28"/>
  <c r="BF17" i="28"/>
  <c r="BF12" i="28"/>
  <c r="BF8" i="28"/>
  <c r="BF7" i="28"/>
  <c r="BF13" i="28" s="1"/>
  <c r="BZ7" i="28"/>
  <c r="CC7" i="28"/>
  <c r="CA7" i="28"/>
  <c r="BV26" i="28"/>
  <c r="BV22" i="28"/>
  <c r="BV17" i="28"/>
  <c r="BV16" i="28"/>
  <c r="BV15" i="28"/>
  <c r="BV12" i="28"/>
  <c r="BV11" i="28"/>
  <c r="BV10" i="28"/>
  <c r="BQ30" i="28"/>
  <c r="BQ29" i="28"/>
  <c r="BR27" i="28"/>
  <c r="BR26" i="28"/>
  <c r="BR25" i="28"/>
  <c r="BR24" i="28"/>
  <c r="BR34" i="28" s="1"/>
  <c r="BR23" i="28"/>
  <c r="BR22" i="28"/>
  <c r="BR21" i="28"/>
  <c r="BR33" i="28" s="1"/>
  <c r="BR19" i="28"/>
  <c r="BR32" i="28" s="1"/>
  <c r="BR16" i="28"/>
  <c r="BR15" i="28"/>
  <c r="BR11" i="28"/>
  <c r="BR10" i="28"/>
  <c r="BQ26" i="28"/>
  <c r="BQ22" i="28"/>
  <c r="BQ16" i="28"/>
  <c r="BQ15" i="28"/>
  <c r="BQ11" i="28"/>
  <c r="BQ10" i="28"/>
  <c r="F37" i="27"/>
  <c r="E37" i="27"/>
  <c r="D37" i="27"/>
  <c r="C37" i="27"/>
  <c r="H40" i="27"/>
  <c r="G40" i="27"/>
  <c r="G44" i="27" s="1"/>
  <c r="F40" i="27"/>
  <c r="E40" i="27"/>
  <c r="D40" i="27"/>
  <c r="C40" i="27"/>
  <c r="H39" i="27"/>
  <c r="G39" i="27"/>
  <c r="F39" i="27"/>
  <c r="E39" i="27"/>
  <c r="D39" i="27"/>
  <c r="C39" i="27"/>
  <c r="G43" i="27" s="1"/>
  <c r="H38" i="27"/>
  <c r="G38" i="27"/>
  <c r="F38" i="27"/>
  <c r="E38" i="27"/>
  <c r="D38" i="27"/>
  <c r="C38" i="27"/>
  <c r="G42" i="27" s="1"/>
  <c r="N40" i="27"/>
  <c r="M40" i="27"/>
  <c r="M44" i="27" s="1"/>
  <c r="L40" i="27"/>
  <c r="K40" i="27"/>
  <c r="J40" i="27"/>
  <c r="I40" i="27"/>
  <c r="N39" i="27"/>
  <c r="M39" i="27"/>
  <c r="M43" i="27" s="1"/>
  <c r="L39" i="27"/>
  <c r="K39" i="27"/>
  <c r="K43" i="27" s="1"/>
  <c r="J39" i="27"/>
  <c r="I39" i="27"/>
  <c r="N38" i="27"/>
  <c r="M38" i="27"/>
  <c r="L38" i="27"/>
  <c r="K38" i="27"/>
  <c r="K42" i="27" s="1"/>
  <c r="J38" i="27"/>
  <c r="I38" i="27"/>
  <c r="I42" i="27" s="1"/>
  <c r="O40" i="27"/>
  <c r="O44" i="27" s="1"/>
  <c r="O39" i="27"/>
  <c r="O38" i="27"/>
  <c r="B44" i="27"/>
  <c r="B43" i="27"/>
  <c r="B42" i="27"/>
  <c r="O79" i="27"/>
  <c r="O84" i="27" s="1"/>
  <c r="O90" i="27" s="1"/>
  <c r="K70" i="27"/>
  <c r="O70" i="27"/>
  <c r="O64" i="27"/>
  <c r="O66" i="27" s="1"/>
  <c r="O60" i="27"/>
  <c r="O59" i="27"/>
  <c r="K59" i="27"/>
  <c r="K57" i="27"/>
  <c r="O57" i="27"/>
  <c r="O73" i="27" s="1"/>
  <c r="O24" i="27"/>
  <c r="O116" i="27"/>
  <c r="O137" i="27" s="1"/>
  <c r="O108" i="27"/>
  <c r="O107" i="27"/>
  <c r="O104" i="27"/>
  <c r="O103" i="27"/>
  <c r="O76" i="27"/>
  <c r="O33" i="27"/>
  <c r="O20" i="27"/>
  <c r="O19" i="27"/>
  <c r="O18" i="27"/>
  <c r="O97" i="27" s="1"/>
  <c r="O10" i="27"/>
  <c r="O9" i="27"/>
  <c r="O6" i="27"/>
  <c r="R68" i="29"/>
  <c r="R65" i="29"/>
  <c r="R62" i="29"/>
  <c r="R59" i="29"/>
  <c r="Q68" i="29"/>
  <c r="Q65" i="29"/>
  <c r="Q62" i="29"/>
  <c r="Q59" i="29"/>
  <c r="Q40" i="29"/>
  <c r="Q39" i="29"/>
  <c r="P68" i="29"/>
  <c r="P65" i="29"/>
  <c r="P62" i="29"/>
  <c r="P59" i="29"/>
  <c r="P40" i="29"/>
  <c r="P39" i="29"/>
  <c r="O68" i="29"/>
  <c r="O65" i="29"/>
  <c r="O62" i="29"/>
  <c r="O59" i="29"/>
  <c r="O40" i="29"/>
  <c r="O39" i="29"/>
  <c r="R17" i="29"/>
  <c r="Q31" i="29"/>
  <c r="Q27" i="29"/>
  <c r="Q26" i="29"/>
  <c r="Q20" i="29"/>
  <c r="Q17" i="29"/>
  <c r="Q16" i="29"/>
  <c r="P31" i="29"/>
  <c r="P27" i="29"/>
  <c r="P26" i="29"/>
  <c r="P20" i="29"/>
  <c r="P17" i="29"/>
  <c r="O31" i="29"/>
  <c r="O26" i="29"/>
  <c r="O20" i="29"/>
  <c r="O16" i="29"/>
  <c r="Q9" i="29"/>
  <c r="P9" i="29"/>
  <c r="Q8" i="29"/>
  <c r="P8" i="29"/>
  <c r="O9" i="29"/>
  <c r="O8" i="29"/>
  <c r="O6" i="29"/>
  <c r="Q5" i="29"/>
  <c r="P5" i="29"/>
  <c r="O5" i="29"/>
  <c r="BQ14" i="28" l="1"/>
  <c r="BS26" i="28"/>
  <c r="BR9" i="28"/>
  <c r="BQ9" i="28"/>
  <c r="BR14" i="28"/>
  <c r="O17" i="29"/>
  <c r="O37" i="27"/>
  <c r="O42" i="27"/>
  <c r="J44" i="27"/>
  <c r="L43" i="27"/>
  <c r="J43" i="27"/>
  <c r="L44" i="27"/>
  <c r="H42" i="27"/>
  <c r="H44" i="27"/>
  <c r="J42" i="27"/>
  <c r="N44" i="27"/>
  <c r="H43" i="27"/>
  <c r="I44" i="27"/>
  <c r="I43" i="27"/>
  <c r="K44" i="27"/>
  <c r="N42" i="27"/>
  <c r="L42" i="27"/>
  <c r="M42" i="27"/>
  <c r="N43" i="27"/>
  <c r="O82" i="27"/>
  <c r="O83" i="27"/>
  <c r="O81" i="27"/>
  <c r="O43" i="27"/>
  <c r="O34" i="27"/>
  <c r="O138" i="27" s="1"/>
  <c r="O30" i="27"/>
  <c r="O54" i="27"/>
  <c r="O139" i="27"/>
  <c r="O50" i="27"/>
  <c r="O72" i="27"/>
  <c r="O75" i="27" s="1"/>
  <c r="O77" i="27" s="1"/>
  <c r="O55" i="27"/>
  <c r="O31" i="27"/>
  <c r="O93" i="27" l="1"/>
  <c r="O89" i="27"/>
  <c r="O112" i="27" s="1"/>
  <c r="O88" i="27"/>
  <c r="O111" i="27" s="1"/>
  <c r="O117" i="27" s="1"/>
  <c r="R118" i="10"/>
  <c r="Q118" i="10"/>
  <c r="P118" i="10"/>
  <c r="O118" i="10"/>
  <c r="T72" i="13"/>
  <c r="T118" i="10" l="1"/>
  <c r="U118" i="10" l="1"/>
  <c r="V167" i="1"/>
  <c r="U167" i="1"/>
  <c r="T167" i="1"/>
  <c r="BM147" i="5"/>
  <c r="V201" i="1"/>
  <c r="V200" i="1" s="1"/>
  <c r="BX164" i="5"/>
  <c r="X273" i="1"/>
  <c r="Y273" i="1" s="1"/>
  <c r="Z273" i="1" s="1"/>
  <c r="AA273" i="1" s="1"/>
  <c r="AB273" i="1" s="1"/>
  <c r="AC273" i="1" s="1"/>
  <c r="U72" i="1"/>
  <c r="V72" i="1"/>
  <c r="W267" i="1"/>
  <c r="W92" i="1"/>
  <c r="W72" i="1" s="1"/>
  <c r="W115" i="1" s="1"/>
  <c r="X93" i="1"/>
  <c r="X92" i="1" s="1"/>
  <c r="V266" i="1"/>
  <c r="V191" i="1"/>
  <c r="BW180" i="5" l="1"/>
  <c r="W431" i="1"/>
  <c r="V118" i="10"/>
  <c r="X267" i="1"/>
  <c r="Y93" i="1"/>
  <c r="BS65" i="5"/>
  <c r="O25" i="29"/>
  <c r="P16" i="29"/>
  <c r="Q19" i="29"/>
  <c r="O19" i="29"/>
  <c r="P19" i="29"/>
  <c r="Q18" i="29"/>
  <c r="P18" i="29"/>
  <c r="O18" i="29"/>
  <c r="Q7" i="29"/>
  <c r="P7" i="29"/>
  <c r="O7" i="29"/>
  <c r="P48" i="29"/>
  <c r="P49" i="29" s="1"/>
  <c r="O48" i="29"/>
  <c r="O49" i="29" s="1"/>
  <c r="BU237" i="5"/>
  <c r="BU235" i="5"/>
  <c r="P45" i="29" s="1"/>
  <c r="P46" i="29" s="1"/>
  <c r="O51" i="29"/>
  <c r="O52" i="29" s="1"/>
  <c r="O54" i="29"/>
  <c r="O55" i="29" s="1"/>
  <c r="O45" i="29"/>
  <c r="O46" i="29" s="1"/>
  <c r="P54" i="29" l="1"/>
  <c r="P55" i="29" s="1"/>
  <c r="BV237" i="5"/>
  <c r="W118" i="10"/>
  <c r="P6" i="29"/>
  <c r="BU252" i="5"/>
  <c r="Q6" i="29"/>
  <c r="BV252" i="5"/>
  <c r="Q54" i="29"/>
  <c r="Q22" i="29"/>
  <c r="Q48" i="29"/>
  <c r="BU238" i="5"/>
  <c r="P22" i="29"/>
  <c r="BV235" i="5"/>
  <c r="Q45" i="29" s="1"/>
  <c r="O22" i="29"/>
  <c r="O29" i="29"/>
  <c r="Z93" i="1"/>
  <c r="Z92" i="1" s="1"/>
  <c r="Y267" i="1"/>
  <c r="Y92" i="1"/>
  <c r="BX235" i="5"/>
  <c r="BW235" i="5" s="1"/>
  <c r="BX186" i="5"/>
  <c r="BX91" i="5"/>
  <c r="BW91" i="5" s="1"/>
  <c r="BW102" i="5" s="1"/>
  <c r="BX67" i="5"/>
  <c r="BX31" i="5"/>
  <c r="BX29" i="5"/>
  <c r="BX27" i="5"/>
  <c r="BX15" i="5"/>
  <c r="EK33" i="5"/>
  <c r="EJ33" i="5"/>
  <c r="EI33" i="5"/>
  <c r="EI29" i="5"/>
  <c r="EK27" i="5"/>
  <c r="EJ27" i="5"/>
  <c r="EI27" i="5"/>
  <c r="EK26" i="5"/>
  <c r="EJ26" i="5"/>
  <c r="AT109" i="28"/>
  <c r="EK25" i="5"/>
  <c r="EJ25" i="5"/>
  <c r="EI25" i="5"/>
  <c r="EK15" i="5"/>
  <c r="EJ15" i="5"/>
  <c r="EI15" i="5"/>
  <c r="EK14" i="5"/>
  <c r="BV120" i="5" s="1"/>
  <c r="EJ14" i="5"/>
  <c r="BU120" i="5" s="1"/>
  <c r="EI14" i="5"/>
  <c r="EK13" i="5"/>
  <c r="EJ13" i="5"/>
  <c r="EI13" i="5"/>
  <c r="BW257" i="5"/>
  <c r="BV257" i="5"/>
  <c r="BU257" i="5"/>
  <c r="BT257" i="5"/>
  <c r="BU247" i="5"/>
  <c r="BV246" i="5"/>
  <c r="BU246" i="5"/>
  <c r="BU245" i="5"/>
  <c r="BT239" i="5"/>
  <c r="BT241" i="5" s="1"/>
  <c r="BW185" i="5"/>
  <c r="BW187" i="5" s="1"/>
  <c r="BV185" i="5"/>
  <c r="BV187" i="5" s="1"/>
  <c r="BU185" i="5"/>
  <c r="BU187" i="5" s="1"/>
  <c r="BT185" i="5"/>
  <c r="BT187" i="5" s="1"/>
  <c r="BW182" i="5"/>
  <c r="BV182" i="5"/>
  <c r="BU182" i="5"/>
  <c r="BT182" i="5"/>
  <c r="BW178" i="5"/>
  <c r="BV178" i="5"/>
  <c r="BU178" i="5"/>
  <c r="BT178" i="5"/>
  <c r="BT166" i="5"/>
  <c r="BT167" i="5" s="1"/>
  <c r="BT161" i="5"/>
  <c r="BV143" i="5"/>
  <c r="BU143" i="5"/>
  <c r="BT143" i="5"/>
  <c r="BV142" i="5"/>
  <c r="BU142" i="5"/>
  <c r="BT142" i="5"/>
  <c r="BV138" i="5"/>
  <c r="BU138" i="5"/>
  <c r="BT138" i="5"/>
  <c r="BU137" i="5"/>
  <c r="BT137" i="5"/>
  <c r="BV133" i="5"/>
  <c r="BU133" i="5"/>
  <c r="BT133" i="5"/>
  <c r="BW132" i="5"/>
  <c r="BV132" i="5"/>
  <c r="BU132" i="5"/>
  <c r="BT132" i="5"/>
  <c r="AT110" i="28" s="1"/>
  <c r="BV128" i="5"/>
  <c r="BV129" i="5" s="1"/>
  <c r="BU128" i="5"/>
  <c r="BV118" i="5"/>
  <c r="BU118" i="5"/>
  <c r="BT118" i="5"/>
  <c r="AT138" i="28" s="1"/>
  <c r="BV117" i="5"/>
  <c r="BU117" i="5"/>
  <c r="BT117" i="5"/>
  <c r="BV113" i="5"/>
  <c r="BU113" i="5"/>
  <c r="BT113" i="5"/>
  <c r="BV102" i="5"/>
  <c r="BU102" i="5"/>
  <c r="BT102" i="5"/>
  <c r="BV101" i="5"/>
  <c r="BU101" i="5"/>
  <c r="BT101" i="5"/>
  <c r="BV95" i="5"/>
  <c r="BV106" i="5" s="1"/>
  <c r="BU95" i="5"/>
  <c r="BU106" i="5" s="1"/>
  <c r="BT95" i="5"/>
  <c r="BT106" i="5" s="1"/>
  <c r="BV83" i="5"/>
  <c r="BV94" i="5" s="1"/>
  <c r="Q32" i="29" s="1"/>
  <c r="BU83" i="5"/>
  <c r="BU94" i="5" s="1"/>
  <c r="P32" i="29" s="1"/>
  <c r="BT83" i="5"/>
  <c r="BT94" i="5" s="1"/>
  <c r="O32" i="29" s="1"/>
  <c r="BV68" i="5"/>
  <c r="Q33" i="29" s="1"/>
  <c r="BU68" i="5"/>
  <c r="P33" i="29" s="1"/>
  <c r="BT68" i="5"/>
  <c r="O33" i="29" s="1"/>
  <c r="BV54" i="5"/>
  <c r="BU54" i="5"/>
  <c r="BT54" i="5"/>
  <c r="BV53" i="5"/>
  <c r="BU53" i="5"/>
  <c r="BT53" i="5"/>
  <c r="BV40" i="5"/>
  <c r="BU40" i="5"/>
  <c r="BT40" i="5"/>
  <c r="BV28" i="5"/>
  <c r="BU28" i="5"/>
  <c r="BT28" i="5"/>
  <c r="BU29" i="5" s="1"/>
  <c r="BV16" i="5"/>
  <c r="BU16" i="5"/>
  <c r="BT16" i="5"/>
  <c r="E4" i="1"/>
  <c r="F4" i="1"/>
  <c r="G4" i="1"/>
  <c r="H4" i="1"/>
  <c r="I4" i="1"/>
  <c r="J4" i="1"/>
  <c r="K4" i="1"/>
  <c r="L4" i="1"/>
  <c r="M4" i="1"/>
  <c r="N4" i="1"/>
  <c r="O4" i="1"/>
  <c r="P4" i="1"/>
  <c r="Q4" i="1"/>
  <c r="D4" i="1"/>
  <c r="AA4" i="13"/>
  <c r="Z4" i="13"/>
  <c r="Y4" i="13"/>
  <c r="X4" i="13"/>
  <c r="W4" i="13"/>
  <c r="V4" i="13"/>
  <c r="U4" i="13"/>
  <c r="T4" i="13"/>
  <c r="S4" i="13"/>
  <c r="R4" i="13"/>
  <c r="Q4" i="13"/>
  <c r="P4" i="13"/>
  <c r="O4" i="13"/>
  <c r="N4" i="13"/>
  <c r="M4" i="13"/>
  <c r="L4" i="13"/>
  <c r="K4" i="13"/>
  <c r="J4" i="13"/>
  <c r="I4" i="13"/>
  <c r="H4" i="13"/>
  <c r="G4" i="13"/>
  <c r="F4" i="13"/>
  <c r="E4" i="13"/>
  <c r="D4" i="13"/>
  <c r="C4" i="13"/>
  <c r="P136" i="10"/>
  <c r="Q95" i="10"/>
  <c r="P95" i="10"/>
  <c r="Q83" i="10"/>
  <c r="P83" i="10"/>
  <c r="R62" i="10"/>
  <c r="G188" i="25"/>
  <c r="G154" i="25"/>
  <c r="G155" i="25" s="1"/>
  <c r="G157" i="25"/>
  <c r="V89" i="1"/>
  <c r="C2990" i="16" s="1"/>
  <c r="C2994" i="16" s="1"/>
  <c r="V88" i="1"/>
  <c r="C2989" i="16" s="1"/>
  <c r="T93" i="13"/>
  <c r="S93" i="13"/>
  <c r="T16" i="13"/>
  <c r="R105" i="10"/>
  <c r="V401" i="1"/>
  <c r="V389" i="1"/>
  <c r="V378" i="1"/>
  <c r="V515" i="1"/>
  <c r="T515" i="1"/>
  <c r="V247" i="1"/>
  <c r="BS67" i="5" s="1"/>
  <c r="V243" i="1"/>
  <c r="V197" i="1"/>
  <c r="V287" i="1"/>
  <c r="Q265" i="1"/>
  <c r="V257" i="1"/>
  <c r="R11" i="10"/>
  <c r="BV29" i="5" l="1"/>
  <c r="P25" i="29"/>
  <c r="P29" i="29" s="1"/>
  <c r="EJ29" i="5"/>
  <c r="C2991" i="16"/>
  <c r="C2995" i="16" s="1"/>
  <c r="E3001" i="16"/>
  <c r="E3050" i="16" s="1"/>
  <c r="C2993" i="16"/>
  <c r="BU239" i="5"/>
  <c r="BU241" i="5" s="1"/>
  <c r="BV238" i="5"/>
  <c r="BU17" i="5"/>
  <c r="BV17" i="5" s="1"/>
  <c r="Y118" i="10"/>
  <c r="X118" i="10"/>
  <c r="BV245" i="5"/>
  <c r="AT103" i="28"/>
  <c r="AT137" i="28"/>
  <c r="BU248" i="5"/>
  <c r="BU250" i="5" s="1"/>
  <c r="BV247" i="5"/>
  <c r="BT120" i="5"/>
  <c r="AT102" i="28"/>
  <c r="BW245" i="5"/>
  <c r="R45" i="29"/>
  <c r="P35" i="29"/>
  <c r="P51" i="29"/>
  <c r="P52" i="29" s="1"/>
  <c r="O35" i="29"/>
  <c r="AA93" i="1"/>
  <c r="AA92" i="1" s="1"/>
  <c r="Z267" i="1"/>
  <c r="BW27" i="5"/>
  <c r="BW15" i="5"/>
  <c r="BW31" i="5"/>
  <c r="BW67" i="5"/>
  <c r="BT139" i="5"/>
  <c r="BV34" i="5"/>
  <c r="BV71" i="5" s="1"/>
  <c r="BU56" i="5"/>
  <c r="BV56" i="5"/>
  <c r="BU34" i="5"/>
  <c r="BU144" i="5"/>
  <c r="BU249" i="5"/>
  <c r="BV144" i="5"/>
  <c r="BV105" i="5"/>
  <c r="BT105" i="5"/>
  <c r="BT56" i="5"/>
  <c r="BU105" i="5"/>
  <c r="BV139" i="5"/>
  <c r="BT30" i="5"/>
  <c r="BT34" i="5"/>
  <c r="BQ21" i="28" s="1"/>
  <c r="BU30" i="5"/>
  <c r="BT114" i="5"/>
  <c r="BT129" i="5"/>
  <c r="BT144" i="5"/>
  <c r="BU139" i="5"/>
  <c r="BV30" i="5"/>
  <c r="BU114" i="5"/>
  <c r="BU129" i="5"/>
  <c r="BV114" i="5"/>
  <c r="BU122" i="5" l="1"/>
  <c r="Q25" i="29"/>
  <c r="Q29" i="29" s="1"/>
  <c r="Q35" i="29" s="1"/>
  <c r="EK29" i="5"/>
  <c r="BW29" i="5"/>
  <c r="F3001" i="16"/>
  <c r="F3050" i="16" s="1"/>
  <c r="E3002" i="16"/>
  <c r="E3004" i="16" s="1"/>
  <c r="E3010" i="16" s="1"/>
  <c r="R27" i="29"/>
  <c r="BU123" i="5"/>
  <c r="BU253" i="5"/>
  <c r="BU254" i="5" s="1"/>
  <c r="BS21" i="28"/>
  <c r="BQ33" i="28"/>
  <c r="EL15" i="5"/>
  <c r="R9" i="29"/>
  <c r="EL27" i="5"/>
  <c r="R20" i="29"/>
  <c r="Q51" i="29"/>
  <c r="BV248" i="5"/>
  <c r="BV250" i="5" s="1"/>
  <c r="BV239" i="5"/>
  <c r="AB93" i="1"/>
  <c r="AB92" i="1"/>
  <c r="AA267" i="1"/>
  <c r="BT37" i="5"/>
  <c r="BU37" i="5"/>
  <c r="BV37" i="5"/>
  <c r="BU71" i="5"/>
  <c r="BU74" i="5" s="1"/>
  <c r="BV32" i="5"/>
  <c r="BU32" i="5"/>
  <c r="BV74" i="5"/>
  <c r="BV78" i="5"/>
  <c r="BU242" i="5"/>
  <c r="BT32" i="5"/>
  <c r="BQ19" i="28" s="1"/>
  <c r="BQ32" i="28" s="1"/>
  <c r="R25" i="29" l="1"/>
  <c r="EL29" i="5"/>
  <c r="G3001" i="16"/>
  <c r="G3050" i="16" s="1"/>
  <c r="F3002" i="16"/>
  <c r="F3004" i="16" s="1"/>
  <c r="F3010" i="16" s="1"/>
  <c r="BU33" i="28"/>
  <c r="BS33" i="28"/>
  <c r="BU32" i="28"/>
  <c r="BS32" i="28"/>
  <c r="BV122" i="5"/>
  <c r="BV249" i="5"/>
  <c r="BV241" i="5"/>
  <c r="BV253" i="5" s="1"/>
  <c r="BV254" i="5" s="1"/>
  <c r="AC93" i="1"/>
  <c r="AC267" i="1" s="1"/>
  <c r="AB267" i="1"/>
  <c r="AC92" i="1"/>
  <c r="BT71" i="5"/>
  <c r="BU78" i="5"/>
  <c r="BU80" i="5" s="1"/>
  <c r="BV149" i="5"/>
  <c r="BV79" i="5"/>
  <c r="BV80" i="5"/>
  <c r="BT170" i="5"/>
  <c r="BT149" i="5"/>
  <c r="BU149" i="5"/>
  <c r="BU156" i="5" s="1"/>
  <c r="BU160" i="5" s="1"/>
  <c r="BT155" i="5" l="1"/>
  <c r="BU161" i="5"/>
  <c r="BU170" i="5"/>
  <c r="H3001" i="16"/>
  <c r="G3002" i="16"/>
  <c r="G3004" i="16" s="1"/>
  <c r="G3010" i="16" s="1"/>
  <c r="BT74" i="5"/>
  <c r="BQ23" i="28"/>
  <c r="BV242" i="5"/>
  <c r="BV123" i="5"/>
  <c r="BV156" i="5"/>
  <c r="BV160" i="5" s="1"/>
  <c r="BT78" i="5"/>
  <c r="BU79" i="5"/>
  <c r="H3002" i="16" l="1"/>
  <c r="H3004" i="16" s="1"/>
  <c r="H3010" i="16" s="1"/>
  <c r="C3013" i="16" s="1"/>
  <c r="C3014" i="16" s="1"/>
  <c r="H3050" i="16"/>
  <c r="C3011" i="16"/>
  <c r="C3015" i="16" s="1"/>
  <c r="C3017" i="16" s="1"/>
  <c r="BT156" i="5"/>
  <c r="BV167" i="5"/>
  <c r="BV161" i="5"/>
  <c r="BV170" i="5"/>
  <c r="BT79" i="5"/>
  <c r="BQ25" i="28" s="1"/>
  <c r="BQ34" i="28" s="1"/>
  <c r="BQ24" i="28"/>
  <c r="BT80" i="5"/>
  <c r="R12" i="10"/>
  <c r="R13" i="10"/>
  <c r="BS34" i="28" l="1"/>
  <c r="BU34" i="28"/>
  <c r="R14" i="10"/>
  <c r="AR99" i="28" l="1"/>
  <c r="AS99" i="28"/>
  <c r="AS101" i="28" l="1"/>
  <c r="AS108" i="28" s="1"/>
  <c r="AS136" i="28" s="1"/>
  <c r="AR101" i="28"/>
  <c r="AR108" i="28" s="1"/>
  <c r="AR136" i="28" s="1"/>
  <c r="BE17" i="28"/>
  <c r="BE12" i="28"/>
  <c r="BE8" i="28"/>
  <c r="BE7" i="28"/>
  <c r="BE13" i="28" s="1"/>
  <c r="BR77" i="5"/>
  <c r="BR66" i="5"/>
  <c r="BR65" i="5"/>
  <c r="BL166" i="5"/>
  <c r="BL167" i="5" s="1"/>
  <c r="BM166" i="5"/>
  <c r="BM167" i="5" s="1"/>
  <c r="BR166" i="5"/>
  <c r="BR167" i="5" s="1"/>
  <c r="BP166" i="5"/>
  <c r="BP167" i="5" s="1"/>
  <c r="BO166" i="5"/>
  <c r="BO167" i="5" s="1"/>
  <c r="BR31" i="5"/>
  <c r="EL31" i="5" s="1"/>
  <c r="BQ31" i="5"/>
  <c r="EK31" i="5" s="1"/>
  <c r="BP31" i="5"/>
  <c r="EJ31" i="5" s="1"/>
  <c r="BO31" i="5"/>
  <c r="EI31" i="5" s="1"/>
  <c r="BM31" i="5"/>
  <c r="BL31" i="5"/>
  <c r="BK31" i="5"/>
  <c r="BJ31" i="5"/>
  <c r="BR143" i="5" l="1"/>
  <c r="BR142" i="5"/>
  <c r="BR118" i="5"/>
  <c r="AS138" i="28" s="1"/>
  <c r="BR117" i="5"/>
  <c r="BR91" i="5"/>
  <c r="BR102" i="5" s="1"/>
  <c r="BR90" i="5"/>
  <c r="BR101" i="5" s="1"/>
  <c r="BR84" i="5"/>
  <c r="BR95" i="5" s="1"/>
  <c r="AS137" i="28" l="1"/>
  <c r="AS103" i="28"/>
  <c r="BR83" i="5"/>
  <c r="BR94" i="5" s="1"/>
  <c r="C2963" i="16"/>
  <c r="D2962" i="16"/>
  <c r="D2961" i="16"/>
  <c r="D2955" i="16"/>
  <c r="D2952" i="16"/>
  <c r="C2951" i="16"/>
  <c r="C2953" i="16" s="1"/>
  <c r="D2949" i="16"/>
  <c r="D2948" i="16"/>
  <c r="C2946" i="16"/>
  <c r="D2944" i="16"/>
  <c r="C2942" i="16"/>
  <c r="D2942" i="16" s="1"/>
  <c r="K23" i="9" s="1"/>
  <c r="L23" i="9" s="1"/>
  <c r="D2941" i="16"/>
  <c r="BA71" i="27"/>
  <c r="BA65" i="27"/>
  <c r="N116" i="27"/>
  <c r="N137" i="27" s="1"/>
  <c r="N108" i="27"/>
  <c r="N107" i="27"/>
  <c r="N104" i="27"/>
  <c r="N103" i="27"/>
  <c r="N84" i="27"/>
  <c r="N90" i="27" s="1"/>
  <c r="N83" i="27"/>
  <c r="N89" i="27" s="1"/>
  <c r="N112" i="27" s="1"/>
  <c r="N82" i="27"/>
  <c r="N88" i="27" s="1"/>
  <c r="N111" i="27" s="1"/>
  <c r="N117" i="27" s="1"/>
  <c r="N70" i="27"/>
  <c r="BA70" i="27" s="1"/>
  <c r="M70" i="27"/>
  <c r="N64" i="27"/>
  <c r="N66" i="27" s="1"/>
  <c r="O62" i="27" s="1"/>
  <c r="O61" i="27" s="1"/>
  <c r="N20" i="27"/>
  <c r="BA20" i="27" s="1"/>
  <c r="N24" i="27"/>
  <c r="BA24" i="27" s="1"/>
  <c r="BA12" i="27"/>
  <c r="R40" i="29" s="1"/>
  <c r="BA3" i="27"/>
  <c r="R39" i="29" s="1"/>
  <c r="N13" i="27"/>
  <c r="N10" i="27"/>
  <c r="N9" i="27"/>
  <c r="BA64" i="27" l="1"/>
  <c r="BA66" i="27"/>
  <c r="G191" i="25"/>
  <c r="D2945" i="16"/>
  <c r="D2956" i="16"/>
  <c r="D2966" i="16"/>
  <c r="D2943" i="16"/>
  <c r="D2958" i="16"/>
  <c r="D2960" i="16" s="1"/>
  <c r="D2963" i="16" s="1"/>
  <c r="C2943" i="16"/>
  <c r="C2956" i="16"/>
  <c r="E6235" i="3"/>
  <c r="D2946" i="16" l="1"/>
  <c r="D2951" i="16"/>
  <c r="D2953" i="16" s="1"/>
  <c r="D2967" i="16"/>
  <c r="D2968" i="16"/>
  <c r="AI129" i="18"/>
  <c r="AI121" i="18"/>
  <c r="AI108" i="18"/>
  <c r="AI71" i="18"/>
  <c r="AI17" i="18"/>
  <c r="AI2" i="18"/>
  <c r="AH129" i="18"/>
  <c r="AH121" i="18"/>
  <c r="AH108" i="18"/>
  <c r="AH71" i="18"/>
  <c r="AH17" i="18"/>
  <c r="AH2" i="18"/>
  <c r="AG129" i="18"/>
  <c r="AG121" i="18"/>
  <c r="AG108" i="18"/>
  <c r="AG71" i="18"/>
  <c r="AG17" i="18"/>
  <c r="AG2" i="18"/>
  <c r="AF129" i="18"/>
  <c r="AF121" i="18"/>
  <c r="AF108" i="18"/>
  <c r="AF71" i="18"/>
  <c r="AF17" i="18"/>
  <c r="AF2" i="18"/>
  <c r="F196" i="25"/>
  <c r="J61" i="9"/>
  <c r="E61" i="9"/>
  <c r="G61" i="9" s="1"/>
  <c r="G2915" i="16"/>
  <c r="G2925" i="16"/>
  <c r="B2935" i="16"/>
  <c r="B2934" i="16"/>
  <c r="B2933" i="16"/>
  <c r="B2932" i="16"/>
  <c r="B2931" i="16"/>
  <c r="B2930" i="16"/>
  <c r="B2928" i="16"/>
  <c r="B2927" i="16"/>
  <c r="B2926" i="16"/>
  <c r="B2924" i="16"/>
  <c r="B2923" i="16"/>
  <c r="B2921" i="16"/>
  <c r="B2919" i="16"/>
  <c r="B2917" i="16"/>
  <c r="C2915" i="16"/>
  <c r="B2915" i="16"/>
  <c r="C2914" i="16"/>
  <c r="B2914" i="16"/>
  <c r="G2913" i="16"/>
  <c r="F2913" i="16"/>
  <c r="E2913" i="16"/>
  <c r="B2913" i="16"/>
  <c r="F2911" i="16"/>
  <c r="C2911" i="16"/>
  <c r="B2911" i="16"/>
  <c r="C2910" i="16"/>
  <c r="G2909" i="16"/>
  <c r="F2909" i="16"/>
  <c r="E2909" i="16"/>
  <c r="D2909" i="16"/>
  <c r="C2909" i="16"/>
  <c r="B2909" i="16"/>
  <c r="D2970" i="16" l="1"/>
  <c r="D2969" i="16"/>
  <c r="L61" i="9"/>
  <c r="H5792" i="3"/>
  <c r="M13" i="27" l="1"/>
  <c r="BD17" i="28" l="1"/>
  <c r="BD12" i="28"/>
  <c r="BD8" i="28"/>
  <c r="BD7" i="28"/>
  <c r="BD13" i="28" s="1"/>
  <c r="BQ67" i="5"/>
  <c r="BQ143" i="5"/>
  <c r="BQ142" i="5"/>
  <c r="BQ118" i="5"/>
  <c r="AR138" i="28" s="1"/>
  <c r="BQ117" i="5"/>
  <c r="BQ257" i="5"/>
  <c r="BQ248" i="5"/>
  <c r="AR91" i="28" s="1"/>
  <c r="BQ247" i="5"/>
  <c r="BQ246" i="5"/>
  <c r="AR90" i="28" s="1"/>
  <c r="BQ245" i="5"/>
  <c r="AR89" i="28" s="1"/>
  <c r="BQ239" i="5"/>
  <c r="BQ28" i="5"/>
  <c r="EK28" i="5" s="1"/>
  <c r="M116" i="27"/>
  <c r="M137" i="27" s="1"/>
  <c r="M108" i="27"/>
  <c r="M107" i="27"/>
  <c r="M104" i="27"/>
  <c r="M103" i="27"/>
  <c r="M84" i="27"/>
  <c r="M90" i="27" s="1"/>
  <c r="M83" i="27"/>
  <c r="M89" i="27" s="1"/>
  <c r="M112" i="27" s="1"/>
  <c r="M82" i="27"/>
  <c r="M88" i="27" s="1"/>
  <c r="M111" i="27" s="1"/>
  <c r="M117" i="27" s="1"/>
  <c r="M64" i="27"/>
  <c r="M66" i="27" s="1"/>
  <c r="M33" i="27"/>
  <c r="M24" i="27"/>
  <c r="M20" i="27"/>
  <c r="M19" i="27"/>
  <c r="M10" i="27"/>
  <c r="M9" i="27"/>
  <c r="K31" i="29"/>
  <c r="M139" i="27" l="1"/>
  <c r="AR137" i="28"/>
  <c r="AR103" i="28"/>
  <c r="M55" i="27"/>
  <c r="M50" i="27"/>
  <c r="BQ250" i="5"/>
  <c r="BQ241" i="5"/>
  <c r="BQ34" i="5"/>
  <c r="BQ30" i="5"/>
  <c r="M30" i="27"/>
  <c r="M31" i="27"/>
  <c r="M34" i="27"/>
  <c r="M138" i="27" s="1"/>
  <c r="BQ32" i="5" l="1"/>
  <c r="EK32" i="5" s="1"/>
  <c r="EK30" i="5"/>
  <c r="BQ37" i="5"/>
  <c r="EK34" i="5"/>
  <c r="CC24" i="28"/>
  <c r="CC23" i="28"/>
  <c r="CC22" i="28"/>
  <c r="CC21" i="28"/>
  <c r="CC19" i="28"/>
  <c r="CC17" i="28"/>
  <c r="CC16" i="28"/>
  <c r="CC15" i="28"/>
  <c r="CC12" i="28"/>
  <c r="CC11" i="28"/>
  <c r="CC10" i="28"/>
  <c r="BZ26" i="28"/>
  <c r="BZ17" i="28"/>
  <c r="BZ16" i="28"/>
  <c r="BZ15" i="28"/>
  <c r="BZ12" i="28"/>
  <c r="BZ11" i="28"/>
  <c r="BZ10" i="28"/>
  <c r="CA27" i="28"/>
  <c r="CA26" i="28"/>
  <c r="CA25" i="28"/>
  <c r="CA24" i="28"/>
  <c r="CA23" i="28"/>
  <c r="CA22" i="28"/>
  <c r="CA21" i="28"/>
  <c r="CA19" i="28"/>
  <c r="CA16" i="28"/>
  <c r="CA15" i="28"/>
  <c r="CA14" i="28"/>
  <c r="CA11" i="28"/>
  <c r="CA10" i="28"/>
  <c r="CA9" i="28"/>
  <c r="CB15" i="28" l="1"/>
  <c r="CB10" i="28"/>
  <c r="CD11" i="28"/>
  <c r="CD17" i="28"/>
  <c r="CB26" i="28"/>
  <c r="CB16" i="28"/>
  <c r="CE11" i="28"/>
  <c r="CB11" i="28"/>
  <c r="CE24" i="28"/>
  <c r="CE19" i="28"/>
  <c r="CE15" i="28"/>
  <c r="CE22" i="28"/>
  <c r="CA17" i="28"/>
  <c r="CD10" i="28"/>
  <c r="CD12" i="28"/>
  <c r="CD16" i="28"/>
  <c r="CA12" i="28"/>
  <c r="CD15" i="28"/>
  <c r="CE23" i="28"/>
  <c r="CE21" i="28"/>
  <c r="CE16" i="28"/>
  <c r="CE10" i="28"/>
  <c r="CB17" i="28" l="1"/>
  <c r="CE17" i="28"/>
  <c r="CB12" i="28"/>
  <c r="CE12" i="28"/>
  <c r="AC14" i="9" l="1"/>
  <c r="BQ40" i="5" l="1"/>
  <c r="BP40" i="5"/>
  <c r="BM40" i="5"/>
  <c r="BL40" i="5"/>
  <c r="BK40" i="5"/>
  <c r="BJ40" i="5"/>
  <c r="BO40" i="5"/>
  <c r="BP150" i="5" l="1"/>
  <c r="BJ150" i="5"/>
  <c r="S201" i="1"/>
  <c r="T201" i="1"/>
  <c r="U201" i="1"/>
  <c r="E6026" i="3"/>
  <c r="G147" i="25" l="1"/>
  <c r="H147" i="25" s="1"/>
  <c r="I147" i="25" s="1"/>
  <c r="J147" i="25" s="1"/>
  <c r="K147" i="25" s="1"/>
  <c r="L147" i="25" s="1"/>
  <c r="M147" i="25" s="1"/>
  <c r="N147" i="25" s="1"/>
  <c r="V87" i="1"/>
  <c r="F151" i="25"/>
  <c r="F155" i="25" s="1"/>
  <c r="H149" i="25"/>
  <c r="I149" i="25" s="1"/>
  <c r="J149" i="25" s="1"/>
  <c r="K149" i="25" s="1"/>
  <c r="L149" i="25" s="1"/>
  <c r="M149" i="25" s="1"/>
  <c r="N149" i="25" s="1"/>
  <c r="L57" i="27"/>
  <c r="L70" i="27"/>
  <c r="K69" i="27"/>
  <c r="K76" i="27"/>
  <c r="T168" i="1"/>
  <c r="S168" i="1"/>
  <c r="R168" i="1"/>
  <c r="Q168" i="1"/>
  <c r="P168" i="1"/>
  <c r="O168" i="1"/>
  <c r="N168" i="1"/>
  <c r="U168" i="1"/>
  <c r="U401" i="1"/>
  <c r="T401" i="1"/>
  <c r="S401" i="1"/>
  <c r="T391" i="1"/>
  <c r="U391" i="1"/>
  <c r="V391" i="1" s="1"/>
  <c r="U389" i="1"/>
  <c r="U410" i="1"/>
  <c r="S242" i="1"/>
  <c r="T247" i="1"/>
  <c r="U247" i="1"/>
  <c r="W199" i="1"/>
  <c r="X199" i="1" s="1"/>
  <c r="Y199" i="1" s="1"/>
  <c r="Z199" i="1" s="1"/>
  <c r="AA199" i="1" s="1"/>
  <c r="AB199" i="1" s="1"/>
  <c r="AC199" i="1" s="1"/>
  <c r="U200" i="1"/>
  <c r="AQ101" i="28"/>
  <c r="AQ108" i="28" s="1"/>
  <c r="AQ136" i="28" s="1"/>
  <c r="AQ99" i="28"/>
  <c r="W200" i="1" l="1"/>
  <c r="M69" i="27"/>
  <c r="N69" i="27"/>
  <c r="BA69" i="27" s="1"/>
  <c r="M57" i="27"/>
  <c r="M73" i="27" s="1"/>
  <c r="X391" i="1"/>
  <c r="Y391" i="1" s="1"/>
  <c r="Z391" i="1" s="1"/>
  <c r="AA391" i="1" s="1"/>
  <c r="AB391" i="1" s="1"/>
  <c r="AC391" i="1" s="1"/>
  <c r="BC17" i="28"/>
  <c r="BC12" i="28"/>
  <c r="BC8" i="28"/>
  <c r="BF10" i="28" s="1"/>
  <c r="BC7" i="28"/>
  <c r="BK152" i="5"/>
  <c r="BP152" i="5"/>
  <c r="BK153" i="5"/>
  <c r="BP153" i="5"/>
  <c r="BP151" i="5"/>
  <c r="BP147" i="5"/>
  <c r="BR147" i="5" s="1"/>
  <c r="BP248" i="5"/>
  <c r="AQ91" i="28" s="1"/>
  <c r="BP247" i="5"/>
  <c r="BP246" i="5"/>
  <c r="BP245" i="5"/>
  <c r="AQ89" i="28" s="1"/>
  <c r="BP67" i="5"/>
  <c r="BP143" i="5"/>
  <c r="BP142" i="5"/>
  <c r="BP118" i="5"/>
  <c r="AQ138" i="28" s="1"/>
  <c r="BP117" i="5"/>
  <c r="BC13" i="28" l="1"/>
  <c r="BF9" i="28"/>
  <c r="N57" i="27"/>
  <c r="N73" i="27" s="1"/>
  <c r="BA73" i="27" s="1"/>
  <c r="X200" i="1"/>
  <c r="Y200" i="1" s="1"/>
  <c r="Z200" i="1" s="1"/>
  <c r="AA200" i="1" s="1"/>
  <c r="AB200" i="1" s="1"/>
  <c r="AC200" i="1" s="1"/>
  <c r="BW150" i="5"/>
  <c r="AQ103" i="28"/>
  <c r="AQ137" i="28"/>
  <c r="BP250" i="5"/>
  <c r="AQ90" i="28"/>
  <c r="L13" i="27"/>
  <c r="M81" i="27"/>
  <c r="H10" i="9"/>
  <c r="N18" i="27"/>
  <c r="N37" i="27" s="1"/>
  <c r="M18" i="27"/>
  <c r="M37" i="27" s="1"/>
  <c r="L18" i="27"/>
  <c r="L37" i="27" s="1"/>
  <c r="K18" i="27"/>
  <c r="K37" i="27" s="1"/>
  <c r="J18" i="27"/>
  <c r="J37" i="27" s="1"/>
  <c r="I18" i="27"/>
  <c r="I37" i="27" s="1"/>
  <c r="H18" i="27"/>
  <c r="H37" i="27" s="1"/>
  <c r="G18" i="27"/>
  <c r="G37" i="27" s="1"/>
  <c r="N33" i="27"/>
  <c r="BA57" i="27" l="1"/>
  <c r="BA33" i="27"/>
  <c r="N139" i="27"/>
  <c r="N54" i="27"/>
  <c r="N97" i="27"/>
  <c r="M93" i="27"/>
  <c r="M54" i="27"/>
  <c r="M97" i="27"/>
  <c r="M72" i="27"/>
  <c r="M75" i="27" s="1"/>
  <c r="N55" i="27"/>
  <c r="BA55" i="27" s="1"/>
  <c r="H93" i="25"/>
  <c r="I93" i="25" s="1"/>
  <c r="J93" i="25" s="1"/>
  <c r="K93" i="25" s="1"/>
  <c r="L93" i="25" s="1"/>
  <c r="M93" i="25" s="1"/>
  <c r="N93" i="25" s="1"/>
  <c r="V169" i="1"/>
  <c r="BR153" i="5" s="1"/>
  <c r="G60" i="27"/>
  <c r="H60" i="27" s="1"/>
  <c r="L60" i="27"/>
  <c r="G59" i="27"/>
  <c r="H59" i="27"/>
  <c r="B54" i="27"/>
  <c r="L54" i="27"/>
  <c r="K54" i="27"/>
  <c r="J54" i="27"/>
  <c r="I54" i="27"/>
  <c r="H54" i="27"/>
  <c r="G54" i="27"/>
  <c r="G64" i="27"/>
  <c r="G66" i="27" s="1"/>
  <c r="G57" i="27"/>
  <c r="H57" i="27" s="1"/>
  <c r="I57" i="27" s="1"/>
  <c r="J57" i="27" s="1"/>
  <c r="H64" i="27"/>
  <c r="H66" i="27" s="1"/>
  <c r="H58" i="27"/>
  <c r="H56" i="27"/>
  <c r="I56" i="27" s="1"/>
  <c r="J56" i="27" s="1"/>
  <c r="I64" i="27"/>
  <c r="I66" i="27" s="1"/>
  <c r="C139" i="27"/>
  <c r="M60" i="27" l="1"/>
  <c r="N60" i="27" s="1"/>
  <c r="L59" i="27"/>
  <c r="M59" i="27" s="1"/>
  <c r="I60" i="27"/>
  <c r="I59" i="27"/>
  <c r="J59" i="27" s="1"/>
  <c r="H62" i="27"/>
  <c r="I58" i="27"/>
  <c r="J58" i="27" s="1"/>
  <c r="I62" i="27"/>
  <c r="B107" i="27"/>
  <c r="G108" i="27"/>
  <c r="G107" i="27"/>
  <c r="G104" i="27"/>
  <c r="G103" i="27"/>
  <c r="H108" i="27"/>
  <c r="H107" i="27"/>
  <c r="H104" i="27"/>
  <c r="H103" i="27"/>
  <c r="I108" i="27"/>
  <c r="I107" i="27"/>
  <c r="I104" i="27"/>
  <c r="I103" i="27"/>
  <c r="J108" i="27"/>
  <c r="J107" i="27"/>
  <c r="J104" i="27"/>
  <c r="J103" i="27"/>
  <c r="K108" i="27"/>
  <c r="K107" i="27"/>
  <c r="K104" i="27"/>
  <c r="K103" i="27"/>
  <c r="L108" i="27"/>
  <c r="L107" i="27"/>
  <c r="L104" i="27"/>
  <c r="L103" i="27"/>
  <c r="B108" i="27"/>
  <c r="L97" i="27"/>
  <c r="K97" i="27"/>
  <c r="J97" i="27"/>
  <c r="I97" i="27"/>
  <c r="H97" i="27"/>
  <c r="G97" i="27"/>
  <c r="B99" i="27"/>
  <c r="B93" i="27"/>
  <c r="L84" i="27"/>
  <c r="L90" i="27" s="1"/>
  <c r="K84" i="27"/>
  <c r="K90" i="27" s="1"/>
  <c r="J84" i="27"/>
  <c r="J90" i="27" s="1"/>
  <c r="I84" i="27"/>
  <c r="I90" i="27" s="1"/>
  <c r="H84" i="27"/>
  <c r="H90" i="27" s="1"/>
  <c r="G84" i="27"/>
  <c r="G90" i="27" s="1"/>
  <c r="L83" i="27"/>
  <c r="K83" i="27"/>
  <c r="K89" i="27" s="1"/>
  <c r="K112" i="27" s="1"/>
  <c r="J83" i="27"/>
  <c r="J89" i="27" s="1"/>
  <c r="J112" i="27" s="1"/>
  <c r="I83" i="27"/>
  <c r="I89" i="27" s="1"/>
  <c r="I112" i="27" s="1"/>
  <c r="H83" i="27"/>
  <c r="H89" i="27" s="1"/>
  <c r="H112" i="27" s="1"/>
  <c r="G83" i="27"/>
  <c r="G89" i="27" s="1"/>
  <c r="G112" i="27" s="1"/>
  <c r="L82" i="27"/>
  <c r="L88" i="27" s="1"/>
  <c r="L111" i="27" s="1"/>
  <c r="L117" i="27" s="1"/>
  <c r="K82" i="27"/>
  <c r="K88" i="27" s="1"/>
  <c r="K111" i="27" s="1"/>
  <c r="K117" i="27" s="1"/>
  <c r="J82" i="27"/>
  <c r="J88" i="27" s="1"/>
  <c r="J111" i="27" s="1"/>
  <c r="J117" i="27" s="1"/>
  <c r="I82" i="27"/>
  <c r="I88" i="27" s="1"/>
  <c r="I111" i="27" s="1"/>
  <c r="I117" i="27" s="1"/>
  <c r="H82" i="27"/>
  <c r="H88" i="27" s="1"/>
  <c r="H111" i="27" s="1"/>
  <c r="H117" i="27" s="1"/>
  <c r="G82" i="27"/>
  <c r="G88" i="27" s="1"/>
  <c r="G111" i="27" s="1"/>
  <c r="G117" i="27" s="1"/>
  <c r="B84" i="27"/>
  <c r="B90" i="27" s="1"/>
  <c r="B83" i="27"/>
  <c r="B89" i="27" s="1"/>
  <c r="B82" i="27"/>
  <c r="B88" i="27" s="1"/>
  <c r="L58" i="27"/>
  <c r="K73" i="27"/>
  <c r="L56" i="27"/>
  <c r="K64" i="27"/>
  <c r="K66" i="27" s="1"/>
  <c r="J64" i="27"/>
  <c r="J66" i="27" s="1"/>
  <c r="F191" i="25" s="1"/>
  <c r="L64" i="27"/>
  <c r="L116" i="27"/>
  <c r="L137" i="27" s="1"/>
  <c r="L33" i="27"/>
  <c r="O67" i="27" s="1"/>
  <c r="L24" i="27"/>
  <c r="L20" i="27"/>
  <c r="L19" i="27"/>
  <c r="L10" i="27"/>
  <c r="L9" i="27"/>
  <c r="N59" i="27" l="1"/>
  <c r="L72" i="27"/>
  <c r="M56" i="27"/>
  <c r="N56" i="27" s="1"/>
  <c r="BA56" i="27" s="1"/>
  <c r="L76" i="27"/>
  <c r="M58" i="27"/>
  <c r="M76" i="27" s="1"/>
  <c r="M77" i="27" s="1"/>
  <c r="L66" i="27"/>
  <c r="M62" i="27" s="1"/>
  <c r="L73" i="27"/>
  <c r="J60" i="27"/>
  <c r="L50" i="27"/>
  <c r="J62" i="27"/>
  <c r="L139" i="27"/>
  <c r="L55" i="27"/>
  <c r="L89" i="27"/>
  <c r="L112" i="27" s="1"/>
  <c r="L81" i="27"/>
  <c r="L93" i="27" s="1"/>
  <c r="K62" i="27"/>
  <c r="L30" i="27"/>
  <c r="L31" i="27"/>
  <c r="L34" i="27"/>
  <c r="L138" i="27" s="1"/>
  <c r="AE129" i="18"/>
  <c r="AE121" i="18"/>
  <c r="AE108" i="18"/>
  <c r="AE71" i="18"/>
  <c r="AE17" i="18"/>
  <c r="AE2" i="18"/>
  <c r="J63" i="9"/>
  <c r="E63" i="9"/>
  <c r="G63" i="9" s="1"/>
  <c r="T129" i="10"/>
  <c r="U129" i="10" s="1"/>
  <c r="V129" i="10" s="1"/>
  <c r="W129" i="10" s="1"/>
  <c r="X129" i="10" s="1"/>
  <c r="Y129" i="10" s="1"/>
  <c r="D5941" i="3"/>
  <c r="G5936" i="3"/>
  <c r="F5934" i="3"/>
  <c r="H5936" i="3" s="1"/>
  <c r="D5928" i="3"/>
  <c r="L75" i="27" l="1"/>
  <c r="L77" i="27" s="1"/>
  <c r="N58" i="27"/>
  <c r="BA58" i="27" s="1"/>
  <c r="M61" i="27"/>
  <c r="L62" i="27"/>
  <c r="L61" i="27" s="1"/>
  <c r="L63" i="9"/>
  <c r="M68" i="29"/>
  <c r="M65" i="29"/>
  <c r="M62" i="29"/>
  <c r="M59" i="29"/>
  <c r="M40" i="29"/>
  <c r="L68" i="29"/>
  <c r="L65" i="29"/>
  <c r="L62" i="29"/>
  <c r="L59" i="29"/>
  <c r="L40" i="29"/>
  <c r="L39" i="29"/>
  <c r="L27" i="29"/>
  <c r="L26" i="29"/>
  <c r="L25" i="29"/>
  <c r="L20" i="29"/>
  <c r="L19" i="29"/>
  <c r="L16" i="29"/>
  <c r="L11" i="29"/>
  <c r="L9" i="29"/>
  <c r="L8" i="29"/>
  <c r="K40" i="29"/>
  <c r="K39" i="29"/>
  <c r="K27" i="29"/>
  <c r="K26" i="29"/>
  <c r="K25" i="29"/>
  <c r="K20" i="29"/>
  <c r="K19" i="29"/>
  <c r="K16" i="29"/>
  <c r="K11" i="29"/>
  <c r="K9" i="29"/>
  <c r="K8" i="29"/>
  <c r="I67" i="29"/>
  <c r="I68" i="29" s="1"/>
  <c r="I64" i="29"/>
  <c r="I65" i="29" s="1"/>
  <c r="I61" i="29"/>
  <c r="I62" i="29" s="1"/>
  <c r="I58" i="29"/>
  <c r="I59" i="29" s="1"/>
  <c r="I54" i="29"/>
  <c r="I55" i="29" s="1"/>
  <c r="I51" i="29"/>
  <c r="I52" i="29" s="1"/>
  <c r="I48" i="29"/>
  <c r="I49" i="29" s="1"/>
  <c r="I45" i="29"/>
  <c r="I46" i="29" s="1"/>
  <c r="I40" i="29"/>
  <c r="I39" i="29"/>
  <c r="H33" i="29"/>
  <c r="H32" i="29"/>
  <c r="H31" i="29"/>
  <c r="J29" i="29"/>
  <c r="J35" i="29" s="1"/>
  <c r="I29" i="29"/>
  <c r="I35" i="29" s="1"/>
  <c r="H29" i="29"/>
  <c r="F29" i="29"/>
  <c r="F35" i="29" s="1"/>
  <c r="G27" i="29"/>
  <c r="G29" i="29" s="1"/>
  <c r="G35" i="29" s="1"/>
  <c r="J22" i="29"/>
  <c r="I22" i="29"/>
  <c r="H22" i="29"/>
  <c r="G22" i="29"/>
  <c r="F22" i="29"/>
  <c r="J13" i="29"/>
  <c r="I13" i="29"/>
  <c r="H13" i="29"/>
  <c r="G13" i="29"/>
  <c r="F13" i="29"/>
  <c r="L7" i="29"/>
  <c r="N76" i="27" l="1"/>
  <c r="BA76" i="27" s="1"/>
  <c r="L22" i="29"/>
  <c r="L29" i="29"/>
  <c r="H35" i="29"/>
  <c r="BR257" i="5" l="1"/>
  <c r="BP257" i="5"/>
  <c r="BO257" i="5"/>
  <c r="BM257" i="5"/>
  <c r="BL257" i="5"/>
  <c r="BK257" i="5"/>
  <c r="BJ257" i="5"/>
  <c r="BH257" i="5"/>
  <c r="BG257" i="5"/>
  <c r="BF257" i="5"/>
  <c r="BE257" i="5"/>
  <c r="BU90" i="28"/>
  <c r="BO239" i="5" l="1"/>
  <c r="BO161" i="5"/>
  <c r="BO143" i="5"/>
  <c r="BO142" i="5"/>
  <c r="BO138" i="5"/>
  <c r="BO137" i="5"/>
  <c r="BO133" i="5"/>
  <c r="BO132" i="5"/>
  <c r="BO128" i="5"/>
  <c r="BO118" i="5"/>
  <c r="AP138" i="28" s="1"/>
  <c r="BO117" i="5"/>
  <c r="BO113" i="5"/>
  <c r="BO67" i="5"/>
  <c r="BO28" i="5"/>
  <c r="BV14" i="28" s="1"/>
  <c r="BO16" i="5"/>
  <c r="O11" i="29" s="1"/>
  <c r="O13" i="29" s="1"/>
  <c r="BB8" i="28"/>
  <c r="BB7" i="28"/>
  <c r="BB17" i="28"/>
  <c r="BU91" i="28" s="1"/>
  <c r="BB12" i="28"/>
  <c r="AP101" i="28"/>
  <c r="AP108" i="28" s="1"/>
  <c r="AP136" i="28" s="1"/>
  <c r="AP99" i="28"/>
  <c r="CC14" i="28"/>
  <c r="CC9" i="28"/>
  <c r="K116" i="27"/>
  <c r="K137" i="27" s="1"/>
  <c r="K33" i="27"/>
  <c r="O47" i="27" s="1"/>
  <c r="K24" i="27"/>
  <c r="O87" i="27" s="1"/>
  <c r="K13" i="27"/>
  <c r="K20" i="27"/>
  <c r="O102" i="27" s="1"/>
  <c r="K19" i="27"/>
  <c r="BB13" i="28" l="1"/>
  <c r="BF14" i="28" s="1"/>
  <c r="O99" i="27"/>
  <c r="O94" i="27"/>
  <c r="O100" i="27" s="1"/>
  <c r="O118" i="27" s="1"/>
  <c r="O106" i="27"/>
  <c r="O110" i="27"/>
  <c r="EI17" i="5"/>
  <c r="BT18" i="5"/>
  <c r="BO30" i="5"/>
  <c r="EI30" i="5" s="1"/>
  <c r="BO18" i="5"/>
  <c r="BO114" i="5"/>
  <c r="BT119" i="5"/>
  <c r="AT139" i="28" s="1"/>
  <c r="BT134" i="5"/>
  <c r="BT130" i="5"/>
  <c r="AP103" i="28"/>
  <c r="AP137" i="28"/>
  <c r="BO68" i="5"/>
  <c r="BR67" i="5"/>
  <c r="BR68" i="5" s="1"/>
  <c r="CE14" i="28"/>
  <c r="CE9" i="28"/>
  <c r="K72" i="27"/>
  <c r="K75" i="27" s="1"/>
  <c r="K77" i="27" s="1"/>
  <c r="K61" i="27"/>
  <c r="K55" i="27"/>
  <c r="K50" i="27"/>
  <c r="K139" i="27"/>
  <c r="O140" i="27" s="1"/>
  <c r="K81" i="27"/>
  <c r="K93" i="27" s="1"/>
  <c r="BO144" i="5"/>
  <c r="BO241" i="5"/>
  <c r="BO129" i="5"/>
  <c r="BO139" i="5"/>
  <c r="BO34" i="5"/>
  <c r="BV21" i="28" s="1"/>
  <c r="T87" i="10"/>
  <c r="U87" i="10" s="1"/>
  <c r="V87" i="10" s="1"/>
  <c r="W87" i="10" s="1"/>
  <c r="X87" i="10" s="1"/>
  <c r="Y87" i="10" s="1"/>
  <c r="Q72" i="10"/>
  <c r="V10" i="13"/>
  <c r="BO32" i="5" l="1"/>
  <c r="EI32" i="5"/>
  <c r="BV19" i="28"/>
  <c r="BT58" i="5"/>
  <c r="BT59" i="5"/>
  <c r="BO37" i="5"/>
  <c r="EI34" i="5"/>
  <c r="K34" i="27"/>
  <c r="K138" i="27" s="1"/>
  <c r="K31" i="27"/>
  <c r="K30" i="27"/>
  <c r="BO71" i="5" l="1"/>
  <c r="BO74" i="5"/>
  <c r="BO78" i="5" l="1"/>
  <c r="BV23" i="28"/>
  <c r="EB33" i="5"/>
  <c r="EB29" i="5"/>
  <c r="EB27" i="5"/>
  <c r="EB26" i="5"/>
  <c r="EB25" i="5"/>
  <c r="EB17" i="5"/>
  <c r="EB15" i="5"/>
  <c r="EB14" i="5"/>
  <c r="EB13" i="5"/>
  <c r="D2901" i="16"/>
  <c r="E2901" i="16" s="1"/>
  <c r="F2901" i="16" s="1"/>
  <c r="G2901" i="16" s="1"/>
  <c r="H2901" i="16" s="1"/>
  <c r="I2901" i="16" s="1"/>
  <c r="J2901" i="16" s="1"/>
  <c r="D2893" i="16"/>
  <c r="E2893" i="16" s="1"/>
  <c r="F2893" i="16" s="1"/>
  <c r="G2893" i="16" s="1"/>
  <c r="H2893" i="16" s="1"/>
  <c r="I2893" i="16" s="1"/>
  <c r="J2893" i="16" s="1"/>
  <c r="D2885" i="16"/>
  <c r="E2885" i="16" s="1"/>
  <c r="F2885" i="16" s="1"/>
  <c r="G2885" i="16" s="1"/>
  <c r="H2885" i="16" s="1"/>
  <c r="I2885" i="16" s="1"/>
  <c r="J2885" i="16" s="1"/>
  <c r="BO80" i="5" l="1"/>
  <c r="BV24" i="28"/>
  <c r="BO79" i="5"/>
  <c r="BV25" i="28" s="1"/>
  <c r="L45" i="29"/>
  <c r="K45" i="29"/>
  <c r="Q46" i="29" s="1"/>
  <c r="L54" i="29"/>
  <c r="L55" i="29" s="1"/>
  <c r="K54" i="29"/>
  <c r="Q55" i="29" s="1"/>
  <c r="L51" i="29"/>
  <c r="L52" i="29" s="1"/>
  <c r="K51" i="29"/>
  <c r="Q52" i="29" s="1"/>
  <c r="L48" i="29"/>
  <c r="L49" i="29" s="1"/>
  <c r="K48" i="29"/>
  <c r="Q49" i="29" s="1"/>
  <c r="Q62" i="10"/>
  <c r="Q87" i="10" s="1"/>
  <c r="P28" i="10"/>
  <c r="S6" i="10"/>
  <c r="T6" i="10" s="1"/>
  <c r="U6" i="10" s="1"/>
  <c r="V6" i="10" s="1"/>
  <c r="W6" i="10" s="1"/>
  <c r="X6" i="10" s="1"/>
  <c r="Y6" i="10" s="1"/>
  <c r="L46" i="29" l="1"/>
  <c r="R46" i="29"/>
  <c r="P128" i="10"/>
  <c r="P126" i="10"/>
  <c r="P74" i="10"/>
  <c r="Q14" i="10"/>
  <c r="Q13" i="10"/>
  <c r="Q12" i="10"/>
  <c r="Q11" i="10"/>
  <c r="Q15" i="10" l="1"/>
  <c r="M7" i="29"/>
  <c r="U378" i="1"/>
  <c r="U515" i="1"/>
  <c r="T516" i="1"/>
  <c r="R516" i="1"/>
  <c r="Q516" i="1"/>
  <c r="P516" i="1"/>
  <c r="O516" i="1"/>
  <c r="U287" i="1"/>
  <c r="U257" i="1"/>
  <c r="T197" i="1"/>
  <c r="U197" i="1"/>
  <c r="U262" i="1"/>
  <c r="U266" i="1" s="1"/>
  <c r="U89" i="1"/>
  <c r="Q226" i="10" s="1"/>
  <c r="U88" i="1"/>
  <c r="S128" i="13" s="1"/>
  <c r="U87" i="1"/>
  <c r="T89" i="1"/>
  <c r="T88" i="1"/>
  <c r="T87" i="1"/>
  <c r="P72" i="10"/>
  <c r="Q105" i="10"/>
  <c r="Q208" i="10"/>
  <c r="Q185" i="10"/>
  <c r="S16" i="13"/>
  <c r="Q16" i="13"/>
  <c r="U516" i="1" l="1"/>
  <c r="V516" i="1"/>
  <c r="M6" i="29"/>
  <c r="Q219" i="10"/>
  <c r="Q236" i="10"/>
  <c r="BR113" i="5"/>
  <c r="BM153" i="5" l="1"/>
  <c r="BT90" i="28"/>
  <c r="AO101" i="28" l="1"/>
  <c r="AO108" i="28" s="1"/>
  <c r="AO136" i="28" s="1"/>
  <c r="AO99" i="28"/>
  <c r="BM70" i="5" l="1"/>
  <c r="BZ22" i="28" s="1"/>
  <c r="BM66" i="5"/>
  <c r="BM65" i="5"/>
  <c r="BA17" i="28"/>
  <c r="BT91" i="28" s="1"/>
  <c r="BA12" i="28"/>
  <c r="BA8" i="28"/>
  <c r="BE10" i="28" s="1"/>
  <c r="BA7" i="28"/>
  <c r="BE9" i="28" s="1"/>
  <c r="BM182" i="5"/>
  <c r="BM84" i="5"/>
  <c r="BM90" i="5"/>
  <c r="BM248" i="5"/>
  <c r="AO91" i="28" s="1"/>
  <c r="BM247" i="5"/>
  <c r="BM246" i="5"/>
  <c r="AO90" i="28" s="1"/>
  <c r="BT89" i="28" s="1"/>
  <c r="BM245" i="5"/>
  <c r="AO89" i="28" s="1"/>
  <c r="BM239" i="5"/>
  <c r="BM178" i="5"/>
  <c r="BM161" i="5"/>
  <c r="BM143" i="5"/>
  <c r="BM142" i="5"/>
  <c r="BM138" i="5"/>
  <c r="BM137" i="5"/>
  <c r="BM133" i="5"/>
  <c r="BM132" i="5"/>
  <c r="AO110" i="28" s="1"/>
  <c r="BM128" i="5"/>
  <c r="BM118" i="5"/>
  <c r="AO138" i="28" s="1"/>
  <c r="BM117" i="5"/>
  <c r="BM113" i="5"/>
  <c r="BR119" i="5" s="1"/>
  <c r="AS139" i="28" s="1"/>
  <c r="BM55" i="5"/>
  <c r="BM54" i="5"/>
  <c r="BM53" i="5"/>
  <c r="BM28" i="5"/>
  <c r="BM16" i="5"/>
  <c r="BM18" i="5" s="1"/>
  <c r="CD22" i="28" l="1"/>
  <c r="CB22" i="28"/>
  <c r="BV9" i="28"/>
  <c r="BZ9" i="28" s="1"/>
  <c r="BM30" i="5"/>
  <c r="BA13" i="28"/>
  <c r="BE14" i="28" s="1"/>
  <c r="BM34" i="5"/>
  <c r="BM37" i="5" s="1"/>
  <c r="AO137" i="28"/>
  <c r="AO103" i="28"/>
  <c r="BM56" i="5"/>
  <c r="BM185" i="5"/>
  <c r="BM187" i="5" s="1"/>
  <c r="BM95" i="5"/>
  <c r="BM129" i="5"/>
  <c r="BM101" i="5"/>
  <c r="BM250" i="5"/>
  <c r="BM139" i="5"/>
  <c r="BM114" i="5"/>
  <c r="BM144" i="5"/>
  <c r="CB9" i="28" l="1"/>
  <c r="CD9" i="28"/>
  <c r="BM58" i="5"/>
  <c r="BM32" i="5"/>
  <c r="BM106" i="5"/>
  <c r="BM169" i="5" l="1"/>
  <c r="BM59" i="5"/>
  <c r="AG176" i="28" l="1"/>
  <c r="F33" i="27"/>
  <c r="F24" i="27"/>
  <c r="F20" i="27"/>
  <c r="F19" i="27"/>
  <c r="J33" i="27"/>
  <c r="J24" i="27"/>
  <c r="N106" i="27" s="1"/>
  <c r="J20" i="27"/>
  <c r="J19" i="27"/>
  <c r="J13" i="27"/>
  <c r="J10" i="27"/>
  <c r="J9" i="27"/>
  <c r="M67" i="27" l="1"/>
  <c r="J47" i="27"/>
  <c r="N47" i="27"/>
  <c r="J102" i="27"/>
  <c r="N102" i="27"/>
  <c r="J61" i="27"/>
  <c r="J50" i="27"/>
  <c r="M51" i="27" s="1"/>
  <c r="F50" i="27"/>
  <c r="J139" i="27"/>
  <c r="N140" i="27" s="1"/>
  <c r="J55" i="27"/>
  <c r="F139" i="27"/>
  <c r="J81" i="27"/>
  <c r="J93" i="27" s="1"/>
  <c r="J94" i="27" s="1"/>
  <c r="J100" i="27" s="1"/>
  <c r="J118" i="27" s="1"/>
  <c r="J106" i="27"/>
  <c r="J99" i="27"/>
  <c r="F30" i="27"/>
  <c r="J31" i="27"/>
  <c r="F31" i="27"/>
  <c r="F34" i="27"/>
  <c r="F138" i="27" s="1"/>
  <c r="J30" i="27"/>
  <c r="J34" i="27"/>
  <c r="J138" i="27" s="1"/>
  <c r="J140" i="27" l="1"/>
  <c r="J87" i="27"/>
  <c r="J110" i="27" s="1"/>
  <c r="BH166" i="5"/>
  <c r="BH167" i="5" s="1"/>
  <c r="EF33" i="5" l="1"/>
  <c r="EE33" i="5"/>
  <c r="ED33" i="5"/>
  <c r="ED31" i="5"/>
  <c r="EF29" i="5"/>
  <c r="EE29" i="5"/>
  <c r="EF27" i="5"/>
  <c r="EE27" i="5"/>
  <c r="ED27" i="5"/>
  <c r="EF26" i="5"/>
  <c r="AR109" i="28" s="1"/>
  <c r="EE26" i="5"/>
  <c r="AQ109" i="28" s="1"/>
  <c r="ED26" i="5"/>
  <c r="AP109" i="28" s="1"/>
  <c r="EF25" i="5"/>
  <c r="EE25" i="5"/>
  <c r="ED25" i="5"/>
  <c r="EF17" i="5"/>
  <c r="EE17" i="5"/>
  <c r="ED17" i="5"/>
  <c r="EF15" i="5"/>
  <c r="EE15" i="5"/>
  <c r="ED15" i="5"/>
  <c r="EF13" i="5"/>
  <c r="EE13" i="5"/>
  <c r="ED13" i="5"/>
  <c r="BP239" i="5"/>
  <c r="BQ185" i="5"/>
  <c r="BQ187" i="5" s="1"/>
  <c r="BP185" i="5"/>
  <c r="BP187" i="5" s="1"/>
  <c r="BO185" i="5"/>
  <c r="BO187" i="5" s="1"/>
  <c r="BQ182" i="5"/>
  <c r="BP182" i="5"/>
  <c r="BO182" i="5"/>
  <c r="BQ178" i="5"/>
  <c r="BP178" i="5"/>
  <c r="BO178" i="5"/>
  <c r="BQ102" i="5"/>
  <c r="BP102" i="5"/>
  <c r="BO102" i="5"/>
  <c r="BQ101" i="5"/>
  <c r="BP101" i="5"/>
  <c r="BO101" i="5"/>
  <c r="BQ95" i="5"/>
  <c r="BP95" i="5"/>
  <c r="BO95" i="5"/>
  <c r="BM98" i="5" s="1"/>
  <c r="BQ83" i="5"/>
  <c r="BQ94" i="5" s="1"/>
  <c r="BP83" i="5"/>
  <c r="BP94" i="5" s="1"/>
  <c r="BO83" i="5"/>
  <c r="BO94" i="5" s="1"/>
  <c r="BO105" i="5" s="1"/>
  <c r="BP68" i="5"/>
  <c r="K33" i="29" s="1"/>
  <c r="BQ68" i="5"/>
  <c r="L33" i="29" s="1"/>
  <c r="BQ55" i="5"/>
  <c r="BP55" i="5"/>
  <c r="BO55" i="5"/>
  <c r="BQ53" i="5"/>
  <c r="BP53" i="5"/>
  <c r="BO53" i="5"/>
  <c r="BP28" i="5"/>
  <c r="EJ28" i="5" s="1"/>
  <c r="BR185" i="5"/>
  <c r="BR187" i="5" s="1"/>
  <c r="BR182" i="5"/>
  <c r="BR178" i="5"/>
  <c r="BS186" i="5"/>
  <c r="BS102" i="5"/>
  <c r="BS91" i="5"/>
  <c r="BS31" i="5"/>
  <c r="BS15" i="5"/>
  <c r="C2868" i="16"/>
  <c r="E2868" i="16"/>
  <c r="F2868" i="16" s="1"/>
  <c r="G2868" i="16" s="1"/>
  <c r="BN26" i="5"/>
  <c r="B2830" i="16"/>
  <c r="B2829" i="16"/>
  <c r="C2819" i="16"/>
  <c r="D5687" i="3"/>
  <c r="F5712" i="3"/>
  <c r="L32" i="29" l="1"/>
  <c r="BP249" i="5"/>
  <c r="AQ92" i="28" s="1"/>
  <c r="BQ122" i="5"/>
  <c r="BQ249" i="5"/>
  <c r="AR92" i="28" s="1"/>
  <c r="K32" i="29"/>
  <c r="EG15" i="5"/>
  <c r="BP34" i="5"/>
  <c r="EG31" i="5"/>
  <c r="M27" i="29"/>
  <c r="BP241" i="5"/>
  <c r="ED29" i="5"/>
  <c r="BP30" i="5"/>
  <c r="EJ30" i="5" s="1"/>
  <c r="C2815" i="16"/>
  <c r="EK122" i="5" l="1"/>
  <c r="BQ253" i="5"/>
  <c r="BQ254" i="5" s="1"/>
  <c r="BP253" i="5"/>
  <c r="BP254" i="5" s="1"/>
  <c r="BP37" i="5"/>
  <c r="EJ34" i="5"/>
  <c r="BQ123" i="5"/>
  <c r="BP242" i="5"/>
  <c r="BQ242" i="5"/>
  <c r="M9" i="29"/>
  <c r="BP123" i="5"/>
  <c r="BP71" i="5"/>
  <c r="BP78" i="5" s="1"/>
  <c r="BP80" i="5" s="1"/>
  <c r="BQ71" i="5"/>
  <c r="BP32" i="5"/>
  <c r="EJ32" i="5" s="1"/>
  <c r="BO58" i="5"/>
  <c r="BL161" i="5"/>
  <c r="BK161" i="5"/>
  <c r="BL67" i="5"/>
  <c r="BL68" i="5" s="1"/>
  <c r="AZ12" i="28"/>
  <c r="EF31" i="5"/>
  <c r="BS88" i="28"/>
  <c r="BS90" i="28"/>
  <c r="EA33" i="5"/>
  <c r="EA29" i="5"/>
  <c r="EA27" i="5"/>
  <c r="EA26" i="5"/>
  <c r="AN109" i="28" s="1"/>
  <c r="EA25" i="5"/>
  <c r="EA17" i="5"/>
  <c r="EA15" i="5"/>
  <c r="EA14" i="5"/>
  <c r="EA13" i="5"/>
  <c r="E33" i="27"/>
  <c r="E24" i="27"/>
  <c r="E20" i="27"/>
  <c r="E19" i="27"/>
  <c r="I24" i="27"/>
  <c r="I33" i="27"/>
  <c r="I20" i="27"/>
  <c r="M102" i="27" s="1"/>
  <c r="I19" i="27"/>
  <c r="M99" i="27" s="1"/>
  <c r="F10" i="27"/>
  <c r="F9" i="27"/>
  <c r="E10" i="27"/>
  <c r="E9" i="27"/>
  <c r="D10" i="27"/>
  <c r="D9" i="27"/>
  <c r="I13" i="27"/>
  <c r="I10" i="27"/>
  <c r="I9" i="27"/>
  <c r="I116" i="27"/>
  <c r="I137" i="27" s="1"/>
  <c r="BR88" i="28"/>
  <c r="AN101" i="28"/>
  <c r="AN108" i="28" s="1"/>
  <c r="AN136" i="28" s="1"/>
  <c r="AN99" i="28"/>
  <c r="AZ17" i="28"/>
  <c r="BS91" i="28" s="1"/>
  <c r="AZ8" i="28"/>
  <c r="BD10" i="28" s="1"/>
  <c r="AZ7" i="28"/>
  <c r="BL248" i="5"/>
  <c r="AN91" i="28" s="1"/>
  <c r="BL247" i="5"/>
  <c r="BL246" i="5"/>
  <c r="AN90" i="28" s="1"/>
  <c r="BS89" i="28" s="1"/>
  <c r="BL245" i="5"/>
  <c r="BL239" i="5"/>
  <c r="BL185" i="5"/>
  <c r="BL187" i="5" s="1"/>
  <c r="BL182" i="5"/>
  <c r="BL178" i="5"/>
  <c r="BL143" i="5"/>
  <c r="BL142" i="5"/>
  <c r="BL138" i="5"/>
  <c r="BL137" i="5"/>
  <c r="BL133" i="5"/>
  <c r="BL132" i="5"/>
  <c r="AN110" i="28" s="1"/>
  <c r="BL128" i="5"/>
  <c r="BL118" i="5"/>
  <c r="AN138" i="28" s="1"/>
  <c r="BL117" i="5"/>
  <c r="AN103" i="28" s="1"/>
  <c r="BL113" i="5"/>
  <c r="BL114" i="5" s="1"/>
  <c r="BL102" i="5"/>
  <c r="BL101" i="5"/>
  <c r="BL95" i="5"/>
  <c r="BL106" i="5" s="1"/>
  <c r="BL83" i="5"/>
  <c r="BL94" i="5" s="1"/>
  <c r="BL55" i="5"/>
  <c r="BL54" i="5"/>
  <c r="BL53" i="5"/>
  <c r="BL28" i="5"/>
  <c r="BZ14" i="28" s="1"/>
  <c r="BL16" i="5"/>
  <c r="BL18" i="5" s="1"/>
  <c r="T28" i="1"/>
  <c r="W2808" i="16"/>
  <c r="V2808" i="16"/>
  <c r="U2808" i="16"/>
  <c r="W2807" i="16"/>
  <c r="V2807" i="16"/>
  <c r="U2807" i="16"/>
  <c r="W2806" i="16"/>
  <c r="V2806" i="16"/>
  <c r="U2806" i="16"/>
  <c r="W2805" i="16"/>
  <c r="V2805" i="16"/>
  <c r="U2805" i="16"/>
  <c r="EK123" i="5" l="1"/>
  <c r="EJ123" i="5"/>
  <c r="I61" i="27"/>
  <c r="I47" i="27"/>
  <c r="M47" i="27"/>
  <c r="BQ74" i="5"/>
  <c r="BQ78" i="5"/>
  <c r="BQ80" i="5" s="1"/>
  <c r="BL105" i="5"/>
  <c r="AZ13" i="28"/>
  <c r="BD14" i="28" s="1"/>
  <c r="BD9" i="28"/>
  <c r="M106" i="27"/>
  <c r="M87" i="27"/>
  <c r="M110" i="27" s="1"/>
  <c r="M94" i="27"/>
  <c r="M100" i="27" s="1"/>
  <c r="M118" i="27" s="1"/>
  <c r="CB14" i="28"/>
  <c r="CD14" i="28"/>
  <c r="BP149" i="5"/>
  <c r="BP156" i="5" s="1"/>
  <c r="I102" i="27"/>
  <c r="I50" i="27"/>
  <c r="L51" i="27" s="1"/>
  <c r="E50" i="27"/>
  <c r="BP74" i="5"/>
  <c r="BP79" i="5"/>
  <c r="I55" i="27"/>
  <c r="E139" i="27"/>
  <c r="L67" i="27"/>
  <c r="I139" i="27"/>
  <c r="O141" i="27" s="1"/>
  <c r="I81" i="27"/>
  <c r="I87" i="27" s="1"/>
  <c r="I110" i="27" s="1"/>
  <c r="I106" i="27"/>
  <c r="I99" i="27"/>
  <c r="BM122" i="5"/>
  <c r="BM249" i="5"/>
  <c r="AO92" i="28" s="1"/>
  <c r="BL30" i="5"/>
  <c r="EF30" i="5" s="1"/>
  <c r="EF28" i="5"/>
  <c r="BO170" i="5"/>
  <c r="BO59" i="5"/>
  <c r="BO149" i="5"/>
  <c r="BQ149" i="5"/>
  <c r="BQ156" i="5" s="1"/>
  <c r="AN102" i="28"/>
  <c r="BL120" i="5"/>
  <c r="BL144" i="5"/>
  <c r="BS92" i="28"/>
  <c r="AN137" i="28"/>
  <c r="BL250" i="5"/>
  <c r="AN89" i="28"/>
  <c r="E30" i="27"/>
  <c r="E31" i="27"/>
  <c r="E34" i="27"/>
  <c r="E138" i="27" s="1"/>
  <c r="I31" i="27"/>
  <c r="I30" i="27"/>
  <c r="I34" i="27"/>
  <c r="I138" i="27" s="1"/>
  <c r="BL34" i="5"/>
  <c r="BL37" i="5" s="1"/>
  <c r="BL139" i="5"/>
  <c r="BL56" i="5"/>
  <c r="BL129" i="5"/>
  <c r="G2800" i="16"/>
  <c r="F2800" i="16"/>
  <c r="M2785" i="16"/>
  <c r="L2785" i="16"/>
  <c r="G2785" i="16"/>
  <c r="F2785" i="16"/>
  <c r="L31" i="29" l="1"/>
  <c r="L35" i="29" s="1"/>
  <c r="I140" i="27"/>
  <c r="M140" i="27"/>
  <c r="EF34" i="5"/>
  <c r="BZ21" i="28"/>
  <c r="BP170" i="5"/>
  <c r="BP161" i="5"/>
  <c r="I93" i="27"/>
  <c r="I94" i="27" s="1"/>
  <c r="I100" i="27" s="1"/>
  <c r="I118" i="27" s="1"/>
  <c r="BL32" i="5"/>
  <c r="BL58" i="5"/>
  <c r="BL71" i="5"/>
  <c r="BL78" i="5" s="1"/>
  <c r="BK151" i="5"/>
  <c r="D5493" i="3"/>
  <c r="D5494" i="3" s="1"/>
  <c r="BA91" i="28"/>
  <c r="AZ91" i="28"/>
  <c r="AY91" i="28"/>
  <c r="AM99" i="28"/>
  <c r="BQ90" i="28"/>
  <c r="BP90" i="28"/>
  <c r="BO90" i="28"/>
  <c r="BN90" i="28"/>
  <c r="BM90" i="28"/>
  <c r="BL90" i="28"/>
  <c r="BK90" i="28"/>
  <c r="BJ90" i="28"/>
  <c r="BI90" i="28"/>
  <c r="BF90" i="28"/>
  <c r="BE90" i="28"/>
  <c r="BD90" i="28"/>
  <c r="BC90" i="28"/>
  <c r="BB90" i="28"/>
  <c r="BA90" i="28"/>
  <c r="AZ90" i="28"/>
  <c r="AY90" i="28"/>
  <c r="BR90" i="28"/>
  <c r="AL99" i="28"/>
  <c r="BZ19" i="28" l="1"/>
  <c r="CB19" i="28" s="1"/>
  <c r="BQ166" i="5"/>
  <c r="BQ167" i="5" s="1"/>
  <c r="BQ79" i="5"/>
  <c r="CB21" i="28"/>
  <c r="CD21" i="28"/>
  <c r="BQ161" i="5"/>
  <c r="BQ170" i="5"/>
  <c r="BQ169" i="5"/>
  <c r="AJ176" i="28" s="1"/>
  <c r="BL59" i="5"/>
  <c r="BP169" i="5"/>
  <c r="AI176" i="28" s="1"/>
  <c r="BL149" i="5"/>
  <c r="BL156" i="5" s="1"/>
  <c r="BM151" i="5"/>
  <c r="BL169" i="5"/>
  <c r="EF32" i="5"/>
  <c r="BL74" i="5"/>
  <c r="BK67" i="5"/>
  <c r="B104" i="27"/>
  <c r="B103" i="27"/>
  <c r="AY17" i="28"/>
  <c r="BR91" i="28" s="1"/>
  <c r="AY12" i="28"/>
  <c r="AY8" i="28"/>
  <c r="BC10" i="28" s="1"/>
  <c r="AY7" i="28"/>
  <c r="BC9" i="28" s="1"/>
  <c r="DZ33" i="5"/>
  <c r="DZ29" i="5"/>
  <c r="DZ27" i="5"/>
  <c r="DZ26" i="5"/>
  <c r="AM109" i="28" s="1"/>
  <c r="DZ25" i="5"/>
  <c r="DZ17" i="5"/>
  <c r="AE40" i="28" s="1"/>
  <c r="DZ15" i="5"/>
  <c r="AE38" i="28" s="1"/>
  <c r="DZ14" i="5"/>
  <c r="AE37" i="28" s="1"/>
  <c r="DZ13" i="5"/>
  <c r="AE36" i="28" s="1"/>
  <c r="D33" i="27"/>
  <c r="C19" i="27"/>
  <c r="D24" i="27"/>
  <c r="D20" i="27"/>
  <c r="D19" i="27"/>
  <c r="G33" i="27"/>
  <c r="H33" i="27"/>
  <c r="G19" i="27"/>
  <c r="K99" i="27" s="1"/>
  <c r="H24" i="27"/>
  <c r="H20" i="27"/>
  <c r="H19" i="27"/>
  <c r="L99" i="27" s="1"/>
  <c r="G47" i="27" l="1"/>
  <c r="K47" i="27"/>
  <c r="H61" i="27"/>
  <c r="H47" i="27"/>
  <c r="L47" i="27"/>
  <c r="CD19" i="28"/>
  <c r="AF176" i="28"/>
  <c r="D50" i="27"/>
  <c r="H50" i="27"/>
  <c r="K51" i="27" s="1"/>
  <c r="C34" i="27"/>
  <c r="C138" i="27" s="1"/>
  <c r="C50" i="27"/>
  <c r="G50" i="27"/>
  <c r="H139" i="27"/>
  <c r="N141" i="27" s="1"/>
  <c r="H55" i="27"/>
  <c r="G139" i="27"/>
  <c r="G55" i="27"/>
  <c r="I67" i="27"/>
  <c r="H67" i="27"/>
  <c r="D139" i="27"/>
  <c r="G67" i="27"/>
  <c r="L102" i="27"/>
  <c r="H102" i="27"/>
  <c r="L106" i="27"/>
  <c r="H106" i="27"/>
  <c r="L94" i="27"/>
  <c r="L100" i="27" s="1"/>
  <c r="L118" i="27" s="1"/>
  <c r="H99" i="27"/>
  <c r="K94" i="27"/>
  <c r="K100" i="27" s="1"/>
  <c r="G99" i="27"/>
  <c r="H81" i="27"/>
  <c r="H87" i="27" s="1"/>
  <c r="H110" i="27" s="1"/>
  <c r="L87" i="27"/>
  <c r="L110" i="27" s="1"/>
  <c r="K67" i="27"/>
  <c r="J67" i="27"/>
  <c r="BL241" i="5"/>
  <c r="BM241" i="5"/>
  <c r="EE31" i="5"/>
  <c r="H31" i="27"/>
  <c r="BL79" i="5"/>
  <c r="D31" i="27"/>
  <c r="AM102" i="28"/>
  <c r="BK120" i="5"/>
  <c r="D30" i="27"/>
  <c r="D34" i="27"/>
  <c r="D138" i="27" s="1"/>
  <c r="H34" i="27"/>
  <c r="H138" i="27" s="1"/>
  <c r="AY13" i="28"/>
  <c r="BC14" i="28" s="1"/>
  <c r="G34" i="27"/>
  <c r="G138" i="27" s="1"/>
  <c r="H30" i="27"/>
  <c r="BK248" i="5"/>
  <c r="BK247" i="5"/>
  <c r="BK246" i="5"/>
  <c r="BK245" i="5"/>
  <c r="BK239" i="5"/>
  <c r="BK185" i="5"/>
  <c r="BK187" i="5" s="1"/>
  <c r="BK182" i="5"/>
  <c r="BK178" i="5"/>
  <c r="BK143" i="5"/>
  <c r="BK142" i="5"/>
  <c r="BK138" i="5"/>
  <c r="BK137" i="5"/>
  <c r="BK133" i="5"/>
  <c r="BK132" i="5"/>
  <c r="AM110" i="28" s="1"/>
  <c r="BK128" i="5"/>
  <c r="BK118" i="5"/>
  <c r="AM138" i="28" s="1"/>
  <c r="BK117" i="5"/>
  <c r="BK113" i="5"/>
  <c r="BK101" i="5"/>
  <c r="BK95" i="5"/>
  <c r="BK102" i="5"/>
  <c r="BK83" i="5"/>
  <c r="BK94" i="5" s="1"/>
  <c r="BK68" i="5"/>
  <c r="BK55" i="5"/>
  <c r="BK54" i="5"/>
  <c r="BK53" i="5"/>
  <c r="BK28" i="5"/>
  <c r="BK16" i="5"/>
  <c r="BK18" i="5" s="1"/>
  <c r="J116" i="27"/>
  <c r="J137" i="27" s="1"/>
  <c r="H116" i="27"/>
  <c r="H137" i="27" s="1"/>
  <c r="G116" i="27"/>
  <c r="G137" i="27" s="1"/>
  <c r="F116" i="27"/>
  <c r="F137" i="27" s="1"/>
  <c r="E116" i="27"/>
  <c r="E137" i="27" s="1"/>
  <c r="D116" i="27"/>
  <c r="D137" i="27" s="1"/>
  <c r="C116" i="27"/>
  <c r="C137" i="27" s="1"/>
  <c r="H13" i="27"/>
  <c r="H10" i="27"/>
  <c r="H9" i="27"/>
  <c r="N58" i="29"/>
  <c r="BM253" i="5" l="1"/>
  <c r="BM254" i="5" s="1"/>
  <c r="BO253" i="5"/>
  <c r="BO254" i="5" s="1"/>
  <c r="K118" i="27"/>
  <c r="BO123" i="5"/>
  <c r="BM242" i="5"/>
  <c r="BO242" i="5"/>
  <c r="BK105" i="5"/>
  <c r="F51" i="27"/>
  <c r="L52" i="27" s="1"/>
  <c r="BM123" i="5"/>
  <c r="M141" i="27"/>
  <c r="G140" i="27"/>
  <c r="K140" i="27"/>
  <c r="H140" i="27"/>
  <c r="L140" i="27"/>
  <c r="EE28" i="5"/>
  <c r="J51" i="27"/>
  <c r="I51" i="27"/>
  <c r="H51" i="27"/>
  <c r="M52" i="27" s="1"/>
  <c r="L141" i="27"/>
  <c r="G51" i="27"/>
  <c r="H93" i="27"/>
  <c r="H94" i="27" s="1"/>
  <c r="H100" i="27" s="1"/>
  <c r="H118" i="27" s="1"/>
  <c r="BK106" i="5"/>
  <c r="BM97" i="5"/>
  <c r="AM90" i="28"/>
  <c r="BR89" i="28" s="1"/>
  <c r="AM91" i="28"/>
  <c r="BK241" i="5"/>
  <c r="BL122" i="5"/>
  <c r="EF122" i="5" s="1"/>
  <c r="BL249" i="5"/>
  <c r="AN92" i="28" s="1"/>
  <c r="BK144" i="5"/>
  <c r="BK250" i="5"/>
  <c r="AM89" i="28"/>
  <c r="AM137" i="28"/>
  <c r="AM103" i="28"/>
  <c r="BK56" i="5"/>
  <c r="BK129" i="5"/>
  <c r="BK139" i="5"/>
  <c r="BK114" i="5"/>
  <c r="BK34" i="5"/>
  <c r="BK37" i="5" s="1"/>
  <c r="BK30" i="5"/>
  <c r="EE30" i="5" s="1"/>
  <c r="X40" i="29"/>
  <c r="T27" i="29"/>
  <c r="S27" i="29"/>
  <c r="N27" i="29"/>
  <c r="X27" i="29"/>
  <c r="X25" i="29"/>
  <c r="X20" i="29"/>
  <c r="N9" i="29"/>
  <c r="X11" i="29"/>
  <c r="X9" i="29"/>
  <c r="T68" i="29"/>
  <c r="S68" i="29"/>
  <c r="N68" i="29"/>
  <c r="X68" i="29"/>
  <c r="K68" i="29"/>
  <c r="T65" i="29"/>
  <c r="S65" i="29"/>
  <c r="N65" i="29"/>
  <c r="X65" i="29"/>
  <c r="K65" i="29"/>
  <c r="K62" i="29"/>
  <c r="K59" i="29"/>
  <c r="T55" i="29"/>
  <c r="S55" i="29"/>
  <c r="N55" i="29"/>
  <c r="E29" i="29"/>
  <c r="E35" i="29" s="1"/>
  <c r="D29" i="29"/>
  <c r="D35" i="29" s="1"/>
  <c r="E22" i="29"/>
  <c r="D22" i="29"/>
  <c r="E13" i="29"/>
  <c r="D13" i="29"/>
  <c r="CL19" i="28"/>
  <c r="CL18" i="28"/>
  <c r="CL10" i="28"/>
  <c r="CN11" i="28"/>
  <c r="CM11" i="28"/>
  <c r="BL253" i="5" l="1"/>
  <c r="BL254" i="5" s="1"/>
  <c r="BL123" i="5"/>
  <c r="EF123" i="5" s="1"/>
  <c r="BL242" i="5"/>
  <c r="EE34" i="5"/>
  <c r="BK71" i="5"/>
  <c r="BK78" i="5" s="1"/>
  <c r="BK58" i="5"/>
  <c r="BK32" i="5"/>
  <c r="CN25" i="28"/>
  <c r="CN34" i="28"/>
  <c r="CN33" i="28"/>
  <c r="CM28" i="28"/>
  <c r="CK28" i="28"/>
  <c r="CN26" i="28"/>
  <c r="CJ28" i="28"/>
  <c r="CK16" i="28"/>
  <c r="CK15" i="28"/>
  <c r="CK14" i="28"/>
  <c r="AX8" i="28"/>
  <c r="BB10" i="28" s="1"/>
  <c r="AW8" i="28"/>
  <c r="BA10" i="28" s="1"/>
  <c r="AV8" i="28"/>
  <c r="AZ10" i="28" s="1"/>
  <c r="AU8" i="28"/>
  <c r="AY10" i="28" s="1"/>
  <c r="AT8" i="28"/>
  <c r="AR8" i="28"/>
  <c r="AQ8" i="28"/>
  <c r="AP8" i="28"/>
  <c r="AO8" i="28"/>
  <c r="AN8" i="28"/>
  <c r="AM8" i="28"/>
  <c r="AL8" i="28"/>
  <c r="AJ8" i="28"/>
  <c r="AI8" i="28"/>
  <c r="AH8" i="28"/>
  <c r="AG8" i="28"/>
  <c r="AF8" i="28"/>
  <c r="AE8" i="28"/>
  <c r="AD8" i="28"/>
  <c r="CM10" i="28"/>
  <c r="E116" i="25"/>
  <c r="E115" i="25"/>
  <c r="C2853" i="16"/>
  <c r="C2855" i="16" s="1"/>
  <c r="G13" i="27"/>
  <c r="BO169" i="5" l="1"/>
  <c r="BK169" i="5"/>
  <c r="AE176" i="28" s="1"/>
  <c r="EE32" i="5"/>
  <c r="BK74" i="5"/>
  <c r="BK59" i="5"/>
  <c r="BK149" i="5"/>
  <c r="K52" i="29"/>
  <c r="K46" i="29"/>
  <c r="K49" i="29"/>
  <c r="K55" i="29"/>
  <c r="AN10" i="28"/>
  <c r="AI10" i="28"/>
  <c r="AM10" i="28"/>
  <c r="AU10" i="28"/>
  <c r="AV10" i="28"/>
  <c r="AH10" i="28"/>
  <c r="AP10" i="28"/>
  <c r="AX10" i="28"/>
  <c r="AQ10" i="28"/>
  <c r="AJ10" i="28"/>
  <c r="AR10" i="28"/>
  <c r="AT10" i="28"/>
  <c r="AL10" i="28"/>
  <c r="AH176" i="28" l="1"/>
  <c r="BV27" i="28"/>
  <c r="BZ27" i="28" s="1"/>
  <c r="CB27" i="28" s="1"/>
  <c r="BK79" i="5"/>
  <c r="EZ8" i="5" l="1"/>
  <c r="BK156" i="5" l="1"/>
  <c r="BM150" i="5"/>
  <c r="U119" i="28"/>
  <c r="T119" i="28"/>
  <c r="S119" i="28"/>
  <c r="R119" i="28"/>
  <c r="Q119" i="28"/>
  <c r="P119" i="28"/>
  <c r="O119" i="28"/>
  <c r="N119" i="28"/>
  <c r="M119" i="28"/>
  <c r="L119" i="28"/>
  <c r="K119" i="28"/>
  <c r="J119" i="28"/>
  <c r="I119" i="28"/>
  <c r="H119" i="28"/>
  <c r="G119" i="28"/>
  <c r="F119" i="28"/>
  <c r="E119" i="28"/>
  <c r="D119" i="28"/>
  <c r="C119" i="28"/>
  <c r="B119" i="28"/>
  <c r="U117" i="28"/>
  <c r="T117" i="28"/>
  <c r="S117" i="28"/>
  <c r="R117" i="28"/>
  <c r="Q117" i="28"/>
  <c r="P117" i="28"/>
  <c r="O117" i="28"/>
  <c r="N117" i="28"/>
  <c r="M117" i="28"/>
  <c r="L117" i="28"/>
  <c r="K117" i="28"/>
  <c r="J117" i="28"/>
  <c r="I117" i="28"/>
  <c r="H117" i="28"/>
  <c r="G117" i="28"/>
  <c r="F117" i="28"/>
  <c r="D117" i="28"/>
  <c r="C117" i="28"/>
  <c r="B117" i="28"/>
  <c r="AM101" i="28"/>
  <c r="AM108" i="28" s="1"/>
  <c r="AM136" i="28" s="1"/>
  <c r="AL101" i="28"/>
  <c r="AL108" i="28" s="1"/>
  <c r="AL136" i="28" s="1"/>
  <c r="AK101" i="28"/>
  <c r="AK108" i="28" s="1"/>
  <c r="AK136" i="28" s="1"/>
  <c r="AJ101" i="28"/>
  <c r="AJ108" i="28" s="1"/>
  <c r="AJ136" i="28" s="1"/>
  <c r="AI101" i="28"/>
  <c r="AI108" i="28" s="1"/>
  <c r="AI136" i="28" s="1"/>
  <c r="AH101" i="28"/>
  <c r="AH108" i="28" s="1"/>
  <c r="AH136" i="28" s="1"/>
  <c r="AG101" i="28"/>
  <c r="AG108" i="28" s="1"/>
  <c r="AG136" i="28" s="1"/>
  <c r="AF101" i="28"/>
  <c r="AF108" i="28" s="1"/>
  <c r="AF136" i="28" s="1"/>
  <c r="AE101" i="28"/>
  <c r="AE108" i="28" s="1"/>
  <c r="AE136" i="28" s="1"/>
  <c r="AD101" i="28"/>
  <c r="AD108" i="28" s="1"/>
  <c r="AD136" i="28" s="1"/>
  <c r="AC101" i="28"/>
  <c r="AC108" i="28" s="1"/>
  <c r="AB101" i="28"/>
  <c r="AB108" i="28" s="1"/>
  <c r="AA101" i="28"/>
  <c r="AA108" i="28" s="1"/>
  <c r="Z101" i="28"/>
  <c r="Z108" i="28" s="1"/>
  <c r="Y101" i="28"/>
  <c r="X101" i="28"/>
  <c r="W101" i="28"/>
  <c r="V101" i="28"/>
  <c r="U101" i="28"/>
  <c r="T101" i="28"/>
  <c r="S101" i="28"/>
  <c r="R101" i="28"/>
  <c r="Q101" i="28"/>
  <c r="P101" i="28"/>
  <c r="O101" i="28"/>
  <c r="N101" i="28"/>
  <c r="AK99" i="28"/>
  <c r="AJ99" i="28"/>
  <c r="AI99" i="28"/>
  <c r="AH99" i="28"/>
  <c r="AG99" i="28"/>
  <c r="AF99" i="28"/>
  <c r="AE99" i="28"/>
  <c r="AD99" i="28"/>
  <c r="AC99" i="28"/>
  <c r="AB99" i="28"/>
  <c r="AA99" i="28"/>
  <c r="Z99" i="28"/>
  <c r="Y99" i="28"/>
  <c r="X99" i="28"/>
  <c r="W99" i="28"/>
  <c r="V99" i="28"/>
  <c r="U99" i="28"/>
  <c r="T99" i="28"/>
  <c r="S99" i="28"/>
  <c r="R99" i="28"/>
  <c r="Q99" i="28"/>
  <c r="P99" i="28"/>
  <c r="O99" i="28"/>
  <c r="N99" i="28"/>
  <c r="A92" i="28"/>
  <c r="A99" i="28" s="1"/>
  <c r="R91" i="28"/>
  <c r="S118" i="28"/>
  <c r="R90" i="28"/>
  <c r="R89" i="28"/>
  <c r="BU88" i="28"/>
  <c r="BT88" i="28"/>
  <c r="BQ88" i="28"/>
  <c r="BP88" i="28"/>
  <c r="BO88" i="28"/>
  <c r="BN88" i="28"/>
  <c r="BM88" i="28"/>
  <c r="BL88" i="28"/>
  <c r="BK88" i="28"/>
  <c r="BJ88" i="28"/>
  <c r="BI88" i="28"/>
  <c r="BF88" i="28"/>
  <c r="BE88" i="28"/>
  <c r="BD88" i="28"/>
  <c r="BC88" i="28"/>
  <c r="A66" i="28"/>
  <c r="A63" i="28"/>
  <c r="A53" i="28" s="1"/>
  <c r="A62" i="28"/>
  <c r="A52" i="28" s="1"/>
  <c r="A61" i="28"/>
  <c r="A51" i="28" s="1"/>
  <c r="AG60" i="28"/>
  <c r="AF60" i="28"/>
  <c r="AE60" i="28"/>
  <c r="A60" i="28"/>
  <c r="A50" i="28" s="1"/>
  <c r="AG59" i="28"/>
  <c r="AG49" i="28" s="1"/>
  <c r="AF59" i="28"/>
  <c r="AF49" i="28" s="1"/>
  <c r="AE59" i="28"/>
  <c r="AE49" i="28" s="1"/>
  <c r="AD59" i="28"/>
  <c r="AD49" i="28" s="1"/>
  <c r="AC59" i="28"/>
  <c r="AC49" i="28" s="1"/>
  <c r="AB59" i="28"/>
  <c r="AB49" i="28" s="1"/>
  <c r="AA59" i="28"/>
  <c r="AA49" i="28" s="1"/>
  <c r="Z59" i="28"/>
  <c r="Z49" i="28" s="1"/>
  <c r="Y59" i="28"/>
  <c r="Y49" i="28" s="1"/>
  <c r="X59" i="28"/>
  <c r="X49" i="28" s="1"/>
  <c r="W59" i="28"/>
  <c r="W49" i="28" s="1"/>
  <c r="V59" i="28"/>
  <c r="V49" i="28" s="1"/>
  <c r="U59" i="28"/>
  <c r="U49" i="28" s="1"/>
  <c r="T59" i="28"/>
  <c r="T49" i="28" s="1"/>
  <c r="S59" i="28"/>
  <c r="S49" i="28" s="1"/>
  <c r="R59" i="28"/>
  <c r="R49" i="28" s="1"/>
  <c r="AF56" i="28"/>
  <c r="AD56" i="28"/>
  <c r="U56" i="28"/>
  <c r="S56" i="28"/>
  <c r="P56" i="28"/>
  <c r="N56" i="28"/>
  <c r="L56" i="28"/>
  <c r="K56" i="28"/>
  <c r="J56" i="28"/>
  <c r="I56" i="28"/>
  <c r="H56" i="28"/>
  <c r="F56" i="28"/>
  <c r="D56" i="28"/>
  <c r="C56" i="28"/>
  <c r="A56" i="28"/>
  <c r="AD55" i="28"/>
  <c r="AC55" i="28"/>
  <c r="AB55" i="28"/>
  <c r="AA55" i="28"/>
  <c r="Z55" i="28"/>
  <c r="X55" i="28"/>
  <c r="W55" i="28"/>
  <c r="V55" i="28"/>
  <c r="U55" i="28"/>
  <c r="T55" i="28"/>
  <c r="S55" i="28"/>
  <c r="R55" i="28"/>
  <c r="P55" i="28"/>
  <c r="O55" i="28"/>
  <c r="N55" i="28"/>
  <c r="L55" i="28"/>
  <c r="K55" i="28"/>
  <c r="J55" i="28"/>
  <c r="H55" i="28"/>
  <c r="G55" i="28"/>
  <c r="F55" i="28"/>
  <c r="D55" i="28"/>
  <c r="C55" i="28"/>
  <c r="B55" i="28"/>
  <c r="A55" i="28"/>
  <c r="A54" i="28"/>
  <c r="AD53" i="28"/>
  <c r="AC53" i="28"/>
  <c r="AB53" i="28"/>
  <c r="AA53" i="28"/>
  <c r="Z53" i="28"/>
  <c r="X53" i="28"/>
  <c r="W53" i="28"/>
  <c r="V53" i="28"/>
  <c r="T53" i="28"/>
  <c r="S53" i="28"/>
  <c r="R53" i="28"/>
  <c r="P53" i="28"/>
  <c r="O53" i="28"/>
  <c r="N53" i="28"/>
  <c r="M53" i="28"/>
  <c r="L53" i="28"/>
  <c r="K53" i="28"/>
  <c r="J53" i="28"/>
  <c r="I53" i="28"/>
  <c r="H53" i="28"/>
  <c r="G53" i="28"/>
  <c r="F53" i="28"/>
  <c r="D53" i="28"/>
  <c r="C53" i="28"/>
  <c r="B53" i="28"/>
  <c r="AD52" i="28"/>
  <c r="AC52" i="28"/>
  <c r="AB52" i="28"/>
  <c r="AA52" i="28"/>
  <c r="Z52" i="28"/>
  <c r="X52" i="28"/>
  <c r="W52" i="28"/>
  <c r="V52" i="28"/>
  <c r="U52" i="28"/>
  <c r="T52" i="28"/>
  <c r="S52" i="28"/>
  <c r="R52" i="28"/>
  <c r="P52" i="28"/>
  <c r="O52" i="28"/>
  <c r="N52" i="28"/>
  <c r="M52" i="28"/>
  <c r="L52" i="28"/>
  <c r="K52" i="28"/>
  <c r="J52" i="28"/>
  <c r="I52" i="28"/>
  <c r="H52" i="28"/>
  <c r="G52" i="28"/>
  <c r="F52" i="28"/>
  <c r="D52" i="28"/>
  <c r="C52" i="28"/>
  <c r="B52" i="28"/>
  <c r="AD51" i="28"/>
  <c r="AC51" i="28"/>
  <c r="AB51" i="28"/>
  <c r="AA51" i="28"/>
  <c r="Z51" i="28"/>
  <c r="X51" i="28"/>
  <c r="W51" i="28"/>
  <c r="V51" i="28"/>
  <c r="U51" i="28"/>
  <c r="T51" i="28"/>
  <c r="S51" i="28"/>
  <c r="R51" i="28"/>
  <c r="P51" i="28"/>
  <c r="O51" i="28"/>
  <c r="N51" i="28"/>
  <c r="M51" i="28"/>
  <c r="L51" i="28"/>
  <c r="K51" i="28"/>
  <c r="J51" i="28"/>
  <c r="I51" i="28"/>
  <c r="H51" i="28"/>
  <c r="G51" i="28"/>
  <c r="F51" i="28"/>
  <c r="D51" i="28"/>
  <c r="C51" i="28"/>
  <c r="B51" i="28"/>
  <c r="AG50" i="28"/>
  <c r="AF50" i="28"/>
  <c r="AE50" i="28"/>
  <c r="AD50" i="28"/>
  <c r="AC50" i="28"/>
  <c r="AB50" i="28"/>
  <c r="AA50" i="28"/>
  <c r="Z50" i="28"/>
  <c r="X50" i="28"/>
  <c r="W50" i="28"/>
  <c r="V50" i="28"/>
  <c r="U50" i="28"/>
  <c r="T50" i="28"/>
  <c r="S50" i="28"/>
  <c r="R50" i="28"/>
  <c r="N50" i="28"/>
  <c r="M50" i="28"/>
  <c r="K50" i="28"/>
  <c r="J50" i="28"/>
  <c r="I50" i="28"/>
  <c r="H50" i="28"/>
  <c r="G50" i="28"/>
  <c r="F50" i="28"/>
  <c r="D50" i="28"/>
  <c r="C50" i="28"/>
  <c r="B50" i="28"/>
  <c r="Q49" i="28"/>
  <c r="P49" i="28"/>
  <c r="O49" i="28"/>
  <c r="N49" i="28"/>
  <c r="M49" i="28"/>
  <c r="L49" i="28"/>
  <c r="K49" i="28"/>
  <c r="J49" i="28"/>
  <c r="I49" i="28"/>
  <c r="H49" i="28"/>
  <c r="G49" i="28"/>
  <c r="F49" i="28"/>
  <c r="E49" i="28"/>
  <c r="D49" i="28"/>
  <c r="C49" i="28"/>
  <c r="B49" i="28"/>
  <c r="A41" i="28"/>
  <c r="AF40" i="28"/>
  <c r="A40" i="28"/>
  <c r="A39" i="28"/>
  <c r="A38" i="28"/>
  <c r="AF37" i="28"/>
  <c r="A37" i="28"/>
  <c r="AF36" i="28"/>
  <c r="A36" i="28"/>
  <c r="AD34" i="28"/>
  <c r="A34" i="28"/>
  <c r="AD33" i="28"/>
  <c r="AD32" i="28"/>
  <c r="A32" i="28"/>
  <c r="AD30" i="28"/>
  <c r="A30" i="28"/>
  <c r="BP23" i="28"/>
  <c r="AU22" i="28"/>
  <c r="AU23" i="28" s="1"/>
  <c r="AT22" i="28"/>
  <c r="AT23" i="28" s="1"/>
  <c r="AS22" i="28"/>
  <c r="AS23" i="28" s="1"/>
  <c r="AR22" i="28"/>
  <c r="AR23" i="28" s="1"/>
  <c r="AQ22" i="28"/>
  <c r="AQ23" i="28" s="1"/>
  <c r="AP22" i="28"/>
  <c r="AP23" i="28" s="1"/>
  <c r="AO22" i="28"/>
  <c r="AO23" i="28" s="1"/>
  <c r="AN22" i="28"/>
  <c r="AN23" i="28" s="1"/>
  <c r="AN24" i="28" s="1"/>
  <c r="AM22" i="28"/>
  <c r="AM23" i="28" s="1"/>
  <c r="AL22" i="28"/>
  <c r="AK22" i="28"/>
  <c r="AV18" i="28"/>
  <c r="AX17" i="28"/>
  <c r="BQ91" i="28" s="1"/>
  <c r="AU17" i="28"/>
  <c r="BN91" i="28" s="1"/>
  <c r="AT17" i="28"/>
  <c r="BM91" i="28" s="1"/>
  <c r="AS17" i="28"/>
  <c r="BL91" i="28" s="1"/>
  <c r="AR17" i="28"/>
  <c r="BK91" i="28" s="1"/>
  <c r="AQ17" i="28"/>
  <c r="BJ91" i="28" s="1"/>
  <c r="AP17" i="28"/>
  <c r="BI91" i="28" s="1"/>
  <c r="AO17" i="28"/>
  <c r="BF91" i="28" s="1"/>
  <c r="AN17" i="28"/>
  <c r="BE91" i="28" s="1"/>
  <c r="AM17" i="28"/>
  <c r="BD91" i="28" s="1"/>
  <c r="AV16" i="28"/>
  <c r="AK16" i="28"/>
  <c r="AX12" i="28"/>
  <c r="AU12" i="28"/>
  <c r="AT12" i="28"/>
  <c r="AS12" i="28"/>
  <c r="AR12" i="28"/>
  <c r="AQ12" i="28"/>
  <c r="AP12" i="28"/>
  <c r="AO12" i="28"/>
  <c r="AJ12" i="28"/>
  <c r="AI12" i="28"/>
  <c r="AH12" i="28"/>
  <c r="AG12" i="28"/>
  <c r="AF12" i="28"/>
  <c r="AE12" i="28"/>
  <c r="AB12" i="28"/>
  <c r="AA12" i="28"/>
  <c r="Z12" i="28"/>
  <c r="Y12" i="28"/>
  <c r="X12" i="28"/>
  <c r="W12" i="28"/>
  <c r="V12" i="28"/>
  <c r="U12" i="28"/>
  <c r="T12" i="28"/>
  <c r="S12" i="28"/>
  <c r="R12" i="28"/>
  <c r="Q12" i="28"/>
  <c r="P12" i="28"/>
  <c r="O12" i="28"/>
  <c r="N12" i="28"/>
  <c r="M12" i="28"/>
  <c r="L12" i="28"/>
  <c r="K12" i="28"/>
  <c r="J12" i="28"/>
  <c r="I12" i="28"/>
  <c r="H12" i="28"/>
  <c r="G12" i="28"/>
  <c r="F12" i="28"/>
  <c r="E12" i="28"/>
  <c r="D12" i="28"/>
  <c r="C12" i="28"/>
  <c r="AV11" i="28"/>
  <c r="AM11" i="28"/>
  <c r="AL11" i="28"/>
  <c r="AK11" i="28"/>
  <c r="AK12" i="28" s="1"/>
  <c r="AC11" i="28"/>
  <c r="AD12" i="28" s="1"/>
  <c r="AX7" i="28"/>
  <c r="BB9" i="28" s="1"/>
  <c r="AW7" i="28"/>
  <c r="BA9" i="28" s="1"/>
  <c r="AV7" i="28"/>
  <c r="AZ9" i="28" s="1"/>
  <c r="AU7" i="28"/>
  <c r="AY9" i="28" s="1"/>
  <c r="AT7" i="28"/>
  <c r="AR7" i="28"/>
  <c r="AR13" i="28" s="1"/>
  <c r="AQ7" i="28"/>
  <c r="AQ13" i="28" s="1"/>
  <c r="AP7" i="28"/>
  <c r="AP13" i="28" s="1"/>
  <c r="AO7" i="28"/>
  <c r="AN7" i="28"/>
  <c r="AM7" i="28"/>
  <c r="AL7" i="28"/>
  <c r="AK7" i="28"/>
  <c r="AJ7" i="28"/>
  <c r="AJ13" i="28" s="1"/>
  <c r="AI7" i="28"/>
  <c r="AI13" i="28" s="1"/>
  <c r="AH7" i="28"/>
  <c r="AH13" i="28" s="1"/>
  <c r="AG7" i="28"/>
  <c r="AF7" i="28"/>
  <c r="AF13" i="28" s="1"/>
  <c r="AE7" i="28"/>
  <c r="AE13" i="28" s="1"/>
  <c r="AD7" i="28"/>
  <c r="AC7" i="28"/>
  <c r="AB7" i="28"/>
  <c r="AB13" i="28" s="1"/>
  <c r="AA7" i="28"/>
  <c r="AA13" i="28" s="1"/>
  <c r="Z7" i="28"/>
  <c r="Z13" i="28" s="1"/>
  <c r="X7" i="28"/>
  <c r="X13" i="28" s="1"/>
  <c r="W7" i="28"/>
  <c r="W13" i="28" s="1"/>
  <c r="V7" i="28"/>
  <c r="V13" i="28" s="1"/>
  <c r="U7" i="28"/>
  <c r="U13" i="28" s="1"/>
  <c r="T7" i="28"/>
  <c r="T13" i="28" s="1"/>
  <c r="S7" i="28"/>
  <c r="S13" i="28" s="1"/>
  <c r="R7" i="28"/>
  <c r="R13" i="28" s="1"/>
  <c r="P7" i="28"/>
  <c r="P13" i="28" s="1"/>
  <c r="O7" i="28"/>
  <c r="O13" i="28" s="1"/>
  <c r="N7" i="28"/>
  <c r="N13" i="28" s="1"/>
  <c r="M7" i="28"/>
  <c r="M13" i="28" s="1"/>
  <c r="L7" i="28"/>
  <c r="L13" i="28" s="1"/>
  <c r="K7" i="28"/>
  <c r="K13" i="28" s="1"/>
  <c r="J7" i="28"/>
  <c r="J13" i="28" s="1"/>
  <c r="I7" i="28"/>
  <c r="H7" i="28"/>
  <c r="G7" i="28"/>
  <c r="G13" i="28" s="1"/>
  <c r="F7" i="28"/>
  <c r="F13" i="28" s="1"/>
  <c r="E7" i="28"/>
  <c r="E13" i="28" s="1"/>
  <c r="D7" i="28"/>
  <c r="D13" i="28" s="1"/>
  <c r="C7" i="28"/>
  <c r="C13" i="28" s="1"/>
  <c r="B7" i="28"/>
  <c r="AC3" i="28"/>
  <c r="AB3" i="28"/>
  <c r="AA3" i="28"/>
  <c r="Z3" i="28"/>
  <c r="Y3" i="28"/>
  <c r="X3" i="28"/>
  <c r="W3" i="28"/>
  <c r="V3" i="28"/>
  <c r="BJ53" i="5"/>
  <c r="AD61" i="28" s="1"/>
  <c r="DY33" i="5"/>
  <c r="DY29" i="5"/>
  <c r="DY27" i="5"/>
  <c r="DY26" i="5"/>
  <c r="AL109" i="28" s="1"/>
  <c r="DY25" i="5"/>
  <c r="EZ124" i="5" s="1"/>
  <c r="BJ91" i="5"/>
  <c r="BM91" i="5" s="1"/>
  <c r="BJ161" i="5"/>
  <c r="BJ67" i="5"/>
  <c r="BM67" i="5" s="1"/>
  <c r="BM68" i="5" s="1"/>
  <c r="BM71" i="5" s="1"/>
  <c r="E191" i="25"/>
  <c r="E192" i="25" s="1"/>
  <c r="BM78" i="5" l="1"/>
  <c r="BZ24" i="28" s="1"/>
  <c r="BZ23" i="28"/>
  <c r="AL17" i="28"/>
  <c r="BC91" i="28" s="1"/>
  <c r="AK17" i="28"/>
  <c r="K9" i="27"/>
  <c r="G20" i="27"/>
  <c r="BM74" i="5"/>
  <c r="BM83" i="5"/>
  <c r="BM94" i="5" s="1"/>
  <c r="BM102" i="5"/>
  <c r="C9" i="27"/>
  <c r="C20" i="27"/>
  <c r="C30" i="27" s="1"/>
  <c r="G9" i="27"/>
  <c r="AN13" i="28"/>
  <c r="AR14" i="28" s="1"/>
  <c r="AG9" i="28"/>
  <c r="AO9" i="28"/>
  <c r="AX9" i="28"/>
  <c r="AW13" i="28"/>
  <c r="BA14" i="28" s="1"/>
  <c r="AQ9" i="28"/>
  <c r="K54" i="28"/>
  <c r="K57" i="28" s="1"/>
  <c r="AK9" i="28"/>
  <c r="M54" i="28"/>
  <c r="D54" i="28"/>
  <c r="D57" i="28" s="1"/>
  <c r="Z54" i="28"/>
  <c r="AA54" i="28"/>
  <c r="AC54" i="28"/>
  <c r="AD9" i="28"/>
  <c r="AL9" i="28"/>
  <c r="G54" i="28"/>
  <c r="S54" i="28"/>
  <c r="S57" i="28" s="1"/>
  <c r="AD54" i="28"/>
  <c r="AD57" i="28" s="1"/>
  <c r="I54" i="28"/>
  <c r="AB54" i="28"/>
  <c r="AI9" i="28"/>
  <c r="AX13" i="28"/>
  <c r="BB14" i="28" s="1"/>
  <c r="W54" i="28"/>
  <c r="C54" i="28"/>
  <c r="C57" i="28" s="1"/>
  <c r="X54" i="28"/>
  <c r="T54" i="28"/>
  <c r="AN12" i="28"/>
  <c r="AM12" i="28"/>
  <c r="V54" i="28"/>
  <c r="AW12" i="28"/>
  <c r="AV12" i="28"/>
  <c r="F54" i="28"/>
  <c r="F57" i="28" s="1"/>
  <c r="N54" i="28"/>
  <c r="N57" i="28" s="1"/>
  <c r="AV17" i="28"/>
  <c r="BO91" i="28" s="1"/>
  <c r="AW17" i="28"/>
  <c r="BP91" i="28" s="1"/>
  <c r="AU13" i="28"/>
  <c r="AU9" i="28"/>
  <c r="I13" i="28"/>
  <c r="R54" i="28"/>
  <c r="AM13" i="28"/>
  <c r="AM14" i="28" s="1"/>
  <c r="AV9" i="28"/>
  <c r="AC12" i="28"/>
  <c r="J54" i="28"/>
  <c r="J57" i="28" s="1"/>
  <c r="AF9" i="28"/>
  <c r="AN9" i="28"/>
  <c r="AO13" i="28"/>
  <c r="AU24" i="28"/>
  <c r="AU25" i="28" s="1"/>
  <c r="B54" i="28"/>
  <c r="AN25" i="28"/>
  <c r="AH9" i="28"/>
  <c r="AP9" i="28"/>
  <c r="AE9" i="28"/>
  <c r="AL12" i="28"/>
  <c r="AV13" i="28"/>
  <c r="AC13" i="28"/>
  <c r="AK13" i="28"/>
  <c r="AT9" i="28"/>
  <c r="AM9" i="28"/>
  <c r="H13" i="28"/>
  <c r="AG13" i="28"/>
  <c r="H54" i="28"/>
  <c r="H57" i="28" s="1"/>
  <c r="BR92" i="28"/>
  <c r="AI14" i="28"/>
  <c r="AT24" i="28"/>
  <c r="AT25" i="28" s="1"/>
  <c r="AR24" i="28"/>
  <c r="AR25" i="28" s="1"/>
  <c r="AS24" i="28"/>
  <c r="AS25" i="28" s="1"/>
  <c r="AJ14" i="28"/>
  <c r="AQ24" i="28"/>
  <c r="AQ25" i="28" s="1"/>
  <c r="AD13" i="28"/>
  <c r="AL13" i="28"/>
  <c r="AL14" i="28" s="1"/>
  <c r="AT13" i="28"/>
  <c r="AT14" i="28" s="1"/>
  <c r="AJ9" i="28"/>
  <c r="AR9" i="28"/>
  <c r="AK23" i="28"/>
  <c r="AO24" i="28" s="1"/>
  <c r="AO25" i="28" s="1"/>
  <c r="AL23" i="28"/>
  <c r="AP24" i="28" s="1"/>
  <c r="AP25" i="28" s="1"/>
  <c r="BB91" i="28"/>
  <c r="K10" i="27"/>
  <c r="BM149" i="5" l="1"/>
  <c r="BM156" i="5" s="1"/>
  <c r="BM105" i="5"/>
  <c r="CD23" i="28"/>
  <c r="CB23" i="28"/>
  <c r="CB24" i="28"/>
  <c r="CD24" i="28"/>
  <c r="G102" i="27"/>
  <c r="K102" i="27"/>
  <c r="G30" i="27"/>
  <c r="G24" i="27"/>
  <c r="G10" i="27"/>
  <c r="BM79" i="5"/>
  <c r="BZ25" i="28" s="1"/>
  <c r="CB25" i="28" s="1"/>
  <c r="AV14" i="28"/>
  <c r="AZ14" i="28"/>
  <c r="AU14" i="28"/>
  <c r="AY14" i="28"/>
  <c r="C10" i="27"/>
  <c r="C24" i="27"/>
  <c r="C31" i="27" s="1"/>
  <c r="AN14" i="28"/>
  <c r="AO14" i="28"/>
  <c r="AQ14" i="28"/>
  <c r="AX14" i="28"/>
  <c r="AK14" i="28"/>
  <c r="AH14" i="28"/>
  <c r="AP14" i="28"/>
  <c r="BJ239" i="5"/>
  <c r="BJ185" i="5"/>
  <c r="BJ187" i="5" s="1"/>
  <c r="BJ182" i="5"/>
  <c r="BJ178" i="5"/>
  <c r="BJ143" i="5"/>
  <c r="BJ142" i="5"/>
  <c r="BJ138" i="5"/>
  <c r="BJ137" i="5"/>
  <c r="BJ133" i="5"/>
  <c r="BJ132" i="5"/>
  <c r="AL110" i="28" s="1"/>
  <c r="BJ128" i="5"/>
  <c r="BJ118" i="5"/>
  <c r="AL138" i="28" s="1"/>
  <c r="BJ117" i="5"/>
  <c r="BJ113" i="5"/>
  <c r="BJ102" i="5"/>
  <c r="BJ101" i="5"/>
  <c r="BJ83" i="5"/>
  <c r="BJ94" i="5" s="1"/>
  <c r="BJ68" i="5"/>
  <c r="BJ55" i="5"/>
  <c r="AD63" i="28" s="1"/>
  <c r="BJ54" i="5"/>
  <c r="AD62" i="28" s="1"/>
  <c r="AD60" i="28"/>
  <c r="BJ28" i="5"/>
  <c r="BJ16" i="5"/>
  <c r="BJ18" i="5" s="1"/>
  <c r="DY17" i="5"/>
  <c r="AD40" i="28" s="1"/>
  <c r="DY15" i="5"/>
  <c r="AD38" i="28" s="1"/>
  <c r="DY14" i="5"/>
  <c r="DY13" i="5"/>
  <c r="AD36" i="28" s="1"/>
  <c r="BJ105" i="5" l="1"/>
  <c r="G106" i="27"/>
  <c r="K106" i="27"/>
  <c r="G81" i="27"/>
  <c r="G87" i="27" s="1"/>
  <c r="G110" i="27" s="1"/>
  <c r="K87" i="27"/>
  <c r="K110" i="27" s="1"/>
  <c r="G31" i="27"/>
  <c r="BJ114" i="5"/>
  <c r="BO119" i="5"/>
  <c r="AP139" i="28" s="1"/>
  <c r="BO134" i="5"/>
  <c r="BO130" i="5"/>
  <c r="ED18" i="5"/>
  <c r="C2816" i="16"/>
  <c r="C2820" i="16"/>
  <c r="D2820" i="16" s="1"/>
  <c r="D2819" i="16" s="1"/>
  <c r="D2825" i="16" s="1"/>
  <c r="ED28" i="5"/>
  <c r="BJ241" i="5"/>
  <c r="BK249" i="5"/>
  <c r="AM92" i="28" s="1"/>
  <c r="BK122" i="5"/>
  <c r="AL103" i="28"/>
  <c r="AL137" i="28"/>
  <c r="BJ120" i="5"/>
  <c r="AL102" i="28"/>
  <c r="AD37" i="28"/>
  <c r="BJ34" i="5"/>
  <c r="BJ37" i="5" s="1"/>
  <c r="EZ123" i="5"/>
  <c r="BJ56" i="5"/>
  <c r="AD64" i="28" s="1"/>
  <c r="BJ30" i="5"/>
  <c r="ED30" i="5" s="1"/>
  <c r="BJ129" i="5"/>
  <c r="BJ144" i="5"/>
  <c r="BJ139" i="5"/>
  <c r="BJ95" i="5"/>
  <c r="BM96" i="5" s="1"/>
  <c r="E144" i="25"/>
  <c r="F23" i="19"/>
  <c r="L18" i="19"/>
  <c r="K18" i="19"/>
  <c r="J18" i="19"/>
  <c r="I18" i="19"/>
  <c r="H18" i="19"/>
  <c r="G18" i="19"/>
  <c r="I17" i="19"/>
  <c r="H17" i="19"/>
  <c r="G17" i="19"/>
  <c r="F17" i="19"/>
  <c r="E17" i="19"/>
  <c r="D17" i="19"/>
  <c r="C17" i="19"/>
  <c r="J15" i="19"/>
  <c r="I15" i="19"/>
  <c r="H15" i="19"/>
  <c r="G15" i="19"/>
  <c r="F15" i="19"/>
  <c r="E15" i="19"/>
  <c r="D15" i="19"/>
  <c r="C15" i="19"/>
  <c r="D3" i="19"/>
  <c r="E3" i="19" s="1"/>
  <c r="F3" i="19" s="1"/>
  <c r="G3" i="19" s="1"/>
  <c r="H3" i="19" s="1"/>
  <c r="I3" i="19" s="1"/>
  <c r="J3" i="19" s="1"/>
  <c r="K3" i="19" s="1"/>
  <c r="L3" i="19" s="1"/>
  <c r="M3" i="19" s="1"/>
  <c r="N3" i="19" s="1"/>
  <c r="C11" i="2"/>
  <c r="I5" i="2"/>
  <c r="G5" i="2"/>
  <c r="E5" i="2"/>
  <c r="C5" i="2"/>
  <c r="K3" i="2"/>
  <c r="Z40" i="4"/>
  <c r="X40" i="4"/>
  <c r="W40" i="4"/>
  <c r="U40" i="4"/>
  <c r="T40" i="4"/>
  <c r="S40" i="4"/>
  <c r="R40" i="4"/>
  <c r="P40" i="4"/>
  <c r="O40" i="4"/>
  <c r="N40" i="4"/>
  <c r="M40" i="4"/>
  <c r="Z39" i="4"/>
  <c r="Y39" i="4"/>
  <c r="X39" i="4"/>
  <c r="W39" i="4"/>
  <c r="U39" i="4"/>
  <c r="T39" i="4"/>
  <c r="S39" i="4"/>
  <c r="R39" i="4"/>
  <c r="P39" i="4"/>
  <c r="O39" i="4"/>
  <c r="N39" i="4"/>
  <c r="M39" i="4"/>
  <c r="Z38" i="4"/>
  <c r="Y38" i="4"/>
  <c r="X38" i="4"/>
  <c r="W38" i="4"/>
  <c r="U38" i="4"/>
  <c r="T38" i="4"/>
  <c r="S38" i="4"/>
  <c r="R38" i="4"/>
  <c r="P38" i="4"/>
  <c r="O38" i="4"/>
  <c r="N38" i="4"/>
  <c r="M38" i="4"/>
  <c r="Z37" i="4"/>
  <c r="Y37" i="4"/>
  <c r="X37" i="4"/>
  <c r="W37" i="4"/>
  <c r="U37" i="4"/>
  <c r="T37" i="4"/>
  <c r="S37" i="4"/>
  <c r="R37" i="4"/>
  <c r="P37" i="4"/>
  <c r="O37" i="4"/>
  <c r="N37" i="4"/>
  <c r="M37" i="4"/>
  <c r="Z36" i="4"/>
  <c r="Y36" i="4"/>
  <c r="X36" i="4"/>
  <c r="W36" i="4"/>
  <c r="U36" i="4"/>
  <c r="T36" i="4"/>
  <c r="S36" i="4"/>
  <c r="R36" i="4"/>
  <c r="P36" i="4"/>
  <c r="O36" i="4"/>
  <c r="N36" i="4"/>
  <c r="M36" i="4"/>
  <c r="Z35" i="4"/>
  <c r="Y35" i="4"/>
  <c r="X35" i="4"/>
  <c r="W35" i="4"/>
  <c r="U35" i="4"/>
  <c r="T35" i="4"/>
  <c r="S35" i="4"/>
  <c r="R35" i="4"/>
  <c r="P35" i="4"/>
  <c r="O35" i="4"/>
  <c r="N35" i="4"/>
  <c r="M35" i="4"/>
  <c r="BG31" i="4"/>
  <c r="BF31" i="4"/>
  <c r="BE31" i="4"/>
  <c r="BC31" i="4"/>
  <c r="BB31" i="4"/>
  <c r="BA31" i="4"/>
  <c r="AZ31" i="4"/>
  <c r="AY31" i="4"/>
  <c r="AX31" i="4"/>
  <c r="AW31" i="4"/>
  <c r="AV31" i="4"/>
  <c r="AU31" i="4"/>
  <c r="AT31" i="4"/>
  <c r="AS31" i="4"/>
  <c r="AR31" i="4"/>
  <c r="AQ31" i="4"/>
  <c r="AP31" i="4"/>
  <c r="AO31" i="4"/>
  <c r="AN31" i="4"/>
  <c r="AM31" i="4"/>
  <c r="AL31" i="4"/>
  <c r="BJ30" i="4"/>
  <c r="BI30" i="4"/>
  <c r="BH30" i="4"/>
  <c r="BG30" i="4"/>
  <c r="BF30" i="4"/>
  <c r="BE30" i="4"/>
  <c r="BD30" i="4"/>
  <c r="BC30" i="4"/>
  <c r="BB30" i="4"/>
  <c r="BA30" i="4"/>
  <c r="AZ30" i="4"/>
  <c r="AY30" i="4"/>
  <c r="AX30" i="4"/>
  <c r="AW30" i="4"/>
  <c r="AV30" i="4"/>
  <c r="AU30" i="4"/>
  <c r="AT30" i="4"/>
  <c r="AS30" i="4"/>
  <c r="AR30" i="4"/>
  <c r="AQ30" i="4"/>
  <c r="AP30" i="4"/>
  <c r="AO30" i="4"/>
  <c r="AN30" i="4"/>
  <c r="AM30" i="4"/>
  <c r="AL30" i="4"/>
  <c r="AF30" i="4"/>
  <c r="BK30" i="4" s="1"/>
  <c r="BJ28" i="4"/>
  <c r="BI28" i="4"/>
  <c r="BH28" i="4"/>
  <c r="BG28" i="4"/>
  <c r="BF28" i="4"/>
  <c r="BE28" i="4"/>
  <c r="BD28" i="4"/>
  <c r="BC28" i="4"/>
  <c r="BB28" i="4"/>
  <c r="BA28" i="4"/>
  <c r="AZ28" i="4"/>
  <c r="AY28" i="4"/>
  <c r="AX28" i="4"/>
  <c r="AW28" i="4"/>
  <c r="AV28" i="4"/>
  <c r="AU28" i="4"/>
  <c r="AT28" i="4"/>
  <c r="AS28" i="4"/>
  <c r="AR28" i="4"/>
  <c r="AQ28" i="4"/>
  <c r="AP28" i="4"/>
  <c r="AO28" i="4"/>
  <c r="AN28" i="4"/>
  <c r="AM28" i="4"/>
  <c r="AL28" i="4"/>
  <c r="AF28" i="4"/>
  <c r="BK28" i="4" s="1"/>
  <c r="BG27" i="4"/>
  <c r="BF27" i="4"/>
  <c r="BE27" i="4"/>
  <c r="BC27" i="4"/>
  <c r="BB27" i="4"/>
  <c r="BA27" i="4"/>
  <c r="AZ27" i="4"/>
  <c r="AY27" i="4"/>
  <c r="AX27" i="4"/>
  <c r="AW27" i="4"/>
  <c r="AV27" i="4"/>
  <c r="AU27" i="4"/>
  <c r="AT27" i="4"/>
  <c r="AS27" i="4"/>
  <c r="AR27" i="4"/>
  <c r="AQ27" i="4"/>
  <c r="AP27" i="4"/>
  <c r="AO27" i="4"/>
  <c r="AN27" i="4"/>
  <c r="AM27" i="4"/>
  <c r="AL27" i="4"/>
  <c r="AE27" i="4"/>
  <c r="BJ27" i="4" s="1"/>
  <c r="AD27" i="4"/>
  <c r="AD31" i="4" s="1"/>
  <c r="AC27" i="4"/>
  <c r="AC31" i="4" s="1"/>
  <c r="BH31" i="4" s="1"/>
  <c r="Y27"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F26" i="4"/>
  <c r="BJ25" i="4"/>
  <c r="BI25" i="4"/>
  <c r="BH25" i="4"/>
  <c r="BG25" i="4"/>
  <c r="BF25" i="4"/>
  <c r="BE25" i="4"/>
  <c r="BD25" i="4"/>
  <c r="BC25" i="4"/>
  <c r="BB25" i="4"/>
  <c r="BA25" i="4"/>
  <c r="AZ25" i="4"/>
  <c r="AY25" i="4"/>
  <c r="AX25" i="4"/>
  <c r="AW25" i="4"/>
  <c r="AV25" i="4"/>
  <c r="AU25" i="4"/>
  <c r="AT25" i="4"/>
  <c r="AS25" i="4"/>
  <c r="AR25" i="4"/>
  <c r="AQ25" i="4"/>
  <c r="AP25" i="4"/>
  <c r="AO25" i="4"/>
  <c r="AN25" i="4"/>
  <c r="AM25" i="4"/>
  <c r="AL25" i="4"/>
  <c r="AF25" i="4"/>
  <c r="BK25" i="4" s="1"/>
  <c r="BJ24" i="4"/>
  <c r="BI24" i="4"/>
  <c r="BH24" i="4"/>
  <c r="BG24" i="4"/>
  <c r="BF24" i="4"/>
  <c r="BE24" i="4"/>
  <c r="BD24" i="4"/>
  <c r="BC24" i="4"/>
  <c r="BB24" i="4"/>
  <c r="BA24" i="4"/>
  <c r="AZ24" i="4"/>
  <c r="AY24" i="4"/>
  <c r="AX24" i="4"/>
  <c r="AW24" i="4"/>
  <c r="AV24" i="4"/>
  <c r="AU24" i="4"/>
  <c r="AT24" i="4"/>
  <c r="AS24" i="4"/>
  <c r="AR24" i="4"/>
  <c r="AQ24" i="4"/>
  <c r="AP24" i="4"/>
  <c r="AO24" i="4"/>
  <c r="AN24" i="4"/>
  <c r="AM24" i="4"/>
  <c r="AL24" i="4"/>
  <c r="AF24" i="4"/>
  <c r="AB37" i="4" s="1"/>
  <c r="BJ23" i="4"/>
  <c r="BI23" i="4"/>
  <c r="BH23" i="4"/>
  <c r="BG23" i="4"/>
  <c r="BF23" i="4"/>
  <c r="BE23" i="4"/>
  <c r="BD23" i="4"/>
  <c r="BC23" i="4"/>
  <c r="BB23" i="4"/>
  <c r="BA23" i="4"/>
  <c r="AZ23" i="4"/>
  <c r="AY23" i="4"/>
  <c r="AX23" i="4"/>
  <c r="AW23" i="4"/>
  <c r="AV23" i="4"/>
  <c r="AU23" i="4"/>
  <c r="AT23" i="4"/>
  <c r="AS23" i="4"/>
  <c r="AR23" i="4"/>
  <c r="AQ23" i="4"/>
  <c r="AP23" i="4"/>
  <c r="AO23" i="4"/>
  <c r="AN23" i="4"/>
  <c r="AM23" i="4"/>
  <c r="AL23" i="4"/>
  <c r="AF23"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F22" i="4"/>
  <c r="AD35" i="4" s="1"/>
  <c r="BJ21" i="4"/>
  <c r="BI21" i="4"/>
  <c r="BH21" i="4"/>
  <c r="BG21" i="4"/>
  <c r="BF21" i="4"/>
  <c r="BE21" i="4"/>
  <c r="BD21" i="4"/>
  <c r="BC21" i="4"/>
  <c r="BB21" i="4"/>
  <c r="BA21" i="4"/>
  <c r="AZ21" i="4"/>
  <c r="AY21" i="4"/>
  <c r="AX21" i="4"/>
  <c r="AW21" i="4"/>
  <c r="AV21" i="4"/>
  <c r="AU21" i="4"/>
  <c r="AT21" i="4"/>
  <c r="AS21" i="4"/>
  <c r="AR21" i="4"/>
  <c r="AQ21" i="4"/>
  <c r="AP21" i="4"/>
  <c r="AO21" i="4"/>
  <c r="AN21" i="4"/>
  <c r="AM21" i="4"/>
  <c r="AL21" i="4"/>
  <c r="AF21" i="4"/>
  <c r="BK21" i="4" s="1"/>
  <c r="BJ20" i="4"/>
  <c r="BI20" i="4"/>
  <c r="BH20" i="4"/>
  <c r="BG20" i="4"/>
  <c r="BF20" i="4"/>
  <c r="BE20" i="4"/>
  <c r="BD20" i="4"/>
  <c r="BC20" i="4"/>
  <c r="BB20" i="4"/>
  <c r="BA20" i="4"/>
  <c r="AZ20" i="4"/>
  <c r="AY20" i="4"/>
  <c r="AX20" i="4"/>
  <c r="AW20" i="4"/>
  <c r="AV20" i="4"/>
  <c r="AU20" i="4"/>
  <c r="AT20" i="4"/>
  <c r="AS20" i="4"/>
  <c r="AR20" i="4"/>
  <c r="AQ20" i="4"/>
  <c r="AP20" i="4"/>
  <c r="AO20" i="4"/>
  <c r="AN20" i="4"/>
  <c r="AM20" i="4"/>
  <c r="AL20" i="4"/>
  <c r="AF20" i="4"/>
  <c r="BG17" i="4"/>
  <c r="BF17" i="4"/>
  <c r="BE17" i="4"/>
  <c r="BC17" i="4"/>
  <c r="BB17" i="4"/>
  <c r="BA17" i="4"/>
  <c r="AZ17" i="4"/>
  <c r="AY17" i="4"/>
  <c r="AX17" i="4"/>
  <c r="AW17" i="4"/>
  <c r="AV17" i="4"/>
  <c r="AU17" i="4"/>
  <c r="AT17" i="4"/>
  <c r="AS17" i="4"/>
  <c r="AR17" i="4"/>
  <c r="AQ17" i="4"/>
  <c r="AP17" i="4"/>
  <c r="AO17" i="4"/>
  <c r="AN17" i="4"/>
  <c r="AM17" i="4"/>
  <c r="AL17" i="4"/>
  <c r="AF15" i="4"/>
  <c r="BG14" i="4"/>
  <c r="BF14" i="4"/>
  <c r="BE14" i="4"/>
  <c r="BC14" i="4"/>
  <c r="BB14" i="4"/>
  <c r="BA14" i="4"/>
  <c r="AZ14" i="4"/>
  <c r="AY14" i="4"/>
  <c r="AX14" i="4"/>
  <c r="AW14" i="4"/>
  <c r="AV14" i="4"/>
  <c r="AU14" i="4"/>
  <c r="AT14" i="4"/>
  <c r="AS14" i="4"/>
  <c r="AR14" i="4"/>
  <c r="AQ14" i="4"/>
  <c r="AP14" i="4"/>
  <c r="AO14" i="4"/>
  <c r="AN14" i="4"/>
  <c r="AM14" i="4"/>
  <c r="AL14" i="4"/>
  <c r="AE14" i="4"/>
  <c r="AD14" i="4"/>
  <c r="AD17" i="4" s="1"/>
  <c r="AC14" i="4"/>
  <c r="Y14" i="4"/>
  <c r="Y17" i="4" s="1"/>
  <c r="BD17" i="4" s="1"/>
  <c r="BJ13" i="4"/>
  <c r="BI13" i="4"/>
  <c r="BH13" i="4"/>
  <c r="BG13" i="4"/>
  <c r="BF13" i="4"/>
  <c r="BE13" i="4"/>
  <c r="BD13" i="4"/>
  <c r="BC13" i="4"/>
  <c r="BB13" i="4"/>
  <c r="BA13" i="4"/>
  <c r="AZ13" i="4"/>
  <c r="AY13" i="4"/>
  <c r="AX13" i="4"/>
  <c r="AW13" i="4"/>
  <c r="AV13" i="4"/>
  <c r="AU13" i="4"/>
  <c r="AT13" i="4"/>
  <c r="AS13" i="4"/>
  <c r="AR13" i="4"/>
  <c r="AQ13" i="4"/>
  <c r="AP13" i="4"/>
  <c r="AO13" i="4"/>
  <c r="AN13" i="4"/>
  <c r="AM13" i="4"/>
  <c r="AL13" i="4"/>
  <c r="AF13" i="4"/>
  <c r="BK13" i="4" s="1"/>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F12" i="4"/>
  <c r="BK12" i="4" s="1"/>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F11" i="4"/>
  <c r="BK11" i="4" s="1"/>
  <c r="BJ10" i="4"/>
  <c r="BI10" i="4"/>
  <c r="BH10" i="4"/>
  <c r="BG10" i="4"/>
  <c r="BF10" i="4"/>
  <c r="BE10" i="4"/>
  <c r="BD10" i="4"/>
  <c r="BC10" i="4"/>
  <c r="BB10" i="4"/>
  <c r="BA10" i="4"/>
  <c r="AZ10" i="4"/>
  <c r="AY10" i="4"/>
  <c r="AX10" i="4"/>
  <c r="AW10" i="4"/>
  <c r="AV10" i="4"/>
  <c r="AU10" i="4"/>
  <c r="AT10" i="4"/>
  <c r="AS10" i="4"/>
  <c r="AR10" i="4"/>
  <c r="AQ10" i="4"/>
  <c r="AP10" i="4"/>
  <c r="AO10" i="4"/>
  <c r="AN10" i="4"/>
  <c r="AM10" i="4"/>
  <c r="AL10" i="4"/>
  <c r="AF10" i="4"/>
  <c r="BK10" i="4" s="1"/>
  <c r="BJ9" i="4"/>
  <c r="BI9" i="4"/>
  <c r="BH9" i="4"/>
  <c r="BG9" i="4"/>
  <c r="BF9" i="4"/>
  <c r="BE9" i="4"/>
  <c r="BD9" i="4"/>
  <c r="BC9" i="4"/>
  <c r="BB9" i="4"/>
  <c r="BA9" i="4"/>
  <c r="AZ9" i="4"/>
  <c r="AY9" i="4"/>
  <c r="AX9" i="4"/>
  <c r="AW9" i="4"/>
  <c r="AV9" i="4"/>
  <c r="AU9" i="4"/>
  <c r="AT9" i="4"/>
  <c r="AS9" i="4"/>
  <c r="AR9" i="4"/>
  <c r="AQ9" i="4"/>
  <c r="AP9" i="4"/>
  <c r="AO9" i="4"/>
  <c r="AN9" i="4"/>
  <c r="AM9" i="4"/>
  <c r="AL9" i="4"/>
  <c r="AF9" i="4"/>
  <c r="BK9" i="4" s="1"/>
  <c r="BJ8" i="4"/>
  <c r="BI8" i="4"/>
  <c r="BH8" i="4"/>
  <c r="BG8" i="4"/>
  <c r="BF8" i="4"/>
  <c r="BE8" i="4"/>
  <c r="BD8" i="4"/>
  <c r="BC8" i="4"/>
  <c r="BB8" i="4"/>
  <c r="BA8" i="4"/>
  <c r="AZ8" i="4"/>
  <c r="AY8" i="4"/>
  <c r="AX8" i="4"/>
  <c r="AW8" i="4"/>
  <c r="AV8" i="4"/>
  <c r="AU8" i="4"/>
  <c r="AT8" i="4"/>
  <c r="AS8" i="4"/>
  <c r="AR8" i="4"/>
  <c r="AQ8" i="4"/>
  <c r="AP8" i="4"/>
  <c r="AO8" i="4"/>
  <c r="AN8" i="4"/>
  <c r="AM8" i="4"/>
  <c r="AL8" i="4"/>
  <c r="AF8" i="4"/>
  <c r="BJ7" i="4"/>
  <c r="BI7" i="4"/>
  <c r="BH7" i="4"/>
  <c r="BG7" i="4"/>
  <c r="BF7" i="4"/>
  <c r="BE7" i="4"/>
  <c r="BD7" i="4"/>
  <c r="BC7" i="4"/>
  <c r="BB7" i="4"/>
  <c r="BA7" i="4"/>
  <c r="AZ7" i="4"/>
  <c r="AY7" i="4"/>
  <c r="AX7" i="4"/>
  <c r="AW7" i="4"/>
  <c r="AV7" i="4"/>
  <c r="AU7" i="4"/>
  <c r="AT7" i="4"/>
  <c r="AS7" i="4"/>
  <c r="AR7" i="4"/>
  <c r="AQ7" i="4"/>
  <c r="AP7" i="4"/>
  <c r="AO7" i="4"/>
  <c r="AN7" i="4"/>
  <c r="AM7" i="4"/>
  <c r="AL7" i="4"/>
  <c r="AF7" i="4"/>
  <c r="BK7" i="4" s="1"/>
  <c r="W278" i="12"/>
  <c r="V278" i="12"/>
  <c r="U278" i="12"/>
  <c r="T278" i="12"/>
  <c r="S278" i="12"/>
  <c r="R278" i="12"/>
  <c r="Q278" i="12"/>
  <c r="P278" i="12"/>
  <c r="O278" i="12"/>
  <c r="N278" i="12"/>
  <c r="M278" i="12"/>
  <c r="L278" i="12"/>
  <c r="K278" i="12"/>
  <c r="J278" i="12"/>
  <c r="I278" i="12"/>
  <c r="H278" i="12"/>
  <c r="G278" i="12"/>
  <c r="V275" i="12"/>
  <c r="V274" i="12"/>
  <c r="B271" i="12"/>
  <c r="B275" i="12" s="1"/>
  <c r="B270" i="12"/>
  <c r="B269" i="12"/>
  <c r="B274" i="12" s="1"/>
  <c r="W262" i="12"/>
  <c r="V262" i="12"/>
  <c r="U262" i="12"/>
  <c r="T262" i="12"/>
  <c r="S262" i="12"/>
  <c r="R262" i="12"/>
  <c r="Q262" i="12"/>
  <c r="P262" i="12"/>
  <c r="O262" i="12"/>
  <c r="N262" i="12"/>
  <c r="M262" i="12"/>
  <c r="L262" i="12"/>
  <c r="K262" i="12"/>
  <c r="J262" i="12"/>
  <c r="I262" i="12"/>
  <c r="H262" i="12"/>
  <c r="G262" i="12"/>
  <c r="AO255" i="12"/>
  <c r="AN255" i="12"/>
  <c r="AM255" i="12"/>
  <c r="AL255" i="12"/>
  <c r="AK255" i="12"/>
  <c r="AJ255" i="12"/>
  <c r="AI255" i="12"/>
  <c r="AH255" i="12"/>
  <c r="AG255" i="12"/>
  <c r="AF255" i="12"/>
  <c r="AE255" i="12"/>
  <c r="AD255" i="12"/>
  <c r="AC255" i="12"/>
  <c r="AB255" i="12"/>
  <c r="AO254" i="12"/>
  <c r="AO256" i="12" s="1"/>
  <c r="AN254" i="12"/>
  <c r="AN256" i="12" s="1"/>
  <c r="AM254" i="12"/>
  <c r="AM256" i="12" s="1"/>
  <c r="AL254" i="12"/>
  <c r="AL256" i="12" s="1"/>
  <c r="AK254" i="12"/>
  <c r="AK256" i="12" s="1"/>
  <c r="AJ254" i="12"/>
  <c r="AJ256" i="12" s="1"/>
  <c r="AI254" i="12"/>
  <c r="AI256" i="12" s="1"/>
  <c r="AH254" i="12"/>
  <c r="AH256" i="12" s="1"/>
  <c r="AG254" i="12"/>
  <c r="AF254" i="12"/>
  <c r="AE254" i="12"/>
  <c r="AE256" i="12" s="1"/>
  <c r="AD254" i="12"/>
  <c r="AD256" i="12" s="1"/>
  <c r="AA254" i="12"/>
  <c r="Z254" i="12"/>
  <c r="X254" i="12"/>
  <c r="W254" i="12"/>
  <c r="V254" i="12"/>
  <c r="U254" i="12"/>
  <c r="T254" i="12"/>
  <c r="S254" i="12"/>
  <c r="R254" i="12"/>
  <c r="Q254" i="12"/>
  <c r="P254" i="12"/>
  <c r="O254" i="12"/>
  <c r="N254" i="12"/>
  <c r="M254" i="12"/>
  <c r="L254" i="12"/>
  <c r="K254" i="12"/>
  <c r="J254" i="12"/>
  <c r="I254" i="12"/>
  <c r="H254" i="12"/>
  <c r="G254" i="12"/>
  <c r="F254" i="12"/>
  <c r="AC251" i="12"/>
  <c r="AC254" i="12" s="1"/>
  <c r="AC256" i="12" s="1"/>
  <c r="AB251" i="12"/>
  <c r="AB254" i="12" s="1"/>
  <c r="AB256" i="12" s="1"/>
  <c r="AB245" i="12"/>
  <c r="BR234" i="12" s="1"/>
  <c r="AA245" i="12"/>
  <c r="BQ234" i="12" s="1"/>
  <c r="AC244" i="12"/>
  <c r="BY242" i="12"/>
  <c r="BX242" i="12"/>
  <c r="BW242" i="12"/>
  <c r="BV242" i="12"/>
  <c r="CA241" i="12"/>
  <c r="CA242" i="12" s="1"/>
  <c r="BZ241" i="12"/>
  <c r="BZ242" i="12" s="1"/>
  <c r="BY241" i="12"/>
  <c r="BX241" i="12"/>
  <c r="BW241" i="12"/>
  <c r="BV241" i="12"/>
  <c r="V240" i="12"/>
  <c r="S240" i="12"/>
  <c r="B240" i="12"/>
  <c r="BU239" i="12"/>
  <c r="BT239" i="12"/>
  <c r="BS239" i="12"/>
  <c r="BR239" i="12"/>
  <c r="BQ239" i="12"/>
  <c r="Z239" i="12"/>
  <c r="Y239" i="12"/>
  <c r="V239" i="12"/>
  <c r="U239" i="12"/>
  <c r="O239" i="12"/>
  <c r="Q239" i="12" s="1"/>
  <c r="K239" i="12"/>
  <c r="B239" i="12"/>
  <c r="Z238" i="12"/>
  <c r="Y238" i="12"/>
  <c r="V238" i="12"/>
  <c r="U238" i="12"/>
  <c r="Q238" i="12"/>
  <c r="K238" i="12"/>
  <c r="B238" i="12"/>
  <c r="Z237" i="12"/>
  <c r="Y237" i="12"/>
  <c r="V237" i="12"/>
  <c r="U237" i="12"/>
  <c r="Q237" i="12"/>
  <c r="K237" i="12"/>
  <c r="B237" i="12"/>
  <c r="AO235" i="12"/>
  <c r="AN235" i="12"/>
  <c r="AM235" i="12"/>
  <c r="AL235" i="12"/>
  <c r="AK235" i="12"/>
  <c r="AJ235" i="12"/>
  <c r="AI235" i="12"/>
  <c r="AH235" i="12"/>
  <c r="AG235" i="12"/>
  <c r="AF235" i="12"/>
  <c r="AE235" i="12"/>
  <c r="AD235" i="12"/>
  <c r="AC235" i="12"/>
  <c r="AB235" i="12"/>
  <c r="AA235" i="12"/>
  <c r="Z235" i="12"/>
  <c r="Y235" i="12"/>
  <c r="W235" i="12"/>
  <c r="BS234" i="12"/>
  <c r="BP234" i="12"/>
  <c r="BO234" i="12"/>
  <c r="BN234" i="12"/>
  <c r="BM234" i="12"/>
  <c r="AG233" i="12"/>
  <c r="AF233" i="12"/>
  <c r="AE233" i="12"/>
  <c r="AD233" i="12"/>
  <c r="AC233" i="12"/>
  <c r="AB233" i="12"/>
  <c r="AA233" i="12"/>
  <c r="Z233" i="12"/>
  <c r="Y233" i="12"/>
  <c r="X232" i="12"/>
  <c r="AA255" i="12" s="1"/>
  <c r="V232" i="12"/>
  <c r="U232" i="12"/>
  <c r="T232" i="12"/>
  <c r="T241" i="12" s="1"/>
  <c r="S232" i="12"/>
  <c r="R232" i="12"/>
  <c r="R241" i="12" s="1"/>
  <c r="Q232" i="12"/>
  <c r="P232" i="12"/>
  <c r="O232" i="12"/>
  <c r="N232" i="12"/>
  <c r="N241" i="12" s="1"/>
  <c r="M232" i="12"/>
  <c r="M241" i="12" s="1"/>
  <c r="L232" i="12"/>
  <c r="L241" i="12" s="1"/>
  <c r="K232" i="12"/>
  <c r="J232" i="12"/>
  <c r="I232" i="12"/>
  <c r="H232" i="12"/>
  <c r="G232" i="12"/>
  <c r="F232" i="12"/>
  <c r="E232" i="12"/>
  <c r="D232" i="12"/>
  <c r="C232" i="12"/>
  <c r="BJ231" i="12"/>
  <c r="BI231" i="12"/>
  <c r="BH231" i="12"/>
  <c r="BG231" i="12"/>
  <c r="BF231" i="12"/>
  <c r="BE231" i="12"/>
  <c r="BD231" i="12"/>
  <c r="BC231" i="12"/>
  <c r="BB231" i="12"/>
  <c r="BA231" i="12"/>
  <c r="AZ231" i="12"/>
  <c r="AY231" i="12"/>
  <c r="AX231" i="12"/>
  <c r="AW231" i="12"/>
  <c r="AV231" i="12"/>
  <c r="AU231" i="12"/>
  <c r="AT231" i="12"/>
  <c r="AS231" i="12"/>
  <c r="B231" i="12"/>
  <c r="AR231" i="12" s="1"/>
  <c r="BJ230" i="12"/>
  <c r="BI230" i="12"/>
  <c r="BH230" i="12"/>
  <c r="BG230" i="12"/>
  <c r="BF230" i="12"/>
  <c r="BE230" i="12"/>
  <c r="BD230" i="12"/>
  <c r="BC230" i="12"/>
  <c r="BB230" i="12"/>
  <c r="BA230" i="12"/>
  <c r="AZ230" i="12"/>
  <c r="AY230" i="12"/>
  <c r="AX230" i="12"/>
  <c r="AW230" i="12"/>
  <c r="AV230" i="12"/>
  <c r="AU230" i="12"/>
  <c r="AT230" i="12"/>
  <c r="AS230" i="12"/>
  <c r="B230" i="12"/>
  <c r="AR230" i="12" s="1"/>
  <c r="BJ229" i="12"/>
  <c r="BH229" i="12"/>
  <c r="BG229" i="12"/>
  <c r="BF229" i="12"/>
  <c r="BE229" i="12"/>
  <c r="BD229" i="12"/>
  <c r="BC229" i="12"/>
  <c r="BB229" i="12"/>
  <c r="BA229" i="12"/>
  <c r="AZ229" i="12"/>
  <c r="AY229" i="12"/>
  <c r="AX229" i="12"/>
  <c r="AW229" i="12"/>
  <c r="AV229" i="12"/>
  <c r="AU229" i="12"/>
  <c r="AT229" i="12"/>
  <c r="AS229" i="12"/>
  <c r="W229" i="12"/>
  <c r="BI229" i="12" s="1"/>
  <c r="B229" i="12"/>
  <c r="AR229" i="12" s="1"/>
  <c r="AG227" i="12"/>
  <c r="AE224" i="12"/>
  <c r="AB224" i="12"/>
  <c r="AA224" i="12"/>
  <c r="W221" i="12"/>
  <c r="Z220" i="12"/>
  <c r="Z221" i="12" s="1"/>
  <c r="Y220" i="12"/>
  <c r="U220" i="12"/>
  <c r="U240" i="12" s="1"/>
  <c r="S220" i="12"/>
  <c r="Q220" i="12"/>
  <c r="Q240" i="12" s="1"/>
  <c r="P240" i="12" s="1"/>
  <c r="O219" i="12"/>
  <c r="Q219" i="12" s="1"/>
  <c r="K219" i="12"/>
  <c r="Q218" i="12"/>
  <c r="K218" i="12"/>
  <c r="S217" i="12"/>
  <c r="Q217" i="12"/>
  <c r="K217" i="12"/>
  <c r="BZ215" i="12"/>
  <c r="BY215" i="12"/>
  <c r="BY239" i="12" s="1"/>
  <c r="BX215" i="12"/>
  <c r="BX239" i="12" s="1"/>
  <c r="BW215" i="12"/>
  <c r="BW239" i="12" s="1"/>
  <c r="BV215" i="12"/>
  <c r="BV239" i="12" s="1"/>
  <c r="BP215" i="12"/>
  <c r="BP239" i="12" s="1"/>
  <c r="BO215" i="12"/>
  <c r="BO239" i="12" s="1"/>
  <c r="BN215" i="12"/>
  <c r="BN239" i="12" s="1"/>
  <c r="BM215" i="12"/>
  <c r="BM239" i="12" s="1"/>
  <c r="BL215" i="12"/>
  <c r="BL239" i="12" s="1"/>
  <c r="BK215" i="12"/>
  <c r="BK239" i="12" s="1"/>
  <c r="AR215" i="12"/>
  <c r="AP215" i="12"/>
  <c r="AP222" i="12" s="1"/>
  <c r="CB215" i="12" s="1"/>
  <c r="X215" i="12"/>
  <c r="X235" i="12" s="1"/>
  <c r="V215" i="12"/>
  <c r="V221" i="12" s="1"/>
  <c r="U215" i="12"/>
  <c r="T215" i="12"/>
  <c r="S215" i="12"/>
  <c r="V192" i="5" s="1"/>
  <c r="R215" i="12"/>
  <c r="R221" i="12" s="1"/>
  <c r="Q215" i="12"/>
  <c r="P215" i="12"/>
  <c r="O215" i="12"/>
  <c r="N215" i="12"/>
  <c r="N221" i="12" s="1"/>
  <c r="M215" i="12"/>
  <c r="M221" i="12" s="1"/>
  <c r="L215" i="12"/>
  <c r="L221" i="12" s="1"/>
  <c r="K215" i="12"/>
  <c r="L192" i="5" s="1"/>
  <c r="J215" i="12"/>
  <c r="J192" i="5" s="1"/>
  <c r="I215" i="12"/>
  <c r="H215" i="12"/>
  <c r="G215" i="12"/>
  <c r="F215" i="12"/>
  <c r="E215" i="12"/>
  <c r="D215" i="12"/>
  <c r="C215" i="12"/>
  <c r="BJ214" i="12"/>
  <c r="BI214" i="12"/>
  <c r="BH214" i="12"/>
  <c r="BG214" i="12"/>
  <c r="BF214" i="12"/>
  <c r="BE214" i="12"/>
  <c r="BD214" i="12"/>
  <c r="BC214" i="12"/>
  <c r="BB214" i="12"/>
  <c r="BA214" i="12"/>
  <c r="AZ214" i="12"/>
  <c r="AY214" i="12"/>
  <c r="AX214" i="12"/>
  <c r="AW214" i="12"/>
  <c r="AV214" i="12"/>
  <c r="AU214" i="12"/>
  <c r="AT214" i="12"/>
  <c r="AS214" i="12"/>
  <c r="AR214" i="12"/>
  <c r="BJ213" i="12"/>
  <c r="BI213" i="12"/>
  <c r="BH213" i="12"/>
  <c r="BG213" i="12"/>
  <c r="BF213" i="12"/>
  <c r="BE213" i="12"/>
  <c r="BD213" i="12"/>
  <c r="BC213" i="12"/>
  <c r="BB213" i="12"/>
  <c r="BA213" i="12"/>
  <c r="AZ213" i="12"/>
  <c r="AY213" i="12"/>
  <c r="AX213" i="12"/>
  <c r="AW213" i="12"/>
  <c r="AV213" i="12"/>
  <c r="AU213" i="12"/>
  <c r="AT213" i="12"/>
  <c r="AS213" i="12"/>
  <c r="AR213" i="12"/>
  <c r="Z213" i="12"/>
  <c r="Y213" i="12"/>
  <c r="BJ212" i="12"/>
  <c r="BH212" i="12"/>
  <c r="BG212" i="12"/>
  <c r="BF212" i="12"/>
  <c r="BE212" i="12"/>
  <c r="BD212" i="12"/>
  <c r="BC212" i="12"/>
  <c r="BB212" i="12"/>
  <c r="BA212" i="12"/>
  <c r="AZ212" i="12"/>
  <c r="AY212" i="12"/>
  <c r="AX212" i="12"/>
  <c r="AW212" i="12"/>
  <c r="AV212" i="12"/>
  <c r="AU212" i="12"/>
  <c r="AT212" i="12"/>
  <c r="AS212" i="12"/>
  <c r="AR212" i="12"/>
  <c r="W212" i="12"/>
  <c r="BI212" i="12" s="1"/>
  <c r="CB211" i="12"/>
  <c r="CB238" i="12" s="1"/>
  <c r="CA211" i="12"/>
  <c r="CA238" i="12" s="1"/>
  <c r="BZ211" i="12"/>
  <c r="BZ238" i="12" s="1"/>
  <c r="BY211" i="12"/>
  <c r="BY238" i="12" s="1"/>
  <c r="BX211" i="12"/>
  <c r="BX238" i="12" s="1"/>
  <c r="BW211" i="12"/>
  <c r="BW238" i="12" s="1"/>
  <c r="BV211" i="12"/>
  <c r="BV238" i="12" s="1"/>
  <c r="BU211" i="12"/>
  <c r="BU238" i="12" s="1"/>
  <c r="BT211" i="12"/>
  <c r="BT238" i="12" s="1"/>
  <c r="BS211" i="12"/>
  <c r="BS238" i="12" s="1"/>
  <c r="BR211" i="12"/>
  <c r="BR238" i="12" s="1"/>
  <c r="BQ211" i="12"/>
  <c r="BQ238" i="12" s="1"/>
  <c r="BP211" i="12"/>
  <c r="BP238" i="12" s="1"/>
  <c r="BO211" i="12"/>
  <c r="BO238" i="12" s="1"/>
  <c r="BN211" i="12"/>
  <c r="BN238" i="12" s="1"/>
  <c r="BM211" i="12"/>
  <c r="BM238" i="12" s="1"/>
  <c r="BL211" i="12"/>
  <c r="BL238" i="12" s="1"/>
  <c r="BK211" i="12"/>
  <c r="BK238" i="12" s="1"/>
  <c r="BJ211" i="12"/>
  <c r="BJ238" i="12" s="1"/>
  <c r="BI211" i="12"/>
  <c r="BI238" i="12" s="1"/>
  <c r="BH211" i="12"/>
  <c r="BH238" i="12" s="1"/>
  <c r="BG211" i="12"/>
  <c r="BG238" i="12" s="1"/>
  <c r="BF211" i="12"/>
  <c r="BF238" i="12" s="1"/>
  <c r="BE211" i="12"/>
  <c r="BE238" i="12" s="1"/>
  <c r="BD211" i="12"/>
  <c r="BD238" i="12" s="1"/>
  <c r="BC211" i="12"/>
  <c r="BC238" i="12" s="1"/>
  <c r="BB211" i="12"/>
  <c r="BB238" i="12" s="1"/>
  <c r="BA211" i="12"/>
  <c r="BA238" i="12" s="1"/>
  <c r="AZ211" i="12"/>
  <c r="AY211" i="12"/>
  <c r="AX211" i="12"/>
  <c r="AW211" i="12"/>
  <c r="AV211" i="12"/>
  <c r="AU211" i="12"/>
  <c r="AT211" i="12"/>
  <c r="AS211" i="12"/>
  <c r="H171" i="12"/>
  <c r="G171" i="12"/>
  <c r="H165" i="12"/>
  <c r="G165" i="12"/>
  <c r="G166" i="12" s="1"/>
  <c r="R156" i="12"/>
  <c r="Q156" i="12"/>
  <c r="P156" i="12"/>
  <c r="O156" i="12"/>
  <c r="N156" i="12"/>
  <c r="M156" i="12"/>
  <c r="L156" i="12"/>
  <c r="K156" i="12"/>
  <c r="J156" i="12"/>
  <c r="I156" i="12"/>
  <c r="H156" i="12"/>
  <c r="C156" i="12"/>
  <c r="K143" i="12"/>
  <c r="AT186" i="5" s="1"/>
  <c r="D3209" i="3" s="1"/>
  <c r="J143" i="12"/>
  <c r="I143" i="12"/>
  <c r="H143" i="12"/>
  <c r="AE186" i="5" s="1"/>
  <c r="G143" i="12"/>
  <c r="F143" i="12"/>
  <c r="E143" i="12"/>
  <c r="E140" i="12"/>
  <c r="F140" i="12" s="1"/>
  <c r="G140" i="12" s="1"/>
  <c r="H140" i="12" s="1"/>
  <c r="C138" i="12"/>
  <c r="D133" i="12"/>
  <c r="C133" i="12"/>
  <c r="E130" i="12"/>
  <c r="F130" i="12" s="1"/>
  <c r="G130" i="12" s="1"/>
  <c r="H130" i="12" s="1"/>
  <c r="B126" i="12"/>
  <c r="C115" i="12"/>
  <c r="C103" i="12"/>
  <c r="D96" i="12"/>
  <c r="D129" i="12" s="1"/>
  <c r="C96" i="12"/>
  <c r="C129" i="12" s="1"/>
  <c r="G92" i="12"/>
  <c r="F92" i="12"/>
  <c r="E92" i="12"/>
  <c r="D92" i="12"/>
  <c r="C92" i="12"/>
  <c r="G90" i="12"/>
  <c r="F90" i="12"/>
  <c r="E90" i="12"/>
  <c r="D90" i="12"/>
  <c r="A88" i="12"/>
  <c r="G88" i="12" s="1"/>
  <c r="A87" i="12"/>
  <c r="R87" i="12" s="1"/>
  <c r="A86" i="12"/>
  <c r="R86" i="12" s="1"/>
  <c r="A85" i="12"/>
  <c r="G85" i="12" s="1"/>
  <c r="A84" i="12"/>
  <c r="F84" i="12" s="1"/>
  <c r="A83" i="12"/>
  <c r="F83" i="12" s="1"/>
  <c r="A82" i="12"/>
  <c r="M82" i="12" s="1"/>
  <c r="A81" i="12"/>
  <c r="D81" i="12" s="1"/>
  <c r="A80" i="12"/>
  <c r="A79" i="12"/>
  <c r="K79" i="12" s="1"/>
  <c r="A78" i="12"/>
  <c r="P78" i="12" s="1"/>
  <c r="A77" i="12"/>
  <c r="D77" i="12" s="1"/>
  <c r="I71" i="12"/>
  <c r="J71" i="12" s="1"/>
  <c r="I70" i="12"/>
  <c r="H69" i="12"/>
  <c r="I69" i="12" s="1"/>
  <c r="H68" i="12"/>
  <c r="H67" i="12"/>
  <c r="I67" i="12" s="1"/>
  <c r="C67" i="12"/>
  <c r="D84" i="12" s="1"/>
  <c r="H66" i="12"/>
  <c r="C66" i="12"/>
  <c r="H65" i="12"/>
  <c r="H64" i="12"/>
  <c r="H63" i="12"/>
  <c r="I63" i="12" s="1"/>
  <c r="C63" i="12"/>
  <c r="C62" i="12"/>
  <c r="H61" i="12"/>
  <c r="C61" i="12"/>
  <c r="H60" i="12"/>
  <c r="I60" i="12" s="1"/>
  <c r="E60" i="12"/>
  <c r="K58" i="12"/>
  <c r="J58" i="12"/>
  <c r="I58" i="12"/>
  <c r="H58" i="12"/>
  <c r="G58" i="12"/>
  <c r="F58" i="12"/>
  <c r="E58" i="12"/>
  <c r="D58" i="12"/>
  <c r="C58" i="12"/>
  <c r="D57" i="12"/>
  <c r="C57" i="12"/>
  <c r="I52" i="12"/>
  <c r="I97" i="12" s="1"/>
  <c r="H52" i="12"/>
  <c r="H97" i="12" s="1"/>
  <c r="I50" i="12"/>
  <c r="J50" i="12" s="1"/>
  <c r="J49" i="12" s="1"/>
  <c r="J52" i="12" s="1"/>
  <c r="J53" i="12" s="1"/>
  <c r="H50" i="12"/>
  <c r="G50" i="12"/>
  <c r="F50" i="12"/>
  <c r="E50" i="12"/>
  <c r="I45" i="12"/>
  <c r="H45" i="12"/>
  <c r="G45" i="12"/>
  <c r="F45" i="12"/>
  <c r="E45" i="12"/>
  <c r="D45" i="12"/>
  <c r="C45" i="12"/>
  <c r="I40" i="12"/>
  <c r="I44" i="12" s="1"/>
  <c r="G40" i="12"/>
  <c r="G44" i="12" s="1"/>
  <c r="F40" i="12"/>
  <c r="F44" i="12" s="1"/>
  <c r="E40" i="12"/>
  <c r="E44" i="12" s="1"/>
  <c r="D40" i="12"/>
  <c r="D44" i="12" s="1"/>
  <c r="C40" i="12"/>
  <c r="C44" i="12" s="1"/>
  <c r="K37" i="12"/>
  <c r="J37" i="12"/>
  <c r="H35" i="12"/>
  <c r="I32" i="12"/>
  <c r="H32" i="12"/>
  <c r="G29" i="12"/>
  <c r="K21" i="12"/>
  <c r="J21" i="12"/>
  <c r="I21" i="12"/>
  <c r="H21" i="12"/>
  <c r="G21" i="12"/>
  <c r="O19" i="12"/>
  <c r="P19" i="12" s="1"/>
  <c r="K19" i="12"/>
  <c r="J19" i="12"/>
  <c r="I19" i="12"/>
  <c r="H19" i="12"/>
  <c r="G19" i="12"/>
  <c r="K18" i="12"/>
  <c r="J18" i="12"/>
  <c r="I18" i="12"/>
  <c r="H18" i="12"/>
  <c r="M17" i="12"/>
  <c r="M21" i="12" s="1"/>
  <c r="L17" i="12"/>
  <c r="K16" i="12"/>
  <c r="J16" i="12"/>
  <c r="I16" i="12"/>
  <c r="H16" i="12"/>
  <c r="AX14" i="12"/>
  <c r="AW14" i="12"/>
  <c r="AV14" i="12"/>
  <c r="AU14" i="12"/>
  <c r="AT14" i="12"/>
  <c r="AS14" i="12"/>
  <c r="AR14" i="12"/>
  <c r="G8" i="12"/>
  <c r="H8" i="12" s="1"/>
  <c r="AR7" i="12"/>
  <c r="M6" i="12"/>
  <c r="AX7" i="12" s="1"/>
  <c r="L6" i="12"/>
  <c r="AW7" i="12" s="1"/>
  <c r="K6" i="12"/>
  <c r="AV7" i="12" s="1"/>
  <c r="J6" i="12"/>
  <c r="AU7" i="12" s="1"/>
  <c r="I6" i="12"/>
  <c r="AT7" i="12" s="1"/>
  <c r="H6" i="12"/>
  <c r="AS7" i="12" s="1"/>
  <c r="G6" i="12"/>
  <c r="AS6" i="12" s="1"/>
  <c r="F6" i="12"/>
  <c r="AR5" i="12"/>
  <c r="AS5" i="12" s="1"/>
  <c r="AT5" i="12" s="1"/>
  <c r="AU5" i="12" s="1"/>
  <c r="AV5" i="12" s="1"/>
  <c r="AW5" i="12" s="1"/>
  <c r="AX5" i="12" s="1"/>
  <c r="S5" i="12"/>
  <c r="N5" i="12"/>
  <c r="O5" i="12" s="1"/>
  <c r="P5" i="12" s="1"/>
  <c r="Q5" i="12" s="1"/>
  <c r="E4" i="12"/>
  <c r="R159" i="11"/>
  <c r="Q159" i="11"/>
  <c r="R154" i="11"/>
  <c r="Q154" i="11"/>
  <c r="R147" i="11"/>
  <c r="R148" i="11" s="1"/>
  <c r="Q147" i="11"/>
  <c r="Q148" i="11" s="1"/>
  <c r="R144" i="11"/>
  <c r="O139" i="11"/>
  <c r="O140" i="11" s="1"/>
  <c r="O137" i="11"/>
  <c r="O132" i="11"/>
  <c r="P113" i="11"/>
  <c r="C186" i="16" s="1"/>
  <c r="S112" i="11"/>
  <c r="F495" i="16" s="1"/>
  <c r="Q110" i="11"/>
  <c r="S109" i="11"/>
  <c r="T109" i="11" s="1"/>
  <c r="R109" i="11"/>
  <c r="R106" i="11" s="1"/>
  <c r="E181" i="16" s="1"/>
  <c r="Z104" i="11"/>
  <c r="Q104" i="11"/>
  <c r="S103" i="11"/>
  <c r="S104" i="11" s="1"/>
  <c r="U104" i="11" s="1"/>
  <c r="S99" i="11"/>
  <c r="R99" i="11"/>
  <c r="Q99" i="11"/>
  <c r="S97" i="11"/>
  <c r="R97" i="11"/>
  <c r="K356" i="1" s="1"/>
  <c r="S92" i="11"/>
  <c r="S95" i="11" s="1"/>
  <c r="T95" i="11" s="1"/>
  <c r="U95" i="11" s="1"/>
  <c r="V95" i="11" s="1"/>
  <c r="W95" i="11" s="1"/>
  <c r="X95" i="11" s="1"/>
  <c r="Y95" i="11" s="1"/>
  <c r="Z95" i="11" s="1"/>
  <c r="AA95" i="11" s="1"/>
  <c r="AB95" i="11" s="1"/>
  <c r="AC95" i="11" s="1"/>
  <c r="AD95" i="11" s="1"/>
  <c r="AE95" i="11" s="1"/>
  <c r="R92" i="11"/>
  <c r="R95" i="11" s="1"/>
  <c r="T87" i="11"/>
  <c r="U87" i="11" s="1"/>
  <c r="V87" i="11" s="1"/>
  <c r="S73" i="11"/>
  <c r="R73" i="11"/>
  <c r="S72" i="11"/>
  <c r="T72" i="11" s="1"/>
  <c r="R72" i="11"/>
  <c r="S67" i="11"/>
  <c r="R67" i="11"/>
  <c r="V59" i="11"/>
  <c r="W59" i="11" s="1"/>
  <c r="X59" i="11" s="1"/>
  <c r="Y59" i="11" s="1"/>
  <c r="Z59" i="11" s="1"/>
  <c r="AA59" i="11" s="1"/>
  <c r="AB59" i="11" s="1"/>
  <c r="AC59" i="11" s="1"/>
  <c r="AD59" i="11" s="1"/>
  <c r="AE59" i="11" s="1"/>
  <c r="T59" i="11"/>
  <c r="U60" i="11" s="1"/>
  <c r="P59" i="11"/>
  <c r="S56" i="11"/>
  <c r="R56" i="11"/>
  <c r="S51" i="11"/>
  <c r="S48" i="11"/>
  <c r="T48" i="11" s="1"/>
  <c r="U48" i="11" s="1"/>
  <c r="R48" i="11"/>
  <c r="R37" i="11" s="1"/>
  <c r="E138" i="16" s="1"/>
  <c r="U40" i="11"/>
  <c r="Q40" i="11"/>
  <c r="R40" i="11" s="1"/>
  <c r="AA34" i="11"/>
  <c r="AB34" i="11" s="1"/>
  <c r="AB30" i="11" s="1"/>
  <c r="Z30" i="11"/>
  <c r="Y30" i="11"/>
  <c r="X30" i="11"/>
  <c r="W30" i="11"/>
  <c r="V30" i="11"/>
  <c r="U30" i="11"/>
  <c r="T30" i="11"/>
  <c r="Q30" i="11"/>
  <c r="P30" i="11"/>
  <c r="O30" i="11"/>
  <c r="N30" i="11"/>
  <c r="M30" i="11"/>
  <c r="L30" i="11"/>
  <c r="K30" i="11"/>
  <c r="J30" i="11"/>
  <c r="I30" i="11"/>
  <c r="H30" i="11"/>
  <c r="G30" i="11"/>
  <c r="Y25" i="11"/>
  <c r="Z25" i="11" s="1"/>
  <c r="AA25" i="11" s="1"/>
  <c r="Q19" i="11"/>
  <c r="P19" i="11"/>
  <c r="O19" i="11"/>
  <c r="N19" i="11"/>
  <c r="M19" i="11"/>
  <c r="L19" i="11"/>
  <c r="K19" i="11"/>
  <c r="J19" i="11"/>
  <c r="I19" i="11"/>
  <c r="H19" i="11"/>
  <c r="S16" i="11"/>
  <c r="Q16" i="11"/>
  <c r="Q23" i="11" s="1"/>
  <c r="P16" i="11"/>
  <c r="P25" i="11" s="1"/>
  <c r="O16" i="11"/>
  <c r="O26" i="11" s="1"/>
  <c r="N16" i="11"/>
  <c r="M16" i="11"/>
  <c r="M23" i="11" s="1"/>
  <c r="L16" i="11"/>
  <c r="L27" i="11" s="1"/>
  <c r="K16" i="11"/>
  <c r="K24" i="11" s="1"/>
  <c r="J16" i="11"/>
  <c r="I16" i="11"/>
  <c r="I22" i="11" s="1"/>
  <c r="H16" i="11"/>
  <c r="H25" i="11" s="1"/>
  <c r="G16" i="11"/>
  <c r="G26" i="11" s="1"/>
  <c r="R12" i="11"/>
  <c r="R19" i="11" s="1"/>
  <c r="L4" i="11"/>
  <c r="M4" i="11" s="1"/>
  <c r="N4" i="11" s="1"/>
  <c r="O4" i="11" s="1"/>
  <c r="P4" i="11" s="1"/>
  <c r="Q4" i="11" s="1"/>
  <c r="R4" i="11" s="1"/>
  <c r="S4" i="11" s="1"/>
  <c r="T4" i="11" s="1"/>
  <c r="U4" i="11" s="1"/>
  <c r="V4" i="11" s="1"/>
  <c r="W4" i="11" s="1"/>
  <c r="X4" i="11" s="1"/>
  <c r="Y4" i="11" s="1"/>
  <c r="Z4" i="11" s="1"/>
  <c r="AA4" i="11" s="1"/>
  <c r="AB4" i="11" s="1"/>
  <c r="AC4" i="11" s="1"/>
  <c r="AD4" i="11" s="1"/>
  <c r="AE4" i="11" s="1"/>
  <c r="J4" i="11"/>
  <c r="I4" i="11" s="1"/>
  <c r="H4" i="11" s="1"/>
  <c r="G4" i="11" s="1"/>
  <c r="F4" i="11" s="1"/>
  <c r="D2" i="11"/>
  <c r="E2" i="11" s="1"/>
  <c r="F2" i="11" s="1"/>
  <c r="G2" i="11" s="1"/>
  <c r="H2" i="11" s="1"/>
  <c r="I2" i="11" s="1"/>
  <c r="J2" i="11" s="1"/>
  <c r="K2" i="11" s="1"/>
  <c r="L2" i="11" s="1"/>
  <c r="M2" i="11" s="1"/>
  <c r="N2" i="11" s="1"/>
  <c r="O2" i="11" s="1"/>
  <c r="P2" i="11" s="1"/>
  <c r="C43" i="21"/>
  <c r="E35" i="21"/>
  <c r="K27" i="21"/>
  <c r="J27" i="21"/>
  <c r="I27" i="21"/>
  <c r="H27" i="21"/>
  <c r="G27" i="21"/>
  <c r="F27" i="21"/>
  <c r="E27" i="21"/>
  <c r="D27" i="21"/>
  <c r="L21" i="21"/>
  <c r="M21" i="21" s="1"/>
  <c r="M27" i="21" s="1"/>
  <c r="K17" i="21"/>
  <c r="K16" i="21" s="1"/>
  <c r="J17" i="21"/>
  <c r="I17" i="21"/>
  <c r="H17" i="21"/>
  <c r="G17" i="21"/>
  <c r="F17" i="21"/>
  <c r="E17" i="21"/>
  <c r="D17" i="21"/>
  <c r="C17" i="21"/>
  <c r="L8" i="21"/>
  <c r="BI237" i="5" s="1"/>
  <c r="BJ247" i="5" s="1"/>
  <c r="K7" i="21"/>
  <c r="P5" i="21"/>
  <c r="O5" i="21"/>
  <c r="N5" i="21"/>
  <c r="M5" i="21"/>
  <c r="L5" i="21"/>
  <c r="K5" i="21"/>
  <c r="J5" i="21"/>
  <c r="I5" i="21"/>
  <c r="H5" i="21"/>
  <c r="G5" i="21"/>
  <c r="F5" i="21"/>
  <c r="E5" i="21"/>
  <c r="D5" i="21"/>
  <c r="C5" i="21"/>
  <c r="F2" i="21"/>
  <c r="F35" i="21" s="1"/>
  <c r="D2" i="21"/>
  <c r="D137" i="17"/>
  <c r="D133" i="17"/>
  <c r="D131" i="17"/>
  <c r="D135" i="17" s="1"/>
  <c r="D129" i="17"/>
  <c r="E102" i="17"/>
  <c r="D102" i="17"/>
  <c r="E91" i="17"/>
  <c r="E90" i="17"/>
  <c r="H89" i="17"/>
  <c r="E89" i="17"/>
  <c r="H86" i="17"/>
  <c r="E86" i="17"/>
  <c r="E71" i="17"/>
  <c r="D71" i="17"/>
  <c r="C71" i="17"/>
  <c r="A71" i="17"/>
  <c r="A69" i="17" s="1"/>
  <c r="A70" i="17" s="1"/>
  <c r="E69" i="17"/>
  <c r="D69" i="17"/>
  <c r="C69" i="17"/>
  <c r="E67" i="17"/>
  <c r="D67" i="17"/>
  <c r="C67" i="17"/>
  <c r="D64" i="17"/>
  <c r="C64" i="17"/>
  <c r="E63" i="17"/>
  <c r="D63" i="17"/>
  <c r="C63" i="17"/>
  <c r="B63" i="17"/>
  <c r="E62" i="17"/>
  <c r="D62" i="17"/>
  <c r="C62" i="17"/>
  <c r="B62" i="17"/>
  <c r="E61" i="17"/>
  <c r="D61" i="17"/>
  <c r="C61" i="17"/>
  <c r="B61" i="17"/>
  <c r="I56" i="17"/>
  <c r="H56" i="17"/>
  <c r="F56" i="17"/>
  <c r="I55" i="17"/>
  <c r="H55" i="17"/>
  <c r="F55" i="17"/>
  <c r="E54" i="17"/>
  <c r="C54" i="17"/>
  <c r="E53" i="17"/>
  <c r="C53" i="17"/>
  <c r="G52" i="17"/>
  <c r="G51" i="17"/>
  <c r="E51" i="17"/>
  <c r="D51" i="17"/>
  <c r="G50" i="17"/>
  <c r="F50" i="17"/>
  <c r="D50" i="17"/>
  <c r="G49" i="17"/>
  <c r="F49" i="17"/>
  <c r="D49" i="17"/>
  <c r="R39" i="17"/>
  <c r="B71" i="17" s="1"/>
  <c r="Q39" i="17"/>
  <c r="P39" i="17"/>
  <c r="O39" i="17"/>
  <c r="N39" i="17"/>
  <c r="N45" i="17" s="1"/>
  <c r="R38" i="17"/>
  <c r="B69" i="17" s="1"/>
  <c r="Q38" i="17"/>
  <c r="P38" i="17"/>
  <c r="O38" i="17"/>
  <c r="N38" i="17"/>
  <c r="N44" i="17" s="1"/>
  <c r="R37" i="17"/>
  <c r="R43" i="17" s="1"/>
  <c r="Q37" i="17"/>
  <c r="P37" i="17"/>
  <c r="O37" i="17"/>
  <c r="N37" i="17"/>
  <c r="N43" i="17" s="1"/>
  <c r="Q36" i="17"/>
  <c r="F58" i="17" s="1"/>
  <c r="P36" i="17"/>
  <c r="E58" i="17" s="1"/>
  <c r="O36" i="17"/>
  <c r="D58" i="17" s="1"/>
  <c r="N36" i="17"/>
  <c r="N42" i="17" s="1"/>
  <c r="Q35" i="17"/>
  <c r="F57" i="17" s="1"/>
  <c r="P35" i="17"/>
  <c r="E57" i="17" s="1"/>
  <c r="O35" i="17"/>
  <c r="D57" i="17" s="1"/>
  <c r="N35" i="17"/>
  <c r="AA26" i="17"/>
  <c r="N26" i="17"/>
  <c r="N33" i="17" s="1"/>
  <c r="AA25" i="17"/>
  <c r="N25" i="17"/>
  <c r="N32" i="17" s="1"/>
  <c r="U24" i="17"/>
  <c r="T24" i="17"/>
  <c r="S24" i="17"/>
  <c r="N24" i="17"/>
  <c r="N31" i="17" s="1"/>
  <c r="P23" i="17"/>
  <c r="E52" i="17" s="1"/>
  <c r="O23" i="17"/>
  <c r="D52" i="17" s="1"/>
  <c r="N23" i="17"/>
  <c r="N30" i="17" s="1"/>
  <c r="U22" i="17"/>
  <c r="T22" i="17"/>
  <c r="S22" i="17"/>
  <c r="R19" i="17"/>
  <c r="R26" i="17" s="1"/>
  <c r="R18" i="17"/>
  <c r="R25" i="17" s="1"/>
  <c r="R17" i="17"/>
  <c r="R24" i="17" s="1"/>
  <c r="R15" i="17"/>
  <c r="V5" i="17"/>
  <c r="R5" i="17"/>
  <c r="N5" i="17"/>
  <c r="H253" i="8"/>
  <c r="H252" i="8"/>
  <c r="K243" i="8"/>
  <c r="K242" i="8"/>
  <c r="B149" i="18"/>
  <c r="B148" i="18"/>
  <c r="B147" i="18"/>
  <c r="AB146" i="18"/>
  <c r="Z141" i="18"/>
  <c r="Y141" i="18"/>
  <c r="X141" i="18"/>
  <c r="E173" i="18" s="1"/>
  <c r="W141" i="18"/>
  <c r="V141" i="18"/>
  <c r="C173" i="18" s="1"/>
  <c r="U141" i="18"/>
  <c r="T141" i="18"/>
  <c r="P141" i="18"/>
  <c r="O141" i="18"/>
  <c r="N141" i="18"/>
  <c r="Z140" i="18"/>
  <c r="Y140" i="18"/>
  <c r="X140" i="18"/>
  <c r="E172" i="18" s="1"/>
  <c r="W140" i="18"/>
  <c r="D172" i="18" s="1"/>
  <c r="V140" i="18"/>
  <c r="C172" i="18" s="1"/>
  <c r="U140" i="18"/>
  <c r="T140" i="18"/>
  <c r="O140" i="18"/>
  <c r="N140" i="18"/>
  <c r="V139" i="18"/>
  <c r="C171" i="18" s="1"/>
  <c r="U139" i="18"/>
  <c r="B139" i="18"/>
  <c r="B146" i="18" s="1"/>
  <c r="U134" i="18"/>
  <c r="T134" i="18"/>
  <c r="Z133" i="18"/>
  <c r="Y133" i="18"/>
  <c r="X133" i="18"/>
  <c r="W133" i="18"/>
  <c r="V133" i="18"/>
  <c r="U133" i="18"/>
  <c r="T133" i="18"/>
  <c r="Z132" i="18"/>
  <c r="Y132" i="18"/>
  <c r="X132" i="18"/>
  <c r="W132" i="18"/>
  <c r="V132" i="18"/>
  <c r="U132" i="18"/>
  <c r="T132" i="18"/>
  <c r="X129" i="18"/>
  <c r="Y129" i="18" s="1"/>
  <c r="Z129" i="18" s="1"/>
  <c r="AA129" i="18" s="1"/>
  <c r="AB129" i="18" s="1"/>
  <c r="AC129" i="18" s="1"/>
  <c r="AD129" i="18" s="1"/>
  <c r="X121" i="18"/>
  <c r="Y121" i="18" s="1"/>
  <c r="Z121" i="18" s="1"/>
  <c r="AA121" i="18" s="1"/>
  <c r="AB121" i="18" s="1"/>
  <c r="AC121" i="18" s="1"/>
  <c r="AD121" i="18" s="1"/>
  <c r="X108" i="18"/>
  <c r="Y108" i="18" s="1"/>
  <c r="Z108" i="18" s="1"/>
  <c r="AA108" i="18" s="1"/>
  <c r="AB108" i="18" s="1"/>
  <c r="AC108" i="18" s="1"/>
  <c r="AD108" i="18" s="1"/>
  <c r="X71" i="18"/>
  <c r="Y71" i="18" s="1"/>
  <c r="Z71" i="18" s="1"/>
  <c r="AA71" i="18" s="1"/>
  <c r="AB71" i="18" s="1"/>
  <c r="AC71" i="18" s="1"/>
  <c r="AD71" i="18" s="1"/>
  <c r="Z27" i="18"/>
  <c r="Y27" i="18"/>
  <c r="X27" i="18"/>
  <c r="W27" i="18"/>
  <c r="V27" i="18"/>
  <c r="U27" i="18"/>
  <c r="T27" i="18"/>
  <c r="S27" i="18"/>
  <c r="R27" i="18"/>
  <c r="Q27" i="18"/>
  <c r="P27" i="18"/>
  <c r="O27" i="18"/>
  <c r="Z26" i="18"/>
  <c r="Y26" i="18"/>
  <c r="X26" i="18"/>
  <c r="W26" i="18"/>
  <c r="V26" i="18"/>
  <c r="U26" i="18"/>
  <c r="T26" i="18"/>
  <c r="S26" i="18"/>
  <c r="R26" i="18"/>
  <c r="Q26" i="18"/>
  <c r="P26" i="18"/>
  <c r="O26" i="18"/>
  <c r="P20" i="18"/>
  <c r="O20" i="18"/>
  <c r="N20" i="18"/>
  <c r="J19" i="18"/>
  <c r="X17" i="18"/>
  <c r="Y17" i="18" s="1"/>
  <c r="Z17" i="18" s="1"/>
  <c r="AA17" i="18" s="1"/>
  <c r="AB17" i="18" s="1"/>
  <c r="AC17" i="18" s="1"/>
  <c r="AD17" i="18" s="1"/>
  <c r="Z11" i="18"/>
  <c r="Y11" i="18"/>
  <c r="X11" i="18"/>
  <c r="W11" i="18"/>
  <c r="V11" i="18"/>
  <c r="U11" i="18"/>
  <c r="T11" i="18"/>
  <c r="S11" i="18"/>
  <c r="X2" i="18"/>
  <c r="Y2" i="18" s="1"/>
  <c r="Z2" i="18" s="1"/>
  <c r="AA2" i="18" s="1"/>
  <c r="AB2" i="18" s="1"/>
  <c r="AC2" i="18" s="1"/>
  <c r="AD2" i="18" s="1"/>
  <c r="F256" i="13"/>
  <c r="E256" i="13"/>
  <c r="D256" i="13"/>
  <c r="C256" i="13"/>
  <c r="B256" i="13"/>
  <c r="B254" i="13"/>
  <c r="B253" i="13"/>
  <c r="F251" i="13"/>
  <c r="E251" i="13"/>
  <c r="D251" i="13"/>
  <c r="C251" i="13"/>
  <c r="B251" i="13"/>
  <c r="F250" i="13"/>
  <c r="E250" i="13"/>
  <c r="D250" i="13"/>
  <c r="C250" i="13"/>
  <c r="B250" i="13"/>
  <c r="E249" i="13"/>
  <c r="D249" i="13"/>
  <c r="C249" i="13"/>
  <c r="B249" i="13"/>
  <c r="E247" i="13"/>
  <c r="D247" i="13"/>
  <c r="C247" i="13"/>
  <c r="B247" i="13"/>
  <c r="E246" i="13"/>
  <c r="D246" i="13"/>
  <c r="C246" i="13"/>
  <c r="B246" i="13"/>
  <c r="E245" i="13"/>
  <c r="D245" i="13"/>
  <c r="C245" i="13"/>
  <c r="B245" i="13"/>
  <c r="F243" i="13"/>
  <c r="E243" i="13"/>
  <c r="D243" i="13"/>
  <c r="C243" i="13"/>
  <c r="B243" i="13"/>
  <c r="F242" i="13"/>
  <c r="E242" i="13"/>
  <c r="D242" i="13"/>
  <c r="C242" i="13"/>
  <c r="B242" i="13"/>
  <c r="F240" i="13"/>
  <c r="E240" i="13"/>
  <c r="D240" i="13"/>
  <c r="C240" i="13"/>
  <c r="B240" i="13"/>
  <c r="E239" i="13"/>
  <c r="D239" i="13"/>
  <c r="C239" i="13"/>
  <c r="B239" i="13"/>
  <c r="E237" i="13"/>
  <c r="D237" i="13"/>
  <c r="C237" i="13"/>
  <c r="B237" i="13"/>
  <c r="E236" i="13"/>
  <c r="D236" i="13"/>
  <c r="C236" i="13"/>
  <c r="B236" i="13"/>
  <c r="E235" i="13"/>
  <c r="D235" i="13"/>
  <c r="C235" i="13"/>
  <c r="B235" i="13"/>
  <c r="E234" i="13"/>
  <c r="D234" i="13"/>
  <c r="C234" i="13"/>
  <c r="B234" i="13"/>
  <c r="F233" i="13"/>
  <c r="E233" i="13"/>
  <c r="D233" i="13"/>
  <c r="C233" i="13"/>
  <c r="B233" i="13"/>
  <c r="F231" i="13"/>
  <c r="E231" i="13"/>
  <c r="D231" i="13"/>
  <c r="C231" i="13"/>
  <c r="B231" i="13"/>
  <c r="F230" i="13"/>
  <c r="E230" i="13"/>
  <c r="D230" i="13"/>
  <c r="C230" i="13"/>
  <c r="B230" i="13"/>
  <c r="F228" i="13"/>
  <c r="E228" i="13"/>
  <c r="D228" i="13"/>
  <c r="C228" i="13"/>
  <c r="B228" i="13"/>
  <c r="E226" i="13"/>
  <c r="D226" i="13"/>
  <c r="C226" i="13"/>
  <c r="B226" i="13"/>
  <c r="F225" i="13"/>
  <c r="E225" i="13"/>
  <c r="D225" i="13"/>
  <c r="C225" i="13"/>
  <c r="B225" i="13"/>
  <c r="E224" i="13"/>
  <c r="D224" i="13"/>
  <c r="C224" i="13"/>
  <c r="B224" i="13"/>
  <c r="F223" i="13"/>
  <c r="E223" i="13"/>
  <c r="D223" i="13"/>
  <c r="C223" i="13"/>
  <c r="B223" i="13"/>
  <c r="F221" i="13"/>
  <c r="E221" i="13"/>
  <c r="D221" i="13"/>
  <c r="C221" i="13"/>
  <c r="B221" i="13"/>
  <c r="E219" i="13"/>
  <c r="D219" i="13"/>
  <c r="C219" i="13"/>
  <c r="B219" i="13"/>
  <c r="F218" i="13"/>
  <c r="E218" i="13"/>
  <c r="D218" i="13"/>
  <c r="C218" i="13"/>
  <c r="B218" i="13"/>
  <c r="E217" i="13"/>
  <c r="D217" i="13"/>
  <c r="C217" i="13"/>
  <c r="B217" i="13"/>
  <c r="F216" i="13"/>
  <c r="E216" i="13"/>
  <c r="D216" i="13"/>
  <c r="C216" i="13"/>
  <c r="B216" i="13"/>
  <c r="F214" i="13"/>
  <c r="E214" i="13"/>
  <c r="D214" i="13"/>
  <c r="C214" i="13"/>
  <c r="B214" i="13"/>
  <c r="F213" i="13"/>
  <c r="E213" i="13"/>
  <c r="D213" i="13"/>
  <c r="C213" i="13"/>
  <c r="B213" i="13"/>
  <c r="F212" i="13"/>
  <c r="E212" i="13"/>
  <c r="D212" i="13"/>
  <c r="C212" i="13"/>
  <c r="B212" i="13"/>
  <c r="E211" i="13"/>
  <c r="D211" i="13"/>
  <c r="C211" i="13"/>
  <c r="E210" i="13"/>
  <c r="D210" i="13"/>
  <c r="C210" i="13"/>
  <c r="B210" i="13"/>
  <c r="E209" i="13"/>
  <c r="D209" i="13"/>
  <c r="C209" i="13"/>
  <c r="F208" i="13"/>
  <c r="E208" i="13"/>
  <c r="D208" i="13"/>
  <c r="C208" i="13"/>
  <c r="B208" i="13"/>
  <c r="F207" i="13"/>
  <c r="E207" i="13"/>
  <c r="D207" i="13"/>
  <c r="C207" i="13"/>
  <c r="B207" i="13"/>
  <c r="E206" i="13"/>
  <c r="D206" i="13"/>
  <c r="C206" i="13"/>
  <c r="B206" i="13"/>
  <c r="N202" i="13"/>
  <c r="M202" i="13"/>
  <c r="L202" i="13"/>
  <c r="K202" i="13"/>
  <c r="J202" i="13"/>
  <c r="I202" i="13"/>
  <c r="H202" i="13"/>
  <c r="G202" i="13"/>
  <c r="F202" i="13"/>
  <c r="J201" i="13"/>
  <c r="F198" i="13"/>
  <c r="E198" i="13"/>
  <c r="D198" i="13"/>
  <c r="C198" i="13"/>
  <c r="B198" i="13"/>
  <c r="F197" i="13"/>
  <c r="E197" i="13"/>
  <c r="D197" i="13"/>
  <c r="C197" i="13"/>
  <c r="B197" i="13"/>
  <c r="F196" i="13"/>
  <c r="E196" i="13"/>
  <c r="D196" i="13"/>
  <c r="C196" i="13"/>
  <c r="B196" i="13"/>
  <c r="F195" i="13"/>
  <c r="E195" i="13"/>
  <c r="D195" i="13"/>
  <c r="C195" i="13"/>
  <c r="G194" i="13"/>
  <c r="F194" i="13"/>
  <c r="E194" i="13"/>
  <c r="D194" i="13"/>
  <c r="C194" i="13"/>
  <c r="F193" i="13"/>
  <c r="E193" i="13"/>
  <c r="D193" i="13"/>
  <c r="C193" i="13"/>
  <c r="B193" i="13"/>
  <c r="N192" i="13"/>
  <c r="M192" i="13"/>
  <c r="L192" i="13"/>
  <c r="K192" i="13"/>
  <c r="J192" i="13"/>
  <c r="I192" i="13"/>
  <c r="H192" i="13"/>
  <c r="G192" i="13"/>
  <c r="F192" i="13"/>
  <c r="E192" i="13"/>
  <c r="D192" i="13"/>
  <c r="C192" i="13"/>
  <c r="F191" i="13"/>
  <c r="E191" i="13"/>
  <c r="D191" i="13"/>
  <c r="C191" i="13"/>
  <c r="B191" i="13"/>
  <c r="I188" i="13"/>
  <c r="G188" i="13"/>
  <c r="F188" i="13"/>
  <c r="J168" i="13"/>
  <c r="I159" i="13"/>
  <c r="J159" i="13" s="1"/>
  <c r="G159" i="13"/>
  <c r="H158" i="13"/>
  <c r="G158" i="13"/>
  <c r="G156" i="13" s="1"/>
  <c r="F158" i="13"/>
  <c r="F156" i="13" s="1"/>
  <c r="N137" i="13"/>
  <c r="N134" i="13"/>
  <c r="F246" i="13" s="1"/>
  <c r="N133" i="13"/>
  <c r="N115" i="13"/>
  <c r="F236" i="13" s="1"/>
  <c r="N114" i="13"/>
  <c r="O112" i="13"/>
  <c r="G233" i="13" s="1"/>
  <c r="O103" i="13"/>
  <c r="N98" i="13"/>
  <c r="O97" i="13"/>
  <c r="G216" i="13" s="1"/>
  <c r="R93" i="13"/>
  <c r="Q93" i="13"/>
  <c r="P93" i="13"/>
  <c r="O93" i="13"/>
  <c r="N93" i="13"/>
  <c r="K9" i="19" s="1"/>
  <c r="M93" i="13"/>
  <c r="J9" i="19" s="1"/>
  <c r="L93" i="13"/>
  <c r="G93" i="13"/>
  <c r="F93" i="13"/>
  <c r="O80" i="13"/>
  <c r="G208" i="13" s="1"/>
  <c r="N78" i="13"/>
  <c r="M197" i="13"/>
  <c r="L197" i="13"/>
  <c r="K197" i="13"/>
  <c r="J197" i="13"/>
  <c r="I197" i="13"/>
  <c r="G197" i="13"/>
  <c r="S72" i="13"/>
  <c r="X61" i="29" s="1"/>
  <c r="X62" i="29" s="1"/>
  <c r="R72" i="13"/>
  <c r="F1667" i="16" s="1"/>
  <c r="Q72" i="13"/>
  <c r="P72" i="13"/>
  <c r="O72" i="13"/>
  <c r="G195" i="13" s="1"/>
  <c r="E62" i="13"/>
  <c r="N61" i="13"/>
  <c r="M61" i="13"/>
  <c r="J7" i="19" s="1"/>
  <c r="L61" i="13"/>
  <c r="K58" i="13"/>
  <c r="I58" i="13"/>
  <c r="H58" i="13"/>
  <c r="H56" i="13" s="1"/>
  <c r="G58" i="13"/>
  <c r="G56" i="13" s="1"/>
  <c r="F58" i="13"/>
  <c r="C5" i="19" s="1"/>
  <c r="E58" i="13"/>
  <c r="D58" i="13"/>
  <c r="C58" i="13"/>
  <c r="O49" i="13"/>
  <c r="P49" i="13" s="1"/>
  <c r="Q49" i="13" s="1"/>
  <c r="N49" i="13"/>
  <c r="M49" i="13"/>
  <c r="L49" i="13"/>
  <c r="K49" i="13"/>
  <c r="J49" i="13"/>
  <c r="B49" i="13"/>
  <c r="B48" i="13"/>
  <c r="B46" i="13"/>
  <c r="O45" i="13"/>
  <c r="N45" i="13"/>
  <c r="M45" i="13"/>
  <c r="L45" i="13"/>
  <c r="O44" i="13"/>
  <c r="N44" i="13"/>
  <c r="M44" i="13"/>
  <c r="L44" i="13"/>
  <c r="K44" i="13"/>
  <c r="J44" i="13"/>
  <c r="B44" i="13"/>
  <c r="K43" i="13"/>
  <c r="B43" i="13"/>
  <c r="B41" i="13"/>
  <c r="N40" i="13"/>
  <c r="L40" i="13"/>
  <c r="K40" i="13"/>
  <c r="J40" i="13"/>
  <c r="B40" i="13"/>
  <c r="O39" i="13"/>
  <c r="N39" i="13"/>
  <c r="M39" i="13"/>
  <c r="L39" i="13"/>
  <c r="K39" i="13"/>
  <c r="J39" i="13"/>
  <c r="B39" i="13"/>
  <c r="O38" i="13"/>
  <c r="N38" i="13"/>
  <c r="M38" i="13"/>
  <c r="L38" i="13"/>
  <c r="B38" i="13"/>
  <c r="B37" i="13"/>
  <c r="K36" i="13"/>
  <c r="B36" i="13"/>
  <c r="K35" i="13"/>
  <c r="J35" i="13"/>
  <c r="B35" i="13"/>
  <c r="K34" i="13"/>
  <c r="J34" i="13"/>
  <c r="B34" i="13"/>
  <c r="K33" i="13"/>
  <c r="J33" i="13"/>
  <c r="B33" i="13"/>
  <c r="F32" i="13"/>
  <c r="F54" i="13" s="1"/>
  <c r="L29" i="13"/>
  <c r="K29" i="13"/>
  <c r="J29" i="13"/>
  <c r="G240" i="16" s="1"/>
  <c r="M28" i="13"/>
  <c r="R25" i="13"/>
  <c r="S25" i="13" s="1"/>
  <c r="T25" i="13" s="1"/>
  <c r="U25" i="13" s="1"/>
  <c r="V25" i="13" s="1"/>
  <c r="W25" i="13" s="1"/>
  <c r="X25" i="13" s="1"/>
  <c r="Y25" i="13" s="1"/>
  <c r="Z25" i="13" s="1"/>
  <c r="AA25" i="13" s="1"/>
  <c r="W20" i="13"/>
  <c r="X20" i="13" s="1"/>
  <c r="Y20" i="13" s="1"/>
  <c r="Z20" i="13" s="1"/>
  <c r="AA20" i="13" s="1"/>
  <c r="K19" i="13"/>
  <c r="K20" i="13" s="1"/>
  <c r="I19" i="13"/>
  <c r="I20" i="13" s="1"/>
  <c r="H19" i="13"/>
  <c r="H20" i="13" s="1"/>
  <c r="G19" i="13"/>
  <c r="G23" i="13" s="1"/>
  <c r="G43" i="13" s="1"/>
  <c r="F19" i="13"/>
  <c r="F20" i="13" s="1"/>
  <c r="Q18" i="13"/>
  <c r="R18" i="13" s="1"/>
  <c r="R16" i="13"/>
  <c r="P16" i="13"/>
  <c r="O16" i="13"/>
  <c r="N16" i="13"/>
  <c r="M16" i="13"/>
  <c r="L16" i="13"/>
  <c r="L43" i="13" s="1"/>
  <c r="L52" i="13" s="1"/>
  <c r="J16" i="13"/>
  <c r="J58" i="13" s="1"/>
  <c r="N13" i="13"/>
  <c r="N14" i="13" s="1"/>
  <c r="L13" i="13"/>
  <c r="L14" i="13" s="1"/>
  <c r="O12" i="13"/>
  <c r="M12" i="13"/>
  <c r="M13" i="13" s="1"/>
  <c r="M14" i="13" s="1"/>
  <c r="J8" i="13"/>
  <c r="I8" i="13" s="1"/>
  <c r="H8" i="13" s="1"/>
  <c r="F159" i="10" s="1"/>
  <c r="F32" i="20"/>
  <c r="F27" i="20"/>
  <c r="F26" i="20"/>
  <c r="F25" i="20"/>
  <c r="F24" i="20"/>
  <c r="F22" i="20"/>
  <c r="F21" i="20"/>
  <c r="F20" i="20"/>
  <c r="F19" i="20"/>
  <c r="F18" i="20"/>
  <c r="F17" i="20"/>
  <c r="F16" i="20"/>
  <c r="F15" i="20"/>
  <c r="F14" i="20"/>
  <c r="F13" i="20"/>
  <c r="F12" i="20"/>
  <c r="F11" i="20"/>
  <c r="F10" i="20"/>
  <c r="F9" i="20"/>
  <c r="F8" i="20"/>
  <c r="J5118" i="3"/>
  <c r="D5108" i="3"/>
  <c r="C4839" i="3"/>
  <c r="C4840" i="3" s="1"/>
  <c r="C4834" i="3"/>
  <c r="E4827" i="3"/>
  <c r="E4828" i="3" s="1"/>
  <c r="E4829" i="3" s="1"/>
  <c r="E4830" i="3" s="1"/>
  <c r="H4819" i="3"/>
  <c r="H4820" i="3" s="1"/>
  <c r="H4821" i="3" s="1"/>
  <c r="H4808" i="3"/>
  <c r="H4810" i="3" s="1"/>
  <c r="H4811" i="3" s="1"/>
  <c r="H4812" i="3" s="1"/>
  <c r="H4813" i="3" s="1"/>
  <c r="H4814" i="3" s="1"/>
  <c r="H4815" i="3" s="1"/>
  <c r="H4806" i="3"/>
  <c r="G4806" i="3"/>
  <c r="F4806" i="3"/>
  <c r="D4805" i="3"/>
  <c r="E4794" i="3"/>
  <c r="D4794" i="3"/>
  <c r="D4787" i="3"/>
  <c r="D4789" i="3" s="1"/>
  <c r="D4790" i="3" s="1"/>
  <c r="D4791" i="3" s="1"/>
  <c r="C4586" i="3"/>
  <c r="C4555" i="3"/>
  <c r="E4497" i="3"/>
  <c r="E4496" i="3"/>
  <c r="C4494" i="3"/>
  <c r="E4439" i="3"/>
  <c r="D4410" i="3"/>
  <c r="C4409" i="3"/>
  <c r="C4224" i="3"/>
  <c r="C4225" i="3" s="1"/>
  <c r="D3881" i="3"/>
  <c r="D3884" i="3" s="1"/>
  <c r="H3767" i="3"/>
  <c r="H3768" i="3" s="1"/>
  <c r="H3769" i="3" s="1"/>
  <c r="E3747" i="3"/>
  <c r="E3746" i="3"/>
  <c r="F3746" i="3" s="1"/>
  <c r="G3746" i="3" s="1"/>
  <c r="G3745" i="3" s="1"/>
  <c r="E3745" i="3"/>
  <c r="F3745" i="3" s="1"/>
  <c r="C3559" i="3"/>
  <c r="C3560" i="3" s="1"/>
  <c r="C3561" i="3" s="1"/>
  <c r="C3502" i="3"/>
  <c r="C3501" i="3"/>
  <c r="E3209" i="3"/>
  <c r="G3132" i="3"/>
  <c r="F3132" i="3"/>
  <c r="E3132" i="3"/>
  <c r="D3132" i="3"/>
  <c r="C3132" i="3"/>
  <c r="G3129" i="3"/>
  <c r="G3128" i="3"/>
  <c r="B3125" i="3"/>
  <c r="E3120" i="3"/>
  <c r="E3129" i="3" s="1"/>
  <c r="D3120" i="3"/>
  <c r="D3129" i="3" s="1"/>
  <c r="C3120" i="3"/>
  <c r="C3129" i="3" s="1"/>
  <c r="G3118" i="3"/>
  <c r="F3118" i="3" s="1"/>
  <c r="G3114" i="3"/>
  <c r="B3114" i="3"/>
  <c r="B3119" i="3" s="1"/>
  <c r="B3124" i="3" s="1"/>
  <c r="E3113" i="3"/>
  <c r="E3123" i="3" s="1"/>
  <c r="D3113" i="3"/>
  <c r="D3123" i="3" s="1"/>
  <c r="C3113" i="3"/>
  <c r="C3123" i="3" s="1"/>
  <c r="B3113" i="3"/>
  <c r="B3118" i="3" s="1"/>
  <c r="B3123" i="3" s="1"/>
  <c r="F3110" i="3"/>
  <c r="F3109" i="3"/>
  <c r="F3113" i="3" s="1"/>
  <c r="G3044" i="3"/>
  <c r="H3044" i="3" s="1"/>
  <c r="I3044" i="3" s="1"/>
  <c r="I3045" i="3" s="1"/>
  <c r="H3034" i="3"/>
  <c r="D2874" i="3"/>
  <c r="D2712" i="3"/>
  <c r="B2324" i="3"/>
  <c r="D2218" i="3"/>
  <c r="G1463" i="3"/>
  <c r="I1263" i="3"/>
  <c r="I1262" i="3"/>
  <c r="D525" i="3"/>
  <c r="C177" i="3"/>
  <c r="O139" i="3"/>
  <c r="O137" i="3"/>
  <c r="Q135" i="3"/>
  <c r="P135" i="3"/>
  <c r="O135" i="3"/>
  <c r="R133" i="3"/>
  <c r="S133" i="3" s="1"/>
  <c r="S135" i="3" s="1"/>
  <c r="P132" i="3"/>
  <c r="P137" i="3" s="1"/>
  <c r="B126" i="3"/>
  <c r="C121" i="3"/>
  <c r="D121" i="3" s="1"/>
  <c r="B71" i="3"/>
  <c r="B70" i="3"/>
  <c r="B69" i="3"/>
  <c r="B66" i="3"/>
  <c r="B65" i="3"/>
  <c r="B64" i="3"/>
  <c r="K281" i="10"/>
  <c r="K276" i="10"/>
  <c r="Y269" i="10"/>
  <c r="X269" i="10"/>
  <c r="W269" i="10"/>
  <c r="V269" i="10"/>
  <c r="U269" i="10"/>
  <c r="T269" i="10"/>
  <c r="S269" i="10"/>
  <c r="R269" i="10"/>
  <c r="Q269" i="10"/>
  <c r="P269" i="10"/>
  <c r="O269" i="10"/>
  <c r="N269" i="10"/>
  <c r="M269" i="10"/>
  <c r="L269" i="10"/>
  <c r="K269" i="10"/>
  <c r="K272" i="10" s="1"/>
  <c r="K265" i="10"/>
  <c r="L264" i="10"/>
  <c r="M264" i="10" s="1"/>
  <c r="N264" i="10" s="1"/>
  <c r="O264" i="10" s="1"/>
  <c r="P264" i="10" s="1"/>
  <c r="Q264" i="10" s="1"/>
  <c r="R264" i="10" s="1"/>
  <c r="S264" i="10" s="1"/>
  <c r="T264" i="10" s="1"/>
  <c r="U264" i="10" s="1"/>
  <c r="V264" i="10" s="1"/>
  <c r="W264" i="10" s="1"/>
  <c r="X264" i="10" s="1"/>
  <c r="Y264" i="10" s="1"/>
  <c r="I246" i="10"/>
  <c r="J246" i="10" s="1"/>
  <c r="G245" i="10"/>
  <c r="H245" i="10" s="1"/>
  <c r="I245" i="10" s="1"/>
  <c r="J245" i="10" s="1"/>
  <c r="K245" i="10" s="1"/>
  <c r="L245" i="10" s="1"/>
  <c r="M245" i="10" s="1"/>
  <c r="N245" i="10" s="1"/>
  <c r="O245" i="10" s="1"/>
  <c r="P245" i="10" s="1"/>
  <c r="Q245" i="10" s="1"/>
  <c r="R245" i="10" s="1"/>
  <c r="S245" i="10" s="1"/>
  <c r="T245" i="10" s="1"/>
  <c r="U245" i="10" s="1"/>
  <c r="V245" i="10" s="1"/>
  <c r="W245" i="10" s="1"/>
  <c r="X245" i="10" s="1"/>
  <c r="Y245" i="10" s="1"/>
  <c r="F243" i="10"/>
  <c r="G223" i="10"/>
  <c r="G222" i="10"/>
  <c r="G221" i="10"/>
  <c r="B219" i="10"/>
  <c r="P208" i="10"/>
  <c r="H22" i="22" s="1"/>
  <c r="O208" i="10"/>
  <c r="N208" i="10"/>
  <c r="M208" i="10"/>
  <c r="L208" i="10"/>
  <c r="D22" i="22" s="1"/>
  <c r="K208" i="10"/>
  <c r="C22" i="22" s="1"/>
  <c r="J208" i="10"/>
  <c r="F208" i="10"/>
  <c r="E208" i="10"/>
  <c r="D208" i="10"/>
  <c r="Y205" i="10"/>
  <c r="X205" i="10"/>
  <c r="W205" i="10"/>
  <c r="V205" i="10"/>
  <c r="U205" i="10"/>
  <c r="B204" i="10"/>
  <c r="B93" i="9" s="1"/>
  <c r="I203" i="10"/>
  <c r="Z301" i="5" s="1"/>
  <c r="B203" i="10"/>
  <c r="F202" i="10"/>
  <c r="F201" i="10"/>
  <c r="F200" i="10"/>
  <c r="F199" i="10"/>
  <c r="P185" i="10"/>
  <c r="Q186" i="10" s="1"/>
  <c r="I1607" i="16" s="1"/>
  <c r="O185" i="10"/>
  <c r="N185" i="10"/>
  <c r="M185" i="10"/>
  <c r="L185" i="10"/>
  <c r="K185" i="10"/>
  <c r="J185" i="10"/>
  <c r="J178" i="10"/>
  <c r="J217" i="10" s="1"/>
  <c r="J176" i="10"/>
  <c r="J203" i="10" s="1"/>
  <c r="C92" i="9" s="1"/>
  <c r="E92" i="9" s="1"/>
  <c r="F92" i="9" s="1"/>
  <c r="I176" i="10"/>
  <c r="Z262" i="5" s="1"/>
  <c r="F174" i="10"/>
  <c r="B174" i="10"/>
  <c r="B202" i="10" s="1"/>
  <c r="F172" i="10"/>
  <c r="B172" i="10"/>
  <c r="B201" i="10" s="1"/>
  <c r="F170" i="10"/>
  <c r="B170" i="10"/>
  <c r="B200" i="10" s="1"/>
  <c r="B213" i="10" s="1"/>
  <c r="B222" i="10" s="1"/>
  <c r="B232" i="10" s="1"/>
  <c r="F168" i="10"/>
  <c r="B168" i="10"/>
  <c r="B199" i="10" s="1"/>
  <c r="B159" i="10"/>
  <c r="H158" i="10"/>
  <c r="H157" i="10"/>
  <c r="B157" i="10"/>
  <c r="H156" i="10"/>
  <c r="B156" i="10"/>
  <c r="B155" i="10"/>
  <c r="P151" i="10"/>
  <c r="J151" i="10"/>
  <c r="K151" i="10" s="1"/>
  <c r="L151" i="10" s="1"/>
  <c r="M151" i="10" s="1"/>
  <c r="N151" i="10" s="1"/>
  <c r="Q148" i="10"/>
  <c r="I6" i="22" s="1"/>
  <c r="P148" i="10"/>
  <c r="H6" i="22" s="1"/>
  <c r="O148" i="10"/>
  <c r="G6" i="22" s="1"/>
  <c r="N148" i="10"/>
  <c r="F6" i="22" s="1"/>
  <c r="M148" i="10"/>
  <c r="E6" i="22" s="1"/>
  <c r="L148" i="10"/>
  <c r="D6" i="22" s="1"/>
  <c r="K148" i="10"/>
  <c r="C6" i="22" s="1"/>
  <c r="J148" i="10"/>
  <c r="H147" i="10"/>
  <c r="G147" i="10"/>
  <c r="F147" i="10"/>
  <c r="E147" i="10"/>
  <c r="D147" i="10"/>
  <c r="H146" i="10"/>
  <c r="G146" i="10"/>
  <c r="F146" i="10"/>
  <c r="E146" i="10"/>
  <c r="D146" i="10"/>
  <c r="O138" i="10"/>
  <c r="M138" i="10"/>
  <c r="L138" i="10"/>
  <c r="K138" i="10"/>
  <c r="J138" i="10"/>
  <c r="I138" i="10"/>
  <c r="B138" i="10"/>
  <c r="B137" i="10"/>
  <c r="O136" i="10"/>
  <c r="M136" i="10"/>
  <c r="L136" i="10"/>
  <c r="K136" i="10"/>
  <c r="J136" i="10"/>
  <c r="I136" i="10"/>
  <c r="O135" i="10"/>
  <c r="P135" i="10" s="1"/>
  <c r="Q135" i="10" s="1"/>
  <c r="R135" i="10" s="1"/>
  <c r="S135" i="10" s="1"/>
  <c r="M135" i="10"/>
  <c r="L135" i="10"/>
  <c r="K135" i="10"/>
  <c r="J135" i="10"/>
  <c r="I135" i="10"/>
  <c r="B135" i="10"/>
  <c r="P133" i="10"/>
  <c r="Q133" i="10" s="1"/>
  <c r="R133" i="10" s="1"/>
  <c r="I133" i="10"/>
  <c r="J133" i="10" s="1"/>
  <c r="K133" i="10" s="1"/>
  <c r="B133" i="10"/>
  <c r="P132" i="10"/>
  <c r="Q132" i="10" s="1"/>
  <c r="K132" i="10"/>
  <c r="L132" i="10" s="1"/>
  <c r="M132" i="10" s="1"/>
  <c r="I132" i="10"/>
  <c r="Q131" i="10"/>
  <c r="R131" i="10" s="1"/>
  <c r="S131" i="10" s="1"/>
  <c r="K131" i="10"/>
  <c r="K107" i="10" s="1"/>
  <c r="I131" i="10"/>
  <c r="B131" i="10"/>
  <c r="K130" i="10"/>
  <c r="K106" i="10" s="1"/>
  <c r="I130" i="10"/>
  <c r="B130" i="10"/>
  <c r="S143" i="10"/>
  <c r="O128" i="10"/>
  <c r="M128" i="10"/>
  <c r="L128" i="10"/>
  <c r="K128" i="10"/>
  <c r="J128" i="10"/>
  <c r="I128" i="10"/>
  <c r="B128" i="10"/>
  <c r="O127" i="10"/>
  <c r="P127" i="10" s="1"/>
  <c r="M127" i="10"/>
  <c r="L127" i="10"/>
  <c r="K127" i="10"/>
  <c r="J127" i="10"/>
  <c r="I127" i="10"/>
  <c r="B127" i="10"/>
  <c r="O126" i="10"/>
  <c r="I201" i="13" s="1"/>
  <c r="M126" i="10"/>
  <c r="G201" i="13" s="1"/>
  <c r="L126" i="10"/>
  <c r="F201" i="13" s="1"/>
  <c r="K126" i="10"/>
  <c r="J126" i="10"/>
  <c r="I126" i="10"/>
  <c r="B126" i="10"/>
  <c r="K122" i="10"/>
  <c r="J122" i="10"/>
  <c r="I122" i="10"/>
  <c r="K121" i="10"/>
  <c r="J121" i="10"/>
  <c r="I121" i="10"/>
  <c r="H121" i="10"/>
  <c r="G121" i="10"/>
  <c r="F121" i="10"/>
  <c r="E121" i="10"/>
  <c r="L120" i="10"/>
  <c r="M120" i="10" s="1"/>
  <c r="M115" i="10"/>
  <c r="L115" i="10"/>
  <c r="K115" i="10"/>
  <c r="J115" i="10"/>
  <c r="N114" i="10"/>
  <c r="I110" i="10"/>
  <c r="I140" i="10" s="1"/>
  <c r="O109" i="10"/>
  <c r="O108" i="10"/>
  <c r="J108" i="10"/>
  <c r="O107" i="10"/>
  <c r="M107" i="10"/>
  <c r="L107" i="10"/>
  <c r="J107" i="10"/>
  <c r="M106" i="10"/>
  <c r="L106" i="10"/>
  <c r="J106" i="10"/>
  <c r="P105" i="10"/>
  <c r="O105" i="10"/>
  <c r="N105" i="10"/>
  <c r="M105" i="10"/>
  <c r="L105" i="10"/>
  <c r="L129" i="10" s="1"/>
  <c r="H105" i="10"/>
  <c r="G105" i="10"/>
  <c r="G114" i="10" s="1"/>
  <c r="G137" i="10" s="1"/>
  <c r="F105" i="10"/>
  <c r="F114" i="10" s="1"/>
  <c r="F129" i="10" s="1"/>
  <c r="E105" i="10"/>
  <c r="D105" i="10"/>
  <c r="D114" i="10" s="1"/>
  <c r="D132" i="10" s="1"/>
  <c r="R99" i="10"/>
  <c r="Q99" i="10"/>
  <c r="O95" i="10"/>
  <c r="M95" i="10"/>
  <c r="L95" i="10"/>
  <c r="K95" i="10"/>
  <c r="J95" i="10"/>
  <c r="I95" i="10"/>
  <c r="H95" i="10"/>
  <c r="G95" i="10"/>
  <c r="F95" i="10"/>
  <c r="E95" i="10"/>
  <c r="D95" i="10"/>
  <c r="B95" i="10"/>
  <c r="F94" i="10"/>
  <c r="E94" i="10"/>
  <c r="D94" i="10"/>
  <c r="B94" i="10"/>
  <c r="Q93" i="10"/>
  <c r="R93" i="10" s="1"/>
  <c r="S93" i="10" s="1"/>
  <c r="O93" i="10"/>
  <c r="O92" i="10"/>
  <c r="O67" i="10" s="1"/>
  <c r="B92" i="10"/>
  <c r="N91" i="10"/>
  <c r="L91" i="10"/>
  <c r="L66" i="10" s="1"/>
  <c r="I91" i="10"/>
  <c r="J91" i="10" s="1"/>
  <c r="J66" i="10" s="1"/>
  <c r="H91" i="10"/>
  <c r="B91" i="10"/>
  <c r="N90" i="10"/>
  <c r="K90" i="10"/>
  <c r="I90" i="10"/>
  <c r="H90" i="10"/>
  <c r="G90" i="10"/>
  <c r="F90" i="10"/>
  <c r="E90" i="10"/>
  <c r="D90" i="10"/>
  <c r="B90" i="10"/>
  <c r="B108" i="10" s="1"/>
  <c r="L89" i="10"/>
  <c r="L64" i="10" s="1"/>
  <c r="I89" i="10"/>
  <c r="H89" i="10"/>
  <c r="G89" i="10"/>
  <c r="F89" i="10"/>
  <c r="E89" i="10"/>
  <c r="D89" i="10"/>
  <c r="B89" i="10"/>
  <c r="K88" i="10"/>
  <c r="K63" i="10" s="1"/>
  <c r="I88" i="10"/>
  <c r="H88" i="10"/>
  <c r="G88" i="10"/>
  <c r="F88" i="10"/>
  <c r="E88" i="10"/>
  <c r="D88" i="10"/>
  <c r="B88" i="10"/>
  <c r="O86" i="10"/>
  <c r="M86" i="10"/>
  <c r="L86" i="10"/>
  <c r="K86" i="10"/>
  <c r="J86" i="10"/>
  <c r="I86" i="10"/>
  <c r="H86" i="10"/>
  <c r="G86" i="10"/>
  <c r="F86" i="10"/>
  <c r="E86" i="10"/>
  <c r="D86" i="10"/>
  <c r="B86" i="10"/>
  <c r="O85" i="10"/>
  <c r="P85" i="10" s="1"/>
  <c r="M85" i="10"/>
  <c r="L85" i="10"/>
  <c r="K85" i="10"/>
  <c r="J85" i="10"/>
  <c r="I85" i="10"/>
  <c r="H85" i="10"/>
  <c r="G85" i="10"/>
  <c r="F85" i="10"/>
  <c r="E85" i="10"/>
  <c r="D85" i="10"/>
  <c r="B85" i="10"/>
  <c r="M84" i="10"/>
  <c r="L84" i="10"/>
  <c r="K84" i="10"/>
  <c r="J84" i="10"/>
  <c r="I84" i="10"/>
  <c r="H84" i="10"/>
  <c r="G84" i="10"/>
  <c r="F84" i="10"/>
  <c r="E84" i="10"/>
  <c r="D84" i="10"/>
  <c r="B84" i="10"/>
  <c r="O83" i="10"/>
  <c r="M83" i="10"/>
  <c r="L83" i="10"/>
  <c r="K83" i="10"/>
  <c r="J83" i="10"/>
  <c r="I83" i="10"/>
  <c r="H83" i="10"/>
  <c r="G83" i="10"/>
  <c r="F83" i="10"/>
  <c r="E83" i="10"/>
  <c r="D83" i="10"/>
  <c r="B83" i="10"/>
  <c r="O80" i="10"/>
  <c r="E80" i="10"/>
  <c r="P79" i="10"/>
  <c r="Q79" i="10" s="1"/>
  <c r="R79" i="10" s="1"/>
  <c r="S79" i="10" s="1"/>
  <c r="T79" i="10" s="1"/>
  <c r="U79" i="10" s="1"/>
  <c r="V79" i="10" s="1"/>
  <c r="W79" i="10" s="1"/>
  <c r="X79" i="10" s="1"/>
  <c r="Y79" i="10" s="1"/>
  <c r="M79" i="10"/>
  <c r="L79" i="10" s="1"/>
  <c r="K79" i="10" s="1"/>
  <c r="J79" i="10" s="1"/>
  <c r="O76" i="10"/>
  <c r="H76" i="10"/>
  <c r="G76" i="10"/>
  <c r="F76" i="10"/>
  <c r="E76" i="10"/>
  <c r="H75" i="10"/>
  <c r="G75" i="10"/>
  <c r="F75" i="10"/>
  <c r="Q74" i="10"/>
  <c r="N74" i="10"/>
  <c r="N80" i="10" s="1"/>
  <c r="I74" i="10"/>
  <c r="J74" i="10" s="1"/>
  <c r="M72" i="10"/>
  <c r="L72" i="10"/>
  <c r="K72" i="10"/>
  <c r="J72" i="10"/>
  <c r="I72" i="10"/>
  <c r="H72" i="10"/>
  <c r="G72" i="10"/>
  <c r="F72" i="10"/>
  <c r="E72" i="10"/>
  <c r="P86" i="10"/>
  <c r="N70" i="10"/>
  <c r="N95" i="10" s="1"/>
  <c r="I67" i="10"/>
  <c r="M66" i="10"/>
  <c r="K66" i="10"/>
  <c r="O65" i="10"/>
  <c r="M65" i="10"/>
  <c r="J65" i="10"/>
  <c r="O64" i="10"/>
  <c r="M64" i="10"/>
  <c r="K64" i="10"/>
  <c r="J64" i="10"/>
  <c r="M63" i="10"/>
  <c r="J63" i="10"/>
  <c r="P62" i="10"/>
  <c r="O62" i="10"/>
  <c r="O97" i="10" s="1"/>
  <c r="BD238" i="5" s="1"/>
  <c r="BE248" i="5" s="1"/>
  <c r="AH91" i="28" s="1"/>
  <c r="N62" i="10"/>
  <c r="M62" i="10"/>
  <c r="M87" i="10" s="1"/>
  <c r="M99" i="10" s="1"/>
  <c r="L62" i="10"/>
  <c r="L87" i="10" s="1"/>
  <c r="L99" i="10" s="1"/>
  <c r="H62" i="10"/>
  <c r="H69" i="10" s="1"/>
  <c r="H94" i="10" s="1"/>
  <c r="G62" i="10"/>
  <c r="F62" i="10"/>
  <c r="E62" i="10"/>
  <c r="D62" i="10"/>
  <c r="D97" i="10" s="1"/>
  <c r="N59" i="10"/>
  <c r="Q53" i="10"/>
  <c r="R53" i="10" s="1"/>
  <c r="S53" i="10" s="1"/>
  <c r="T53" i="10" s="1"/>
  <c r="U53" i="10" s="1"/>
  <c r="V53" i="10" s="1"/>
  <c r="W53" i="10" s="1"/>
  <c r="X53" i="10" s="1"/>
  <c r="Y53" i="10" s="1"/>
  <c r="Y52" i="10"/>
  <c r="X52" i="10"/>
  <c r="W52" i="10"/>
  <c r="V52" i="10"/>
  <c r="U52" i="10"/>
  <c r="T52" i="10"/>
  <c r="S52" i="10"/>
  <c r="R52" i="10"/>
  <c r="Q52" i="10"/>
  <c r="P52" i="10"/>
  <c r="O52" i="10"/>
  <c r="Q51" i="10"/>
  <c r="Q151" i="10" s="1"/>
  <c r="O51" i="10"/>
  <c r="O151" i="10" s="1"/>
  <c r="O46" i="10"/>
  <c r="O53" i="10" s="1"/>
  <c r="P43" i="10"/>
  <c r="P50" i="10" s="1"/>
  <c r="O43" i="10"/>
  <c r="O39" i="10"/>
  <c r="C2491" i="16" s="1"/>
  <c r="Y38" i="10"/>
  <c r="M2490" i="16" s="1"/>
  <c r="X38" i="10"/>
  <c r="L2490" i="16" s="1"/>
  <c r="W38" i="10"/>
  <c r="K2490" i="16" s="1"/>
  <c r="V38" i="10"/>
  <c r="J2490" i="16" s="1"/>
  <c r="U38" i="10"/>
  <c r="T38" i="10"/>
  <c r="S38" i="10"/>
  <c r="G2490" i="16" s="1"/>
  <c r="R38" i="10"/>
  <c r="F2490" i="16" s="1"/>
  <c r="Q38" i="10"/>
  <c r="E2490" i="16" s="1"/>
  <c r="P38" i="10"/>
  <c r="D2490" i="16" s="1"/>
  <c r="O38" i="10"/>
  <c r="C2490" i="16" s="1"/>
  <c r="T36" i="10"/>
  <c r="P36" i="10"/>
  <c r="O29" i="10"/>
  <c r="N29" i="10"/>
  <c r="Y28" i="10"/>
  <c r="L2496" i="16" s="1"/>
  <c r="X28" i="10"/>
  <c r="W28" i="10"/>
  <c r="V28" i="10"/>
  <c r="U28" i="10"/>
  <c r="T28" i="10"/>
  <c r="S28" i="10"/>
  <c r="R28" i="10"/>
  <c r="Q28" i="10"/>
  <c r="O28" i="10"/>
  <c r="N28" i="10"/>
  <c r="P26" i="10"/>
  <c r="E25" i="10"/>
  <c r="D25" i="10"/>
  <c r="O18" i="10"/>
  <c r="N18" i="10"/>
  <c r="N26" i="10" s="1"/>
  <c r="P14" i="10"/>
  <c r="Y15" i="10"/>
  <c r="X15" i="10"/>
  <c r="W15" i="10"/>
  <c r="V15" i="10"/>
  <c r="U15" i="10"/>
  <c r="T15" i="10"/>
  <c r="S15" i="10"/>
  <c r="R15" i="10"/>
  <c r="P13" i="10"/>
  <c r="P12" i="10"/>
  <c r="P11" i="10"/>
  <c r="P8" i="10"/>
  <c r="O8" i="10"/>
  <c r="C2500" i="16" s="1"/>
  <c r="S7" i="10"/>
  <c r="T7" i="10" s="1"/>
  <c r="U7" i="10" s="1"/>
  <c r="S5" i="10"/>
  <c r="T5" i="10" s="1"/>
  <c r="U5" i="10" s="1"/>
  <c r="Z1405" i="16"/>
  <c r="Z1407" i="16" s="1"/>
  <c r="Y1405" i="16"/>
  <c r="Y1407" i="16" s="1"/>
  <c r="W1405" i="16"/>
  <c r="W1407" i="16" s="1"/>
  <c r="U1405" i="16"/>
  <c r="U1407" i="16" s="1"/>
  <c r="T1405" i="16"/>
  <c r="T1407" i="16" s="1"/>
  <c r="S1405" i="16"/>
  <c r="S1407" i="16" s="1"/>
  <c r="Q1405" i="16"/>
  <c r="Q1407" i="16" s="1"/>
  <c r="P1405" i="16"/>
  <c r="P1407" i="16" s="1"/>
  <c r="O1405" i="16"/>
  <c r="O1407" i="16" s="1"/>
  <c r="M1405" i="16"/>
  <c r="M1407" i="16" s="1"/>
  <c r="K1405" i="16"/>
  <c r="K1407" i="16" s="1"/>
  <c r="J1405" i="16"/>
  <c r="J1407" i="16" s="1"/>
  <c r="I1405" i="16"/>
  <c r="I1407" i="16" s="1"/>
  <c r="H1405" i="16"/>
  <c r="H1407" i="16" s="1"/>
  <c r="G1405" i="16"/>
  <c r="G1407" i="16" s="1"/>
  <c r="E1405" i="16"/>
  <c r="E1407" i="16" s="1"/>
  <c r="D1405" i="16"/>
  <c r="D1407" i="16" s="1"/>
  <c r="C1405" i="16"/>
  <c r="C1407" i="16" s="1"/>
  <c r="X1404" i="16"/>
  <c r="L1404" i="16"/>
  <c r="K1404" i="16"/>
  <c r="F1404" i="16"/>
  <c r="E1404" i="16"/>
  <c r="D1404" i="16"/>
  <c r="A314" i="5"/>
  <c r="Y313" i="5"/>
  <c r="X313" i="5"/>
  <c r="X312" i="5"/>
  <c r="W312" i="5"/>
  <c r="V312" i="5"/>
  <c r="S312" i="5"/>
  <c r="R312" i="5"/>
  <c r="Q312" i="5"/>
  <c r="N312" i="5"/>
  <c r="M312" i="5"/>
  <c r="L312" i="5"/>
  <c r="K312" i="5"/>
  <c r="A312" i="5"/>
  <c r="X311" i="5"/>
  <c r="W311" i="5"/>
  <c r="V311" i="5"/>
  <c r="S311" i="5"/>
  <c r="R311" i="5"/>
  <c r="Q311" i="5"/>
  <c r="N311" i="5"/>
  <c r="M311" i="5"/>
  <c r="L311" i="5"/>
  <c r="K311" i="5"/>
  <c r="A311" i="5"/>
  <c r="X310" i="5"/>
  <c r="W310" i="5"/>
  <c r="V310" i="5"/>
  <c r="S310" i="5"/>
  <c r="R310" i="5"/>
  <c r="Q310" i="5"/>
  <c r="N310" i="5"/>
  <c r="M310" i="5"/>
  <c r="L310" i="5"/>
  <c r="K310" i="5"/>
  <c r="A310" i="5"/>
  <c r="X309" i="5"/>
  <c r="W309" i="5"/>
  <c r="V309" i="5"/>
  <c r="S309" i="5"/>
  <c r="R309" i="5"/>
  <c r="Q309" i="5"/>
  <c r="N309" i="5"/>
  <c r="M309" i="5"/>
  <c r="L309" i="5"/>
  <c r="K309" i="5"/>
  <c r="A309" i="5"/>
  <c r="X304" i="5"/>
  <c r="W304" i="5"/>
  <c r="W306" i="5" s="1"/>
  <c r="W316" i="5" s="1"/>
  <c r="V304" i="5"/>
  <c r="S304" i="5"/>
  <c r="S306" i="5" s="1"/>
  <c r="S316" i="5" s="1"/>
  <c r="R304" i="5"/>
  <c r="R306" i="5" s="1"/>
  <c r="R316" i="5" s="1"/>
  <c r="Q304" i="5"/>
  <c r="Q306" i="5" s="1"/>
  <c r="Q316" i="5" s="1"/>
  <c r="O304" i="5"/>
  <c r="N304" i="5"/>
  <c r="M304" i="5"/>
  <c r="L304" i="5"/>
  <c r="I304" i="5"/>
  <c r="X302" i="5"/>
  <c r="W302" i="5"/>
  <c r="V302" i="5"/>
  <c r="S302" i="5"/>
  <c r="R302" i="5"/>
  <c r="Q302" i="5"/>
  <c r="N302" i="5"/>
  <c r="M302" i="5"/>
  <c r="L302" i="5"/>
  <c r="K302" i="5"/>
  <c r="I302" i="5"/>
  <c r="T300" i="5"/>
  <c r="U300" i="5" s="1"/>
  <c r="O300" i="5"/>
  <c r="P300" i="5" s="1"/>
  <c r="T299" i="5"/>
  <c r="U299" i="5" s="1"/>
  <c r="O299" i="5"/>
  <c r="P299" i="5" s="1"/>
  <c r="T298" i="5"/>
  <c r="U298" i="5" s="1"/>
  <c r="H200" i="10" s="1"/>
  <c r="O298" i="5"/>
  <c r="T297" i="5"/>
  <c r="O297" i="5"/>
  <c r="P297" i="5" s="1"/>
  <c r="A293" i="5"/>
  <c r="A292" i="5"/>
  <c r="A291" i="5"/>
  <c r="A288" i="5"/>
  <c r="AH287" i="5"/>
  <c r="AG287" i="5"/>
  <c r="AF287" i="5"/>
  <c r="AC287" i="5"/>
  <c r="AB287" i="5"/>
  <c r="AA287" i="5"/>
  <c r="A287" i="5"/>
  <c r="A285" i="5"/>
  <c r="AH278" i="5"/>
  <c r="AG278" i="5"/>
  <c r="AF278" i="5"/>
  <c r="AE278" i="5"/>
  <c r="AC278" i="5"/>
  <c r="AB278" i="5"/>
  <c r="AA278" i="5"/>
  <c r="Z278" i="5"/>
  <c r="X278" i="5"/>
  <c r="AD277" i="5"/>
  <c r="Y277" i="5"/>
  <c r="AD276" i="5"/>
  <c r="Y276" i="5"/>
  <c r="AD275" i="5"/>
  <c r="Y275" i="5"/>
  <c r="AH273" i="5"/>
  <c r="AG273" i="5"/>
  <c r="AF273" i="5"/>
  <c r="AD273" i="5"/>
  <c r="AC273" i="5"/>
  <c r="AB273" i="5"/>
  <c r="AA273" i="5"/>
  <c r="Y273" i="5"/>
  <c r="X273" i="5"/>
  <c r="AH271" i="5"/>
  <c r="AG271" i="5"/>
  <c r="AF271" i="5"/>
  <c r="AD271" i="5"/>
  <c r="AC271" i="5"/>
  <c r="Y266" i="5"/>
  <c r="Z265" i="5"/>
  <c r="BB264" i="5"/>
  <c r="BA264" i="5"/>
  <c r="AZ264" i="5"/>
  <c r="AX264" i="5"/>
  <c r="AW264" i="5"/>
  <c r="AV264" i="5"/>
  <c r="AU264" i="5"/>
  <c r="AS264" i="5"/>
  <c r="AR264" i="5"/>
  <c r="AQ264" i="5"/>
  <c r="AP264" i="5"/>
  <c r="AN264" i="5"/>
  <c r="AM264" i="5"/>
  <c r="AL264" i="5"/>
  <c r="AK264" i="5"/>
  <c r="AI264" i="5"/>
  <c r="AH264" i="5"/>
  <c r="AH285" i="5" s="1"/>
  <c r="AG264" i="5"/>
  <c r="AG285" i="5" s="1"/>
  <c r="AF264" i="5"/>
  <c r="AC264" i="5"/>
  <c r="AB264" i="5"/>
  <c r="AA264" i="5"/>
  <c r="Y264" i="5"/>
  <c r="X264" i="5"/>
  <c r="X265" i="5" s="1"/>
  <c r="W264" i="5"/>
  <c r="V264" i="5"/>
  <c r="V265" i="5" s="1"/>
  <c r="V266" i="5" s="1"/>
  <c r="S264" i="5"/>
  <c r="R264" i="5"/>
  <c r="R267" i="5" s="1"/>
  <c r="Q264" i="5"/>
  <c r="Q267" i="5" s="1"/>
  <c r="N264" i="5"/>
  <c r="N267" i="5" s="1"/>
  <c r="M264" i="5"/>
  <c r="M267" i="5" s="1"/>
  <c r="L264" i="5"/>
  <c r="K264" i="5"/>
  <c r="CM261" i="5"/>
  <c r="CN261" i="5" s="1"/>
  <c r="CL261" i="5"/>
  <c r="CK261" i="5"/>
  <c r="CH261" i="5"/>
  <c r="CG261" i="5"/>
  <c r="CF261" i="5"/>
  <c r="T261" i="5"/>
  <c r="U261" i="5" s="1"/>
  <c r="O261" i="5"/>
  <c r="P261" i="5" s="1"/>
  <c r="G174" i="10" s="1"/>
  <c r="I261" i="5"/>
  <c r="I312" i="5" s="1"/>
  <c r="H261" i="5"/>
  <c r="G261" i="5"/>
  <c r="CM260" i="5"/>
  <c r="CN260" i="5" s="1"/>
  <c r="CL260" i="5"/>
  <c r="CK260" i="5"/>
  <c r="CH260" i="5"/>
  <c r="CG260" i="5"/>
  <c r="CF260" i="5"/>
  <c r="T260" i="5"/>
  <c r="O260" i="5"/>
  <c r="I260" i="5"/>
  <c r="I311" i="5" s="1"/>
  <c r="H260" i="5"/>
  <c r="G260" i="5"/>
  <c r="CM259" i="5"/>
  <c r="CN259" i="5" s="1"/>
  <c r="CL259" i="5"/>
  <c r="CK259" i="5"/>
  <c r="CH259" i="5"/>
  <c r="CG259" i="5"/>
  <c r="CF259" i="5"/>
  <c r="T259" i="5"/>
  <c r="O259" i="5"/>
  <c r="P259" i="5" s="1"/>
  <c r="G170" i="10" s="1"/>
  <c r="I259" i="5"/>
  <c r="I310" i="5" s="1"/>
  <c r="H259" i="5"/>
  <c r="G259" i="5"/>
  <c r="CM258" i="5"/>
  <c r="CN258" i="5" s="1"/>
  <c r="CL258" i="5"/>
  <c r="CK258" i="5"/>
  <c r="CH258" i="5"/>
  <c r="CG258" i="5"/>
  <c r="CF258" i="5"/>
  <c r="T258" i="5"/>
  <c r="O258" i="5"/>
  <c r="I258" i="5"/>
  <c r="I309" i="5" s="1"/>
  <c r="H258" i="5"/>
  <c r="G258" i="5"/>
  <c r="CI257" i="5"/>
  <c r="CH257" i="5"/>
  <c r="CG257" i="5"/>
  <c r="CF257" i="5"/>
  <c r="CD257" i="5"/>
  <c r="CC257" i="5"/>
  <c r="CB257" i="5"/>
  <c r="CA257" i="5"/>
  <c r="BC257" i="5"/>
  <c r="BB257" i="5"/>
  <c r="BA257" i="5"/>
  <c r="AZ257" i="5"/>
  <c r="AX257" i="5"/>
  <c r="AW257" i="5"/>
  <c r="AV257" i="5"/>
  <c r="AU257" i="5"/>
  <c r="AS257" i="5"/>
  <c r="AR257" i="5"/>
  <c r="AQ257" i="5"/>
  <c r="AP257" i="5"/>
  <c r="AN257" i="5"/>
  <c r="AM257" i="5"/>
  <c r="AL257" i="5"/>
  <c r="AK257" i="5"/>
  <c r="AI257" i="5"/>
  <c r="AH257" i="5"/>
  <c r="AG257" i="5"/>
  <c r="AF257" i="5"/>
  <c r="AE257" i="5"/>
  <c r="AD257" i="5"/>
  <c r="AC257" i="5"/>
  <c r="AB257" i="5"/>
  <c r="AA257" i="5"/>
  <c r="Y257" i="5"/>
  <c r="X257" i="5"/>
  <c r="W257" i="5"/>
  <c r="V257" i="5"/>
  <c r="T257" i="5"/>
  <c r="S257" i="5"/>
  <c r="R257" i="5"/>
  <c r="Q257" i="5"/>
  <c r="P257" i="5"/>
  <c r="O257" i="5"/>
  <c r="N257" i="5"/>
  <c r="M257" i="5"/>
  <c r="L257" i="5"/>
  <c r="K257" i="5"/>
  <c r="J257" i="5"/>
  <c r="I257" i="5"/>
  <c r="H257" i="5"/>
  <c r="G257" i="5"/>
  <c r="AK249" i="5"/>
  <c r="R92" i="28" s="1"/>
  <c r="BH248" i="5"/>
  <c r="AK91" i="28" s="1"/>
  <c r="BG248" i="5"/>
  <c r="AJ91" i="28" s="1"/>
  <c r="BF248" i="5"/>
  <c r="BC248" i="5"/>
  <c r="AG91" i="28" s="1"/>
  <c r="BB248" i="5"/>
  <c r="AF91" i="28" s="1"/>
  <c r="BA248" i="5"/>
  <c r="AE91" i="28" s="1"/>
  <c r="AZ248" i="5"/>
  <c r="AD91" i="28" s="1"/>
  <c r="AX248" i="5"/>
  <c r="AC91" i="28" s="1"/>
  <c r="AW248" i="5"/>
  <c r="AB91" i="28" s="1"/>
  <c r="AV248" i="5"/>
  <c r="AA91" i="28" s="1"/>
  <c r="AS248" i="5"/>
  <c r="Y91" i="28" s="1"/>
  <c r="AR248" i="5"/>
  <c r="X91" i="28" s="1"/>
  <c r="AQ248" i="5"/>
  <c r="W91" i="28" s="1"/>
  <c r="AN248" i="5"/>
  <c r="U91" i="28" s="1"/>
  <c r="AM248" i="5"/>
  <c r="T91" i="28" s="1"/>
  <c r="AI248" i="5"/>
  <c r="Q91" i="28" s="1"/>
  <c r="AH248" i="5"/>
  <c r="P91" i="28" s="1"/>
  <c r="AG248" i="5"/>
  <c r="O91" i="28" s="1"/>
  <c r="AF248" i="5"/>
  <c r="N91" i="28" s="1"/>
  <c r="AD248" i="5"/>
  <c r="M91" i="28" s="1"/>
  <c r="AC248" i="5"/>
  <c r="L91" i="28" s="1"/>
  <c r="AB248" i="5"/>
  <c r="K91" i="28" s="1"/>
  <c r="BH247" i="5"/>
  <c r="BG247" i="5"/>
  <c r="BF247" i="5"/>
  <c r="BC247" i="5"/>
  <c r="BB247" i="5"/>
  <c r="A247" i="5"/>
  <c r="BH246" i="5"/>
  <c r="AK90" i="28" s="1"/>
  <c r="BG246" i="5"/>
  <c r="AJ90" i="28" s="1"/>
  <c r="BF246" i="5"/>
  <c r="BC246" i="5"/>
  <c r="AG90" i="28" s="1"/>
  <c r="BB246" i="5"/>
  <c r="AF90" i="28" s="1"/>
  <c r="BA246" i="5"/>
  <c r="AE90" i="28" s="1"/>
  <c r="AZ246" i="5"/>
  <c r="AD90" i="28" s="1"/>
  <c r="AX246" i="5"/>
  <c r="AC90" i="28" s="1"/>
  <c r="AW246" i="5"/>
  <c r="AB90" i="28" s="1"/>
  <c r="AV246" i="5"/>
  <c r="AA90" i="28" s="1"/>
  <c r="AS246" i="5"/>
  <c r="Y90" i="28" s="1"/>
  <c r="BB89" i="28" s="1"/>
  <c r="AR246" i="5"/>
  <c r="X90" i="28" s="1"/>
  <c r="AQ246" i="5"/>
  <c r="W90" i="28" s="1"/>
  <c r="AN246" i="5"/>
  <c r="U90" i="28" s="1"/>
  <c r="AM246" i="5"/>
  <c r="T90" i="28" s="1"/>
  <c r="AI246" i="5"/>
  <c r="Q90" i="28" s="1"/>
  <c r="AH246" i="5"/>
  <c r="P90" i="28" s="1"/>
  <c r="AG246" i="5"/>
  <c r="O90" i="28" s="1"/>
  <c r="AF246" i="5"/>
  <c r="N90" i="28" s="1"/>
  <c r="AD246" i="5"/>
  <c r="M90" i="28" s="1"/>
  <c r="AC246" i="5"/>
  <c r="L90" i="28" s="1"/>
  <c r="AB246" i="5"/>
  <c r="K90" i="28" s="1"/>
  <c r="BH245" i="5"/>
  <c r="BG245" i="5"/>
  <c r="BF245" i="5"/>
  <c r="BC245" i="5"/>
  <c r="BB245" i="5"/>
  <c r="BA245" i="5"/>
  <c r="AZ245" i="5"/>
  <c r="AX245" i="5"/>
  <c r="AC89" i="28" s="1"/>
  <c r="AW245" i="5"/>
  <c r="AB89" i="28" s="1"/>
  <c r="AV245" i="5"/>
  <c r="AA89" i="28" s="1"/>
  <c r="AS245" i="5"/>
  <c r="Y89" i="28" s="1"/>
  <c r="AR245" i="5"/>
  <c r="X89" i="28" s="1"/>
  <c r="AQ245" i="5"/>
  <c r="W89" i="28" s="1"/>
  <c r="AN245" i="5"/>
  <c r="U89" i="28" s="1"/>
  <c r="AM245" i="5"/>
  <c r="T89" i="28" s="1"/>
  <c r="AI245" i="5"/>
  <c r="Q89" i="28" s="1"/>
  <c r="AH245" i="5"/>
  <c r="P89" i="28" s="1"/>
  <c r="AG245" i="5"/>
  <c r="O89" i="28" s="1"/>
  <c r="AF245" i="5"/>
  <c r="N89" i="28" s="1"/>
  <c r="AD245" i="5"/>
  <c r="M89" i="28" s="1"/>
  <c r="AC245" i="5"/>
  <c r="L89" i="28" s="1"/>
  <c r="AB245" i="5"/>
  <c r="K89" i="28" s="1"/>
  <c r="AT240" i="5"/>
  <c r="AO240" i="5"/>
  <c r="BH239" i="5"/>
  <c r="BG239" i="5"/>
  <c r="BF239" i="5"/>
  <c r="BE239" i="5"/>
  <c r="BC239" i="5"/>
  <c r="BB239" i="5"/>
  <c r="BB241" i="5" s="1"/>
  <c r="BA239" i="5"/>
  <c r="BA241" i="5" s="1"/>
  <c r="AZ239" i="5"/>
  <c r="AX239" i="5"/>
  <c r="AW239" i="5"/>
  <c r="AW241" i="5" s="1"/>
  <c r="AV239" i="5"/>
  <c r="AU239" i="5"/>
  <c r="AS239" i="5"/>
  <c r="AS241" i="5" s="1"/>
  <c r="AR239" i="5"/>
  <c r="AR241" i="5" s="1"/>
  <c r="AQ239" i="5"/>
  <c r="AQ241" i="5" s="1"/>
  <c r="AP239" i="5"/>
  <c r="AN239" i="5"/>
  <c r="AM239" i="5"/>
  <c r="AM241" i="5" s="1"/>
  <c r="AL239" i="5"/>
  <c r="AI239" i="5"/>
  <c r="AH239" i="5"/>
  <c r="AG239" i="5"/>
  <c r="D867" i="16" s="1"/>
  <c r="AF239" i="5"/>
  <c r="AD239" i="5"/>
  <c r="AC239" i="5"/>
  <c r="AB239" i="5"/>
  <c r="AA239" i="5"/>
  <c r="AA242" i="5" s="1"/>
  <c r="Y239" i="5"/>
  <c r="DK238" i="5"/>
  <c r="AJ238" i="5"/>
  <c r="AK238" i="5" s="1"/>
  <c r="X238" i="5"/>
  <c r="Y248" i="5" s="1"/>
  <c r="W238" i="5"/>
  <c r="V238" i="5"/>
  <c r="T238" i="5"/>
  <c r="S238" i="5"/>
  <c r="R238" i="5"/>
  <c r="Q238" i="5"/>
  <c r="P238" i="5"/>
  <c r="O238" i="5"/>
  <c r="N238" i="5"/>
  <c r="M238" i="5"/>
  <c r="L238" i="5"/>
  <c r="J238" i="5"/>
  <c r="I238" i="5"/>
  <c r="H238" i="5"/>
  <c r="G238" i="5"/>
  <c r="E238" i="5"/>
  <c r="D238" i="5"/>
  <c r="C238" i="5"/>
  <c r="B238" i="5"/>
  <c r="A238" i="5"/>
  <c r="A248" i="5" s="1"/>
  <c r="BD237" i="5"/>
  <c r="BE247" i="5" s="1"/>
  <c r="DK236" i="5"/>
  <c r="AJ236" i="5"/>
  <c r="AK236" i="5" s="1"/>
  <c r="X236" i="5"/>
  <c r="W236" i="5"/>
  <c r="V236" i="5"/>
  <c r="T236" i="5"/>
  <c r="S236" i="5"/>
  <c r="R236" i="5"/>
  <c r="Q236" i="5"/>
  <c r="P236" i="5"/>
  <c r="O236" i="5"/>
  <c r="N236" i="5"/>
  <c r="M236" i="5"/>
  <c r="L236" i="5"/>
  <c r="J236" i="5"/>
  <c r="I236" i="5"/>
  <c r="H236" i="5"/>
  <c r="G236" i="5"/>
  <c r="E236" i="5"/>
  <c r="D236" i="5"/>
  <c r="C236" i="5"/>
  <c r="B236" i="5"/>
  <c r="A236" i="5"/>
  <c r="A246" i="5" s="1"/>
  <c r="DK235" i="5"/>
  <c r="BN235" i="5"/>
  <c r="BO245" i="5" s="1"/>
  <c r="BI235" i="5"/>
  <c r="BJ245" i="5" s="1"/>
  <c r="BD235" i="5"/>
  <c r="AT235" i="5"/>
  <c r="AU245" i="5" s="1"/>
  <c r="Z89" i="28" s="1"/>
  <c r="AO235" i="5"/>
  <c r="AJ235" i="5"/>
  <c r="AK235" i="5" s="1"/>
  <c r="X235" i="5"/>
  <c r="W235" i="5"/>
  <c r="V235" i="5"/>
  <c r="T235" i="5"/>
  <c r="S235" i="5"/>
  <c r="R235" i="5"/>
  <c r="Q235" i="5"/>
  <c r="O235" i="5"/>
  <c r="N235" i="5"/>
  <c r="M235" i="5"/>
  <c r="L235" i="5"/>
  <c r="J235" i="5"/>
  <c r="I235" i="5"/>
  <c r="H235" i="5"/>
  <c r="G235" i="5"/>
  <c r="E235" i="5"/>
  <c r="D235" i="5"/>
  <c r="C235" i="5"/>
  <c r="B235" i="5"/>
  <c r="A235" i="5"/>
  <c r="A245" i="5" s="1"/>
  <c r="A233" i="5"/>
  <c r="X229" i="5"/>
  <c r="X222" i="5"/>
  <c r="W222" i="5"/>
  <c r="V222" i="5"/>
  <c r="T222" i="5"/>
  <c r="S222" i="5"/>
  <c r="R222" i="5"/>
  <c r="Q222" i="5"/>
  <c r="O222" i="5"/>
  <c r="N222" i="5"/>
  <c r="M222" i="5"/>
  <c r="L222" i="5"/>
  <c r="J222" i="5"/>
  <c r="I222" i="5"/>
  <c r="H222" i="5"/>
  <c r="G222" i="5"/>
  <c r="E222" i="5"/>
  <c r="D222" i="5"/>
  <c r="C222" i="5"/>
  <c r="B222" i="5"/>
  <c r="X215" i="5"/>
  <c r="W215" i="5"/>
  <c r="V215" i="5"/>
  <c r="T215" i="5"/>
  <c r="S215" i="5"/>
  <c r="R215" i="5"/>
  <c r="Q215" i="5"/>
  <c r="O215" i="5"/>
  <c r="N215" i="5"/>
  <c r="M215" i="5"/>
  <c r="L215" i="5"/>
  <c r="J215" i="5"/>
  <c r="I215" i="5"/>
  <c r="H215" i="5"/>
  <c r="G215" i="5"/>
  <c r="E215" i="5"/>
  <c r="D215" i="5"/>
  <c r="C215" i="5"/>
  <c r="B215" i="5"/>
  <c r="X208" i="5"/>
  <c r="W208" i="5"/>
  <c r="V208" i="5"/>
  <c r="T208" i="5"/>
  <c r="S208" i="5"/>
  <c r="R208" i="5"/>
  <c r="Q208" i="5"/>
  <c r="O208" i="5"/>
  <c r="N208" i="5"/>
  <c r="M208" i="5"/>
  <c r="L208" i="5"/>
  <c r="J208" i="5"/>
  <c r="I208" i="5"/>
  <c r="H208" i="5"/>
  <c r="G208" i="5"/>
  <c r="E208" i="5"/>
  <c r="D208" i="5"/>
  <c r="C208" i="5"/>
  <c r="B208" i="5"/>
  <c r="A201" i="5"/>
  <c r="W192" i="5"/>
  <c r="S192" i="5"/>
  <c r="Q192" i="5"/>
  <c r="N192" i="5"/>
  <c r="M192" i="5"/>
  <c r="I192" i="5"/>
  <c r="G192" i="5"/>
  <c r="AX190" i="5"/>
  <c r="AW190" i="5"/>
  <c r="AV190" i="5"/>
  <c r="AU190" i="5"/>
  <c r="DH188" i="5"/>
  <c r="DH189" i="5" s="1"/>
  <c r="DV186" i="5"/>
  <c r="DU186" i="5"/>
  <c r="DT186" i="5"/>
  <c r="DQ186" i="5"/>
  <c r="DP186" i="5"/>
  <c r="DO186" i="5"/>
  <c r="DK186" i="5"/>
  <c r="DJ186" i="5"/>
  <c r="DH186" i="5"/>
  <c r="DG186" i="5"/>
  <c r="DG189" i="5" s="1"/>
  <c r="DF186" i="5"/>
  <c r="DF189" i="5" s="1"/>
  <c r="DE186" i="5"/>
  <c r="DE189" i="5" s="1"/>
  <c r="DC186" i="5"/>
  <c r="DB186" i="5"/>
  <c r="DA186" i="5"/>
  <c r="CZ186" i="5"/>
  <c r="CX186" i="5"/>
  <c r="CW186" i="5"/>
  <c r="CV186" i="5"/>
  <c r="CU186" i="5"/>
  <c r="CP186" i="5"/>
  <c r="CK186" i="5"/>
  <c r="CH186" i="5"/>
  <c r="CG186" i="5"/>
  <c r="CF186" i="5"/>
  <c r="CC186" i="5"/>
  <c r="CB186" i="5"/>
  <c r="CA186" i="5"/>
  <c r="AJ186" i="5"/>
  <c r="Z186" i="5"/>
  <c r="X186" i="5"/>
  <c r="W186" i="5"/>
  <c r="CL186" i="5" s="1"/>
  <c r="O186" i="5"/>
  <c r="CI186" i="5" s="1"/>
  <c r="J186" i="5"/>
  <c r="BH185" i="5"/>
  <c r="BH187" i="5" s="1"/>
  <c r="BG185" i="5"/>
  <c r="BG187" i="5" s="1"/>
  <c r="BF185" i="5"/>
  <c r="BF187" i="5" s="1"/>
  <c r="BE185" i="5"/>
  <c r="BE187" i="5" s="1"/>
  <c r="BB185" i="5"/>
  <c r="BB187" i="5" s="1"/>
  <c r="BA185" i="5"/>
  <c r="BA187" i="5" s="1"/>
  <c r="AZ185" i="5"/>
  <c r="AZ187" i="5" s="1"/>
  <c r="AX185" i="5"/>
  <c r="AX187" i="5" s="1"/>
  <c r="AW185" i="5"/>
  <c r="AW187" i="5" s="1"/>
  <c r="AV185" i="5"/>
  <c r="AV187" i="5" s="1"/>
  <c r="AU185" i="5"/>
  <c r="AU187" i="5" s="1"/>
  <c r="AR185" i="5"/>
  <c r="AR187" i="5" s="1"/>
  <c r="AQ185" i="5"/>
  <c r="AQ187" i="5" s="1"/>
  <c r="AP185" i="5"/>
  <c r="AP187" i="5" s="1"/>
  <c r="AN185" i="5"/>
  <c r="AN187" i="5" s="1"/>
  <c r="AM185" i="5"/>
  <c r="AM187" i="5" s="1"/>
  <c r="AL185" i="5"/>
  <c r="AL187" i="5" s="1"/>
  <c r="AK185" i="5"/>
  <c r="AK187" i="5" s="1"/>
  <c r="AH185" i="5"/>
  <c r="AG185" i="5"/>
  <c r="AG187" i="5" s="1"/>
  <c r="AF185" i="5"/>
  <c r="AC185" i="5"/>
  <c r="AC187" i="5" s="1"/>
  <c r="AB185" i="5"/>
  <c r="AB187" i="5" s="1"/>
  <c r="AA185" i="5"/>
  <c r="V185" i="5"/>
  <c r="V187" i="5" s="1"/>
  <c r="S185" i="5"/>
  <c r="S187" i="5" s="1"/>
  <c r="R185" i="5"/>
  <c r="Q185" i="5"/>
  <c r="Q187" i="5" s="1"/>
  <c r="O185" i="5"/>
  <c r="N185" i="5"/>
  <c r="N187" i="5" s="1"/>
  <c r="M185" i="5"/>
  <c r="L185" i="5"/>
  <c r="L187" i="5" s="1"/>
  <c r="J185" i="5"/>
  <c r="I185" i="5"/>
  <c r="I187" i="5" s="1"/>
  <c r="H185" i="5"/>
  <c r="H187" i="5" s="1"/>
  <c r="G185" i="5"/>
  <c r="G187" i="5" s="1"/>
  <c r="A185" i="5"/>
  <c r="BH182" i="5"/>
  <c r="BG182" i="5"/>
  <c r="BF182" i="5"/>
  <c r="BE182" i="5"/>
  <c r="BB182" i="5"/>
  <c r="BB183" i="5" s="1"/>
  <c r="BA182" i="5"/>
  <c r="BA183" i="5" s="1"/>
  <c r="AZ182" i="5"/>
  <c r="AZ183" i="5" s="1"/>
  <c r="AX182" i="5"/>
  <c r="AW182" i="5"/>
  <c r="AV182" i="5"/>
  <c r="AU182" i="5"/>
  <c r="AR182" i="5"/>
  <c r="AQ182" i="5"/>
  <c r="AP182" i="5"/>
  <c r="AN182" i="5"/>
  <c r="AM182" i="5"/>
  <c r="AL182" i="5"/>
  <c r="AK182" i="5"/>
  <c r="AH182" i="5"/>
  <c r="AG182" i="5"/>
  <c r="AF182" i="5"/>
  <c r="AC182" i="5"/>
  <c r="AB182" i="5"/>
  <c r="AA182" i="5"/>
  <c r="X182" i="5"/>
  <c r="W182" i="5"/>
  <c r="V182" i="5"/>
  <c r="S182" i="5"/>
  <c r="R182" i="5"/>
  <c r="Q182" i="5"/>
  <c r="Q183" i="5" s="1"/>
  <c r="O182" i="5"/>
  <c r="N182" i="5"/>
  <c r="N183" i="5" s="1"/>
  <c r="M182" i="5"/>
  <c r="L182" i="5"/>
  <c r="J182" i="5"/>
  <c r="I182" i="5"/>
  <c r="H182" i="5"/>
  <c r="G182" i="5"/>
  <c r="A182" i="5"/>
  <c r="CP180" i="5"/>
  <c r="CI180" i="5"/>
  <c r="CH180" i="5"/>
  <c r="CG180" i="5"/>
  <c r="CF180" i="5"/>
  <c r="CD180" i="5"/>
  <c r="CC180" i="5"/>
  <c r="CB180" i="5"/>
  <c r="CA180" i="5"/>
  <c r="BH178" i="5"/>
  <c r="BF178" i="5"/>
  <c r="BE178" i="5"/>
  <c r="BC178" i="5"/>
  <c r="BB178" i="5"/>
  <c r="BA178" i="5"/>
  <c r="AZ178" i="5"/>
  <c r="AX178" i="5"/>
  <c r="AW178" i="5"/>
  <c r="AV178" i="5"/>
  <c r="AU178" i="5"/>
  <c r="AS178" i="5"/>
  <c r="AR178" i="5"/>
  <c r="AQ178" i="5"/>
  <c r="AP178" i="5"/>
  <c r="AN178" i="5"/>
  <c r="AM178" i="5"/>
  <c r="AL178" i="5"/>
  <c r="AK178" i="5"/>
  <c r="AI178" i="5"/>
  <c r="AH178" i="5"/>
  <c r="AG178" i="5"/>
  <c r="AF178" i="5"/>
  <c r="AD178" i="5"/>
  <c r="AC178" i="5"/>
  <c r="AB178" i="5"/>
  <c r="AA178" i="5"/>
  <c r="Y178" i="5"/>
  <c r="X178" i="5"/>
  <c r="W178" i="5"/>
  <c r="V178" i="5"/>
  <c r="T178" i="5"/>
  <c r="S178" i="5"/>
  <c r="R178" i="5"/>
  <c r="Q178" i="5"/>
  <c r="P178" i="5"/>
  <c r="O178" i="5"/>
  <c r="N178" i="5"/>
  <c r="M178" i="5"/>
  <c r="L178" i="5"/>
  <c r="K178" i="5"/>
  <c r="J178" i="5"/>
  <c r="I178" i="5"/>
  <c r="H178" i="5"/>
  <c r="G178" i="5"/>
  <c r="F178" i="5"/>
  <c r="E178" i="5"/>
  <c r="D178" i="5"/>
  <c r="C178" i="5"/>
  <c r="B178" i="5"/>
  <c r="AN173" i="5"/>
  <c r="AN172" i="5"/>
  <c r="AI172" i="5"/>
  <c r="AH172" i="5"/>
  <c r="AG172" i="5"/>
  <c r="AF172" i="5"/>
  <c r="AD172" i="5"/>
  <c r="AC172" i="5"/>
  <c r="BB166" i="5"/>
  <c r="BB167" i="5" s="1"/>
  <c r="BA166" i="5"/>
  <c r="BA167" i="5" s="1"/>
  <c r="AX166" i="5"/>
  <c r="AX167" i="5" s="1"/>
  <c r="AW166" i="5"/>
  <c r="AW167" i="5" s="1"/>
  <c r="AV166" i="5"/>
  <c r="AV167" i="5" s="1"/>
  <c r="AU166" i="5"/>
  <c r="AU167" i="5" s="1"/>
  <c r="AS166" i="5"/>
  <c r="AS167" i="5" s="1"/>
  <c r="AR166" i="5"/>
  <c r="AR167" i="5" s="1"/>
  <c r="AQ166" i="5"/>
  <c r="AQ167" i="5" s="1"/>
  <c r="AP166" i="5"/>
  <c r="AP167" i="5" s="1"/>
  <c r="AN166" i="5"/>
  <c r="AN167" i="5" s="1"/>
  <c r="AM166" i="5"/>
  <c r="AM167" i="5" s="1"/>
  <c r="AL166" i="5"/>
  <c r="AL167" i="5" s="1"/>
  <c r="AI166" i="5"/>
  <c r="AI167" i="5" s="1"/>
  <c r="AH166" i="5"/>
  <c r="AH167" i="5" s="1"/>
  <c r="AC166" i="5"/>
  <c r="AC167" i="5" s="1"/>
  <c r="AB166" i="5"/>
  <c r="AB167" i="5" s="1"/>
  <c r="AA166" i="5"/>
  <c r="AA167" i="5" s="1"/>
  <c r="Y166" i="5"/>
  <c r="X166" i="5"/>
  <c r="W166" i="5"/>
  <c r="W163" i="5" s="1"/>
  <c r="V166" i="5"/>
  <c r="V163" i="5" s="1"/>
  <c r="T166" i="5"/>
  <c r="BC164" i="5"/>
  <c r="AZ164" i="5"/>
  <c r="BC163" i="5"/>
  <c r="BH161" i="5"/>
  <c r="BG161" i="5"/>
  <c r="BF161" i="5"/>
  <c r="BE161" i="5"/>
  <c r="AX161" i="5"/>
  <c r="AW161" i="5"/>
  <c r="AV161" i="5"/>
  <c r="AU161" i="5"/>
  <c r="AG160" i="5"/>
  <c r="AG166" i="5" s="1"/>
  <c r="AG167" i="5" s="1"/>
  <c r="AF160" i="5"/>
  <c r="AD160" i="5"/>
  <c r="AD166" i="5" s="1"/>
  <c r="AD167" i="5" s="1"/>
  <c r="AZ157" i="5"/>
  <c r="AX157" i="5"/>
  <c r="BG153" i="5"/>
  <c r="BH153" i="5" s="1"/>
  <c r="AV153" i="5"/>
  <c r="AV152" i="5"/>
  <c r="AW152" i="5" s="1"/>
  <c r="BF151" i="5"/>
  <c r="BG151" i="5" s="1"/>
  <c r="BH151" i="5" s="1"/>
  <c r="AW151" i="5"/>
  <c r="AX151" i="5" s="1"/>
  <c r="BF150" i="5"/>
  <c r="BF147" i="5"/>
  <c r="BG147" i="5" s="1"/>
  <c r="BH147" i="5" s="1"/>
  <c r="AW147" i="5"/>
  <c r="AX147" i="5" s="1"/>
  <c r="A144" i="5"/>
  <c r="BH143" i="5"/>
  <c r="BG143" i="5"/>
  <c r="BF143" i="5"/>
  <c r="BE143" i="5"/>
  <c r="BC143" i="5"/>
  <c r="BB143" i="5"/>
  <c r="BA143" i="5"/>
  <c r="AZ143" i="5"/>
  <c r="AX143" i="5"/>
  <c r="AW143" i="5"/>
  <c r="AV143" i="5"/>
  <c r="AU143" i="5"/>
  <c r="AR143" i="5"/>
  <c r="AQ143" i="5"/>
  <c r="AP143" i="5"/>
  <c r="AM143" i="5"/>
  <c r="AL143" i="5"/>
  <c r="AK143" i="5"/>
  <c r="AH143" i="5"/>
  <c r="AG143" i="5"/>
  <c r="AF143" i="5"/>
  <c r="AC143" i="5"/>
  <c r="AB143" i="5"/>
  <c r="AA143" i="5"/>
  <c r="A143" i="5"/>
  <c r="BH142" i="5"/>
  <c r="BG142" i="5"/>
  <c r="BF142" i="5"/>
  <c r="BE142" i="5"/>
  <c r="BC142" i="5"/>
  <c r="BB142" i="5"/>
  <c r="BA142" i="5"/>
  <c r="AZ142" i="5"/>
  <c r="AX142" i="5"/>
  <c r="AW142" i="5"/>
  <c r="AV142" i="5"/>
  <c r="AU142" i="5"/>
  <c r="AR142" i="5"/>
  <c r="AQ142" i="5"/>
  <c r="AP142" i="5"/>
  <c r="AM142" i="5"/>
  <c r="AL142" i="5"/>
  <c r="AK142" i="5"/>
  <c r="AH142" i="5"/>
  <c r="AG142" i="5"/>
  <c r="AF142" i="5"/>
  <c r="AC142" i="5"/>
  <c r="AB142" i="5"/>
  <c r="AA142" i="5"/>
  <c r="A142" i="5"/>
  <c r="A139" i="5"/>
  <c r="BH138" i="5"/>
  <c r="BG138" i="5"/>
  <c r="BF138" i="5"/>
  <c r="BE138" i="5"/>
  <c r="BC138" i="5"/>
  <c r="BB138" i="5"/>
  <c r="BA138" i="5"/>
  <c r="AZ138" i="5"/>
  <c r="AX138" i="5"/>
  <c r="AW138" i="5"/>
  <c r="AV138" i="5"/>
  <c r="AU138" i="5"/>
  <c r="AR138" i="5"/>
  <c r="AQ138" i="5"/>
  <c r="AP138" i="5"/>
  <c r="AM138" i="5"/>
  <c r="AL138" i="5"/>
  <c r="AK138" i="5"/>
  <c r="AH138" i="5"/>
  <c r="AG138" i="5"/>
  <c r="AF138" i="5"/>
  <c r="AC138" i="5"/>
  <c r="AB138" i="5"/>
  <c r="AA138" i="5"/>
  <c r="A138" i="5"/>
  <c r="BH137" i="5"/>
  <c r="BG137" i="5"/>
  <c r="BF137" i="5"/>
  <c r="BE137" i="5"/>
  <c r="BC137" i="5"/>
  <c r="BB137" i="5"/>
  <c r="BA137" i="5"/>
  <c r="AZ137" i="5"/>
  <c r="AX137" i="5"/>
  <c r="AW137" i="5"/>
  <c r="AV137" i="5"/>
  <c r="AU137" i="5"/>
  <c r="AR137" i="5"/>
  <c r="AQ137" i="5"/>
  <c r="AP137" i="5"/>
  <c r="AM137" i="5"/>
  <c r="AL137" i="5"/>
  <c r="AK137" i="5"/>
  <c r="AH137" i="5"/>
  <c r="AG137" i="5"/>
  <c r="AF137" i="5"/>
  <c r="AC137" i="5"/>
  <c r="AB137" i="5"/>
  <c r="AA137" i="5"/>
  <c r="A137" i="5"/>
  <c r="BH133" i="5"/>
  <c r="BG133" i="5"/>
  <c r="BF133" i="5"/>
  <c r="BE133" i="5"/>
  <c r="BC133" i="5"/>
  <c r="BB133" i="5"/>
  <c r="BA133" i="5"/>
  <c r="AZ133" i="5"/>
  <c r="AW133" i="5"/>
  <c r="AV133" i="5"/>
  <c r="AU133" i="5"/>
  <c r="AR133" i="5"/>
  <c r="AQ133" i="5"/>
  <c r="AP133" i="5"/>
  <c r="AM133" i="5"/>
  <c r="AL133" i="5"/>
  <c r="AK133" i="5"/>
  <c r="AH133" i="5"/>
  <c r="AG133" i="5"/>
  <c r="AF133" i="5"/>
  <c r="A133" i="5"/>
  <c r="BH132" i="5"/>
  <c r="AK110" i="28" s="1"/>
  <c r="BG132" i="5"/>
  <c r="AJ110" i="28" s="1"/>
  <c r="BF132" i="5"/>
  <c r="AI110" i="28" s="1"/>
  <c r="BE132" i="5"/>
  <c r="AH110" i="28" s="1"/>
  <c r="BC132" i="5"/>
  <c r="AG110" i="28" s="1"/>
  <c r="BB132" i="5"/>
  <c r="AF110" i="28" s="1"/>
  <c r="BA132" i="5"/>
  <c r="AE110" i="28" s="1"/>
  <c r="AZ132" i="5"/>
  <c r="AD110" i="28" s="1"/>
  <c r="AW132" i="5"/>
  <c r="AW131" i="5" s="1"/>
  <c r="AB110" i="28" s="1"/>
  <c r="AV132" i="5"/>
  <c r="AV131" i="5" s="1"/>
  <c r="AA110" i="28" s="1"/>
  <c r="AU132" i="5"/>
  <c r="AU131" i="5" s="1"/>
  <c r="Z110" i="28" s="1"/>
  <c r="AR132" i="5"/>
  <c r="X110" i="28" s="1"/>
  <c r="AQ132" i="5"/>
  <c r="W110" i="28" s="1"/>
  <c r="AP132" i="5"/>
  <c r="V110" i="28" s="1"/>
  <c r="AM132" i="5"/>
  <c r="T110" i="28" s="1"/>
  <c r="AL132" i="5"/>
  <c r="S110" i="28" s="1"/>
  <c r="AK132" i="5"/>
  <c r="R110" i="28" s="1"/>
  <c r="AH132" i="5"/>
  <c r="P110" i="28" s="1"/>
  <c r="AG132" i="5"/>
  <c r="O110" i="28" s="1"/>
  <c r="AF132" i="5"/>
  <c r="N110" i="28" s="1"/>
  <c r="A132" i="5"/>
  <c r="BH128" i="5"/>
  <c r="BG128" i="5"/>
  <c r="BF128" i="5"/>
  <c r="BE128" i="5"/>
  <c r="BJ134" i="5" s="1"/>
  <c r="BC128" i="5"/>
  <c r="BB128" i="5"/>
  <c r="BA128" i="5"/>
  <c r="BA129" i="5" s="1"/>
  <c r="AZ128" i="5"/>
  <c r="AZ129" i="5" s="1"/>
  <c r="AX128" i="5"/>
  <c r="AW128" i="5"/>
  <c r="AV128" i="5"/>
  <c r="AU128" i="5"/>
  <c r="AR128" i="5"/>
  <c r="AQ128" i="5"/>
  <c r="AP128" i="5"/>
  <c r="AM128" i="5"/>
  <c r="AL128" i="5"/>
  <c r="AK128" i="5"/>
  <c r="AH128" i="5"/>
  <c r="AG128" i="5"/>
  <c r="AF128" i="5"/>
  <c r="AC128" i="5"/>
  <c r="AB128" i="5"/>
  <c r="AA128" i="5"/>
  <c r="DL127" i="5"/>
  <c r="DK127" i="5"/>
  <c r="DJ127" i="5"/>
  <c r="DG127" i="5"/>
  <c r="DF127" i="5"/>
  <c r="DE127" i="5"/>
  <c r="DB127" i="5"/>
  <c r="DA127" i="5"/>
  <c r="CZ127" i="5"/>
  <c r="CW127" i="5"/>
  <c r="CV127" i="5"/>
  <c r="CU127" i="5"/>
  <c r="AS127" i="5"/>
  <c r="AN127" i="5"/>
  <c r="AI127" i="5"/>
  <c r="AD127" i="5"/>
  <c r="DL126" i="5"/>
  <c r="DK126" i="5"/>
  <c r="DJ126" i="5"/>
  <c r="DG126" i="5"/>
  <c r="DF126" i="5"/>
  <c r="DE126" i="5"/>
  <c r="DB126" i="5"/>
  <c r="DA126" i="5"/>
  <c r="CZ126" i="5"/>
  <c r="CW126" i="5"/>
  <c r="CV126" i="5"/>
  <c r="CU126" i="5"/>
  <c r="AS126" i="5"/>
  <c r="AN126" i="5"/>
  <c r="AI126" i="5"/>
  <c r="AI128" i="5" s="1"/>
  <c r="AD126" i="5"/>
  <c r="BH118" i="5"/>
  <c r="BG118" i="5"/>
  <c r="AJ138" i="28" s="1"/>
  <c r="BF118" i="5"/>
  <c r="BE118" i="5"/>
  <c r="BC118" i="5"/>
  <c r="BB118" i="5"/>
  <c r="BA118" i="5"/>
  <c r="AZ118" i="5"/>
  <c r="AW118" i="5"/>
  <c r="AV118" i="5"/>
  <c r="AU118" i="5"/>
  <c r="AR118" i="5"/>
  <c r="AQ118" i="5"/>
  <c r="AP118" i="5"/>
  <c r="AM118" i="5"/>
  <c r="AL118" i="5"/>
  <c r="AK118" i="5"/>
  <c r="AH118" i="5"/>
  <c r="AG118" i="5"/>
  <c r="AF118" i="5"/>
  <c r="A118" i="5"/>
  <c r="BH117" i="5"/>
  <c r="AK137" i="28" s="1"/>
  <c r="BG117" i="5"/>
  <c r="AJ137" i="28" s="1"/>
  <c r="BF117" i="5"/>
  <c r="AI137" i="28" s="1"/>
  <c r="BE117" i="5"/>
  <c r="BC117" i="5"/>
  <c r="BB117" i="5"/>
  <c r="BA117" i="5"/>
  <c r="AZ117" i="5"/>
  <c r="AW117" i="5"/>
  <c r="AV117" i="5"/>
  <c r="AU117" i="5"/>
  <c r="AR117" i="5"/>
  <c r="X103" i="28" s="1"/>
  <c r="AQ117" i="5"/>
  <c r="W103" i="28" s="1"/>
  <c r="AP117" i="5"/>
  <c r="V103" i="28" s="1"/>
  <c r="AM117" i="5"/>
  <c r="T103" i="28" s="1"/>
  <c r="AL117" i="5"/>
  <c r="S103" i="28" s="1"/>
  <c r="AK117" i="5"/>
  <c r="R103" i="28" s="1"/>
  <c r="AH117" i="5"/>
  <c r="P103" i="28" s="1"/>
  <c r="AG117" i="5"/>
  <c r="O103" i="28" s="1"/>
  <c r="AF117" i="5"/>
  <c r="N103" i="28" s="1"/>
  <c r="A117" i="5"/>
  <c r="AW116" i="5"/>
  <c r="AB103" i="28" s="1"/>
  <c r="AV116" i="5"/>
  <c r="AA103" i="28" s="1"/>
  <c r="AU116" i="5"/>
  <c r="Z103" i="28" s="1"/>
  <c r="BH113" i="5"/>
  <c r="BM119" i="5" s="1"/>
  <c r="AO139" i="28" s="1"/>
  <c r="BG113" i="5"/>
  <c r="BF113" i="5"/>
  <c r="BE113" i="5"/>
  <c r="BC113" i="5"/>
  <c r="BB113" i="5"/>
  <c r="BA113" i="5"/>
  <c r="AZ113" i="5"/>
  <c r="AX113" i="5"/>
  <c r="AW113" i="5"/>
  <c r="AW114" i="5" s="1"/>
  <c r="AV113" i="5"/>
  <c r="AV114" i="5" s="1"/>
  <c r="AU113" i="5"/>
  <c r="AR113" i="5"/>
  <c r="AQ113" i="5"/>
  <c r="AP113" i="5"/>
  <c r="AM113" i="5"/>
  <c r="AM114" i="5" s="1"/>
  <c r="AL113" i="5"/>
  <c r="AK113" i="5"/>
  <c r="AH113" i="5"/>
  <c r="AG113" i="5"/>
  <c r="AF113" i="5"/>
  <c r="AC113" i="5"/>
  <c r="AC114" i="5" s="1"/>
  <c r="AB113" i="5"/>
  <c r="AA113" i="5"/>
  <c r="AA114" i="5" s="1"/>
  <c r="DR112" i="5"/>
  <c r="DQ112" i="5"/>
  <c r="DP112" i="5"/>
  <c r="DO112" i="5"/>
  <c r="DL112" i="5"/>
  <c r="DK112" i="5"/>
  <c r="DJ112" i="5"/>
  <c r="DG112" i="5"/>
  <c r="DF112" i="5"/>
  <c r="DE112" i="5"/>
  <c r="DB112" i="5"/>
  <c r="DA112" i="5"/>
  <c r="CZ112" i="5"/>
  <c r="CW112" i="5"/>
  <c r="CV112" i="5"/>
  <c r="CU112" i="5"/>
  <c r="AS112" i="5"/>
  <c r="DM112" i="5" s="1"/>
  <c r="AN112" i="5"/>
  <c r="AI112" i="5"/>
  <c r="AD112" i="5"/>
  <c r="DR111" i="5"/>
  <c r="DQ111" i="5"/>
  <c r="DP111" i="5"/>
  <c r="DO111" i="5"/>
  <c r="DL111" i="5"/>
  <c r="DK111" i="5"/>
  <c r="DJ111" i="5"/>
  <c r="DG111" i="5"/>
  <c r="DF111" i="5"/>
  <c r="DE111" i="5"/>
  <c r="DB111" i="5"/>
  <c r="DA111" i="5"/>
  <c r="CZ111" i="5"/>
  <c r="CW111" i="5"/>
  <c r="CV111" i="5"/>
  <c r="CU111" i="5"/>
  <c r="AS111" i="5"/>
  <c r="M189" i="10" s="1"/>
  <c r="AN111" i="5"/>
  <c r="L189" i="10" s="1"/>
  <c r="AI111" i="5"/>
  <c r="AD111" i="5"/>
  <c r="BG102" i="5"/>
  <c r="BF102" i="5"/>
  <c r="BE102" i="5"/>
  <c r="BB102" i="5"/>
  <c r="BA102" i="5"/>
  <c r="AZ102" i="5"/>
  <c r="AW102" i="5"/>
  <c r="AV102" i="5"/>
  <c r="AU102" i="5"/>
  <c r="AR102" i="5"/>
  <c r="AQ102" i="5"/>
  <c r="AP102" i="5"/>
  <c r="AM102" i="5"/>
  <c r="AL102" i="5"/>
  <c r="AK102" i="5"/>
  <c r="AH102" i="5"/>
  <c r="AG102" i="5"/>
  <c r="AF102" i="5"/>
  <c r="AC102" i="5"/>
  <c r="AB102" i="5"/>
  <c r="AA102" i="5"/>
  <c r="X102" i="5"/>
  <c r="A102" i="5"/>
  <c r="BG101" i="5"/>
  <c r="BF101" i="5"/>
  <c r="BE101" i="5"/>
  <c r="BB101" i="5"/>
  <c r="BA101" i="5"/>
  <c r="AZ101" i="5"/>
  <c r="AW101" i="5"/>
  <c r="AV101" i="5"/>
  <c r="AU101" i="5"/>
  <c r="AR101" i="5"/>
  <c r="AQ101" i="5"/>
  <c r="AP101" i="5"/>
  <c r="AM101" i="5"/>
  <c r="AL101" i="5"/>
  <c r="AK101" i="5"/>
  <c r="AH101" i="5"/>
  <c r="AG101" i="5"/>
  <c r="AF101" i="5"/>
  <c r="AC101" i="5"/>
  <c r="AB101" i="5"/>
  <c r="AA101" i="5"/>
  <c r="X101" i="5"/>
  <c r="W101" i="5"/>
  <c r="V101" i="5"/>
  <c r="A101" i="5"/>
  <c r="AA100" i="5"/>
  <c r="X100" i="5"/>
  <c r="W100" i="5"/>
  <c r="V100" i="5"/>
  <c r="A100" i="5"/>
  <c r="AA99" i="5"/>
  <c r="X99" i="5"/>
  <c r="A99" i="5"/>
  <c r="AA98" i="5"/>
  <c r="X98" i="5"/>
  <c r="W98" i="5"/>
  <c r="V98" i="5"/>
  <c r="A98" i="5"/>
  <c r="AA97" i="5"/>
  <c r="X97" i="5"/>
  <c r="W97" i="5"/>
  <c r="V97" i="5"/>
  <c r="A97" i="5"/>
  <c r="AA96" i="5"/>
  <c r="X96" i="5"/>
  <c r="W96" i="5"/>
  <c r="V96" i="5"/>
  <c r="A96" i="5"/>
  <c r="BG95" i="5"/>
  <c r="BG106" i="5" s="1"/>
  <c r="BF95" i="5"/>
  <c r="BF106" i="5" s="1"/>
  <c r="BE95" i="5"/>
  <c r="BE106" i="5" s="1"/>
  <c r="BB95" i="5"/>
  <c r="BA95" i="5"/>
  <c r="AZ95" i="5"/>
  <c r="AW95" i="5"/>
  <c r="AV95" i="5"/>
  <c r="AU95" i="5"/>
  <c r="AR95" i="5"/>
  <c r="AQ95" i="5"/>
  <c r="AP95" i="5"/>
  <c r="AM95" i="5"/>
  <c r="AL95" i="5"/>
  <c r="AK95" i="5"/>
  <c r="AH95" i="5"/>
  <c r="AH146" i="5" s="1"/>
  <c r="AG95" i="5"/>
  <c r="AG146" i="5" s="1"/>
  <c r="AF95" i="5"/>
  <c r="AF146" i="5" s="1"/>
  <c r="AC95" i="5"/>
  <c r="AB95" i="5"/>
  <c r="AA95" i="5"/>
  <c r="X95" i="5"/>
  <c r="W95" i="5"/>
  <c r="V95" i="5"/>
  <c r="A95" i="5"/>
  <c r="AR94" i="5"/>
  <c r="AQ94" i="5"/>
  <c r="AP94" i="5"/>
  <c r="AM94" i="5"/>
  <c r="AL94" i="5"/>
  <c r="AK94" i="5"/>
  <c r="AH94" i="5"/>
  <c r="AG94" i="5"/>
  <c r="AF94" i="5"/>
  <c r="AC94" i="5"/>
  <c r="AB94" i="5"/>
  <c r="AA94" i="5"/>
  <c r="X94" i="5"/>
  <c r="W94" i="5"/>
  <c r="V94" i="5"/>
  <c r="BN91" i="5"/>
  <c r="BI91" i="5"/>
  <c r="BH91" i="5"/>
  <c r="BH102" i="5" s="1"/>
  <c r="BD91" i="5"/>
  <c r="BC91" i="5" s="1"/>
  <c r="BC102" i="5" s="1"/>
  <c r="AX91" i="5"/>
  <c r="AT91" i="5"/>
  <c r="AS91" i="5"/>
  <c r="AS102" i="5" s="1"/>
  <c r="AN91" i="5"/>
  <c r="AN102" i="5" s="1"/>
  <c r="AI91" i="5"/>
  <c r="AI102" i="5" s="1"/>
  <c r="AD91" i="5"/>
  <c r="AD102" i="5" s="1"/>
  <c r="W91" i="5"/>
  <c r="W102" i="5" s="1"/>
  <c r="V91" i="5"/>
  <c r="V102" i="5" s="1"/>
  <c r="CR90" i="5"/>
  <c r="CP90" i="5"/>
  <c r="BI90" i="5"/>
  <c r="BH90" i="5"/>
  <c r="BD90" i="5"/>
  <c r="BC90" i="5" s="1"/>
  <c r="BC101" i="5" s="1"/>
  <c r="AX90" i="5"/>
  <c r="AX101" i="5" s="1"/>
  <c r="AT90" i="5"/>
  <c r="AS90" i="5"/>
  <c r="AS101" i="5" s="1"/>
  <c r="AN90" i="5"/>
  <c r="AN101" i="5" s="1"/>
  <c r="AI90" i="5"/>
  <c r="AI101" i="5" s="1"/>
  <c r="AD90" i="5"/>
  <c r="AD101" i="5" s="1"/>
  <c r="Z90" i="5"/>
  <c r="Y90" i="5"/>
  <c r="Y101" i="5" s="1"/>
  <c r="CQ89" i="5"/>
  <c r="CR89" i="5" s="1"/>
  <c r="Y89" i="5"/>
  <c r="Y100" i="5" s="1"/>
  <c r="W88" i="5"/>
  <c r="W99" i="5" s="1"/>
  <c r="V88" i="5"/>
  <c r="V99" i="5" s="1"/>
  <c r="Y87" i="5"/>
  <c r="Y98" i="5" s="1"/>
  <c r="Y86" i="5"/>
  <c r="Y97" i="5" s="1"/>
  <c r="Y85" i="5"/>
  <c r="Y96" i="5" s="1"/>
  <c r="BI84" i="5"/>
  <c r="BH84" i="5"/>
  <c r="BH95" i="5" s="1"/>
  <c r="BH106" i="5" s="1"/>
  <c r="BD84" i="5"/>
  <c r="BC84" i="5" s="1"/>
  <c r="BC95" i="5" s="1"/>
  <c r="AX84" i="5"/>
  <c r="AX95" i="5" s="1"/>
  <c r="AS84" i="5"/>
  <c r="AS95" i="5" s="1"/>
  <c r="AN84" i="5"/>
  <c r="AN95" i="5" s="1"/>
  <c r="AI84" i="5"/>
  <c r="AJ84" i="5" s="1"/>
  <c r="AD84" i="5"/>
  <c r="AD95" i="5" s="1"/>
  <c r="Z84" i="5"/>
  <c r="Y84" i="5"/>
  <c r="Y95" i="5" s="1"/>
  <c r="BG83" i="5"/>
  <c r="BG94" i="5" s="1"/>
  <c r="BF83" i="5"/>
  <c r="BF94" i="5" s="1"/>
  <c r="BE83" i="5"/>
  <c r="BE94" i="5" s="1"/>
  <c r="BB83" i="5"/>
  <c r="BB94" i="5" s="1"/>
  <c r="BA83" i="5"/>
  <c r="BA94" i="5" s="1"/>
  <c r="AZ83" i="5"/>
  <c r="AZ94" i="5" s="1"/>
  <c r="AW83" i="5"/>
  <c r="AW94" i="5" s="1"/>
  <c r="AV83" i="5"/>
  <c r="AV94" i="5" s="1"/>
  <c r="AU83" i="5"/>
  <c r="AU94" i="5" s="1"/>
  <c r="AS83" i="5"/>
  <c r="AS94" i="5" s="1"/>
  <c r="AN83" i="5"/>
  <c r="AN94" i="5" s="1"/>
  <c r="AI83" i="5"/>
  <c r="AI94" i="5" s="1"/>
  <c r="AD83" i="5"/>
  <c r="AD94" i="5" s="1"/>
  <c r="BH77" i="5"/>
  <c r="L77" i="5"/>
  <c r="G77" i="5"/>
  <c r="L73" i="5"/>
  <c r="G73" i="5"/>
  <c r="BH70" i="5"/>
  <c r="X70" i="5"/>
  <c r="T70" i="5"/>
  <c r="L70" i="5"/>
  <c r="K70" i="5"/>
  <c r="G70" i="5"/>
  <c r="AX68" i="5"/>
  <c r="BN67" i="5"/>
  <c r="BG67" i="5"/>
  <c r="BF67" i="5"/>
  <c r="BF68" i="5" s="1"/>
  <c r="BE67" i="5"/>
  <c r="BE68" i="5" s="1"/>
  <c r="BB67" i="5"/>
  <c r="BB68" i="5" s="1"/>
  <c r="BA67" i="5"/>
  <c r="BA68" i="5" s="1"/>
  <c r="AZ67" i="5"/>
  <c r="AW67" i="5"/>
  <c r="AW68" i="5" s="1"/>
  <c r="AV67" i="5"/>
  <c r="AV68" i="5" s="1"/>
  <c r="AR67" i="5"/>
  <c r="AR68" i="5" s="1"/>
  <c r="AQ67" i="5"/>
  <c r="AQ68" i="5" s="1"/>
  <c r="AP67" i="5"/>
  <c r="AP68" i="5" s="1"/>
  <c r="AO67" i="5"/>
  <c r="AM67" i="5"/>
  <c r="AM68" i="5" s="1"/>
  <c r="AL67" i="5"/>
  <c r="AK67" i="5"/>
  <c r="AK68" i="5" s="1"/>
  <c r="AH67" i="5"/>
  <c r="AH68" i="5" s="1"/>
  <c r="AG67" i="5"/>
  <c r="AG68" i="5" s="1"/>
  <c r="AF67" i="5"/>
  <c r="AF68" i="5" s="1"/>
  <c r="AC67" i="5"/>
  <c r="AC68" i="5" s="1"/>
  <c r="AB67" i="5"/>
  <c r="AB68" i="5" s="1"/>
  <c r="AA67" i="5"/>
  <c r="X67" i="5"/>
  <c r="X68" i="5" s="1"/>
  <c r="W67" i="5"/>
  <c r="W68" i="5" s="1"/>
  <c r="V67" i="5"/>
  <c r="V68" i="5" s="1"/>
  <c r="S67" i="5"/>
  <c r="S68" i="5" s="1"/>
  <c r="R67" i="5"/>
  <c r="R68" i="5" s="1"/>
  <c r="Q67" i="5"/>
  <c r="Q68" i="5" s="1"/>
  <c r="O67" i="5"/>
  <c r="O68" i="5" s="1"/>
  <c r="N67" i="5"/>
  <c r="N68" i="5" s="1"/>
  <c r="M67" i="5"/>
  <c r="M68" i="5" s="1"/>
  <c r="J67" i="5"/>
  <c r="J68" i="5" s="1"/>
  <c r="I67" i="5"/>
  <c r="I68" i="5" s="1"/>
  <c r="H67" i="5"/>
  <c r="H68" i="5" s="1"/>
  <c r="BC66" i="5"/>
  <c r="AT66" i="5"/>
  <c r="AO66" i="5"/>
  <c r="AN66" i="5"/>
  <c r="AJ66" i="5"/>
  <c r="AI66" i="5"/>
  <c r="AE66" i="5"/>
  <c r="AD66" i="5"/>
  <c r="Y66" i="5"/>
  <c r="T66" i="5"/>
  <c r="P66" i="5"/>
  <c r="L66" i="5"/>
  <c r="G66" i="5"/>
  <c r="BC65" i="5"/>
  <c r="AT65" i="5"/>
  <c r="AO65" i="5"/>
  <c r="AN65" i="5"/>
  <c r="AJ65" i="5"/>
  <c r="AI65" i="5"/>
  <c r="AE65" i="5"/>
  <c r="AD65" i="5"/>
  <c r="Y65" i="5"/>
  <c r="T65" i="5"/>
  <c r="P65" i="5"/>
  <c r="L65" i="5"/>
  <c r="G65" i="5"/>
  <c r="A56" i="5"/>
  <c r="BH55" i="5"/>
  <c r="AC63" i="28" s="1"/>
  <c r="BG55" i="5"/>
  <c r="AB63" i="28" s="1"/>
  <c r="BF55" i="5"/>
  <c r="AA63" i="28" s="1"/>
  <c r="BE55" i="5"/>
  <c r="Z63" i="28" s="1"/>
  <c r="BB55" i="5"/>
  <c r="X63" i="28" s="1"/>
  <c r="BA55" i="5"/>
  <c r="W63" i="28" s="1"/>
  <c r="AW55" i="5"/>
  <c r="T63" i="28" s="1"/>
  <c r="AV55" i="5"/>
  <c r="S63" i="28" s="1"/>
  <c r="AU55" i="5"/>
  <c r="R63" i="28" s="1"/>
  <c r="AR55" i="5"/>
  <c r="P63" i="28" s="1"/>
  <c r="AQ55" i="5"/>
  <c r="O63" i="28" s="1"/>
  <c r="AP55" i="5"/>
  <c r="N63" i="28" s="1"/>
  <c r="AN55" i="5"/>
  <c r="M63" i="28" s="1"/>
  <c r="AM55" i="5"/>
  <c r="L63" i="28" s="1"/>
  <c r="AL55" i="5"/>
  <c r="K63" i="28" s="1"/>
  <c r="AK55" i="5"/>
  <c r="J63" i="28" s="1"/>
  <c r="AI55" i="5"/>
  <c r="I63" i="28" s="1"/>
  <c r="AH55" i="5"/>
  <c r="H63" i="28" s="1"/>
  <c r="AG55" i="5"/>
  <c r="G63" i="28" s="1"/>
  <c r="AF55" i="5"/>
  <c r="F63" i="28" s="1"/>
  <c r="AC55" i="5"/>
  <c r="D63" i="28" s="1"/>
  <c r="AB55" i="5"/>
  <c r="C63" i="28" s="1"/>
  <c r="AA55" i="5"/>
  <c r="B63" i="28" s="1"/>
  <c r="X55" i="5"/>
  <c r="W55" i="5"/>
  <c r="S55" i="5"/>
  <c r="R55" i="5"/>
  <c r="Q55" i="5"/>
  <c r="O55" i="5"/>
  <c r="N55" i="5"/>
  <c r="M55" i="5"/>
  <c r="L55" i="5"/>
  <c r="J55" i="5"/>
  <c r="I55" i="5"/>
  <c r="H55" i="5"/>
  <c r="G55" i="5"/>
  <c r="A55" i="5"/>
  <c r="BH54" i="5"/>
  <c r="AC62" i="28" s="1"/>
  <c r="BG54" i="5"/>
  <c r="AB62" i="28" s="1"/>
  <c r="BF54" i="5"/>
  <c r="AA62" i="28" s="1"/>
  <c r="BE54" i="5"/>
  <c r="Z62" i="28" s="1"/>
  <c r="BB54" i="5"/>
  <c r="X62" i="28" s="1"/>
  <c r="BA54" i="5"/>
  <c r="W62" i="28" s="1"/>
  <c r="AZ54" i="5"/>
  <c r="V62" i="28" s="1"/>
  <c r="AX54" i="5"/>
  <c r="U62" i="28" s="1"/>
  <c r="AW54" i="5"/>
  <c r="T62" i="28" s="1"/>
  <c r="AV54" i="5"/>
  <c r="S62" i="28" s="1"/>
  <c r="AU54" i="5"/>
  <c r="R62" i="28" s="1"/>
  <c r="AR54" i="5"/>
  <c r="P62" i="28" s="1"/>
  <c r="AQ54" i="5"/>
  <c r="O62" i="28" s="1"/>
  <c r="AP54" i="5"/>
  <c r="N62" i="28" s="1"/>
  <c r="AN54" i="5"/>
  <c r="M62" i="28" s="1"/>
  <c r="AM54" i="5"/>
  <c r="L62" i="28" s="1"/>
  <c r="AL54" i="5"/>
  <c r="K62" i="28" s="1"/>
  <c r="AK54" i="5"/>
  <c r="J62" i="28" s="1"/>
  <c r="AI54" i="5"/>
  <c r="I62" i="28" s="1"/>
  <c r="AH54" i="5"/>
  <c r="H62" i="28" s="1"/>
  <c r="AG54" i="5"/>
  <c r="G62" i="28" s="1"/>
  <c r="AF54" i="5"/>
  <c r="F62" i="28" s="1"/>
  <c r="AC54" i="5"/>
  <c r="D62" i="28" s="1"/>
  <c r="AB54" i="5"/>
  <c r="C62" i="28" s="1"/>
  <c r="AA54" i="5"/>
  <c r="B62" i="28" s="1"/>
  <c r="X54" i="5"/>
  <c r="E827" i="16" s="1"/>
  <c r="W54" i="5"/>
  <c r="D827" i="16" s="1"/>
  <c r="V54" i="5"/>
  <c r="C827" i="16" s="1"/>
  <c r="S54" i="5"/>
  <c r="R54" i="5"/>
  <c r="Q54" i="5"/>
  <c r="O54" i="5"/>
  <c r="N54" i="5"/>
  <c r="M54" i="5"/>
  <c r="L54" i="5"/>
  <c r="J54" i="5"/>
  <c r="I54" i="5"/>
  <c r="H54" i="5"/>
  <c r="G54" i="5"/>
  <c r="A54" i="5"/>
  <c r="BH53" i="5"/>
  <c r="AC61" i="28" s="1"/>
  <c r="BG53" i="5"/>
  <c r="AB61" i="28" s="1"/>
  <c r="BF53" i="5"/>
  <c r="AA61" i="28" s="1"/>
  <c r="BE53" i="5"/>
  <c r="Z61" i="28" s="1"/>
  <c r="BB53" i="5"/>
  <c r="X61" i="28" s="1"/>
  <c r="BA53" i="5"/>
  <c r="W61" i="28" s="1"/>
  <c r="AZ53" i="5"/>
  <c r="V61" i="28" s="1"/>
  <c r="AX53" i="5"/>
  <c r="U61" i="28" s="1"/>
  <c r="AW53" i="5"/>
  <c r="T61" i="28" s="1"/>
  <c r="AV53" i="5"/>
  <c r="S61" i="28" s="1"/>
  <c r="AU53" i="5"/>
  <c r="R61" i="28" s="1"/>
  <c r="AR53" i="5"/>
  <c r="P61" i="28" s="1"/>
  <c r="AQ53" i="5"/>
  <c r="O61" i="28" s="1"/>
  <c r="AP53" i="5"/>
  <c r="N61" i="28" s="1"/>
  <c r="AN53" i="5"/>
  <c r="M61" i="28" s="1"/>
  <c r="AM53" i="5"/>
  <c r="L61" i="28" s="1"/>
  <c r="AL53" i="5"/>
  <c r="K61" i="28" s="1"/>
  <c r="AK53" i="5"/>
  <c r="J61" i="28" s="1"/>
  <c r="AI53" i="5"/>
  <c r="I61" i="28" s="1"/>
  <c r="AH53" i="5"/>
  <c r="H61" i="28" s="1"/>
  <c r="AG53" i="5"/>
  <c r="G61" i="28" s="1"/>
  <c r="AF53" i="5"/>
  <c r="F61" i="28" s="1"/>
  <c r="AC53" i="5"/>
  <c r="D61" i="28" s="1"/>
  <c r="AB53" i="5"/>
  <c r="C61" i="28" s="1"/>
  <c r="AA53" i="5"/>
  <c r="B61" i="28" s="1"/>
  <c r="X53" i="5"/>
  <c r="W53" i="5"/>
  <c r="V53" i="5"/>
  <c r="S53" i="5"/>
  <c r="R53" i="5"/>
  <c r="Q53" i="5"/>
  <c r="O53" i="5"/>
  <c r="N53" i="5"/>
  <c r="M53" i="5"/>
  <c r="L53" i="5"/>
  <c r="J53" i="5"/>
  <c r="I53" i="5"/>
  <c r="H53" i="5"/>
  <c r="G53" i="5"/>
  <c r="A53" i="5"/>
  <c r="CW52" i="5"/>
  <c r="S52" i="5"/>
  <c r="R52" i="5"/>
  <c r="Q52" i="5"/>
  <c r="O52" i="5"/>
  <c r="N52" i="5"/>
  <c r="M52" i="5"/>
  <c r="L52" i="5"/>
  <c r="J52" i="5"/>
  <c r="I52" i="5"/>
  <c r="H52" i="5"/>
  <c r="G52" i="5"/>
  <c r="A52" i="5"/>
  <c r="CW51" i="5"/>
  <c r="BE51" i="5"/>
  <c r="Z60" i="28" s="1"/>
  <c r="AK51" i="5"/>
  <c r="J60" i="28" s="1"/>
  <c r="AB51" i="5"/>
  <c r="C60" i="28" s="1"/>
  <c r="AA51" i="5"/>
  <c r="B60" i="28" s="1"/>
  <c r="V51" i="5"/>
  <c r="S51" i="5"/>
  <c r="R51" i="5"/>
  <c r="Q51" i="5"/>
  <c r="O51" i="5"/>
  <c r="N51" i="5"/>
  <c r="M51" i="5"/>
  <c r="L51" i="5"/>
  <c r="A51" i="5"/>
  <c r="BE45" i="5"/>
  <c r="AK45" i="5"/>
  <c r="AK47" i="5" s="1"/>
  <c r="AB45" i="5"/>
  <c r="AB47" i="5" s="1"/>
  <c r="AA45" i="5"/>
  <c r="V45" i="5"/>
  <c r="V47" i="5" s="1"/>
  <c r="AN43" i="5"/>
  <c r="AL43" i="5"/>
  <c r="AK43" i="5"/>
  <c r="AR42" i="5"/>
  <c r="AQ42" i="5"/>
  <c r="AR41" i="5"/>
  <c r="AQ41" i="5"/>
  <c r="DL40" i="5"/>
  <c r="DK40" i="5"/>
  <c r="DJ40" i="5"/>
  <c r="DW33" i="5"/>
  <c r="DU33" i="5"/>
  <c r="DT33" i="5"/>
  <c r="DR33" i="5"/>
  <c r="DP33" i="5"/>
  <c r="DO33" i="5"/>
  <c r="DL33" i="5"/>
  <c r="DK33" i="5"/>
  <c r="DJ33" i="5"/>
  <c r="DG33" i="5"/>
  <c r="DF33" i="5"/>
  <c r="DE33" i="5"/>
  <c r="DB33" i="5"/>
  <c r="DA33" i="5"/>
  <c r="CZ33" i="5"/>
  <c r="CW33" i="5"/>
  <c r="CV33" i="5"/>
  <c r="CU33" i="5"/>
  <c r="CR33" i="5"/>
  <c r="CQ33" i="5"/>
  <c r="CP33" i="5"/>
  <c r="CM33" i="5"/>
  <c r="CL33" i="5"/>
  <c r="CK33" i="5"/>
  <c r="CH33" i="5"/>
  <c r="CG33" i="5"/>
  <c r="CF33" i="5"/>
  <c r="CD33" i="5"/>
  <c r="CC33" i="5"/>
  <c r="CB33" i="5"/>
  <c r="CA33" i="5"/>
  <c r="BB33" i="5"/>
  <c r="DQ33" i="5" s="1"/>
  <c r="AS33" i="5"/>
  <c r="AN33" i="5"/>
  <c r="DC33" i="5" s="1"/>
  <c r="AD33" i="5"/>
  <c r="CX33" i="5" s="1"/>
  <c r="Y33" i="5"/>
  <c r="T33" i="5"/>
  <c r="P33" i="5"/>
  <c r="K33" i="5"/>
  <c r="DG31" i="5"/>
  <c r="DE31" i="5"/>
  <c r="H1652" i="16" s="1"/>
  <c r="DB31" i="5"/>
  <c r="CZ31" i="5"/>
  <c r="CW31" i="5"/>
  <c r="CQ31" i="5"/>
  <c r="CL31" i="5"/>
  <c r="CH31" i="5"/>
  <c r="CG31" i="5"/>
  <c r="CD31" i="5"/>
  <c r="CC31" i="5"/>
  <c r="CB31" i="5"/>
  <c r="CA31" i="5"/>
  <c r="BN31" i="5"/>
  <c r="BH31" i="5"/>
  <c r="BG31" i="5"/>
  <c r="BF31" i="5"/>
  <c r="BE31" i="5"/>
  <c r="Z56" i="28" s="1"/>
  <c r="Z57" i="28" s="1"/>
  <c r="BC31" i="5"/>
  <c r="Y56" i="28" s="1"/>
  <c r="BB31" i="5"/>
  <c r="X56" i="28" s="1"/>
  <c r="X57" i="28" s="1"/>
  <c r="BA31" i="5"/>
  <c r="W56" i="28" s="1"/>
  <c r="W57" i="28" s="1"/>
  <c r="AZ31" i="5"/>
  <c r="V56" i="28" s="1"/>
  <c r="V57" i="28" s="1"/>
  <c r="AW31" i="5"/>
  <c r="T56" i="28" s="1"/>
  <c r="T57" i="28" s="1"/>
  <c r="AU31" i="5"/>
  <c r="R56" i="28" s="1"/>
  <c r="R57" i="28" s="1"/>
  <c r="AQ31" i="5"/>
  <c r="AO31" i="5"/>
  <c r="AN31" i="5"/>
  <c r="M56" i="28" s="1"/>
  <c r="AJ31" i="5"/>
  <c r="AG31" i="5"/>
  <c r="G56" i="28" s="1"/>
  <c r="G57" i="28" s="1"/>
  <c r="AA31" i="5"/>
  <c r="B56" i="28" s="1"/>
  <c r="B57" i="28" s="1"/>
  <c r="X31" i="5"/>
  <c r="Q31" i="5"/>
  <c r="CK31" i="5" s="1"/>
  <c r="P31" i="5"/>
  <c r="K72" i="1" s="1"/>
  <c r="K12" i="1" s="1"/>
  <c r="K22" i="1" s="1"/>
  <c r="K216" i="1" s="1"/>
  <c r="K31" i="5"/>
  <c r="DV29" i="5"/>
  <c r="DU29" i="5"/>
  <c r="DT29" i="5"/>
  <c r="DQ29" i="5"/>
  <c r="DP29" i="5"/>
  <c r="DO29" i="5"/>
  <c r="DL29" i="5"/>
  <c r="DK29" i="5"/>
  <c r="DJ29" i="5"/>
  <c r="DG29" i="5"/>
  <c r="DF29" i="5"/>
  <c r="I1650" i="16" s="1"/>
  <c r="DE29" i="5"/>
  <c r="H1650" i="16" s="1"/>
  <c r="DB29" i="5"/>
  <c r="DA29" i="5"/>
  <c r="CZ29" i="5"/>
  <c r="CW29" i="5"/>
  <c r="CV29" i="5"/>
  <c r="CU29" i="5"/>
  <c r="CR29" i="5"/>
  <c r="CQ29" i="5"/>
  <c r="CP29" i="5"/>
  <c r="CM29" i="5"/>
  <c r="CL29" i="5"/>
  <c r="CK29" i="5"/>
  <c r="CH29" i="5"/>
  <c r="CG29" i="5"/>
  <c r="CF29" i="5"/>
  <c r="CD29" i="5"/>
  <c r="CC29" i="5"/>
  <c r="CB29" i="5"/>
  <c r="CA29" i="5"/>
  <c r="BI29" i="5"/>
  <c r="BD29" i="5"/>
  <c r="BC29" i="5" s="1"/>
  <c r="Y55" i="28" s="1"/>
  <c r="AY29" i="5"/>
  <c r="AT29" i="5"/>
  <c r="AS29" i="5"/>
  <c r="Q55" i="28" s="1"/>
  <c r="AO29" i="5"/>
  <c r="AN29" i="5"/>
  <c r="M55" i="28" s="1"/>
  <c r="AJ29" i="5"/>
  <c r="AI29" i="5"/>
  <c r="I55" i="28" s="1"/>
  <c r="I57" i="28" s="1"/>
  <c r="AE29" i="5"/>
  <c r="AD29" i="5"/>
  <c r="E55" i="28" s="1"/>
  <c r="Y29" i="5"/>
  <c r="T29" i="5"/>
  <c r="CI29" i="5" s="1"/>
  <c r="P29" i="5"/>
  <c r="K71" i="1" s="1"/>
  <c r="K29" i="5"/>
  <c r="J71" i="1" s="1"/>
  <c r="BH28" i="5"/>
  <c r="EB28" i="5" s="1"/>
  <c r="BG28" i="5"/>
  <c r="BF28" i="5"/>
  <c r="DZ28" i="5" s="1"/>
  <c r="BE28" i="5"/>
  <c r="BB28" i="5"/>
  <c r="BA28" i="5"/>
  <c r="AZ28" i="5"/>
  <c r="AW28" i="5"/>
  <c r="AV28" i="5"/>
  <c r="AU28" i="5"/>
  <c r="AP28" i="5"/>
  <c r="AP34" i="5" s="1"/>
  <c r="AN28" i="5"/>
  <c r="AL28" i="5"/>
  <c r="AK28" i="5"/>
  <c r="AK34" i="5" s="1"/>
  <c r="AI28" i="5"/>
  <c r="AH28" i="5"/>
  <c r="AH34" i="5" s="1"/>
  <c r="AG28" i="5"/>
  <c r="AF28" i="5"/>
  <c r="AF34" i="5" s="1"/>
  <c r="AC28" i="5"/>
  <c r="AC34" i="5" s="1"/>
  <c r="AB28" i="5"/>
  <c r="AB34" i="5" s="1"/>
  <c r="AA28" i="5"/>
  <c r="AA30" i="5" s="1"/>
  <c r="X28" i="5"/>
  <c r="W28" i="5"/>
  <c r="V28" i="5"/>
  <c r="V30" i="5" s="1"/>
  <c r="S28" i="5"/>
  <c r="R28" i="5"/>
  <c r="R34" i="5" s="1"/>
  <c r="Q28" i="5"/>
  <c r="O28" i="5"/>
  <c r="N28" i="5"/>
  <c r="M28" i="5"/>
  <c r="M34" i="5" s="1"/>
  <c r="L28" i="5"/>
  <c r="L30" i="5" s="1"/>
  <c r="J28" i="5"/>
  <c r="J30" i="5" s="1"/>
  <c r="I28" i="5"/>
  <c r="I34" i="5" s="1"/>
  <c r="H28" i="5"/>
  <c r="H34" i="5" s="1"/>
  <c r="G28" i="5"/>
  <c r="DV27" i="5"/>
  <c r="DU27" i="5"/>
  <c r="DT27" i="5"/>
  <c r="DQ27" i="5"/>
  <c r="DP27" i="5"/>
  <c r="DO27" i="5"/>
  <c r="DL27" i="5"/>
  <c r="DK27" i="5"/>
  <c r="DJ27" i="5"/>
  <c r="DG27" i="5"/>
  <c r="DF27" i="5"/>
  <c r="I1648" i="16" s="1"/>
  <c r="DE27" i="5"/>
  <c r="H1648" i="16" s="1"/>
  <c r="DC27" i="5"/>
  <c r="DB27" i="5"/>
  <c r="DA27" i="5"/>
  <c r="CZ27" i="5"/>
  <c r="CW27" i="5"/>
  <c r="CV27" i="5"/>
  <c r="CU27" i="5"/>
  <c r="CR27" i="5"/>
  <c r="CQ27" i="5"/>
  <c r="CP27" i="5"/>
  <c r="CM27" i="5"/>
  <c r="CL27" i="5"/>
  <c r="CK27" i="5"/>
  <c r="CH27" i="5"/>
  <c r="CG27" i="5"/>
  <c r="CF27" i="5"/>
  <c r="CD27" i="5"/>
  <c r="CC27" i="5"/>
  <c r="CB27" i="5"/>
  <c r="CA27" i="5"/>
  <c r="BN27" i="5"/>
  <c r="BI27" i="5"/>
  <c r="BD27" i="5"/>
  <c r="BC27" i="5" s="1"/>
  <c r="Y53" i="28" s="1"/>
  <c r="AY27" i="5"/>
  <c r="AX27" i="5"/>
  <c r="U53" i="28" s="1"/>
  <c r="U54" i="28" s="1"/>
  <c r="U57" i="28" s="1"/>
  <c r="AT27" i="5"/>
  <c r="AS27" i="5"/>
  <c r="Q53" i="28" s="1"/>
  <c r="AO27" i="5"/>
  <c r="AJ27" i="5"/>
  <c r="AE27" i="5"/>
  <c r="AD27" i="5"/>
  <c r="E53" i="28" s="1"/>
  <c r="Y27" i="5"/>
  <c r="Z27" i="5" s="1"/>
  <c r="T27" i="5"/>
  <c r="CI27" i="5" s="1"/>
  <c r="P27" i="5"/>
  <c r="K27" i="5"/>
  <c r="DV26" i="5"/>
  <c r="DU26" i="5"/>
  <c r="DT26" i="5"/>
  <c r="AH109" i="28" s="1"/>
  <c r="DQ26" i="5"/>
  <c r="DP26" i="5"/>
  <c r="AE109" i="28" s="1"/>
  <c r="DO26" i="5"/>
  <c r="AD109" i="28" s="1"/>
  <c r="DL26" i="5"/>
  <c r="AB109" i="28" s="1"/>
  <c r="DK26" i="5"/>
  <c r="AA109" i="28" s="1"/>
  <c r="DJ26" i="5"/>
  <c r="Z109" i="28" s="1"/>
  <c r="DG26" i="5"/>
  <c r="X109" i="28" s="1"/>
  <c r="DF26" i="5"/>
  <c r="W109" i="28" s="1"/>
  <c r="DE26" i="5"/>
  <c r="DC26" i="5"/>
  <c r="U109" i="28" s="1"/>
  <c r="DB26" i="5"/>
  <c r="T109" i="28" s="1"/>
  <c r="DA26" i="5"/>
  <c r="S109" i="28" s="1"/>
  <c r="CZ26" i="5"/>
  <c r="R109" i="28" s="1"/>
  <c r="CW26" i="5"/>
  <c r="P109" i="28" s="1"/>
  <c r="CV26" i="5"/>
  <c r="O109" i="28" s="1"/>
  <c r="CU26" i="5"/>
  <c r="N109" i="28" s="1"/>
  <c r="CR26" i="5"/>
  <c r="CQ26" i="5"/>
  <c r="CP26" i="5"/>
  <c r="CM26" i="5"/>
  <c r="CL26" i="5"/>
  <c r="CK26" i="5"/>
  <c r="CH26" i="5"/>
  <c r="CG26" i="5"/>
  <c r="CF26" i="5"/>
  <c r="CD26" i="5"/>
  <c r="CC26" i="5"/>
  <c r="CB26" i="5"/>
  <c r="CA26" i="5"/>
  <c r="BI26" i="5"/>
  <c r="BD26" i="5"/>
  <c r="AY26" i="5"/>
  <c r="AT26" i="5"/>
  <c r="AS26" i="5"/>
  <c r="Q52" i="28" s="1"/>
  <c r="AO26" i="5"/>
  <c r="AJ26" i="5"/>
  <c r="AE26" i="5"/>
  <c r="AD26" i="5"/>
  <c r="E52" i="28" s="1"/>
  <c r="Y26" i="5"/>
  <c r="T26" i="5"/>
  <c r="T304" i="5" s="1"/>
  <c r="P26" i="5"/>
  <c r="P304" i="5" s="1"/>
  <c r="K26" i="5"/>
  <c r="DV25" i="5"/>
  <c r="EX124" i="5" s="1"/>
  <c r="DU25" i="5"/>
  <c r="DT25" i="5"/>
  <c r="DQ25" i="5"/>
  <c r="DP25" i="5"/>
  <c r="DO25" i="5"/>
  <c r="DL25" i="5"/>
  <c r="DK25" i="5"/>
  <c r="DJ25" i="5"/>
  <c r="DG25" i="5"/>
  <c r="DF25" i="5"/>
  <c r="I1646" i="16" s="1"/>
  <c r="DE25" i="5"/>
  <c r="H1646" i="16" s="1"/>
  <c r="DC25" i="5"/>
  <c r="DB25" i="5"/>
  <c r="DA25" i="5"/>
  <c r="CZ25" i="5"/>
  <c r="CW25" i="5"/>
  <c r="CV25" i="5"/>
  <c r="CU25" i="5"/>
  <c r="CR25" i="5"/>
  <c r="CQ25" i="5"/>
  <c r="CP25" i="5"/>
  <c r="CM25" i="5"/>
  <c r="CL25" i="5"/>
  <c r="CK25" i="5"/>
  <c r="CH25" i="5"/>
  <c r="CG25" i="5"/>
  <c r="CF25" i="5"/>
  <c r="CD25" i="5"/>
  <c r="CC25" i="5"/>
  <c r="CB25" i="5"/>
  <c r="CA25" i="5"/>
  <c r="BI25" i="5"/>
  <c r="BD25" i="5"/>
  <c r="BC25" i="5" s="1"/>
  <c r="AY25" i="5"/>
  <c r="AT25" i="5"/>
  <c r="AS25" i="5"/>
  <c r="AO25" i="5"/>
  <c r="AJ25" i="5"/>
  <c r="AE25" i="5"/>
  <c r="AD25" i="5"/>
  <c r="E51" i="28" s="1"/>
  <c r="Y25" i="5"/>
  <c r="T25" i="5"/>
  <c r="P25" i="5"/>
  <c r="K67" i="1" s="1"/>
  <c r="K25" i="5"/>
  <c r="J67" i="1" s="1"/>
  <c r="CM24" i="5"/>
  <c r="CL24" i="5"/>
  <c r="CK24" i="5"/>
  <c r="CH24" i="5"/>
  <c r="CG24" i="5"/>
  <c r="CF24" i="5"/>
  <c r="CD24" i="5"/>
  <c r="CC24" i="5"/>
  <c r="CB24" i="5"/>
  <c r="CA24" i="5"/>
  <c r="T24" i="5"/>
  <c r="P24" i="5"/>
  <c r="K66" i="1" s="1"/>
  <c r="K24" i="5"/>
  <c r="J66" i="1" s="1"/>
  <c r="DV23" i="5"/>
  <c r="DU23" i="5"/>
  <c r="EW44" i="5" s="1"/>
  <c r="DT23" i="5"/>
  <c r="EV44" i="5" s="1"/>
  <c r="DQ23" i="5"/>
  <c r="ET44" i="5" s="1"/>
  <c r="DP23" i="5"/>
  <c r="ES44" i="5" s="1"/>
  <c r="DO23" i="5"/>
  <c r="ER44" i="5" s="1"/>
  <c r="DJ23" i="5"/>
  <c r="DE23" i="5"/>
  <c r="C1547" i="16" s="1"/>
  <c r="DC23" i="5"/>
  <c r="DA23" i="5"/>
  <c r="CZ23" i="5"/>
  <c r="CW23" i="5"/>
  <c r="CV23" i="5"/>
  <c r="CU23" i="5"/>
  <c r="CR23" i="5"/>
  <c r="CQ23" i="5"/>
  <c r="CP23" i="5"/>
  <c r="CM23" i="5"/>
  <c r="CL23" i="5"/>
  <c r="CK23" i="5"/>
  <c r="CH23" i="5"/>
  <c r="CG23" i="5"/>
  <c r="CF23" i="5"/>
  <c r="CD23" i="5"/>
  <c r="CC23" i="5"/>
  <c r="CB23" i="5"/>
  <c r="CA23" i="5"/>
  <c r="BI23" i="5"/>
  <c r="BD23" i="5"/>
  <c r="AY23" i="5"/>
  <c r="AT23" i="5"/>
  <c r="AR23" i="5"/>
  <c r="P50" i="28" s="1"/>
  <c r="P54" i="28" s="1"/>
  <c r="P57" i="28" s="1"/>
  <c r="AQ23" i="5"/>
  <c r="O50" i="28" s="1"/>
  <c r="O54" i="28" s="1"/>
  <c r="AO23" i="5"/>
  <c r="AM23" i="5"/>
  <c r="L50" i="28" s="1"/>
  <c r="L54" i="28" s="1"/>
  <c r="L57" i="28" s="1"/>
  <c r="AJ23" i="5"/>
  <c r="AE23" i="5"/>
  <c r="AD23" i="5"/>
  <c r="E50" i="28" s="1"/>
  <c r="Y23" i="5"/>
  <c r="Z23" i="5" s="1"/>
  <c r="M65" i="1" s="1"/>
  <c r="T23" i="5"/>
  <c r="U23" i="5" s="1"/>
  <c r="L65" i="1" s="1"/>
  <c r="P23" i="5"/>
  <c r="K65" i="1" s="1"/>
  <c r="K23" i="5"/>
  <c r="AB20" i="5"/>
  <c r="AA20" i="5"/>
  <c r="V20" i="5"/>
  <c r="S19" i="5"/>
  <c r="S20" i="5" s="1"/>
  <c r="R19" i="5"/>
  <c r="R20" i="5" s="1"/>
  <c r="Q19" i="5"/>
  <c r="Q20" i="5" s="1"/>
  <c r="CP18" i="5"/>
  <c r="B41" i="28" s="1"/>
  <c r="DV17" i="5"/>
  <c r="AB40" i="28" s="1"/>
  <c r="DU17" i="5"/>
  <c r="AA40" i="28" s="1"/>
  <c r="DT17" i="5"/>
  <c r="Z40" i="28" s="1"/>
  <c r="DQ17" i="5"/>
  <c r="X40" i="28" s="1"/>
  <c r="DP17" i="5"/>
  <c r="W40" i="28" s="1"/>
  <c r="DO17" i="5"/>
  <c r="V40" i="28" s="1"/>
  <c r="DL17" i="5"/>
  <c r="T40" i="28" s="1"/>
  <c r="DK17" i="5"/>
  <c r="S40" i="28" s="1"/>
  <c r="DJ17" i="5"/>
  <c r="R40" i="28" s="1"/>
  <c r="DG17" i="5"/>
  <c r="P40" i="28" s="1"/>
  <c r="DF17" i="5"/>
  <c r="O40" i="28" s="1"/>
  <c r="DE17" i="5"/>
  <c r="N40" i="28" s="1"/>
  <c r="DB17" i="5"/>
  <c r="L40" i="28" s="1"/>
  <c r="DA17" i="5"/>
  <c r="K40" i="28" s="1"/>
  <c r="CZ17" i="5"/>
  <c r="J40" i="28" s="1"/>
  <c r="CW17" i="5"/>
  <c r="H40" i="28" s="1"/>
  <c r="CV17" i="5"/>
  <c r="G40" i="28" s="1"/>
  <c r="CR17" i="5"/>
  <c r="D40" i="28" s="1"/>
  <c r="CQ17" i="5"/>
  <c r="C40" i="28" s="1"/>
  <c r="CL17" i="5"/>
  <c r="CK17" i="5"/>
  <c r="CG17" i="5"/>
  <c r="CF17" i="5"/>
  <c r="CD17" i="5"/>
  <c r="CC17" i="5"/>
  <c r="CB17" i="5"/>
  <c r="CA17" i="5"/>
  <c r="BI17" i="5"/>
  <c r="BD17" i="5"/>
  <c r="BC17" i="5" s="1"/>
  <c r="AY17" i="5"/>
  <c r="AT17" i="5"/>
  <c r="AS17" i="5"/>
  <c r="DM17" i="5" s="1"/>
  <c r="U40" i="28" s="1"/>
  <c r="AO17" i="5"/>
  <c r="AN17" i="5"/>
  <c r="AJ17" i="5"/>
  <c r="AI17" i="5"/>
  <c r="AE17" i="5"/>
  <c r="P17" i="5"/>
  <c r="K55" i="1" s="1"/>
  <c r="K17" i="5"/>
  <c r="J55" i="1" s="1"/>
  <c r="FC16" i="5"/>
  <c r="FB16" i="5"/>
  <c r="FA16" i="5"/>
  <c r="EZ16" i="5"/>
  <c r="EY16" i="5"/>
  <c r="EX16" i="5"/>
  <c r="EW16" i="5"/>
  <c r="EV16" i="5"/>
  <c r="BE16" i="5"/>
  <c r="BE18" i="5" s="1"/>
  <c r="AK16" i="5"/>
  <c r="AK18" i="5" s="1"/>
  <c r="AB16" i="5"/>
  <c r="AB18" i="5" s="1"/>
  <c r="AB6" i="5" s="1"/>
  <c r="AA16" i="5"/>
  <c r="AA17" i="5" s="1"/>
  <c r="S16" i="5"/>
  <c r="S17" i="5" s="1"/>
  <c r="R16" i="5"/>
  <c r="R18" i="5" s="1"/>
  <c r="R6" i="5" s="1"/>
  <c r="Q16" i="5"/>
  <c r="Q18" i="5" s="1"/>
  <c r="O16" i="5"/>
  <c r="N16" i="5"/>
  <c r="N18" i="5" s="1"/>
  <c r="M16" i="5"/>
  <c r="L16" i="5"/>
  <c r="AF38" i="28"/>
  <c r="DV15" i="5"/>
  <c r="AB38" i="28" s="1"/>
  <c r="DU15" i="5"/>
  <c r="AA38" i="28" s="1"/>
  <c r="DQ15" i="5"/>
  <c r="X38" i="28" s="1"/>
  <c r="DP15" i="5"/>
  <c r="W38" i="28" s="1"/>
  <c r="DL15" i="5"/>
  <c r="T38" i="28" s="1"/>
  <c r="DK15" i="5"/>
  <c r="S38" i="28" s="1"/>
  <c r="DJ15" i="5"/>
  <c r="R38" i="28" s="1"/>
  <c r="DH15" i="5"/>
  <c r="Q38" i="28" s="1"/>
  <c r="DG15" i="5"/>
  <c r="P38" i="28" s="1"/>
  <c r="DF15" i="5"/>
  <c r="O38" i="28" s="1"/>
  <c r="DE15" i="5"/>
  <c r="N38" i="28" s="1"/>
  <c r="DC15" i="5"/>
  <c r="M38" i="28" s="1"/>
  <c r="DB15" i="5"/>
  <c r="L38" i="28" s="1"/>
  <c r="DA15" i="5"/>
  <c r="K38" i="28" s="1"/>
  <c r="CZ15" i="5"/>
  <c r="J38" i="28" s="1"/>
  <c r="CW15" i="5"/>
  <c r="H38" i="28" s="1"/>
  <c r="CV15" i="5"/>
  <c r="G38" i="28" s="1"/>
  <c r="CU15" i="5"/>
  <c r="F38" i="28" s="1"/>
  <c r="CR15" i="5"/>
  <c r="D38" i="28" s="1"/>
  <c r="CQ15" i="5"/>
  <c r="C38" i="28" s="1"/>
  <c r="CM15" i="5"/>
  <c r="CL15" i="5"/>
  <c r="CH15" i="5"/>
  <c r="CG15" i="5"/>
  <c r="CF15" i="5"/>
  <c r="CD15" i="5"/>
  <c r="CC15" i="5"/>
  <c r="CB15" i="5"/>
  <c r="CA15" i="5"/>
  <c r="BN15" i="5"/>
  <c r="BI15" i="5"/>
  <c r="BD15" i="5"/>
  <c r="AZ15" i="5"/>
  <c r="DT15" i="5" s="1"/>
  <c r="Z38" i="28" s="1"/>
  <c r="AY15" i="5"/>
  <c r="AX15" i="5"/>
  <c r="DM15" i="5" s="1"/>
  <c r="U38" i="28" s="1"/>
  <c r="AT15" i="5"/>
  <c r="AO15" i="5"/>
  <c r="AJ15" i="5"/>
  <c r="AE15" i="5"/>
  <c r="AD15" i="5"/>
  <c r="CS15" i="5" s="1"/>
  <c r="E38" i="28" s="1"/>
  <c r="V15" i="5"/>
  <c r="T15" i="5"/>
  <c r="CI15" i="5" s="1"/>
  <c r="P15" i="5"/>
  <c r="K53" i="1" s="1"/>
  <c r="K15" i="5"/>
  <c r="J53" i="1" s="1"/>
  <c r="DV14" i="5"/>
  <c r="DU14" i="5"/>
  <c r="EW66" i="5" s="1"/>
  <c r="DT14" i="5"/>
  <c r="DQ14" i="5"/>
  <c r="FB13" i="5" s="1"/>
  <c r="FB14" i="5" s="1"/>
  <c r="DP14" i="5"/>
  <c r="DO14" i="5"/>
  <c r="DM14" i="5"/>
  <c r="DL14" i="5"/>
  <c r="DK14" i="5"/>
  <c r="DJ14" i="5"/>
  <c r="DH14" i="5"/>
  <c r="DG14" i="5"/>
  <c r="DF14" i="5"/>
  <c r="DE14" i="5"/>
  <c r="DC14" i="5"/>
  <c r="DB14" i="5"/>
  <c r="DA14" i="5"/>
  <c r="CZ14" i="5"/>
  <c r="CW14" i="5"/>
  <c r="CV14" i="5"/>
  <c r="CU14" i="5"/>
  <c r="CR14" i="5"/>
  <c r="D37" i="28" s="1"/>
  <c r="CQ14" i="5"/>
  <c r="C37" i="28" s="1"/>
  <c r="CP14" i="5"/>
  <c r="B37" i="28" s="1"/>
  <c r="CM14" i="5"/>
  <c r="CL14" i="5"/>
  <c r="CK14" i="5"/>
  <c r="CH14" i="5"/>
  <c r="CG14" i="5"/>
  <c r="CF14" i="5"/>
  <c r="CD14" i="5"/>
  <c r="CC14" i="5"/>
  <c r="CB14" i="5"/>
  <c r="CA14" i="5"/>
  <c r="BI14" i="5"/>
  <c r="BD14" i="5"/>
  <c r="BC14" i="5" s="1"/>
  <c r="DW14" i="5" s="1"/>
  <c r="EY66" i="5" s="1"/>
  <c r="AY14" i="5"/>
  <c r="AT14" i="5"/>
  <c r="AO14" i="5"/>
  <c r="AJ14" i="5"/>
  <c r="AE14" i="5"/>
  <c r="AD14" i="5"/>
  <c r="Z14" i="5"/>
  <c r="M52" i="1" s="1"/>
  <c r="T14" i="5"/>
  <c r="P14" i="5"/>
  <c r="K52" i="1" s="1"/>
  <c r="K14" i="5"/>
  <c r="J52" i="1" s="1"/>
  <c r="DV13" i="5"/>
  <c r="DU13" i="5"/>
  <c r="DT13" i="5"/>
  <c r="DQ13" i="5"/>
  <c r="DP13" i="5"/>
  <c r="DO13" i="5"/>
  <c r="DM13" i="5"/>
  <c r="U36" i="28" s="1"/>
  <c r="DL13" i="5"/>
  <c r="T36" i="28" s="1"/>
  <c r="DK13" i="5"/>
  <c r="S36" i="28" s="1"/>
  <c r="DJ13" i="5"/>
  <c r="R36" i="28" s="1"/>
  <c r="DH13" i="5"/>
  <c r="Q36" i="28" s="1"/>
  <c r="DG13" i="5"/>
  <c r="DF13" i="5"/>
  <c r="O36" i="28" s="1"/>
  <c r="DE13" i="5"/>
  <c r="N36" i="28" s="1"/>
  <c r="DC13" i="5"/>
  <c r="DB13" i="5"/>
  <c r="DA13" i="5"/>
  <c r="CZ13" i="5"/>
  <c r="CW13" i="5"/>
  <c r="CV13" i="5"/>
  <c r="CU13" i="5"/>
  <c r="CR13" i="5"/>
  <c r="CQ13" i="5"/>
  <c r="CP13" i="5"/>
  <c r="CM13" i="5"/>
  <c r="CL13" i="5"/>
  <c r="CK13" i="5"/>
  <c r="CH13" i="5"/>
  <c r="CG13" i="5"/>
  <c r="CF13" i="5"/>
  <c r="CD13" i="5"/>
  <c r="CC13" i="5"/>
  <c r="CB13" i="5"/>
  <c r="CA13" i="5"/>
  <c r="BI13" i="5"/>
  <c r="BD13" i="5"/>
  <c r="BC13" i="5" s="1"/>
  <c r="AS7" i="28" s="1"/>
  <c r="AY13" i="5"/>
  <c r="AT13" i="5"/>
  <c r="AO13" i="5"/>
  <c r="AJ13" i="5"/>
  <c r="AE13" i="5"/>
  <c r="AD13" i="5"/>
  <c r="Y7" i="28" s="1"/>
  <c r="Z13" i="5"/>
  <c r="M51" i="1" s="1"/>
  <c r="T13" i="5"/>
  <c r="P13" i="5"/>
  <c r="K51" i="1" s="1"/>
  <c r="K13" i="5"/>
  <c r="J51" i="1" s="1"/>
  <c r="CH12" i="5"/>
  <c r="CG12" i="5"/>
  <c r="CF12" i="5"/>
  <c r="CD12" i="5"/>
  <c r="CC12" i="5"/>
  <c r="CB12" i="5"/>
  <c r="CA12" i="5"/>
  <c r="T12" i="5"/>
  <c r="CI12" i="5" s="1"/>
  <c r="P12" i="5"/>
  <c r="K50" i="1" s="1"/>
  <c r="K12" i="5"/>
  <c r="J50" i="1" s="1"/>
  <c r="AT11" i="5"/>
  <c r="DV10" i="5"/>
  <c r="AB34" i="28" s="1"/>
  <c r="DU10" i="5"/>
  <c r="AA34" i="28" s="1"/>
  <c r="DT10" i="5"/>
  <c r="Z34" i="28" s="1"/>
  <c r="DQ10" i="5"/>
  <c r="X34" i="28" s="1"/>
  <c r="DP10" i="5"/>
  <c r="W34" i="28" s="1"/>
  <c r="DO10" i="5"/>
  <c r="V34" i="28" s="1"/>
  <c r="DL10" i="5"/>
  <c r="T34" i="28" s="1"/>
  <c r="DK10" i="5"/>
  <c r="S34" i="28" s="1"/>
  <c r="DJ10" i="5"/>
  <c r="R34" i="28" s="1"/>
  <c r="DG10" i="5"/>
  <c r="P34" i="28" s="1"/>
  <c r="DF10" i="5"/>
  <c r="O34" i="28" s="1"/>
  <c r="DE10" i="5"/>
  <c r="N34" i="28" s="1"/>
  <c r="DB10" i="5"/>
  <c r="L34" i="28" s="1"/>
  <c r="DA10" i="5"/>
  <c r="K34" i="28" s="1"/>
  <c r="CZ10" i="5"/>
  <c r="J34" i="28" s="1"/>
  <c r="CW10" i="5"/>
  <c r="H34" i="28" s="1"/>
  <c r="CV10" i="5"/>
  <c r="G34" i="28" s="1"/>
  <c r="CU10" i="5"/>
  <c r="F34" i="28" s="1"/>
  <c r="CP10" i="5"/>
  <c r="B34" i="28" s="1"/>
  <c r="CK10" i="5"/>
  <c r="CH10" i="5"/>
  <c r="CG10" i="5"/>
  <c r="CF10" i="5"/>
  <c r="CD10" i="5"/>
  <c r="CC10" i="5"/>
  <c r="CB10" i="5"/>
  <c r="CA10" i="5"/>
  <c r="BI10" i="5"/>
  <c r="BD10" i="5"/>
  <c r="BC10" i="5" s="1"/>
  <c r="BC185" i="5" s="1"/>
  <c r="AY10" i="5"/>
  <c r="AT10" i="5"/>
  <c r="AS10" i="5"/>
  <c r="AS185" i="5" s="1"/>
  <c r="AS187" i="5" s="1"/>
  <c r="AO10" i="5"/>
  <c r="AJ10" i="5"/>
  <c r="AI10" i="5"/>
  <c r="AI185" i="5" s="1"/>
  <c r="AE10" i="5"/>
  <c r="AD10" i="5"/>
  <c r="AD185" i="5" s="1"/>
  <c r="X10" i="5"/>
  <c r="X185" i="5" s="1"/>
  <c r="W10" i="5"/>
  <c r="T10" i="5"/>
  <c r="T185" i="5" s="1"/>
  <c r="P10" i="5"/>
  <c r="K45" i="1" s="1"/>
  <c r="K10" i="5"/>
  <c r="J45" i="1" s="1"/>
  <c r="DV9" i="5"/>
  <c r="AB33" i="28" s="1"/>
  <c r="DU9" i="5"/>
  <c r="AA33" i="28" s="1"/>
  <c r="DT9" i="5"/>
  <c r="Z33" i="28" s="1"/>
  <c r="DQ9" i="5"/>
  <c r="X33" i="28" s="1"/>
  <c r="DP9" i="5"/>
  <c r="W33" i="28" s="1"/>
  <c r="DO9" i="5"/>
  <c r="V33" i="28" s="1"/>
  <c r="DL9" i="5"/>
  <c r="T33" i="28" s="1"/>
  <c r="DK9" i="5"/>
  <c r="S33" i="28" s="1"/>
  <c r="DJ9" i="5"/>
  <c r="R33" i="28" s="1"/>
  <c r="DG9" i="5"/>
  <c r="P33" i="28" s="1"/>
  <c r="DF9" i="5"/>
  <c r="O33" i="28" s="1"/>
  <c r="DE9" i="5"/>
  <c r="N33" i="28" s="1"/>
  <c r="DB9" i="5"/>
  <c r="L33" i="28" s="1"/>
  <c r="DA9" i="5"/>
  <c r="K33" i="28" s="1"/>
  <c r="CZ9" i="5"/>
  <c r="J33" i="28" s="1"/>
  <c r="CW9" i="5"/>
  <c r="H33" i="28" s="1"/>
  <c r="CV9" i="5"/>
  <c r="G33" i="28" s="1"/>
  <c r="CU9" i="5"/>
  <c r="F33" i="28" s="1"/>
  <c r="CR9" i="5"/>
  <c r="D33" i="28" s="1"/>
  <c r="CQ9" i="5"/>
  <c r="C33" i="28" s="1"/>
  <c r="CP9" i="5"/>
  <c r="B33" i="28" s="1"/>
  <c r="CM9" i="5"/>
  <c r="CL9" i="5"/>
  <c r="CK9" i="5"/>
  <c r="CH9" i="5"/>
  <c r="CG9" i="5"/>
  <c r="CF9" i="5"/>
  <c r="CD9" i="5"/>
  <c r="CC9" i="5"/>
  <c r="CB9" i="5"/>
  <c r="CA9" i="5"/>
  <c r="BI9" i="5"/>
  <c r="BD9" i="5"/>
  <c r="BC9" i="5" s="1"/>
  <c r="DW9" i="5" s="1"/>
  <c r="AC33" i="28" s="1"/>
  <c r="AY9" i="5"/>
  <c r="AT9" i="5"/>
  <c r="AS9" i="5"/>
  <c r="AS182" i="5" s="1"/>
  <c r="AO9" i="5"/>
  <c r="AJ9" i="5"/>
  <c r="AI9" i="5"/>
  <c r="AI182" i="5" s="1"/>
  <c r="AE9" i="5"/>
  <c r="AD9" i="5"/>
  <c r="AD182" i="5" s="1"/>
  <c r="Y9" i="5"/>
  <c r="Y182" i="5" s="1"/>
  <c r="T9" i="5"/>
  <c r="T182" i="5" s="1"/>
  <c r="P9" i="5"/>
  <c r="K44" i="1" s="1"/>
  <c r="K9" i="5"/>
  <c r="J44" i="1" s="1"/>
  <c r="E11" i="14" s="1"/>
  <c r="DV8" i="5"/>
  <c r="DU8" i="5"/>
  <c r="DT8" i="5"/>
  <c r="DQ8" i="5"/>
  <c r="DP8" i="5"/>
  <c r="DO8" i="5"/>
  <c r="DL8" i="5"/>
  <c r="T32" i="28" s="1"/>
  <c r="DK8" i="5"/>
  <c r="S32" i="28" s="1"/>
  <c r="DJ8" i="5"/>
  <c r="R32" i="28" s="1"/>
  <c r="DF8" i="5"/>
  <c r="DE8" i="5"/>
  <c r="DA8" i="5"/>
  <c r="K32" i="28" s="1"/>
  <c r="CZ8" i="5"/>
  <c r="J32" i="28" s="1"/>
  <c r="CW8" i="5"/>
  <c r="H32" i="28" s="1"/>
  <c r="CV8" i="5"/>
  <c r="G32" i="28" s="1"/>
  <c r="CU8" i="5"/>
  <c r="F32" i="28" s="1"/>
  <c r="CR8" i="5"/>
  <c r="D32" i="28" s="1"/>
  <c r="CQ8" i="5"/>
  <c r="C32" i="28" s="1"/>
  <c r="CP8" i="5"/>
  <c r="B32" i="28" s="1"/>
  <c r="CM8" i="5"/>
  <c r="CL8" i="5"/>
  <c r="CK8" i="5"/>
  <c r="CH8" i="5"/>
  <c r="CG8" i="5"/>
  <c r="CF8" i="5"/>
  <c r="CD8" i="5"/>
  <c r="CC8" i="5"/>
  <c r="CB8" i="5"/>
  <c r="CA8" i="5"/>
  <c r="BI8" i="5"/>
  <c r="BD8" i="5"/>
  <c r="BC8" i="5" s="1"/>
  <c r="J2633" i="16" s="1"/>
  <c r="AY8" i="5"/>
  <c r="AT8" i="5"/>
  <c r="AS8" i="5"/>
  <c r="AO8" i="5"/>
  <c r="AM8" i="5"/>
  <c r="DG8" i="5" s="1"/>
  <c r="P32" i="28" s="1"/>
  <c r="AJ8" i="5"/>
  <c r="AI8" i="5"/>
  <c r="DC8" i="5" s="1"/>
  <c r="M32" i="28" s="1"/>
  <c r="AE8" i="5"/>
  <c r="AD8" i="5"/>
  <c r="Y8" i="5"/>
  <c r="Z8" i="5" s="1"/>
  <c r="M43" i="1" s="1"/>
  <c r="T8" i="5"/>
  <c r="U8" i="5" s="1"/>
  <c r="L43" i="1" s="1"/>
  <c r="P8" i="5"/>
  <c r="K43" i="1" s="1"/>
  <c r="K8" i="5"/>
  <c r="J43" i="1" s="1"/>
  <c r="FC7" i="5"/>
  <c r="FB7" i="5"/>
  <c r="FA7" i="5"/>
  <c r="EZ7" i="5"/>
  <c r="EY7" i="5"/>
  <c r="EX7" i="5"/>
  <c r="EW7" i="5"/>
  <c r="EV7" i="5"/>
  <c r="EU7" i="5"/>
  <c r="ET7" i="5"/>
  <c r="ES7" i="5"/>
  <c r="ER7" i="5"/>
  <c r="CP7" i="5"/>
  <c r="B30" i="28" s="1"/>
  <c r="CK7" i="5"/>
  <c r="CH7" i="5"/>
  <c r="CG7" i="5"/>
  <c r="CF7" i="5"/>
  <c r="BH7" i="5"/>
  <c r="BG7" i="5"/>
  <c r="BG16" i="5" s="1"/>
  <c r="EA16" i="5" s="1"/>
  <c r="BF7" i="5"/>
  <c r="BB7" i="5"/>
  <c r="BA7" i="5"/>
  <c r="AZ7" i="5"/>
  <c r="AX7" i="5"/>
  <c r="AW7" i="5"/>
  <c r="AV7" i="5"/>
  <c r="AU7" i="5"/>
  <c r="AR7" i="5"/>
  <c r="AQ7" i="5"/>
  <c r="D1631" i="16" s="1"/>
  <c r="AP7" i="5"/>
  <c r="DE7" i="5" s="1"/>
  <c r="N30" i="28" s="1"/>
  <c r="AN7" i="5"/>
  <c r="AL7" i="5"/>
  <c r="AH7" i="5"/>
  <c r="AG7" i="5"/>
  <c r="AG51" i="5" s="1"/>
  <c r="G60" i="28" s="1"/>
  <c r="AF7" i="5"/>
  <c r="CU7" i="5" s="1"/>
  <c r="F30" i="28" s="1"/>
  <c r="AC7" i="5"/>
  <c r="P7" i="5"/>
  <c r="J7" i="5"/>
  <c r="CD7" i="5" s="1"/>
  <c r="I7" i="5"/>
  <c r="I16" i="5" s="1"/>
  <c r="I18" i="5" s="1"/>
  <c r="H7" i="5"/>
  <c r="CB7" i="5" s="1"/>
  <c r="G7" i="5"/>
  <c r="O6" i="5"/>
  <c r="DM4" i="5"/>
  <c r="DR4" i="5" s="1"/>
  <c r="DW4" i="5" s="1"/>
  <c r="EB4" i="5" s="1"/>
  <c r="EG4" i="5" s="1"/>
  <c r="EL4" i="5" s="1"/>
  <c r="DL4" i="5"/>
  <c r="DK4" i="5"/>
  <c r="DJ4" i="5"/>
  <c r="DO4" i="5" s="1"/>
  <c r="DH4" i="5"/>
  <c r="DG4" i="5"/>
  <c r="DF4" i="5"/>
  <c r="DE4" i="5"/>
  <c r="DC4" i="5"/>
  <c r="DB4" i="5"/>
  <c r="DA4" i="5"/>
  <c r="CZ4" i="5"/>
  <c r="CX4" i="5"/>
  <c r="CW4" i="5"/>
  <c r="CV4" i="5"/>
  <c r="CU4" i="5"/>
  <c r="CO4" i="5"/>
  <c r="CT4" i="5" s="1"/>
  <c r="CY4" i="5" s="1"/>
  <c r="DD4" i="5" s="1"/>
  <c r="DI4" i="5" s="1"/>
  <c r="DN4" i="5" s="1"/>
  <c r="DS4" i="5" s="1"/>
  <c r="DX4" i="5" s="1"/>
  <c r="EC4" i="5" s="1"/>
  <c r="EH4" i="5" s="1"/>
  <c r="EM4" i="5" s="1"/>
  <c r="CN4" i="5"/>
  <c r="CS4" i="5" s="1"/>
  <c r="CM4" i="5"/>
  <c r="CM257" i="5" s="1"/>
  <c r="CL4" i="5"/>
  <c r="CK4" i="5"/>
  <c r="CK257" i="5" s="1"/>
  <c r="G223" i="25"/>
  <c r="F223" i="25"/>
  <c r="E223" i="25"/>
  <c r="E218" i="25"/>
  <c r="D218" i="25"/>
  <c r="G214" i="25"/>
  <c r="H214" i="25" s="1"/>
  <c r="I214" i="25" s="1"/>
  <c r="J214" i="25" s="1"/>
  <c r="K214" i="25" s="1"/>
  <c r="L214" i="25" s="1"/>
  <c r="M214" i="25" s="1"/>
  <c r="N214" i="25" s="1"/>
  <c r="F208" i="25"/>
  <c r="F199" i="25"/>
  <c r="F192" i="25"/>
  <c r="D2600" i="16" s="1"/>
  <c r="F176" i="25"/>
  <c r="G175" i="25"/>
  <c r="H175" i="25" s="1"/>
  <c r="G174" i="25"/>
  <c r="H174" i="25" s="1"/>
  <c r="I174" i="25" s="1"/>
  <c r="J174" i="25" s="1"/>
  <c r="K174" i="25" s="1"/>
  <c r="L174" i="25" s="1"/>
  <c r="M174" i="25" s="1"/>
  <c r="N174" i="25" s="1"/>
  <c r="F158" i="25"/>
  <c r="F160" i="25"/>
  <c r="E136" i="25"/>
  <c r="E217" i="25" s="1"/>
  <c r="D136" i="25"/>
  <c r="D217" i="25" s="1"/>
  <c r="G133" i="25"/>
  <c r="E2579" i="16" s="1"/>
  <c r="E119" i="25"/>
  <c r="E108" i="25"/>
  <c r="E110" i="25" s="1"/>
  <c r="E123" i="25" s="1"/>
  <c r="C2565" i="16" s="1"/>
  <c r="F102" i="25"/>
  <c r="F96" i="25"/>
  <c r="E87" i="25"/>
  <c r="D81" i="25"/>
  <c r="E79" i="25"/>
  <c r="C79" i="25"/>
  <c r="D78" i="25"/>
  <c r="J75" i="25"/>
  <c r="K71" i="25"/>
  <c r="L71" i="25" s="1"/>
  <c r="M71" i="25" s="1"/>
  <c r="N71" i="25" s="1"/>
  <c r="G71" i="25"/>
  <c r="G72" i="25" s="1"/>
  <c r="E71" i="25"/>
  <c r="C71" i="25"/>
  <c r="E65" i="25"/>
  <c r="F65" i="25" s="1"/>
  <c r="G65" i="25" s="1"/>
  <c r="H65" i="25" s="1"/>
  <c r="I66" i="25" s="1"/>
  <c r="E64" i="25"/>
  <c r="D64" i="25"/>
  <c r="C64" i="25"/>
  <c r="F60" i="25"/>
  <c r="G59" i="25"/>
  <c r="H59" i="25" s="1"/>
  <c r="I59" i="25" s="1"/>
  <c r="E58" i="25"/>
  <c r="F58" i="25" s="1"/>
  <c r="G58" i="25" s="1"/>
  <c r="H58" i="25" s="1"/>
  <c r="D50" i="25"/>
  <c r="E50" i="25" s="1"/>
  <c r="E44" i="25"/>
  <c r="D44" i="25"/>
  <c r="F38" i="25"/>
  <c r="D2547" i="16" s="1"/>
  <c r="F30" i="25"/>
  <c r="G30" i="25" s="1"/>
  <c r="H30" i="25" s="1"/>
  <c r="D18" i="25"/>
  <c r="D17" i="25"/>
  <c r="E17" i="25" s="1"/>
  <c r="F17" i="25" s="1"/>
  <c r="G17" i="25" s="1"/>
  <c r="H17" i="25" s="1"/>
  <c r="I17" i="25" s="1"/>
  <c r="J17" i="25" s="1"/>
  <c r="K17" i="25" s="1"/>
  <c r="L17" i="25" s="1"/>
  <c r="M17" i="25" s="1"/>
  <c r="N17" i="25" s="1"/>
  <c r="D14" i="25"/>
  <c r="E12" i="25"/>
  <c r="E9" i="25"/>
  <c r="F9" i="25" s="1"/>
  <c r="G9" i="25" s="1"/>
  <c r="G26" i="25" s="1"/>
  <c r="C9" i="25"/>
  <c r="D20" i="25" s="1"/>
  <c r="E20" i="25" s="1"/>
  <c r="E29" i="25" s="1"/>
  <c r="C2556" i="16" s="1"/>
  <c r="J6" i="25"/>
  <c r="K6" i="25" s="1"/>
  <c r="L6" i="25" s="1"/>
  <c r="M6" i="25" s="1"/>
  <c r="N6" i="25" s="1"/>
  <c r="D6" i="25"/>
  <c r="C6" i="25"/>
  <c r="F2" i="25"/>
  <c r="B247" i="14"/>
  <c r="B246" i="14"/>
  <c r="B245" i="14"/>
  <c r="E212" i="14"/>
  <c r="D212" i="14"/>
  <c r="C212" i="14"/>
  <c r="E165" i="14"/>
  <c r="E166" i="14" s="1"/>
  <c r="D165" i="14"/>
  <c r="D166" i="14" s="1"/>
  <c r="C165" i="14"/>
  <c r="C166" i="14" s="1"/>
  <c r="E148" i="14"/>
  <c r="D148" i="14"/>
  <c r="C148" i="14"/>
  <c r="J115" i="14"/>
  <c r="E115" i="14"/>
  <c r="G115" i="14" s="1"/>
  <c r="B112" i="14"/>
  <c r="O110" i="14"/>
  <c r="N110" i="14"/>
  <c r="M110" i="14"/>
  <c r="L110" i="14"/>
  <c r="K110" i="14"/>
  <c r="J110" i="14"/>
  <c r="I110" i="14"/>
  <c r="H110" i="14"/>
  <c r="G110" i="14"/>
  <c r="F110" i="14"/>
  <c r="Q97" i="14"/>
  <c r="Q96" i="14" s="1"/>
  <c r="AA90" i="14"/>
  <c r="AB90" i="14" s="1"/>
  <c r="AC90" i="14" s="1"/>
  <c r="AD90" i="14" s="1"/>
  <c r="AE90" i="14" s="1"/>
  <c r="AF90" i="14" s="1"/>
  <c r="AG90" i="14" s="1"/>
  <c r="B87" i="14"/>
  <c r="B92" i="14" s="1"/>
  <c r="B97" i="14" s="1"/>
  <c r="B102" i="14" s="1"/>
  <c r="B86" i="14"/>
  <c r="B91" i="14" s="1"/>
  <c r="B96" i="14" s="1"/>
  <c r="B101" i="14" s="1"/>
  <c r="B106" i="14" s="1"/>
  <c r="B111" i="14" s="1"/>
  <c r="B119" i="14" s="1"/>
  <c r="B85" i="14"/>
  <c r="B90" i="14" s="1"/>
  <c r="B95" i="14" s="1"/>
  <c r="B100" i="14" s="1"/>
  <c r="B105" i="14" s="1"/>
  <c r="B110" i="14" s="1"/>
  <c r="B118" i="14" s="1"/>
  <c r="N65" i="14"/>
  <c r="X58" i="14"/>
  <c r="W58" i="14"/>
  <c r="V58" i="14"/>
  <c r="U58" i="14"/>
  <c r="T58" i="14"/>
  <c r="T110" i="14" s="1"/>
  <c r="P45" i="14"/>
  <c r="O45" i="14"/>
  <c r="O79" i="14" s="1"/>
  <c r="N45" i="14"/>
  <c r="N79" i="14" s="1"/>
  <c r="M45" i="14"/>
  <c r="M79" i="14" s="1"/>
  <c r="M85" i="14" s="1"/>
  <c r="L45" i="14"/>
  <c r="E1036" i="16" s="1"/>
  <c r="J1036" i="16" s="1"/>
  <c r="P1036" i="16" s="1"/>
  <c r="K45" i="14"/>
  <c r="D1036" i="16" s="1"/>
  <c r="I1036" i="16" s="1"/>
  <c r="O1036" i="16" s="1"/>
  <c r="J45" i="14"/>
  <c r="J64" i="14" s="1"/>
  <c r="I45" i="14"/>
  <c r="H45" i="14"/>
  <c r="G45" i="14"/>
  <c r="G79" i="14" s="1"/>
  <c r="G85" i="14" s="1"/>
  <c r="F45" i="14"/>
  <c r="F79" i="14" s="1"/>
  <c r="F85" i="14" s="1"/>
  <c r="E45" i="14"/>
  <c r="D45" i="14"/>
  <c r="C45" i="14"/>
  <c r="O27" i="14"/>
  <c r="N27" i="14"/>
  <c r="H1452" i="16" s="1"/>
  <c r="M27" i="14"/>
  <c r="M87" i="14" s="1"/>
  <c r="L27" i="14"/>
  <c r="K27" i="14"/>
  <c r="K87" i="14" s="1"/>
  <c r="J27" i="14"/>
  <c r="I27" i="14"/>
  <c r="E27" i="14"/>
  <c r="D27" i="14"/>
  <c r="D87" i="14" s="1"/>
  <c r="C27" i="14"/>
  <c r="O17" i="14"/>
  <c r="N17" i="14"/>
  <c r="H1533" i="16" s="1"/>
  <c r="M17" i="14"/>
  <c r="G1533" i="16" s="1"/>
  <c r="L17" i="14"/>
  <c r="K17" i="14"/>
  <c r="J17" i="14"/>
  <c r="I17" i="14"/>
  <c r="D17" i="14"/>
  <c r="C17" i="14"/>
  <c r="B17" i="14"/>
  <c r="Z12" i="14"/>
  <c r="O11" i="14"/>
  <c r="O14" i="14" s="1"/>
  <c r="N11" i="14"/>
  <c r="H1532" i="16" s="1"/>
  <c r="M11" i="14"/>
  <c r="M14" i="14" s="1"/>
  <c r="L11" i="14"/>
  <c r="F127" i="14" s="1"/>
  <c r="K11" i="14"/>
  <c r="J11" i="14"/>
  <c r="I11" i="14"/>
  <c r="C127" i="14" s="1"/>
  <c r="C128" i="14" s="1"/>
  <c r="D11" i="14"/>
  <c r="C11" i="14"/>
  <c r="C14" i="14" s="1"/>
  <c r="B11" i="14"/>
  <c r="I8" i="14"/>
  <c r="F202" i="16" s="1"/>
  <c r="H8" i="14"/>
  <c r="G8" i="14"/>
  <c r="D202" i="16" s="1"/>
  <c r="F8" i="14"/>
  <c r="C202" i="16" s="1"/>
  <c r="E8" i="14"/>
  <c r="D8" i="14"/>
  <c r="C8" i="14"/>
  <c r="J7" i="14"/>
  <c r="K7" i="14" s="1"/>
  <c r="AP6" i="14"/>
  <c r="AO6" i="14"/>
  <c r="AN6" i="14"/>
  <c r="AM6" i="14"/>
  <c r="AP5" i="14"/>
  <c r="AO5" i="14"/>
  <c r="AN5" i="14"/>
  <c r="AM5" i="14"/>
  <c r="O3" i="14"/>
  <c r="D2326" i="16" s="1"/>
  <c r="N3" i="14"/>
  <c r="C2326" i="16" s="1"/>
  <c r="M3" i="14"/>
  <c r="G1531" i="16" s="1"/>
  <c r="L3" i="14"/>
  <c r="F124" i="14" s="1"/>
  <c r="F125" i="14" s="1"/>
  <c r="K3" i="14"/>
  <c r="E124" i="14" s="1"/>
  <c r="J3" i="14"/>
  <c r="I3" i="14"/>
  <c r="C124" i="14" s="1"/>
  <c r="D3" i="14"/>
  <c r="C3" i="14"/>
  <c r="B3" i="14"/>
  <c r="D2" i="14"/>
  <c r="K43" i="26"/>
  <c r="J43" i="26"/>
  <c r="B28" i="26"/>
  <c r="J27" i="26"/>
  <c r="B27" i="26"/>
  <c r="B26" i="26"/>
  <c r="B25" i="26"/>
  <c r="I17" i="26"/>
  <c r="I23" i="26" s="1"/>
  <c r="I16" i="26"/>
  <c r="I22" i="26" s="1"/>
  <c r="I15" i="26"/>
  <c r="I21" i="26" s="1"/>
  <c r="I14" i="26"/>
  <c r="I20" i="26" s="1"/>
  <c r="I13" i="26"/>
  <c r="I19" i="26" s="1"/>
  <c r="B10" i="26"/>
  <c r="B9" i="26"/>
  <c r="C8" i="26"/>
  <c r="C4" i="26"/>
  <c r="M3" i="26"/>
  <c r="L3" i="26"/>
  <c r="K3" i="26"/>
  <c r="J3" i="26"/>
  <c r="I3" i="26"/>
  <c r="C93" i="9"/>
  <c r="E93" i="9" s="1"/>
  <c r="F93" i="9" s="1"/>
  <c r="I91" i="9"/>
  <c r="I84" i="9"/>
  <c r="H84" i="9"/>
  <c r="G84" i="9"/>
  <c r="F84" i="9"/>
  <c r="E84" i="9"/>
  <c r="D84" i="9"/>
  <c r="C84" i="9"/>
  <c r="I81" i="9"/>
  <c r="H81" i="9"/>
  <c r="G81" i="9"/>
  <c r="F81" i="9"/>
  <c r="E81" i="9"/>
  <c r="D81" i="9"/>
  <c r="C81" i="9"/>
  <c r="B81" i="9"/>
  <c r="I80" i="9"/>
  <c r="H80" i="9"/>
  <c r="C80" i="9"/>
  <c r="B80" i="9"/>
  <c r="I79" i="9"/>
  <c r="H79" i="9"/>
  <c r="C79" i="9"/>
  <c r="B79" i="9"/>
  <c r="I78" i="9"/>
  <c r="F78" i="9"/>
  <c r="E78" i="9"/>
  <c r="D78" i="9"/>
  <c r="C78" i="9"/>
  <c r="D75" i="9"/>
  <c r="B69" i="9"/>
  <c r="J60" i="9"/>
  <c r="E60" i="9"/>
  <c r="G60" i="9" s="1"/>
  <c r="J59" i="9"/>
  <c r="E59" i="9"/>
  <c r="G59" i="9" s="1"/>
  <c r="J58" i="9"/>
  <c r="E58" i="9"/>
  <c r="G58" i="9" s="1"/>
  <c r="J57" i="9"/>
  <c r="E57" i="9"/>
  <c r="G57" i="9" s="1"/>
  <c r="J56" i="9"/>
  <c r="E56" i="9"/>
  <c r="G56" i="9" s="1"/>
  <c r="B45" i="9"/>
  <c r="D42" i="9"/>
  <c r="G36" i="9"/>
  <c r="G2934" i="16" s="1"/>
  <c r="AH35" i="9"/>
  <c r="AE24" i="9"/>
  <c r="AF24" i="9" s="1"/>
  <c r="B19" i="9"/>
  <c r="D10" i="9"/>
  <c r="D2913" i="16" s="1"/>
  <c r="Z59" i="7"/>
  <c r="Y59" i="7"/>
  <c r="X59" i="7"/>
  <c r="W59" i="7"/>
  <c r="V59" i="7"/>
  <c r="U59" i="7"/>
  <c r="F9" i="26" s="1"/>
  <c r="T59" i="7"/>
  <c r="E9" i="26" s="1"/>
  <c r="S59" i="7"/>
  <c r="D9" i="26" s="1"/>
  <c r="R59" i="7"/>
  <c r="C9" i="26" s="1"/>
  <c r="E41" i="7"/>
  <c r="E49" i="7" s="1"/>
  <c r="F37" i="7"/>
  <c r="F36" i="7"/>
  <c r="G36" i="7" s="1"/>
  <c r="H36" i="7" s="1"/>
  <c r="I36" i="7" s="1"/>
  <c r="J36" i="7" s="1"/>
  <c r="K36" i="7" s="1"/>
  <c r="L36" i="7" s="1"/>
  <c r="M36" i="7" s="1"/>
  <c r="N36" i="7" s="1"/>
  <c r="O36" i="7" s="1"/>
  <c r="P36" i="7" s="1"/>
  <c r="Q36" i="7" s="1"/>
  <c r="R36" i="7" s="1"/>
  <c r="S36" i="7" s="1"/>
  <c r="T36" i="7" s="1"/>
  <c r="U36" i="7" s="1"/>
  <c r="V36" i="7" s="1"/>
  <c r="W36" i="7" s="1"/>
  <c r="X36" i="7" s="1"/>
  <c r="Y36" i="7" s="1"/>
  <c r="Z36" i="7" s="1"/>
  <c r="R19" i="7"/>
  <c r="R30" i="7" s="1"/>
  <c r="Q19" i="7"/>
  <c r="P19" i="7"/>
  <c r="S518" i="1" s="1"/>
  <c r="P41" i="7" s="1"/>
  <c r="E1598" i="16" s="1"/>
  <c r="O19" i="7"/>
  <c r="R518" i="1" s="1"/>
  <c r="O41" i="7" s="1"/>
  <c r="D1598" i="16" s="1"/>
  <c r="N19" i="7"/>
  <c r="Q518" i="1" s="1"/>
  <c r="N41" i="7" s="1"/>
  <c r="M19" i="7"/>
  <c r="P518" i="1" s="1"/>
  <c r="M41" i="7" s="1"/>
  <c r="M49" i="7" s="1"/>
  <c r="L19" i="7"/>
  <c r="O518" i="1" s="1"/>
  <c r="L41" i="7" s="1"/>
  <c r="L49" i="7" s="1"/>
  <c r="K19" i="7"/>
  <c r="N518" i="1" s="1"/>
  <c r="K41" i="7" s="1"/>
  <c r="K49" i="7" s="1"/>
  <c r="J19" i="7"/>
  <c r="M518" i="1" s="1"/>
  <c r="J41" i="7" s="1"/>
  <c r="J49" i="7" s="1"/>
  <c r="I19" i="7"/>
  <c r="L518" i="1" s="1"/>
  <c r="I41" i="7" s="1"/>
  <c r="I49" i="7" s="1"/>
  <c r="H19" i="7"/>
  <c r="K518" i="1" s="1"/>
  <c r="H41" i="7" s="1"/>
  <c r="H49" i="7" s="1"/>
  <c r="G19" i="7"/>
  <c r="J518" i="1" s="1"/>
  <c r="G41" i="7" s="1"/>
  <c r="G49" i="7" s="1"/>
  <c r="F19" i="7"/>
  <c r="I518" i="1" s="1"/>
  <c r="F41" i="7" s="1"/>
  <c r="F49" i="7" s="1"/>
  <c r="E19" i="7"/>
  <c r="H518" i="1" s="1"/>
  <c r="G14" i="7"/>
  <c r="H14" i="7" s="1"/>
  <c r="I14" i="7" s="1"/>
  <c r="J14" i="7" s="1"/>
  <c r="K14" i="7" s="1"/>
  <c r="L14" i="7" s="1"/>
  <c r="M14" i="7" s="1"/>
  <c r="N14" i="7" s="1"/>
  <c r="O14" i="7" s="1"/>
  <c r="P14" i="7" s="1"/>
  <c r="Q14" i="7" s="1"/>
  <c r="R14" i="7" s="1"/>
  <c r="S14" i="7" s="1"/>
  <c r="T14" i="7" s="1"/>
  <c r="U14" i="7" s="1"/>
  <c r="V14" i="7" s="1"/>
  <c r="W14" i="7" s="1"/>
  <c r="X14" i="7" s="1"/>
  <c r="Y14" i="7" s="1"/>
  <c r="Z14" i="7" s="1"/>
  <c r="E14" i="7"/>
  <c r="G12" i="7"/>
  <c r="H12" i="7" s="1"/>
  <c r="E12" i="7"/>
  <c r="F6" i="7"/>
  <c r="G6" i="7" s="1"/>
  <c r="H6" i="7" s="1"/>
  <c r="I6" i="7" s="1"/>
  <c r="J6" i="7" s="1"/>
  <c r="K6" i="7" s="1"/>
  <c r="L6" i="7" s="1"/>
  <c r="M6" i="7" s="1"/>
  <c r="N6" i="7" s="1"/>
  <c r="O6" i="7" s="1"/>
  <c r="P6" i="7" s="1"/>
  <c r="Q6" i="7" s="1"/>
  <c r="R6" i="7" s="1"/>
  <c r="S6" i="7" s="1"/>
  <c r="T6" i="7" s="1"/>
  <c r="U6" i="7" s="1"/>
  <c r="V6" i="7" s="1"/>
  <c r="W6" i="7" s="1"/>
  <c r="X6" i="7" s="1"/>
  <c r="Y6" i="7" s="1"/>
  <c r="Z6" i="7" s="1"/>
  <c r="L2848" i="16"/>
  <c r="K2848" i="16"/>
  <c r="J2848" i="16"/>
  <c r="E2848" i="16"/>
  <c r="D2848" i="16"/>
  <c r="C2848" i="16"/>
  <c r="D2846" i="16"/>
  <c r="E2846" i="16" s="1"/>
  <c r="F2846" i="16" s="1"/>
  <c r="G2846" i="16" s="1"/>
  <c r="H2846" i="16" s="1"/>
  <c r="I2846" i="16" s="1"/>
  <c r="J2846" i="16" s="1"/>
  <c r="K2846" i="16" s="1"/>
  <c r="L2846" i="16" s="1"/>
  <c r="M2846" i="16" s="1"/>
  <c r="N2846" i="16" s="1"/>
  <c r="O2846" i="16" s="1"/>
  <c r="P2846" i="16" s="1"/>
  <c r="Q2846" i="16" s="1"/>
  <c r="M2745" i="16"/>
  <c r="L2745" i="16"/>
  <c r="K2745" i="16"/>
  <c r="J2745" i="16"/>
  <c r="I2745" i="16"/>
  <c r="M2744" i="16"/>
  <c r="L2744" i="16"/>
  <c r="K2744" i="16"/>
  <c r="J2744" i="16"/>
  <c r="I2744" i="16"/>
  <c r="M2741" i="16"/>
  <c r="M2747" i="16" s="1"/>
  <c r="L2741" i="16"/>
  <c r="L2747" i="16" s="1"/>
  <c r="K2741" i="16"/>
  <c r="K2747" i="16" s="1"/>
  <c r="J2741" i="16"/>
  <c r="J2747" i="16" s="1"/>
  <c r="I2741" i="16"/>
  <c r="I2747" i="16" s="1"/>
  <c r="M2734" i="16"/>
  <c r="M2746" i="16" s="1"/>
  <c r="L2734" i="16"/>
  <c r="L2746" i="16" s="1"/>
  <c r="K2734" i="16"/>
  <c r="K2746" i="16" s="1"/>
  <c r="J2734" i="16"/>
  <c r="J2746" i="16" s="1"/>
  <c r="I2734" i="16"/>
  <c r="I2746" i="16" s="1"/>
  <c r="M2728" i="16"/>
  <c r="L2728" i="16"/>
  <c r="K2728" i="16"/>
  <c r="J2728" i="16"/>
  <c r="I2728" i="16"/>
  <c r="G2724" i="16"/>
  <c r="F2724" i="16"/>
  <c r="E2724" i="16"/>
  <c r="D2724" i="16"/>
  <c r="C2724" i="16"/>
  <c r="N2635" i="16"/>
  <c r="M2635" i="16"/>
  <c r="L2635" i="16"/>
  <c r="K2635" i="16"/>
  <c r="I2635" i="16"/>
  <c r="H2635" i="16"/>
  <c r="G2635" i="16"/>
  <c r="F2635" i="16"/>
  <c r="E2635" i="16"/>
  <c r="D2635" i="16"/>
  <c r="C2635" i="16"/>
  <c r="N2633" i="16"/>
  <c r="M2633" i="16"/>
  <c r="L2633" i="16"/>
  <c r="K2633" i="16"/>
  <c r="I2633" i="16"/>
  <c r="H2633" i="16"/>
  <c r="G2633" i="16"/>
  <c r="F2633" i="16"/>
  <c r="E2633" i="16"/>
  <c r="D2633" i="16"/>
  <c r="C2633" i="16"/>
  <c r="N2614" i="16"/>
  <c r="N2612" i="16"/>
  <c r="M2612" i="16"/>
  <c r="L2612" i="16"/>
  <c r="J2612" i="16"/>
  <c r="I2612" i="16"/>
  <c r="H2612" i="16"/>
  <c r="F2612" i="16"/>
  <c r="E2612" i="16"/>
  <c r="D2612" i="16"/>
  <c r="K2611" i="16"/>
  <c r="G2611" i="16"/>
  <c r="C2611" i="16"/>
  <c r="N2610" i="16"/>
  <c r="M2610" i="16"/>
  <c r="M2609" i="16"/>
  <c r="K2607" i="16"/>
  <c r="G2607" i="16"/>
  <c r="C2607" i="16"/>
  <c r="B2600" i="16"/>
  <c r="D2599" i="16"/>
  <c r="B2599" i="16"/>
  <c r="B2597" i="16"/>
  <c r="B2595" i="16"/>
  <c r="B2594" i="16"/>
  <c r="L2592" i="16"/>
  <c r="K2592" i="16"/>
  <c r="J2592" i="16"/>
  <c r="I2592" i="16"/>
  <c r="H2592" i="16"/>
  <c r="G2592" i="16"/>
  <c r="F2592" i="16"/>
  <c r="B2592" i="16"/>
  <c r="B2591" i="16"/>
  <c r="B2589" i="16"/>
  <c r="E2588" i="16"/>
  <c r="D2588" i="16"/>
  <c r="C2588" i="16"/>
  <c r="B2588" i="16"/>
  <c r="C2586" i="16"/>
  <c r="B2586" i="16"/>
  <c r="B2585" i="16"/>
  <c r="C2583" i="16"/>
  <c r="B2583" i="16"/>
  <c r="B2582" i="16"/>
  <c r="B2581" i="16"/>
  <c r="D2579" i="16"/>
  <c r="C2579" i="16"/>
  <c r="B2579" i="16"/>
  <c r="B2573" i="16"/>
  <c r="B2572" i="16"/>
  <c r="B2571" i="16"/>
  <c r="B2570" i="16"/>
  <c r="B2569" i="16"/>
  <c r="B2568" i="16"/>
  <c r="B2566" i="16"/>
  <c r="B2565" i="16"/>
  <c r="B2548" i="16" s="1"/>
  <c r="B2559" i="16" s="1"/>
  <c r="B2564" i="16"/>
  <c r="B2547" i="16" s="1"/>
  <c r="B2558" i="16" s="1"/>
  <c r="B2563" i="16"/>
  <c r="B2546" i="16" s="1"/>
  <c r="B2557" i="16" s="1"/>
  <c r="B2562" i="16"/>
  <c r="B2545" i="16" s="1"/>
  <c r="B2556" i="16" s="1"/>
  <c r="B2561" i="16"/>
  <c r="C2558" i="16"/>
  <c r="L2552" i="16"/>
  <c r="K2552" i="16"/>
  <c r="J2552" i="16"/>
  <c r="I2552" i="16"/>
  <c r="H2552" i="16"/>
  <c r="G2552" i="16"/>
  <c r="F2552" i="16"/>
  <c r="E2552" i="16"/>
  <c r="D2552" i="16"/>
  <c r="C2552" i="16"/>
  <c r="C2548" i="16"/>
  <c r="C2547" i="16"/>
  <c r="D2527" i="16"/>
  <c r="E2527" i="16" s="1"/>
  <c r="F2527" i="16" s="1"/>
  <c r="G2527" i="16" s="1"/>
  <c r="M2497" i="16"/>
  <c r="M2496" i="16"/>
  <c r="M2495" i="16"/>
  <c r="M2494" i="16"/>
  <c r="E2493" i="16"/>
  <c r="F2493" i="16" s="1"/>
  <c r="G2493" i="16" s="1"/>
  <c r="H2493" i="16" s="1"/>
  <c r="I2493" i="16" s="1"/>
  <c r="J2493" i="16" s="1"/>
  <c r="K2493" i="16" s="1"/>
  <c r="L2493" i="16" s="1"/>
  <c r="M2493" i="16" s="1"/>
  <c r="I2490" i="16"/>
  <c r="H2490" i="16"/>
  <c r="E2488" i="16"/>
  <c r="F2488" i="16" s="1"/>
  <c r="G2488" i="16" s="1"/>
  <c r="H2488" i="16" s="1"/>
  <c r="I2488" i="16" s="1"/>
  <c r="J2488" i="16" s="1"/>
  <c r="K2488" i="16" s="1"/>
  <c r="L2488" i="16" s="1"/>
  <c r="M2488" i="16" s="1"/>
  <c r="B2472" i="16"/>
  <c r="B2481" i="16" s="1"/>
  <c r="C2471" i="16"/>
  <c r="B2471" i="16"/>
  <c r="B2480" i="16" s="1"/>
  <c r="B2470" i="16"/>
  <c r="B2479" i="16" s="1"/>
  <c r="B2469" i="16"/>
  <c r="C2465" i="16"/>
  <c r="B2450" i="16"/>
  <c r="C2443" i="16"/>
  <c r="C2437" i="16"/>
  <c r="D2437" i="16" s="1"/>
  <c r="E2437" i="16" s="1"/>
  <c r="F2437" i="16" s="1"/>
  <c r="D2431" i="16"/>
  <c r="E2431" i="16" s="1"/>
  <c r="F2431" i="16" s="1"/>
  <c r="F2425" i="16"/>
  <c r="E2425" i="16"/>
  <c r="D2425" i="16"/>
  <c r="C2425" i="16"/>
  <c r="D2424" i="16"/>
  <c r="E2424" i="16" s="1"/>
  <c r="F2424" i="16" s="1"/>
  <c r="O2369" i="16"/>
  <c r="K2365" i="16"/>
  <c r="C2364" i="16"/>
  <c r="C2362" i="16"/>
  <c r="D2353" i="16"/>
  <c r="D2351" i="16"/>
  <c r="I2342" i="16"/>
  <c r="H2342" i="16"/>
  <c r="D2342" i="16"/>
  <c r="B2310" i="16"/>
  <c r="B2308" i="16"/>
  <c r="B2305" i="16"/>
  <c r="B2304" i="16"/>
  <c r="B2300" i="16"/>
  <c r="B2297" i="16"/>
  <c r="B2292" i="16"/>
  <c r="G2282" i="16"/>
  <c r="C2304" i="16" s="1"/>
  <c r="G2281" i="16"/>
  <c r="C2292" i="16" s="1"/>
  <c r="G2280" i="16"/>
  <c r="C2310" i="16" s="1"/>
  <c r="G2279" i="16"/>
  <c r="G2278" i="16"/>
  <c r="G2277" i="16"/>
  <c r="C2305" i="16" s="1"/>
  <c r="G2276" i="16"/>
  <c r="C2300" i="16" s="1"/>
  <c r="G2275" i="16"/>
  <c r="G2274" i="16"/>
  <c r="G2273" i="16"/>
  <c r="G2272" i="16"/>
  <c r="G2271" i="16"/>
  <c r="G2270" i="16"/>
  <c r="C2297" i="16" s="1"/>
  <c r="G2269" i="16"/>
  <c r="C2308" i="16" s="1"/>
  <c r="G2268" i="16"/>
  <c r="C2307" i="16" s="1"/>
  <c r="G2267" i="16"/>
  <c r="G2266" i="16"/>
  <c r="C2288" i="16" s="1"/>
  <c r="G2265" i="16"/>
  <c r="G2264" i="16"/>
  <c r="G2263" i="16"/>
  <c r="G2262" i="16"/>
  <c r="G2261" i="16"/>
  <c r="G2260" i="16"/>
  <c r="G2259" i="16"/>
  <c r="G2258" i="16"/>
  <c r="G2257" i="16"/>
  <c r="G2256" i="16"/>
  <c r="G2255" i="16"/>
  <c r="G2254" i="16"/>
  <c r="G2253" i="16"/>
  <c r="G2252" i="16"/>
  <c r="G2251" i="16"/>
  <c r="D2250" i="16"/>
  <c r="L2243" i="16"/>
  <c r="C2243" i="16"/>
  <c r="C2237" i="16"/>
  <c r="D2237" i="16" s="1"/>
  <c r="M2236" i="16"/>
  <c r="C2235" i="16"/>
  <c r="D2234" i="16"/>
  <c r="D2243" i="16" s="1"/>
  <c r="D2227" i="16"/>
  <c r="E2227" i="16" s="1"/>
  <c r="F2227" i="16" s="1"/>
  <c r="G2227" i="16" s="1"/>
  <c r="H2227" i="16" s="1"/>
  <c r="D2218" i="16"/>
  <c r="E2218" i="16" s="1"/>
  <c r="F2218" i="16" s="1"/>
  <c r="G2218" i="16" s="1"/>
  <c r="H2218" i="16" s="1"/>
  <c r="D2209" i="16"/>
  <c r="E2209" i="16" s="1"/>
  <c r="F2209" i="16" s="1"/>
  <c r="G2209" i="16" s="1"/>
  <c r="H2209" i="16" s="1"/>
  <c r="D2198" i="16"/>
  <c r="C2198" i="16" s="1"/>
  <c r="C2197" i="16"/>
  <c r="C2201" i="16" s="1"/>
  <c r="C2204" i="16" s="1"/>
  <c r="C2196" i="16"/>
  <c r="C2195" i="16"/>
  <c r="D2193" i="16"/>
  <c r="D2192" i="16"/>
  <c r="D2191" i="16"/>
  <c r="C2190" i="16"/>
  <c r="D2190" i="16" s="1"/>
  <c r="F2181" i="16"/>
  <c r="Q215" i="1" s="1"/>
  <c r="Q170" i="1" s="1"/>
  <c r="E2181" i="16"/>
  <c r="P215" i="1" s="1"/>
  <c r="D2181" i="16"/>
  <c r="O215" i="1" s="1"/>
  <c r="C2181" i="16"/>
  <c r="N215" i="1" s="1"/>
  <c r="E2177" i="16"/>
  <c r="F2177" i="16" s="1"/>
  <c r="E2136" i="16"/>
  <c r="E2134" i="16"/>
  <c r="E2133" i="16"/>
  <c r="E2132" i="16"/>
  <c r="E2131" i="16"/>
  <c r="D2116" i="16"/>
  <c r="B2114" i="16"/>
  <c r="B2113" i="16"/>
  <c r="B2111" i="16"/>
  <c r="D2087" i="16"/>
  <c r="E2087" i="16" s="1"/>
  <c r="U2081" i="16"/>
  <c r="T2081" i="16"/>
  <c r="S2081" i="16"/>
  <c r="R2081" i="16"/>
  <c r="Q2081" i="16"/>
  <c r="P2081" i="16"/>
  <c r="O2081" i="16"/>
  <c r="N2081" i="16"/>
  <c r="U2075" i="16"/>
  <c r="T2075" i="16"/>
  <c r="S2075" i="16"/>
  <c r="R2075" i="16"/>
  <c r="Q2075" i="16"/>
  <c r="P2075" i="16"/>
  <c r="O2075" i="16"/>
  <c r="N2075" i="16"/>
  <c r="J2071" i="16"/>
  <c r="I2071" i="16"/>
  <c r="H2071" i="16"/>
  <c r="G2071" i="16"/>
  <c r="F2071" i="16"/>
  <c r="E2071" i="16"/>
  <c r="D2071" i="16"/>
  <c r="C2071" i="16"/>
  <c r="D2068" i="16"/>
  <c r="E2068" i="16" s="1"/>
  <c r="F2068" i="16" s="1"/>
  <c r="G2068" i="16" s="1"/>
  <c r="H2068" i="16" s="1"/>
  <c r="I2068" i="16" s="1"/>
  <c r="J2068" i="16" s="1"/>
  <c r="D2040" i="16"/>
  <c r="C2040" i="16"/>
  <c r="C2037" i="16"/>
  <c r="F2025" i="16"/>
  <c r="G2025" i="16" s="1"/>
  <c r="H2025" i="16" s="1"/>
  <c r="I2025" i="16" s="1"/>
  <c r="J2025" i="16" s="1"/>
  <c r="K2025" i="16" s="1"/>
  <c r="L2025" i="16" s="1"/>
  <c r="M2025" i="16" s="1"/>
  <c r="N2025" i="16" s="1"/>
  <c r="O2025" i="16" s="1"/>
  <c r="P2025" i="16" s="1"/>
  <c r="Q2025" i="16" s="1"/>
  <c r="R2025" i="16" s="1"/>
  <c r="S2025" i="16" s="1"/>
  <c r="T2025" i="16" s="1"/>
  <c r="D2025" i="16"/>
  <c r="C2025" i="16" s="1"/>
  <c r="C2018" i="16"/>
  <c r="D2009" i="16"/>
  <c r="D2008" i="16"/>
  <c r="D2007" i="16"/>
  <c r="D2006" i="16"/>
  <c r="D2005" i="16"/>
  <c r="D2004" i="16"/>
  <c r="D2013" i="16" s="1"/>
  <c r="D2014" i="16" s="1"/>
  <c r="D2003" i="16"/>
  <c r="F1991" i="16"/>
  <c r="E1991" i="16"/>
  <c r="D1991" i="16"/>
  <c r="C1991" i="16"/>
  <c r="B1989" i="16"/>
  <c r="B1988" i="16"/>
  <c r="B1987" i="16"/>
  <c r="B1986" i="16"/>
  <c r="F1970" i="16"/>
  <c r="F1971" i="16" s="1"/>
  <c r="E1970" i="16"/>
  <c r="E1971" i="16" s="1"/>
  <c r="D1970" i="16"/>
  <c r="D1971" i="16" s="1"/>
  <c r="C1970" i="16"/>
  <c r="C1971" i="16" s="1"/>
  <c r="C1958" i="16"/>
  <c r="B1958" i="16"/>
  <c r="E1957" i="16"/>
  <c r="E1956" i="16" s="1"/>
  <c r="G1956" i="16" s="1"/>
  <c r="D1957" i="16"/>
  <c r="B1957" i="16"/>
  <c r="B1956" i="16"/>
  <c r="B1955" i="16"/>
  <c r="B1954" i="16"/>
  <c r="I1950" i="16"/>
  <c r="E1949" i="16"/>
  <c r="D1949" i="16"/>
  <c r="E1948" i="16"/>
  <c r="D1948" i="16"/>
  <c r="E1947" i="16"/>
  <c r="D1947" i="16"/>
  <c r="E1946" i="16"/>
  <c r="D1946" i="16"/>
  <c r="C1940" i="16"/>
  <c r="H1906" i="16"/>
  <c r="G1906" i="16"/>
  <c r="F1906" i="16"/>
  <c r="E1906" i="16"/>
  <c r="D1906" i="16"/>
  <c r="C1906" i="16"/>
  <c r="F1905" i="16"/>
  <c r="E1905" i="16"/>
  <c r="D1905" i="16"/>
  <c r="B1903" i="16"/>
  <c r="B1902" i="16"/>
  <c r="F1893" i="16"/>
  <c r="F1892" i="16"/>
  <c r="F1891" i="16"/>
  <c r="F1890" i="16"/>
  <c r="F1889" i="16"/>
  <c r="F1888" i="16"/>
  <c r="F1886" i="16"/>
  <c r="F1885" i="16"/>
  <c r="F1884" i="16"/>
  <c r="F1883" i="16"/>
  <c r="F1881" i="16"/>
  <c r="F1880" i="16"/>
  <c r="F1878" i="16"/>
  <c r="F1877" i="16"/>
  <c r="F1876" i="16"/>
  <c r="F1875" i="16"/>
  <c r="F1874" i="16"/>
  <c r="H1872" i="16"/>
  <c r="E1872" i="16"/>
  <c r="D1872" i="16"/>
  <c r="C1872" i="16"/>
  <c r="H1871" i="16"/>
  <c r="E1871" i="16"/>
  <c r="D1871" i="16"/>
  <c r="H1870" i="16"/>
  <c r="D1870" i="16"/>
  <c r="F1870" i="16" s="1"/>
  <c r="C1870" i="16"/>
  <c r="O1864" i="16"/>
  <c r="F1864" i="16"/>
  <c r="O1863" i="16"/>
  <c r="F1863" i="16"/>
  <c r="O1862" i="16"/>
  <c r="F1862" i="16"/>
  <c r="O1861" i="16"/>
  <c r="F1861" i="16"/>
  <c r="O1860" i="16"/>
  <c r="F1860" i="16"/>
  <c r="O1859" i="16"/>
  <c r="F1859" i="16"/>
  <c r="O1857" i="16"/>
  <c r="F1857" i="16"/>
  <c r="O1856" i="16"/>
  <c r="F1856" i="16"/>
  <c r="O1855" i="16"/>
  <c r="F1855" i="16"/>
  <c r="F1854" i="16"/>
  <c r="F1852" i="16"/>
  <c r="F1851" i="16"/>
  <c r="F1850" i="16"/>
  <c r="O1849" i="16"/>
  <c r="F1849" i="16"/>
  <c r="O1848" i="16"/>
  <c r="F1848" i="16"/>
  <c r="O1846" i="16"/>
  <c r="F1846" i="16"/>
  <c r="O1845" i="16"/>
  <c r="F1845" i="16"/>
  <c r="F1844" i="16"/>
  <c r="O1843" i="16"/>
  <c r="F1843" i="16"/>
  <c r="O1842" i="16"/>
  <c r="F1842" i="16"/>
  <c r="F1839" i="16"/>
  <c r="O1838" i="16"/>
  <c r="F1838" i="16"/>
  <c r="F1837" i="16"/>
  <c r="O1836" i="16"/>
  <c r="F1836" i="16"/>
  <c r="B1827" i="16"/>
  <c r="I1826" i="16"/>
  <c r="J1826" i="16" s="1"/>
  <c r="K1826" i="16" s="1"/>
  <c r="D1826" i="16"/>
  <c r="E1826" i="16" s="1"/>
  <c r="F1826" i="16" s="1"/>
  <c r="I1819" i="16"/>
  <c r="J1819" i="16" s="1"/>
  <c r="K1819" i="16" s="1"/>
  <c r="D1819" i="16"/>
  <c r="E1819" i="16" s="1"/>
  <c r="F1819" i="16" s="1"/>
  <c r="B1816" i="16"/>
  <c r="B1815" i="16"/>
  <c r="F1814" i="16"/>
  <c r="E1814" i="16"/>
  <c r="D1814" i="16"/>
  <c r="C1814" i="16"/>
  <c r="B1814" i="16"/>
  <c r="F1813" i="16"/>
  <c r="E1813" i="16"/>
  <c r="D1813" i="16"/>
  <c r="C1813" i="16"/>
  <c r="B1813" i="16"/>
  <c r="F1812" i="16"/>
  <c r="E1812" i="16"/>
  <c r="D1812" i="16"/>
  <c r="C1812" i="16"/>
  <c r="B1812" i="16"/>
  <c r="B1822" i="16" s="1"/>
  <c r="B1829" i="16" s="1"/>
  <c r="F1811" i="16"/>
  <c r="E1811" i="16"/>
  <c r="D1811" i="16"/>
  <c r="C1811" i="16"/>
  <c r="B1811" i="16"/>
  <c r="B1821" i="16" s="1"/>
  <c r="B1828" i="16" s="1"/>
  <c r="F1810" i="16"/>
  <c r="E1810" i="16"/>
  <c r="D1810" i="16"/>
  <c r="C1810" i="16"/>
  <c r="I1809" i="16"/>
  <c r="J1809" i="16" s="1"/>
  <c r="K1809" i="16" s="1"/>
  <c r="D1809" i="16"/>
  <c r="E1809" i="16" s="1"/>
  <c r="F1809" i="16" s="1"/>
  <c r="F1805" i="16"/>
  <c r="E1805" i="16"/>
  <c r="D1805" i="16"/>
  <c r="C1805" i="16"/>
  <c r="F1803" i="16"/>
  <c r="E1803" i="16"/>
  <c r="D1803" i="16"/>
  <c r="C1803" i="16"/>
  <c r="F1802" i="16"/>
  <c r="E1802" i="16"/>
  <c r="D1802" i="16"/>
  <c r="C1802" i="16"/>
  <c r="F1801" i="16"/>
  <c r="E1801" i="16"/>
  <c r="D1801" i="16"/>
  <c r="C1801" i="16"/>
  <c r="F1798" i="16"/>
  <c r="E1798" i="16"/>
  <c r="D1798" i="16"/>
  <c r="C1798" i="16"/>
  <c r="F1797" i="16"/>
  <c r="E1797" i="16"/>
  <c r="D1797" i="16"/>
  <c r="C1797" i="16"/>
  <c r="I1796" i="16"/>
  <c r="J1796" i="16" s="1"/>
  <c r="K1796" i="16" s="1"/>
  <c r="D1796" i="16"/>
  <c r="E1796" i="16" s="1"/>
  <c r="F1796" i="16" s="1"/>
  <c r="B1792" i="16"/>
  <c r="B1791" i="16"/>
  <c r="E1784" i="16"/>
  <c r="D1784" i="16"/>
  <c r="C1784" i="16"/>
  <c r="B1778" i="16"/>
  <c r="B1790" i="16" s="1"/>
  <c r="B1777" i="16"/>
  <c r="B1789" i="16" s="1"/>
  <c r="D1776" i="16"/>
  <c r="B1776" i="16"/>
  <c r="B1788" i="16" s="1"/>
  <c r="F1775" i="16"/>
  <c r="E1775" i="16"/>
  <c r="D1775" i="16"/>
  <c r="C1775" i="16"/>
  <c r="B1775" i="16"/>
  <c r="B1787" i="16" s="1"/>
  <c r="I1771" i="16"/>
  <c r="D1765" i="16"/>
  <c r="J1771" i="16" s="1"/>
  <c r="N1725" i="16"/>
  <c r="N1726" i="16" s="1"/>
  <c r="M1725" i="16"/>
  <c r="M1726" i="16" s="1"/>
  <c r="L1725" i="16"/>
  <c r="L1726" i="16" s="1"/>
  <c r="K1725" i="16"/>
  <c r="K1726" i="16" s="1"/>
  <c r="J1725" i="16"/>
  <c r="I1725" i="16"/>
  <c r="H1725" i="16"/>
  <c r="G1725" i="16"/>
  <c r="F1725" i="16"/>
  <c r="F1726" i="16" s="1"/>
  <c r="E1725" i="16"/>
  <c r="E1726" i="16" s="1"/>
  <c r="D1725" i="16"/>
  <c r="D1726" i="16" s="1"/>
  <c r="C1725" i="16"/>
  <c r="C1726" i="16" s="1"/>
  <c r="B1713" i="16"/>
  <c r="B1712" i="16"/>
  <c r="B1710" i="16"/>
  <c r="B1709" i="16"/>
  <c r="K1693" i="16"/>
  <c r="E1692" i="16"/>
  <c r="F1692" i="16" s="1"/>
  <c r="G1692" i="16" s="1"/>
  <c r="H1692" i="16" s="1"/>
  <c r="I1692" i="16" s="1"/>
  <c r="J1692" i="16" s="1"/>
  <c r="K1692" i="16" s="1"/>
  <c r="L1692" i="16" s="1"/>
  <c r="J1672" i="16"/>
  <c r="D1667" i="16"/>
  <c r="E1663" i="16"/>
  <c r="E1662" i="16"/>
  <c r="E1661" i="16"/>
  <c r="E1660" i="16"/>
  <c r="E1659" i="16"/>
  <c r="E1658" i="16"/>
  <c r="E1657" i="16"/>
  <c r="K1653" i="16"/>
  <c r="J1653" i="16"/>
  <c r="F1653" i="16"/>
  <c r="E1653" i="16"/>
  <c r="B1653" i="16"/>
  <c r="K1652" i="16"/>
  <c r="J1652" i="16"/>
  <c r="F1652" i="16"/>
  <c r="E1652" i="16"/>
  <c r="C1652" i="16"/>
  <c r="B1652" i="16"/>
  <c r="K1651" i="16"/>
  <c r="J1651" i="16"/>
  <c r="F1651" i="16"/>
  <c r="E1651" i="16"/>
  <c r="B1651" i="16"/>
  <c r="K1650" i="16"/>
  <c r="J1650" i="16"/>
  <c r="F1650" i="16"/>
  <c r="E1650" i="16"/>
  <c r="D1650" i="16"/>
  <c r="C1650" i="16"/>
  <c r="B1650" i="16"/>
  <c r="K1649" i="16"/>
  <c r="J1649" i="16"/>
  <c r="F1649" i="16"/>
  <c r="E1649" i="16"/>
  <c r="B1649" i="16"/>
  <c r="K1648" i="16"/>
  <c r="J1648" i="16"/>
  <c r="F1648" i="16"/>
  <c r="E1648" i="16"/>
  <c r="D1648" i="16"/>
  <c r="C1648" i="16"/>
  <c r="B1648" i="16"/>
  <c r="K1647" i="16"/>
  <c r="J1647" i="16"/>
  <c r="F1647" i="16"/>
  <c r="E1647" i="16"/>
  <c r="D1647" i="16"/>
  <c r="C1647" i="16"/>
  <c r="B1647" i="16"/>
  <c r="K1646" i="16"/>
  <c r="J1646" i="16"/>
  <c r="F1646" i="16"/>
  <c r="E1646" i="16"/>
  <c r="D1646" i="16"/>
  <c r="C1646" i="16"/>
  <c r="B1646" i="16"/>
  <c r="K1645" i="16"/>
  <c r="J1645" i="16"/>
  <c r="F1645" i="16"/>
  <c r="E1645" i="16"/>
  <c r="C1645" i="16"/>
  <c r="B1645" i="16"/>
  <c r="K1644" i="16"/>
  <c r="J1644" i="16"/>
  <c r="I1644" i="16"/>
  <c r="H1644" i="16"/>
  <c r="F1644" i="16"/>
  <c r="E1644" i="16"/>
  <c r="D1644" i="16"/>
  <c r="C1644" i="16"/>
  <c r="K1642" i="16"/>
  <c r="J1642" i="16"/>
  <c r="F1642" i="16"/>
  <c r="E1642" i="16"/>
  <c r="B1642" i="16"/>
  <c r="F1641" i="16"/>
  <c r="E1641" i="16"/>
  <c r="D1641" i="16"/>
  <c r="C1641" i="16"/>
  <c r="B1641" i="16"/>
  <c r="K1640" i="16"/>
  <c r="J1640" i="16"/>
  <c r="F1640" i="16"/>
  <c r="E1640" i="16"/>
  <c r="B1640" i="16"/>
  <c r="K1639" i="16"/>
  <c r="J1639" i="16"/>
  <c r="F1639" i="16"/>
  <c r="E1639" i="16"/>
  <c r="D1639" i="16"/>
  <c r="C1639" i="16"/>
  <c r="B1639" i="16"/>
  <c r="K1638" i="16"/>
  <c r="J1638" i="16"/>
  <c r="F1638" i="16"/>
  <c r="E1638" i="16"/>
  <c r="D1638" i="16"/>
  <c r="C1638" i="16"/>
  <c r="B1638" i="16"/>
  <c r="K1637" i="16"/>
  <c r="J1637" i="16"/>
  <c r="F1637" i="16"/>
  <c r="E1637" i="16"/>
  <c r="D1637" i="16"/>
  <c r="C1637" i="16"/>
  <c r="B1637" i="16"/>
  <c r="F1635" i="16"/>
  <c r="E1635" i="16"/>
  <c r="D1635" i="16"/>
  <c r="C1635" i="16"/>
  <c r="B1635" i="16"/>
  <c r="K1634" i="16"/>
  <c r="J1634" i="16"/>
  <c r="F1634" i="16"/>
  <c r="E1634" i="16"/>
  <c r="D1634" i="16"/>
  <c r="C1634" i="16"/>
  <c r="B1634" i="16"/>
  <c r="K1633" i="16"/>
  <c r="J1633" i="16"/>
  <c r="F1633" i="16"/>
  <c r="E1633" i="16"/>
  <c r="D1633" i="16"/>
  <c r="C1633" i="16"/>
  <c r="B1633" i="16"/>
  <c r="K1632" i="16"/>
  <c r="J1632" i="16"/>
  <c r="F1632" i="16"/>
  <c r="E1632" i="16"/>
  <c r="D1632" i="16"/>
  <c r="C1632" i="16"/>
  <c r="B1632" i="16"/>
  <c r="K1631" i="16"/>
  <c r="J1631" i="16"/>
  <c r="F1631" i="16"/>
  <c r="E1631" i="16"/>
  <c r="B1631" i="16"/>
  <c r="D1606" i="16"/>
  <c r="E1606" i="16" s="1"/>
  <c r="F1606" i="16" s="1"/>
  <c r="G1606" i="16" s="1"/>
  <c r="H1606" i="16" s="1"/>
  <c r="I1606" i="16" s="1"/>
  <c r="J1606" i="16" s="1"/>
  <c r="L1588" i="16"/>
  <c r="K1588" i="16"/>
  <c r="J1588" i="16"/>
  <c r="I1588" i="16"/>
  <c r="H1588" i="16"/>
  <c r="L1587" i="16"/>
  <c r="K1587" i="16"/>
  <c r="J1587" i="16"/>
  <c r="I1587" i="16"/>
  <c r="H1587" i="16"/>
  <c r="G1587" i="16"/>
  <c r="F1587" i="16"/>
  <c r="E1587" i="16"/>
  <c r="D1587" i="16"/>
  <c r="C1587" i="16"/>
  <c r="L1585" i="16"/>
  <c r="K1585" i="16"/>
  <c r="J1585" i="16"/>
  <c r="I1585" i="16"/>
  <c r="H1585" i="16"/>
  <c r="L1584" i="16"/>
  <c r="K1584" i="16"/>
  <c r="J1584" i="16"/>
  <c r="I1584" i="16"/>
  <c r="H1584" i="16"/>
  <c r="E1584" i="16"/>
  <c r="L1583" i="16"/>
  <c r="K1583" i="16"/>
  <c r="J1583" i="16"/>
  <c r="I1583" i="16"/>
  <c r="H1583" i="16"/>
  <c r="E1583" i="16"/>
  <c r="L1582" i="16"/>
  <c r="K1582" i="16"/>
  <c r="J1582" i="16"/>
  <c r="I1582" i="16"/>
  <c r="H1582" i="16"/>
  <c r="E1582" i="16"/>
  <c r="L1581" i="16"/>
  <c r="K1581" i="16"/>
  <c r="J1581" i="16"/>
  <c r="I1581" i="16"/>
  <c r="H1581" i="16"/>
  <c r="G1581" i="16"/>
  <c r="F1581" i="16"/>
  <c r="E1581" i="16"/>
  <c r="C1570" i="16"/>
  <c r="C1565" i="16"/>
  <c r="C1568" i="16" s="1"/>
  <c r="D1564" i="16"/>
  <c r="E1564" i="16" s="1"/>
  <c r="F1547" i="16"/>
  <c r="B1547" i="16"/>
  <c r="F1545" i="16"/>
  <c r="F1544" i="16"/>
  <c r="B1544" i="16"/>
  <c r="F1543" i="16"/>
  <c r="B1543" i="16"/>
  <c r="F1542" i="16"/>
  <c r="H1537" i="16"/>
  <c r="G1537" i="16"/>
  <c r="F1537" i="16"/>
  <c r="C1537" i="16"/>
  <c r="F1535" i="16"/>
  <c r="B1535" i="16"/>
  <c r="B1545" i="16" s="1"/>
  <c r="E1534" i="16"/>
  <c r="D1534" i="16"/>
  <c r="B1534" i="16"/>
  <c r="F1533" i="16"/>
  <c r="E1533" i="16"/>
  <c r="D1533" i="16"/>
  <c r="C1533" i="16"/>
  <c r="F1532" i="16"/>
  <c r="E1532" i="16"/>
  <c r="D1532" i="16"/>
  <c r="C1532" i="16"/>
  <c r="F1531" i="16"/>
  <c r="E1531" i="16"/>
  <c r="D1531" i="16"/>
  <c r="C1531" i="16"/>
  <c r="B1531" i="16"/>
  <c r="B1542" i="16" s="1"/>
  <c r="D1513" i="16"/>
  <c r="E1513" i="16" s="1"/>
  <c r="F1513" i="16" s="1"/>
  <c r="C1499" i="16"/>
  <c r="G1487" i="16"/>
  <c r="F1487" i="16"/>
  <c r="E1487" i="16"/>
  <c r="D1487" i="16"/>
  <c r="C1487" i="16"/>
  <c r="G1486" i="16"/>
  <c r="F1486" i="16"/>
  <c r="E1486" i="16"/>
  <c r="D1486" i="16"/>
  <c r="C1486" i="16"/>
  <c r="G1485" i="16"/>
  <c r="F1485" i="16"/>
  <c r="E1485" i="16"/>
  <c r="D1485" i="16"/>
  <c r="C1485" i="16"/>
  <c r="G1481" i="16"/>
  <c r="F1481" i="16"/>
  <c r="E1481" i="16"/>
  <c r="D1481" i="16"/>
  <c r="C1481" i="16"/>
  <c r="G1480" i="16"/>
  <c r="F1480" i="16"/>
  <c r="E1480" i="16"/>
  <c r="D1480" i="16"/>
  <c r="C1480" i="16"/>
  <c r="N1474" i="16"/>
  <c r="J1474" i="16"/>
  <c r="F1474" i="16"/>
  <c r="N1473" i="16"/>
  <c r="J1473" i="16"/>
  <c r="F1473" i="16"/>
  <c r="G1458" i="16"/>
  <c r="G1466" i="16" s="1"/>
  <c r="G1472" i="16" s="1"/>
  <c r="D1458" i="16"/>
  <c r="H1458" i="16" s="1"/>
  <c r="J1457" i="16"/>
  <c r="P1452" i="16"/>
  <c r="P1468" i="16" s="1"/>
  <c r="O1452" i="16"/>
  <c r="O1468" i="16" s="1"/>
  <c r="L1452" i="16"/>
  <c r="L1468" i="16" s="1"/>
  <c r="K1452" i="16"/>
  <c r="K1468" i="16" s="1"/>
  <c r="P1451" i="16"/>
  <c r="P1467" i="16" s="1"/>
  <c r="O1451" i="16"/>
  <c r="L1451" i="16"/>
  <c r="K1451" i="16"/>
  <c r="G1450" i="16"/>
  <c r="K1450" i="16" s="1"/>
  <c r="O1450" i="16" s="1"/>
  <c r="D1450" i="16"/>
  <c r="H1450" i="16" s="1"/>
  <c r="L1450" i="16" s="1"/>
  <c r="P1450" i="16" s="1"/>
  <c r="D1439" i="16"/>
  <c r="E1439" i="16" s="1"/>
  <c r="D1434" i="16"/>
  <c r="E1433" i="16"/>
  <c r="D1433" i="16" s="1"/>
  <c r="D1432" i="16"/>
  <c r="C1416" i="16"/>
  <c r="C1415" i="16"/>
  <c r="C1410" i="16"/>
  <c r="AB1406" i="16"/>
  <c r="AB1409" i="16" s="1"/>
  <c r="AB1411" i="16" s="1"/>
  <c r="AB1405" i="16"/>
  <c r="F1405" i="16"/>
  <c r="F1407" i="16" s="1"/>
  <c r="AB1404" i="16"/>
  <c r="AA1404" i="16"/>
  <c r="Z1404" i="16"/>
  <c r="Y1404" i="16"/>
  <c r="C1404" i="16"/>
  <c r="Q1383" i="16"/>
  <c r="P1383" i="16"/>
  <c r="O1383" i="16"/>
  <c r="N1383" i="16"/>
  <c r="M1383" i="16"/>
  <c r="L1383" i="16"/>
  <c r="K1383" i="16"/>
  <c r="J1383" i="16"/>
  <c r="I1383" i="16"/>
  <c r="H1383" i="16"/>
  <c r="G1383" i="16"/>
  <c r="F1383" i="16"/>
  <c r="E1383" i="16"/>
  <c r="D1383" i="16"/>
  <c r="C1383" i="16"/>
  <c r="D1381" i="16"/>
  <c r="C1381" i="16"/>
  <c r="E1375" i="16"/>
  <c r="F1375" i="16" s="1"/>
  <c r="B1303" i="16"/>
  <c r="B1302" i="16"/>
  <c r="C1277" i="16"/>
  <c r="B1276" i="16"/>
  <c r="B1275" i="16"/>
  <c r="E1260" i="16"/>
  <c r="E1259" i="16"/>
  <c r="E1258" i="16"/>
  <c r="E1257" i="16"/>
  <c r="E1256" i="16"/>
  <c r="E1255" i="16"/>
  <c r="E1254" i="16"/>
  <c r="D1253" i="16"/>
  <c r="D1252" i="16" s="1"/>
  <c r="C1252" i="16"/>
  <c r="E1251" i="16"/>
  <c r="E1250" i="16"/>
  <c r="C1237" i="16"/>
  <c r="E1228" i="16"/>
  <c r="E1226" i="16"/>
  <c r="C1217" i="16"/>
  <c r="E1208" i="16"/>
  <c r="E1206" i="16"/>
  <c r="C1197" i="16"/>
  <c r="B1192" i="16"/>
  <c r="B1194" i="16" s="1"/>
  <c r="B1189" i="16"/>
  <c r="E1188" i="16"/>
  <c r="E1186" i="16"/>
  <c r="B1172" i="16"/>
  <c r="B1167" i="16"/>
  <c r="B1173" i="16" s="1"/>
  <c r="B1163" i="16"/>
  <c r="B1169" i="16" s="1"/>
  <c r="B1175" i="16" s="1"/>
  <c r="B1162" i="16"/>
  <c r="B1161" i="16"/>
  <c r="B1168" i="16" s="1"/>
  <c r="B1174" i="16" s="1"/>
  <c r="D1148" i="16"/>
  <c r="E1148" i="16" s="1"/>
  <c r="B1142" i="16"/>
  <c r="B1138" i="16"/>
  <c r="B1143" i="16" s="1"/>
  <c r="B1134" i="16"/>
  <c r="E1133" i="16"/>
  <c r="I1133" i="16" s="1"/>
  <c r="D1133" i="16"/>
  <c r="C1133" i="16"/>
  <c r="G1133" i="16" s="1"/>
  <c r="B1133" i="16"/>
  <c r="B1139" i="16" s="1"/>
  <c r="B1144" i="16" s="1"/>
  <c r="E1132" i="16"/>
  <c r="I1132" i="16" s="1"/>
  <c r="D1132" i="16"/>
  <c r="H1132" i="16" s="1"/>
  <c r="C1132" i="16"/>
  <c r="G1132" i="16" s="1"/>
  <c r="E1131" i="16"/>
  <c r="D1131" i="16"/>
  <c r="H1131" i="16" s="1"/>
  <c r="C1131" i="16"/>
  <c r="G1131" i="16" s="1"/>
  <c r="E1127" i="16"/>
  <c r="I1127" i="16" s="1"/>
  <c r="D1127" i="16"/>
  <c r="H1127" i="16" s="1"/>
  <c r="C1127" i="16"/>
  <c r="G1127" i="16" s="1"/>
  <c r="E1126" i="16"/>
  <c r="I1126" i="16" s="1"/>
  <c r="D1126" i="16"/>
  <c r="H1126" i="16" s="1"/>
  <c r="C1126" i="16"/>
  <c r="G1126" i="16" s="1"/>
  <c r="E1122" i="16"/>
  <c r="I1122" i="16" s="1"/>
  <c r="D1122" i="16"/>
  <c r="H1122" i="16" s="1"/>
  <c r="C1122" i="16"/>
  <c r="G1122" i="16" s="1"/>
  <c r="G1121" i="16"/>
  <c r="D1121" i="16"/>
  <c r="H1121" i="16" s="1"/>
  <c r="D1115" i="16"/>
  <c r="A1109" i="16"/>
  <c r="A1108" i="16"/>
  <c r="F1107" i="16"/>
  <c r="A1107" i="16"/>
  <c r="F1106" i="16"/>
  <c r="A1106" i="16"/>
  <c r="F1093" i="16"/>
  <c r="C1087" i="16"/>
  <c r="D1085" i="16" s="1"/>
  <c r="D1079" i="16"/>
  <c r="D1061" i="16"/>
  <c r="D1054" i="16"/>
  <c r="D1051" i="16" s="1"/>
  <c r="C1051" i="16"/>
  <c r="D1034" i="16"/>
  <c r="E1034" i="16" s="1"/>
  <c r="O1030" i="16"/>
  <c r="N1030" i="16"/>
  <c r="M1030" i="16"/>
  <c r="G1030" i="16"/>
  <c r="O1029" i="16"/>
  <c r="N1029" i="16"/>
  <c r="M1029" i="16"/>
  <c r="O1028" i="16"/>
  <c r="N1028" i="16"/>
  <c r="M1028" i="16"/>
  <c r="O1027" i="16"/>
  <c r="N1027" i="16"/>
  <c r="M1027" i="16"/>
  <c r="O1026" i="16"/>
  <c r="N1026" i="16"/>
  <c r="M1026" i="16"/>
  <c r="L1026" i="16"/>
  <c r="B1026" i="16"/>
  <c r="G1026" i="16" s="1"/>
  <c r="G1023" i="16"/>
  <c r="G1020" i="16"/>
  <c r="G1019" i="16"/>
  <c r="L1017" i="16"/>
  <c r="B1017" i="16"/>
  <c r="G1017" i="16" s="1"/>
  <c r="L1016" i="16"/>
  <c r="L1029" i="16" s="1"/>
  <c r="B1016" i="16"/>
  <c r="L1015" i="16"/>
  <c r="L1022" i="16" s="1"/>
  <c r="E1015" i="16"/>
  <c r="D1015" i="16"/>
  <c r="I1015" i="16" s="1"/>
  <c r="C1015" i="16"/>
  <c r="H1015" i="16" s="1"/>
  <c r="B1015" i="16"/>
  <c r="L1014" i="16"/>
  <c r="L1021" i="16" s="1"/>
  <c r="E1014" i="16"/>
  <c r="D1014" i="16"/>
  <c r="I1014" i="16" s="1"/>
  <c r="C1014" i="16"/>
  <c r="H1014" i="16" s="1"/>
  <c r="B1014" i="16"/>
  <c r="B1027" i="16" s="1"/>
  <c r="G1027" i="16" s="1"/>
  <c r="G1013" i="16"/>
  <c r="E1013" i="16"/>
  <c r="D1013" i="16"/>
  <c r="I1013" i="16" s="1"/>
  <c r="C1013" i="16"/>
  <c r="H1013" i="16" s="1"/>
  <c r="G1012" i="16"/>
  <c r="G1010" i="16"/>
  <c r="C1010" i="16"/>
  <c r="H1010" i="16" s="1"/>
  <c r="G1009" i="16"/>
  <c r="E1009" i="16"/>
  <c r="J1009" i="16" s="1"/>
  <c r="D1009" i="16"/>
  <c r="I1009" i="16" s="1"/>
  <c r="C1009" i="16"/>
  <c r="H1009" i="16" s="1"/>
  <c r="G1008" i="16"/>
  <c r="E1008" i="16"/>
  <c r="J1008" i="16" s="1"/>
  <c r="D1008" i="16"/>
  <c r="I1008" i="16" s="1"/>
  <c r="C1008" i="16"/>
  <c r="H1008" i="16" s="1"/>
  <c r="G1007" i="16"/>
  <c r="E1007" i="16"/>
  <c r="J1007" i="16" s="1"/>
  <c r="D1007" i="16"/>
  <c r="I1007" i="16" s="1"/>
  <c r="C1007" i="16"/>
  <c r="H1007" i="16" s="1"/>
  <c r="G1006" i="16"/>
  <c r="E1006" i="16"/>
  <c r="J1006" i="16" s="1"/>
  <c r="D1006" i="16"/>
  <c r="I1006" i="16" s="1"/>
  <c r="C1006" i="16"/>
  <c r="H1006" i="16" s="1"/>
  <c r="G1005" i="16"/>
  <c r="E1005" i="16"/>
  <c r="J1005" i="16" s="1"/>
  <c r="D1005" i="16"/>
  <c r="I1005" i="16" s="1"/>
  <c r="C1005" i="16"/>
  <c r="H1005" i="16" s="1"/>
  <c r="N1004" i="16"/>
  <c r="O1004" i="16" s="1"/>
  <c r="H1004" i="16"/>
  <c r="G1004" i="16"/>
  <c r="D1004" i="16"/>
  <c r="E1004" i="16" s="1"/>
  <c r="J1004" i="16" s="1"/>
  <c r="E997" i="16"/>
  <c r="E998" i="16" s="1"/>
  <c r="P953" i="16"/>
  <c r="O953" i="16"/>
  <c r="N953" i="16"/>
  <c r="M953" i="16"/>
  <c r="J953" i="16"/>
  <c r="F953" i="16"/>
  <c r="E953" i="16"/>
  <c r="D953" i="16"/>
  <c r="O952" i="16"/>
  <c r="N952" i="16"/>
  <c r="G952" i="16"/>
  <c r="F952" i="16"/>
  <c r="E952" i="16"/>
  <c r="D952" i="16"/>
  <c r="L949" i="16"/>
  <c r="L953" i="16" s="1"/>
  <c r="K949" i="16"/>
  <c r="K953" i="16" s="1"/>
  <c r="I949" i="16"/>
  <c r="I953" i="16" s="1"/>
  <c r="H949" i="16"/>
  <c r="H953" i="16" s="1"/>
  <c r="G949" i="16"/>
  <c r="G953" i="16" s="1"/>
  <c r="L948" i="16"/>
  <c r="K948" i="16"/>
  <c r="J948" i="16"/>
  <c r="I948" i="16"/>
  <c r="H948" i="16"/>
  <c r="D947" i="16"/>
  <c r="E947" i="16" s="1"/>
  <c r="E948" i="16" s="1"/>
  <c r="H946" i="16"/>
  <c r="I946" i="16" s="1"/>
  <c r="C940" i="16"/>
  <c r="C938" i="16"/>
  <c r="C937" i="16"/>
  <c r="C935" i="16"/>
  <c r="D958" i="16" s="1"/>
  <c r="C932" i="16"/>
  <c r="C930" i="16"/>
  <c r="G918" i="16"/>
  <c r="C906" i="16"/>
  <c r="G905" i="16"/>
  <c r="D877" i="16"/>
  <c r="E877" i="16" s="1"/>
  <c r="F877" i="16" s="1"/>
  <c r="G877" i="16" s="1"/>
  <c r="H877" i="16" s="1"/>
  <c r="I877" i="16" s="1"/>
  <c r="J877" i="16" s="1"/>
  <c r="C873" i="16"/>
  <c r="D872" i="16"/>
  <c r="E872" i="16" s="1"/>
  <c r="C871" i="16"/>
  <c r="D870" i="16"/>
  <c r="E870" i="16" s="1"/>
  <c r="C869" i="16"/>
  <c r="D869" i="16" s="1"/>
  <c r="E869" i="16" s="1"/>
  <c r="C866" i="16"/>
  <c r="E866" i="16" s="1"/>
  <c r="E847" i="16"/>
  <c r="E846" i="16"/>
  <c r="E845" i="16"/>
  <c r="E844" i="16"/>
  <c r="E843" i="16"/>
  <c r="E842" i="16"/>
  <c r="E841" i="16"/>
  <c r="E840" i="16"/>
  <c r="E839" i="16"/>
  <c r="E838" i="16"/>
  <c r="E837" i="16"/>
  <c r="E836" i="16"/>
  <c r="E835" i="16"/>
  <c r="L831" i="16"/>
  <c r="K831" i="16"/>
  <c r="J831" i="16"/>
  <c r="I831" i="16"/>
  <c r="H831" i="16"/>
  <c r="G831" i="16"/>
  <c r="F831" i="16"/>
  <c r="B831" i="16"/>
  <c r="B830" i="16"/>
  <c r="G811" i="16"/>
  <c r="B794" i="16"/>
  <c r="B801" i="16" s="1"/>
  <c r="B793" i="16"/>
  <c r="B800" i="16" s="1"/>
  <c r="B792" i="16"/>
  <c r="B791" i="16"/>
  <c r="B799" i="16" s="1"/>
  <c r="B790" i="16"/>
  <c r="B789" i="16"/>
  <c r="B798" i="16" s="1"/>
  <c r="B788" i="16"/>
  <c r="B797" i="16" s="1"/>
  <c r="C779" i="16"/>
  <c r="C797" i="16" s="1"/>
  <c r="D778" i="16"/>
  <c r="E778" i="16" s="1"/>
  <c r="B773" i="16"/>
  <c r="C773" i="16" s="1"/>
  <c r="C772" i="16"/>
  <c r="F772" i="16" s="1"/>
  <c r="G772" i="16" s="1"/>
  <c r="H772" i="16" s="1"/>
  <c r="D767" i="16"/>
  <c r="E767" i="16" s="1"/>
  <c r="B757" i="16"/>
  <c r="G753" i="16"/>
  <c r="G760" i="16" s="1"/>
  <c r="F753" i="16"/>
  <c r="F760" i="16" s="1"/>
  <c r="E753" i="16"/>
  <c r="E760" i="16" s="1"/>
  <c r="D753" i="16"/>
  <c r="D760" i="16" s="1"/>
  <c r="C753" i="16"/>
  <c r="C760" i="16" s="1"/>
  <c r="D752" i="16"/>
  <c r="E752" i="16" s="1"/>
  <c r="F752" i="16" s="1"/>
  <c r="G752" i="16" s="1"/>
  <c r="G749" i="16"/>
  <c r="F749" i="16"/>
  <c r="G746" i="16"/>
  <c r="F746" i="16"/>
  <c r="E746" i="16"/>
  <c r="G744" i="16"/>
  <c r="F744" i="16"/>
  <c r="E744" i="16"/>
  <c r="D743" i="16"/>
  <c r="E743" i="16" s="1"/>
  <c r="F743" i="16" s="1"/>
  <c r="G743" i="16" s="1"/>
  <c r="C739" i="16"/>
  <c r="E729" i="16"/>
  <c r="E726" i="16"/>
  <c r="G716" i="16"/>
  <c r="G717" i="16" s="1"/>
  <c r="D707" i="16"/>
  <c r="C694" i="16"/>
  <c r="C697" i="16" s="1"/>
  <c r="F681" i="16"/>
  <c r="E681" i="16"/>
  <c r="D681" i="16"/>
  <c r="C681" i="16"/>
  <c r="C655" i="16"/>
  <c r="C680" i="16" s="1"/>
  <c r="C633" i="16"/>
  <c r="J625" i="16"/>
  <c r="J629" i="16" s="1"/>
  <c r="J630" i="16" s="1"/>
  <c r="I625" i="16"/>
  <c r="I629" i="16" s="1"/>
  <c r="I630" i="16" s="1"/>
  <c r="H625" i="16"/>
  <c r="H629" i="16" s="1"/>
  <c r="H630" i="16" s="1"/>
  <c r="G625" i="16"/>
  <c r="G629" i="16" s="1"/>
  <c r="G630" i="16" s="1"/>
  <c r="F625" i="16"/>
  <c r="F629" i="16" s="1"/>
  <c r="F630" i="16" s="1"/>
  <c r="E625" i="16"/>
  <c r="E629" i="16" s="1"/>
  <c r="E630" i="16" s="1"/>
  <c r="D625" i="16"/>
  <c r="D629" i="16" s="1"/>
  <c r="D630" i="16" s="1"/>
  <c r="C625" i="16"/>
  <c r="C629" i="16" s="1"/>
  <c r="C630" i="16" s="1"/>
  <c r="C622" i="16"/>
  <c r="J618" i="16"/>
  <c r="I618" i="16"/>
  <c r="H618" i="16"/>
  <c r="G618" i="16"/>
  <c r="F618" i="16"/>
  <c r="E618" i="16"/>
  <c r="D618" i="16"/>
  <c r="C618" i="16"/>
  <c r="J617" i="16"/>
  <c r="I617" i="16"/>
  <c r="H617" i="16"/>
  <c r="G617" i="16"/>
  <c r="F617" i="16"/>
  <c r="E617" i="16"/>
  <c r="D617" i="16"/>
  <c r="C617" i="16"/>
  <c r="J615" i="16"/>
  <c r="I615" i="16"/>
  <c r="H615" i="16"/>
  <c r="G615" i="16"/>
  <c r="F615" i="16"/>
  <c r="E615" i="16"/>
  <c r="D615" i="16"/>
  <c r="C615" i="16"/>
  <c r="J614" i="16"/>
  <c r="I614" i="16"/>
  <c r="H614" i="16"/>
  <c r="G614" i="16"/>
  <c r="F614" i="16"/>
  <c r="E614" i="16"/>
  <c r="D614" i="16"/>
  <c r="C614" i="16"/>
  <c r="D611" i="16"/>
  <c r="D655" i="16" s="1"/>
  <c r="D680" i="16" s="1"/>
  <c r="B578" i="16"/>
  <c r="D577" i="16"/>
  <c r="D570" i="16" s="1"/>
  <c r="B577" i="16"/>
  <c r="D571" i="16"/>
  <c r="D569" i="16"/>
  <c r="C569" i="16"/>
  <c r="C574" i="16" s="1"/>
  <c r="B561" i="16"/>
  <c r="B560" i="16"/>
  <c r="B559" i="16"/>
  <c r="B558" i="16"/>
  <c r="B557" i="16"/>
  <c r="B556" i="16"/>
  <c r="H544" i="16"/>
  <c r="G544" i="16"/>
  <c r="F544" i="16"/>
  <c r="E544" i="16"/>
  <c r="D544" i="16"/>
  <c r="C544" i="16"/>
  <c r="B533" i="16"/>
  <c r="B554" i="16" s="1"/>
  <c r="B532" i="16"/>
  <c r="B553" i="16" s="1"/>
  <c r="C525" i="16"/>
  <c r="C546" i="16" s="1"/>
  <c r="E519" i="16"/>
  <c r="E561" i="16" s="1"/>
  <c r="D519" i="16"/>
  <c r="D561" i="16" s="1"/>
  <c r="H518" i="16"/>
  <c r="H560" i="16" s="1"/>
  <c r="G518" i="16"/>
  <c r="G560" i="16" s="1"/>
  <c r="F518" i="16"/>
  <c r="F560" i="16" s="1"/>
  <c r="E518" i="16"/>
  <c r="E560" i="16" s="1"/>
  <c r="D518" i="16"/>
  <c r="D560" i="16" s="1"/>
  <c r="C518" i="16"/>
  <c r="C560" i="16" s="1"/>
  <c r="H517" i="16"/>
  <c r="H559" i="16" s="1"/>
  <c r="G517" i="16"/>
  <c r="G559" i="16" s="1"/>
  <c r="F517" i="16"/>
  <c r="F559" i="16" s="1"/>
  <c r="E517" i="16"/>
  <c r="E559" i="16" s="1"/>
  <c r="D517" i="16"/>
  <c r="D559" i="16" s="1"/>
  <c r="C517" i="16"/>
  <c r="C559" i="16" s="1"/>
  <c r="H516" i="16"/>
  <c r="H558" i="16" s="1"/>
  <c r="G516" i="16"/>
  <c r="G558" i="16" s="1"/>
  <c r="F516" i="16"/>
  <c r="F558" i="16" s="1"/>
  <c r="E516" i="16"/>
  <c r="E558" i="16" s="1"/>
  <c r="D516" i="16"/>
  <c r="D558" i="16" s="1"/>
  <c r="C516" i="16"/>
  <c r="C558" i="16" s="1"/>
  <c r="H515" i="16"/>
  <c r="H557" i="16" s="1"/>
  <c r="G515" i="16"/>
  <c r="G557" i="16" s="1"/>
  <c r="F515" i="16"/>
  <c r="F557" i="16" s="1"/>
  <c r="E515" i="16"/>
  <c r="E557" i="16" s="1"/>
  <c r="D515" i="16"/>
  <c r="D557" i="16" s="1"/>
  <c r="C515" i="16"/>
  <c r="C557" i="16" s="1"/>
  <c r="H514" i="16"/>
  <c r="H556" i="16" s="1"/>
  <c r="G514" i="16"/>
  <c r="G556" i="16" s="1"/>
  <c r="F514" i="16"/>
  <c r="F556" i="16" s="1"/>
  <c r="E514" i="16"/>
  <c r="E556" i="16" s="1"/>
  <c r="D514" i="16"/>
  <c r="D556" i="16" s="1"/>
  <c r="C514" i="16"/>
  <c r="C556" i="16" s="1"/>
  <c r="B514" i="16"/>
  <c r="H511" i="16"/>
  <c r="H553" i="16" s="1"/>
  <c r="G511" i="16"/>
  <c r="G553" i="16" s="1"/>
  <c r="F511" i="16"/>
  <c r="F553" i="16" s="1"/>
  <c r="E511" i="16"/>
  <c r="E553" i="16" s="1"/>
  <c r="D511" i="16"/>
  <c r="D553" i="16" s="1"/>
  <c r="C511" i="16"/>
  <c r="C553" i="16" s="1"/>
  <c r="H510" i="16"/>
  <c r="H552" i="16" s="1"/>
  <c r="G510" i="16"/>
  <c r="G552" i="16" s="1"/>
  <c r="F510" i="16"/>
  <c r="F552" i="16" s="1"/>
  <c r="E510" i="16"/>
  <c r="E552" i="16" s="1"/>
  <c r="D510" i="16"/>
  <c r="D552" i="16" s="1"/>
  <c r="C510" i="16"/>
  <c r="C552" i="16" s="1"/>
  <c r="B510" i="16"/>
  <c r="B531" i="16" s="1"/>
  <c r="B552" i="16" s="1"/>
  <c r="H509" i="16"/>
  <c r="H551" i="16" s="1"/>
  <c r="G509" i="16"/>
  <c r="G551" i="16" s="1"/>
  <c r="F509" i="16"/>
  <c r="F551" i="16" s="1"/>
  <c r="E509" i="16"/>
  <c r="E551" i="16" s="1"/>
  <c r="D509" i="16"/>
  <c r="D551" i="16" s="1"/>
  <c r="C509" i="16"/>
  <c r="C551" i="16" s="1"/>
  <c r="B509" i="16"/>
  <c r="B516" i="16" s="1"/>
  <c r="H508" i="16"/>
  <c r="H550" i="16" s="1"/>
  <c r="G508" i="16"/>
  <c r="G550" i="16" s="1"/>
  <c r="F508" i="16"/>
  <c r="F550" i="16" s="1"/>
  <c r="E508" i="16"/>
  <c r="E550" i="16" s="1"/>
  <c r="D508" i="16"/>
  <c r="D550" i="16" s="1"/>
  <c r="C508" i="16"/>
  <c r="C550" i="16" s="1"/>
  <c r="B508" i="16"/>
  <c r="B529" i="16" s="1"/>
  <c r="B550" i="16" s="1"/>
  <c r="H507" i="16"/>
  <c r="H549" i="16" s="1"/>
  <c r="G507" i="16"/>
  <c r="G549" i="16" s="1"/>
  <c r="F507" i="16"/>
  <c r="F549" i="16" s="1"/>
  <c r="E507" i="16"/>
  <c r="E549" i="16" s="1"/>
  <c r="D507" i="16"/>
  <c r="D549" i="16" s="1"/>
  <c r="C507" i="16"/>
  <c r="C549" i="16" s="1"/>
  <c r="B507" i="16"/>
  <c r="B528" i="16" s="1"/>
  <c r="B549" i="16" s="1"/>
  <c r="H506" i="16"/>
  <c r="H548" i="16" s="1"/>
  <c r="G506" i="16"/>
  <c r="G548" i="16" s="1"/>
  <c r="F506" i="16"/>
  <c r="F548" i="16" s="1"/>
  <c r="E506" i="16"/>
  <c r="E548" i="16" s="1"/>
  <c r="D506" i="16"/>
  <c r="D548" i="16" s="1"/>
  <c r="C506" i="16"/>
  <c r="C548" i="16" s="1"/>
  <c r="B506" i="16"/>
  <c r="B527" i="16" s="1"/>
  <c r="B548" i="16" s="1"/>
  <c r="H505" i="16"/>
  <c r="H547" i="16" s="1"/>
  <c r="G505" i="16"/>
  <c r="G547" i="16" s="1"/>
  <c r="F505" i="16"/>
  <c r="F547" i="16" s="1"/>
  <c r="E505" i="16"/>
  <c r="E547" i="16" s="1"/>
  <c r="D505" i="16"/>
  <c r="D547" i="16" s="1"/>
  <c r="C505" i="16"/>
  <c r="C547" i="16" s="1"/>
  <c r="B505" i="16"/>
  <c r="B526" i="16" s="1"/>
  <c r="B547" i="16" s="1"/>
  <c r="D504" i="16"/>
  <c r="D525" i="16" s="1"/>
  <c r="D546" i="16" s="1"/>
  <c r="E495" i="16"/>
  <c r="F494" i="16"/>
  <c r="E494" i="16"/>
  <c r="E493" i="16"/>
  <c r="F487" i="16"/>
  <c r="E487" i="16"/>
  <c r="F481" i="16"/>
  <c r="E481" i="16"/>
  <c r="F478" i="16"/>
  <c r="E478" i="16"/>
  <c r="F473" i="16"/>
  <c r="E473" i="16"/>
  <c r="D457" i="16"/>
  <c r="E457" i="16" s="1"/>
  <c r="F440" i="16"/>
  <c r="E439" i="16"/>
  <c r="C425" i="16"/>
  <c r="C395" i="16"/>
  <c r="C397" i="16" s="1"/>
  <c r="C401" i="16" s="1"/>
  <c r="C383" i="16"/>
  <c r="C382" i="16"/>
  <c r="D372" i="16"/>
  <c r="C362" i="16"/>
  <c r="C363" i="16" s="1"/>
  <c r="C364" i="16" s="1"/>
  <c r="E351" i="16"/>
  <c r="D351" i="16"/>
  <c r="C351" i="16"/>
  <c r="C341" i="16"/>
  <c r="C353" i="16" s="1"/>
  <c r="E333" i="16"/>
  <c r="D333" i="16"/>
  <c r="C333" i="16"/>
  <c r="D323" i="16"/>
  <c r="D341" i="16" s="1"/>
  <c r="D353" i="16" s="1"/>
  <c r="B312" i="16"/>
  <c r="D311" i="16"/>
  <c r="E311" i="16" s="1"/>
  <c r="C307" i="16"/>
  <c r="C306" i="16"/>
  <c r="D293" i="16"/>
  <c r="D291" i="16"/>
  <c r="B285" i="16"/>
  <c r="F284" i="16"/>
  <c r="E284" i="16"/>
  <c r="D284" i="16"/>
  <c r="C284" i="16"/>
  <c r="B284" i="16"/>
  <c r="F283" i="16"/>
  <c r="E283" i="16"/>
  <c r="D283" i="16"/>
  <c r="C283" i="16"/>
  <c r="B283" i="16"/>
  <c r="C282" i="16"/>
  <c r="F280" i="16"/>
  <c r="F285" i="16" s="1"/>
  <c r="E280" i="16"/>
  <c r="E285" i="16" s="1"/>
  <c r="D280" i="16"/>
  <c r="D285" i="16" s="1"/>
  <c r="C280" i="16"/>
  <c r="C285" i="16" s="1"/>
  <c r="D277" i="16"/>
  <c r="E277" i="16" s="1"/>
  <c r="H272" i="16"/>
  <c r="H271" i="16"/>
  <c r="H270" i="16"/>
  <c r="E268" i="16"/>
  <c r="F268" i="16" s="1"/>
  <c r="G268" i="16" s="1"/>
  <c r="H268" i="16" s="1"/>
  <c r="I268" i="16" s="1"/>
  <c r="J268" i="16" s="1"/>
  <c r="C268" i="16"/>
  <c r="J266" i="16"/>
  <c r="I266" i="16"/>
  <c r="H266" i="16"/>
  <c r="G266" i="16"/>
  <c r="F266" i="16"/>
  <c r="E266" i="16"/>
  <c r="D266" i="16"/>
  <c r="C266" i="16"/>
  <c r="J262" i="16"/>
  <c r="I262" i="16"/>
  <c r="H262" i="16"/>
  <c r="E256" i="16"/>
  <c r="F256" i="16" s="1"/>
  <c r="G256" i="16" s="1"/>
  <c r="H256" i="16" s="1"/>
  <c r="I256" i="16" s="1"/>
  <c r="J256" i="16" s="1"/>
  <c r="C256" i="16"/>
  <c r="I240" i="16"/>
  <c r="E239" i="16"/>
  <c r="F239" i="16" s="1"/>
  <c r="G239" i="16" s="1"/>
  <c r="H239" i="16" s="1"/>
  <c r="I239" i="16" s="1"/>
  <c r="J239" i="16" s="1"/>
  <c r="K239" i="16" s="1"/>
  <c r="L239" i="16" s="1"/>
  <c r="D221" i="16"/>
  <c r="E221" i="16" s="1"/>
  <c r="F221" i="16" s="1"/>
  <c r="G221" i="16" s="1"/>
  <c r="H221" i="16" s="1"/>
  <c r="B214" i="16"/>
  <c r="B213" i="16"/>
  <c r="B218" i="16" s="1"/>
  <c r="B212" i="16"/>
  <c r="B217" i="16" s="1"/>
  <c r="F209" i="16"/>
  <c r="E209" i="16"/>
  <c r="D209" i="16"/>
  <c r="C209" i="16"/>
  <c r="D206" i="16"/>
  <c r="E206" i="16" s="1"/>
  <c r="F206" i="16" s="1"/>
  <c r="E202" i="16"/>
  <c r="B202" i="16"/>
  <c r="D201" i="16"/>
  <c r="E201" i="16" s="1"/>
  <c r="F201" i="16" s="1"/>
  <c r="G201" i="16" s="1"/>
  <c r="H201" i="16" s="1"/>
  <c r="I201" i="16" s="1"/>
  <c r="E199" i="16"/>
  <c r="D199" i="16"/>
  <c r="C199" i="16"/>
  <c r="N198" i="16"/>
  <c r="M198" i="16"/>
  <c r="K198" i="16"/>
  <c r="J198" i="16"/>
  <c r="I198" i="16"/>
  <c r="H198" i="16"/>
  <c r="G198" i="16"/>
  <c r="F198" i="16"/>
  <c r="E198" i="16"/>
  <c r="D198" i="16"/>
  <c r="C198" i="16"/>
  <c r="M191" i="16"/>
  <c r="L191" i="16"/>
  <c r="K191" i="16"/>
  <c r="J191" i="16"/>
  <c r="I191" i="16"/>
  <c r="H191" i="16"/>
  <c r="N190" i="16"/>
  <c r="M190" i="16"/>
  <c r="L190" i="16"/>
  <c r="K190" i="16"/>
  <c r="J190" i="16"/>
  <c r="I190" i="16"/>
  <c r="H190" i="16"/>
  <c r="G190" i="16"/>
  <c r="F190" i="16"/>
  <c r="D188" i="16"/>
  <c r="E188" i="16" s="1"/>
  <c r="F188" i="16" s="1"/>
  <c r="D185" i="16"/>
  <c r="C185" i="16"/>
  <c r="C184" i="16"/>
  <c r="F177" i="16"/>
  <c r="E177" i="16"/>
  <c r="F176" i="16"/>
  <c r="E176" i="16"/>
  <c r="D176" i="16"/>
  <c r="F165" i="16"/>
  <c r="E165" i="16"/>
  <c r="K159" i="16"/>
  <c r="J159" i="16"/>
  <c r="I159" i="16"/>
  <c r="H159" i="16"/>
  <c r="G159" i="16"/>
  <c r="F159" i="16"/>
  <c r="E159" i="16"/>
  <c r="D159" i="16"/>
  <c r="K157" i="16"/>
  <c r="J157" i="16"/>
  <c r="I157" i="16"/>
  <c r="H157" i="16"/>
  <c r="G157" i="16"/>
  <c r="F157" i="16"/>
  <c r="E157" i="16"/>
  <c r="D157" i="16"/>
  <c r="K156" i="16"/>
  <c r="J156" i="16"/>
  <c r="I156" i="16"/>
  <c r="H156" i="16"/>
  <c r="G156" i="16"/>
  <c r="F156" i="16"/>
  <c r="E156" i="16"/>
  <c r="D156" i="16"/>
  <c r="B152" i="16"/>
  <c r="B159" i="16" s="1"/>
  <c r="B151" i="16"/>
  <c r="B158" i="16" s="1"/>
  <c r="C150" i="16"/>
  <c r="C153" i="16" s="1"/>
  <c r="B150" i="16"/>
  <c r="B157" i="16" s="1"/>
  <c r="B149" i="16"/>
  <c r="B156" i="16" s="1"/>
  <c r="B146" i="16"/>
  <c r="B145" i="16"/>
  <c r="B144" i="16"/>
  <c r="B143" i="16"/>
  <c r="S139" i="16"/>
  <c r="R139" i="16"/>
  <c r="Q139" i="16"/>
  <c r="P139" i="16"/>
  <c r="O139" i="16"/>
  <c r="N139" i="16"/>
  <c r="M139" i="16"/>
  <c r="S137" i="16"/>
  <c r="R137" i="16"/>
  <c r="Q137" i="16"/>
  <c r="P137" i="16"/>
  <c r="O137" i="16"/>
  <c r="N137" i="16"/>
  <c r="M137" i="16"/>
  <c r="S136" i="16"/>
  <c r="R136" i="16"/>
  <c r="Q136" i="16"/>
  <c r="P136" i="16"/>
  <c r="O136" i="16"/>
  <c r="N136" i="16"/>
  <c r="M136" i="16"/>
  <c r="D135" i="16"/>
  <c r="E135" i="16" s="1"/>
  <c r="F135" i="16" s="1"/>
  <c r="G135" i="16" s="1"/>
  <c r="H135" i="16" s="1"/>
  <c r="I135" i="16" s="1"/>
  <c r="J135" i="16" s="1"/>
  <c r="K135" i="16" s="1"/>
  <c r="D131" i="16"/>
  <c r="D132" i="16" s="1"/>
  <c r="C110" i="16" s="1"/>
  <c r="D130" i="16"/>
  <c r="D123" i="16"/>
  <c r="D121" i="16"/>
  <c r="C121" i="16"/>
  <c r="D118" i="16"/>
  <c r="C111" i="16"/>
  <c r="H79" i="16"/>
  <c r="H82" i="16" s="1"/>
  <c r="G79" i="16"/>
  <c r="G82" i="16" s="1"/>
  <c r="F79" i="16"/>
  <c r="F82" i="16" s="1"/>
  <c r="E79" i="16"/>
  <c r="D79" i="16"/>
  <c r="C79" i="16"/>
  <c r="W56" i="16"/>
  <c r="V56" i="16"/>
  <c r="U56" i="16"/>
  <c r="T56" i="16"/>
  <c r="S56" i="16"/>
  <c r="R56" i="16"/>
  <c r="Q56" i="16"/>
  <c r="P56" i="16"/>
  <c r="O56" i="16"/>
  <c r="N56" i="16"/>
  <c r="M56" i="16"/>
  <c r="L56" i="16"/>
  <c r="K56" i="16"/>
  <c r="J56" i="16"/>
  <c r="I56" i="16"/>
  <c r="H56" i="16"/>
  <c r="G56" i="16"/>
  <c r="F56" i="16"/>
  <c r="E56" i="16"/>
  <c r="I51" i="16"/>
  <c r="H51" i="16"/>
  <c r="G51" i="16"/>
  <c r="F51" i="16"/>
  <c r="D50" i="16"/>
  <c r="E51" i="16" s="1"/>
  <c r="D49" i="16"/>
  <c r="H48" i="16"/>
  <c r="I49" i="16" s="1"/>
  <c r="G48" i="16"/>
  <c r="F48" i="16"/>
  <c r="E48" i="16"/>
  <c r="E49" i="16" s="1"/>
  <c r="D47" i="16"/>
  <c r="E47" i="16" s="1"/>
  <c r="F47" i="16" s="1"/>
  <c r="G47" i="16" s="1"/>
  <c r="H47" i="16" s="1"/>
  <c r="I47" i="16" s="1"/>
  <c r="E37" i="16"/>
  <c r="D37" i="16"/>
  <c r="C37" i="16"/>
  <c r="B37" i="16"/>
  <c r="F36" i="16"/>
  <c r="G7" i="16"/>
  <c r="F7" i="16"/>
  <c r="L5" i="16"/>
  <c r="K5" i="16"/>
  <c r="I5" i="16"/>
  <c r="M4" i="16"/>
  <c r="I586" i="1"/>
  <c r="H586" i="1"/>
  <c r="G586" i="1"/>
  <c r="F586" i="1"/>
  <c r="E586" i="1"/>
  <c r="D586" i="1"/>
  <c r="I585" i="1"/>
  <c r="H585" i="1"/>
  <c r="G585" i="1"/>
  <c r="F585" i="1"/>
  <c r="I584" i="1"/>
  <c r="H584" i="1"/>
  <c r="G584" i="1"/>
  <c r="F584" i="1"/>
  <c r="I583" i="1"/>
  <c r="I582" i="1"/>
  <c r="H582" i="1"/>
  <c r="G582" i="1"/>
  <c r="F582" i="1"/>
  <c r="I581" i="1"/>
  <c r="H581" i="1"/>
  <c r="G581" i="1"/>
  <c r="F581" i="1"/>
  <c r="I580" i="1"/>
  <c r="H580" i="1"/>
  <c r="G580" i="1"/>
  <c r="F580" i="1"/>
  <c r="I579" i="1"/>
  <c r="H579" i="1"/>
  <c r="G579" i="1"/>
  <c r="F579" i="1"/>
  <c r="I578" i="1"/>
  <c r="H578" i="1"/>
  <c r="G578" i="1"/>
  <c r="F578" i="1"/>
  <c r="B576" i="1"/>
  <c r="AC565" i="1"/>
  <c r="AB565" i="1"/>
  <c r="AA565" i="1"/>
  <c r="Z565" i="1"/>
  <c r="Y565" i="1"/>
  <c r="X565" i="1"/>
  <c r="W565" i="1"/>
  <c r="V565" i="1"/>
  <c r="U565" i="1"/>
  <c r="T565" i="1"/>
  <c r="S565" i="1"/>
  <c r="R565" i="1"/>
  <c r="Q565" i="1"/>
  <c r="P565" i="1"/>
  <c r="O565" i="1"/>
  <c r="N565" i="1"/>
  <c r="M565" i="1"/>
  <c r="L565" i="1"/>
  <c r="K565" i="1"/>
  <c r="J565" i="1"/>
  <c r="I565" i="1"/>
  <c r="H565" i="1"/>
  <c r="G565" i="1"/>
  <c r="F565" i="1"/>
  <c r="AC554" i="1"/>
  <c r="AB554" i="1"/>
  <c r="AA554" i="1"/>
  <c r="Z554" i="1"/>
  <c r="Y554" i="1"/>
  <c r="X554" i="1"/>
  <c r="W554" i="1"/>
  <c r="V554" i="1"/>
  <c r="U554" i="1"/>
  <c r="T554" i="1"/>
  <c r="S554" i="1"/>
  <c r="R554" i="1"/>
  <c r="Q554" i="1"/>
  <c r="P554" i="1"/>
  <c r="O554" i="1"/>
  <c r="N554" i="1"/>
  <c r="M554" i="1"/>
  <c r="L554" i="1"/>
  <c r="K554" i="1"/>
  <c r="J554" i="1"/>
  <c r="I554" i="1"/>
  <c r="H554" i="1"/>
  <c r="E554" i="1"/>
  <c r="D554" i="1"/>
  <c r="B553" i="1"/>
  <c r="B564" i="1" s="1"/>
  <c r="B575" i="1" s="1"/>
  <c r="B585" i="1" s="1"/>
  <c r="B552" i="1"/>
  <c r="B563" i="1" s="1"/>
  <c r="B574" i="1" s="1"/>
  <c r="B584" i="1" s="1"/>
  <c r="G551" i="1"/>
  <c r="F551" i="1"/>
  <c r="B551" i="1"/>
  <c r="B583" i="1" s="1"/>
  <c r="G550" i="1"/>
  <c r="F550" i="1"/>
  <c r="B550" i="1"/>
  <c r="B582" i="1" s="1"/>
  <c r="G549" i="1"/>
  <c r="F549" i="1"/>
  <c r="B549" i="1"/>
  <c r="B581" i="1" s="1"/>
  <c r="G548" i="1"/>
  <c r="F548" i="1"/>
  <c r="B548" i="1"/>
  <c r="B580" i="1" s="1"/>
  <c r="G547" i="1"/>
  <c r="F547" i="1"/>
  <c r="B547" i="1"/>
  <c r="B558" i="1" s="1"/>
  <c r="B569" i="1" s="1"/>
  <c r="G546" i="1"/>
  <c r="F546" i="1"/>
  <c r="B546" i="1"/>
  <c r="I543" i="1"/>
  <c r="H543" i="1"/>
  <c r="G543" i="1"/>
  <c r="F543" i="1"/>
  <c r="E543" i="1"/>
  <c r="J542" i="1"/>
  <c r="J541" i="1"/>
  <c r="K541" i="1" s="1"/>
  <c r="L541" i="1" s="1"/>
  <c r="J540" i="1"/>
  <c r="J539" i="1"/>
  <c r="J582" i="1" s="1"/>
  <c r="J538" i="1"/>
  <c r="J537" i="1"/>
  <c r="J536" i="1"/>
  <c r="J579" i="1" s="1"/>
  <c r="J535" i="1"/>
  <c r="K535" i="1" s="1"/>
  <c r="Q533" i="1"/>
  <c r="P533" i="1"/>
  <c r="O533" i="1"/>
  <c r="N533" i="1"/>
  <c r="M533" i="1"/>
  <c r="L533" i="1"/>
  <c r="K533" i="1"/>
  <c r="J533" i="1"/>
  <c r="I533" i="1"/>
  <c r="H533" i="1"/>
  <c r="G533" i="1"/>
  <c r="F533" i="1"/>
  <c r="E533" i="1"/>
  <c r="D533" i="1"/>
  <c r="V34" i="1"/>
  <c r="G515" i="1"/>
  <c r="Q505" i="1"/>
  <c r="N505" i="1"/>
  <c r="J505" i="1"/>
  <c r="R503" i="1"/>
  <c r="R505" i="1" s="1"/>
  <c r="O503" i="1"/>
  <c r="O501" i="1" s="1"/>
  <c r="K503" i="1"/>
  <c r="K505" i="1" s="1"/>
  <c r="Q501" i="1"/>
  <c r="N501" i="1"/>
  <c r="J501" i="1"/>
  <c r="Q500" i="1"/>
  <c r="N500" i="1"/>
  <c r="J500" i="1"/>
  <c r="Q499" i="1"/>
  <c r="N499" i="1"/>
  <c r="J499" i="1"/>
  <c r="Q498" i="1"/>
  <c r="N498" i="1"/>
  <c r="J498" i="1"/>
  <c r="Q494" i="1"/>
  <c r="N494" i="1"/>
  <c r="M494" i="1"/>
  <c r="L494" i="1"/>
  <c r="K494" i="1"/>
  <c r="J494" i="1"/>
  <c r="I492" i="1"/>
  <c r="I509" i="1" s="1"/>
  <c r="H492" i="1"/>
  <c r="G492" i="1"/>
  <c r="F492" i="1"/>
  <c r="F520" i="1" s="1"/>
  <c r="E492" i="1"/>
  <c r="E520" i="1" s="1"/>
  <c r="F490" i="1"/>
  <c r="E490" i="1"/>
  <c r="Q487" i="1"/>
  <c r="Q492" i="1" s="1"/>
  <c r="Q509" i="1" s="1"/>
  <c r="N487" i="1"/>
  <c r="M487" i="1"/>
  <c r="L487" i="1"/>
  <c r="L492" i="1" s="1"/>
  <c r="L509" i="1" s="1"/>
  <c r="K487" i="1"/>
  <c r="K492" i="1" s="1"/>
  <c r="K509" i="1" s="1"/>
  <c r="J487" i="1"/>
  <c r="J492" i="1" s="1"/>
  <c r="J509" i="1" s="1"/>
  <c r="Q482" i="1"/>
  <c r="N482" i="1"/>
  <c r="J482" i="1"/>
  <c r="Q481" i="1"/>
  <c r="N481" i="1"/>
  <c r="J481" i="1"/>
  <c r="R480" i="1"/>
  <c r="O480" i="1"/>
  <c r="P480" i="1" s="1"/>
  <c r="K480" i="1"/>
  <c r="N479" i="1"/>
  <c r="M479" i="1"/>
  <c r="L479" i="1"/>
  <c r="K479" i="1"/>
  <c r="J479" i="1"/>
  <c r="N478" i="1"/>
  <c r="M478" i="1"/>
  <c r="L478" i="1"/>
  <c r="K478" i="1"/>
  <c r="J478" i="1"/>
  <c r="R477" i="1"/>
  <c r="O477" i="1"/>
  <c r="Q475" i="1"/>
  <c r="N475" i="1"/>
  <c r="J475" i="1"/>
  <c r="Q474" i="1"/>
  <c r="N474" i="1"/>
  <c r="J474" i="1"/>
  <c r="R473" i="1"/>
  <c r="O473" i="1"/>
  <c r="K473" i="1"/>
  <c r="N472" i="1"/>
  <c r="M472" i="1"/>
  <c r="L472" i="1"/>
  <c r="K472" i="1"/>
  <c r="J472" i="1"/>
  <c r="N471" i="1"/>
  <c r="M471" i="1"/>
  <c r="L471" i="1"/>
  <c r="K471" i="1"/>
  <c r="J471" i="1"/>
  <c r="R470" i="1"/>
  <c r="O470" i="1"/>
  <c r="Q468" i="1"/>
  <c r="N468" i="1"/>
  <c r="J468" i="1"/>
  <c r="Q467" i="1"/>
  <c r="N467" i="1"/>
  <c r="J467" i="1"/>
  <c r="R466" i="1"/>
  <c r="O466" i="1"/>
  <c r="P466" i="1" s="1"/>
  <c r="K466" i="1"/>
  <c r="K467" i="1" s="1"/>
  <c r="N465" i="1"/>
  <c r="M465" i="1"/>
  <c r="L465" i="1"/>
  <c r="K465" i="1"/>
  <c r="J465" i="1"/>
  <c r="N464" i="1"/>
  <c r="M464" i="1"/>
  <c r="L464" i="1"/>
  <c r="K464" i="1"/>
  <c r="J464" i="1"/>
  <c r="R463" i="1"/>
  <c r="O463" i="1"/>
  <c r="Q461" i="1"/>
  <c r="N461" i="1"/>
  <c r="J461" i="1"/>
  <c r="Q460" i="1"/>
  <c r="N460" i="1"/>
  <c r="J460" i="1"/>
  <c r="R459" i="1"/>
  <c r="O459" i="1"/>
  <c r="P459" i="1" s="1"/>
  <c r="K459" i="1"/>
  <c r="K460" i="1" s="1"/>
  <c r="N458" i="1"/>
  <c r="M458" i="1"/>
  <c r="L458" i="1"/>
  <c r="K458" i="1"/>
  <c r="J458" i="1"/>
  <c r="N457" i="1"/>
  <c r="M457" i="1"/>
  <c r="L457" i="1"/>
  <c r="K457" i="1"/>
  <c r="R456" i="1"/>
  <c r="O456" i="1"/>
  <c r="M449" i="1"/>
  <c r="G449" i="1"/>
  <c r="F449" i="1"/>
  <c r="E449" i="1"/>
  <c r="D449" i="1"/>
  <c r="D444" i="1"/>
  <c r="E444" i="1" s="1"/>
  <c r="F444" i="1" s="1"/>
  <c r="G444" i="1" s="1"/>
  <c r="H444" i="1" s="1"/>
  <c r="I444" i="1" s="1"/>
  <c r="J444" i="1" s="1"/>
  <c r="K444" i="1" s="1"/>
  <c r="L444" i="1" s="1"/>
  <c r="M444" i="1" s="1"/>
  <c r="N444" i="1" s="1"/>
  <c r="O444" i="1" s="1"/>
  <c r="P444" i="1" s="1"/>
  <c r="Q444" i="1" s="1"/>
  <c r="R444" i="1" s="1"/>
  <c r="S444" i="1" s="1"/>
  <c r="T444" i="1" s="1"/>
  <c r="U444" i="1" s="1"/>
  <c r="V444" i="1" s="1"/>
  <c r="W444" i="1" s="1"/>
  <c r="X444" i="1" s="1"/>
  <c r="Y444" i="1" s="1"/>
  <c r="Z444" i="1" s="1"/>
  <c r="AA444" i="1" s="1"/>
  <c r="AB444" i="1" s="1"/>
  <c r="AC444" i="1" s="1"/>
  <c r="AC440" i="1"/>
  <c r="AC174" i="1" s="1"/>
  <c r="AI114" i="18" s="1"/>
  <c r="AB440" i="1"/>
  <c r="AB174" i="1" s="1"/>
  <c r="AH114" i="18" s="1"/>
  <c r="AA440" i="1"/>
  <c r="AA174" i="1" s="1"/>
  <c r="AG114" i="18" s="1"/>
  <c r="Z440" i="1"/>
  <c r="Z174" i="1" s="1"/>
  <c r="AF114" i="18" s="1"/>
  <c r="Y440" i="1"/>
  <c r="Y174" i="1" s="1"/>
  <c r="AE114" i="18" s="1"/>
  <c r="X440" i="1"/>
  <c r="X174" i="1" s="1"/>
  <c r="AD114" i="18" s="1"/>
  <c r="W440" i="1"/>
  <c r="W174" i="1" s="1"/>
  <c r="BW155" i="5" s="1"/>
  <c r="V440" i="1"/>
  <c r="V174" i="1" s="1"/>
  <c r="T440" i="1"/>
  <c r="T174" i="1" s="1"/>
  <c r="Z114" i="18" s="1"/>
  <c r="S440" i="1"/>
  <c r="S174" i="1" s="1"/>
  <c r="Y114" i="18" s="1"/>
  <c r="R440" i="1"/>
  <c r="R174" i="1" s="1"/>
  <c r="X114" i="18" s="1"/>
  <c r="P440" i="1"/>
  <c r="P174" i="1" s="1"/>
  <c r="V114" i="18" s="1"/>
  <c r="K440" i="1"/>
  <c r="K174" i="1" s="1"/>
  <c r="Q114" i="18" s="1"/>
  <c r="J440" i="1"/>
  <c r="J174" i="1" s="1"/>
  <c r="P114" i="18" s="1"/>
  <c r="I440" i="1"/>
  <c r="I174" i="1" s="1"/>
  <c r="O114" i="18" s="1"/>
  <c r="H440" i="1"/>
  <c r="H174" i="1" s="1"/>
  <c r="N114" i="18" s="1"/>
  <c r="G440" i="1"/>
  <c r="F440" i="1"/>
  <c r="E440" i="1"/>
  <c r="D440" i="1"/>
  <c r="U439" i="1"/>
  <c r="U440" i="1" s="1"/>
  <c r="U174" i="1" s="1"/>
  <c r="Q436" i="1"/>
  <c r="Q440" i="1" s="1"/>
  <c r="Q174" i="1" s="1"/>
  <c r="N434" i="1"/>
  <c r="L432" i="1"/>
  <c r="L440" i="1" s="1"/>
  <c r="L174" i="1" s="1"/>
  <c r="R114" i="18" s="1"/>
  <c r="O431" i="1"/>
  <c r="O440" i="1" s="1"/>
  <c r="O174" i="1" s="1"/>
  <c r="U114" i="18" s="1"/>
  <c r="N431" i="1"/>
  <c r="M431" i="1"/>
  <c r="M440" i="1" s="1"/>
  <c r="M174" i="1" s="1"/>
  <c r="S114" i="18" s="1"/>
  <c r="D425" i="1"/>
  <c r="E425" i="1" s="1"/>
  <c r="F425" i="1" s="1"/>
  <c r="G425" i="1" s="1"/>
  <c r="H425" i="1" s="1"/>
  <c r="I425" i="1" s="1"/>
  <c r="J425" i="1" s="1"/>
  <c r="K425" i="1" s="1"/>
  <c r="L425" i="1" s="1"/>
  <c r="M425" i="1" s="1"/>
  <c r="N425" i="1" s="1"/>
  <c r="O425" i="1" s="1"/>
  <c r="P425" i="1" s="1"/>
  <c r="Q425" i="1" s="1"/>
  <c r="R425" i="1" s="1"/>
  <c r="S425" i="1" s="1"/>
  <c r="T425" i="1" s="1"/>
  <c r="U425" i="1" s="1"/>
  <c r="V425" i="1" s="1"/>
  <c r="W425" i="1" s="1"/>
  <c r="X425" i="1" s="1"/>
  <c r="Y425" i="1" s="1"/>
  <c r="Z425" i="1" s="1"/>
  <c r="AA425" i="1" s="1"/>
  <c r="AB425" i="1" s="1"/>
  <c r="AC425" i="1" s="1"/>
  <c r="D418" i="1"/>
  <c r="E418" i="1" s="1"/>
  <c r="F418" i="1" s="1"/>
  <c r="G418" i="1" s="1"/>
  <c r="H418" i="1" s="1"/>
  <c r="I418" i="1" s="1"/>
  <c r="J418" i="1" s="1"/>
  <c r="K418" i="1" s="1"/>
  <c r="L418" i="1" s="1"/>
  <c r="M418" i="1" s="1"/>
  <c r="N418" i="1" s="1"/>
  <c r="O418" i="1" s="1"/>
  <c r="P418" i="1" s="1"/>
  <c r="Q418" i="1" s="1"/>
  <c r="R418" i="1" s="1"/>
  <c r="S418" i="1" s="1"/>
  <c r="T418" i="1" s="1"/>
  <c r="U418" i="1" s="1"/>
  <c r="V418" i="1" s="1"/>
  <c r="W418" i="1" s="1"/>
  <c r="X418" i="1" s="1"/>
  <c r="Y418" i="1" s="1"/>
  <c r="Z418" i="1" s="1"/>
  <c r="AA418" i="1" s="1"/>
  <c r="AB418" i="1" s="1"/>
  <c r="AC418" i="1" s="1"/>
  <c r="S413" i="1"/>
  <c r="S169" i="1" s="1"/>
  <c r="BC153" i="5" s="1"/>
  <c r="R413" i="1"/>
  <c r="R169" i="1" s="1"/>
  <c r="T412" i="1"/>
  <c r="U412" i="1" s="1"/>
  <c r="G409" i="1"/>
  <c r="F409" i="1"/>
  <c r="E409" i="1"/>
  <c r="D409" i="1"/>
  <c r="D407" i="1"/>
  <c r="E407" i="1" s="1"/>
  <c r="F407" i="1" s="1"/>
  <c r="G407" i="1" s="1"/>
  <c r="H407" i="1" s="1"/>
  <c r="I407" i="1" s="1"/>
  <c r="J407" i="1" s="1"/>
  <c r="K407" i="1" s="1"/>
  <c r="L407" i="1" s="1"/>
  <c r="M407" i="1" s="1"/>
  <c r="N407" i="1" s="1"/>
  <c r="O407" i="1" s="1"/>
  <c r="P407" i="1" s="1"/>
  <c r="Q407" i="1" s="1"/>
  <c r="R407" i="1" s="1"/>
  <c r="S407" i="1" s="1"/>
  <c r="T407" i="1" s="1"/>
  <c r="U407" i="1" s="1"/>
  <c r="V407" i="1" s="1"/>
  <c r="W407" i="1" s="1"/>
  <c r="X407" i="1" s="1"/>
  <c r="Y407" i="1" s="1"/>
  <c r="Z407" i="1" s="1"/>
  <c r="AA407" i="1" s="1"/>
  <c r="AB407" i="1" s="1"/>
  <c r="AC407" i="1" s="1"/>
  <c r="T410" i="1"/>
  <c r="J392" i="1"/>
  <c r="K392" i="1" s="1"/>
  <c r="L392" i="1" s="1"/>
  <c r="M392" i="1" s="1"/>
  <c r="N392" i="1" s="1"/>
  <c r="O392" i="1" s="1"/>
  <c r="P392" i="1" s="1"/>
  <c r="Q392" i="1" s="1"/>
  <c r="T389" i="1"/>
  <c r="S389" i="1"/>
  <c r="R389" i="1"/>
  <c r="Q389" i="1"/>
  <c r="P389" i="1"/>
  <c r="O389" i="1"/>
  <c r="N389" i="1"/>
  <c r="M389" i="1"/>
  <c r="L389" i="1"/>
  <c r="K389" i="1"/>
  <c r="J389" i="1"/>
  <c r="I389" i="1"/>
  <c r="H389" i="1"/>
  <c r="G389" i="1"/>
  <c r="G451" i="1" s="1"/>
  <c r="F389" i="1"/>
  <c r="F451" i="1" s="1"/>
  <c r="E389" i="1"/>
  <c r="E451" i="1" s="1"/>
  <c r="D389" i="1"/>
  <c r="D451" i="1" s="1"/>
  <c r="D386" i="1"/>
  <c r="E386" i="1" s="1"/>
  <c r="F386" i="1" s="1"/>
  <c r="G386" i="1" s="1"/>
  <c r="H386" i="1" s="1"/>
  <c r="I386" i="1" s="1"/>
  <c r="J386" i="1" s="1"/>
  <c r="K386" i="1" s="1"/>
  <c r="L386" i="1" s="1"/>
  <c r="M386" i="1" s="1"/>
  <c r="N386" i="1" s="1"/>
  <c r="O386" i="1" s="1"/>
  <c r="P386" i="1" s="1"/>
  <c r="Q386" i="1" s="1"/>
  <c r="R386" i="1" s="1"/>
  <c r="S386" i="1" s="1"/>
  <c r="T386" i="1" s="1"/>
  <c r="U386" i="1" s="1"/>
  <c r="V386" i="1" s="1"/>
  <c r="W386" i="1" s="1"/>
  <c r="X386" i="1" s="1"/>
  <c r="Y386" i="1" s="1"/>
  <c r="Z386" i="1" s="1"/>
  <c r="AA386" i="1" s="1"/>
  <c r="AB386" i="1" s="1"/>
  <c r="AC386" i="1" s="1"/>
  <c r="T378" i="1"/>
  <c r="T449" i="1" s="1"/>
  <c r="S378" i="1"/>
  <c r="S449" i="1" s="1"/>
  <c r="R378" i="1"/>
  <c r="R449" i="1" s="1"/>
  <c r="Q378" i="1"/>
  <c r="Q449" i="1" s="1"/>
  <c r="P378" i="1"/>
  <c r="P449" i="1" s="1"/>
  <c r="O378" i="1"/>
  <c r="O449" i="1" s="1"/>
  <c r="N378" i="1"/>
  <c r="N449" i="1" s="1"/>
  <c r="L378" i="1"/>
  <c r="L449" i="1" s="1"/>
  <c r="K378" i="1"/>
  <c r="K449" i="1" s="1"/>
  <c r="J378" i="1"/>
  <c r="J449" i="1" s="1"/>
  <c r="I378" i="1"/>
  <c r="I449" i="1" s="1"/>
  <c r="H378" i="1"/>
  <c r="H449" i="1" s="1"/>
  <c r="M377" i="1"/>
  <c r="M376" i="1" s="1"/>
  <c r="M23" i="1" s="1"/>
  <c r="Z70" i="5" s="1"/>
  <c r="L357" i="1"/>
  <c r="D355" i="1"/>
  <c r="E355" i="1" s="1"/>
  <c r="F355" i="1" s="1"/>
  <c r="G355" i="1" s="1"/>
  <c r="H355" i="1" s="1"/>
  <c r="I355" i="1" s="1"/>
  <c r="J355" i="1" s="1"/>
  <c r="K355" i="1" s="1"/>
  <c r="L355" i="1" s="1"/>
  <c r="M355" i="1" s="1"/>
  <c r="N355" i="1" s="1"/>
  <c r="O355" i="1" s="1"/>
  <c r="P355" i="1" s="1"/>
  <c r="Q355" i="1" s="1"/>
  <c r="R355" i="1" s="1"/>
  <c r="S355" i="1" s="1"/>
  <c r="T355" i="1" s="1"/>
  <c r="U355" i="1" s="1"/>
  <c r="V355" i="1" s="1"/>
  <c r="W355" i="1" s="1"/>
  <c r="X355" i="1" s="1"/>
  <c r="Y355" i="1" s="1"/>
  <c r="Z355" i="1" s="1"/>
  <c r="AA355" i="1" s="1"/>
  <c r="AB355" i="1" s="1"/>
  <c r="AC355" i="1" s="1"/>
  <c r="AC343" i="1"/>
  <c r="AB343" i="1"/>
  <c r="AA343" i="1"/>
  <c r="Z343" i="1"/>
  <c r="Y343" i="1"/>
  <c r="X343" i="1"/>
  <c r="W343" i="1"/>
  <c r="V343" i="1"/>
  <c r="U343" i="1"/>
  <c r="T343" i="1"/>
  <c r="S343" i="1"/>
  <c r="R343" i="1"/>
  <c r="Q343" i="1"/>
  <c r="P343" i="1"/>
  <c r="O343" i="1"/>
  <c r="N343" i="1"/>
  <c r="M343" i="1"/>
  <c r="L343" i="1"/>
  <c r="K343" i="1"/>
  <c r="J343" i="1"/>
  <c r="I343" i="1"/>
  <c r="H343" i="1"/>
  <c r="G343" i="1"/>
  <c r="F343" i="1"/>
  <c r="E343" i="1"/>
  <c r="D343" i="1"/>
  <c r="AC339" i="1"/>
  <c r="AB339" i="1"/>
  <c r="AA339" i="1"/>
  <c r="Z339" i="1"/>
  <c r="Y339" i="1"/>
  <c r="X339" i="1"/>
  <c r="W339" i="1"/>
  <c r="V339" i="1"/>
  <c r="U339" i="1"/>
  <c r="T339" i="1"/>
  <c r="S339" i="1"/>
  <c r="R339" i="1"/>
  <c r="Q339" i="1"/>
  <c r="P339" i="1"/>
  <c r="O339" i="1"/>
  <c r="N339" i="1"/>
  <c r="M339" i="1"/>
  <c r="L339" i="1"/>
  <c r="K339" i="1"/>
  <c r="J339" i="1"/>
  <c r="I339" i="1"/>
  <c r="H339" i="1"/>
  <c r="G339" i="1"/>
  <c r="F339" i="1"/>
  <c r="E339" i="1"/>
  <c r="R333" i="1"/>
  <c r="R450" i="1" s="1"/>
  <c r="Q333" i="1"/>
  <c r="Q450" i="1" s="1"/>
  <c r="P333" i="1"/>
  <c r="P450" i="1" s="1"/>
  <c r="O333" i="1"/>
  <c r="O450" i="1" s="1"/>
  <c r="N333" i="1"/>
  <c r="N450" i="1" s="1"/>
  <c r="M333" i="1"/>
  <c r="M450" i="1" s="1"/>
  <c r="L333" i="1"/>
  <c r="L450" i="1" s="1"/>
  <c r="K333" i="1"/>
  <c r="K450" i="1" s="1"/>
  <c r="J333" i="1"/>
  <c r="J450" i="1" s="1"/>
  <c r="I333" i="1"/>
  <c r="I450" i="1" s="1"/>
  <c r="H333" i="1"/>
  <c r="H450" i="1" s="1"/>
  <c r="J330" i="1"/>
  <c r="T323" i="1"/>
  <c r="R323" i="1"/>
  <c r="Q323" i="1"/>
  <c r="P323" i="1"/>
  <c r="O323" i="1"/>
  <c r="M323" i="1"/>
  <c r="L323" i="1"/>
  <c r="K323" i="1"/>
  <c r="J323" i="1"/>
  <c r="I323" i="1"/>
  <c r="H323" i="1"/>
  <c r="G323" i="1"/>
  <c r="F323" i="1"/>
  <c r="E323" i="1"/>
  <c r="D323" i="1"/>
  <c r="S322" i="1"/>
  <c r="S323" i="1" s="1"/>
  <c r="D320" i="1"/>
  <c r="E320" i="1" s="1"/>
  <c r="F320" i="1" s="1"/>
  <c r="G320" i="1" s="1"/>
  <c r="H320" i="1" s="1"/>
  <c r="I320" i="1" s="1"/>
  <c r="J320" i="1" s="1"/>
  <c r="K320" i="1" s="1"/>
  <c r="L320" i="1" s="1"/>
  <c r="M320" i="1" s="1"/>
  <c r="N320" i="1" s="1"/>
  <c r="O320" i="1" s="1"/>
  <c r="P320" i="1" s="1"/>
  <c r="Q320" i="1" s="1"/>
  <c r="R320" i="1" s="1"/>
  <c r="S320" i="1" s="1"/>
  <c r="T320" i="1" s="1"/>
  <c r="U320" i="1" s="1"/>
  <c r="V320" i="1" s="1"/>
  <c r="W320" i="1" s="1"/>
  <c r="X320" i="1" s="1"/>
  <c r="Y320" i="1" s="1"/>
  <c r="Z320" i="1" s="1"/>
  <c r="AA320" i="1" s="1"/>
  <c r="AB320" i="1" s="1"/>
  <c r="AC320" i="1" s="1"/>
  <c r="S306" i="1"/>
  <c r="R306" i="1"/>
  <c r="Q306" i="1"/>
  <c r="P306" i="1"/>
  <c r="O306" i="1"/>
  <c r="N306" i="1"/>
  <c r="M306" i="1"/>
  <c r="L306" i="1"/>
  <c r="K306" i="1"/>
  <c r="J306" i="1"/>
  <c r="I306" i="1"/>
  <c r="H306" i="1"/>
  <c r="G306" i="1"/>
  <c r="F306" i="1"/>
  <c r="E306" i="1"/>
  <c r="D306" i="1"/>
  <c r="D305" i="1"/>
  <c r="E305" i="1" s="1"/>
  <c r="F305" i="1" s="1"/>
  <c r="G305" i="1" s="1"/>
  <c r="H305" i="1" s="1"/>
  <c r="I305" i="1" s="1"/>
  <c r="J305" i="1" s="1"/>
  <c r="K305" i="1" s="1"/>
  <c r="L305" i="1" s="1"/>
  <c r="M305" i="1" s="1"/>
  <c r="N305" i="1" s="1"/>
  <c r="O305" i="1" s="1"/>
  <c r="P305" i="1" s="1"/>
  <c r="Q305" i="1" s="1"/>
  <c r="R305" i="1" s="1"/>
  <c r="S305" i="1" s="1"/>
  <c r="T305" i="1" s="1"/>
  <c r="U305" i="1" s="1"/>
  <c r="V305" i="1" s="1"/>
  <c r="W305" i="1" s="1"/>
  <c r="X305" i="1" s="1"/>
  <c r="Y305" i="1" s="1"/>
  <c r="Z305" i="1" s="1"/>
  <c r="AA305" i="1" s="1"/>
  <c r="AB305" i="1" s="1"/>
  <c r="AC305" i="1" s="1"/>
  <c r="AD301" i="1"/>
  <c r="H299" i="1"/>
  <c r="G299" i="1"/>
  <c r="F299" i="1"/>
  <c r="E299" i="1"/>
  <c r="D299" i="1"/>
  <c r="T296" i="1"/>
  <c r="S296" i="1"/>
  <c r="R296" i="1"/>
  <c r="Q296" i="1"/>
  <c r="P296" i="1"/>
  <c r="O296" i="1"/>
  <c r="N296" i="1"/>
  <c r="M296" i="1"/>
  <c r="L296" i="1"/>
  <c r="K296" i="1"/>
  <c r="J296" i="1"/>
  <c r="I296" i="1"/>
  <c r="H296" i="1"/>
  <c r="G296" i="1"/>
  <c r="F296" i="1"/>
  <c r="E296" i="1"/>
  <c r="D296" i="1"/>
  <c r="H292" i="1"/>
  <c r="G292" i="1"/>
  <c r="F292" i="1"/>
  <c r="E292" i="1"/>
  <c r="D292" i="1"/>
  <c r="Q289" i="1"/>
  <c r="P289" i="1"/>
  <c r="O289" i="1"/>
  <c r="N289" i="1"/>
  <c r="M289" i="1"/>
  <c r="L289" i="1"/>
  <c r="K289" i="1"/>
  <c r="J289" i="1"/>
  <c r="I289" i="1"/>
  <c r="H289" i="1"/>
  <c r="G289" i="1"/>
  <c r="F289" i="1"/>
  <c r="E289" i="1"/>
  <c r="D289" i="1"/>
  <c r="T287" i="1"/>
  <c r="T132" i="1" s="1"/>
  <c r="S287" i="1"/>
  <c r="S132" i="1" s="1"/>
  <c r="R287" i="1"/>
  <c r="R132" i="1" s="1"/>
  <c r="T286" i="1"/>
  <c r="S286" i="1"/>
  <c r="R286" i="1"/>
  <c r="Q286" i="1"/>
  <c r="P286" i="1"/>
  <c r="O286" i="1"/>
  <c r="N286" i="1"/>
  <c r="M286" i="1"/>
  <c r="L286" i="1"/>
  <c r="K286" i="1"/>
  <c r="J286" i="1"/>
  <c r="I286" i="1"/>
  <c r="H286" i="1"/>
  <c r="G286" i="1"/>
  <c r="F286" i="1"/>
  <c r="E286" i="1"/>
  <c r="D286" i="1"/>
  <c r="D283" i="1"/>
  <c r="E283" i="1" s="1"/>
  <c r="F283" i="1" s="1"/>
  <c r="G283" i="1" s="1"/>
  <c r="H283" i="1" s="1"/>
  <c r="I283" i="1" s="1"/>
  <c r="J283" i="1" s="1"/>
  <c r="K283" i="1" s="1"/>
  <c r="L283" i="1" s="1"/>
  <c r="M283" i="1" s="1"/>
  <c r="N283" i="1" s="1"/>
  <c r="O283" i="1" s="1"/>
  <c r="P283" i="1" s="1"/>
  <c r="Q283" i="1" s="1"/>
  <c r="R283" i="1" s="1"/>
  <c r="S283" i="1" s="1"/>
  <c r="T283" i="1" s="1"/>
  <c r="U283" i="1" s="1"/>
  <c r="V283" i="1" s="1"/>
  <c r="W283" i="1" s="1"/>
  <c r="X283" i="1" s="1"/>
  <c r="Y283" i="1" s="1"/>
  <c r="Z283" i="1" s="1"/>
  <c r="AA283" i="1" s="1"/>
  <c r="AB283" i="1" s="1"/>
  <c r="AC283" i="1" s="1"/>
  <c r="H277" i="1"/>
  <c r="H138" i="1" s="1"/>
  <c r="G277" i="1"/>
  <c r="G138" i="1" s="1"/>
  <c r="F277" i="1"/>
  <c r="F138" i="1" s="1"/>
  <c r="E277" i="1"/>
  <c r="E138" i="1" s="1"/>
  <c r="D277" i="1"/>
  <c r="D138" i="1" s="1"/>
  <c r="Q275" i="1"/>
  <c r="Q130" i="1" s="1"/>
  <c r="P275" i="1"/>
  <c r="P257" i="1" s="1"/>
  <c r="O275" i="1"/>
  <c r="M275" i="1"/>
  <c r="L275" i="1"/>
  <c r="K275" i="1"/>
  <c r="K130" i="1" s="1"/>
  <c r="J275" i="1"/>
  <c r="I275" i="1"/>
  <c r="I130" i="1" s="1"/>
  <c r="H275" i="1"/>
  <c r="H130" i="1" s="1"/>
  <c r="S266" i="1"/>
  <c r="T266" i="1" s="1"/>
  <c r="T262" i="1"/>
  <c r="S262" i="1"/>
  <c r="R262" i="1"/>
  <c r="R275" i="1" s="1"/>
  <c r="Q262" i="1"/>
  <c r="Q147" i="1" s="1"/>
  <c r="P262" i="1"/>
  <c r="P256" i="1" s="1"/>
  <c r="N262" i="1"/>
  <c r="N147" i="1" s="1"/>
  <c r="O261" i="1"/>
  <c r="O144" i="1" s="1"/>
  <c r="G257" i="1"/>
  <c r="F257" i="1"/>
  <c r="E257" i="1"/>
  <c r="D257" i="1"/>
  <c r="M256" i="1"/>
  <c r="L256" i="1"/>
  <c r="K256" i="1"/>
  <c r="J256" i="1"/>
  <c r="I256" i="1"/>
  <c r="H256" i="1"/>
  <c r="G256" i="1"/>
  <c r="F256" i="1"/>
  <c r="E256" i="1"/>
  <c r="D256" i="1"/>
  <c r="G243" i="1"/>
  <c r="F243" i="1"/>
  <c r="E243" i="1"/>
  <c r="D243" i="1"/>
  <c r="D244" i="1" s="1"/>
  <c r="T238" i="1"/>
  <c r="S238" i="1"/>
  <c r="R238" i="1"/>
  <c r="Q238" i="1"/>
  <c r="Q328" i="1" s="1"/>
  <c r="P238" i="1"/>
  <c r="O238" i="1"/>
  <c r="N238" i="1"/>
  <c r="M238" i="1"/>
  <c r="L238" i="1"/>
  <c r="K238" i="1"/>
  <c r="J238" i="1"/>
  <c r="J236" i="1" s="1"/>
  <c r="J163" i="1" s="1"/>
  <c r="P110" i="18" s="1"/>
  <c r="I238" i="1"/>
  <c r="I448" i="1" s="1"/>
  <c r="H238" i="1"/>
  <c r="BI67" i="5"/>
  <c r="Q237" i="1"/>
  <c r="AT67" i="5" s="1"/>
  <c r="O237" i="1"/>
  <c r="AJ67" i="5" s="1"/>
  <c r="N237" i="1"/>
  <c r="AE67" i="5" s="1"/>
  <c r="K237" i="1"/>
  <c r="P67" i="5" s="1"/>
  <c r="G237" i="1"/>
  <c r="F237" i="1"/>
  <c r="E237" i="1"/>
  <c r="D237" i="1"/>
  <c r="G236" i="1"/>
  <c r="G20" i="1" s="1"/>
  <c r="F236" i="1"/>
  <c r="F20" i="1" s="1"/>
  <c r="E236" i="1"/>
  <c r="E20" i="1" s="1"/>
  <c r="D236" i="1"/>
  <c r="D235" i="1"/>
  <c r="E235" i="1" s="1"/>
  <c r="F235" i="1" s="1"/>
  <c r="G235" i="1" s="1"/>
  <c r="H235" i="1" s="1"/>
  <c r="I235" i="1" s="1"/>
  <c r="J235" i="1" s="1"/>
  <c r="K235" i="1" s="1"/>
  <c r="L235" i="1" s="1"/>
  <c r="M235" i="1" s="1"/>
  <c r="N235" i="1" s="1"/>
  <c r="O235" i="1" s="1"/>
  <c r="P235" i="1" s="1"/>
  <c r="Q235" i="1" s="1"/>
  <c r="R235" i="1" s="1"/>
  <c r="S235" i="1" s="1"/>
  <c r="T235" i="1" s="1"/>
  <c r="U235" i="1" s="1"/>
  <c r="V235" i="1" s="1"/>
  <c r="W235" i="1" s="1"/>
  <c r="X235" i="1" s="1"/>
  <c r="Y235" i="1" s="1"/>
  <c r="Z235" i="1" s="1"/>
  <c r="AA235" i="1" s="1"/>
  <c r="AB235" i="1" s="1"/>
  <c r="AC235" i="1" s="1"/>
  <c r="T230" i="1"/>
  <c r="S230" i="1"/>
  <c r="R230" i="1"/>
  <c r="Q230" i="1"/>
  <c r="P230" i="1"/>
  <c r="O230" i="1"/>
  <c r="N230" i="1"/>
  <c r="M230" i="1"/>
  <c r="L230" i="1"/>
  <c r="K230" i="1"/>
  <c r="J230" i="1"/>
  <c r="I230" i="1"/>
  <c r="H230" i="1"/>
  <c r="G230" i="1"/>
  <c r="F230" i="1"/>
  <c r="E230" i="1"/>
  <c r="D230" i="1"/>
  <c r="C230" i="1"/>
  <c r="T229" i="1"/>
  <c r="S229" i="1"/>
  <c r="R229" i="1"/>
  <c r="Q229" i="1"/>
  <c r="P229" i="1"/>
  <c r="O229" i="1"/>
  <c r="N229" i="1"/>
  <c r="M229" i="1"/>
  <c r="L229" i="1"/>
  <c r="K229" i="1"/>
  <c r="J229" i="1"/>
  <c r="I229" i="1"/>
  <c r="H229" i="1"/>
  <c r="G229" i="1"/>
  <c r="F229" i="1"/>
  <c r="E229" i="1"/>
  <c r="D229" i="1"/>
  <c r="C229" i="1"/>
  <c r="K222" i="1"/>
  <c r="L222" i="1" s="1"/>
  <c r="M222" i="1" s="1"/>
  <c r="N222" i="1" s="1"/>
  <c r="O222" i="1" s="1"/>
  <c r="P222" i="1" s="1"/>
  <c r="Q222" i="1" s="1"/>
  <c r="R222" i="1" s="1"/>
  <c r="S222" i="1" s="1"/>
  <c r="T222" i="1" s="1"/>
  <c r="U222" i="1" s="1"/>
  <c r="V222" i="1" s="1"/>
  <c r="W222" i="1" s="1"/>
  <c r="X222" i="1" s="1"/>
  <c r="Y222" i="1" s="1"/>
  <c r="Z222" i="1" s="1"/>
  <c r="AA222" i="1" s="1"/>
  <c r="AB222" i="1" s="1"/>
  <c r="AC222" i="1" s="1"/>
  <c r="H221" i="1"/>
  <c r="I221" i="1" s="1"/>
  <c r="J221" i="1" s="1"/>
  <c r="K221" i="1" s="1"/>
  <c r="G221" i="1"/>
  <c r="F221" i="1"/>
  <c r="E221" i="1"/>
  <c r="D221" i="1"/>
  <c r="C221" i="1"/>
  <c r="T218" i="1"/>
  <c r="S218" i="1"/>
  <c r="R218" i="1"/>
  <c r="AC216" i="1"/>
  <c r="AB216" i="1"/>
  <c r="AA216" i="1"/>
  <c r="Z216" i="1"/>
  <c r="Y216" i="1"/>
  <c r="T216" i="1"/>
  <c r="S216" i="1"/>
  <c r="R216" i="1"/>
  <c r="Q216" i="1"/>
  <c r="P216" i="1"/>
  <c r="O216" i="1"/>
  <c r="N216" i="1"/>
  <c r="M216" i="1"/>
  <c r="K215" i="1"/>
  <c r="K218" i="1" s="1"/>
  <c r="J215" i="1"/>
  <c r="J218" i="1" s="1"/>
  <c r="I215" i="1"/>
  <c r="I218" i="1" s="1"/>
  <c r="J211" i="1"/>
  <c r="I211" i="1"/>
  <c r="G211" i="1"/>
  <c r="F211" i="1"/>
  <c r="E211" i="1"/>
  <c r="D211" i="1"/>
  <c r="C211" i="1"/>
  <c r="G208" i="1"/>
  <c r="G209" i="1" s="1"/>
  <c r="F208" i="1"/>
  <c r="E208" i="1"/>
  <c r="E447" i="1" s="1"/>
  <c r="E527" i="1" s="1"/>
  <c r="D208" i="1"/>
  <c r="J206" i="1"/>
  <c r="J16" i="1" s="1"/>
  <c r="I206" i="1"/>
  <c r="H206" i="1"/>
  <c r="N21" i="18" s="1"/>
  <c r="D205" i="1"/>
  <c r="E205" i="1" s="1"/>
  <c r="F205" i="1" s="1"/>
  <c r="G205" i="1" s="1"/>
  <c r="H205" i="1" s="1"/>
  <c r="I205" i="1" s="1"/>
  <c r="J205" i="1" s="1"/>
  <c r="K205" i="1" s="1"/>
  <c r="L205" i="1" s="1"/>
  <c r="M205" i="1" s="1"/>
  <c r="N205" i="1" s="1"/>
  <c r="O205" i="1" s="1"/>
  <c r="P205" i="1" s="1"/>
  <c r="Q205" i="1" s="1"/>
  <c r="R205" i="1" s="1"/>
  <c r="S205" i="1" s="1"/>
  <c r="T205" i="1" s="1"/>
  <c r="U205" i="1" s="1"/>
  <c r="V205" i="1" s="1"/>
  <c r="W205" i="1" s="1"/>
  <c r="X205" i="1" s="1"/>
  <c r="Y205" i="1" s="1"/>
  <c r="Z205" i="1" s="1"/>
  <c r="AA205" i="1" s="1"/>
  <c r="AB205" i="1" s="1"/>
  <c r="AC205" i="1" s="1"/>
  <c r="T200" i="1"/>
  <c r="S200" i="1"/>
  <c r="R200" i="1"/>
  <c r="R171" i="1" s="1"/>
  <c r="X113" i="18" s="1"/>
  <c r="R197" i="1"/>
  <c r="S197" i="1" s="1"/>
  <c r="W197" i="1" s="1"/>
  <c r="X197" i="1" s="1"/>
  <c r="Y197" i="1" s="1"/>
  <c r="Z197" i="1" s="1"/>
  <c r="AA197" i="1" s="1"/>
  <c r="AB197" i="1" s="1"/>
  <c r="AC197" i="1" s="1"/>
  <c r="T193" i="1"/>
  <c r="S193" i="1"/>
  <c r="R193" i="1"/>
  <c r="Q193" i="1"/>
  <c r="P193" i="1"/>
  <c r="O193" i="1"/>
  <c r="N193" i="1"/>
  <c r="M193" i="1"/>
  <c r="L193" i="1"/>
  <c r="K193" i="1"/>
  <c r="J193" i="1"/>
  <c r="I193" i="1"/>
  <c r="H193" i="1"/>
  <c r="G193" i="1"/>
  <c r="F193" i="1"/>
  <c r="E193" i="1"/>
  <c r="D193" i="1"/>
  <c r="J191" i="1"/>
  <c r="I191" i="1"/>
  <c r="G190" i="1"/>
  <c r="F190" i="1"/>
  <c r="E190" i="1"/>
  <c r="D190" i="1"/>
  <c r="C190" i="1"/>
  <c r="J186" i="1"/>
  <c r="J187" i="1" s="1"/>
  <c r="K187" i="1" s="1"/>
  <c r="I186" i="1"/>
  <c r="H186" i="1"/>
  <c r="G186" i="1"/>
  <c r="F186" i="1"/>
  <c r="F446" i="1" s="1"/>
  <c r="E186" i="1"/>
  <c r="E326" i="1" s="1"/>
  <c r="D186" i="1"/>
  <c r="D326" i="1" s="1"/>
  <c r="J184" i="1"/>
  <c r="I184" i="1"/>
  <c r="H184" i="1"/>
  <c r="G184" i="1"/>
  <c r="F184" i="1"/>
  <c r="E184" i="1"/>
  <c r="D184" i="1"/>
  <c r="J183" i="1"/>
  <c r="I183" i="1"/>
  <c r="H183" i="1"/>
  <c r="G183" i="1"/>
  <c r="F183" i="1"/>
  <c r="E183" i="1"/>
  <c r="D183" i="1"/>
  <c r="D181" i="1"/>
  <c r="E181" i="1" s="1"/>
  <c r="F181" i="1" s="1"/>
  <c r="G181" i="1" s="1"/>
  <c r="H181" i="1" s="1"/>
  <c r="I181" i="1" s="1"/>
  <c r="J181" i="1" s="1"/>
  <c r="K181" i="1" s="1"/>
  <c r="L181" i="1" s="1"/>
  <c r="M181" i="1" s="1"/>
  <c r="N181" i="1" s="1"/>
  <c r="O181" i="1" s="1"/>
  <c r="P181" i="1" s="1"/>
  <c r="Q181" i="1" s="1"/>
  <c r="R181" i="1" s="1"/>
  <c r="S181" i="1" s="1"/>
  <c r="T181" i="1" s="1"/>
  <c r="U181" i="1" s="1"/>
  <c r="V181" i="1" s="1"/>
  <c r="W181" i="1" s="1"/>
  <c r="X181" i="1" s="1"/>
  <c r="Y181" i="1" s="1"/>
  <c r="Z181" i="1" s="1"/>
  <c r="AA181" i="1" s="1"/>
  <c r="AB181" i="1" s="1"/>
  <c r="AC181" i="1" s="1"/>
  <c r="G175" i="1"/>
  <c r="F175" i="1"/>
  <c r="E175" i="1"/>
  <c r="D175" i="1"/>
  <c r="T170" i="1"/>
  <c r="S170" i="1"/>
  <c r="BC151" i="5" s="1"/>
  <c r="R170" i="1"/>
  <c r="Q169" i="1"/>
  <c r="P169" i="1"/>
  <c r="O169" i="1"/>
  <c r="N169" i="1"/>
  <c r="M169" i="1"/>
  <c r="L169" i="1"/>
  <c r="K169" i="1"/>
  <c r="J169" i="1"/>
  <c r="I169" i="1"/>
  <c r="H169" i="1"/>
  <c r="J168" i="1"/>
  <c r="P116" i="18" s="1"/>
  <c r="I168" i="1"/>
  <c r="O116" i="18" s="1"/>
  <c r="H168" i="1"/>
  <c r="N116" i="18" s="1"/>
  <c r="AC166" i="1"/>
  <c r="AB166" i="1"/>
  <c r="AA166" i="1"/>
  <c r="Z166" i="1"/>
  <c r="Y166" i="1"/>
  <c r="X166" i="1"/>
  <c r="W166" i="1"/>
  <c r="V166" i="1"/>
  <c r="U166" i="1"/>
  <c r="T166" i="1"/>
  <c r="S166" i="1"/>
  <c r="R166" i="1"/>
  <c r="Q166" i="1"/>
  <c r="P166" i="1"/>
  <c r="O166" i="1"/>
  <c r="N166" i="1"/>
  <c r="M166" i="1"/>
  <c r="L166" i="1"/>
  <c r="K166" i="1"/>
  <c r="J166" i="1"/>
  <c r="I166" i="1"/>
  <c r="T164" i="1"/>
  <c r="Z111" i="18" s="1"/>
  <c r="S164" i="1"/>
  <c r="Q164" i="1"/>
  <c r="P164" i="1"/>
  <c r="V111" i="18" s="1"/>
  <c r="O164" i="1"/>
  <c r="U111" i="18" s="1"/>
  <c r="D161" i="1"/>
  <c r="E161" i="1" s="1"/>
  <c r="F161" i="1" s="1"/>
  <c r="G161" i="1" s="1"/>
  <c r="H161" i="1" s="1"/>
  <c r="I161" i="1" s="1"/>
  <c r="J161" i="1" s="1"/>
  <c r="K161" i="1" s="1"/>
  <c r="L161" i="1" s="1"/>
  <c r="M161" i="1" s="1"/>
  <c r="N161" i="1" s="1"/>
  <c r="O161" i="1" s="1"/>
  <c r="P161" i="1" s="1"/>
  <c r="Q161" i="1" s="1"/>
  <c r="R161" i="1" s="1"/>
  <c r="S161" i="1" s="1"/>
  <c r="T161" i="1" s="1"/>
  <c r="U161" i="1" s="1"/>
  <c r="V161" i="1" s="1"/>
  <c r="W161" i="1" s="1"/>
  <c r="X161" i="1" s="1"/>
  <c r="Y161" i="1" s="1"/>
  <c r="Z161" i="1" s="1"/>
  <c r="AA161" i="1" s="1"/>
  <c r="AB161" i="1" s="1"/>
  <c r="AC161" i="1" s="1"/>
  <c r="T151" i="1"/>
  <c r="S151" i="1"/>
  <c r="R151" i="1"/>
  <c r="Q151" i="1"/>
  <c r="P151" i="1"/>
  <c r="O151" i="1"/>
  <c r="N151" i="1"/>
  <c r="M151" i="1"/>
  <c r="L151" i="1"/>
  <c r="K151" i="1"/>
  <c r="J151" i="1"/>
  <c r="I151" i="1"/>
  <c r="H151" i="1"/>
  <c r="G151" i="1"/>
  <c r="F151" i="1"/>
  <c r="E151" i="1"/>
  <c r="D151" i="1"/>
  <c r="T150" i="1"/>
  <c r="S150" i="1"/>
  <c r="R150" i="1"/>
  <c r="Q150" i="1"/>
  <c r="P150" i="1"/>
  <c r="O150" i="1"/>
  <c r="N150" i="1"/>
  <c r="M150" i="1"/>
  <c r="L150" i="1"/>
  <c r="K150" i="1"/>
  <c r="J150" i="1"/>
  <c r="I150" i="1"/>
  <c r="H150" i="1"/>
  <c r="G150" i="1"/>
  <c r="F150" i="1"/>
  <c r="E150" i="1"/>
  <c r="D150" i="1"/>
  <c r="H148" i="1"/>
  <c r="G148" i="1"/>
  <c r="F148" i="1"/>
  <c r="E148" i="1"/>
  <c r="D148" i="1"/>
  <c r="M147" i="1"/>
  <c r="L147" i="1"/>
  <c r="K147" i="1"/>
  <c r="J147" i="1"/>
  <c r="I147" i="1"/>
  <c r="H147" i="1"/>
  <c r="G147" i="1"/>
  <c r="F147" i="1"/>
  <c r="E147" i="1"/>
  <c r="D147" i="1"/>
  <c r="T144" i="1"/>
  <c r="S144" i="1"/>
  <c r="R144" i="1"/>
  <c r="Q144" i="1"/>
  <c r="P144" i="1"/>
  <c r="N144" i="1"/>
  <c r="M144" i="1"/>
  <c r="L144" i="1"/>
  <c r="K144" i="1"/>
  <c r="J144" i="1"/>
  <c r="I144" i="1"/>
  <c r="H144" i="1"/>
  <c r="G144" i="1"/>
  <c r="F144" i="1"/>
  <c r="E144" i="1"/>
  <c r="D144" i="1"/>
  <c r="T143" i="1"/>
  <c r="S143" i="1"/>
  <c r="R143" i="1"/>
  <c r="Q143" i="1"/>
  <c r="Q297" i="1" s="1"/>
  <c r="Q142" i="1" s="1"/>
  <c r="Q145" i="1" s="1"/>
  <c r="P143" i="1"/>
  <c r="P297" i="1" s="1"/>
  <c r="O143" i="1"/>
  <c r="N143" i="1"/>
  <c r="M143" i="1"/>
  <c r="L143" i="1"/>
  <c r="K143" i="1"/>
  <c r="J143" i="1"/>
  <c r="I143" i="1"/>
  <c r="H143" i="1"/>
  <c r="G143" i="1"/>
  <c r="F143" i="1"/>
  <c r="E143" i="1"/>
  <c r="D143" i="1"/>
  <c r="H142" i="1"/>
  <c r="G142" i="1"/>
  <c r="F142" i="1"/>
  <c r="E142" i="1"/>
  <c r="D142" i="1"/>
  <c r="J137" i="1"/>
  <c r="I137" i="1"/>
  <c r="H137" i="1"/>
  <c r="G137" i="1"/>
  <c r="F137" i="1"/>
  <c r="E137" i="1"/>
  <c r="D137" i="1"/>
  <c r="T136" i="1"/>
  <c r="Z33" i="18" s="1"/>
  <c r="S136" i="1"/>
  <c r="Y33" i="18" s="1"/>
  <c r="R136" i="1"/>
  <c r="X33" i="18" s="1"/>
  <c r="Q136" i="1"/>
  <c r="W33" i="18" s="1"/>
  <c r="P136" i="1"/>
  <c r="V33" i="18" s="1"/>
  <c r="O136" i="1"/>
  <c r="U33" i="18" s="1"/>
  <c r="N136" i="1"/>
  <c r="T33" i="18" s="1"/>
  <c r="M136" i="1"/>
  <c r="S33" i="18" s="1"/>
  <c r="L136" i="1"/>
  <c r="R33" i="18" s="1"/>
  <c r="K136" i="1"/>
  <c r="Q33" i="18" s="1"/>
  <c r="J136" i="1"/>
  <c r="P33" i="18" s="1"/>
  <c r="I136" i="1"/>
  <c r="O33" i="18" s="1"/>
  <c r="H136" i="1"/>
  <c r="G136" i="1"/>
  <c r="F136" i="1"/>
  <c r="E136" i="1"/>
  <c r="D136" i="1"/>
  <c r="H133" i="1"/>
  <c r="G133" i="1"/>
  <c r="F133" i="1"/>
  <c r="E133" i="1"/>
  <c r="D133" i="1"/>
  <c r="Q132" i="1"/>
  <c r="P132" i="1"/>
  <c r="O132" i="1"/>
  <c r="N132" i="1"/>
  <c r="M132" i="1"/>
  <c r="L132" i="1"/>
  <c r="K132" i="1"/>
  <c r="J132" i="1"/>
  <c r="I132" i="1"/>
  <c r="H132" i="1"/>
  <c r="G132" i="1"/>
  <c r="F132" i="1"/>
  <c r="E132" i="1"/>
  <c r="D132" i="1"/>
  <c r="T131" i="1"/>
  <c r="S131" i="1"/>
  <c r="R131" i="1"/>
  <c r="Q131" i="1"/>
  <c r="P131" i="1"/>
  <c r="O131" i="1"/>
  <c r="N131" i="1"/>
  <c r="M131" i="1"/>
  <c r="L131" i="1"/>
  <c r="K131" i="1"/>
  <c r="J131" i="1"/>
  <c r="I131" i="1"/>
  <c r="H131" i="1"/>
  <c r="G131" i="1"/>
  <c r="F131" i="1"/>
  <c r="E131" i="1"/>
  <c r="D131" i="1"/>
  <c r="G130" i="1"/>
  <c r="F130" i="1"/>
  <c r="E130" i="1"/>
  <c r="D130" i="1"/>
  <c r="D128" i="1"/>
  <c r="E128" i="1" s="1"/>
  <c r="F128" i="1" s="1"/>
  <c r="G128" i="1" s="1"/>
  <c r="H128" i="1" s="1"/>
  <c r="I128" i="1" s="1"/>
  <c r="J128" i="1" s="1"/>
  <c r="K128" i="1" s="1"/>
  <c r="L128" i="1" s="1"/>
  <c r="M128" i="1" s="1"/>
  <c r="N128" i="1" s="1"/>
  <c r="O128" i="1" s="1"/>
  <c r="P128" i="1" s="1"/>
  <c r="Q128" i="1" s="1"/>
  <c r="R128" i="1" s="1"/>
  <c r="S128" i="1" s="1"/>
  <c r="T128" i="1" s="1"/>
  <c r="U128" i="1" s="1"/>
  <c r="V128" i="1" s="1"/>
  <c r="W128" i="1" s="1"/>
  <c r="X128" i="1" s="1"/>
  <c r="B124" i="1"/>
  <c r="P115" i="1"/>
  <c r="O115" i="1"/>
  <c r="V112" i="1"/>
  <c r="B104" i="1"/>
  <c r="M99" i="1"/>
  <c r="L99" i="1"/>
  <c r="K99" i="1"/>
  <c r="J99" i="1"/>
  <c r="I99" i="1"/>
  <c r="H99" i="1"/>
  <c r="G99" i="1"/>
  <c r="T98" i="1"/>
  <c r="S98" i="1"/>
  <c r="R98" i="1"/>
  <c r="Q97" i="1"/>
  <c r="E749" i="16" s="1"/>
  <c r="J96" i="1"/>
  <c r="J95" i="1" s="1"/>
  <c r="J87" i="1" s="1"/>
  <c r="I96" i="1"/>
  <c r="I88" i="1" s="1"/>
  <c r="M95" i="1"/>
  <c r="L95" i="1"/>
  <c r="L87" i="1" s="1"/>
  <c r="K95" i="1"/>
  <c r="K87" i="1" s="1"/>
  <c r="H95" i="1"/>
  <c r="H87" i="1" s="1"/>
  <c r="M90" i="1"/>
  <c r="L90" i="1"/>
  <c r="C344" i="16" s="1"/>
  <c r="C356" i="16" s="1"/>
  <c r="K90" i="1"/>
  <c r="K419" i="1" s="1"/>
  <c r="J90" i="1"/>
  <c r="I90" i="1"/>
  <c r="H90" i="1"/>
  <c r="S89" i="1"/>
  <c r="S114" i="1" s="1"/>
  <c r="K50" i="9" s="1"/>
  <c r="R89" i="1"/>
  <c r="D2019" i="16" s="1"/>
  <c r="M89" i="1"/>
  <c r="L89" i="1"/>
  <c r="K89" i="1"/>
  <c r="J89" i="1"/>
  <c r="J114" i="1" s="1"/>
  <c r="I89" i="1"/>
  <c r="H89" i="1"/>
  <c r="H114" i="1" s="1"/>
  <c r="T113" i="1"/>
  <c r="S88" i="1"/>
  <c r="R88" i="1"/>
  <c r="Q88" i="1"/>
  <c r="Q105" i="1" s="1"/>
  <c r="M88" i="1"/>
  <c r="L88" i="1"/>
  <c r="K88" i="1"/>
  <c r="H88" i="1"/>
  <c r="S87" i="1"/>
  <c r="S112" i="1" s="1"/>
  <c r="R87" i="1"/>
  <c r="Q87" i="1"/>
  <c r="Q112" i="1" s="1"/>
  <c r="B87" i="1"/>
  <c r="B112" i="1" s="1"/>
  <c r="B121" i="1" s="1"/>
  <c r="U82" i="1"/>
  <c r="T82" i="1"/>
  <c r="S82" i="1"/>
  <c r="R82" i="1"/>
  <c r="Q82" i="1"/>
  <c r="P82" i="1"/>
  <c r="O82" i="1"/>
  <c r="N82" i="1"/>
  <c r="B82" i="1"/>
  <c r="T81" i="1"/>
  <c r="S81" i="1"/>
  <c r="G754" i="16" s="1"/>
  <c r="R81" i="1"/>
  <c r="F754" i="16" s="1"/>
  <c r="Q81" i="1"/>
  <c r="E754" i="16" s="1"/>
  <c r="P81" i="1"/>
  <c r="D754" i="16" s="1"/>
  <c r="O81" i="1"/>
  <c r="C754" i="16" s="1"/>
  <c r="N81" i="1"/>
  <c r="B81" i="1"/>
  <c r="B97" i="1" s="1"/>
  <c r="B89" i="1" s="1"/>
  <c r="B114" i="1" s="1"/>
  <c r="B123" i="1" s="1"/>
  <c r="T80" i="1"/>
  <c r="S80" i="1"/>
  <c r="R80" i="1"/>
  <c r="Q80" i="1"/>
  <c r="P80" i="1"/>
  <c r="O80" i="1"/>
  <c r="N80" i="1"/>
  <c r="B80" i="1"/>
  <c r="B5" i="9" s="1"/>
  <c r="B2910" i="16" s="1"/>
  <c r="B79" i="1"/>
  <c r="B78" i="1"/>
  <c r="I73" i="1"/>
  <c r="I13" i="1" s="1"/>
  <c r="H73" i="1"/>
  <c r="T72" i="1"/>
  <c r="T115" i="1" s="1"/>
  <c r="S72" i="1"/>
  <c r="S115" i="1" s="1"/>
  <c r="R72" i="1"/>
  <c r="R115" i="1" s="1"/>
  <c r="Q72" i="1"/>
  <c r="Q115" i="1" s="1"/>
  <c r="N72" i="1"/>
  <c r="N12" i="1" s="1"/>
  <c r="T70" i="1"/>
  <c r="T8" i="1" s="1"/>
  <c r="S70" i="1"/>
  <c r="R70" i="1"/>
  <c r="R8" i="1" s="1"/>
  <c r="R325" i="1" s="1"/>
  <c r="Q70" i="1"/>
  <c r="Q8" i="1" s="1"/>
  <c r="Q325" i="1" s="1"/>
  <c r="P70" i="1"/>
  <c r="P8" i="1" s="1"/>
  <c r="P325" i="1" s="1"/>
  <c r="O70" i="1"/>
  <c r="O83" i="1" s="1"/>
  <c r="N70" i="1"/>
  <c r="BS27" i="5"/>
  <c r="I69" i="1"/>
  <c r="H69" i="1"/>
  <c r="N139" i="18" s="1"/>
  <c r="O62" i="1"/>
  <c r="N62" i="1"/>
  <c r="O57" i="1"/>
  <c r="H264" i="16" s="1"/>
  <c r="I56" i="1"/>
  <c r="H56" i="1"/>
  <c r="N134" i="18" s="1"/>
  <c r="I55" i="1"/>
  <c r="H55" i="1"/>
  <c r="I53" i="1"/>
  <c r="H53" i="1"/>
  <c r="I52" i="1"/>
  <c r="H52" i="1"/>
  <c r="I51" i="1"/>
  <c r="I80" i="1" s="1"/>
  <c r="H51" i="1"/>
  <c r="H80" i="1" s="1"/>
  <c r="I50" i="1"/>
  <c r="H50" i="1"/>
  <c r="T47" i="1"/>
  <c r="T54" i="1" s="1"/>
  <c r="S47" i="1"/>
  <c r="S54" i="1" s="1"/>
  <c r="S56" i="1" s="1"/>
  <c r="R47" i="1"/>
  <c r="R54" i="1" s="1"/>
  <c r="R56" i="1" s="1"/>
  <c r="P88" i="13" s="1"/>
  <c r="Q47" i="1"/>
  <c r="P47" i="1"/>
  <c r="O47" i="1"/>
  <c r="N47" i="1"/>
  <c r="N78" i="1" s="1"/>
  <c r="I47" i="1"/>
  <c r="H47" i="1"/>
  <c r="AC46" i="1"/>
  <c r="AC47" i="1" s="1"/>
  <c r="AB46" i="1"/>
  <c r="AB47" i="1" s="1"/>
  <c r="AA46" i="1"/>
  <c r="AA47" i="1" s="1"/>
  <c r="Z46" i="1"/>
  <c r="Z47" i="1" s="1"/>
  <c r="Y46" i="1"/>
  <c r="Y47" i="1" s="1"/>
  <c r="X46" i="1"/>
  <c r="X47" i="1" s="1"/>
  <c r="W46" i="1"/>
  <c r="W47" i="1" s="1"/>
  <c r="V46" i="1"/>
  <c r="V47" i="1" s="1"/>
  <c r="U46" i="1"/>
  <c r="U47" i="1" s="1"/>
  <c r="Q41" i="1"/>
  <c r="P41" i="1"/>
  <c r="O41" i="1"/>
  <c r="N41" i="1"/>
  <c r="M41" i="1"/>
  <c r="L41" i="1"/>
  <c r="K41" i="1"/>
  <c r="J41" i="1"/>
  <c r="I41" i="1"/>
  <c r="H41" i="1"/>
  <c r="G41" i="1"/>
  <c r="E4" i="16" s="1"/>
  <c r="F41" i="1"/>
  <c r="D4" i="16" s="1"/>
  <c r="E41" i="1"/>
  <c r="D41" i="1"/>
  <c r="I35" i="1"/>
  <c r="H35" i="1"/>
  <c r="T34" i="1"/>
  <c r="Z13" i="18" s="1"/>
  <c r="S34" i="1"/>
  <c r="Y13" i="18" s="1"/>
  <c r="R34" i="1"/>
  <c r="X13" i="18" s="1"/>
  <c r="Q34" i="1"/>
  <c r="W13" i="18" s="1"/>
  <c r="P34" i="1"/>
  <c r="V13" i="18" s="1"/>
  <c r="O34" i="1"/>
  <c r="U13" i="18" s="1"/>
  <c r="N34" i="1"/>
  <c r="T13" i="18" s="1"/>
  <c r="M34" i="1"/>
  <c r="S13" i="18" s="1"/>
  <c r="L34" i="1"/>
  <c r="R13" i="18" s="1"/>
  <c r="K34" i="1"/>
  <c r="Q13" i="18" s="1"/>
  <c r="J34" i="1"/>
  <c r="P13" i="18" s="1"/>
  <c r="I34" i="1"/>
  <c r="O13" i="18" s="1"/>
  <c r="H34" i="1"/>
  <c r="N13" i="18" s="1"/>
  <c r="BI77" i="5"/>
  <c r="S28" i="1"/>
  <c r="BC77" i="5" s="1"/>
  <c r="R28" i="1"/>
  <c r="Q28" i="1"/>
  <c r="AT77" i="5" s="1"/>
  <c r="P28" i="1"/>
  <c r="AO77" i="5" s="1"/>
  <c r="O28" i="1"/>
  <c r="N28" i="1"/>
  <c r="M28" i="1"/>
  <c r="Z77" i="5" s="1"/>
  <c r="L28" i="1"/>
  <c r="K28" i="1"/>
  <c r="P77" i="5" s="1"/>
  <c r="J28" i="1"/>
  <c r="I28" i="1"/>
  <c r="H28" i="1"/>
  <c r="T27" i="1"/>
  <c r="BI73" i="5" s="1"/>
  <c r="S27" i="1"/>
  <c r="BC73" i="5" s="1"/>
  <c r="R27" i="1"/>
  <c r="Q27" i="1"/>
  <c r="AT73" i="5" s="1"/>
  <c r="P27" i="1"/>
  <c r="AO73" i="5" s="1"/>
  <c r="O27" i="1"/>
  <c r="N27" i="1"/>
  <c r="M27" i="1"/>
  <c r="Z73" i="5" s="1"/>
  <c r="L27" i="1"/>
  <c r="K27" i="1"/>
  <c r="P73" i="5" s="1"/>
  <c r="J27" i="1"/>
  <c r="I27" i="1"/>
  <c r="H27" i="1"/>
  <c r="T23" i="1"/>
  <c r="S23" i="1"/>
  <c r="R23" i="1"/>
  <c r="R329" i="1" s="1"/>
  <c r="Q23" i="1"/>
  <c r="P23" i="1"/>
  <c r="O23" i="1"/>
  <c r="O329" i="1" s="1"/>
  <c r="N23" i="1"/>
  <c r="N329" i="1" s="1"/>
  <c r="L23" i="1"/>
  <c r="L329" i="1" s="1"/>
  <c r="K23" i="1"/>
  <c r="J23" i="1"/>
  <c r="J329" i="1" s="1"/>
  <c r="I23" i="1"/>
  <c r="I329" i="1" s="1"/>
  <c r="H23" i="1"/>
  <c r="G23" i="1"/>
  <c r="F23" i="1"/>
  <c r="E23" i="1"/>
  <c r="L22" i="1"/>
  <c r="L216" i="1" s="1"/>
  <c r="G16" i="1"/>
  <c r="F16" i="1"/>
  <c r="E16" i="1"/>
  <c r="J15" i="1"/>
  <c r="I15" i="1"/>
  <c r="H15" i="1"/>
  <c r="G15" i="1"/>
  <c r="F15" i="1"/>
  <c r="E15" i="1"/>
  <c r="AC12" i="1"/>
  <c r="AB12" i="1"/>
  <c r="AA12" i="1"/>
  <c r="Z12" i="1"/>
  <c r="Y12" i="1"/>
  <c r="X12" i="1"/>
  <c r="W12" i="1"/>
  <c r="V12" i="1"/>
  <c r="U12" i="1"/>
  <c r="P12" i="1"/>
  <c r="O12" i="1"/>
  <c r="J12" i="1"/>
  <c r="J22" i="1" s="1"/>
  <c r="J216" i="1" s="1"/>
  <c r="I11" i="1"/>
  <c r="H11" i="1"/>
  <c r="G11" i="1"/>
  <c r="F11" i="1"/>
  <c r="E11" i="1"/>
  <c r="I8" i="1"/>
  <c r="H8" i="1"/>
  <c r="G8" i="1"/>
  <c r="F8" i="1"/>
  <c r="E8" i="1"/>
  <c r="D8" i="1"/>
  <c r="O5" i="1"/>
  <c r="N5" i="1"/>
  <c r="I5" i="1"/>
  <c r="H5" i="1"/>
  <c r="H295" i="1" s="1"/>
  <c r="G5" i="1"/>
  <c r="F5" i="1"/>
  <c r="E5" i="1"/>
  <c r="K18" i="18" s="1"/>
  <c r="D5" i="1"/>
  <c r="R2" i="1"/>
  <c r="R4" i="1" s="1"/>
  <c r="B16" i="24"/>
  <c r="C1036" i="16" l="1"/>
  <c r="H1036" i="16" s="1"/>
  <c r="H1531" i="16"/>
  <c r="S5" i="1"/>
  <c r="D1451" i="16" s="1"/>
  <c r="D1467" i="16" s="1"/>
  <c r="Q88" i="13"/>
  <c r="N58" i="13"/>
  <c r="O43" i="13"/>
  <c r="O52" i="13" s="1"/>
  <c r="P58" i="13"/>
  <c r="P73" i="13" s="1"/>
  <c r="H196" i="13" s="1"/>
  <c r="X58" i="29"/>
  <c r="G1667" i="16"/>
  <c r="BK253" i="5"/>
  <c r="BK254" i="5" s="1"/>
  <c r="AC114" i="18"/>
  <c r="BK123" i="5"/>
  <c r="EE123" i="5" s="1"/>
  <c r="BK242" i="5"/>
  <c r="C2582" i="16"/>
  <c r="L47" i="9"/>
  <c r="Q28" i="7"/>
  <c r="Q30" i="7"/>
  <c r="J47" i="9"/>
  <c r="U48" i="1"/>
  <c r="BE105" i="5"/>
  <c r="AD105" i="5"/>
  <c r="BG105" i="5"/>
  <c r="E42" i="9"/>
  <c r="BG241" i="5"/>
  <c r="BH122" i="5"/>
  <c r="E1081" i="16"/>
  <c r="G1452" i="16"/>
  <c r="O1474" i="16" s="1"/>
  <c r="K243" i="1"/>
  <c r="D656" i="16"/>
  <c r="D659" i="16" s="1"/>
  <c r="D683" i="16" s="1"/>
  <c r="D684" i="16" s="1"/>
  <c r="AB114" i="18"/>
  <c r="Y128" i="1"/>
  <c r="F2802" i="16"/>
  <c r="T451" i="1"/>
  <c r="AJ89" i="28"/>
  <c r="BG250" i="5"/>
  <c r="AK89" i="28"/>
  <c r="BH250" i="5"/>
  <c r="AD89" i="28"/>
  <c r="AZ250" i="5"/>
  <c r="AE89" i="28"/>
  <c r="BA250" i="5"/>
  <c r="AF89" i="28"/>
  <c r="BB250" i="5"/>
  <c r="AG89" i="28"/>
  <c r="BC250" i="5"/>
  <c r="BF250" i="5"/>
  <c r="G47" i="9"/>
  <c r="L30" i="7"/>
  <c r="G93" i="27"/>
  <c r="G94" i="27" s="1"/>
  <c r="G100" i="27" s="1"/>
  <c r="G118" i="27" s="1"/>
  <c r="G158" i="25"/>
  <c r="I158" i="25" s="1"/>
  <c r="J158" i="25" s="1"/>
  <c r="K158" i="25" s="1"/>
  <c r="L158" i="25" s="1"/>
  <c r="M158" i="25" s="1"/>
  <c r="N158" i="25" s="1"/>
  <c r="E2545" i="16"/>
  <c r="G113" i="25"/>
  <c r="M195" i="13"/>
  <c r="S61" i="29"/>
  <c r="T68" i="13"/>
  <c r="T70" i="13" s="1"/>
  <c r="L193" i="13" s="1"/>
  <c r="N61" i="29"/>
  <c r="AP89" i="28"/>
  <c r="ED34" i="5"/>
  <c r="D2816" i="16"/>
  <c r="D2815" i="16" s="1"/>
  <c r="D2824" i="16" s="1"/>
  <c r="E2824" i="16" s="1"/>
  <c r="H2824" i="16" s="1"/>
  <c r="H2829" i="16" s="1"/>
  <c r="C2817" i="16"/>
  <c r="P147" i="10"/>
  <c r="H7" i="22" s="1"/>
  <c r="P129" i="10"/>
  <c r="P143" i="10" s="1"/>
  <c r="AC56" i="28"/>
  <c r="AC57" i="28" s="1"/>
  <c r="EB31" i="5"/>
  <c r="C2821" i="16"/>
  <c r="BM130" i="5"/>
  <c r="BM134" i="5"/>
  <c r="G2496" i="16"/>
  <c r="N25" i="29"/>
  <c r="BS29" i="5"/>
  <c r="BS55" i="5"/>
  <c r="M20" i="29"/>
  <c r="DY28" i="5"/>
  <c r="D5697" i="3"/>
  <c r="D5700" i="3" s="1"/>
  <c r="L27" i="26"/>
  <c r="BS235" i="5"/>
  <c r="BT245" i="5" s="1"/>
  <c r="AA114" i="18"/>
  <c r="N20" i="29"/>
  <c r="S9" i="29"/>
  <c r="AB56" i="28"/>
  <c r="AB57" i="28" s="1"/>
  <c r="EA31" i="5"/>
  <c r="BJ106" i="5"/>
  <c r="BL97" i="5"/>
  <c r="BG30" i="5"/>
  <c r="EA30" i="5" s="1"/>
  <c r="EA28" i="5"/>
  <c r="E2825" i="16"/>
  <c r="BG114" i="5"/>
  <c r="BL119" i="5"/>
  <c r="AN139" i="28" s="1"/>
  <c r="BL130" i="5"/>
  <c r="BL134" i="5"/>
  <c r="AS128" i="5"/>
  <c r="E480" i="16"/>
  <c r="E482" i="16" s="1"/>
  <c r="BB92" i="28"/>
  <c r="I118" i="28"/>
  <c r="BF89" i="28"/>
  <c r="BF92" i="28" s="1"/>
  <c r="Q118" i="28"/>
  <c r="BP89" i="28"/>
  <c r="BP92" i="28" s="1"/>
  <c r="J118" i="28"/>
  <c r="BI89" i="28"/>
  <c r="BI92" i="28" s="1"/>
  <c r="AA56" i="28"/>
  <c r="AA57" i="28" s="1"/>
  <c r="DZ31" i="5"/>
  <c r="K118" i="28"/>
  <c r="BJ89" i="28"/>
  <c r="BJ92" i="28" s="1"/>
  <c r="P118" i="28"/>
  <c r="BO89" i="28"/>
  <c r="BO92" i="28" s="1"/>
  <c r="H118" i="28"/>
  <c r="BE89" i="28"/>
  <c r="BE92" i="28" s="1"/>
  <c r="C118" i="28"/>
  <c r="AZ89" i="28"/>
  <c r="AZ92" i="28" s="1"/>
  <c r="L118" i="28"/>
  <c r="BK89" i="28"/>
  <c r="BK92" i="28" s="1"/>
  <c r="D118" i="28"/>
  <c r="BA89" i="28"/>
  <c r="BA92" i="28" s="1"/>
  <c r="M118" i="28"/>
  <c r="BL89" i="28"/>
  <c r="BL92" i="28" s="1"/>
  <c r="G118" i="28"/>
  <c r="BD89" i="28"/>
  <c r="BD92" i="28" s="1"/>
  <c r="BF114" i="5"/>
  <c r="BK119" i="5"/>
  <c r="AM139" i="28" s="1"/>
  <c r="BK134" i="5"/>
  <c r="BK130" i="5"/>
  <c r="AF53" i="28"/>
  <c r="AE55" i="28"/>
  <c r="AF55" i="28"/>
  <c r="AE53" i="28"/>
  <c r="R256" i="1"/>
  <c r="N191" i="16"/>
  <c r="N192" i="16" s="1"/>
  <c r="K199" i="16" s="1"/>
  <c r="K27" i="26"/>
  <c r="O192" i="5"/>
  <c r="CD192" i="5" s="1"/>
  <c r="C93" i="12"/>
  <c r="I87" i="12"/>
  <c r="D233" i="12"/>
  <c r="C1753" i="16"/>
  <c r="C2480" i="16"/>
  <c r="C2485" i="16" s="1"/>
  <c r="K17" i="11"/>
  <c r="E2496" i="16"/>
  <c r="U144" i="1"/>
  <c r="I1667" i="16"/>
  <c r="K47" i="9"/>
  <c r="R147" i="1"/>
  <c r="E163" i="16"/>
  <c r="E164" i="16" s="1"/>
  <c r="R148" i="10"/>
  <c r="D79" i="12"/>
  <c r="P97" i="1"/>
  <c r="P89" i="1" s="1"/>
  <c r="P114" i="1" s="1"/>
  <c r="F1108" i="16"/>
  <c r="A64" i="3"/>
  <c r="N79" i="12"/>
  <c r="T192" i="5"/>
  <c r="O27" i="7"/>
  <c r="G576" i="1"/>
  <c r="D2500" i="16"/>
  <c r="C2559" i="16"/>
  <c r="A66" i="3"/>
  <c r="I48" i="1"/>
  <c r="G307" i="1"/>
  <c r="O307" i="1"/>
  <c r="I392" i="1"/>
  <c r="H392" i="1" s="1"/>
  <c r="H391" i="1" s="1"/>
  <c r="C426" i="16"/>
  <c r="C429" i="16" s="1"/>
  <c r="C430" i="16" s="1"/>
  <c r="C431" i="16" s="1"/>
  <c r="K30" i="7"/>
  <c r="F656" i="16"/>
  <c r="F659" i="16" s="1"/>
  <c r="F683" i="16" s="1"/>
  <c r="F684" i="16" s="1"/>
  <c r="R12" i="1"/>
  <c r="L231" i="1"/>
  <c r="O262" i="1"/>
  <c r="O256" i="1" s="1"/>
  <c r="P248" i="1" s="1"/>
  <c r="ES68" i="5"/>
  <c r="AE138" i="28"/>
  <c r="O95" i="13"/>
  <c r="F36" i="12"/>
  <c r="ET68" i="5"/>
  <c r="AF138" i="28"/>
  <c r="G159" i="10"/>
  <c r="AI89" i="28"/>
  <c r="CM14" i="28"/>
  <c r="C1667" i="16"/>
  <c r="Q51" i="28"/>
  <c r="AK8" i="28"/>
  <c r="AD103" i="28"/>
  <c r="AD137" i="28"/>
  <c r="EU68" i="5"/>
  <c r="AG138" i="28"/>
  <c r="AL89" i="28"/>
  <c r="CJ14" i="28"/>
  <c r="Y51" i="28"/>
  <c r="AS8" i="28"/>
  <c r="AG103" i="28"/>
  <c r="AG137" i="28"/>
  <c r="G231" i="1"/>
  <c r="O231" i="1"/>
  <c r="G244" i="1"/>
  <c r="E126" i="25"/>
  <c r="C2568" i="16" s="1"/>
  <c r="E112" i="25"/>
  <c r="AE103" i="28"/>
  <c r="AE137" i="28"/>
  <c r="EV68" i="5"/>
  <c r="AH138" i="28"/>
  <c r="AI90" i="28"/>
  <c r="CM15" i="28"/>
  <c r="CK13" i="28"/>
  <c r="F79" i="12"/>
  <c r="AF103" i="28"/>
  <c r="AF137" i="28"/>
  <c r="EW68" i="5"/>
  <c r="AI138" i="28"/>
  <c r="H79" i="12"/>
  <c r="S86" i="11"/>
  <c r="S88" i="11" s="1"/>
  <c r="S89" i="11" s="1"/>
  <c r="T89" i="11" s="1"/>
  <c r="U89" i="11" s="1"/>
  <c r="V89" i="11" s="1"/>
  <c r="W89" i="11" s="1"/>
  <c r="X89" i="11" s="1"/>
  <c r="Y89" i="11" s="1"/>
  <c r="Z89" i="11" s="1"/>
  <c r="AA89" i="11" s="1"/>
  <c r="AB89" i="11" s="1"/>
  <c r="AC89" i="11" s="1"/>
  <c r="AD89" i="11" s="1"/>
  <c r="AE89" i="11" s="1"/>
  <c r="J79" i="12"/>
  <c r="G14" i="12"/>
  <c r="H168" i="12" s="1"/>
  <c r="C168" i="12" s="1"/>
  <c r="C169" i="12" s="1"/>
  <c r="J20" i="1"/>
  <c r="P28" i="18" s="1"/>
  <c r="AH103" i="28"/>
  <c r="AH137" i="28"/>
  <c r="EY68" i="5"/>
  <c r="AK138" i="28"/>
  <c r="C65" i="17"/>
  <c r="H81" i="12"/>
  <c r="R73" i="1"/>
  <c r="D642" i="16" s="1"/>
  <c r="ER68" i="5"/>
  <c r="AD138" i="28"/>
  <c r="AI91" i="28"/>
  <c r="CM16" i="28"/>
  <c r="BF134" i="5"/>
  <c r="BG134" i="5"/>
  <c r="BJ130" i="5"/>
  <c r="BE134" i="5"/>
  <c r="BH134" i="5"/>
  <c r="G102" i="25"/>
  <c r="G116" i="25" s="1"/>
  <c r="F116" i="25"/>
  <c r="F44" i="25"/>
  <c r="F115" i="25"/>
  <c r="D2548" i="16"/>
  <c r="D2594" i="16"/>
  <c r="J248" i="1"/>
  <c r="F491" i="16"/>
  <c r="C1576" i="16"/>
  <c r="C2332" i="16"/>
  <c r="O61" i="14"/>
  <c r="O59" i="14" s="1"/>
  <c r="Q12" i="1"/>
  <c r="I257" i="1"/>
  <c r="I258" i="1" s="1"/>
  <c r="F180" i="16"/>
  <c r="E1576" i="16"/>
  <c r="E1577" i="16" s="1"/>
  <c r="E1578" i="16" s="1"/>
  <c r="I61" i="14"/>
  <c r="I59" i="14" s="1"/>
  <c r="AE187" i="5" s="1"/>
  <c r="H47" i="9"/>
  <c r="F1576" i="16"/>
  <c r="D1576" i="16"/>
  <c r="G1576" i="16"/>
  <c r="O8" i="1"/>
  <c r="O325" i="1" s="1"/>
  <c r="J307" i="1"/>
  <c r="R307" i="1"/>
  <c r="E30" i="7"/>
  <c r="K2724" i="16"/>
  <c r="E2754" i="16"/>
  <c r="E2785" i="16" s="1"/>
  <c r="M2724" i="16"/>
  <c r="G2754" i="16"/>
  <c r="L2724" i="16"/>
  <c r="F2754" i="16"/>
  <c r="I2724" i="16"/>
  <c r="C2754" i="16"/>
  <c r="C2785" i="16" s="1"/>
  <c r="J2724" i="16"/>
  <c r="D2754" i="16"/>
  <c r="D2785" i="16" s="1"/>
  <c r="EW124" i="5"/>
  <c r="EW91" i="5"/>
  <c r="AE52" i="28"/>
  <c r="AI109" i="28"/>
  <c r="EW69" i="5"/>
  <c r="V32" i="28"/>
  <c r="FA8" i="5"/>
  <c r="W32" i="28"/>
  <c r="FB8" i="5"/>
  <c r="AA36" i="28"/>
  <c r="EW90" i="5"/>
  <c r="AI103" i="28"/>
  <c r="EW67" i="5"/>
  <c r="X32" i="28"/>
  <c r="FC8" i="5"/>
  <c r="AK103" i="28"/>
  <c r="EY67" i="5"/>
  <c r="AF109" i="28"/>
  <c r="FB17" i="5"/>
  <c r="BJ119" i="5"/>
  <c r="AL139" i="28" s="1"/>
  <c r="M57" i="28"/>
  <c r="AX139" i="5"/>
  <c r="BH139" i="5"/>
  <c r="AJ102" i="28"/>
  <c r="AB37" i="28"/>
  <c r="BJ71" i="5"/>
  <c r="BJ78" i="5" s="1"/>
  <c r="D36" i="28"/>
  <c r="ER123" i="5"/>
  <c r="V36" i="28"/>
  <c r="G1588" i="16"/>
  <c r="T102" i="28"/>
  <c r="L37" i="28"/>
  <c r="AB102" i="28"/>
  <c r="T37" i="28"/>
  <c r="E54" i="28"/>
  <c r="EW13" i="5"/>
  <c r="EW14" i="5" s="1"/>
  <c r="AA102" i="28"/>
  <c r="S37" i="28"/>
  <c r="EX69" i="5"/>
  <c r="AJ109" i="28"/>
  <c r="F36" i="28"/>
  <c r="ES123" i="5"/>
  <c r="W36" i="28"/>
  <c r="AK102" i="28"/>
  <c r="AC37" i="28"/>
  <c r="U102" i="28"/>
  <c r="M37" i="28"/>
  <c r="EY13" i="5"/>
  <c r="EY14" i="5" s="1"/>
  <c r="AC102" i="28"/>
  <c r="U37" i="28"/>
  <c r="A90" i="28"/>
  <c r="A97" i="28" s="1"/>
  <c r="C36" i="28"/>
  <c r="G36" i="28"/>
  <c r="P36" i="28"/>
  <c r="ET123" i="5"/>
  <c r="X36" i="28"/>
  <c r="ER13" i="5"/>
  <c r="V102" i="28"/>
  <c r="N37" i="28"/>
  <c r="EZ13" i="5"/>
  <c r="EZ14" i="5" s="1"/>
  <c r="AD102" i="28"/>
  <c r="V37" i="28"/>
  <c r="M36" i="28"/>
  <c r="F1588" i="16"/>
  <c r="S102" i="28"/>
  <c r="K37" i="28"/>
  <c r="I91" i="28"/>
  <c r="C1542" i="16"/>
  <c r="N32" i="28"/>
  <c r="C117" i="27"/>
  <c r="Z32" i="28"/>
  <c r="H36" i="28"/>
  <c r="EV123" i="5"/>
  <c r="Z36" i="28"/>
  <c r="G809" i="16"/>
  <c r="N102" i="28"/>
  <c r="F37" i="28"/>
  <c r="I1638" i="16"/>
  <c r="W102" i="28"/>
  <c r="O37" i="28"/>
  <c r="FA13" i="5"/>
  <c r="FA14" i="5" s="1"/>
  <c r="AE102" i="28"/>
  <c r="W37" i="28"/>
  <c r="EX67" i="5"/>
  <c r="AJ103" i="28"/>
  <c r="A91" i="28"/>
  <c r="A98" i="28" s="1"/>
  <c r="F1614" i="16"/>
  <c r="F1612" i="16" s="1"/>
  <c r="O32" i="28"/>
  <c r="D117" i="27"/>
  <c r="AA32" i="28"/>
  <c r="J36" i="28"/>
  <c r="H809" i="16"/>
  <c r="O102" i="28"/>
  <c r="G37" i="28"/>
  <c r="ET13" i="5"/>
  <c r="X102" i="28"/>
  <c r="P37" i="28"/>
  <c r="AF102" i="28"/>
  <c r="X37" i="28"/>
  <c r="H1647" i="16"/>
  <c r="V109" i="28"/>
  <c r="E117" i="27"/>
  <c r="AB32" i="28"/>
  <c r="K36" i="28"/>
  <c r="EX123" i="5"/>
  <c r="AB36" i="28"/>
  <c r="C1588" i="16"/>
  <c r="P102" i="28"/>
  <c r="H37" i="28"/>
  <c r="EU13" i="5"/>
  <c r="Y102" i="28"/>
  <c r="Q37" i="28"/>
  <c r="AH102" i="28"/>
  <c r="Z37" i="28"/>
  <c r="B36" i="28"/>
  <c r="L36" i="28"/>
  <c r="R102" i="28"/>
  <c r="J37" i="28"/>
  <c r="Z102" i="28"/>
  <c r="R37" i="28"/>
  <c r="AI102" i="28"/>
  <c r="AA37" i="28"/>
  <c r="D1652" i="16"/>
  <c r="O56" i="28"/>
  <c r="O57" i="28" s="1"/>
  <c r="ER91" i="5"/>
  <c r="ER124" i="5"/>
  <c r="ES91" i="5"/>
  <c r="ES124" i="5"/>
  <c r="ET91" i="5"/>
  <c r="ET124" i="5"/>
  <c r="CN13" i="5"/>
  <c r="Q7" i="28"/>
  <c r="Q13" i="28" s="1"/>
  <c r="AS13" i="28"/>
  <c r="AS9" i="28"/>
  <c r="AW9" i="28"/>
  <c r="H1637" i="16"/>
  <c r="AC9" i="28"/>
  <c r="Y13" i="28"/>
  <c r="I1637" i="16"/>
  <c r="CN14" i="5"/>
  <c r="D878" i="16" s="1"/>
  <c r="BJ32" i="5"/>
  <c r="EV91" i="5"/>
  <c r="EV124" i="5"/>
  <c r="DY31" i="5"/>
  <c r="E1585" i="16"/>
  <c r="EW123" i="5"/>
  <c r="BJ58" i="5"/>
  <c r="C2561" i="16"/>
  <c r="C2544" i="16" s="1"/>
  <c r="C2555" i="16" s="1"/>
  <c r="E656" i="16"/>
  <c r="E659" i="16" s="1"/>
  <c r="E683" i="16" s="1"/>
  <c r="E684" i="16" s="1"/>
  <c r="J61" i="14"/>
  <c r="J62" i="14" s="1"/>
  <c r="E30" i="14"/>
  <c r="O236" i="1"/>
  <c r="O163" i="1" s="1"/>
  <c r="U110" i="18" s="1"/>
  <c r="P258" i="1"/>
  <c r="M15" i="7" s="1"/>
  <c r="O75" i="10"/>
  <c r="H145" i="1"/>
  <c r="H153" i="1" s="1"/>
  <c r="C78" i="25"/>
  <c r="G204" i="13"/>
  <c r="C656" i="16"/>
  <c r="C659" i="16" s="1"/>
  <c r="C683" i="16" s="1"/>
  <c r="C684" i="16" s="1"/>
  <c r="U68" i="13"/>
  <c r="U70" i="13" s="1"/>
  <c r="S106" i="11"/>
  <c r="S107" i="11" s="1"/>
  <c r="R84" i="12"/>
  <c r="M248" i="1"/>
  <c r="H307" i="1"/>
  <c r="R501" i="1"/>
  <c r="L56" i="9"/>
  <c r="L60" i="9"/>
  <c r="G3119" i="3"/>
  <c r="F3119" i="3" s="1"/>
  <c r="I22" i="12"/>
  <c r="F134" i="1"/>
  <c r="F140" i="1" s="1"/>
  <c r="E479" i="16"/>
  <c r="B774" i="16"/>
  <c r="C774" i="16" s="1"/>
  <c r="K231" i="1"/>
  <c r="I1004" i="16"/>
  <c r="P1474" i="16"/>
  <c r="L59" i="9"/>
  <c r="L14" i="14"/>
  <c r="L15" i="14" s="1"/>
  <c r="N72" i="10"/>
  <c r="F77" i="10"/>
  <c r="H87" i="10"/>
  <c r="H99" i="10" s="1"/>
  <c r="E2234" i="16"/>
  <c r="E2243" i="16" s="1"/>
  <c r="G77" i="10"/>
  <c r="DY18" i="5"/>
  <c r="T518" i="1"/>
  <c r="Q41" i="7" s="1"/>
  <c r="Q49" i="7" s="1"/>
  <c r="J2342" i="16"/>
  <c r="N28" i="14"/>
  <c r="H1547" i="16" s="1"/>
  <c r="H55" i="25"/>
  <c r="I1264" i="3"/>
  <c r="L19" i="13"/>
  <c r="L46" i="13" s="1"/>
  <c r="AT215" i="12"/>
  <c r="P233" i="12"/>
  <c r="BB236" i="12" s="1"/>
  <c r="DY16" i="5"/>
  <c r="AD39" i="28" s="1"/>
  <c r="O468" i="1"/>
  <c r="L198" i="16"/>
  <c r="BH241" i="5"/>
  <c r="BJ253" i="5" s="1"/>
  <c r="BJ254" i="5" s="1"/>
  <c r="D2496" i="16"/>
  <c r="C5" i="12"/>
  <c r="R78" i="12"/>
  <c r="R468" i="1"/>
  <c r="Q495" i="1"/>
  <c r="H82" i="9"/>
  <c r="N30" i="14"/>
  <c r="O50" i="10"/>
  <c r="AA30" i="11"/>
  <c r="AA31" i="11" s="1"/>
  <c r="AV215" i="12"/>
  <c r="D238" i="1"/>
  <c r="D239" i="1" s="1"/>
  <c r="D258" i="1"/>
  <c r="D176" i="1" s="1"/>
  <c r="I30" i="7"/>
  <c r="J192" i="16"/>
  <c r="G199" i="16" s="1"/>
  <c r="N84" i="10"/>
  <c r="N87" i="10"/>
  <c r="N99" i="10" s="1"/>
  <c r="N96" i="1"/>
  <c r="N88" i="1" s="1"/>
  <c r="N113" i="1" s="1"/>
  <c r="F44" i="9" s="1"/>
  <c r="D1547" i="16"/>
  <c r="O97" i="1"/>
  <c r="O89" i="1" s="1"/>
  <c r="C1021" i="16" s="1"/>
  <c r="C1027" i="16" s="1"/>
  <c r="H1027" i="16" s="1"/>
  <c r="O95" i="1"/>
  <c r="O87" i="1" s="1"/>
  <c r="U146" i="18" s="1"/>
  <c r="U152" i="18" s="1"/>
  <c r="I1639" i="16"/>
  <c r="H1638" i="16"/>
  <c r="D1537" i="16"/>
  <c r="E809" i="16"/>
  <c r="AM122" i="5"/>
  <c r="O96" i="1"/>
  <c r="O88" i="1" s="1"/>
  <c r="O113" i="1" s="1"/>
  <c r="O122" i="1" s="1"/>
  <c r="C1649" i="16"/>
  <c r="EV17" i="5"/>
  <c r="B89" i="9"/>
  <c r="D1583" i="16"/>
  <c r="I1632" i="16"/>
  <c r="I1633" i="16"/>
  <c r="H71" i="5"/>
  <c r="H81" i="5" s="1"/>
  <c r="K827" i="16"/>
  <c r="E1614" i="16"/>
  <c r="E1612" i="16" s="1"/>
  <c r="DC182" i="5"/>
  <c r="D1542" i="16"/>
  <c r="D1535" i="16"/>
  <c r="U1404" i="16"/>
  <c r="DH182" i="5"/>
  <c r="P96" i="1"/>
  <c r="D1543" i="16"/>
  <c r="H2636" i="16"/>
  <c r="D1582" i="16"/>
  <c r="L303" i="5"/>
  <c r="K68" i="1"/>
  <c r="G208" i="10" s="1"/>
  <c r="G1582" i="16"/>
  <c r="S303" i="5"/>
  <c r="E1547" i="16"/>
  <c r="E1537" i="16"/>
  <c r="E1544" i="16"/>
  <c r="C1583" i="16"/>
  <c r="D1584" i="16"/>
  <c r="C1614" i="16"/>
  <c r="C1612" i="16" s="1"/>
  <c r="ER67" i="5"/>
  <c r="S148" i="10"/>
  <c r="L29" i="7"/>
  <c r="O170" i="1"/>
  <c r="F26" i="7"/>
  <c r="E307" i="1"/>
  <c r="M307" i="1"/>
  <c r="R499" i="1"/>
  <c r="D809" i="16"/>
  <c r="N86" i="10"/>
  <c r="G20" i="13"/>
  <c r="M79" i="12"/>
  <c r="E83" i="12"/>
  <c r="AU215" i="12"/>
  <c r="BC215" i="12"/>
  <c r="I47" i="9"/>
  <c r="K18" i="14"/>
  <c r="L17" i="21"/>
  <c r="L19" i="21" s="1"/>
  <c r="D5" i="12"/>
  <c r="D134" i="12" s="1"/>
  <c r="D146" i="12" s="1"/>
  <c r="Q73" i="1"/>
  <c r="E1017" i="16" s="1"/>
  <c r="G1583" i="16"/>
  <c r="H1639" i="16"/>
  <c r="CN29" i="5"/>
  <c r="F256" i="12"/>
  <c r="N97" i="1"/>
  <c r="N89" i="1" s="1"/>
  <c r="N114" i="1" s="1"/>
  <c r="I231" i="1"/>
  <c r="Q231" i="1"/>
  <c r="J495" i="1"/>
  <c r="K536" i="1"/>
  <c r="L536" i="1" s="1"/>
  <c r="M536" i="1" s="1"/>
  <c r="M579" i="1" s="1"/>
  <c r="B559" i="1"/>
  <c r="B570" i="1" s="1"/>
  <c r="H1667" i="16"/>
  <c r="H192" i="5"/>
  <c r="CB192" i="5" s="1"/>
  <c r="R192" i="5"/>
  <c r="P68" i="10"/>
  <c r="N209" i="10"/>
  <c r="O241" i="12"/>
  <c r="O256" i="12"/>
  <c r="E9" i="1"/>
  <c r="E13" i="1" s="1"/>
  <c r="K19" i="18" s="1"/>
  <c r="N95" i="1"/>
  <c r="N87" i="1" s="1"/>
  <c r="F43" i="9" s="1"/>
  <c r="P147" i="1"/>
  <c r="R231" i="1"/>
  <c r="I307" i="1"/>
  <c r="F1948" i="16"/>
  <c r="E1972" i="16" s="1"/>
  <c r="H71" i="25"/>
  <c r="H72" i="25" s="1"/>
  <c r="N83" i="10"/>
  <c r="L88" i="10"/>
  <c r="L63" i="10" s="1"/>
  <c r="G247" i="10"/>
  <c r="F247" i="10" s="1"/>
  <c r="N81" i="12"/>
  <c r="F85" i="12"/>
  <c r="BB234" i="12"/>
  <c r="F6" i="1"/>
  <c r="N236" i="1"/>
  <c r="N20" i="1" s="1"/>
  <c r="H451" i="1"/>
  <c r="O505" i="1"/>
  <c r="G1532" i="16"/>
  <c r="C2496" i="16"/>
  <c r="L57" i="9"/>
  <c r="M22" i="14"/>
  <c r="M81" i="14" s="1"/>
  <c r="M80" i="14" s="1"/>
  <c r="N65" i="10"/>
  <c r="J19" i="13"/>
  <c r="J46" i="13" s="1"/>
  <c r="P81" i="12"/>
  <c r="K47" i="1"/>
  <c r="K78" i="1" s="1"/>
  <c r="P130" i="1"/>
  <c r="P290" i="1" s="1"/>
  <c r="P133" i="1" s="1"/>
  <c r="P134" i="1" s="1"/>
  <c r="N29" i="7"/>
  <c r="F231" i="1"/>
  <c r="N231" i="1"/>
  <c r="I248" i="1"/>
  <c r="J249" i="1" s="1"/>
  <c r="N451" i="1"/>
  <c r="C1582" i="16"/>
  <c r="F1949" i="16"/>
  <c r="J1949" i="16" s="1"/>
  <c r="J2496" i="16"/>
  <c r="F9" i="1"/>
  <c r="F13" i="1" s="1"/>
  <c r="J231" i="1"/>
  <c r="O130" i="1"/>
  <c r="O290" i="1" s="1"/>
  <c r="P243" i="1"/>
  <c r="O257" i="1"/>
  <c r="O259" i="1" s="1"/>
  <c r="O474" i="1"/>
  <c r="P473" i="1"/>
  <c r="O21" i="18"/>
  <c r="I16" i="1"/>
  <c r="I18" i="1" s="1"/>
  <c r="N83" i="1"/>
  <c r="N8" i="1"/>
  <c r="N325" i="1" s="1"/>
  <c r="K297" i="1"/>
  <c r="K142" i="1" s="1"/>
  <c r="K145" i="1" s="1"/>
  <c r="M29" i="7"/>
  <c r="P170" i="1"/>
  <c r="H328" i="1"/>
  <c r="H236" i="1"/>
  <c r="H163" i="1" s="1"/>
  <c r="N110" i="18" s="1"/>
  <c r="G6" i="1"/>
  <c r="S73" i="1"/>
  <c r="E642" i="16" s="1"/>
  <c r="C231" i="1"/>
  <c r="S231" i="1"/>
  <c r="E248" i="1"/>
  <c r="F248" i="1"/>
  <c r="H301" i="1"/>
  <c r="H165" i="1" s="1"/>
  <c r="N112" i="18" s="1"/>
  <c r="L419" i="1"/>
  <c r="R22" i="18" s="1"/>
  <c r="K537" i="1"/>
  <c r="L537" i="1" s="1"/>
  <c r="M537" i="1" s="1"/>
  <c r="M580" i="1" s="1"/>
  <c r="E323" i="16"/>
  <c r="E341" i="16" s="1"/>
  <c r="E353" i="16" s="1"/>
  <c r="H6" i="1"/>
  <c r="R29" i="7"/>
  <c r="U170" i="1"/>
  <c r="E238" i="1"/>
  <c r="E448" i="1" s="1"/>
  <c r="W261" i="1"/>
  <c r="W144" i="1" s="1"/>
  <c r="V144" i="1"/>
  <c r="L130" i="1"/>
  <c r="L290" i="1" s="1"/>
  <c r="L257" i="1"/>
  <c r="L258" i="1" s="1"/>
  <c r="M243" i="1"/>
  <c r="J581" i="1"/>
  <c r="K538" i="1"/>
  <c r="L538" i="1" s="1"/>
  <c r="M538" i="1" s="1"/>
  <c r="D145" i="1"/>
  <c r="D153" i="1" s="1"/>
  <c r="W215" i="1"/>
  <c r="X215" i="1" s="1"/>
  <c r="F244" i="1"/>
  <c r="N275" i="1"/>
  <c r="N243" i="1" s="1"/>
  <c r="N256" i="1"/>
  <c r="M257" i="1"/>
  <c r="M258" i="1" s="1"/>
  <c r="M130" i="1"/>
  <c r="M290" i="1" s="1"/>
  <c r="J488" i="1"/>
  <c r="V7" i="10"/>
  <c r="W7" i="10" s="1"/>
  <c r="X7" i="10" s="1"/>
  <c r="Y7" i="10" s="1"/>
  <c r="C2472" i="16"/>
  <c r="G2612" i="16"/>
  <c r="L61" i="14"/>
  <c r="L59" i="14" s="1"/>
  <c r="F133" i="14" s="1"/>
  <c r="G55" i="25"/>
  <c r="E2558" i="16" s="1"/>
  <c r="P15" i="10"/>
  <c r="K108" i="10"/>
  <c r="F3748" i="3"/>
  <c r="O51" i="13"/>
  <c r="L242" i="16" s="1"/>
  <c r="D64" i="13"/>
  <c r="G160" i="13"/>
  <c r="R44" i="17"/>
  <c r="I7" i="11"/>
  <c r="I8" i="11" s="1"/>
  <c r="R16" i="11"/>
  <c r="R17" i="11" s="1"/>
  <c r="P24" i="11"/>
  <c r="H85" i="12"/>
  <c r="E82" i="12"/>
  <c r="R83" i="12"/>
  <c r="R85" i="12"/>
  <c r="P220" i="12"/>
  <c r="P221" i="12" s="1"/>
  <c r="BB239" i="12" s="1"/>
  <c r="M242" i="12"/>
  <c r="E1765" i="16"/>
  <c r="K1771" i="16" s="1"/>
  <c r="M61" i="14"/>
  <c r="C30" i="14"/>
  <c r="AR45" i="5"/>
  <c r="AR47" i="5" s="1"/>
  <c r="AR48" i="5" s="1"/>
  <c r="J36" i="13"/>
  <c r="L7" i="11"/>
  <c r="L8" i="11" s="1"/>
  <c r="K25" i="11"/>
  <c r="G11" i="12"/>
  <c r="F82" i="12"/>
  <c r="E1955" i="16"/>
  <c r="G1955" i="16" s="1"/>
  <c r="F2496" i="16"/>
  <c r="O72" i="10"/>
  <c r="E209" i="10"/>
  <c r="E59" i="13"/>
  <c r="P7" i="11"/>
  <c r="S37" i="11"/>
  <c r="F77" i="12"/>
  <c r="I64" i="12"/>
  <c r="J64" i="12" s="1"/>
  <c r="K64" i="12" s="1"/>
  <c r="L81" i="12" s="1"/>
  <c r="E81" i="12"/>
  <c r="N82" i="12"/>
  <c r="E84" i="12"/>
  <c r="F86" i="12"/>
  <c r="N256" i="12"/>
  <c r="V256" i="12"/>
  <c r="D231" i="1"/>
  <c r="O482" i="1"/>
  <c r="I6" i="1"/>
  <c r="H82" i="1"/>
  <c r="G258" i="1"/>
  <c r="G176" i="1" s="1"/>
  <c r="G156" i="1" s="1"/>
  <c r="R482" i="1"/>
  <c r="D306" i="16"/>
  <c r="U34" i="1"/>
  <c r="AA13" i="18" s="1"/>
  <c r="I82" i="1"/>
  <c r="H123" i="1"/>
  <c r="C80" i="16" s="1"/>
  <c r="I95" i="1"/>
  <c r="I87" i="1" s="1"/>
  <c r="I104" i="1" s="1"/>
  <c r="H231" i="1"/>
  <c r="P231" i="1"/>
  <c r="T239" i="1"/>
  <c r="N484" i="1"/>
  <c r="N508" i="1" s="1"/>
  <c r="O475" i="1"/>
  <c r="S477" i="1"/>
  <c r="T477" i="1" s="1"/>
  <c r="U477" i="1" s="1"/>
  <c r="U479" i="1" s="1"/>
  <c r="R498" i="1"/>
  <c r="R500" i="1"/>
  <c r="S503" i="1"/>
  <c r="S505" i="1" s="1"/>
  <c r="K539" i="1"/>
  <c r="K582" i="1" s="1"/>
  <c r="I576" i="1"/>
  <c r="F49" i="16"/>
  <c r="C572" i="16"/>
  <c r="C635" i="16"/>
  <c r="C639" i="16" s="1"/>
  <c r="D639" i="16" s="1"/>
  <c r="E639" i="16" s="1"/>
  <c r="F639" i="16" s="1"/>
  <c r="G639" i="16" s="1"/>
  <c r="H639" i="16" s="1"/>
  <c r="I639" i="16" s="1"/>
  <c r="J639" i="16" s="1"/>
  <c r="C939" i="16"/>
  <c r="C941" i="16" s="1"/>
  <c r="C943" i="16" s="1"/>
  <c r="E1121" i="16"/>
  <c r="I1121" i="16" s="1"/>
  <c r="F1871" i="16"/>
  <c r="N4" i="14"/>
  <c r="E87" i="14"/>
  <c r="G38" i="25"/>
  <c r="I58" i="25"/>
  <c r="J58" i="25" s="1"/>
  <c r="N21" i="21"/>
  <c r="O21" i="21" s="1"/>
  <c r="Q7" i="11"/>
  <c r="H82" i="12"/>
  <c r="F81" i="12"/>
  <c r="P82" i="12"/>
  <c r="H172" i="12"/>
  <c r="BD215" i="12"/>
  <c r="H233" i="12"/>
  <c r="AT236" i="12" s="1"/>
  <c r="L233" i="12"/>
  <c r="AX236" i="12" s="1"/>
  <c r="G9" i="1"/>
  <c r="G13" i="1" s="1"/>
  <c r="M19" i="18" s="1"/>
  <c r="M106" i="1"/>
  <c r="H2027" i="16" s="1"/>
  <c r="O297" i="1"/>
  <c r="O142" i="1" s="1"/>
  <c r="O145" i="1" s="1"/>
  <c r="T231" i="1"/>
  <c r="R239" i="1"/>
  <c r="F258" i="1"/>
  <c r="N502" i="1"/>
  <c r="H9" i="1"/>
  <c r="G145" i="1"/>
  <c r="G153" i="1" s="1"/>
  <c r="J297" i="1"/>
  <c r="R297" i="1"/>
  <c r="R142" i="1" s="1"/>
  <c r="R145" i="1" s="1"/>
  <c r="F301" i="1"/>
  <c r="T289" i="1"/>
  <c r="F307" i="1"/>
  <c r="N307" i="1"/>
  <c r="O460" i="1"/>
  <c r="R475" i="1"/>
  <c r="C112" i="16"/>
  <c r="D18" i="14"/>
  <c r="N87" i="14"/>
  <c r="D84" i="25"/>
  <c r="CS26" i="5"/>
  <c r="E32" i="13"/>
  <c r="D32" i="13" s="1"/>
  <c r="D54" i="13" s="1"/>
  <c r="L27" i="21"/>
  <c r="L23" i="11"/>
  <c r="K50" i="12"/>
  <c r="K49" i="12" s="1"/>
  <c r="K52" i="12" s="1"/>
  <c r="G36" i="12"/>
  <c r="D83" i="12"/>
  <c r="J88" i="12"/>
  <c r="R82" i="12"/>
  <c r="BF215" i="12"/>
  <c r="BI14" i="4"/>
  <c r="D1416" i="16"/>
  <c r="D86" i="25"/>
  <c r="D89" i="25" s="1"/>
  <c r="G176" i="25"/>
  <c r="AF122" i="5"/>
  <c r="AQ122" i="5"/>
  <c r="BA122" i="5"/>
  <c r="O59" i="10"/>
  <c r="S99" i="10"/>
  <c r="L122" i="10"/>
  <c r="L123" i="10" s="1"/>
  <c r="I47" i="12"/>
  <c r="G87" i="12"/>
  <c r="BD241" i="12"/>
  <c r="AT234" i="12"/>
  <c r="V241" i="12"/>
  <c r="BH241" i="12" s="1"/>
  <c r="H133" i="25"/>
  <c r="F2579" i="16" s="1"/>
  <c r="F3123" i="3"/>
  <c r="H23" i="13"/>
  <c r="H48" i="13" s="1"/>
  <c r="P80" i="13"/>
  <c r="H208" i="13" s="1"/>
  <c r="H24" i="11"/>
  <c r="N255" i="12"/>
  <c r="L1027" i="16"/>
  <c r="G1957" i="16"/>
  <c r="J4" i="14"/>
  <c r="AG5" i="14" s="1"/>
  <c r="D47" i="14"/>
  <c r="D56" i="14" s="1"/>
  <c r="F55" i="25"/>
  <c r="F56" i="25" s="1"/>
  <c r="P87" i="10"/>
  <c r="P99" i="10" s="1"/>
  <c r="Q86" i="10"/>
  <c r="H77" i="10"/>
  <c r="N116" i="13"/>
  <c r="F237" i="13" s="1"/>
  <c r="H7" i="11"/>
  <c r="H8" i="11" s="1"/>
  <c r="O24" i="11"/>
  <c r="D82" i="12"/>
  <c r="H144" i="12"/>
  <c r="T221" i="12"/>
  <c r="T242" i="12" s="1"/>
  <c r="BF234" i="12"/>
  <c r="V235" i="12"/>
  <c r="AE31" i="4"/>
  <c r="BJ31" i="4" s="1"/>
  <c r="R5" i="1"/>
  <c r="R295" i="1" s="1"/>
  <c r="R62" i="1"/>
  <c r="S8" i="1"/>
  <c r="T9" i="1" s="1"/>
  <c r="T73" i="1"/>
  <c r="Z142" i="18" s="1"/>
  <c r="J88" i="1"/>
  <c r="P147" i="18" s="1"/>
  <c r="E134" i="1"/>
  <c r="E140" i="1" s="1"/>
  <c r="M297" i="1"/>
  <c r="E187" i="1"/>
  <c r="J239" i="1"/>
  <c r="H448" i="1"/>
  <c r="E26" i="7" s="1"/>
  <c r="O481" i="1"/>
  <c r="O1467" i="16"/>
  <c r="D78" i="14"/>
  <c r="D84" i="14" s="1"/>
  <c r="D89" i="14" s="1"/>
  <c r="D94" i="14" s="1"/>
  <c r="D99" i="14" s="1"/>
  <c r="D104" i="14" s="1"/>
  <c r="D109" i="14" s="1"/>
  <c r="E2" i="14"/>
  <c r="E78" i="14" s="1"/>
  <c r="E84" i="14" s="1"/>
  <c r="E89" i="14" s="1"/>
  <c r="E94" i="14" s="1"/>
  <c r="E99" i="14" s="1"/>
  <c r="E104" i="14" s="1"/>
  <c r="E109" i="14" s="1"/>
  <c r="E127" i="14"/>
  <c r="E128" i="14" s="1"/>
  <c r="K14" i="14"/>
  <c r="K15" i="14" s="1"/>
  <c r="J76" i="10"/>
  <c r="K74" i="10"/>
  <c r="L74" i="10" s="1"/>
  <c r="M74" i="10" s="1"/>
  <c r="I147" i="10"/>
  <c r="I105" i="10"/>
  <c r="E80" i="12"/>
  <c r="H80" i="12"/>
  <c r="R80" i="12"/>
  <c r="P80" i="12"/>
  <c r="B96" i="1"/>
  <c r="B105" i="1" s="1"/>
  <c r="R114" i="1"/>
  <c r="J45" i="9" s="1"/>
  <c r="N297" i="1"/>
  <c r="N298" i="1" s="1"/>
  <c r="D327" i="1"/>
  <c r="D447" i="1"/>
  <c r="D527" i="1" s="1"/>
  <c r="E231" i="1"/>
  <c r="M231" i="1"/>
  <c r="I236" i="1"/>
  <c r="P328" i="1"/>
  <c r="P448" i="1"/>
  <c r="M26" i="7" s="1"/>
  <c r="K239" i="1"/>
  <c r="G248" i="1"/>
  <c r="R467" i="1"/>
  <c r="S466" i="1"/>
  <c r="R474" i="1"/>
  <c r="S473" i="1"/>
  <c r="T473" i="1" s="1"/>
  <c r="L30" i="14"/>
  <c r="G1547" i="16"/>
  <c r="H162" i="25"/>
  <c r="K2496" i="16"/>
  <c r="R51" i="10"/>
  <c r="K30" i="13"/>
  <c r="H240" i="16"/>
  <c r="N95" i="13"/>
  <c r="D35" i="21"/>
  <c r="C2" i="21"/>
  <c r="C35" i="21" s="1"/>
  <c r="D93" i="12"/>
  <c r="D73" i="12"/>
  <c r="D74" i="12" s="1"/>
  <c r="D36" i="12"/>
  <c r="F80" i="12"/>
  <c r="I130" i="12"/>
  <c r="J130" i="12" s="1"/>
  <c r="K160" i="12" s="1"/>
  <c r="AH190" i="5"/>
  <c r="Q239" i="1"/>
  <c r="M357" i="1"/>
  <c r="N357" i="1" s="1"/>
  <c r="O357" i="1" s="1"/>
  <c r="P357" i="1" s="1"/>
  <c r="Q357" i="1" s="1"/>
  <c r="R357" i="1" s="1"/>
  <c r="S357" i="1" s="1"/>
  <c r="T357" i="1" s="1"/>
  <c r="U357" i="1" s="1"/>
  <c r="V357" i="1" s="1"/>
  <c r="W357" i="1" s="1"/>
  <c r="X357" i="1" s="1"/>
  <c r="Y357" i="1" s="1"/>
  <c r="Z357" i="1" s="1"/>
  <c r="AA357" i="1" s="1"/>
  <c r="AB357" i="1" s="1"/>
  <c r="AC357" i="1" s="1"/>
  <c r="L356" i="1"/>
  <c r="C22" i="14"/>
  <c r="C34" i="14" s="1"/>
  <c r="C37" i="14" s="1"/>
  <c r="F1100" i="16"/>
  <c r="O22" i="14"/>
  <c r="O42" i="14" s="1"/>
  <c r="O4" i="14"/>
  <c r="G1478" i="16" s="1"/>
  <c r="ET67" i="5"/>
  <c r="AA122" i="5"/>
  <c r="V1404" i="16"/>
  <c r="R8" i="10"/>
  <c r="F2500" i="16" s="1"/>
  <c r="Q8" i="10"/>
  <c r="E2500" i="16" s="1"/>
  <c r="Q18" i="10"/>
  <c r="Q26" i="10" s="1"/>
  <c r="B217" i="10"/>
  <c r="K7" i="19"/>
  <c r="N62" i="13"/>
  <c r="I261" i="16" s="1"/>
  <c r="N94" i="13"/>
  <c r="I9" i="19"/>
  <c r="C448" i="16"/>
  <c r="T306" i="1"/>
  <c r="T307" i="1" s="1"/>
  <c r="U306" i="1"/>
  <c r="J30" i="7"/>
  <c r="M451" i="1"/>
  <c r="R465" i="1"/>
  <c r="S463" i="1"/>
  <c r="T463" i="1" s="1"/>
  <c r="R472" i="1"/>
  <c r="S470" i="1"/>
  <c r="S472" i="1" s="1"/>
  <c r="K495" i="1"/>
  <c r="D297" i="16"/>
  <c r="D295" i="16"/>
  <c r="D574" i="16"/>
  <c r="D572" i="16"/>
  <c r="E611" i="16"/>
  <c r="I952" i="16"/>
  <c r="J946" i="16"/>
  <c r="H1466" i="16"/>
  <c r="H1472" i="16" s="1"/>
  <c r="L1458" i="16"/>
  <c r="D1956" i="16"/>
  <c r="F1957" i="16"/>
  <c r="V5" i="10"/>
  <c r="W5" i="10" s="1"/>
  <c r="X5" i="10" s="1"/>
  <c r="Y5" i="10" s="1"/>
  <c r="C2470" i="16"/>
  <c r="O129" i="10"/>
  <c r="O27" i="10"/>
  <c r="H159" i="10"/>
  <c r="H162" i="10" s="1"/>
  <c r="I162" i="10" s="1"/>
  <c r="I195" i="13"/>
  <c r="Q68" i="13"/>
  <c r="I191" i="13" s="1"/>
  <c r="E1667" i="16"/>
  <c r="J144" i="12"/>
  <c r="AO186" i="5"/>
  <c r="AD39" i="4"/>
  <c r="AE39" i="4"/>
  <c r="AB39" i="4"/>
  <c r="V82" i="1"/>
  <c r="S12" i="1"/>
  <c r="H83" i="1"/>
  <c r="R104" i="1"/>
  <c r="Q98" i="1"/>
  <c r="Q99" i="1" s="1"/>
  <c r="R112" i="1"/>
  <c r="R121" i="1" s="1"/>
  <c r="G134" i="1"/>
  <c r="G140" i="1" s="1"/>
  <c r="I297" i="1"/>
  <c r="I298" i="1" s="1"/>
  <c r="Q218" i="1"/>
  <c r="P236" i="1"/>
  <c r="L239" i="1"/>
  <c r="Q264" i="1"/>
  <c r="Q256" i="1"/>
  <c r="Q248" i="1" s="1"/>
  <c r="D294" i="16"/>
  <c r="H952" i="16"/>
  <c r="E81" i="25"/>
  <c r="G34" i="13"/>
  <c r="G46" i="13"/>
  <c r="L21" i="12"/>
  <c r="L22" i="12" s="1"/>
  <c r="L14" i="12"/>
  <c r="L18" i="12"/>
  <c r="C1751" i="16"/>
  <c r="C1752" i="16" s="1"/>
  <c r="C1776" i="16"/>
  <c r="T12" i="1"/>
  <c r="S83" i="1"/>
  <c r="Q236" i="1"/>
  <c r="E258" i="1"/>
  <c r="E327" i="1"/>
  <c r="N440" i="1"/>
  <c r="N174" i="1" s="1"/>
  <c r="T114" i="18" s="1"/>
  <c r="P456" i="1"/>
  <c r="P460" i="1" s="1"/>
  <c r="O487" i="1"/>
  <c r="O488" i="1" s="1"/>
  <c r="F372" i="16"/>
  <c r="C408" i="16" s="1"/>
  <c r="E440" i="16" s="1"/>
  <c r="D373" i="16"/>
  <c r="J80" i="10"/>
  <c r="Y240" i="12"/>
  <c r="Y241" i="12" s="1"/>
  <c r="Y221" i="12"/>
  <c r="AU234" i="12"/>
  <c r="I233" i="12"/>
  <c r="AU236" i="12" s="1"/>
  <c r="BC234" i="12"/>
  <c r="Q233" i="12"/>
  <c r="BC236" i="12" s="1"/>
  <c r="F14" i="12"/>
  <c r="F52" i="12" s="1"/>
  <c r="F97" i="12" s="1"/>
  <c r="R255" i="12"/>
  <c r="BK23" i="4"/>
  <c r="AE36" i="4"/>
  <c r="AB36" i="4"/>
  <c r="BK26" i="4"/>
  <c r="Q9" i="1"/>
  <c r="D209" i="1"/>
  <c r="E244" i="1"/>
  <c r="D248" i="1"/>
  <c r="D249" i="1" s="1"/>
  <c r="I328" i="1"/>
  <c r="M30" i="7"/>
  <c r="P451" i="1"/>
  <c r="K468" i="1"/>
  <c r="K474" i="1"/>
  <c r="K475" i="1"/>
  <c r="J583" i="1"/>
  <c r="K540" i="1"/>
  <c r="L540" i="1" s="1"/>
  <c r="M540" i="1" s="1"/>
  <c r="M583" i="1" s="1"/>
  <c r="D439" i="16"/>
  <c r="C384" i="16"/>
  <c r="C953" i="16"/>
  <c r="I2496" i="16"/>
  <c r="H2496" i="16"/>
  <c r="D14" i="12"/>
  <c r="D32" i="12" s="1"/>
  <c r="D47" i="12" s="1"/>
  <c r="E6" i="1"/>
  <c r="R9" i="1"/>
  <c r="Q89" i="1"/>
  <c r="E1021" i="16" s="1"/>
  <c r="J1021" i="16" s="1"/>
  <c r="D134" i="1"/>
  <c r="D140" i="1" s="1"/>
  <c r="D187" i="1"/>
  <c r="D188" i="1" s="1"/>
  <c r="K190" i="1"/>
  <c r="E209" i="1"/>
  <c r="I239" i="1"/>
  <c r="O467" i="1"/>
  <c r="K481" i="1"/>
  <c r="K482" i="1"/>
  <c r="K584" i="1"/>
  <c r="D367" i="16"/>
  <c r="D366" i="16"/>
  <c r="C388" i="16"/>
  <c r="D440" i="16" s="1"/>
  <c r="W185" i="5"/>
  <c r="W187" i="5" s="1"/>
  <c r="CQ187" i="5" s="1"/>
  <c r="W7" i="5"/>
  <c r="CL7" i="5" s="1"/>
  <c r="M67" i="10"/>
  <c r="M92" i="10" s="1"/>
  <c r="B215" i="10"/>
  <c r="B224" i="10" s="1"/>
  <c r="B234" i="10" s="1"/>
  <c r="B91" i="9"/>
  <c r="B216" i="10"/>
  <c r="B225" i="10" s="1"/>
  <c r="B235" i="10" s="1"/>
  <c r="B92" i="9"/>
  <c r="O219" i="10"/>
  <c r="I1693" i="16" s="1"/>
  <c r="M26" i="11"/>
  <c r="M7" i="11"/>
  <c r="M22" i="11"/>
  <c r="M27" i="11"/>
  <c r="D78" i="12"/>
  <c r="F78" i="12"/>
  <c r="E78" i="12"/>
  <c r="AY234" i="12"/>
  <c r="D301" i="1"/>
  <c r="T169" i="1"/>
  <c r="R479" i="1"/>
  <c r="K488" i="1"/>
  <c r="H576" i="1"/>
  <c r="B560" i="1"/>
  <c r="B571" i="1" s="1"/>
  <c r="K192" i="16"/>
  <c r="H199" i="16" s="1"/>
  <c r="N61" i="14"/>
  <c r="N59" i="14" s="1"/>
  <c r="L115" i="14"/>
  <c r="K9" i="13"/>
  <c r="K10" i="13" s="1"/>
  <c r="I148" i="10" s="1"/>
  <c r="I62" i="10"/>
  <c r="D122" i="10"/>
  <c r="D123" i="10" s="1"/>
  <c r="D126" i="10"/>
  <c r="K123" i="10"/>
  <c r="I204" i="13"/>
  <c r="K52" i="13"/>
  <c r="H86" i="12"/>
  <c r="G301" i="1"/>
  <c r="K307" i="1"/>
  <c r="S307" i="1"/>
  <c r="G583" i="1"/>
  <c r="H49" i="16"/>
  <c r="G715" i="16"/>
  <c r="D1052" i="16"/>
  <c r="F1872" i="16"/>
  <c r="B2484" i="16"/>
  <c r="B2489" i="16" s="1"/>
  <c r="B2495" i="16" s="1"/>
  <c r="E26" i="25"/>
  <c r="M19" i="13"/>
  <c r="M46" i="13" s="1"/>
  <c r="M43" i="13"/>
  <c r="M52" i="13" s="1"/>
  <c r="M40" i="13"/>
  <c r="M58" i="13"/>
  <c r="N174" i="13" s="1"/>
  <c r="K144" i="12"/>
  <c r="BG234" i="12"/>
  <c r="AC17" i="4"/>
  <c r="BH17" i="4" s="1"/>
  <c r="BH14" i="4"/>
  <c r="B1186" i="16"/>
  <c r="C1198" i="16" s="1"/>
  <c r="C1199" i="16" s="1"/>
  <c r="E1950" i="16"/>
  <c r="O87" i="14"/>
  <c r="O30" i="14"/>
  <c r="P80" i="10"/>
  <c r="P76" i="10"/>
  <c r="P77" i="10" s="1"/>
  <c r="L108" i="10"/>
  <c r="G3123" i="3"/>
  <c r="H4823" i="3"/>
  <c r="C137" i="12"/>
  <c r="D137" i="12" s="1"/>
  <c r="E137" i="12" s="1"/>
  <c r="E136" i="12" s="1"/>
  <c r="E138" i="12" s="1"/>
  <c r="E141" i="12" s="1"/>
  <c r="E134" i="12" s="1"/>
  <c r="C50" i="12"/>
  <c r="C30" i="12"/>
  <c r="R256" i="12"/>
  <c r="BK8" i="4"/>
  <c r="A65" i="3"/>
  <c r="E301" i="1"/>
  <c r="L451" i="1"/>
  <c r="R481" i="1"/>
  <c r="L495" i="1"/>
  <c r="K542" i="1"/>
  <c r="C308" i="16"/>
  <c r="E1252" i="16"/>
  <c r="F1946" i="16"/>
  <c r="J1946" i="16" s="1"/>
  <c r="M2498" i="16"/>
  <c r="E28" i="14"/>
  <c r="AH279" i="5"/>
  <c r="I146" i="10"/>
  <c r="I7" i="19"/>
  <c r="L90" i="13"/>
  <c r="M62" i="13"/>
  <c r="H261" i="16" s="1"/>
  <c r="J204" i="13"/>
  <c r="I25" i="11"/>
  <c r="I27" i="11"/>
  <c r="Q25" i="11"/>
  <c r="Q27" i="11"/>
  <c r="Q22" i="11"/>
  <c r="I23" i="11"/>
  <c r="H93" i="12"/>
  <c r="H94" i="12" s="1"/>
  <c r="I36" i="12"/>
  <c r="R77" i="12"/>
  <c r="H77" i="12"/>
  <c r="X241" i="12"/>
  <c r="BN241" i="12" s="1"/>
  <c r="BJ234" i="12"/>
  <c r="X233" i="12"/>
  <c r="BJ14" i="4"/>
  <c r="AE17" i="4"/>
  <c r="BJ17" i="4" s="1"/>
  <c r="K461" i="1"/>
  <c r="B579" i="1"/>
  <c r="I192" i="16"/>
  <c r="F199" i="16" s="1"/>
  <c r="F200" i="16" s="1"/>
  <c r="AB1407" i="16"/>
  <c r="F1947" i="16"/>
  <c r="D1973" i="16" s="1"/>
  <c r="D1974" i="16" s="1"/>
  <c r="J51" i="26"/>
  <c r="J58" i="26" s="1"/>
  <c r="J43" i="14"/>
  <c r="E14" i="25"/>
  <c r="EZ17" i="5"/>
  <c r="O40" i="13"/>
  <c r="P12" i="13"/>
  <c r="Q12" i="13" s="1"/>
  <c r="J26" i="11"/>
  <c r="J17" i="11"/>
  <c r="D80" i="12"/>
  <c r="F144" i="12"/>
  <c r="U186" i="5"/>
  <c r="C2612" i="16"/>
  <c r="L58" i="9"/>
  <c r="I22" i="14"/>
  <c r="I29" i="14" s="1"/>
  <c r="AF6" i="14" s="1"/>
  <c r="L47" i="14"/>
  <c r="C129" i="14"/>
  <c r="EW18" i="5"/>
  <c r="AB139" i="5"/>
  <c r="AG282" i="5"/>
  <c r="L281" i="10"/>
  <c r="L30" i="13"/>
  <c r="P23" i="11"/>
  <c r="P37" i="11"/>
  <c r="C138" i="16" s="1"/>
  <c r="C140" i="16" s="1"/>
  <c r="C143" i="16" s="1"/>
  <c r="E14" i="12"/>
  <c r="L79" i="12"/>
  <c r="M81" i="12"/>
  <c r="G172" i="12"/>
  <c r="BD239" i="12"/>
  <c r="P241" i="12"/>
  <c r="BB241" i="12" s="1"/>
  <c r="AX234" i="12"/>
  <c r="BI17" i="4"/>
  <c r="BK22" i="4"/>
  <c r="K5" i="2"/>
  <c r="E37" i="7"/>
  <c r="M15" i="14"/>
  <c r="D30" i="14"/>
  <c r="P53" i="5"/>
  <c r="AD137" i="5"/>
  <c r="DF128" i="5"/>
  <c r="CZ138" i="5"/>
  <c r="AN188" i="5"/>
  <c r="H97" i="10"/>
  <c r="J22" i="12"/>
  <c r="P79" i="12"/>
  <c r="R81" i="12"/>
  <c r="BB215" i="12"/>
  <c r="AA256" i="12"/>
  <c r="BH27" i="4"/>
  <c r="AB35" i="4"/>
  <c r="K2612" i="16"/>
  <c r="BA34" i="5"/>
  <c r="BA71" i="5" s="1"/>
  <c r="AI138" i="5"/>
  <c r="DB137" i="5"/>
  <c r="AG122" i="5"/>
  <c r="M146" i="10"/>
  <c r="E8" i="22" s="1"/>
  <c r="F204" i="13"/>
  <c r="D59" i="13"/>
  <c r="L58" i="13"/>
  <c r="I5" i="19" s="1"/>
  <c r="P112" i="13"/>
  <c r="H233" i="13" s="1"/>
  <c r="H23" i="11"/>
  <c r="L24" i="11"/>
  <c r="M14" i="12"/>
  <c r="N17" i="12"/>
  <c r="K22" i="12"/>
  <c r="I65" i="12"/>
  <c r="J65" i="12" s="1"/>
  <c r="K65" i="12" s="1"/>
  <c r="L82" i="12" s="1"/>
  <c r="J70" i="12"/>
  <c r="K70" i="12" s="1"/>
  <c r="L70" i="12" s="1"/>
  <c r="M70" i="12" s="1"/>
  <c r="N70" i="12" s="1"/>
  <c r="E79" i="12"/>
  <c r="R79" i="12"/>
  <c r="N242" i="12"/>
  <c r="X221" i="12"/>
  <c r="G255" i="12"/>
  <c r="L242" i="12"/>
  <c r="Z240" i="12"/>
  <c r="Z241" i="12" s="1"/>
  <c r="Z242" i="12" s="1"/>
  <c r="K256" i="12"/>
  <c r="S256" i="12"/>
  <c r="BD14" i="4"/>
  <c r="AE35" i="4"/>
  <c r="AB38" i="4"/>
  <c r="H255" i="12"/>
  <c r="U241" i="12"/>
  <c r="AE38" i="4"/>
  <c r="E65" i="17"/>
  <c r="O37" i="11"/>
  <c r="C14" i="12"/>
  <c r="C17" i="12" s="1"/>
  <c r="C19" i="12" s="1"/>
  <c r="H166" i="12"/>
  <c r="BJ215" i="12"/>
  <c r="S121" i="1"/>
  <c r="Q27" i="7"/>
  <c r="T171" i="1"/>
  <c r="Z113" i="18" s="1"/>
  <c r="M448" i="1"/>
  <c r="J26" i="7" s="1"/>
  <c r="M328" i="1"/>
  <c r="M239" i="1"/>
  <c r="M236" i="1"/>
  <c r="T18" i="18"/>
  <c r="C138" i="14"/>
  <c r="C2182" i="16"/>
  <c r="C512" i="16"/>
  <c r="C554" i="16" s="1"/>
  <c r="F212" i="16"/>
  <c r="F217" i="16" s="1"/>
  <c r="E342" i="16"/>
  <c r="E354" i="16" s="1"/>
  <c r="N295" i="1"/>
  <c r="N288" i="1"/>
  <c r="E324" i="16"/>
  <c r="E336" i="16" s="1"/>
  <c r="N285" i="1"/>
  <c r="AA139" i="18"/>
  <c r="BN29" i="5"/>
  <c r="J42" i="26"/>
  <c r="J57" i="26" s="1"/>
  <c r="U115" i="1"/>
  <c r="Y146" i="18"/>
  <c r="N97" i="14"/>
  <c r="N96" i="14" s="1"/>
  <c r="K43" i="9"/>
  <c r="H1454" i="16"/>
  <c r="H1469" i="16" s="1"/>
  <c r="E1820" i="16"/>
  <c r="S104" i="1"/>
  <c r="S90" i="1"/>
  <c r="O149" i="18"/>
  <c r="F25" i="7"/>
  <c r="I528" i="1"/>
  <c r="I419" i="1"/>
  <c r="I195" i="1"/>
  <c r="I107" i="1"/>
  <c r="P27" i="7"/>
  <c r="S171" i="1"/>
  <c r="Y113" i="18" s="1"/>
  <c r="P70" i="5"/>
  <c r="K329" i="1"/>
  <c r="L221" i="1"/>
  <c r="K223" i="1"/>
  <c r="K137" i="1" s="1"/>
  <c r="Q3" i="18"/>
  <c r="H7" i="7"/>
  <c r="H10" i="7" s="1"/>
  <c r="K512" i="1"/>
  <c r="L511" i="1"/>
  <c r="N146" i="18"/>
  <c r="N152" i="18" s="1"/>
  <c r="H104" i="1"/>
  <c r="T56" i="1"/>
  <c r="R88" i="13" s="1"/>
  <c r="T325" i="1"/>
  <c r="K1" i="10"/>
  <c r="K167" i="10" s="1"/>
  <c r="J731" i="16"/>
  <c r="J78" i="16"/>
  <c r="J81" i="16" s="1"/>
  <c r="U18" i="18"/>
  <c r="D138" i="14"/>
  <c r="D512" i="16"/>
  <c r="D554" i="16" s="1"/>
  <c r="O295" i="1"/>
  <c r="O288" i="1"/>
  <c r="O285" i="1"/>
  <c r="O6" i="1"/>
  <c r="C1035" i="16"/>
  <c r="R392" i="1"/>
  <c r="Q316" i="1"/>
  <c r="Q148" i="1" s="1"/>
  <c r="Q153" i="1" s="1"/>
  <c r="Q299" i="1"/>
  <c r="P142" i="1"/>
  <c r="P145" i="1" s="1"/>
  <c r="I325" i="1"/>
  <c r="I9" i="1"/>
  <c r="K290" i="1"/>
  <c r="F526" i="1"/>
  <c r="K186" i="1"/>
  <c r="L187" i="1"/>
  <c r="N149" i="18"/>
  <c r="E25" i="7"/>
  <c r="H528" i="1"/>
  <c r="H419" i="1"/>
  <c r="H107" i="1"/>
  <c r="O134" i="18"/>
  <c r="I62" i="1"/>
  <c r="I83" i="1"/>
  <c r="I57" i="1"/>
  <c r="O19" i="18"/>
  <c r="F24" i="7"/>
  <c r="I445" i="1"/>
  <c r="BC70" i="5"/>
  <c r="S329" i="1"/>
  <c r="T131" i="18"/>
  <c r="AE7" i="5"/>
  <c r="AE51" i="5" s="1"/>
  <c r="N54" i="1"/>
  <c r="E4212" i="3"/>
  <c r="BI83" i="5"/>
  <c r="T99" i="1"/>
  <c r="BI70" i="5"/>
  <c r="T329" i="1"/>
  <c r="U131" i="18"/>
  <c r="AJ7" i="5"/>
  <c r="AJ16" i="5" s="1"/>
  <c r="H269" i="16"/>
  <c r="O54" i="1"/>
  <c r="O48" i="1"/>
  <c r="O78" i="1"/>
  <c r="H79" i="1"/>
  <c r="H54" i="1"/>
  <c r="B57" i="9"/>
  <c r="B18" i="9"/>
  <c r="B2920" i="16" s="1"/>
  <c r="B2112" i="16"/>
  <c r="D2017" i="16"/>
  <c r="D2018" i="16" s="1"/>
  <c r="J1" i="10"/>
  <c r="J167" i="10" s="1"/>
  <c r="I78" i="16"/>
  <c r="I81" i="16" s="1"/>
  <c r="I731" i="16"/>
  <c r="I79" i="1"/>
  <c r="I54" i="1"/>
  <c r="K29" i="7"/>
  <c r="N218" i="1"/>
  <c r="N170" i="1"/>
  <c r="S147" i="1"/>
  <c r="S256" i="1"/>
  <c r="S275" i="1"/>
  <c r="Q307" i="1"/>
  <c r="P307" i="1"/>
  <c r="M541" i="1"/>
  <c r="M584" i="1" s="1"/>
  <c r="D1" i="10"/>
  <c r="D167" i="10" s="1"/>
  <c r="F4" i="16"/>
  <c r="C36" i="16" s="1"/>
  <c r="C78" i="16"/>
  <c r="L1" i="10"/>
  <c r="L167" i="10" s="1"/>
  <c r="K731" i="16"/>
  <c r="C1477" i="16"/>
  <c r="C1484" i="16" s="1"/>
  <c r="V131" i="18"/>
  <c r="AO7" i="5"/>
  <c r="AO16" i="5" s="1"/>
  <c r="AO18" i="5" s="1"/>
  <c r="C1124" i="16"/>
  <c r="P54" i="1"/>
  <c r="P56" i="1" s="1"/>
  <c r="P83" i="1" s="1"/>
  <c r="N142" i="18"/>
  <c r="H84" i="1"/>
  <c r="R83" i="1"/>
  <c r="W147" i="18"/>
  <c r="W153" i="18" s="1"/>
  <c r="H172" i="18" s="1"/>
  <c r="O128" i="13"/>
  <c r="O147" i="13"/>
  <c r="E1022" i="16"/>
  <c r="J1022" i="16" s="1"/>
  <c r="C1821" i="16"/>
  <c r="D1139" i="16"/>
  <c r="H1139" i="16" s="1"/>
  <c r="P149" i="18"/>
  <c r="J528" i="1"/>
  <c r="G25" i="7"/>
  <c r="J419" i="1"/>
  <c r="Q113" i="1"/>
  <c r="U169" i="1"/>
  <c r="V412" i="1"/>
  <c r="D446" i="1"/>
  <c r="R494" i="1"/>
  <c r="R487" i="1"/>
  <c r="R461" i="1"/>
  <c r="S456" i="1"/>
  <c r="S458" i="1" s="1"/>
  <c r="R460" i="1"/>
  <c r="S459" i="1"/>
  <c r="T147" i="1"/>
  <c r="T256" i="1"/>
  <c r="AE70" i="5"/>
  <c r="C185" i="14"/>
  <c r="AE77" i="5"/>
  <c r="C198" i="14"/>
  <c r="K161" i="12"/>
  <c r="W131" i="18"/>
  <c r="AT7" i="5"/>
  <c r="AT16" i="5" s="1"/>
  <c r="AT18" i="5" s="1"/>
  <c r="C1800" i="16"/>
  <c r="D1124" i="16"/>
  <c r="Q54" i="1"/>
  <c r="Q56" i="1" s="1"/>
  <c r="Q49" i="1"/>
  <c r="D1479" i="16" s="1"/>
  <c r="O142" i="18"/>
  <c r="I84" i="1"/>
  <c r="I75" i="1"/>
  <c r="P78" i="1"/>
  <c r="N147" i="18"/>
  <c r="N153" i="18" s="1"/>
  <c r="F128" i="13"/>
  <c r="H113" i="1"/>
  <c r="H122" i="1" s="1"/>
  <c r="X147" i="18"/>
  <c r="X153" i="18" s="1"/>
  <c r="I172" i="18" s="1"/>
  <c r="P128" i="13"/>
  <c r="K1454" i="16"/>
  <c r="K1469" i="16" s="1"/>
  <c r="D1821" i="16"/>
  <c r="E1139" i="16"/>
  <c r="I1139" i="16" s="1"/>
  <c r="R105" i="1"/>
  <c r="O148" i="18"/>
  <c r="O154" i="18" s="1"/>
  <c r="D2031" i="16"/>
  <c r="I114" i="1"/>
  <c r="I123" i="1" s="1"/>
  <c r="D80" i="16" s="1"/>
  <c r="R113" i="1"/>
  <c r="S297" i="1"/>
  <c r="P21" i="18"/>
  <c r="J208" i="1"/>
  <c r="H134" i="1"/>
  <c r="H140" i="1" s="1"/>
  <c r="Q290" i="1"/>
  <c r="W114" i="18"/>
  <c r="AT155" i="5"/>
  <c r="E446" i="1"/>
  <c r="J448" i="1"/>
  <c r="G26" i="7" s="1"/>
  <c r="H509" i="1"/>
  <c r="H520" i="1"/>
  <c r="H167" i="1" s="1"/>
  <c r="Q502" i="1"/>
  <c r="J484" i="1"/>
  <c r="AJ70" i="5"/>
  <c r="D185" i="14"/>
  <c r="AJ77" i="5"/>
  <c r="D198" i="14"/>
  <c r="E198" i="14" s="1"/>
  <c r="N73" i="1"/>
  <c r="Q78" i="1"/>
  <c r="P146" i="18"/>
  <c r="E97" i="14"/>
  <c r="E96" i="14" s="1"/>
  <c r="O147" i="18"/>
  <c r="O153" i="18" s="1"/>
  <c r="G128" i="13"/>
  <c r="I113" i="1"/>
  <c r="I122" i="1" s="1"/>
  <c r="Y147" i="18"/>
  <c r="Y153" i="18" s="1"/>
  <c r="Q128" i="13"/>
  <c r="L1454" i="16"/>
  <c r="L1469" i="16" s="1"/>
  <c r="E1821" i="16"/>
  <c r="E1828" i="16" s="1"/>
  <c r="S105" i="1"/>
  <c r="P148" i="18"/>
  <c r="P154" i="18" s="1"/>
  <c r="F226" i="10"/>
  <c r="S113" i="1"/>
  <c r="Y111" i="18"/>
  <c r="BC147" i="5"/>
  <c r="F447" i="1"/>
  <c r="F527" i="1" s="1"/>
  <c r="F327" i="1"/>
  <c r="H248" i="1"/>
  <c r="I290" i="1"/>
  <c r="R130" i="1"/>
  <c r="R257" i="1"/>
  <c r="H30" i="7"/>
  <c r="K451" i="1"/>
  <c r="P30" i="7"/>
  <c r="S451" i="1"/>
  <c r="M492" i="1"/>
  <c r="M509" i="1" s="1"/>
  <c r="N488" i="1"/>
  <c r="M488" i="1"/>
  <c r="O3" i="18"/>
  <c r="O4" i="18" s="1"/>
  <c r="F7" i="7"/>
  <c r="F10" i="7" s="1"/>
  <c r="I511" i="1"/>
  <c r="J18" i="18"/>
  <c r="D421" i="1"/>
  <c r="M18" i="18"/>
  <c r="G421" i="1"/>
  <c r="C2210" i="16"/>
  <c r="C2228" i="16" s="1"/>
  <c r="H16" i="1"/>
  <c r="AO70" i="5"/>
  <c r="P329" i="1"/>
  <c r="P48" i="1"/>
  <c r="C1479" i="16" s="1"/>
  <c r="N133" i="18"/>
  <c r="D185" i="10"/>
  <c r="F12" i="16"/>
  <c r="H81" i="1"/>
  <c r="P73" i="1"/>
  <c r="D773" i="16" s="1"/>
  <c r="T139" i="18"/>
  <c r="AE31" i="5"/>
  <c r="C519" i="16"/>
  <c r="C561" i="16" s="1"/>
  <c r="N115" i="1"/>
  <c r="F47" i="9" s="1"/>
  <c r="O73" i="1"/>
  <c r="Q146" i="18"/>
  <c r="F97" i="14"/>
  <c r="F96" i="14" s="1"/>
  <c r="Q148" i="18"/>
  <c r="G226" i="10"/>
  <c r="Q45" i="14"/>
  <c r="S19" i="7"/>
  <c r="B106" i="1"/>
  <c r="J112" i="1"/>
  <c r="L44" i="9"/>
  <c r="T122" i="1"/>
  <c r="E2080" i="16"/>
  <c r="E2082" i="16" s="1"/>
  <c r="K45" i="9"/>
  <c r="S123" i="1"/>
  <c r="D156" i="1"/>
  <c r="D157" i="1" s="1"/>
  <c r="D177" i="1" s="1"/>
  <c r="G447" i="1"/>
  <c r="G527" i="1" s="1"/>
  <c r="G327" i="1"/>
  <c r="R328" i="1"/>
  <c r="R448" i="1"/>
  <c r="O26" i="7" s="1"/>
  <c r="R236" i="1"/>
  <c r="H243" i="1"/>
  <c r="H244" i="1" s="1"/>
  <c r="Q243" i="1"/>
  <c r="J130" i="1"/>
  <c r="J257" i="1"/>
  <c r="J258" i="1" s="1"/>
  <c r="E421" i="1"/>
  <c r="R458" i="1"/>
  <c r="S480" i="1"/>
  <c r="N492" i="1"/>
  <c r="N509" i="1" s="1"/>
  <c r="P3" i="18"/>
  <c r="K511" i="1"/>
  <c r="J511" i="1"/>
  <c r="G7" i="7"/>
  <c r="G10" i="7" s="1"/>
  <c r="G35" i="7" s="1"/>
  <c r="J512" i="1"/>
  <c r="L18" i="18"/>
  <c r="F421" i="1"/>
  <c r="AT70" i="5"/>
  <c r="Q329" i="1"/>
  <c r="Q48" i="1"/>
  <c r="O133" i="18"/>
  <c r="E185" i="10"/>
  <c r="G12" i="16"/>
  <c r="I81" i="1"/>
  <c r="X134" i="18"/>
  <c r="E1129" i="16"/>
  <c r="D1593" i="16"/>
  <c r="O139" i="18"/>
  <c r="I115" i="1"/>
  <c r="R148" i="18"/>
  <c r="H226" i="10"/>
  <c r="R90" i="1"/>
  <c r="Z91" i="5"/>
  <c r="Z83" i="5" s="1"/>
  <c r="M87" i="1"/>
  <c r="M112" i="1" s="1"/>
  <c r="E3748" i="3"/>
  <c r="AY83" i="5"/>
  <c r="F750" i="16"/>
  <c r="R99" i="1"/>
  <c r="H105" i="1"/>
  <c r="H106" i="1"/>
  <c r="E145" i="1"/>
  <c r="E153" i="1" s="1"/>
  <c r="F326" i="1"/>
  <c r="F187" i="1"/>
  <c r="J195" i="1"/>
  <c r="H208" i="1"/>
  <c r="F238" i="1"/>
  <c r="K448" i="1"/>
  <c r="H26" i="7" s="1"/>
  <c r="K236" i="1"/>
  <c r="K328" i="1"/>
  <c r="S448" i="1"/>
  <c r="P26" i="7" s="1"/>
  <c r="S328" i="1"/>
  <c r="S236" i="1"/>
  <c r="I243" i="1"/>
  <c r="R243" i="1"/>
  <c r="L248" i="1"/>
  <c r="Q257" i="1"/>
  <c r="K257" i="1"/>
  <c r="K258" i="1" s="1"/>
  <c r="L243" i="1"/>
  <c r="T275" i="1"/>
  <c r="J328" i="1"/>
  <c r="Q22" i="18"/>
  <c r="W3" i="18"/>
  <c r="N7" i="7"/>
  <c r="N10" i="7" s="1"/>
  <c r="N20" i="7" s="1"/>
  <c r="R533" i="1"/>
  <c r="R41" i="1"/>
  <c r="N18" i="18"/>
  <c r="H291" i="1"/>
  <c r="H288" i="1"/>
  <c r="H285" i="1"/>
  <c r="H298" i="1"/>
  <c r="S2" i="1"/>
  <c r="S4" i="1" s="1"/>
  <c r="O18" i="18"/>
  <c r="I288" i="1"/>
  <c r="I285" i="1"/>
  <c r="I295" i="1"/>
  <c r="H13" i="1"/>
  <c r="AB13" i="18"/>
  <c r="D21" i="26"/>
  <c r="I1" i="10"/>
  <c r="I167" i="10" s="1"/>
  <c r="H78" i="16"/>
  <c r="H81" i="16" s="1"/>
  <c r="H731" i="16"/>
  <c r="R49" i="1"/>
  <c r="E1479" i="16" s="1"/>
  <c r="Y134" i="18"/>
  <c r="E1593" i="16"/>
  <c r="S57" i="1"/>
  <c r="F1482" i="16" s="1"/>
  <c r="S62" i="1"/>
  <c r="AB139" i="18"/>
  <c r="AB152" i="18" s="1"/>
  <c r="K42" i="26"/>
  <c r="K57" i="26" s="1"/>
  <c r="V115" i="1"/>
  <c r="X142" i="18"/>
  <c r="I74" i="1"/>
  <c r="H75" i="1"/>
  <c r="BD83" i="5"/>
  <c r="BC83" i="5" s="1"/>
  <c r="BC94" i="5" s="1"/>
  <c r="G750" i="16"/>
  <c r="S99" i="1"/>
  <c r="I105" i="1"/>
  <c r="I106" i="1"/>
  <c r="D2027" i="16" s="1"/>
  <c r="F145" i="1"/>
  <c r="F153" i="1" s="1"/>
  <c r="G446" i="1"/>
  <c r="G326" i="1"/>
  <c r="G187" i="1"/>
  <c r="I208" i="1"/>
  <c r="F209" i="1"/>
  <c r="G238" i="1"/>
  <c r="L448" i="1"/>
  <c r="I26" i="7" s="1"/>
  <c r="L328" i="1"/>
  <c r="L236" i="1"/>
  <c r="BI65" i="5"/>
  <c r="T448" i="1"/>
  <c r="Q26" i="7" s="1"/>
  <c r="T328" i="1"/>
  <c r="T236" i="1"/>
  <c r="S239" i="1"/>
  <c r="J243" i="1"/>
  <c r="K248" i="1"/>
  <c r="K249" i="1" s="1"/>
  <c r="H257" i="1"/>
  <c r="H258" i="1" s="1"/>
  <c r="R265" i="1"/>
  <c r="R264" i="1" s="1"/>
  <c r="S264" i="1" s="1"/>
  <c r="T264" i="1" s="1"/>
  <c r="M329" i="1"/>
  <c r="K500" i="1"/>
  <c r="K498" i="1"/>
  <c r="L503" i="1"/>
  <c r="K501" i="1"/>
  <c r="K499" i="1"/>
  <c r="L535" i="1"/>
  <c r="T110" i="11"/>
  <c r="G185" i="16" s="1"/>
  <c r="T86" i="11"/>
  <c r="U109" i="11"/>
  <c r="U86" i="11" s="1"/>
  <c r="G494" i="16"/>
  <c r="AE73" i="5"/>
  <c r="C195" i="14"/>
  <c r="E1" i="10"/>
  <c r="E167" i="10" s="1"/>
  <c r="G4" i="16"/>
  <c r="D78" i="16"/>
  <c r="M1" i="10"/>
  <c r="M167" i="10" s="1"/>
  <c r="L731" i="16"/>
  <c r="D1477" i="16"/>
  <c r="D1484" i="16" s="1"/>
  <c r="X131" i="18"/>
  <c r="AY7" i="5"/>
  <c r="AY51" i="5" s="1"/>
  <c r="E1124" i="16"/>
  <c r="D1800" i="16"/>
  <c r="R48" i="1"/>
  <c r="N132" i="18"/>
  <c r="F61" i="13"/>
  <c r="F94" i="13" s="1"/>
  <c r="F11" i="16"/>
  <c r="C38" i="16" s="1"/>
  <c r="W139" i="18"/>
  <c r="AT31" i="5"/>
  <c r="F519" i="16"/>
  <c r="F561" i="16" s="1"/>
  <c r="C1815" i="16"/>
  <c r="C1816" i="16" s="1"/>
  <c r="H1812" i="16" s="1"/>
  <c r="R78" i="1"/>
  <c r="R146" i="18"/>
  <c r="G97" i="14"/>
  <c r="G96" i="14" s="1"/>
  <c r="Z147" i="18"/>
  <c r="Z153" i="18" s="1"/>
  <c r="R128" i="13"/>
  <c r="BI101" i="5"/>
  <c r="F1821" i="16"/>
  <c r="F1828" i="16" s="1"/>
  <c r="S148" i="18"/>
  <c r="I226" i="10"/>
  <c r="Q149" i="18"/>
  <c r="H25" i="7"/>
  <c r="K528" i="1"/>
  <c r="R106" i="1"/>
  <c r="M2027" i="16" s="1"/>
  <c r="D2042" i="16" s="1"/>
  <c r="H446" i="1"/>
  <c r="H526" i="1" s="1"/>
  <c r="H326" i="1"/>
  <c r="U218" i="1"/>
  <c r="C189" i="14"/>
  <c r="N448" i="1"/>
  <c r="K26" i="7" s="1"/>
  <c r="N328" i="1"/>
  <c r="N322" i="1"/>
  <c r="N323" i="1" s="1"/>
  <c r="Q448" i="1"/>
  <c r="N26" i="7" s="1"/>
  <c r="Q484" i="1"/>
  <c r="R3" i="18"/>
  <c r="I7" i="7"/>
  <c r="I10" i="7" s="1"/>
  <c r="I35" i="7" s="1"/>
  <c r="L512" i="1"/>
  <c r="F6" i="16"/>
  <c r="F9" i="16"/>
  <c r="AJ73" i="5"/>
  <c r="D195" i="14"/>
  <c r="F1" i="10"/>
  <c r="F167" i="10" s="1"/>
  <c r="E731" i="16"/>
  <c r="H4" i="16"/>
  <c r="E78" i="16"/>
  <c r="Y131" i="18"/>
  <c r="BD7" i="5"/>
  <c r="BD45" i="5" s="1"/>
  <c r="C2328" i="16"/>
  <c r="O2367" i="16"/>
  <c r="N2368" i="16" s="1"/>
  <c r="N2369" i="16" s="1"/>
  <c r="E1800" i="16"/>
  <c r="S48" i="1"/>
  <c r="F1479" i="16" s="1"/>
  <c r="O132" i="18"/>
  <c r="G61" i="13"/>
  <c r="G94" i="13" s="1"/>
  <c r="G11" i="16"/>
  <c r="X139" i="18"/>
  <c r="AY31" i="5"/>
  <c r="D1815" i="16"/>
  <c r="D1816" i="16" s="1"/>
  <c r="I1812" i="16" s="1"/>
  <c r="G519" i="16"/>
  <c r="G561" i="16" s="1"/>
  <c r="S78" i="1"/>
  <c r="Q147" i="18"/>
  <c r="I128" i="13"/>
  <c r="R149" i="18"/>
  <c r="I25" i="7"/>
  <c r="L528" i="1"/>
  <c r="C326" i="16"/>
  <c r="C338" i="16" s="1"/>
  <c r="S106" i="1"/>
  <c r="N2027" i="16" s="1"/>
  <c r="I446" i="1"/>
  <c r="I526" i="1" s="1"/>
  <c r="I326" i="1"/>
  <c r="D189" i="14"/>
  <c r="O448" i="1"/>
  <c r="L26" i="7" s="1"/>
  <c r="O328" i="1"/>
  <c r="N239" i="1"/>
  <c r="Q266" i="1"/>
  <c r="S289" i="1"/>
  <c r="R289" i="1"/>
  <c r="J502" i="1"/>
  <c r="G520" i="1"/>
  <c r="G516" i="1"/>
  <c r="G1" i="10"/>
  <c r="G167" i="10" s="1"/>
  <c r="F78" i="16"/>
  <c r="F81" i="16" s="1"/>
  <c r="F731" i="16"/>
  <c r="N131" i="18"/>
  <c r="Z131" i="18"/>
  <c r="D4409" i="3"/>
  <c r="E4409" i="3" s="1"/>
  <c r="BI7" i="5"/>
  <c r="BI16" i="5" s="1"/>
  <c r="BI18" i="5" s="1"/>
  <c r="F1800" i="16"/>
  <c r="T48" i="1"/>
  <c r="G1479" i="16" s="1"/>
  <c r="Y139" i="18"/>
  <c r="BD31" i="5"/>
  <c r="E1815" i="16"/>
  <c r="E1816" i="16" s="1"/>
  <c r="H519" i="16"/>
  <c r="H561" i="16" s="1"/>
  <c r="H78" i="1"/>
  <c r="T78" i="1"/>
  <c r="W146" i="18"/>
  <c r="L97" i="14"/>
  <c r="L96" i="14" s="1"/>
  <c r="I43" i="9"/>
  <c r="E1020" i="16"/>
  <c r="J1020" i="16" s="1"/>
  <c r="D1137" i="16"/>
  <c r="C1820" i="16"/>
  <c r="R147" i="18"/>
  <c r="J128" i="13"/>
  <c r="X148" i="18"/>
  <c r="X154" i="18" s="1"/>
  <c r="I173" i="18" s="1"/>
  <c r="N226" i="10"/>
  <c r="AY95" i="5"/>
  <c r="E1138" i="16"/>
  <c r="I1138" i="16" s="1"/>
  <c r="O1454" i="16"/>
  <c r="O1469" i="16" s="1"/>
  <c r="S149" i="18"/>
  <c r="J25" i="7"/>
  <c r="D326" i="16"/>
  <c r="D338" i="16" s="1"/>
  <c r="D344" i="16"/>
  <c r="D356" i="16" s="1"/>
  <c r="M528" i="1"/>
  <c r="M419" i="1"/>
  <c r="AT84" i="5"/>
  <c r="I2848" i="16"/>
  <c r="T105" i="1"/>
  <c r="H112" i="1"/>
  <c r="J446" i="1"/>
  <c r="J526" i="1" s="1"/>
  <c r="J326" i="1"/>
  <c r="H187" i="1"/>
  <c r="O218" i="1"/>
  <c r="O239" i="1"/>
  <c r="F30" i="7"/>
  <c r="I451" i="1"/>
  <c r="N30" i="7"/>
  <c r="Q451" i="1"/>
  <c r="M495" i="1"/>
  <c r="W515" i="1"/>
  <c r="L192" i="16"/>
  <c r="I199" i="16" s="1"/>
  <c r="M192" i="16"/>
  <c r="J199" i="16" s="1"/>
  <c r="D1822" i="16"/>
  <c r="D1829" i="16" s="1"/>
  <c r="H1" i="10"/>
  <c r="H167" i="10" s="1"/>
  <c r="G78" i="16"/>
  <c r="G81" i="16" s="1"/>
  <c r="G731" i="16"/>
  <c r="O131" i="18"/>
  <c r="K112" i="1"/>
  <c r="Z139" i="18"/>
  <c r="BI31" i="5"/>
  <c r="F1815" i="16"/>
  <c r="F1816" i="16" s="1"/>
  <c r="K1811" i="16" s="1"/>
  <c r="I78" i="1"/>
  <c r="X146" i="18"/>
  <c r="M97" i="14"/>
  <c r="M96" i="14" s="1"/>
  <c r="J43" i="9"/>
  <c r="G1454" i="16"/>
  <c r="G1469" i="16" s="1"/>
  <c r="E1137" i="16"/>
  <c r="D1820" i="16"/>
  <c r="S147" i="18"/>
  <c r="K128" i="13"/>
  <c r="N148" i="18"/>
  <c r="N154" i="18" s="1"/>
  <c r="C2031" i="16"/>
  <c r="Y148" i="18"/>
  <c r="Y154" i="18" s="1"/>
  <c r="O226" i="10"/>
  <c r="BD95" i="5"/>
  <c r="P1454" i="16"/>
  <c r="P1469" i="16" s="1"/>
  <c r="E1822" i="16"/>
  <c r="E1829" i="16" s="1"/>
  <c r="L297" i="1"/>
  <c r="T297" i="1"/>
  <c r="W111" i="18"/>
  <c r="AT147" i="5"/>
  <c r="I187" i="1"/>
  <c r="P218" i="1"/>
  <c r="P239" i="1"/>
  <c r="G30" i="7"/>
  <c r="J451" i="1"/>
  <c r="O30" i="7"/>
  <c r="R451" i="1"/>
  <c r="N495" i="1"/>
  <c r="U518" i="1"/>
  <c r="R41" i="7" s="1"/>
  <c r="R49" i="7" s="1"/>
  <c r="G188" i="16"/>
  <c r="C195" i="16"/>
  <c r="F1381" i="16"/>
  <c r="G1375" i="16"/>
  <c r="O451" i="1"/>
  <c r="L488" i="1"/>
  <c r="O494" i="1"/>
  <c r="O498" i="1"/>
  <c r="O500" i="1"/>
  <c r="G9" i="16"/>
  <c r="K7" i="16"/>
  <c r="G6" i="16"/>
  <c r="L1028" i="16"/>
  <c r="B578" i="1"/>
  <c r="B557" i="1"/>
  <c r="B568" i="1" s="1"/>
  <c r="F583" i="1"/>
  <c r="F576" i="1"/>
  <c r="G1016" i="16"/>
  <c r="B1029" i="16"/>
  <c r="G1029" i="16" s="1"/>
  <c r="O458" i="1"/>
  <c r="L459" i="1"/>
  <c r="O465" i="1"/>
  <c r="L466" i="1"/>
  <c r="O472" i="1"/>
  <c r="L473" i="1"/>
  <c r="O479" i="1"/>
  <c r="L480" i="1"/>
  <c r="N49" i="7"/>
  <c r="C1556" i="16"/>
  <c r="C1598" i="16"/>
  <c r="F554" i="1"/>
  <c r="H583" i="1"/>
  <c r="E282" i="16"/>
  <c r="F277" i="16"/>
  <c r="F282" i="16" s="1"/>
  <c r="F480" i="16"/>
  <c r="F482" i="16" s="1"/>
  <c r="N1036" i="16"/>
  <c r="I1131" i="16"/>
  <c r="D307" i="1"/>
  <c r="L307" i="1"/>
  <c r="O461" i="1"/>
  <c r="P463" i="1"/>
  <c r="P470" i="1"/>
  <c r="P472" i="1" s="1"/>
  <c r="P477" i="1"/>
  <c r="P481" i="1" s="1"/>
  <c r="P503" i="1"/>
  <c r="O49" i="7"/>
  <c r="D1556" i="16"/>
  <c r="G554" i="1"/>
  <c r="F773" i="16"/>
  <c r="G773" i="16" s="1"/>
  <c r="H773" i="16" s="1"/>
  <c r="O499" i="1"/>
  <c r="P49" i="7"/>
  <c r="E1556" i="16"/>
  <c r="K578" i="1"/>
  <c r="L584" i="1"/>
  <c r="M5" i="16"/>
  <c r="F37" i="16"/>
  <c r="F479" i="16"/>
  <c r="B515" i="16"/>
  <c r="B1028" i="16"/>
  <c r="G1028" i="16" s="1"/>
  <c r="B1022" i="16"/>
  <c r="G1022" i="16" s="1"/>
  <c r="G1015" i="16"/>
  <c r="J580" i="1"/>
  <c r="E140" i="16"/>
  <c r="E145" i="16" s="1"/>
  <c r="E162" i="16" s="1"/>
  <c r="F166" i="16"/>
  <c r="B530" i="16"/>
  <c r="B551" i="16" s="1"/>
  <c r="F947" i="16"/>
  <c r="G948" i="16" s="1"/>
  <c r="J1013" i="16"/>
  <c r="J1014" i="16"/>
  <c r="C1084" i="16"/>
  <c r="C1086" i="16" s="1"/>
  <c r="D1086" i="16" s="1"/>
  <c r="D1087" i="16" s="1"/>
  <c r="O1453" i="16"/>
  <c r="K1458" i="16"/>
  <c r="D1565" i="16"/>
  <c r="F90" i="14"/>
  <c r="F100" i="14"/>
  <c r="F105" i="14" s="1"/>
  <c r="E76" i="25"/>
  <c r="F72" i="25"/>
  <c r="E72" i="25"/>
  <c r="E504" i="16"/>
  <c r="D868" i="16"/>
  <c r="E868" i="16" s="1"/>
  <c r="J1015" i="16"/>
  <c r="B1021" i="16"/>
  <c r="G1021" i="16" s="1"/>
  <c r="H1133" i="16"/>
  <c r="E1253" i="16"/>
  <c r="P1453" i="16"/>
  <c r="N47" i="14"/>
  <c r="N14" i="14"/>
  <c r="N15" i="14" s="1"/>
  <c r="O12" i="14"/>
  <c r="N12" i="14"/>
  <c r="H1543" i="16" s="1"/>
  <c r="F50" i="25"/>
  <c r="F41" i="25" s="1"/>
  <c r="E53" i="25"/>
  <c r="E41" i="25"/>
  <c r="B561" i="1"/>
  <c r="B572" i="1" s="1"/>
  <c r="J584" i="1"/>
  <c r="C2238" i="16"/>
  <c r="C2244" i="16" s="1"/>
  <c r="J87" i="14"/>
  <c r="J30" i="14"/>
  <c r="J28" i="14"/>
  <c r="B562" i="1"/>
  <c r="B573" i="1" s="1"/>
  <c r="J585" i="1"/>
  <c r="G49" i="16"/>
  <c r="P949" i="16"/>
  <c r="F997" i="16"/>
  <c r="G1014" i="16"/>
  <c r="E1381" i="16"/>
  <c r="H1468" i="16"/>
  <c r="D2238" i="16"/>
  <c r="D2244" i="16" s="1"/>
  <c r="E2237" i="16"/>
  <c r="H14" i="19"/>
  <c r="T103" i="11"/>
  <c r="T35" i="11"/>
  <c r="T80" i="11" s="1"/>
  <c r="G178" i="16" s="1"/>
  <c r="K130" i="13"/>
  <c r="E52" i="9"/>
  <c r="AB103" i="11"/>
  <c r="J65" i="14"/>
  <c r="Q127" i="10"/>
  <c r="J543" i="1"/>
  <c r="J578" i="1"/>
  <c r="D282" i="16"/>
  <c r="K1453" i="16"/>
  <c r="K1467" i="16"/>
  <c r="D2182" i="16"/>
  <c r="H37" i="7"/>
  <c r="I12" i="7"/>
  <c r="E166" i="16"/>
  <c r="L1453" i="16"/>
  <c r="L1467" i="16"/>
  <c r="D1950" i="16"/>
  <c r="G1950" i="16" s="1"/>
  <c r="H1950" i="16" s="1"/>
  <c r="J14" i="19"/>
  <c r="V35" i="11"/>
  <c r="V80" i="11" s="1"/>
  <c r="I178" i="16" s="1"/>
  <c r="V103" i="11"/>
  <c r="L28" i="7"/>
  <c r="G52" i="9"/>
  <c r="N85" i="14"/>
  <c r="B2485" i="16"/>
  <c r="B2490" i="16" s="1"/>
  <c r="B2496" i="16" s="1"/>
  <c r="I14" i="19"/>
  <c r="U35" i="11"/>
  <c r="U80" i="11" s="1"/>
  <c r="H178" i="16" s="1"/>
  <c r="U103" i="11"/>
  <c r="L130" i="13"/>
  <c r="F52" i="9"/>
  <c r="M47" i="14"/>
  <c r="M12" i="14"/>
  <c r="G1543" i="16" s="1"/>
  <c r="G90" i="14"/>
  <c r="G100" i="14"/>
  <c r="G105" i="14" s="1"/>
  <c r="O85" i="14"/>
  <c r="F87" i="10"/>
  <c r="F99" i="10" s="1"/>
  <c r="F97" i="10"/>
  <c r="J67" i="10"/>
  <c r="J92" i="10" s="1"/>
  <c r="M108" i="10"/>
  <c r="B2486" i="16"/>
  <c r="B2491" i="16" s="1"/>
  <c r="B2497" i="16" s="1"/>
  <c r="C14" i="19"/>
  <c r="O35" i="11"/>
  <c r="O53" i="11" s="1"/>
  <c r="O31" i="11"/>
  <c r="K14" i="19"/>
  <c r="W103" i="11"/>
  <c r="W35" i="11"/>
  <c r="W80" i="11" s="1"/>
  <c r="J178" i="16" s="1"/>
  <c r="W31" i="11"/>
  <c r="M28" i="7"/>
  <c r="AK5" i="14"/>
  <c r="C47" i="14"/>
  <c r="C56" i="14" s="1"/>
  <c r="O15" i="14"/>
  <c r="K22" i="14"/>
  <c r="K61" i="14"/>
  <c r="L18" i="14"/>
  <c r="D14" i="19"/>
  <c r="P106" i="11"/>
  <c r="P112" i="11"/>
  <c r="C495" i="16" s="1"/>
  <c r="P109" i="11"/>
  <c r="P35" i="11"/>
  <c r="K154" i="12"/>
  <c r="K157" i="12" s="1"/>
  <c r="X103" i="11"/>
  <c r="L14" i="19"/>
  <c r="X35" i="11"/>
  <c r="X80" i="11" s="1"/>
  <c r="K178" i="16" s="1"/>
  <c r="N28" i="7"/>
  <c r="G37" i="7"/>
  <c r="E135" i="25"/>
  <c r="O34" i="14"/>
  <c r="O29" i="14"/>
  <c r="AL6" i="14" s="1"/>
  <c r="F64" i="25"/>
  <c r="G2" i="25"/>
  <c r="F119" i="25"/>
  <c r="F112" i="25" s="1"/>
  <c r="E14" i="19"/>
  <c r="Q119" i="11"/>
  <c r="Q109" i="11"/>
  <c r="Q103" i="11"/>
  <c r="Q35" i="11"/>
  <c r="Q80" i="11" s="1"/>
  <c r="D178" i="16" s="1"/>
  <c r="M14" i="19"/>
  <c r="Y103" i="11"/>
  <c r="Y35" i="11"/>
  <c r="Y80" i="11" s="1"/>
  <c r="O29" i="7"/>
  <c r="D4" i="14"/>
  <c r="D9" i="14" s="1"/>
  <c r="P3" i="14"/>
  <c r="Q3" i="14" s="1"/>
  <c r="R3" i="14" s="1"/>
  <c r="S3" i="14" s="1"/>
  <c r="T3" i="14" s="1"/>
  <c r="U3" i="14" s="1"/>
  <c r="V3" i="14" s="1"/>
  <c r="W3" i="14" s="1"/>
  <c r="X3" i="14" s="1"/>
  <c r="E131" i="14"/>
  <c r="K79" i="14"/>
  <c r="K30" i="14"/>
  <c r="J219" i="10"/>
  <c r="D1693" i="16" s="1"/>
  <c r="K209" i="10"/>
  <c r="F14" i="19"/>
  <c r="R119" i="11"/>
  <c r="R103" i="11"/>
  <c r="E491" i="16" s="1"/>
  <c r="R69" i="11"/>
  <c r="R35" i="11"/>
  <c r="R110" i="11"/>
  <c r="E185" i="16" s="1"/>
  <c r="R113" i="11"/>
  <c r="E186" i="16" s="1"/>
  <c r="I253" i="8"/>
  <c r="I130" i="13"/>
  <c r="C52" i="9"/>
  <c r="N14" i="19"/>
  <c r="Z35" i="11"/>
  <c r="Z80" i="11" s="1"/>
  <c r="Z103" i="11"/>
  <c r="P28" i="7"/>
  <c r="P29" i="7"/>
  <c r="C125" i="14"/>
  <c r="C126" i="14" s="1"/>
  <c r="D22" i="14"/>
  <c r="D42" i="14" s="1"/>
  <c r="N66" i="14"/>
  <c r="F136" i="14"/>
  <c r="F131" i="14"/>
  <c r="L20" i="14"/>
  <c r="L22" i="14" s="1"/>
  <c r="F165" i="25"/>
  <c r="G14" i="19"/>
  <c r="S119" i="11"/>
  <c r="S69" i="11"/>
  <c r="S110" i="11"/>
  <c r="F185" i="16" s="1"/>
  <c r="S113" i="11"/>
  <c r="F186" i="16" s="1"/>
  <c r="S35" i="11"/>
  <c r="J130" i="13"/>
  <c r="D52" i="9"/>
  <c r="AA103" i="11"/>
  <c r="AA35" i="11"/>
  <c r="AA80" i="11" s="1"/>
  <c r="Q29" i="7"/>
  <c r="K8" i="14"/>
  <c r="H202" i="16" s="1"/>
  <c r="L7" i="14"/>
  <c r="I30" i="14"/>
  <c r="I87" i="14"/>
  <c r="K47" i="14"/>
  <c r="L79" i="14"/>
  <c r="M4" i="14"/>
  <c r="L12" i="14"/>
  <c r="J14" i="14"/>
  <c r="J15" i="14" s="1"/>
  <c r="N22" i="14"/>
  <c r="O23" i="14" s="1"/>
  <c r="O28" i="14"/>
  <c r="C131" i="14"/>
  <c r="I79" i="14"/>
  <c r="AB45" i="14"/>
  <c r="I47" i="14"/>
  <c r="F26" i="25"/>
  <c r="H176" i="25"/>
  <c r="I175" i="25"/>
  <c r="F128" i="14"/>
  <c r="J18" i="14"/>
  <c r="D28" i="14"/>
  <c r="M30" i="14"/>
  <c r="D131" i="14"/>
  <c r="J79" i="14"/>
  <c r="J47" i="14"/>
  <c r="D124" i="14"/>
  <c r="H9" i="25"/>
  <c r="J59" i="25"/>
  <c r="J8" i="14"/>
  <c r="G202" i="16" s="1"/>
  <c r="M18" i="14"/>
  <c r="G1544" i="16" s="1"/>
  <c r="J22" i="14"/>
  <c r="J29" i="14" s="1"/>
  <c r="AG6" i="14" s="1"/>
  <c r="K28" i="14"/>
  <c r="C43" i="14"/>
  <c r="M100" i="14"/>
  <c r="M90" i="14"/>
  <c r="E16" i="25"/>
  <c r="E18" i="25" s="1"/>
  <c r="F12" i="25"/>
  <c r="F14" i="25" s="1"/>
  <c r="D12" i="14"/>
  <c r="N18" i="14"/>
  <c r="H1544" i="16" s="1"/>
  <c r="L87" i="14"/>
  <c r="L28" i="14"/>
  <c r="D43" i="14"/>
  <c r="E125" i="14"/>
  <c r="E126" i="14" s="1"/>
  <c r="K4" i="14"/>
  <c r="J12" i="14"/>
  <c r="D14" i="14"/>
  <c r="D15" i="14" s="1"/>
  <c r="C61" i="14"/>
  <c r="O18" i="14"/>
  <c r="M86" i="14"/>
  <c r="M28" i="14"/>
  <c r="I43" i="14"/>
  <c r="D127" i="14"/>
  <c r="E62" i="25"/>
  <c r="E122" i="25" s="1"/>
  <c r="E78" i="25"/>
  <c r="F79" i="25"/>
  <c r="F126" i="14"/>
  <c r="L4" i="14"/>
  <c r="K12" i="14"/>
  <c r="I14" i="14"/>
  <c r="D61" i="14"/>
  <c r="H79" i="14"/>
  <c r="H85" i="14" s="1"/>
  <c r="H65" i="14"/>
  <c r="F20" i="25"/>
  <c r="E5" i="25"/>
  <c r="I30" i="25"/>
  <c r="F87" i="25"/>
  <c r="E86" i="25"/>
  <c r="S4" i="10"/>
  <c r="L112" i="1"/>
  <c r="O36" i="10"/>
  <c r="O26" i="10"/>
  <c r="Q85" i="10"/>
  <c r="P60" i="10"/>
  <c r="H114" i="10"/>
  <c r="H129" i="10" s="1"/>
  <c r="L133" i="10"/>
  <c r="K109" i="10"/>
  <c r="F75" i="25"/>
  <c r="U36" i="10"/>
  <c r="B132" i="10"/>
  <c r="B158" i="10"/>
  <c r="H188" i="13"/>
  <c r="N135" i="10"/>
  <c r="N126" i="10"/>
  <c r="H201" i="13" s="1"/>
  <c r="O115" i="10"/>
  <c r="N108" i="10"/>
  <c r="N115" i="10"/>
  <c r="N107" i="10"/>
  <c r="N136" i="10"/>
  <c r="N138" i="10"/>
  <c r="N127" i="10"/>
  <c r="N128" i="10"/>
  <c r="M122" i="10"/>
  <c r="M123" i="10" s="1"/>
  <c r="N120" i="10"/>
  <c r="O120" i="10" s="1"/>
  <c r="F15" i="22"/>
  <c r="F17" i="22" s="1"/>
  <c r="F20" i="22"/>
  <c r="N219" i="10"/>
  <c r="H1693" i="16" s="1"/>
  <c r="N186" i="10"/>
  <c r="R132" i="10"/>
  <c r="F138" i="10"/>
  <c r="O186" i="10"/>
  <c r="AZ122" i="5"/>
  <c r="EX17" i="5"/>
  <c r="F137" i="10"/>
  <c r="F133" i="10"/>
  <c r="F135" i="10"/>
  <c r="F126" i="10"/>
  <c r="F122" i="10"/>
  <c r="F136" i="10"/>
  <c r="F131" i="10"/>
  <c r="F130" i="10"/>
  <c r="F128" i="10"/>
  <c r="F132" i="10"/>
  <c r="F127" i="10"/>
  <c r="T135" i="10"/>
  <c r="AF139" i="5"/>
  <c r="EU67" i="5"/>
  <c r="EX68" i="5"/>
  <c r="M194" i="5"/>
  <c r="D245" i="5"/>
  <c r="H246" i="5"/>
  <c r="H248" i="5"/>
  <c r="CI258" i="5"/>
  <c r="E97" i="10"/>
  <c r="E87" i="10"/>
  <c r="E99" i="10" s="1"/>
  <c r="G133" i="10"/>
  <c r="G135" i="10"/>
  <c r="G126" i="10"/>
  <c r="G122" i="10"/>
  <c r="G115" i="10"/>
  <c r="G127" i="10"/>
  <c r="G131" i="10"/>
  <c r="J109" i="10"/>
  <c r="J260" i="10" s="1"/>
  <c r="G138" i="10"/>
  <c r="G15" i="22"/>
  <c r="G17" i="22" s="1"/>
  <c r="G20" i="22"/>
  <c r="F209" i="10"/>
  <c r="D1545" i="16"/>
  <c r="CQ182" i="5"/>
  <c r="G239" i="5"/>
  <c r="G87" i="10"/>
  <c r="G99" i="10" s="1"/>
  <c r="G97" i="10"/>
  <c r="G130" i="10"/>
  <c r="G136" i="10"/>
  <c r="R58" i="13"/>
  <c r="R73" i="13" s="1"/>
  <c r="J196" i="13" s="1"/>
  <c r="BI28" i="5"/>
  <c r="BI30" i="5" s="1"/>
  <c r="CA182" i="5"/>
  <c r="Q80" i="10"/>
  <c r="R74" i="10"/>
  <c r="T99" i="10"/>
  <c r="T93" i="10"/>
  <c r="G132" i="10"/>
  <c r="C262" i="16"/>
  <c r="N66" i="10"/>
  <c r="O91" i="10"/>
  <c r="O66" i="10" s="1"/>
  <c r="O63" i="10" s="1"/>
  <c r="O146" i="10" s="1"/>
  <c r="G8" i="22" s="1"/>
  <c r="V72" i="13"/>
  <c r="T61" i="29" s="1"/>
  <c r="D128" i="10"/>
  <c r="S133" i="10"/>
  <c r="G67" i="5"/>
  <c r="G68" i="5" s="1"/>
  <c r="BC166" i="5"/>
  <c r="BC167" i="5" s="1"/>
  <c r="AB249" i="5"/>
  <c r="K92" i="28" s="1"/>
  <c r="Q43" i="10"/>
  <c r="D129" i="10"/>
  <c r="D20" i="22"/>
  <c r="D15" i="22"/>
  <c r="D17" i="22" s="1"/>
  <c r="L186" i="10"/>
  <c r="L219" i="10"/>
  <c r="F1693" i="16" s="1"/>
  <c r="BD53" i="5"/>
  <c r="K211" i="1"/>
  <c r="K212" i="1" s="1"/>
  <c r="EV18" i="5"/>
  <c r="G69" i="10"/>
  <c r="G94" i="10" s="1"/>
  <c r="Q68" i="10"/>
  <c r="Q76" i="10"/>
  <c r="R70" i="10"/>
  <c r="R95" i="10" s="1"/>
  <c r="J123" i="10"/>
  <c r="I79" i="10"/>
  <c r="H79" i="10" s="1"/>
  <c r="L90" i="10"/>
  <c r="L65" i="10" s="1"/>
  <c r="K65" i="10"/>
  <c r="K146" i="10" s="1"/>
  <c r="D131" i="10"/>
  <c r="D130" i="10"/>
  <c r="D143" i="10" s="1"/>
  <c r="D137" i="10"/>
  <c r="D133" i="10"/>
  <c r="D127" i="10"/>
  <c r="G128" i="10"/>
  <c r="T131" i="10"/>
  <c r="D135" i="10"/>
  <c r="D138" i="10"/>
  <c r="G22" i="22"/>
  <c r="O209" i="10"/>
  <c r="P209" i="10"/>
  <c r="M281" i="10"/>
  <c r="N64" i="10"/>
  <c r="N76" i="10"/>
  <c r="O77" i="10" s="1"/>
  <c r="N85" i="10"/>
  <c r="G129" i="10"/>
  <c r="I134" i="10"/>
  <c r="I143" i="10" s="1"/>
  <c r="E15" i="22"/>
  <c r="E17" i="22" s="1"/>
  <c r="E20" i="22"/>
  <c r="M186" i="10"/>
  <c r="M219" i="10"/>
  <c r="G1693" i="16" s="1"/>
  <c r="N67" i="10"/>
  <c r="I76" i="10"/>
  <c r="I77" i="10" s="1"/>
  <c r="D87" i="10"/>
  <c r="D99" i="10" s="1"/>
  <c r="N93" i="10"/>
  <c r="E114" i="10"/>
  <c r="F115" i="10" s="1"/>
  <c r="H20" i="22"/>
  <c r="H15" i="22"/>
  <c r="H17" i="22" s="1"/>
  <c r="P186" i="10"/>
  <c r="P219" i="10"/>
  <c r="J1693" i="16" s="1"/>
  <c r="I247" i="10"/>
  <c r="K280" i="10"/>
  <c r="K282" i="10" s="1"/>
  <c r="K270" i="10"/>
  <c r="L270" i="10" s="1"/>
  <c r="K271" i="10"/>
  <c r="L271" i="10" s="1"/>
  <c r="J247" i="10"/>
  <c r="S18" i="13"/>
  <c r="H195" i="13"/>
  <c r="P68" i="13"/>
  <c r="I92" i="10"/>
  <c r="N129" i="10"/>
  <c r="E22" i="22"/>
  <c r="L209" i="10"/>
  <c r="K246" i="10"/>
  <c r="C15" i="22"/>
  <c r="C17" i="22" s="1"/>
  <c r="C20" i="22"/>
  <c r="K186" i="10"/>
  <c r="F22" i="22"/>
  <c r="M209" i="10"/>
  <c r="K219" i="10"/>
  <c r="E1693" i="16" s="1"/>
  <c r="H186" i="13"/>
  <c r="F245" i="13"/>
  <c r="N135" i="13"/>
  <c r="F247" i="13" s="1"/>
  <c r="O133" i="13"/>
  <c r="Q132" i="3"/>
  <c r="R135" i="3"/>
  <c r="O136" i="3" s="1"/>
  <c r="E4806" i="3"/>
  <c r="D4806" i="3"/>
  <c r="Q58" i="13"/>
  <c r="H43" i="13"/>
  <c r="G223" i="13"/>
  <c r="P103" i="13"/>
  <c r="H247" i="10"/>
  <c r="C3114" i="3"/>
  <c r="D18" i="19"/>
  <c r="G48" i="13"/>
  <c r="G49" i="13"/>
  <c r="G39" i="13"/>
  <c r="G44" i="13"/>
  <c r="G35" i="13"/>
  <c r="J195" i="13"/>
  <c r="R68" i="13"/>
  <c r="R70" i="13" s="1"/>
  <c r="P95" i="13"/>
  <c r="F217" i="13"/>
  <c r="N100" i="13"/>
  <c r="F219" i="13" s="1"/>
  <c r="D3114" i="3"/>
  <c r="G29" i="13"/>
  <c r="G33" i="13"/>
  <c r="G5" i="19"/>
  <c r="J174" i="13"/>
  <c r="K176" i="13"/>
  <c r="K195" i="13"/>
  <c r="S68" i="13"/>
  <c r="N197" i="13"/>
  <c r="Q95" i="13"/>
  <c r="E3114" i="3"/>
  <c r="K5" i="19"/>
  <c r="F186" i="13"/>
  <c r="O176" i="13"/>
  <c r="R49" i="13"/>
  <c r="U71" i="13"/>
  <c r="M194" i="13" s="1"/>
  <c r="C9" i="19"/>
  <c r="R95" i="13"/>
  <c r="F3114" i="3"/>
  <c r="H32" i="13"/>
  <c r="H54" i="13" s="1"/>
  <c r="G8" i="13"/>
  <c r="O58" i="13"/>
  <c r="O19" i="13"/>
  <c r="J17" i="19"/>
  <c r="N28" i="13"/>
  <c r="M29" i="13"/>
  <c r="L51" i="13"/>
  <c r="I242" i="16" s="1"/>
  <c r="E64" i="13"/>
  <c r="J59" i="13"/>
  <c r="H197" i="13"/>
  <c r="O13" i="13"/>
  <c r="O14" i="13" s="1"/>
  <c r="F23" i="13"/>
  <c r="F46" i="13" s="1"/>
  <c r="N43" i="13"/>
  <c r="H5" i="19"/>
  <c r="L176" i="13"/>
  <c r="K59" i="13"/>
  <c r="O68" i="13"/>
  <c r="O70" i="13" s="1"/>
  <c r="F235" i="13"/>
  <c r="N117" i="13"/>
  <c r="F239" i="13" s="1"/>
  <c r="D173" i="18"/>
  <c r="N113" i="13"/>
  <c r="F234" i="13" s="1"/>
  <c r="F206" i="13"/>
  <c r="N82" i="13"/>
  <c r="D9" i="19"/>
  <c r="V48" i="11"/>
  <c r="N19" i="13"/>
  <c r="N22" i="13" s="1"/>
  <c r="N48" i="13" s="1"/>
  <c r="I23" i="13"/>
  <c r="I36" i="13" s="1"/>
  <c r="G32" i="13"/>
  <c r="G54" i="13" s="1"/>
  <c r="K46" i="13"/>
  <c r="F59" i="13"/>
  <c r="L195" i="13"/>
  <c r="M90" i="13"/>
  <c r="K159" i="13"/>
  <c r="J43" i="13"/>
  <c r="D5" i="19"/>
  <c r="H176" i="13"/>
  <c r="G59" i="13"/>
  <c r="N90" i="13"/>
  <c r="G95" i="13"/>
  <c r="N104" i="13"/>
  <c r="H156" i="13"/>
  <c r="H160" i="13"/>
  <c r="I158" i="13"/>
  <c r="K174" i="13"/>
  <c r="E5" i="19"/>
  <c r="H174" i="13"/>
  <c r="I176" i="13"/>
  <c r="H59" i="13"/>
  <c r="L94" i="13"/>
  <c r="M95" i="13"/>
  <c r="P97" i="13"/>
  <c r="O115" i="13"/>
  <c r="F249" i="13"/>
  <c r="O137" i="13"/>
  <c r="P117" i="11"/>
  <c r="Q2" i="11"/>
  <c r="F5" i="19"/>
  <c r="J176" i="13"/>
  <c r="I174" i="13"/>
  <c r="I59" i="13"/>
  <c r="L9" i="19"/>
  <c r="M94" i="13"/>
  <c r="AB25" i="11"/>
  <c r="N24" i="11"/>
  <c r="N23" i="11"/>
  <c r="N7" i="11"/>
  <c r="N8" i="11" s="1"/>
  <c r="N27" i="11"/>
  <c r="N26" i="11"/>
  <c r="N25" i="11"/>
  <c r="N22" i="11"/>
  <c r="N18" i="11"/>
  <c r="O17" i="11"/>
  <c r="N17" i="11"/>
  <c r="O18" i="11"/>
  <c r="P8" i="11"/>
  <c r="X31" i="11"/>
  <c r="F203" i="13"/>
  <c r="Y31" i="11"/>
  <c r="G203" i="13"/>
  <c r="D65" i="17"/>
  <c r="J24" i="11"/>
  <c r="J23" i="11"/>
  <c r="J7" i="11"/>
  <c r="J8" i="11" s="1"/>
  <c r="J27" i="11"/>
  <c r="J22" i="11"/>
  <c r="J25" i="11"/>
  <c r="J18" i="11"/>
  <c r="R59" i="11"/>
  <c r="R61" i="11" s="1"/>
  <c r="R62" i="11" s="1"/>
  <c r="S40" i="11"/>
  <c r="I203" i="13"/>
  <c r="K23" i="11"/>
  <c r="K7" i="11"/>
  <c r="K8" i="11" s="1"/>
  <c r="K27" i="11"/>
  <c r="K22" i="11"/>
  <c r="K26" i="11"/>
  <c r="K18" i="11"/>
  <c r="S23" i="11"/>
  <c r="T23" i="11" s="1"/>
  <c r="S7" i="11"/>
  <c r="S8" i="11" s="1"/>
  <c r="S27" i="11"/>
  <c r="S22" i="11"/>
  <c r="T22" i="11" s="1"/>
  <c r="S26" i="11"/>
  <c r="S25" i="11"/>
  <c r="S24" i="11"/>
  <c r="T31" i="11"/>
  <c r="AB31" i="11"/>
  <c r="J203" i="13"/>
  <c r="O75" i="11"/>
  <c r="O48" i="11"/>
  <c r="O50" i="11" s="1"/>
  <c r="Z31" i="11"/>
  <c r="Q37" i="11"/>
  <c r="Q31" i="11"/>
  <c r="P43" i="11"/>
  <c r="M8" i="11"/>
  <c r="M9" i="11" s="1"/>
  <c r="G25" i="11"/>
  <c r="G23" i="11"/>
  <c r="G7" i="11"/>
  <c r="G8" i="11" s="1"/>
  <c r="G27" i="11"/>
  <c r="G22" i="11"/>
  <c r="O25" i="11"/>
  <c r="O23" i="11"/>
  <c r="O7" i="11"/>
  <c r="O8" i="11" s="1"/>
  <c r="O27" i="11"/>
  <c r="O22" i="11"/>
  <c r="C73" i="17"/>
  <c r="V31" i="11"/>
  <c r="P31" i="11"/>
  <c r="AB35" i="11"/>
  <c r="AB80" i="11" s="1"/>
  <c r="AC34" i="11"/>
  <c r="I252" i="8"/>
  <c r="D73" i="17"/>
  <c r="E73" i="17" s="1"/>
  <c r="Q8" i="11"/>
  <c r="S19" i="11"/>
  <c r="G24" i="11"/>
  <c r="R75" i="11"/>
  <c r="R43" i="11"/>
  <c r="R30" i="11"/>
  <c r="J93" i="12"/>
  <c r="H17" i="11"/>
  <c r="P17" i="11"/>
  <c r="H18" i="11"/>
  <c r="P18" i="11"/>
  <c r="M24" i="11"/>
  <c r="L25" i="11"/>
  <c r="H26" i="11"/>
  <c r="P26" i="11"/>
  <c r="Q59" i="11"/>
  <c r="N21" i="12"/>
  <c r="N22" i="12" s="1"/>
  <c r="G2" i="21"/>
  <c r="I17" i="11"/>
  <c r="Q17" i="11"/>
  <c r="I18" i="11"/>
  <c r="Q18" i="11"/>
  <c r="H22" i="11"/>
  <c r="P22" i="11"/>
  <c r="M25" i="11"/>
  <c r="I26" i="11"/>
  <c r="Q26" i="11"/>
  <c r="H27" i="11"/>
  <c r="P27" i="11"/>
  <c r="S30" i="11"/>
  <c r="R107" i="11"/>
  <c r="H36" i="12"/>
  <c r="H40" i="12"/>
  <c r="J69" i="12"/>
  <c r="K69" i="12" s="1"/>
  <c r="S38" i="11"/>
  <c r="R5" i="12"/>
  <c r="I66" i="12"/>
  <c r="H83" i="12"/>
  <c r="I140" i="12"/>
  <c r="BH239" i="12"/>
  <c r="R45" i="17"/>
  <c r="L17" i="11"/>
  <c r="L18" i="11"/>
  <c r="I24" i="11"/>
  <c r="Q24" i="11"/>
  <c r="L26" i="11"/>
  <c r="U31" i="11"/>
  <c r="V40" i="11"/>
  <c r="J63" i="12"/>
  <c r="K63" i="12" s="1"/>
  <c r="M17" i="11"/>
  <c r="M18" i="11"/>
  <c r="L22" i="11"/>
  <c r="W87" i="11"/>
  <c r="E96" i="12"/>
  <c r="F4" i="12"/>
  <c r="E57" i="12"/>
  <c r="J67" i="12"/>
  <c r="K67" i="12" s="1"/>
  <c r="H154" i="12"/>
  <c r="H10" i="12"/>
  <c r="I8" i="12"/>
  <c r="H11" i="12"/>
  <c r="H12" i="12" s="1"/>
  <c r="I93" i="12"/>
  <c r="J60" i="12"/>
  <c r="K71" i="12"/>
  <c r="E93" i="12"/>
  <c r="E94" i="12" s="1"/>
  <c r="Y40" i="4"/>
  <c r="Y31" i="4"/>
  <c r="BD31" i="4" s="1"/>
  <c r="BD27" i="4"/>
  <c r="O141" i="11"/>
  <c r="O17" i="12"/>
  <c r="Q19" i="12"/>
  <c r="P17" i="12"/>
  <c r="P21" i="12" s="1"/>
  <c r="E36" i="12"/>
  <c r="E73" i="12"/>
  <c r="E74" i="12" s="1"/>
  <c r="I61" i="12"/>
  <c r="I78" i="12" s="1"/>
  <c r="H78" i="12"/>
  <c r="C73" i="12"/>
  <c r="C74" i="12" s="1"/>
  <c r="K93" i="12"/>
  <c r="F73" i="12"/>
  <c r="F74" i="12" s="1"/>
  <c r="F93" i="12"/>
  <c r="C134" i="12"/>
  <c r="E32" i="12"/>
  <c r="E47" i="12" s="1"/>
  <c r="H73" i="12"/>
  <c r="H74" i="12" s="1"/>
  <c r="I88" i="12"/>
  <c r="H88" i="12"/>
  <c r="Q221" i="12"/>
  <c r="BC239" i="12" s="1"/>
  <c r="BJ241" i="12"/>
  <c r="H84" i="12"/>
  <c r="I154" i="12"/>
  <c r="I157" i="12" s="1"/>
  <c r="K221" i="12"/>
  <c r="AW215" i="12"/>
  <c r="BI215" i="12"/>
  <c r="S221" i="12"/>
  <c r="BE215" i="12"/>
  <c r="M18" i="12"/>
  <c r="H53" i="12"/>
  <c r="H54" i="12"/>
  <c r="G73" i="12"/>
  <c r="G74" i="12" s="1"/>
  <c r="G93" i="12"/>
  <c r="I68" i="12"/>
  <c r="I85" i="12" s="1"/>
  <c r="E77" i="12"/>
  <c r="I86" i="12"/>
  <c r="R242" i="12"/>
  <c r="AG257" i="12"/>
  <c r="I53" i="12"/>
  <c r="I54" i="12"/>
  <c r="I255" i="12"/>
  <c r="F233" i="12"/>
  <c r="Q255" i="12"/>
  <c r="N233" i="12"/>
  <c r="AZ236" i="12" s="1"/>
  <c r="AZ234" i="12"/>
  <c r="V233" i="12"/>
  <c r="BH236" i="12" s="1"/>
  <c r="BH234" i="12"/>
  <c r="L256" i="12"/>
  <c r="T256" i="12"/>
  <c r="S255" i="12"/>
  <c r="AE257" i="12"/>
  <c r="G77" i="12"/>
  <c r="G78" i="12"/>
  <c r="G79" i="12"/>
  <c r="O79" i="12"/>
  <c r="G80" i="12"/>
  <c r="O80" i="12"/>
  <c r="G81" i="12"/>
  <c r="O81" i="12"/>
  <c r="G82" i="12"/>
  <c r="O82" i="12"/>
  <c r="G83" i="12"/>
  <c r="G84" i="12"/>
  <c r="U221" i="12"/>
  <c r="AX215" i="12"/>
  <c r="G233" i="12"/>
  <c r="AS236" i="12" s="1"/>
  <c r="AS234" i="12"/>
  <c r="O233" i="12"/>
  <c r="BA236" i="12" s="1"/>
  <c r="BA234" i="12"/>
  <c r="W232" i="12"/>
  <c r="X255" i="12" s="1"/>
  <c r="T233" i="12"/>
  <c r="BF236" i="12" s="1"/>
  <c r="M256" i="12"/>
  <c r="U256" i="12"/>
  <c r="AF257" i="12"/>
  <c r="V255" i="12"/>
  <c r="BK20" i="4"/>
  <c r="AF27" i="4"/>
  <c r="I77" i="12"/>
  <c r="Q77" i="12"/>
  <c r="Q78" i="12"/>
  <c r="I79" i="12"/>
  <c r="Q79" i="12"/>
  <c r="I80" i="12"/>
  <c r="Q80" i="12"/>
  <c r="Q81" i="12"/>
  <c r="Q82" i="12"/>
  <c r="I83" i="12"/>
  <c r="Q83" i="12"/>
  <c r="I84" i="12"/>
  <c r="Q84" i="12"/>
  <c r="H87" i="12"/>
  <c r="F154" i="12"/>
  <c r="AS215" i="12"/>
  <c r="O221" i="12"/>
  <c r="BA215" i="12"/>
  <c r="F255" i="12"/>
  <c r="G256" i="12"/>
  <c r="AD37" i="4"/>
  <c r="AC37" i="4"/>
  <c r="BK24" i="4"/>
  <c r="AE37" i="4"/>
  <c r="J154" i="12"/>
  <c r="J157" i="12" s="1"/>
  <c r="AV234" i="12"/>
  <c r="M255" i="12"/>
  <c r="J233" i="12"/>
  <c r="AV236" i="12" s="1"/>
  <c r="BD234" i="12"/>
  <c r="U255" i="12"/>
  <c r="R233" i="12"/>
  <c r="BD236" i="12" s="1"/>
  <c r="H256" i="12"/>
  <c r="P256" i="12"/>
  <c r="J255" i="12"/>
  <c r="J256" i="12"/>
  <c r="BI27" i="4"/>
  <c r="G86" i="12"/>
  <c r="C149" i="12"/>
  <c r="G154" i="12"/>
  <c r="G144" i="12"/>
  <c r="C233" i="12"/>
  <c r="AW234" i="12"/>
  <c r="BE234" i="12"/>
  <c r="I256" i="12"/>
  <c r="Q256" i="12"/>
  <c r="K255" i="12"/>
  <c r="AF14" i="4"/>
  <c r="L3" i="2"/>
  <c r="I144" i="12"/>
  <c r="L255" i="12"/>
  <c r="T255" i="12"/>
  <c r="AF256" i="12"/>
  <c r="AC35" i="4"/>
  <c r="AC36" i="4"/>
  <c r="AC38" i="4"/>
  <c r="AC39" i="4"/>
  <c r="E154" i="12"/>
  <c r="K233" i="12"/>
  <c r="AW236" i="12" s="1"/>
  <c r="S233" i="12"/>
  <c r="BE236" i="12" s="1"/>
  <c r="Q241" i="12"/>
  <c r="AG256" i="12"/>
  <c r="AD36" i="4"/>
  <c r="AD38" i="4"/>
  <c r="AY215" i="12"/>
  <c r="BG215" i="12"/>
  <c r="E233" i="12"/>
  <c r="M233" i="12"/>
  <c r="AY236" i="12" s="1"/>
  <c r="U233" i="12"/>
  <c r="BG236" i="12" s="1"/>
  <c r="K241" i="12"/>
  <c r="S241" i="12"/>
  <c r="O255" i="12"/>
  <c r="AZ215" i="12"/>
  <c r="BH215" i="12"/>
  <c r="P255" i="12"/>
  <c r="D1645" i="16"/>
  <c r="E246" i="5"/>
  <c r="O246" i="5"/>
  <c r="X246" i="5"/>
  <c r="E248" i="5"/>
  <c r="O248" i="5"/>
  <c r="CM302" i="5"/>
  <c r="AR122" i="5"/>
  <c r="C1631" i="16"/>
  <c r="CL264" i="5"/>
  <c r="W1404" i="16"/>
  <c r="C809" i="16"/>
  <c r="G827" i="16"/>
  <c r="C1543" i="16"/>
  <c r="AM7" i="5"/>
  <c r="E1545" i="16" s="1"/>
  <c r="ES67" i="5"/>
  <c r="O194" i="5"/>
  <c r="R303" i="5"/>
  <c r="H1632" i="16"/>
  <c r="I1726" i="16"/>
  <c r="I1727" i="16" s="1"/>
  <c r="T6" i="5"/>
  <c r="EW17" i="5"/>
  <c r="AT28" i="5"/>
  <c r="AT30" i="5" s="1"/>
  <c r="BF34" i="5"/>
  <c r="DZ34" i="5" s="1"/>
  <c r="CI259" i="5"/>
  <c r="D1614" i="16"/>
  <c r="D1612" i="16" s="1"/>
  <c r="H1633" i="16"/>
  <c r="CZ137" i="5"/>
  <c r="J258" i="5"/>
  <c r="CD258" i="5" s="1"/>
  <c r="AF282" i="5"/>
  <c r="AS23" i="5"/>
  <c r="Q50" i="28" s="1"/>
  <c r="AE84" i="5"/>
  <c r="AA279" i="5"/>
  <c r="D871" i="16"/>
  <c r="E871" i="16" s="1"/>
  <c r="L827" i="16"/>
  <c r="C1545" i="16"/>
  <c r="ES17" i="5"/>
  <c r="AL119" i="5"/>
  <c r="BB122" i="5"/>
  <c r="CW128" i="5"/>
  <c r="DE137" i="5"/>
  <c r="DA138" i="5"/>
  <c r="J194" i="5"/>
  <c r="CK187" i="5"/>
  <c r="I239" i="5"/>
  <c r="R239" i="5"/>
  <c r="C248" i="5"/>
  <c r="M248" i="5"/>
  <c r="V248" i="5"/>
  <c r="AA249" i="5"/>
  <c r="J92" i="28" s="1"/>
  <c r="J1726" i="16"/>
  <c r="J1727" i="16" s="1"/>
  <c r="I2636" i="16"/>
  <c r="E2636" i="16"/>
  <c r="AI7" i="5"/>
  <c r="DC7" i="5" s="1"/>
  <c r="M30" i="28" s="1"/>
  <c r="ES13" i="5"/>
  <c r="CF16" i="5"/>
  <c r="DH33" i="5"/>
  <c r="DH112" i="5"/>
  <c r="BC122" i="5"/>
  <c r="DB138" i="5"/>
  <c r="H264" i="5"/>
  <c r="H267" i="5" s="1"/>
  <c r="J261" i="5"/>
  <c r="CD261" i="5" s="1"/>
  <c r="C1535" i="16"/>
  <c r="C1538" i="16" s="1"/>
  <c r="AY53" i="5"/>
  <c r="BH130" i="5"/>
  <c r="DA182" i="5"/>
  <c r="B239" i="5"/>
  <c r="P95" i="1"/>
  <c r="D744" i="16" s="1"/>
  <c r="D1544" i="16"/>
  <c r="H1631" i="16"/>
  <c r="AN34" i="5"/>
  <c r="AZ249" i="5"/>
  <c r="AD92" i="28" s="1"/>
  <c r="M303" i="5"/>
  <c r="I1647" i="16"/>
  <c r="DJ128" i="5"/>
  <c r="X293" i="5"/>
  <c r="Q246" i="5"/>
  <c r="CU239" i="5"/>
  <c r="G810" i="16" s="1"/>
  <c r="AA282" i="5"/>
  <c r="P44" i="10"/>
  <c r="G1584" i="16"/>
  <c r="I1634" i="16"/>
  <c r="BC67" i="5"/>
  <c r="BC68" i="5" s="1"/>
  <c r="P27" i="10"/>
  <c r="F29" i="20"/>
  <c r="J47" i="1"/>
  <c r="J54" i="1" s="1"/>
  <c r="I827" i="16"/>
  <c r="BC15" i="5"/>
  <c r="DW15" i="5" s="1"/>
  <c r="AC38" i="28" s="1"/>
  <c r="AJ28" i="5"/>
  <c r="AJ30" i="5" s="1"/>
  <c r="EV67" i="5"/>
  <c r="DG128" i="5"/>
  <c r="H194" i="5"/>
  <c r="Y227" i="5"/>
  <c r="J246" i="5"/>
  <c r="S246" i="5"/>
  <c r="J248" i="5"/>
  <c r="S248" i="5"/>
  <c r="AL245" i="5"/>
  <c r="S89" i="28" s="1"/>
  <c r="CX235" i="5"/>
  <c r="H1645" i="16"/>
  <c r="K1727" i="16"/>
  <c r="CI8" i="5"/>
  <c r="U14" i="5"/>
  <c r="L52" i="1" s="1"/>
  <c r="R133" i="18" s="1"/>
  <c r="CS23" i="5"/>
  <c r="DG23" i="5"/>
  <c r="BI55" i="5"/>
  <c r="CF31" i="5"/>
  <c r="AN113" i="5"/>
  <c r="AN114" i="5" s="1"/>
  <c r="BH114" i="5"/>
  <c r="BG122" i="5"/>
  <c r="CA187" i="5"/>
  <c r="T292" i="5"/>
  <c r="AC249" i="5"/>
  <c r="L92" i="28" s="1"/>
  <c r="U258" i="5"/>
  <c r="H168" i="10" s="1"/>
  <c r="F182" i="10"/>
  <c r="L1727" i="16"/>
  <c r="G2636" i="16"/>
  <c r="CE8" i="5"/>
  <c r="CE10" i="5"/>
  <c r="ET17" i="5"/>
  <c r="AI30" i="5"/>
  <c r="AI32" i="5" s="1"/>
  <c r="T31" i="5"/>
  <c r="CI31" i="5" s="1"/>
  <c r="AW249" i="5"/>
  <c r="AB92" i="28" s="1"/>
  <c r="E867" i="16"/>
  <c r="E1535" i="16"/>
  <c r="CM28" i="5"/>
  <c r="AB122" i="5"/>
  <c r="AW122" i="5"/>
  <c r="CA192" i="5"/>
  <c r="AR123" i="5"/>
  <c r="AH282" i="5"/>
  <c r="AG288" i="5"/>
  <c r="L97" i="10"/>
  <c r="DM26" i="5"/>
  <c r="AC109" i="28" s="1"/>
  <c r="BF108" i="5"/>
  <c r="AC122" i="5"/>
  <c r="AX122" i="5"/>
  <c r="CG182" i="5"/>
  <c r="CV239" i="5"/>
  <c r="H810" i="16" s="1"/>
  <c r="CN248" i="5"/>
  <c r="F214" i="10"/>
  <c r="DB8" i="5"/>
  <c r="L32" i="28" s="1"/>
  <c r="CE9" i="5"/>
  <c r="DH10" i="5"/>
  <c r="Q34" i="28" s="1"/>
  <c r="U13" i="5"/>
  <c r="L51" i="1" s="1"/>
  <c r="L105" i="1" s="1"/>
  <c r="Z29" i="5"/>
  <c r="M71" i="1" s="1"/>
  <c r="J34" i="5"/>
  <c r="AD122" i="5"/>
  <c r="AN142" i="5"/>
  <c r="AN133" i="5"/>
  <c r="CV187" i="5"/>
  <c r="CC192" i="5"/>
  <c r="L248" i="5"/>
  <c r="T248" i="5"/>
  <c r="M265" i="5"/>
  <c r="I1404" i="16"/>
  <c r="F215" i="10"/>
  <c r="F23" i="20"/>
  <c r="K79" i="1"/>
  <c r="H827" i="16"/>
  <c r="C1584" i="16"/>
  <c r="C2636" i="16"/>
  <c r="AO84" i="5"/>
  <c r="AF144" i="5"/>
  <c r="BC144" i="5"/>
  <c r="AP144" i="5"/>
  <c r="DJ182" i="5"/>
  <c r="CX239" i="5"/>
  <c r="Y246" i="5"/>
  <c r="N1404" i="16"/>
  <c r="E1543" i="16"/>
  <c r="DF7" i="5"/>
  <c r="O30" i="28" s="1"/>
  <c r="AD67" i="5"/>
  <c r="AD68" i="5" s="1"/>
  <c r="AW119" i="5"/>
  <c r="DA137" i="5"/>
  <c r="CW138" i="5"/>
  <c r="M291" i="5"/>
  <c r="W291" i="5"/>
  <c r="X239" i="5"/>
  <c r="Y242" i="5" s="1"/>
  <c r="O264" i="5"/>
  <c r="O265" i="5" s="1"/>
  <c r="CN249" i="5"/>
  <c r="AD278" i="5"/>
  <c r="AD279" i="5" s="1"/>
  <c r="D2636" i="16"/>
  <c r="AD7" i="5"/>
  <c r="AD45" i="5" s="1"/>
  <c r="ER17" i="5"/>
  <c r="FA17" i="5"/>
  <c r="AD31" i="5"/>
  <c r="E56" i="28" s="1"/>
  <c r="DR8" i="5"/>
  <c r="Y32" i="28" s="1"/>
  <c r="BC7" i="5"/>
  <c r="F2636" i="16"/>
  <c r="BA45" i="5"/>
  <c r="BA47" i="5" s="1"/>
  <c r="BA48" i="5" s="1"/>
  <c r="DP7" i="5"/>
  <c r="W30" i="28" s="1"/>
  <c r="M129" i="10"/>
  <c r="M113" i="10"/>
  <c r="M137" i="10" s="1"/>
  <c r="BN55" i="5"/>
  <c r="DU28" i="5"/>
  <c r="V188" i="5"/>
  <c r="V189" i="5" s="1"/>
  <c r="CK182" i="5"/>
  <c r="AV122" i="5"/>
  <c r="AU241" i="5"/>
  <c r="D2021" i="16" s="1"/>
  <c r="BE249" i="5"/>
  <c r="AH92" i="28" s="1"/>
  <c r="BF122" i="5"/>
  <c r="BE241" i="5"/>
  <c r="B214" i="10"/>
  <c r="B223" i="10" s="1"/>
  <c r="B233" i="10" s="1"/>
  <c r="B90" i="9"/>
  <c r="M1727" i="16"/>
  <c r="F1538" i="16"/>
  <c r="N1727" i="16"/>
  <c r="AZ119" i="5"/>
  <c r="AD139" i="28" s="1"/>
  <c r="AZ139" i="5"/>
  <c r="AB114" i="5"/>
  <c r="J259" i="5"/>
  <c r="J292" i="5" s="1"/>
  <c r="B212" i="10"/>
  <c r="B221" i="10" s="1"/>
  <c r="B231" i="10" s="1"/>
  <c r="B88" i="9"/>
  <c r="J79" i="1"/>
  <c r="N2634" i="16"/>
  <c r="CL257" i="5"/>
  <c r="CQ4" i="5"/>
  <c r="AA187" i="5"/>
  <c r="AA188" i="5" s="1"/>
  <c r="CP185" i="5"/>
  <c r="X7" i="5"/>
  <c r="CM7" i="5" s="1"/>
  <c r="DQ7" i="5"/>
  <c r="X30" i="28" s="1"/>
  <c r="CC7" i="5"/>
  <c r="CV7" i="5"/>
  <c r="G30" i="28" s="1"/>
  <c r="CN15" i="5"/>
  <c r="K28" i="5"/>
  <c r="J70" i="1" s="1"/>
  <c r="J8" i="1" s="1"/>
  <c r="J9" i="1" s="1"/>
  <c r="K52" i="5"/>
  <c r="CI26" i="5"/>
  <c r="O56" i="5"/>
  <c r="Y91" i="5"/>
  <c r="Y102" i="5" s="1"/>
  <c r="AX83" i="5"/>
  <c r="AX94" i="5" s="1"/>
  <c r="AD113" i="5"/>
  <c r="AD114" i="5" s="1"/>
  <c r="AP119" i="5"/>
  <c r="AL114" i="5"/>
  <c r="AX117" i="5"/>
  <c r="BG119" i="5"/>
  <c r="AJ139" i="28" s="1"/>
  <c r="CV128" i="5"/>
  <c r="DE138" i="5"/>
  <c r="AZ144" i="5"/>
  <c r="N188" i="5"/>
  <c r="N190" i="5" s="1"/>
  <c r="N194" i="5"/>
  <c r="L293" i="5"/>
  <c r="L246" i="5"/>
  <c r="T246" i="5"/>
  <c r="G248" i="5"/>
  <c r="AV249" i="5"/>
  <c r="AA92" i="28" s="1"/>
  <c r="BF249" i="5"/>
  <c r="AI92" i="28" s="1"/>
  <c r="AA294" i="5"/>
  <c r="W265" i="5"/>
  <c r="W266" i="5" s="1"/>
  <c r="Q1404" i="16"/>
  <c r="L69" i="10"/>
  <c r="L94" i="10" s="1"/>
  <c r="DA7" i="5"/>
  <c r="K30" i="28" s="1"/>
  <c r="U15" i="5"/>
  <c r="L53" i="1" s="1"/>
  <c r="E262" i="16" s="1"/>
  <c r="DO15" i="5"/>
  <c r="V38" i="28" s="1"/>
  <c r="DL23" i="5"/>
  <c r="AT54" i="5"/>
  <c r="CF28" i="5"/>
  <c r="DJ31" i="5"/>
  <c r="AZ55" i="5"/>
  <c r="V63" i="28" s="1"/>
  <c r="L67" i="5"/>
  <c r="L68" i="5" s="1"/>
  <c r="T67" i="5"/>
  <c r="T68" i="5" s="1"/>
  <c r="BA108" i="5"/>
  <c r="AF119" i="5"/>
  <c r="BB119" i="5"/>
  <c r="AF139" i="28" s="1"/>
  <c r="AN117" i="5"/>
  <c r="U103" i="28" s="1"/>
  <c r="AV144" i="5"/>
  <c r="BF144" i="5"/>
  <c r="CV137" i="5"/>
  <c r="AP139" i="5"/>
  <c r="CC187" i="5"/>
  <c r="CF185" i="5"/>
  <c r="N245" i="5"/>
  <c r="W245" i="5"/>
  <c r="Q248" i="5"/>
  <c r="I303" i="5"/>
  <c r="F206" i="10"/>
  <c r="F207" i="10" s="1"/>
  <c r="L7" i="21"/>
  <c r="M2634" i="16"/>
  <c r="AO54" i="5"/>
  <c r="AO28" i="5"/>
  <c r="CG28" i="5"/>
  <c r="DP31" i="5"/>
  <c r="AI67" i="5"/>
  <c r="AI68" i="5" s="1"/>
  <c r="AN138" i="5"/>
  <c r="DC112" i="5"/>
  <c r="AR119" i="5"/>
  <c r="BC119" i="5"/>
  <c r="AG139" i="28" s="1"/>
  <c r="AK144" i="5"/>
  <c r="AW144" i="5"/>
  <c r="BG130" i="5"/>
  <c r="CW137" i="5"/>
  <c r="CU138" i="5"/>
  <c r="DB182" i="5"/>
  <c r="CD185" i="5"/>
  <c r="CH185" i="5"/>
  <c r="E245" i="5"/>
  <c r="O245" i="5"/>
  <c r="I248" i="5"/>
  <c r="R248" i="5"/>
  <c r="AN249" i="5"/>
  <c r="U92" i="28" s="1"/>
  <c r="N303" i="5"/>
  <c r="F213" i="10"/>
  <c r="K2636" i="16"/>
  <c r="CP4" i="5"/>
  <c r="DC9" i="5"/>
  <c r="M33" i="28" s="1"/>
  <c r="CL10" i="5"/>
  <c r="I71" i="5"/>
  <c r="I81" i="5" s="1"/>
  <c r="U29" i="5"/>
  <c r="L71" i="1" s="1"/>
  <c r="DR31" i="5"/>
  <c r="T84" i="5"/>
  <c r="AH119" i="5"/>
  <c r="AU119" i="5"/>
  <c r="BE119" i="5"/>
  <c r="AH139" i="28" s="1"/>
  <c r="AX114" i="5"/>
  <c r="AN122" i="5"/>
  <c r="AD142" i="5"/>
  <c r="AD143" i="5"/>
  <c r="AL144" i="5"/>
  <c r="AX144" i="5"/>
  <c r="BH144" i="5"/>
  <c r="CV138" i="5"/>
  <c r="CV185" i="5"/>
  <c r="CQ186" i="5"/>
  <c r="O187" i="5"/>
  <c r="BT92" i="28"/>
  <c r="AZ241" i="5"/>
  <c r="P258" i="5"/>
  <c r="G168" i="10" s="1"/>
  <c r="T310" i="5"/>
  <c r="CI261" i="5"/>
  <c r="F30" i="20"/>
  <c r="L2636" i="16"/>
  <c r="CJ8" i="5"/>
  <c r="CM10" i="5"/>
  <c r="Y28" i="5"/>
  <c r="Y30" i="5" s="1"/>
  <c r="K55" i="5"/>
  <c r="DU31" i="5"/>
  <c r="CW53" i="5"/>
  <c r="CX53" i="5" s="1"/>
  <c r="P68" i="5"/>
  <c r="J70" i="5"/>
  <c r="AK119" i="5"/>
  <c r="AI143" i="5"/>
  <c r="AA144" i="5"/>
  <c r="AM144" i="5"/>
  <c r="CZ128" i="5"/>
  <c r="CR182" i="5"/>
  <c r="CG185" i="5"/>
  <c r="CW185" i="5"/>
  <c r="CZ185" i="5"/>
  <c r="R187" i="5"/>
  <c r="R188" i="5" s="1"/>
  <c r="R189" i="5" s="1"/>
  <c r="G246" i="5"/>
  <c r="AF249" i="5"/>
  <c r="N92" i="28" s="1"/>
  <c r="AQ249" i="5"/>
  <c r="W92" i="28" s="1"/>
  <c r="BA294" i="5"/>
  <c r="O113" i="10"/>
  <c r="O137" i="10" s="1"/>
  <c r="M2637" i="16"/>
  <c r="P55" i="5"/>
  <c r="Z100" i="5"/>
  <c r="DC127" i="5"/>
  <c r="AB144" i="5"/>
  <c r="AQ188" i="5"/>
  <c r="AR294" i="5"/>
  <c r="T302" i="5"/>
  <c r="T303" i="5" s="1"/>
  <c r="N2637" i="16"/>
  <c r="P16" i="5"/>
  <c r="P18" i="5" s="1"/>
  <c r="K56" i="1" s="1"/>
  <c r="CW7" i="5"/>
  <c r="H30" i="28" s="1"/>
  <c r="Y10" i="5"/>
  <c r="Y185" i="5" s="1"/>
  <c r="CS185" i="5" s="1"/>
  <c r="CX25" i="5"/>
  <c r="DO28" i="5"/>
  <c r="CD28" i="5"/>
  <c r="AY84" i="5"/>
  <c r="BG115" i="5"/>
  <c r="AM119" i="5"/>
  <c r="AC144" i="5"/>
  <c r="BB144" i="5"/>
  <c r="I194" i="5"/>
  <c r="S194" i="5"/>
  <c r="AG188" i="5"/>
  <c r="G183" i="5"/>
  <c r="J187" i="5"/>
  <c r="DA187" i="5"/>
  <c r="CD186" i="5"/>
  <c r="J245" i="5"/>
  <c r="S245" i="5"/>
  <c r="D248" i="5"/>
  <c r="N248" i="5"/>
  <c r="W248" i="5"/>
  <c r="CI260" i="5"/>
  <c r="P133" i="18"/>
  <c r="F185" i="10"/>
  <c r="H12" i="16"/>
  <c r="M105" i="1"/>
  <c r="H7" i="16"/>
  <c r="E3" i="14"/>
  <c r="D156" i="12"/>
  <c r="E17" i="14"/>
  <c r="P132" i="18"/>
  <c r="H61" i="13"/>
  <c r="Q133" i="18"/>
  <c r="G185" i="10"/>
  <c r="P140" i="18"/>
  <c r="H93" i="13"/>
  <c r="J81" i="1"/>
  <c r="I12" i="16"/>
  <c r="D262" i="16"/>
  <c r="I7" i="16"/>
  <c r="F3" i="14"/>
  <c r="E156" i="12"/>
  <c r="F17" i="14"/>
  <c r="I61" i="13"/>
  <c r="Q132" i="18"/>
  <c r="Q140" i="18"/>
  <c r="I93" i="13"/>
  <c r="J80" i="1"/>
  <c r="F1103" i="16"/>
  <c r="G3" i="14"/>
  <c r="I185" i="10"/>
  <c r="S133" i="18"/>
  <c r="C43" i="9"/>
  <c r="F27" i="14"/>
  <c r="K80" i="1"/>
  <c r="ET8" i="5"/>
  <c r="E1542" i="16"/>
  <c r="F1105" i="16"/>
  <c r="H3" i="14"/>
  <c r="F1104" i="16"/>
  <c r="K61" i="13"/>
  <c r="S132" i="18"/>
  <c r="G27" i="14"/>
  <c r="D43" i="9"/>
  <c r="J106" i="1"/>
  <c r="E2027" i="16" s="1"/>
  <c r="H11" i="16"/>
  <c r="BG18" i="5"/>
  <c r="E47" i="14"/>
  <c r="E12" i="14"/>
  <c r="E14" i="14"/>
  <c r="H27" i="14"/>
  <c r="K106" i="1"/>
  <c r="F2027" i="16" s="1"/>
  <c r="I11" i="16"/>
  <c r="C312" i="16"/>
  <c r="F11" i="14"/>
  <c r="K105" i="1"/>
  <c r="K113" i="1"/>
  <c r="J123" i="1"/>
  <c r="E80" i="16" s="1"/>
  <c r="G1726" i="16"/>
  <c r="G1727" i="16" s="1"/>
  <c r="AU51" i="5"/>
  <c r="R60" i="28" s="1"/>
  <c r="AU45" i="5"/>
  <c r="AU16" i="5"/>
  <c r="AU56" i="5" s="1"/>
  <c r="R64" i="28" s="1"/>
  <c r="EX43" i="5"/>
  <c r="EX8" i="5"/>
  <c r="CI182" i="5"/>
  <c r="T183" i="5"/>
  <c r="CI9" i="5"/>
  <c r="ER90" i="5"/>
  <c r="BH120" i="5"/>
  <c r="AK120" i="5"/>
  <c r="AU120" i="5"/>
  <c r="BE120" i="5"/>
  <c r="EV66" i="5"/>
  <c r="CC18" i="5"/>
  <c r="CM17" i="5"/>
  <c r="T17" i="5"/>
  <c r="CI17" i="5" s="1"/>
  <c r="T19" i="5"/>
  <c r="T20" i="5" s="1"/>
  <c r="T53" i="5"/>
  <c r="CI25" i="5"/>
  <c r="U25" i="5"/>
  <c r="M71" i="5"/>
  <c r="CB34" i="5"/>
  <c r="V58" i="5"/>
  <c r="V32" i="5"/>
  <c r="B1708" i="16"/>
  <c r="H1726" i="16"/>
  <c r="H1727" i="16" s="1"/>
  <c r="T7" i="5"/>
  <c r="T51" i="5" s="1"/>
  <c r="AN51" i="5"/>
  <c r="M60" i="28" s="1"/>
  <c r="AN45" i="5"/>
  <c r="AN16" i="5"/>
  <c r="AN56" i="5" s="1"/>
  <c r="M64" i="28" s="1"/>
  <c r="AV51" i="5"/>
  <c r="S60" i="28" s="1"/>
  <c r="AV45" i="5"/>
  <c r="AV16" i="5"/>
  <c r="AV56" i="5" s="1"/>
  <c r="S64" i="28" s="1"/>
  <c r="DO7" i="5"/>
  <c r="V30" i="28" s="1"/>
  <c r="AS188" i="5"/>
  <c r="CS8" i="5"/>
  <c r="E32" i="28" s="1"/>
  <c r="DM8" i="5"/>
  <c r="U32" i="28" s="1"/>
  <c r="DW8" i="5"/>
  <c r="U9" i="5"/>
  <c r="CS9" i="5"/>
  <c r="E33" i="28" s="1"/>
  <c r="DM9" i="5"/>
  <c r="U33" i="28" s="1"/>
  <c r="ES90" i="5"/>
  <c r="CU17" i="5"/>
  <c r="F40" i="28" s="1"/>
  <c r="AD17" i="5"/>
  <c r="CX17" i="5" s="1"/>
  <c r="I40" i="28" s="1"/>
  <c r="CP17" i="5"/>
  <c r="B40" i="28" s="1"/>
  <c r="P51" i="5"/>
  <c r="P52" i="5"/>
  <c r="CN25" i="5"/>
  <c r="BC53" i="5"/>
  <c r="Y61" i="28" s="1"/>
  <c r="DR25" i="5"/>
  <c r="DW25" i="5"/>
  <c r="EY124" i="5" s="1"/>
  <c r="K54" i="5"/>
  <c r="N56" i="5"/>
  <c r="CC28" i="5"/>
  <c r="N34" i="5"/>
  <c r="CP30" i="5"/>
  <c r="AK71" i="5"/>
  <c r="CZ34" i="5"/>
  <c r="DQ31" i="5"/>
  <c r="H1634" i="16"/>
  <c r="AF51" i="5"/>
  <c r="F60" i="28" s="1"/>
  <c r="AF45" i="5"/>
  <c r="CZ45" i="5" s="1"/>
  <c r="AF16" i="5"/>
  <c r="CZ16" i="5" s="1"/>
  <c r="J39" i="28" s="1"/>
  <c r="AW51" i="5"/>
  <c r="T60" i="28" s="1"/>
  <c r="AW45" i="5"/>
  <c r="AW16" i="5"/>
  <c r="AW56" i="5" s="1"/>
  <c r="T64" i="28" s="1"/>
  <c r="BF45" i="5"/>
  <c r="BF16" i="5"/>
  <c r="BF105" i="5" s="1"/>
  <c r="ER43" i="5"/>
  <c r="ER8" i="5"/>
  <c r="CN182" i="5"/>
  <c r="AD187" i="5"/>
  <c r="AD188" i="5" s="1"/>
  <c r="ET90" i="5"/>
  <c r="AD264" i="5"/>
  <c r="CS14" i="5"/>
  <c r="E37" i="28" s="1"/>
  <c r="AW120" i="5"/>
  <c r="EX66" i="5"/>
  <c r="BG120" i="5"/>
  <c r="Z15" i="5"/>
  <c r="M53" i="1" s="1"/>
  <c r="CP15" i="5"/>
  <c r="B38" i="28" s="1"/>
  <c r="CK18" i="5"/>
  <c r="DW17" i="5"/>
  <c r="AC40" i="28" s="1"/>
  <c r="DR17" i="5"/>
  <c r="Y40" i="28" s="1"/>
  <c r="T28" i="5"/>
  <c r="CN24" i="5"/>
  <c r="T52" i="5"/>
  <c r="CI24" i="5"/>
  <c r="U24" i="5"/>
  <c r="BI53" i="5"/>
  <c r="AD55" i="5"/>
  <c r="E63" i="28" s="1"/>
  <c r="CS27" i="5"/>
  <c r="CX27" i="5"/>
  <c r="DW27" i="5"/>
  <c r="DR27" i="5"/>
  <c r="AB71" i="5"/>
  <c r="AL34" i="5"/>
  <c r="DA28" i="5"/>
  <c r="AL30" i="5"/>
  <c r="DF31" i="5"/>
  <c r="I1652" i="16" s="1"/>
  <c r="DK31" i="5"/>
  <c r="AS31" i="5"/>
  <c r="Q56" i="28" s="1"/>
  <c r="CI33" i="5"/>
  <c r="U33" i="5"/>
  <c r="CS90" i="5"/>
  <c r="E1588" i="16"/>
  <c r="M2636" i="16"/>
  <c r="G51" i="5"/>
  <c r="G16" i="5"/>
  <c r="G18" i="5" s="1"/>
  <c r="AG45" i="5"/>
  <c r="AG16" i="5"/>
  <c r="AG56" i="5" s="1"/>
  <c r="G64" i="28" s="1"/>
  <c r="AP45" i="5"/>
  <c r="AP16" i="5"/>
  <c r="AP56" i="5" s="1"/>
  <c r="N64" i="28" s="1"/>
  <c r="AP51" i="5"/>
  <c r="N60" i="28" s="1"/>
  <c r="AX45" i="5"/>
  <c r="AX16" i="5"/>
  <c r="BG45" i="5"/>
  <c r="BG51" i="5"/>
  <c r="AB60" i="28" s="1"/>
  <c r="ES43" i="5"/>
  <c r="ES8" i="5"/>
  <c r="Z9" i="5"/>
  <c r="M44" i="1" s="1"/>
  <c r="CX10" i="5"/>
  <c r="I34" i="28" s="1"/>
  <c r="DR10" i="5"/>
  <c r="Y34" i="28" s="1"/>
  <c r="CX13" i="5"/>
  <c r="DR13" i="5"/>
  <c r="AL16" i="5"/>
  <c r="CC16" i="5"/>
  <c r="DC17" i="5"/>
  <c r="M40" i="28" s="1"/>
  <c r="AE53" i="5"/>
  <c r="AY54" i="5"/>
  <c r="AC71" i="5"/>
  <c r="DQ28" i="5"/>
  <c r="BB34" i="5"/>
  <c r="CN33" i="5"/>
  <c r="R71" i="5"/>
  <c r="CG34" i="5"/>
  <c r="AX51" i="5"/>
  <c r="U60" i="28" s="1"/>
  <c r="N2636" i="16"/>
  <c r="H51" i="5"/>
  <c r="H16" i="5"/>
  <c r="CB16" i="5" s="1"/>
  <c r="AH16" i="5"/>
  <c r="AH56" i="5" s="1"/>
  <c r="H64" i="28" s="1"/>
  <c r="AH51" i="5"/>
  <c r="H60" i="28" s="1"/>
  <c r="AQ45" i="5"/>
  <c r="BH45" i="5"/>
  <c r="BH16" i="5"/>
  <c r="BH51" i="5"/>
  <c r="AC60" i="28" s="1"/>
  <c r="BC182" i="5"/>
  <c r="BC183" i="5" s="1"/>
  <c r="T187" i="5"/>
  <c r="T188" i="5" s="1"/>
  <c r="T189" i="5" s="1"/>
  <c r="CI185" i="5"/>
  <c r="CX185" i="5"/>
  <c r="DC185" i="5"/>
  <c r="AI187" i="5"/>
  <c r="DC187" i="5" s="1"/>
  <c r="U12" i="5"/>
  <c r="L50" i="1" s="1"/>
  <c r="EV90" i="5"/>
  <c r="AF120" i="5"/>
  <c r="CH16" i="5"/>
  <c r="AQ16" i="5"/>
  <c r="AJ53" i="5"/>
  <c r="Y304" i="5"/>
  <c r="Y306" i="5" s="1"/>
  <c r="Y316" i="5" s="1"/>
  <c r="CN26" i="5"/>
  <c r="Z26" i="5"/>
  <c r="BD54" i="5"/>
  <c r="AD28" i="5"/>
  <c r="BB30" i="5"/>
  <c r="I51" i="5"/>
  <c r="C1544" i="16"/>
  <c r="CR4" i="5"/>
  <c r="AR16" i="5"/>
  <c r="AZ45" i="5"/>
  <c r="AZ16" i="5"/>
  <c r="AZ56" i="5" s="1"/>
  <c r="V64" i="28" s="1"/>
  <c r="AZ51" i="5"/>
  <c r="V60" i="28" s="1"/>
  <c r="CZ7" i="5"/>
  <c r="J30" i="28" s="1"/>
  <c r="DJ7" i="5"/>
  <c r="R30" i="28" s="1"/>
  <c r="DT7" i="5"/>
  <c r="Z30" i="28" s="1"/>
  <c r="CN8" i="5"/>
  <c r="CX8" i="5"/>
  <c r="I32" i="28" s="1"/>
  <c r="DH8" i="5"/>
  <c r="Q32" i="28" s="1"/>
  <c r="CN9" i="5"/>
  <c r="CX9" i="5"/>
  <c r="I33" i="28" s="1"/>
  <c r="DH9" i="5"/>
  <c r="Q33" i="28" s="1"/>
  <c r="DR9" i="5"/>
  <c r="Y33" i="28" s="1"/>
  <c r="U10" i="5"/>
  <c r="CQ10" i="5"/>
  <c r="C34" i="28" s="1"/>
  <c r="AF39" i="28"/>
  <c r="EV13" i="5"/>
  <c r="EV14" i="5" s="1"/>
  <c r="V16" i="5"/>
  <c r="CK16" i="5" s="1"/>
  <c r="CH18" i="5"/>
  <c r="ET43" i="5"/>
  <c r="AO53" i="5"/>
  <c r="BI54" i="5"/>
  <c r="S56" i="5"/>
  <c r="AF71" i="5"/>
  <c r="AH71" i="5"/>
  <c r="CW34" i="5"/>
  <c r="BF51" i="5"/>
  <c r="AA60" i="28" s="1"/>
  <c r="V55" i="5"/>
  <c r="AA58" i="5"/>
  <c r="AM120" i="5"/>
  <c r="D873" i="16"/>
  <c r="J16" i="5"/>
  <c r="J18" i="5" s="1"/>
  <c r="J58" i="5" s="1"/>
  <c r="J51" i="5"/>
  <c r="AS7" i="5"/>
  <c r="BA16" i="5"/>
  <c r="BA56" i="5" s="1"/>
  <c r="W64" i="28" s="1"/>
  <c r="BA51" i="5"/>
  <c r="W60" i="28" s="1"/>
  <c r="DK7" i="5"/>
  <c r="S30" i="28" s="1"/>
  <c r="DU7" i="5"/>
  <c r="AA30" i="28" s="1"/>
  <c r="EV43" i="5"/>
  <c r="EV8" i="5"/>
  <c r="CI10" i="5"/>
  <c r="CR10" i="5"/>
  <c r="D34" i="28" s="1"/>
  <c r="EX90" i="5"/>
  <c r="CK15" i="5"/>
  <c r="K53" i="5"/>
  <c r="DH25" i="5"/>
  <c r="AS53" i="5"/>
  <c r="Q61" i="28" s="1"/>
  <c r="DM25" i="5"/>
  <c r="AE54" i="5"/>
  <c r="J32" i="5"/>
  <c r="CK28" i="5"/>
  <c r="V34" i="5"/>
  <c r="DV31" i="5"/>
  <c r="AP71" i="5"/>
  <c r="DE34" i="5"/>
  <c r="AF61" i="28"/>
  <c r="Y54" i="5"/>
  <c r="F827" i="16" s="1"/>
  <c r="K7" i="5"/>
  <c r="K16" i="5" s="1"/>
  <c r="K18" i="5" s="1"/>
  <c r="J56" i="1" s="1"/>
  <c r="C271" i="16" s="1"/>
  <c r="AC16" i="5"/>
  <c r="AC56" i="5" s="1"/>
  <c r="D64" i="28" s="1"/>
  <c r="AC51" i="5"/>
  <c r="D60" i="28" s="1"/>
  <c r="AC45" i="5"/>
  <c r="AC20" i="5"/>
  <c r="AL51" i="5"/>
  <c r="K60" i="28" s="1"/>
  <c r="AL45" i="5"/>
  <c r="BB51" i="5"/>
  <c r="X60" i="28" s="1"/>
  <c r="BB45" i="5"/>
  <c r="CA7" i="5"/>
  <c r="DL7" i="5"/>
  <c r="T30" i="28" s="1"/>
  <c r="DV7" i="5"/>
  <c r="AB30" i="28" s="1"/>
  <c r="AM188" i="5"/>
  <c r="EW43" i="5"/>
  <c r="EW8" i="5"/>
  <c r="X187" i="5"/>
  <c r="CM187" i="5" s="1"/>
  <c r="CM185" i="5"/>
  <c r="CR185" i="5"/>
  <c r="DC10" i="5"/>
  <c r="M34" i="28" s="1"/>
  <c r="DM10" i="5"/>
  <c r="U34" i="28" s="1"/>
  <c r="DW10" i="5"/>
  <c r="AC34" i="28" s="1"/>
  <c r="CI13" i="5"/>
  <c r="CS13" i="5"/>
  <c r="DW13" i="5"/>
  <c r="EX13" i="5"/>
  <c r="EX14" i="5" s="1"/>
  <c r="CI14" i="5"/>
  <c r="C878" i="16" s="1"/>
  <c r="CX14" i="5"/>
  <c r="AS120" i="5"/>
  <c r="DR14" i="5"/>
  <c r="CX15" i="5"/>
  <c r="I38" i="28" s="1"/>
  <c r="BB16" i="5"/>
  <c r="DV16" i="5" s="1"/>
  <c r="AB39" i="28" s="1"/>
  <c r="CH17" i="5"/>
  <c r="AY28" i="5"/>
  <c r="AT53" i="5"/>
  <c r="AJ54" i="5"/>
  <c r="L32" i="5"/>
  <c r="DW29" i="5"/>
  <c r="DR29" i="5"/>
  <c r="N30" i="5"/>
  <c r="AH45" i="5"/>
  <c r="AN120" i="5"/>
  <c r="AX120" i="5"/>
  <c r="CG16" i="5"/>
  <c r="L18" i="5"/>
  <c r="L58" i="5" s="1"/>
  <c r="CN23" i="5"/>
  <c r="CX23" i="5"/>
  <c r="EX91" i="5"/>
  <c r="BC26" i="5"/>
  <c r="Y52" i="28" s="1"/>
  <c r="AE28" i="5"/>
  <c r="AM28" i="5"/>
  <c r="CP28" i="5"/>
  <c r="CZ28" i="5"/>
  <c r="DJ28" i="5"/>
  <c r="DT28" i="5"/>
  <c r="G30" i="5"/>
  <c r="CA30" i="5" s="1"/>
  <c r="O30" i="5"/>
  <c r="W30" i="5"/>
  <c r="AU30" i="5"/>
  <c r="CP31" i="5"/>
  <c r="DT31" i="5"/>
  <c r="S34" i="5"/>
  <c r="AA34" i="5"/>
  <c r="AI34" i="5"/>
  <c r="BG34" i="5"/>
  <c r="AQ43" i="5"/>
  <c r="EV69" i="5"/>
  <c r="Y53" i="5"/>
  <c r="I56" i="5"/>
  <c r="BH83" i="5"/>
  <c r="BH94" i="5" s="1"/>
  <c r="BH101" i="5"/>
  <c r="T95" i="5"/>
  <c r="DE128" i="5"/>
  <c r="BA144" i="5"/>
  <c r="AR188" i="5"/>
  <c r="AP120" i="5"/>
  <c r="AZ120" i="5"/>
  <c r="DH17" i="5"/>
  <c r="Q40" i="28" s="1"/>
  <c r="M18" i="5"/>
  <c r="CS25" i="5"/>
  <c r="EX44" i="5"/>
  <c r="AD287" i="5"/>
  <c r="P28" i="5"/>
  <c r="BD28" i="5"/>
  <c r="CQ28" i="5"/>
  <c r="H30" i="5"/>
  <c r="X30" i="5"/>
  <c r="AF30" i="5"/>
  <c r="AN30" i="5"/>
  <c r="AN32" i="5" s="1"/>
  <c r="AV30" i="5"/>
  <c r="DA31" i="5"/>
  <c r="AA32" i="5"/>
  <c r="DV33" i="5"/>
  <c r="L34" i="5"/>
  <c r="AZ34" i="5"/>
  <c r="BH34" i="5"/>
  <c r="BH39" i="5"/>
  <c r="BH40" i="5" s="1"/>
  <c r="BH41" i="5" s="1"/>
  <c r="AR43" i="5"/>
  <c r="AQ50" i="5"/>
  <c r="AQ51" i="5"/>
  <c r="O60" i="28" s="1"/>
  <c r="AE63" i="28"/>
  <c r="AA56" i="5"/>
  <c r="B64" i="28" s="1"/>
  <c r="BG56" i="5"/>
  <c r="AB64" i="28" s="1"/>
  <c r="AS143" i="5"/>
  <c r="AX133" i="5"/>
  <c r="DH127" i="5"/>
  <c r="AS133" i="5"/>
  <c r="CH187" i="5"/>
  <c r="AG120" i="5"/>
  <c r="AQ120" i="5"/>
  <c r="BA120" i="5"/>
  <c r="BC23" i="5"/>
  <c r="Y50" i="28" s="1"/>
  <c r="DK23" i="5"/>
  <c r="Z25" i="5"/>
  <c r="CN27" i="5"/>
  <c r="DH27" i="5"/>
  <c r="Q56" i="5"/>
  <c r="BE56" i="5"/>
  <c r="Z64" i="28" s="1"/>
  <c r="CH28" i="5"/>
  <c r="CR28" i="5"/>
  <c r="DV28" i="5"/>
  <c r="CX29" i="5"/>
  <c r="DH29" i="5"/>
  <c r="I30" i="5"/>
  <c r="Q30" i="5"/>
  <c r="AG30" i="5"/>
  <c r="AW30" i="5"/>
  <c r="BE30" i="5"/>
  <c r="DY30" i="5" s="1"/>
  <c r="CR31" i="5"/>
  <c r="DL31" i="5"/>
  <c r="Z33" i="5"/>
  <c r="CS33" i="5"/>
  <c r="DM33" i="5"/>
  <c r="AR50" i="5"/>
  <c r="AR51" i="5"/>
  <c r="P60" i="28" s="1"/>
  <c r="T54" i="5"/>
  <c r="Y55" i="5"/>
  <c r="AS55" i="5"/>
  <c r="Q63" i="28" s="1"/>
  <c r="AF63" i="28"/>
  <c r="AD106" i="5"/>
  <c r="BA119" i="5"/>
  <c r="AE139" i="28" s="1"/>
  <c r="BA114" i="5"/>
  <c r="DP113" i="5"/>
  <c r="BA139" i="5"/>
  <c r="CU128" i="5"/>
  <c r="CV153" i="5"/>
  <c r="AW153" i="5"/>
  <c r="AX153" i="5" s="1"/>
  <c r="AK188" i="5"/>
  <c r="CZ182" i="5"/>
  <c r="DE182" i="5"/>
  <c r="CX236" i="5"/>
  <c r="AL246" i="5"/>
  <c r="S90" i="28" s="1"/>
  <c r="BB123" i="5"/>
  <c r="AH120" i="5"/>
  <c r="AR120" i="5"/>
  <c r="BB120" i="5"/>
  <c r="O18" i="5"/>
  <c r="DB23" i="5"/>
  <c r="CX26" i="5"/>
  <c r="Q109" i="28" s="1"/>
  <c r="DH26" i="5"/>
  <c r="Y109" i="28" s="1"/>
  <c r="R56" i="5"/>
  <c r="AX28" i="5"/>
  <c r="DC28" i="5"/>
  <c r="R30" i="5"/>
  <c r="AH30" i="5"/>
  <c r="AP30" i="5"/>
  <c r="BF30" i="5"/>
  <c r="DZ30" i="5" s="1"/>
  <c r="DC31" i="5"/>
  <c r="DW31" i="5"/>
  <c r="AS54" i="5"/>
  <c r="Q62" i="28" s="1"/>
  <c r="L56" i="5"/>
  <c r="K189" i="10"/>
  <c r="K191" i="10" s="1"/>
  <c r="AI137" i="5"/>
  <c r="DC111" i="5"/>
  <c r="AI122" i="5"/>
  <c r="AI117" i="5"/>
  <c r="Q103" i="28" s="1"/>
  <c r="AI113" i="5"/>
  <c r="CX111" i="5"/>
  <c r="DK113" i="5"/>
  <c r="AQ119" i="5"/>
  <c r="AQ114" i="5"/>
  <c r="DF113" i="5"/>
  <c r="AQ139" i="5"/>
  <c r="AU144" i="5"/>
  <c r="AU129" i="5"/>
  <c r="BE144" i="5"/>
  <c r="BE129" i="5"/>
  <c r="CU137" i="5"/>
  <c r="M187" i="5"/>
  <c r="CB187" i="5" s="1"/>
  <c r="CB185" i="5"/>
  <c r="CW239" i="5"/>
  <c r="AH249" i="5"/>
  <c r="P92" i="28" s="1"/>
  <c r="AH122" i="5"/>
  <c r="CI23" i="5"/>
  <c r="U27" i="5"/>
  <c r="AQ28" i="5"/>
  <c r="DK28" i="5" s="1"/>
  <c r="CA28" i="5"/>
  <c r="CU28" i="5"/>
  <c r="DE28" i="5"/>
  <c r="H1649" i="16" s="1"/>
  <c r="S30" i="5"/>
  <c r="CU31" i="5"/>
  <c r="DO31" i="5"/>
  <c r="G34" i="5"/>
  <c r="O34" i="5"/>
  <c r="W34" i="5"/>
  <c r="AU34" i="5"/>
  <c r="AA47" i="5"/>
  <c r="ER66" i="5"/>
  <c r="ER69" i="5"/>
  <c r="AD54" i="5"/>
  <c r="E62" i="28" s="1"/>
  <c r="AE62" i="28"/>
  <c r="BG68" i="5"/>
  <c r="BH67" i="5"/>
  <c r="BH68" i="5" s="1"/>
  <c r="DA113" i="5"/>
  <c r="AG119" i="5"/>
  <c r="AG114" i="5"/>
  <c r="CV113" i="5"/>
  <c r="AG139" i="5"/>
  <c r="D3921" i="3"/>
  <c r="AZ166" i="5"/>
  <c r="AZ167" i="5" s="1"/>
  <c r="CP182" i="5"/>
  <c r="T306" i="5"/>
  <c r="T316" i="5" s="1"/>
  <c r="AB56" i="5"/>
  <c r="C64" i="28" s="1"/>
  <c r="AR28" i="5"/>
  <c r="CB28" i="5"/>
  <c r="CL28" i="5"/>
  <c r="CV28" i="5"/>
  <c r="DP28" i="5"/>
  <c r="AB30" i="5"/>
  <c r="AZ30" i="5"/>
  <c r="AZ32" i="5" s="1"/>
  <c r="BH30" i="5"/>
  <c r="CV31" i="5"/>
  <c r="X34" i="5"/>
  <c r="CR34" i="5" s="1"/>
  <c r="AV34" i="5"/>
  <c r="ES66" i="5"/>
  <c r="ES69" i="5"/>
  <c r="AD53" i="5"/>
  <c r="E61" i="28" s="1"/>
  <c r="AF62" i="28"/>
  <c r="T55" i="5"/>
  <c r="CS89" i="5"/>
  <c r="CM186" i="5"/>
  <c r="CR186" i="5"/>
  <c r="O310" i="5"/>
  <c r="P298" i="5"/>
  <c r="O302" i="5"/>
  <c r="AL120" i="5"/>
  <c r="AV120" i="5"/>
  <c r="BF120" i="5"/>
  <c r="DF23" i="5"/>
  <c r="I1645" i="16" s="1"/>
  <c r="U26" i="5"/>
  <c r="DM27" i="5"/>
  <c r="M56" i="5"/>
  <c r="AK56" i="5"/>
  <c r="J64" i="28" s="1"/>
  <c r="CW28" i="5"/>
  <c r="CS29" i="5"/>
  <c r="DC29" i="5"/>
  <c r="DM29" i="5"/>
  <c r="M30" i="5"/>
  <c r="AC30" i="5"/>
  <c r="AK30" i="5"/>
  <c r="BA30" i="5"/>
  <c r="BA32" i="5" s="1"/>
  <c r="Y31" i="5"/>
  <c r="CM31" i="5"/>
  <c r="Q34" i="5"/>
  <c r="AG34" i="5"/>
  <c r="AW34" i="5"/>
  <c r="BE34" i="5"/>
  <c r="DM40" i="5"/>
  <c r="AM43" i="5"/>
  <c r="ET66" i="5"/>
  <c r="ET69" i="5"/>
  <c r="AE61" i="28"/>
  <c r="P54" i="5"/>
  <c r="AX55" i="5"/>
  <c r="U63" i="28" s="1"/>
  <c r="AN67" i="5"/>
  <c r="AN68" i="5" s="1"/>
  <c r="AL68" i="5"/>
  <c r="AV119" i="5"/>
  <c r="BF119" i="5"/>
  <c r="AI139" i="28" s="1"/>
  <c r="AF166" i="5"/>
  <c r="AF167" i="5" s="1"/>
  <c r="Q194" i="5"/>
  <c r="CF182" i="5"/>
  <c r="Q188" i="5"/>
  <c r="Q189" i="5" s="1"/>
  <c r="AP188" i="5"/>
  <c r="CF187" i="5"/>
  <c r="AF187" i="5"/>
  <c r="CU185" i="5"/>
  <c r="Y88" i="5"/>
  <c r="Y99" i="5" s="1"/>
  <c r="L191" i="10"/>
  <c r="CU113" i="5"/>
  <c r="DE113" i="5"/>
  <c r="DO113" i="5"/>
  <c r="AF114" i="5"/>
  <c r="AP114" i="5"/>
  <c r="AZ114" i="5"/>
  <c r="BF115" i="5"/>
  <c r="AN118" i="5"/>
  <c r="AX118" i="5"/>
  <c r="BH119" i="5"/>
  <c r="AK139" i="28" s="1"/>
  <c r="CX126" i="5"/>
  <c r="DH126" i="5"/>
  <c r="DA128" i="5"/>
  <c r="DK128" i="5"/>
  <c r="BB129" i="5"/>
  <c r="AI132" i="5"/>
  <c r="Q110" i="28" s="1"/>
  <c r="AS132" i="5"/>
  <c r="Y110" i="28" s="1"/>
  <c r="AD138" i="5"/>
  <c r="AI142" i="5"/>
  <c r="AS142" i="5"/>
  <c r="AG144" i="5"/>
  <c r="AQ144" i="5"/>
  <c r="AL188" i="5"/>
  <c r="CB182" i="5"/>
  <c r="CL182" i="5"/>
  <c r="H183" i="5"/>
  <c r="R183" i="5"/>
  <c r="DA185" i="5"/>
  <c r="Y186" i="5"/>
  <c r="AH187" i="5"/>
  <c r="CW187" i="5" s="1"/>
  <c r="O188" i="5"/>
  <c r="O189" i="5" s="1"/>
  <c r="R194" i="5"/>
  <c r="R291" i="5"/>
  <c r="N292" i="5"/>
  <c r="X292" i="5"/>
  <c r="I246" i="5"/>
  <c r="R246" i="5"/>
  <c r="O44" i="10"/>
  <c r="BC241" i="5"/>
  <c r="BC123" i="5" s="1"/>
  <c r="BC249" i="5"/>
  <c r="AG92" i="28" s="1"/>
  <c r="CG267" i="5"/>
  <c r="Y278" i="5"/>
  <c r="Y279" i="5" s="1"/>
  <c r="AI95" i="5"/>
  <c r="AI146" i="5" s="1"/>
  <c r="AX102" i="5"/>
  <c r="M190" i="10"/>
  <c r="M191" i="10"/>
  <c r="N191" i="10" s="1"/>
  <c r="DH111" i="5"/>
  <c r="CX112" i="5"/>
  <c r="AS113" i="5"/>
  <c r="AX119" i="5" s="1"/>
  <c r="DB128" i="5"/>
  <c r="DL128" i="5"/>
  <c r="AI133" i="5"/>
  <c r="AH139" i="5"/>
  <c r="AR139" i="5"/>
  <c r="BB139" i="5"/>
  <c r="AN143" i="5"/>
  <c r="AH144" i="5"/>
  <c r="AR144" i="5"/>
  <c r="CC182" i="5"/>
  <c r="CM182" i="5"/>
  <c r="I183" i="5"/>
  <c r="S183" i="5"/>
  <c r="DB185" i="5"/>
  <c r="AB188" i="5"/>
  <c r="S196" i="5"/>
  <c r="S197" i="5" s="1"/>
  <c r="S198" i="5" s="1"/>
  <c r="L245" i="5"/>
  <c r="L239" i="5"/>
  <c r="V245" i="5"/>
  <c r="T245" i="5"/>
  <c r="T239" i="5"/>
  <c r="BE245" i="5"/>
  <c r="AL241" i="5"/>
  <c r="AM249" i="5"/>
  <c r="T92" i="28" s="1"/>
  <c r="CN250" i="5"/>
  <c r="AC282" i="5"/>
  <c r="AC279" i="5"/>
  <c r="AB282" i="5"/>
  <c r="AB279" i="5"/>
  <c r="CW113" i="5"/>
  <c r="DG113" i="5"/>
  <c r="DQ113" i="5"/>
  <c r="AH114" i="5"/>
  <c r="AR114" i="5"/>
  <c r="BB114" i="5"/>
  <c r="BH115" i="5"/>
  <c r="AD128" i="5"/>
  <c r="AN128" i="5"/>
  <c r="AN137" i="5"/>
  <c r="BC139" i="5"/>
  <c r="BG150" i="5"/>
  <c r="BH150" i="5" s="1"/>
  <c r="CD182" i="5"/>
  <c r="J183" i="5"/>
  <c r="AC188" i="5"/>
  <c r="Q292" i="5"/>
  <c r="M293" i="5"/>
  <c r="W293" i="5"/>
  <c r="C245" i="5"/>
  <c r="M245" i="5"/>
  <c r="G293" i="5"/>
  <c r="G175" i="10"/>
  <c r="Y67" i="5"/>
  <c r="Y68" i="5" s="1"/>
  <c r="AZ68" i="5"/>
  <c r="DR113" i="5"/>
  <c r="BC114" i="5"/>
  <c r="AS117" i="5"/>
  <c r="Y103" i="28" s="1"/>
  <c r="AS122" i="5"/>
  <c r="AS123" i="5"/>
  <c r="CX127" i="5"/>
  <c r="AV129" i="5"/>
  <c r="BF129" i="5"/>
  <c r="AA139" i="5"/>
  <c r="AK139" i="5"/>
  <c r="AU139" i="5"/>
  <c r="BE139" i="5"/>
  <c r="L194" i="5"/>
  <c r="DF182" i="5"/>
  <c r="L183" i="5"/>
  <c r="V183" i="5"/>
  <c r="CA185" i="5"/>
  <c r="CK185" i="5"/>
  <c r="S188" i="5"/>
  <c r="L291" i="5"/>
  <c r="V291" i="5"/>
  <c r="R292" i="5"/>
  <c r="N293" i="5"/>
  <c r="C246" i="5"/>
  <c r="C239" i="5"/>
  <c r="M246" i="5"/>
  <c r="M239" i="5"/>
  <c r="V246" i="5"/>
  <c r="V239" i="5"/>
  <c r="E239" i="5"/>
  <c r="G245" i="5"/>
  <c r="BG249" i="5"/>
  <c r="AJ92" i="28" s="1"/>
  <c r="H293" i="5"/>
  <c r="J260" i="5"/>
  <c r="S265" i="5"/>
  <c r="S266" i="5" s="1"/>
  <c r="CH264" i="5"/>
  <c r="S267" i="5"/>
  <c r="CH267" i="5" s="1"/>
  <c r="CM264" i="5"/>
  <c r="CZ113" i="5"/>
  <c r="DJ113" i="5"/>
  <c r="AK114" i="5"/>
  <c r="AU114" i="5"/>
  <c r="B1711" i="16" s="1"/>
  <c r="BE114" i="5"/>
  <c r="AI118" i="5"/>
  <c r="AS118" i="5"/>
  <c r="DC126" i="5"/>
  <c r="AW129" i="5"/>
  <c r="BG129" i="5"/>
  <c r="AN132" i="5"/>
  <c r="U110" i="28" s="1"/>
  <c r="AX132" i="5"/>
  <c r="AX131" i="5" s="1"/>
  <c r="AC110" i="28" s="1"/>
  <c r="AS138" i="5"/>
  <c r="AL139" i="5"/>
  <c r="AV139" i="5"/>
  <c r="BF139" i="5"/>
  <c r="DG182" i="5"/>
  <c r="M183" i="5"/>
  <c r="W183" i="5"/>
  <c r="Y245" i="5"/>
  <c r="X245" i="5"/>
  <c r="D246" i="5"/>
  <c r="N246" i="5"/>
  <c r="W246" i="5"/>
  <c r="CX238" i="5"/>
  <c r="AL248" i="5"/>
  <c r="S91" i="28" s="1"/>
  <c r="J239" i="5"/>
  <c r="AD249" i="5"/>
  <c r="M92" i="28" s="1"/>
  <c r="AP241" i="5"/>
  <c r="AQ123" i="5" s="1"/>
  <c r="AX241" i="5"/>
  <c r="AX123" i="5" s="1"/>
  <c r="AX249" i="5"/>
  <c r="AC92" i="28" s="1"/>
  <c r="BH249" i="5"/>
  <c r="AK92" i="28" s="1"/>
  <c r="Q245" i="5"/>
  <c r="G292" i="5"/>
  <c r="H174" i="10"/>
  <c r="H175" i="10" s="1"/>
  <c r="AQ294" i="5"/>
  <c r="AA285" i="5"/>
  <c r="AA288" i="5" s="1"/>
  <c r="AH288" i="5"/>
  <c r="DM111" i="5"/>
  <c r="AX129" i="5"/>
  <c r="BH129" i="5"/>
  <c r="AC139" i="5"/>
  <c r="AM139" i="5"/>
  <c r="AW139" i="5"/>
  <c r="BG139" i="5"/>
  <c r="BG144" i="5"/>
  <c r="CH182" i="5"/>
  <c r="CC185" i="5"/>
  <c r="L188" i="5"/>
  <c r="L189" i="5" s="1"/>
  <c r="O239" i="5"/>
  <c r="H292" i="5"/>
  <c r="K265" i="5"/>
  <c r="DB113" i="5"/>
  <c r="DL113" i="5"/>
  <c r="AX116" i="5"/>
  <c r="AC103" i="28" s="1"/>
  <c r="AS137" i="5"/>
  <c r="O183" i="5"/>
  <c r="M188" i="5"/>
  <c r="M189" i="5" s="1"/>
  <c r="AX192" i="5"/>
  <c r="AX191" i="5"/>
  <c r="L292" i="5"/>
  <c r="V292" i="5"/>
  <c r="R293" i="5"/>
  <c r="H239" i="5"/>
  <c r="Q239" i="5"/>
  <c r="S239" i="5"/>
  <c r="W292" i="5"/>
  <c r="Y228" i="5"/>
  <c r="AN241" i="5"/>
  <c r="AV241" i="5"/>
  <c r="BF241" i="5"/>
  <c r="H245" i="5"/>
  <c r="R245" i="5"/>
  <c r="T264" i="5"/>
  <c r="AB294" i="5"/>
  <c r="AV294" i="5"/>
  <c r="N265" i="5"/>
  <c r="AB285" i="5"/>
  <c r="AG286" i="5" s="1"/>
  <c r="N291" i="5"/>
  <c r="X291" i="5"/>
  <c r="AG294" i="5"/>
  <c r="H202" i="10"/>
  <c r="U312" i="5"/>
  <c r="Q314" i="5"/>
  <c r="X306" i="5"/>
  <c r="X316" i="5" s="1"/>
  <c r="X303" i="5"/>
  <c r="T312" i="5"/>
  <c r="L314" i="5"/>
  <c r="I245" i="5"/>
  <c r="AP245" i="5"/>
  <c r="V89" i="28" s="1"/>
  <c r="G171" i="10"/>
  <c r="G232" i="10"/>
  <c r="AC294" i="5"/>
  <c r="AM294" i="5"/>
  <c r="AW294" i="5"/>
  <c r="AC285" i="5"/>
  <c r="AH286" i="5" s="1"/>
  <c r="O291" i="5"/>
  <c r="M292" i="5"/>
  <c r="AH294" i="5"/>
  <c r="R314" i="5"/>
  <c r="D239" i="5"/>
  <c r="N239" i="5"/>
  <c r="W239" i="5"/>
  <c r="X248" i="5"/>
  <c r="AG249" i="5"/>
  <c r="O92" i="28" s="1"/>
  <c r="BA249" i="5"/>
  <c r="AE92" i="28" s="1"/>
  <c r="AN294" i="5"/>
  <c r="AX294" i="5"/>
  <c r="CF264" i="5"/>
  <c r="L267" i="5"/>
  <c r="CF267" i="5" s="1"/>
  <c r="G291" i="5"/>
  <c r="Q291" i="5"/>
  <c r="O293" i="5"/>
  <c r="O311" i="5"/>
  <c r="AR249" i="5"/>
  <c r="X92" i="28" s="1"/>
  <c r="BB249" i="5"/>
  <c r="AF92" i="28" s="1"/>
  <c r="U259" i="5"/>
  <c r="U310" i="5" s="1"/>
  <c r="P260" i="5"/>
  <c r="G172" i="10" s="1"/>
  <c r="G264" i="5"/>
  <c r="CA264" i="5" s="1"/>
  <c r="AF294" i="5"/>
  <c r="AZ294" i="5"/>
  <c r="CG264" i="5"/>
  <c r="Q265" i="5"/>
  <c r="Q266" i="5" s="1"/>
  <c r="X266" i="5"/>
  <c r="V267" i="5"/>
  <c r="CK267" i="5" s="1"/>
  <c r="AF279" i="5"/>
  <c r="AF285" i="5"/>
  <c r="H291" i="5"/>
  <c r="O292" i="5"/>
  <c r="G201" i="10"/>
  <c r="K314" i="5"/>
  <c r="V314" i="5"/>
  <c r="AI249" i="5"/>
  <c r="Q92" i="28" s="1"/>
  <c r="AS249" i="5"/>
  <c r="Y92" i="28" s="1"/>
  <c r="T293" i="5"/>
  <c r="R265" i="5"/>
  <c r="R266" i="5" s="1"/>
  <c r="W267" i="5"/>
  <c r="CL267" i="5" s="1"/>
  <c r="AG279" i="5"/>
  <c r="I291" i="5"/>
  <c r="S291" i="5"/>
  <c r="S293" i="5"/>
  <c r="G199" i="10"/>
  <c r="W314" i="5"/>
  <c r="CL302" i="5"/>
  <c r="W303" i="5"/>
  <c r="T309" i="5"/>
  <c r="T311" i="5"/>
  <c r="AJ239" i="5"/>
  <c r="CN246" i="5"/>
  <c r="U260" i="5"/>
  <c r="U311" i="5" s="1"/>
  <c r="I264" i="5"/>
  <c r="CC264" i="5" s="1"/>
  <c r="Y314" i="5"/>
  <c r="X267" i="5"/>
  <c r="T291" i="5"/>
  <c r="V293" i="5"/>
  <c r="H201" i="10"/>
  <c r="M314" i="5"/>
  <c r="X314" i="5"/>
  <c r="Q293" i="5"/>
  <c r="Y226" i="5"/>
  <c r="AK239" i="5"/>
  <c r="AL249" i="5" s="1"/>
  <c r="S92" i="28" s="1"/>
  <c r="AI294" i="5"/>
  <c r="AS294" i="5"/>
  <c r="CK264" i="5"/>
  <c r="L265" i="5"/>
  <c r="I292" i="5"/>
  <c r="S292" i="5"/>
  <c r="I293" i="5"/>
  <c r="U297" i="5"/>
  <c r="G202" i="10"/>
  <c r="G215" i="10" s="1"/>
  <c r="P312" i="5"/>
  <c r="N314" i="5"/>
  <c r="V306" i="5"/>
  <c r="V316" i="5" s="1"/>
  <c r="V303" i="5"/>
  <c r="S314" i="5"/>
  <c r="CK302" i="5"/>
  <c r="O309" i="5"/>
  <c r="O312" i="5"/>
  <c r="Q303" i="5"/>
  <c r="J1404" i="16"/>
  <c r="R1404" i="16"/>
  <c r="M1404" i="16"/>
  <c r="G1404" i="16"/>
  <c r="O1404" i="16"/>
  <c r="L113" i="10"/>
  <c r="L137" i="10" s="1"/>
  <c r="M97" i="10"/>
  <c r="M69" i="10"/>
  <c r="M94" i="10" s="1"/>
  <c r="N27" i="10"/>
  <c r="N30" i="10" s="1"/>
  <c r="N113" i="10"/>
  <c r="N137" i="10" s="1"/>
  <c r="N97" i="10"/>
  <c r="O98" i="10" s="1"/>
  <c r="N69" i="10"/>
  <c r="N94" i="10" s="1"/>
  <c r="H1404" i="16"/>
  <c r="P1404" i="16"/>
  <c r="P97" i="10"/>
  <c r="P146" i="10"/>
  <c r="O87" i="10"/>
  <c r="O99" i="10" s="1"/>
  <c r="P140" i="10"/>
  <c r="F212" i="10"/>
  <c r="E3210" i="3"/>
  <c r="C3503" i="3"/>
  <c r="D3503" i="3" s="1"/>
  <c r="F31" i="20"/>
  <c r="S285" i="1" l="1"/>
  <c r="S295" i="1"/>
  <c r="O495" i="1"/>
  <c r="D1766" i="16"/>
  <c r="D1787" i="16" s="1"/>
  <c r="H512" i="16"/>
  <c r="H554" i="16" s="1"/>
  <c r="G1468" i="16"/>
  <c r="E1551" i="16"/>
  <c r="Y18" i="18"/>
  <c r="S288" i="1"/>
  <c r="Q458" i="1"/>
  <c r="R57" i="1"/>
  <c r="E1482" i="16" s="1"/>
  <c r="O88" i="13"/>
  <c r="T62" i="29"/>
  <c r="P76" i="13"/>
  <c r="H198" i="13" s="1"/>
  <c r="E54" i="13"/>
  <c r="P59" i="13"/>
  <c r="L20" i="13"/>
  <c r="Q176" i="13"/>
  <c r="Q112" i="13"/>
  <c r="X59" i="29"/>
  <c r="N59" i="29"/>
  <c r="T134" i="13"/>
  <c r="L246" i="13" s="1"/>
  <c r="L191" i="13"/>
  <c r="K124" i="10"/>
  <c r="U134" i="13"/>
  <c r="M246" i="13" s="1"/>
  <c r="BX245" i="5"/>
  <c r="AT89" i="28"/>
  <c r="BF242" i="5"/>
  <c r="BG242" i="5"/>
  <c r="BJ123" i="5"/>
  <c r="ED123" i="5" s="1"/>
  <c r="BH242" i="5"/>
  <c r="BJ242" i="5"/>
  <c r="BE123" i="5"/>
  <c r="DY123" i="5" s="1"/>
  <c r="BE242" i="5"/>
  <c r="L244" i="1"/>
  <c r="L80" i="10"/>
  <c r="L76" i="10"/>
  <c r="O84" i="10"/>
  <c r="P59" i="10"/>
  <c r="G2182" i="16"/>
  <c r="R259" i="1"/>
  <c r="O81" i="14"/>
  <c r="O80" i="14" s="1"/>
  <c r="C133" i="14"/>
  <c r="F132" i="14"/>
  <c r="K299" i="1"/>
  <c r="N504" i="1"/>
  <c r="AT187" i="5"/>
  <c r="C1451" i="16"/>
  <c r="K1473" i="16" s="1"/>
  <c r="N490" i="1"/>
  <c r="N491" i="1" s="1"/>
  <c r="G512" i="16"/>
  <c r="G554" i="16" s="1"/>
  <c r="R316" i="1"/>
  <c r="R148" i="1" s="1"/>
  <c r="R153" i="1" s="1"/>
  <c r="N47" i="9"/>
  <c r="G25" i="9"/>
  <c r="BX102" i="5"/>
  <c r="S20" i="29"/>
  <c r="K24" i="9"/>
  <c r="L24" i="9" s="1"/>
  <c r="BH105" i="5"/>
  <c r="F42" i="9"/>
  <c r="BH123" i="5"/>
  <c r="E2548" i="16"/>
  <c r="H102" i="25"/>
  <c r="H116" i="25" s="1"/>
  <c r="F2558" i="16"/>
  <c r="O243" i="1"/>
  <c r="O244" i="1" s="1"/>
  <c r="L299" i="1"/>
  <c r="E18" i="1"/>
  <c r="C642" i="16"/>
  <c r="D2875" i="3"/>
  <c r="C132" i="14"/>
  <c r="V7" i="18"/>
  <c r="V25" i="18" s="1"/>
  <c r="E750" i="16"/>
  <c r="T248" i="1"/>
  <c r="T503" i="1"/>
  <c r="T500" i="1" s="1"/>
  <c r="Y152" i="18"/>
  <c r="I244" i="1"/>
  <c r="N244" i="1"/>
  <c r="G18" i="1"/>
  <c r="K581" i="1"/>
  <c r="D2080" i="16"/>
  <c r="D2082" i="16" s="1"/>
  <c r="J50" i="9"/>
  <c r="L579" i="1"/>
  <c r="T130" i="1"/>
  <c r="T290" i="1" s="1"/>
  <c r="U243" i="1"/>
  <c r="T257" i="1"/>
  <c r="T258" i="1" s="1"/>
  <c r="T176" i="1" s="1"/>
  <c r="Z128" i="1"/>
  <c r="AA128" i="1" s="1"/>
  <c r="AB128" i="1" s="1"/>
  <c r="AC128" i="1" s="1"/>
  <c r="G2802" i="16"/>
  <c r="C2429" i="16"/>
  <c r="C2869" i="16"/>
  <c r="T243" i="1"/>
  <c r="M62" i="14"/>
  <c r="EG29" i="5"/>
  <c r="M25" i="29"/>
  <c r="AH89" i="28"/>
  <c r="BR245" i="5"/>
  <c r="AS89" i="28" s="1"/>
  <c r="M45" i="29"/>
  <c r="M46" i="29" s="1"/>
  <c r="P123" i="1"/>
  <c r="H50" i="9"/>
  <c r="F45" i="9"/>
  <c r="F50" i="9"/>
  <c r="D2545" i="16"/>
  <c r="F113" i="25"/>
  <c r="C2545" i="16"/>
  <c r="E113" i="25"/>
  <c r="BR132" i="5"/>
  <c r="AS110" i="28" s="1"/>
  <c r="M17" i="29"/>
  <c r="N62" i="29"/>
  <c r="S62" i="29"/>
  <c r="U138" i="13"/>
  <c r="M250" i="13" s="1"/>
  <c r="DU122" i="5"/>
  <c r="DV122" i="5"/>
  <c r="EA122" i="5"/>
  <c r="DW122" i="5"/>
  <c r="EB122" i="5"/>
  <c r="D2826" i="16"/>
  <c r="DZ122" i="5"/>
  <c r="BJ79" i="5"/>
  <c r="BH56" i="5"/>
  <c r="AC64" i="28" s="1"/>
  <c r="EB16" i="5"/>
  <c r="BR55" i="5"/>
  <c r="EG27" i="5"/>
  <c r="BH32" i="5"/>
  <c r="EB32" i="5" s="1"/>
  <c r="EB30" i="5"/>
  <c r="EB34" i="5"/>
  <c r="BG32" i="5"/>
  <c r="EA32" i="5" s="1"/>
  <c r="DV30" i="5"/>
  <c r="P69" i="10"/>
  <c r="P94" i="10" s="1"/>
  <c r="L67" i="10"/>
  <c r="L92" i="10" s="1"/>
  <c r="Q77" i="10"/>
  <c r="BR137" i="5"/>
  <c r="BJ169" i="5"/>
  <c r="AD176" i="28" s="1"/>
  <c r="ED32" i="5"/>
  <c r="O122" i="11"/>
  <c r="O126" i="11" s="1"/>
  <c r="F22" i="19"/>
  <c r="L74" i="14"/>
  <c r="T9" i="29"/>
  <c r="H2825" i="16"/>
  <c r="E2826" i="16"/>
  <c r="EA34" i="5"/>
  <c r="BG58" i="5"/>
  <c r="EA18" i="5"/>
  <c r="C1138" i="16"/>
  <c r="C1143" i="16" s="1"/>
  <c r="G1143" i="16" s="1"/>
  <c r="L226" i="10"/>
  <c r="L236" i="10" s="1"/>
  <c r="H45" i="9"/>
  <c r="V148" i="18"/>
  <c r="V154" i="18" s="1"/>
  <c r="G173" i="18" s="1"/>
  <c r="P106" i="1"/>
  <c r="K2027" i="16" s="1"/>
  <c r="H2848" i="16"/>
  <c r="D749" i="16"/>
  <c r="D1021" i="16"/>
  <c r="D1027" i="16" s="1"/>
  <c r="I1027" i="16" s="1"/>
  <c r="J6" i="22"/>
  <c r="N45" i="29"/>
  <c r="K6" i="22"/>
  <c r="S45" i="29"/>
  <c r="E1954" i="16"/>
  <c r="G1954" i="16" s="1"/>
  <c r="G1958" i="16" s="1"/>
  <c r="F2234" i="16"/>
  <c r="F2243" i="16" s="1"/>
  <c r="S25" i="29"/>
  <c r="N105" i="1"/>
  <c r="I97" i="14"/>
  <c r="I96" i="14" s="1"/>
  <c r="L128" i="13"/>
  <c r="L131" i="13" s="1"/>
  <c r="T147" i="18"/>
  <c r="T153" i="18" s="1"/>
  <c r="N122" i="1"/>
  <c r="O118" i="28"/>
  <c r="BN89" i="28"/>
  <c r="BN92" i="28" s="1"/>
  <c r="BF56" i="5"/>
  <c r="AA64" i="28" s="1"/>
  <c r="DZ16" i="5"/>
  <c r="AE39" i="28" s="1"/>
  <c r="AG53" i="28"/>
  <c r="AE56" i="28"/>
  <c r="AF52" i="28"/>
  <c r="BN245" i="5"/>
  <c r="AG38" i="28"/>
  <c r="E18" i="19"/>
  <c r="T71" i="13"/>
  <c r="L194" i="13" s="1"/>
  <c r="R18" i="10"/>
  <c r="R43" i="10" s="1"/>
  <c r="C1766" i="16"/>
  <c r="C1787" i="16" s="1"/>
  <c r="F188" i="1"/>
  <c r="R288" i="1"/>
  <c r="M191" i="13"/>
  <c r="C1754" i="16"/>
  <c r="C1756" i="16" s="1"/>
  <c r="C1758" i="16" s="1"/>
  <c r="C1760" i="16" s="1"/>
  <c r="C1762" i="16" s="1"/>
  <c r="D1762" i="16" s="1"/>
  <c r="E1762" i="16" s="1"/>
  <c r="F1762" i="16" s="1"/>
  <c r="R22" i="11"/>
  <c r="I177" i="13"/>
  <c r="P13" i="13"/>
  <c r="P14" i="13" s="1"/>
  <c r="M51" i="13"/>
  <c r="J242" i="16" s="1"/>
  <c r="D1551" i="16"/>
  <c r="R285" i="1"/>
  <c r="M22" i="12"/>
  <c r="E167" i="16"/>
  <c r="M193" i="13"/>
  <c r="I34" i="14"/>
  <c r="I37" i="14" s="1"/>
  <c r="X18" i="18"/>
  <c r="AT83" i="5"/>
  <c r="O147" i="1"/>
  <c r="O316" i="1" s="1"/>
  <c r="O148" i="1" s="1"/>
  <c r="O153" i="1" s="1"/>
  <c r="O258" i="1"/>
  <c r="I42" i="14"/>
  <c r="G3124" i="3"/>
  <c r="G3125" i="3" s="1"/>
  <c r="G3130" i="3" s="1"/>
  <c r="O248" i="1"/>
  <c r="P249" i="1" s="1"/>
  <c r="I81" i="14"/>
  <c r="I92" i="14" s="1"/>
  <c r="F137" i="12"/>
  <c r="P461" i="1"/>
  <c r="P9" i="1"/>
  <c r="F1577" i="16"/>
  <c r="F1578" i="16" s="1"/>
  <c r="E74" i="17"/>
  <c r="E76" i="17" s="1"/>
  <c r="G2848" i="16"/>
  <c r="K86" i="12"/>
  <c r="D52" i="12"/>
  <c r="D54" i="12" s="1"/>
  <c r="L50" i="12"/>
  <c r="M17" i="21"/>
  <c r="S499" i="1"/>
  <c r="F154" i="1"/>
  <c r="S299" i="1"/>
  <c r="C1577" i="16"/>
  <c r="C1578" i="16" s="1"/>
  <c r="V119" i="18"/>
  <c r="Q54" i="28"/>
  <c r="Q57" i="28" s="1"/>
  <c r="D30" i="12"/>
  <c r="E30" i="12" s="1"/>
  <c r="F30" i="12" s="1"/>
  <c r="G30" i="12" s="1"/>
  <c r="H30" i="12" s="1"/>
  <c r="I30" i="12" s="1"/>
  <c r="J30" i="12" s="1"/>
  <c r="F32" i="12"/>
  <c r="F47" i="12" s="1"/>
  <c r="L16" i="21"/>
  <c r="H36" i="13"/>
  <c r="S501" i="1"/>
  <c r="S84" i="1"/>
  <c r="R298" i="1"/>
  <c r="J142" i="1"/>
  <c r="J145" i="1" s="1"/>
  <c r="J316" i="1" s="1"/>
  <c r="J148" i="1" s="1"/>
  <c r="J153" i="1" s="1"/>
  <c r="K162" i="12"/>
  <c r="P299" i="1"/>
  <c r="F17" i="12"/>
  <c r="F19" i="12" s="1"/>
  <c r="H29" i="13"/>
  <c r="S58" i="1"/>
  <c r="S59" i="1" s="1"/>
  <c r="S498" i="1"/>
  <c r="BJ239" i="12"/>
  <c r="S74" i="1"/>
  <c r="F1488" i="16" s="1"/>
  <c r="K80" i="12"/>
  <c r="G168" i="12"/>
  <c r="G174" i="12" s="1"/>
  <c r="F53" i="12"/>
  <c r="G198" i="13"/>
  <c r="H46" i="13"/>
  <c r="H33" i="13"/>
  <c r="S500" i="1"/>
  <c r="L539" i="1"/>
  <c r="L582" i="1" s="1"/>
  <c r="R299" i="1"/>
  <c r="O298" i="1"/>
  <c r="Q80" i="13"/>
  <c r="I208" i="13" s="1"/>
  <c r="M22" i="13"/>
  <c r="M48" i="13" s="1"/>
  <c r="M41" i="13" s="1"/>
  <c r="S467" i="1"/>
  <c r="G254" i="1"/>
  <c r="G252" i="1" s="1"/>
  <c r="M20" i="13"/>
  <c r="F54" i="12"/>
  <c r="H39" i="13"/>
  <c r="K80" i="10"/>
  <c r="P176" i="1"/>
  <c r="AO160" i="5" s="1"/>
  <c r="J52" i="13"/>
  <c r="H49" i="13"/>
  <c r="H41" i="13" s="1"/>
  <c r="K76" i="10"/>
  <c r="K77" i="10" s="1"/>
  <c r="H1455" i="16"/>
  <c r="H1470" i="16" s="1"/>
  <c r="AL5" i="14"/>
  <c r="R123" i="1"/>
  <c r="J299" i="1"/>
  <c r="K87" i="12"/>
  <c r="R27" i="11"/>
  <c r="V242" i="12"/>
  <c r="R7" i="11"/>
  <c r="R8" i="11" s="1"/>
  <c r="O1455" i="16"/>
  <c r="O1470" i="16" s="1"/>
  <c r="T466" i="1"/>
  <c r="T467" i="1" s="1"/>
  <c r="Y242" i="12"/>
  <c r="R24" i="11"/>
  <c r="P458" i="1"/>
  <c r="O492" i="1"/>
  <c r="O509" i="1" s="1"/>
  <c r="O511" i="1" s="1"/>
  <c r="F439" i="16"/>
  <c r="L87" i="12"/>
  <c r="S17" i="11"/>
  <c r="G41" i="13"/>
  <c r="F2" i="14"/>
  <c r="F78" i="14" s="1"/>
  <c r="F84" i="14" s="1"/>
  <c r="F89" i="14" s="1"/>
  <c r="F94" i="14" s="1"/>
  <c r="F99" i="14" s="1"/>
  <c r="F104" i="14" s="1"/>
  <c r="F109" i="14" s="1"/>
  <c r="F1972" i="16"/>
  <c r="D1144" i="16"/>
  <c r="H1144" i="16" s="1"/>
  <c r="L581" i="1"/>
  <c r="F1973" i="16"/>
  <c r="F1974" i="16" s="1"/>
  <c r="S479" i="1"/>
  <c r="E254" i="1"/>
  <c r="E252" i="1" s="1"/>
  <c r="S18" i="11"/>
  <c r="R18" i="11"/>
  <c r="L174" i="13"/>
  <c r="L177" i="13" s="1"/>
  <c r="I55" i="25"/>
  <c r="I56" i="25" s="1"/>
  <c r="O86" i="14"/>
  <c r="D328" i="1"/>
  <c r="D331" i="1" s="1"/>
  <c r="D333" i="1" s="1"/>
  <c r="D450" i="1" s="1"/>
  <c r="F62" i="25"/>
  <c r="F122" i="25" s="1"/>
  <c r="O20" i="1"/>
  <c r="J87" i="12"/>
  <c r="R23" i="11"/>
  <c r="C74" i="17"/>
  <c r="C76" i="17" s="1"/>
  <c r="R25" i="11"/>
  <c r="M176" i="13"/>
  <c r="C29" i="14"/>
  <c r="D254" i="1"/>
  <c r="D252" i="1" s="1"/>
  <c r="D253" i="1" s="1"/>
  <c r="D448" i="1"/>
  <c r="G1577" i="16"/>
  <c r="G1578" i="16" s="1"/>
  <c r="R26" i="11"/>
  <c r="P1455" i="16"/>
  <c r="P1470" i="16" s="1"/>
  <c r="F1765" i="16"/>
  <c r="L1771" i="16" s="1"/>
  <c r="D1577" i="16"/>
  <c r="D1578" i="16" s="1"/>
  <c r="O69" i="10"/>
  <c r="O94" i="10" s="1"/>
  <c r="I81" i="12"/>
  <c r="D136" i="12"/>
  <c r="D138" i="12" s="1"/>
  <c r="D141" i="12" s="1"/>
  <c r="D143" i="12" s="1"/>
  <c r="E144" i="12" s="1"/>
  <c r="X242" i="12"/>
  <c r="P48" i="11"/>
  <c r="P50" i="11" s="1"/>
  <c r="P51" i="11" s="1"/>
  <c r="P75" i="11"/>
  <c r="N27" i="21"/>
  <c r="K110" i="10"/>
  <c r="K134" i="10" s="1"/>
  <c r="K143" i="10" s="1"/>
  <c r="D1594" i="16"/>
  <c r="I133" i="25"/>
  <c r="G2579" i="16" s="1"/>
  <c r="R84" i="1"/>
  <c r="D50" i="12"/>
  <c r="Q134" i="13"/>
  <c r="I246" i="13" s="1"/>
  <c r="W170" i="1"/>
  <c r="BW151" i="5" s="1"/>
  <c r="C636" i="16"/>
  <c r="C649" i="16" s="1"/>
  <c r="C651" i="16" s="1"/>
  <c r="S13" i="1"/>
  <c r="Y19" i="18" s="1"/>
  <c r="AK10" i="28"/>
  <c r="AO10" i="28"/>
  <c r="G52" i="12"/>
  <c r="G54" i="12" s="1"/>
  <c r="D6" i="12"/>
  <c r="L580" i="1"/>
  <c r="W218" i="1"/>
  <c r="G32" i="12"/>
  <c r="G47" i="12" s="1"/>
  <c r="E6" i="12"/>
  <c r="CM13" i="28"/>
  <c r="AS10" i="28"/>
  <c r="AW10" i="28"/>
  <c r="E15" i="14"/>
  <c r="G16" i="12"/>
  <c r="Q70" i="13"/>
  <c r="I193" i="13" s="1"/>
  <c r="H154" i="1"/>
  <c r="H169" i="12"/>
  <c r="P38" i="11"/>
  <c r="R75" i="1"/>
  <c r="R13" i="1"/>
  <c r="H174" i="12"/>
  <c r="P55" i="11"/>
  <c r="E1135" i="16"/>
  <c r="I1135" i="16" s="1"/>
  <c r="BF71" i="5"/>
  <c r="H78" i="5"/>
  <c r="H79" i="5" s="1"/>
  <c r="BJ74" i="5"/>
  <c r="E2547" i="16"/>
  <c r="G115" i="25"/>
  <c r="F108" i="25"/>
  <c r="F110" i="25" s="1"/>
  <c r="F123" i="25" s="1"/>
  <c r="D2558" i="16"/>
  <c r="L19" i="18"/>
  <c r="F18" i="1"/>
  <c r="H3772" i="3"/>
  <c r="T74" i="1"/>
  <c r="G1488" i="16" s="1"/>
  <c r="J113" i="1"/>
  <c r="J122" i="1" s="1"/>
  <c r="M29" i="14"/>
  <c r="AJ6" i="14" s="1"/>
  <c r="J1948" i="16"/>
  <c r="Y142" i="18"/>
  <c r="Q74" i="1"/>
  <c r="D1488" i="16" s="1"/>
  <c r="X261" i="1"/>
  <c r="X144" i="1" s="1"/>
  <c r="V170" i="1"/>
  <c r="BR151" i="5" s="1"/>
  <c r="S29" i="7"/>
  <c r="H249" i="1"/>
  <c r="Q292" i="1"/>
  <c r="Q301" i="1" s="1"/>
  <c r="Q165" i="1" s="1"/>
  <c r="W112" i="18" s="1"/>
  <c r="O146" i="18"/>
  <c r="O152" i="18" s="1"/>
  <c r="T75" i="1"/>
  <c r="E239" i="1"/>
  <c r="O62" i="14"/>
  <c r="D154" i="1"/>
  <c r="I112" i="1"/>
  <c r="I121" i="1" s="1"/>
  <c r="S75" i="1"/>
  <c r="I58" i="1"/>
  <c r="I59" i="1" s="1"/>
  <c r="M42" i="14"/>
  <c r="E1973" i="16"/>
  <c r="E1974" i="16" s="1"/>
  <c r="O9" i="1"/>
  <c r="F176" i="1"/>
  <c r="F156" i="1" s="1"/>
  <c r="G157" i="1" s="1"/>
  <c r="G177" i="1" s="1"/>
  <c r="V218" i="1"/>
  <c r="I142" i="1"/>
  <c r="I145" i="1" s="1"/>
  <c r="I316" i="1" s="1"/>
  <c r="I148" i="1" s="1"/>
  <c r="I153" i="1" s="1"/>
  <c r="T13" i="1"/>
  <c r="Z19" i="18" s="1"/>
  <c r="M59" i="14"/>
  <c r="M60" i="14" s="1"/>
  <c r="G154" i="1"/>
  <c r="N163" i="1"/>
  <c r="T110" i="18" s="1"/>
  <c r="E1594" i="16"/>
  <c r="D97" i="14"/>
  <c r="D96" i="14" s="1"/>
  <c r="J105" i="1"/>
  <c r="P153" i="18"/>
  <c r="J59" i="14"/>
  <c r="AJ187" i="5" s="1"/>
  <c r="R58" i="1"/>
  <c r="R59" i="1" s="1"/>
  <c r="M34" i="14"/>
  <c r="M37" i="14" s="1"/>
  <c r="T470" i="1"/>
  <c r="T475" i="1" s="1"/>
  <c r="H128" i="13"/>
  <c r="H162" i="13" s="1"/>
  <c r="T479" i="1"/>
  <c r="W310" i="1"/>
  <c r="C21" i="26"/>
  <c r="S482" i="1"/>
  <c r="R248" i="1"/>
  <c r="R249" i="1" s="1"/>
  <c r="S475" i="1"/>
  <c r="I299" i="1"/>
  <c r="F642" i="16"/>
  <c r="K579" i="1"/>
  <c r="D1135" i="16"/>
  <c r="H1135" i="16" s="1"/>
  <c r="E154" i="1"/>
  <c r="Q244" i="1"/>
  <c r="D2345" i="16"/>
  <c r="B775" i="16"/>
  <c r="C775" i="16" s="1"/>
  <c r="D775" i="16" s="1"/>
  <c r="O2724" i="16"/>
  <c r="O2754" i="16" s="1"/>
  <c r="O2785" i="16" s="1"/>
  <c r="I2754" i="16"/>
  <c r="I2785" i="16" s="1"/>
  <c r="U2785" i="16" s="1"/>
  <c r="Y2785" i="16" s="1"/>
  <c r="C1972" i="16"/>
  <c r="R2724" i="16"/>
  <c r="R2754" i="16" s="1"/>
  <c r="L2754" i="16"/>
  <c r="C145" i="16"/>
  <c r="S2724" i="16"/>
  <c r="S2754" i="16" s="1"/>
  <c r="M2754" i="16"/>
  <c r="C1973" i="16"/>
  <c r="C1974" i="16" s="1"/>
  <c r="P2724" i="16"/>
  <c r="P2754" i="16" s="1"/>
  <c r="P2785" i="16" s="1"/>
  <c r="J2754" i="16"/>
  <c r="J2785" i="16" s="1"/>
  <c r="V2785" i="16" s="1"/>
  <c r="Z2785" i="16" s="1"/>
  <c r="Q2724" i="16"/>
  <c r="Q2754" i="16" s="1"/>
  <c r="Q2785" i="16" s="1"/>
  <c r="K2754" i="16"/>
  <c r="K2785" i="16" s="1"/>
  <c r="W2785" i="16" s="1"/>
  <c r="AA2785" i="16" s="1"/>
  <c r="E89" i="28"/>
  <c r="H89" i="28"/>
  <c r="F90" i="28"/>
  <c r="F89" i="28"/>
  <c r="Y54" i="28"/>
  <c r="Y57" i="28" s="1"/>
  <c r="C747" i="16"/>
  <c r="G91" i="28"/>
  <c r="AG102" i="28"/>
  <c r="Y37" i="28"/>
  <c r="I90" i="28"/>
  <c r="I89" i="28"/>
  <c r="Q102" i="28"/>
  <c r="I37" i="28"/>
  <c r="BJ149" i="5"/>
  <c r="E57" i="28"/>
  <c r="G89" i="28"/>
  <c r="D91" i="28"/>
  <c r="AD41" i="28"/>
  <c r="AD42" i="28"/>
  <c r="DY34" i="5"/>
  <c r="C89" i="28"/>
  <c r="EU123" i="5"/>
  <c r="Y36" i="28"/>
  <c r="D89" i="28"/>
  <c r="C90" i="28"/>
  <c r="B90" i="28"/>
  <c r="H91" i="28"/>
  <c r="B89" i="28"/>
  <c r="EY123" i="5"/>
  <c r="AC36" i="28"/>
  <c r="I36" i="28"/>
  <c r="C91" i="28"/>
  <c r="E90" i="28"/>
  <c r="D90" i="28"/>
  <c r="H90" i="28"/>
  <c r="E91" i="28"/>
  <c r="G90" i="28"/>
  <c r="E36" i="28"/>
  <c r="F117" i="27"/>
  <c r="AC32" i="28"/>
  <c r="F91" i="28"/>
  <c r="B91" i="28"/>
  <c r="C1020" i="16"/>
  <c r="H1020" i="16" s="1"/>
  <c r="BJ59" i="5"/>
  <c r="AD66" i="28" s="1"/>
  <c r="AS14" i="28"/>
  <c r="AW14" i="28"/>
  <c r="EU91" i="5"/>
  <c r="EU124" i="5"/>
  <c r="U148" i="18"/>
  <c r="U154" i="18" s="1"/>
  <c r="AG63" i="28"/>
  <c r="BD16" i="5"/>
  <c r="BD18" i="5" s="1"/>
  <c r="BD51" i="5"/>
  <c r="AC280" i="5"/>
  <c r="H38" i="25"/>
  <c r="H115" i="25" s="1"/>
  <c r="E32" i="25"/>
  <c r="E120" i="25" s="1"/>
  <c r="C2562" i="16" s="1"/>
  <c r="G56" i="25"/>
  <c r="M176" i="1"/>
  <c r="M156" i="1" s="1"/>
  <c r="S7" i="18"/>
  <c r="S25" i="18" s="1"/>
  <c r="S119" i="18"/>
  <c r="J15" i="7"/>
  <c r="C378" i="16" s="1"/>
  <c r="C385" i="16" s="1"/>
  <c r="O133" i="1"/>
  <c r="O134" i="1" s="1"/>
  <c r="P292" i="1"/>
  <c r="O291" i="1"/>
  <c r="T28" i="18"/>
  <c r="AE68" i="5"/>
  <c r="E1026" i="16"/>
  <c r="J1026" i="16" s="1"/>
  <c r="X256" i="12"/>
  <c r="BA239" i="12"/>
  <c r="K155" i="12"/>
  <c r="G44" i="25"/>
  <c r="G62" i="25" s="1"/>
  <c r="G122" i="25" s="1"/>
  <c r="P53" i="11"/>
  <c r="C1827" i="16"/>
  <c r="B1206" i="16"/>
  <c r="O484" i="1"/>
  <c r="O485" i="1" s="1"/>
  <c r="W142" i="18"/>
  <c r="D174" i="18" s="1"/>
  <c r="R74" i="1"/>
  <c r="E1488" i="16" s="1"/>
  <c r="R484" i="1"/>
  <c r="R485" i="1" s="1"/>
  <c r="Q249" i="1"/>
  <c r="F249" i="1"/>
  <c r="K580" i="1"/>
  <c r="J9" i="11"/>
  <c r="Q90" i="1"/>
  <c r="Q419" i="1" s="1"/>
  <c r="C144" i="16"/>
  <c r="J20" i="13"/>
  <c r="F181" i="16"/>
  <c r="F493" i="16"/>
  <c r="F492" i="16" s="1"/>
  <c r="D2022" i="16"/>
  <c r="D2023" i="16" s="1"/>
  <c r="K260" i="10"/>
  <c r="E780" i="16"/>
  <c r="E798" i="16" s="1"/>
  <c r="C146" i="16"/>
  <c r="H35" i="13"/>
  <c r="Q13" i="1"/>
  <c r="O9" i="11"/>
  <c r="I71" i="25"/>
  <c r="I72" i="25" s="1"/>
  <c r="G108" i="25"/>
  <c r="G110" i="25" s="1"/>
  <c r="G123" i="25" s="1"/>
  <c r="N62" i="14"/>
  <c r="D48" i="14"/>
  <c r="C1594" i="16"/>
  <c r="J244" i="1"/>
  <c r="N155" i="18"/>
  <c r="H1957" i="16"/>
  <c r="Q75" i="1"/>
  <c r="H56" i="25"/>
  <c r="L124" i="10"/>
  <c r="F189" i="13"/>
  <c r="I82" i="12"/>
  <c r="BL241" i="12"/>
  <c r="L282" i="10"/>
  <c r="L280" i="10" s="1"/>
  <c r="H188" i="1"/>
  <c r="L420" i="1"/>
  <c r="H20" i="1"/>
  <c r="E328" i="1"/>
  <c r="E331" i="1" s="1"/>
  <c r="E334" i="1" s="1"/>
  <c r="K543" i="1"/>
  <c r="I149" i="10"/>
  <c r="I152" i="10" s="1"/>
  <c r="E8" i="21" s="1"/>
  <c r="F89" i="12"/>
  <c r="N248" i="1"/>
  <c r="N249" i="1" s="1"/>
  <c r="BP241" i="12"/>
  <c r="BF241" i="12"/>
  <c r="P242" i="12"/>
  <c r="R80" i="13"/>
  <c r="D1827" i="16"/>
  <c r="F1950" i="16"/>
  <c r="J1950" i="16" s="1"/>
  <c r="O155" i="18"/>
  <c r="K84" i="12"/>
  <c r="D1972" i="16"/>
  <c r="J1947" i="16"/>
  <c r="BI31" i="4"/>
  <c r="BO241" i="12"/>
  <c r="M91" i="13"/>
  <c r="K147" i="10"/>
  <c r="C7" i="22" s="1"/>
  <c r="O299" i="1"/>
  <c r="L22" i="13"/>
  <c r="L48" i="13" s="1"/>
  <c r="L41" i="13" s="1"/>
  <c r="CA293" i="5"/>
  <c r="BK241" i="12"/>
  <c r="C1822" i="16"/>
  <c r="C1823" i="16" s="1"/>
  <c r="H1823" i="16" s="1"/>
  <c r="AC139" i="18"/>
  <c r="R294" i="5"/>
  <c r="K82" i="12"/>
  <c r="L583" i="1"/>
  <c r="R244" i="1"/>
  <c r="N142" i="1"/>
  <c r="N145" i="1" s="1"/>
  <c r="N316" i="1" s="1"/>
  <c r="N148" i="1" s="1"/>
  <c r="N153" i="1" s="1"/>
  <c r="J82" i="12"/>
  <c r="L42" i="26"/>
  <c r="L57" i="26" s="1"/>
  <c r="CR187" i="5"/>
  <c r="O106" i="1"/>
  <c r="J2027" i="16" s="1"/>
  <c r="O112" i="1"/>
  <c r="O121" i="1" s="1"/>
  <c r="K226" i="10"/>
  <c r="K249" i="10" s="1"/>
  <c r="K250" i="10" s="1"/>
  <c r="C1112" i="16"/>
  <c r="J97" i="14"/>
  <c r="J96" i="14" s="1"/>
  <c r="C748" i="16"/>
  <c r="G43" i="9"/>
  <c r="H1021" i="16"/>
  <c r="C744" i="16"/>
  <c r="O104" i="1"/>
  <c r="J79" i="16"/>
  <c r="J82" i="16" s="1"/>
  <c r="C1114" i="16"/>
  <c r="O114" i="1"/>
  <c r="CQ185" i="5"/>
  <c r="C746" i="16"/>
  <c r="O105" i="1"/>
  <c r="Y282" i="5"/>
  <c r="DP34" i="5"/>
  <c r="CL185" i="5"/>
  <c r="CB264" i="5"/>
  <c r="J291" i="5"/>
  <c r="H265" i="5"/>
  <c r="O249" i="5"/>
  <c r="U147" i="18"/>
  <c r="U153" i="18" s="1"/>
  <c r="O90" i="1"/>
  <c r="O528" i="1" s="1"/>
  <c r="G44" i="9"/>
  <c r="C1113" i="16"/>
  <c r="K54" i="1"/>
  <c r="C1022" i="16"/>
  <c r="H1022" i="16" s="1"/>
  <c r="D1538" i="16"/>
  <c r="O98" i="1"/>
  <c r="O99" i="1" s="1"/>
  <c r="M128" i="13"/>
  <c r="M162" i="13" s="1"/>
  <c r="CX137" i="5"/>
  <c r="T146" i="18"/>
  <c r="T152" i="18" s="1"/>
  <c r="N104" i="1"/>
  <c r="AO51" i="5"/>
  <c r="N112" i="1"/>
  <c r="N121" i="1" s="1"/>
  <c r="N123" i="1"/>
  <c r="I80" i="16" s="1"/>
  <c r="I83" i="16" s="1"/>
  <c r="DC138" i="5"/>
  <c r="CQ7" i="5"/>
  <c r="C30" i="28" s="1"/>
  <c r="CP187" i="5"/>
  <c r="Y294" i="5"/>
  <c r="Y249" i="5"/>
  <c r="X294" i="5"/>
  <c r="CX138" i="5"/>
  <c r="N106" i="1"/>
  <c r="I2027" i="16" s="1"/>
  <c r="W16" i="5"/>
  <c r="CQ16" i="5" s="1"/>
  <c r="C39" i="28" s="1"/>
  <c r="G71" i="5"/>
  <c r="AB189" i="5"/>
  <c r="W20" i="5"/>
  <c r="F2848" i="16"/>
  <c r="BI51" i="5"/>
  <c r="DB7" i="5"/>
  <c r="L30" i="28" s="1"/>
  <c r="W51" i="5"/>
  <c r="T148" i="18"/>
  <c r="T154" i="18" s="1"/>
  <c r="I79" i="16"/>
  <c r="I82" i="16" s="1"/>
  <c r="N98" i="1"/>
  <c r="N99" i="1" s="1"/>
  <c r="H294" i="5"/>
  <c r="W45" i="5"/>
  <c r="W47" i="5" s="1"/>
  <c r="J226" i="10"/>
  <c r="J236" i="10" s="1"/>
  <c r="N90" i="1"/>
  <c r="K25" i="7" s="1"/>
  <c r="E1538" i="16"/>
  <c r="Q141" i="18"/>
  <c r="Q154" i="18" s="1"/>
  <c r="K81" i="1"/>
  <c r="D746" i="16"/>
  <c r="P88" i="1"/>
  <c r="O267" i="5"/>
  <c r="AN119" i="5"/>
  <c r="K114" i="1"/>
  <c r="C50" i="9" s="1"/>
  <c r="AB280" i="5"/>
  <c r="K48" i="1"/>
  <c r="J56" i="5"/>
  <c r="Q131" i="18"/>
  <c r="J264" i="5"/>
  <c r="J267" i="5" s="1"/>
  <c r="Q294" i="5"/>
  <c r="N189" i="5"/>
  <c r="E249" i="5"/>
  <c r="AE16" i="5"/>
  <c r="AE18" i="5" s="1"/>
  <c r="M294" i="5"/>
  <c r="F179" i="25"/>
  <c r="K583" i="1"/>
  <c r="J84" i="12"/>
  <c r="BF239" i="12"/>
  <c r="J42" i="14"/>
  <c r="F53" i="25"/>
  <c r="G1535" i="16"/>
  <c r="G1538" i="16" s="1"/>
  <c r="G1451" i="16"/>
  <c r="R502" i="1"/>
  <c r="L176" i="1"/>
  <c r="L156" i="1" s="1"/>
  <c r="R119" i="18"/>
  <c r="R7" i="18"/>
  <c r="R25" i="18" s="1"/>
  <c r="I15" i="7"/>
  <c r="C303" i="16" s="1"/>
  <c r="M254" i="1"/>
  <c r="M252" i="1" s="1"/>
  <c r="I20" i="7"/>
  <c r="D1138" i="16"/>
  <c r="N299" i="1"/>
  <c r="C94" i="12"/>
  <c r="AN71" i="5"/>
  <c r="AN78" i="5" s="1"/>
  <c r="AN79" i="5" s="1"/>
  <c r="DR7" i="5"/>
  <c r="Y30" i="28" s="1"/>
  <c r="EU43" i="5"/>
  <c r="AT58" i="5"/>
  <c r="O73" i="13"/>
  <c r="G196" i="13" s="1"/>
  <c r="N176" i="13"/>
  <c r="N177" i="13" s="1"/>
  <c r="I260" i="10"/>
  <c r="M226" i="10"/>
  <c r="M236" i="10" s="1"/>
  <c r="K12" i="16"/>
  <c r="T84" i="1"/>
  <c r="S75" i="11"/>
  <c r="S43" i="11"/>
  <c r="S45" i="11" s="1"/>
  <c r="S46" i="11" s="1"/>
  <c r="T46" i="11" s="1"/>
  <c r="F163" i="16"/>
  <c r="F138" i="16"/>
  <c r="O314" i="5"/>
  <c r="C24" i="12"/>
  <c r="C25" i="12" s="1"/>
  <c r="C27" i="12" s="1"/>
  <c r="AN139" i="5"/>
  <c r="S249" i="5"/>
  <c r="DC34" i="5"/>
  <c r="N91" i="13"/>
  <c r="M174" i="13"/>
  <c r="K38" i="13"/>
  <c r="K51" i="13" s="1"/>
  <c r="H242" i="16" s="1"/>
  <c r="W148" i="18"/>
  <c r="W154" i="18" s="1"/>
  <c r="H173" i="18" s="1"/>
  <c r="R258" i="1"/>
  <c r="D640" i="16" s="1"/>
  <c r="D644" i="16" s="1"/>
  <c r="S474" i="1"/>
  <c r="H1542" i="16"/>
  <c r="F1478" i="16"/>
  <c r="R249" i="5"/>
  <c r="R76" i="13"/>
  <c r="J198" i="13" s="1"/>
  <c r="J5" i="19"/>
  <c r="K13" i="13"/>
  <c r="K22" i="13" s="1"/>
  <c r="K48" i="13" s="1"/>
  <c r="K41" i="13" s="1"/>
  <c r="B1188" i="16"/>
  <c r="B1208" i="16" s="1"/>
  <c r="B1228" i="16" s="1"/>
  <c r="O294" i="5"/>
  <c r="L294" i="5"/>
  <c r="CV139" i="5"/>
  <c r="C32" i="12"/>
  <c r="C47" i="12" s="1"/>
  <c r="N64" i="13"/>
  <c r="N66" i="13" s="1"/>
  <c r="N59" i="13"/>
  <c r="M59" i="13"/>
  <c r="K37" i="13"/>
  <c r="H44" i="13"/>
  <c r="H34" i="13"/>
  <c r="C52" i="12"/>
  <c r="C53" i="12" s="1"/>
  <c r="J9" i="13"/>
  <c r="I9" i="13" s="1"/>
  <c r="I10" i="13" s="1"/>
  <c r="I12" i="13" s="1"/>
  <c r="L542" i="1"/>
  <c r="J586" i="1"/>
  <c r="J576" i="1" s="1"/>
  <c r="G1455" i="16"/>
  <c r="G1470" i="16" s="1"/>
  <c r="C1107" i="16"/>
  <c r="G203" i="16"/>
  <c r="DW7" i="5"/>
  <c r="K242" i="12"/>
  <c r="J86" i="12"/>
  <c r="K9" i="11"/>
  <c r="L272" i="10"/>
  <c r="L275" i="10" s="1"/>
  <c r="K67" i="10"/>
  <c r="K92" i="10" s="1"/>
  <c r="M92" i="14"/>
  <c r="F130" i="14"/>
  <c r="F134" i="14" s="1"/>
  <c r="L513" i="1"/>
  <c r="G249" i="1"/>
  <c r="E249" i="1"/>
  <c r="N257" i="1"/>
  <c r="N130" i="1"/>
  <c r="N290" i="1" s="1"/>
  <c r="N133" i="1" s="1"/>
  <c r="N134" i="1" s="1"/>
  <c r="L106" i="1"/>
  <c r="G2027" i="16" s="1"/>
  <c r="H185" i="10"/>
  <c r="H236" i="10" s="1"/>
  <c r="J48" i="1"/>
  <c r="AD282" i="5"/>
  <c r="AI7" i="12"/>
  <c r="Q9" i="11"/>
  <c r="F143" i="10"/>
  <c r="L1455" i="16"/>
  <c r="L1470" i="16" s="1"/>
  <c r="F948" i="16"/>
  <c r="L59" i="13"/>
  <c r="M64" i="13"/>
  <c r="C1081" i="16"/>
  <c r="L64" i="13"/>
  <c r="L66" i="13" s="1"/>
  <c r="Q20" i="1"/>
  <c r="Q163" i="1"/>
  <c r="W110" i="18" s="1"/>
  <c r="J69" i="1"/>
  <c r="J82" i="1" s="1"/>
  <c r="J78" i="1"/>
  <c r="I73" i="12"/>
  <c r="I74" i="12" s="1"/>
  <c r="H9" i="11"/>
  <c r="N29" i="14"/>
  <c r="AK6" i="14" s="1"/>
  <c r="K200" i="16"/>
  <c r="B88" i="1"/>
  <c r="B113" i="1" s="1"/>
  <c r="B122" i="1" s="1"/>
  <c r="M142" i="1"/>
  <c r="M145" i="1" s="1"/>
  <c r="M316" i="1" s="1"/>
  <c r="M148" i="1" s="1"/>
  <c r="M153" i="1" s="1"/>
  <c r="K585" i="1"/>
  <c r="D1955" i="16"/>
  <c r="F1956" i="16"/>
  <c r="H1956" i="16" s="1"/>
  <c r="S325" i="1"/>
  <c r="S9" i="1"/>
  <c r="P131" i="18"/>
  <c r="BG239" i="12"/>
  <c r="J80" i="12"/>
  <c r="G19" i="22"/>
  <c r="K1813" i="16"/>
  <c r="K6" i="16"/>
  <c r="N18" i="12"/>
  <c r="E1776" i="16"/>
  <c r="N14" i="12"/>
  <c r="K484" i="1"/>
  <c r="K485" i="1" s="1"/>
  <c r="AP234" i="12"/>
  <c r="C4410" i="3"/>
  <c r="E4410" i="3" s="1"/>
  <c r="I113" i="10"/>
  <c r="I137" i="10" s="1"/>
  <c r="I129" i="10"/>
  <c r="DB139" i="5"/>
  <c r="C19" i="22"/>
  <c r="D17" i="12"/>
  <c r="D24" i="12"/>
  <c r="D25" i="12" s="1"/>
  <c r="D27" i="12" s="1"/>
  <c r="L1466" i="16"/>
  <c r="L1472" i="16" s="1"/>
  <c r="P1458" i="16"/>
  <c r="P1466" i="16" s="1"/>
  <c r="P1472" i="16" s="1"/>
  <c r="D299" i="16"/>
  <c r="D307" i="16" s="1"/>
  <c r="D308" i="16" s="1"/>
  <c r="D74" i="17"/>
  <c r="D76" i="17" s="1"/>
  <c r="BI56" i="5"/>
  <c r="D24" i="14"/>
  <c r="I1813" i="16"/>
  <c r="G20" i="7"/>
  <c r="I1814" i="16"/>
  <c r="E188" i="1"/>
  <c r="K191" i="1"/>
  <c r="L190" i="1"/>
  <c r="R83" i="10"/>
  <c r="S83" i="10" s="1"/>
  <c r="T83" i="10" s="1"/>
  <c r="U83" i="10" s="1"/>
  <c r="V83" i="10" s="1"/>
  <c r="F1101" i="16"/>
  <c r="G1100" i="16"/>
  <c r="S6" i="1"/>
  <c r="I87" i="10"/>
  <c r="I99" i="10" s="1"/>
  <c r="I97" i="10"/>
  <c r="I193" i="10" s="1"/>
  <c r="I69" i="10"/>
  <c r="I94" i="10" s="1"/>
  <c r="J133" i="25"/>
  <c r="N536" i="1"/>
  <c r="N579" i="1" s="1"/>
  <c r="J952" i="16"/>
  <c r="K946" i="16"/>
  <c r="R151" i="10"/>
  <c r="S51" i="10"/>
  <c r="C42" i="14"/>
  <c r="E52" i="12"/>
  <c r="E17" i="12"/>
  <c r="F254" i="1"/>
  <c r="F252" i="1" s="1"/>
  <c r="E176" i="1"/>
  <c r="E156" i="1" s="1"/>
  <c r="E157" i="1" s="1"/>
  <c r="E177" i="1" s="1"/>
  <c r="F81" i="25"/>
  <c r="E105" i="25"/>
  <c r="P163" i="1"/>
  <c r="V110" i="18" s="1"/>
  <c r="P20" i="1"/>
  <c r="I163" i="1"/>
  <c r="O110" i="18" s="1"/>
  <c r="I20" i="1"/>
  <c r="O28" i="18" s="1"/>
  <c r="F141" i="14"/>
  <c r="F143" i="14" s="1"/>
  <c r="N67" i="14"/>
  <c r="P479" i="1"/>
  <c r="E1144" i="16"/>
  <c r="I1144" i="16" s="1"/>
  <c r="AT32" i="5"/>
  <c r="AT59" i="5" s="1"/>
  <c r="Q106" i="1"/>
  <c r="L2027" i="16" s="1"/>
  <c r="Q114" i="1"/>
  <c r="E655" i="16"/>
  <c r="E680" i="16" s="1"/>
  <c r="F611" i="16"/>
  <c r="S465" i="1"/>
  <c r="S468" i="1"/>
  <c r="D94" i="12"/>
  <c r="N119" i="18"/>
  <c r="N7" i="18"/>
  <c r="E15" i="7"/>
  <c r="H176" i="1"/>
  <c r="I254" i="1"/>
  <c r="I252" i="1" s="1"/>
  <c r="H254" i="1"/>
  <c r="H252" i="1" s="1"/>
  <c r="AJ18" i="5"/>
  <c r="AJ58" i="5" s="1"/>
  <c r="AJ56" i="5"/>
  <c r="E146" i="12"/>
  <c r="E133" i="12"/>
  <c r="E132" i="12" s="1"/>
  <c r="E24" i="12"/>
  <c r="E25" i="12" s="1"/>
  <c r="E27" i="12" s="1"/>
  <c r="H157" i="12"/>
  <c r="H155" i="12"/>
  <c r="K247" i="10"/>
  <c r="L246" i="10"/>
  <c r="AJ5" i="14"/>
  <c r="G1542" i="16"/>
  <c r="E1478" i="16"/>
  <c r="J1814" i="16"/>
  <c r="J1816" i="16"/>
  <c r="T142" i="1"/>
  <c r="T145" i="1" s="1"/>
  <c r="M535" i="1"/>
  <c r="M578" i="1" s="1"/>
  <c r="G448" i="1"/>
  <c r="G328" i="1"/>
  <c r="G331" i="1" s="1"/>
  <c r="G239" i="1"/>
  <c r="Q7" i="18"/>
  <c r="Q25" i="18" s="1"/>
  <c r="Q119" i="18"/>
  <c r="H15" i="7"/>
  <c r="L254" i="1"/>
  <c r="L252" i="1" s="1"/>
  <c r="K176" i="1"/>
  <c r="K156" i="1" s="1"/>
  <c r="T142" i="18"/>
  <c r="N84" i="1"/>
  <c r="N75" i="1"/>
  <c r="N13" i="1"/>
  <c r="W134" i="18"/>
  <c r="J270" i="16"/>
  <c r="E779" i="16"/>
  <c r="E797" i="16" s="1"/>
  <c r="J272" i="16"/>
  <c r="E1010" i="16"/>
  <c r="J1010" i="16" s="1"/>
  <c r="C1593" i="16"/>
  <c r="J271" i="16"/>
  <c r="Q58" i="1"/>
  <c r="Q59" i="1" s="1"/>
  <c r="J265" i="16" s="1"/>
  <c r="Q57" i="1"/>
  <c r="Q5" i="1"/>
  <c r="Q291" i="1" s="1"/>
  <c r="D1129" i="16"/>
  <c r="Q84" i="1"/>
  <c r="Q83" i="1"/>
  <c r="Q62" i="1"/>
  <c r="R78" i="11"/>
  <c r="R77" i="11"/>
  <c r="E171" i="16" s="1"/>
  <c r="R83" i="11"/>
  <c r="E169" i="16"/>
  <c r="E489" i="16"/>
  <c r="E490" i="16" s="1"/>
  <c r="E151" i="16"/>
  <c r="L81" i="14"/>
  <c r="L80" i="14" s="1"/>
  <c r="L23" i="14"/>
  <c r="J257" i="16" s="1"/>
  <c r="L34" i="14"/>
  <c r="L578" i="1"/>
  <c r="W412" i="1"/>
  <c r="P22" i="18"/>
  <c r="J420" i="1"/>
  <c r="G1124" i="16"/>
  <c r="C1123" i="16"/>
  <c r="G1123" i="16" s="1"/>
  <c r="D198" i="10"/>
  <c r="D211" i="10" s="1"/>
  <c r="D57" i="10"/>
  <c r="S257" i="1"/>
  <c r="S259" i="1" s="1"/>
  <c r="S130" i="1"/>
  <c r="N22" i="18"/>
  <c r="H421" i="1"/>
  <c r="C1037" i="16"/>
  <c r="H1037" i="16" s="1"/>
  <c r="CZ139" i="5"/>
  <c r="W188" i="5"/>
  <c r="W189" i="5" s="1"/>
  <c r="AJ51" i="5"/>
  <c r="AM16" i="5"/>
  <c r="DB16" i="5" s="1"/>
  <c r="L39" i="28" s="1"/>
  <c r="BK27" i="4"/>
  <c r="AF31" i="4"/>
  <c r="BK31" i="4" s="1"/>
  <c r="AB40" i="4"/>
  <c r="W233" i="12"/>
  <c r="BI236" i="12" s="1"/>
  <c r="BI234" i="12"/>
  <c r="W241" i="12"/>
  <c r="Z255" i="12"/>
  <c r="Z256" i="12"/>
  <c r="O70" i="12"/>
  <c r="O87" i="12" s="1"/>
  <c r="P45" i="11"/>
  <c r="C474" i="16"/>
  <c r="H216" i="13"/>
  <c r="Q97" i="13"/>
  <c r="I32" i="13"/>
  <c r="I54" i="13" s="1"/>
  <c r="E137" i="10"/>
  <c r="E133" i="10"/>
  <c r="E135" i="10"/>
  <c r="E126" i="10"/>
  <c r="E122" i="10"/>
  <c r="E123" i="10" s="1"/>
  <c r="E124" i="10" s="1"/>
  <c r="E138" i="10"/>
  <c r="E132" i="10"/>
  <c r="E128" i="10"/>
  <c r="E115" i="10"/>
  <c r="E131" i="10"/>
  <c r="E127" i="10"/>
  <c r="E130" i="10"/>
  <c r="E143" i="10" s="1"/>
  <c r="H80" i="10"/>
  <c r="G79" i="10"/>
  <c r="G123" i="10" s="1"/>
  <c r="D19" i="22"/>
  <c r="C8" i="22"/>
  <c r="G1607" i="16"/>
  <c r="H1672" i="16"/>
  <c r="J878" i="16"/>
  <c r="G189" i="13"/>
  <c r="M124" i="10"/>
  <c r="H135" i="10"/>
  <c r="H126" i="10"/>
  <c r="H122" i="10"/>
  <c r="H123" i="10" s="1"/>
  <c r="I115" i="10"/>
  <c r="H115" i="10"/>
  <c r="H127" i="10"/>
  <c r="H138" i="10"/>
  <c r="H132" i="10"/>
  <c r="H128" i="10"/>
  <c r="H137" i="10"/>
  <c r="H133" i="10"/>
  <c r="H136" i="10"/>
  <c r="H130" i="10"/>
  <c r="H131" i="10"/>
  <c r="M105" i="14"/>
  <c r="D125" i="14"/>
  <c r="D126" i="14" s="1"/>
  <c r="I126" i="14" s="1"/>
  <c r="I48" i="14"/>
  <c r="N58" i="1"/>
  <c r="R86" i="11"/>
  <c r="R88" i="11" s="1"/>
  <c r="D494" i="16"/>
  <c r="K1455" i="16"/>
  <c r="K1470" i="16" s="1"/>
  <c r="J1811" i="16"/>
  <c r="I1811" i="16"/>
  <c r="H1816" i="16"/>
  <c r="H1810" i="16"/>
  <c r="H1811" i="16"/>
  <c r="P505" i="1"/>
  <c r="P500" i="1"/>
  <c r="P498" i="1"/>
  <c r="P501" i="1"/>
  <c r="P499" i="1"/>
  <c r="L467" i="1"/>
  <c r="M466" i="1"/>
  <c r="L468" i="1"/>
  <c r="K178" i="13"/>
  <c r="K131" i="13"/>
  <c r="K162" i="13"/>
  <c r="H11" i="19" s="1"/>
  <c r="H1137" i="16"/>
  <c r="I1815" i="16"/>
  <c r="E1799" i="16"/>
  <c r="E1804" i="16"/>
  <c r="F198" i="10"/>
  <c r="F211" i="10" s="1"/>
  <c r="F57" i="10"/>
  <c r="R269" i="1"/>
  <c r="R271" i="1" s="1"/>
  <c r="R172" i="1" s="1"/>
  <c r="R268" i="1"/>
  <c r="Q104" i="1"/>
  <c r="E174" i="18"/>
  <c r="K420" i="1"/>
  <c r="F448" i="1"/>
  <c r="F328" i="1"/>
  <c r="F331" i="1" s="1"/>
  <c r="F239" i="1"/>
  <c r="Q121" i="1"/>
  <c r="T3" i="18"/>
  <c r="K7" i="7"/>
  <c r="K10" i="7" s="1"/>
  <c r="N512" i="1"/>
  <c r="Q133" i="1"/>
  <c r="Q134" i="1" s="1"/>
  <c r="P162" i="13"/>
  <c r="P163" i="13" s="1"/>
  <c r="P178" i="13"/>
  <c r="C1799" i="16"/>
  <c r="C1804" i="16"/>
  <c r="S460" i="1"/>
  <c r="T459" i="1"/>
  <c r="O178" i="13"/>
  <c r="O162" i="13"/>
  <c r="S248" i="1"/>
  <c r="K513" i="1"/>
  <c r="H176" i="12"/>
  <c r="G94" i="12"/>
  <c r="L71" i="12"/>
  <c r="L88" i="12" s="1"/>
  <c r="W40" i="11"/>
  <c r="S49" i="13"/>
  <c r="I176" i="25"/>
  <c r="J175" i="25"/>
  <c r="K85" i="14"/>
  <c r="P468" i="1"/>
  <c r="Q465" i="1"/>
  <c r="O7" i="18"/>
  <c r="O25" i="18" s="1"/>
  <c r="O119" i="18"/>
  <c r="F15" i="7"/>
  <c r="I176" i="1"/>
  <c r="J254" i="1"/>
  <c r="J252" i="1" s="1"/>
  <c r="J327" i="1"/>
  <c r="J209" i="1"/>
  <c r="J447" i="1"/>
  <c r="J527" i="1" s="1"/>
  <c r="D3124" i="3"/>
  <c r="D3115" i="3"/>
  <c r="D3128" i="3" s="1"/>
  <c r="T133" i="10"/>
  <c r="U135" i="10"/>
  <c r="D171" i="18"/>
  <c r="W152" i="18"/>
  <c r="H171" i="18" s="1"/>
  <c r="X218" i="1"/>
  <c r="X170" i="1"/>
  <c r="Y215" i="1"/>
  <c r="F35" i="7"/>
  <c r="F38" i="7" s="1"/>
  <c r="F20" i="7"/>
  <c r="CU139" i="5"/>
  <c r="DT16" i="5"/>
  <c r="Z39" i="28" s="1"/>
  <c r="DG7" i="5"/>
  <c r="P30" i="28" s="1"/>
  <c r="AM45" i="5"/>
  <c r="DB45" i="5" s="1"/>
  <c r="Q153" i="18"/>
  <c r="N87" i="12"/>
  <c r="BI239" i="12"/>
  <c r="BE239" i="12"/>
  <c r="G97" i="12"/>
  <c r="O242" i="12"/>
  <c r="K88" i="12"/>
  <c r="M87" i="12"/>
  <c r="I94" i="12"/>
  <c r="M947" i="16"/>
  <c r="T8" i="11"/>
  <c r="S9" i="11"/>
  <c r="Q117" i="11"/>
  <c r="R2" i="11"/>
  <c r="D161" i="16"/>
  <c r="F224" i="13"/>
  <c r="N106" i="13"/>
  <c r="F226" i="13" s="1"/>
  <c r="O46" i="13"/>
  <c r="P46" i="13" s="1"/>
  <c r="Q46" i="13" s="1"/>
  <c r="R46" i="13" s="1"/>
  <c r="S46" i="13" s="1"/>
  <c r="O20" i="13"/>
  <c r="F3115" i="3"/>
  <c r="F3128" i="3" s="1"/>
  <c r="E3124" i="3"/>
  <c r="E3133" i="3" s="1"/>
  <c r="E3115" i="3"/>
  <c r="E3128" i="3" s="1"/>
  <c r="J177" i="13"/>
  <c r="C3124" i="3"/>
  <c r="C3133" i="3" s="1"/>
  <c r="C3115" i="3"/>
  <c r="C3128" i="3" s="1"/>
  <c r="P70" i="13"/>
  <c r="F3120" i="3"/>
  <c r="F3129" i="3" s="1"/>
  <c r="F3124" i="3"/>
  <c r="F3125" i="3" s="1"/>
  <c r="F3130" i="3" s="1"/>
  <c r="U131" i="10"/>
  <c r="H164" i="10"/>
  <c r="N122" i="10"/>
  <c r="N123" i="10" s="1"/>
  <c r="H90" i="14"/>
  <c r="H100" i="14"/>
  <c r="H105" i="14" s="1"/>
  <c r="P59" i="14"/>
  <c r="Q59" i="14" s="1"/>
  <c r="R59" i="14" s="1"/>
  <c r="S59" i="14" s="1"/>
  <c r="T59" i="14" s="1"/>
  <c r="O60" i="14"/>
  <c r="AC45" i="14"/>
  <c r="AB46" i="14"/>
  <c r="AC46" i="14" s="1"/>
  <c r="AD46" i="14" s="1"/>
  <c r="L85" i="14"/>
  <c r="L86" i="14" s="1"/>
  <c r="E129" i="14"/>
  <c r="C181" i="16"/>
  <c r="C493" i="16"/>
  <c r="K1810" i="16"/>
  <c r="J1810" i="16"/>
  <c r="E146" i="16"/>
  <c r="E143" i="16"/>
  <c r="E144" i="16"/>
  <c r="E1027" i="16"/>
  <c r="J1027" i="16" s="1"/>
  <c r="H239" i="1"/>
  <c r="J1815" i="16"/>
  <c r="P467" i="1"/>
  <c r="C190" i="14"/>
  <c r="C191" i="14" s="1"/>
  <c r="I228" i="10"/>
  <c r="I229" i="10" s="1"/>
  <c r="I249" i="10"/>
  <c r="C7" i="19"/>
  <c r="F62" i="13"/>
  <c r="F64" i="13"/>
  <c r="I447" i="1"/>
  <c r="I527" i="1" s="1"/>
  <c r="I327" i="1"/>
  <c r="I331" i="1" s="1"/>
  <c r="I209" i="1"/>
  <c r="X149" i="18"/>
  <c r="X155" i="18" s="1"/>
  <c r="I174" i="18" s="1"/>
  <c r="AY94" i="5"/>
  <c r="O25" i="7"/>
  <c r="C1768" i="16"/>
  <c r="G522" i="16"/>
  <c r="G564" i="16" s="1"/>
  <c r="R419" i="1"/>
  <c r="R528" i="1"/>
  <c r="C1454" i="16"/>
  <c r="C1469" i="16" s="1"/>
  <c r="R107" i="1"/>
  <c r="G2183" i="16" s="1"/>
  <c r="I1129" i="16"/>
  <c r="E1128" i="16"/>
  <c r="I1128" i="16" s="1"/>
  <c r="P487" i="1"/>
  <c r="S481" i="1"/>
  <c r="T480" i="1"/>
  <c r="G249" i="10"/>
  <c r="G250" i="10" s="1"/>
  <c r="G252" i="10" s="1"/>
  <c r="G228" i="10"/>
  <c r="G229" i="10" s="1"/>
  <c r="G224" i="10"/>
  <c r="G234" i="10" s="1"/>
  <c r="F249" i="10"/>
  <c r="F250" i="10" s="1"/>
  <c r="F252" i="10" s="1"/>
  <c r="F228" i="10"/>
  <c r="G131" i="13"/>
  <c r="G162" i="13"/>
  <c r="G129" i="13"/>
  <c r="D186" i="14"/>
  <c r="E186" i="14" s="1"/>
  <c r="T299" i="1"/>
  <c r="S298" i="1"/>
  <c r="S142" i="1"/>
  <c r="S145" i="1" s="1"/>
  <c r="J269" i="16"/>
  <c r="P316" i="1"/>
  <c r="P148" i="1" s="1"/>
  <c r="P153" i="1" s="1"/>
  <c r="H35" i="7"/>
  <c r="H38" i="7" s="1"/>
  <c r="H20" i="7"/>
  <c r="O22" i="18"/>
  <c r="I421" i="1"/>
  <c r="I420" i="1"/>
  <c r="R115" i="11"/>
  <c r="E182" i="16" s="1"/>
  <c r="E184" i="16"/>
  <c r="F8" i="13"/>
  <c r="G36" i="13"/>
  <c r="G52" i="13" s="1"/>
  <c r="E1672" i="16"/>
  <c r="I260" i="16"/>
  <c r="G878" i="16"/>
  <c r="D1607" i="16"/>
  <c r="C149" i="14"/>
  <c r="J1813" i="16"/>
  <c r="T465" i="1"/>
  <c r="U463" i="1"/>
  <c r="Q4" i="18"/>
  <c r="P4" i="18"/>
  <c r="R290" i="1"/>
  <c r="K44" i="9"/>
  <c r="S122" i="1"/>
  <c r="Q242" i="12"/>
  <c r="BC241" i="12"/>
  <c r="BG241" i="12"/>
  <c r="G137" i="12"/>
  <c r="F136" i="12"/>
  <c r="F138" i="12" s="1"/>
  <c r="F141" i="12" s="1"/>
  <c r="F134" i="12" s="1"/>
  <c r="S115" i="11"/>
  <c r="F182" i="16" s="1"/>
  <c r="F184" i="16"/>
  <c r="O27" i="21"/>
  <c r="P21" i="21"/>
  <c r="P27" i="21" s="1"/>
  <c r="K17" i="19"/>
  <c r="O28" i="13"/>
  <c r="N29" i="13"/>
  <c r="N48" i="14"/>
  <c r="N24" i="14"/>
  <c r="N49" i="14"/>
  <c r="N51" i="14" s="1"/>
  <c r="N52" i="14" s="1"/>
  <c r="D190" i="14"/>
  <c r="E190" i="14" s="1"/>
  <c r="S146" i="18"/>
  <c r="H97" i="14"/>
  <c r="H96" i="14" s="1"/>
  <c r="H1124" i="16"/>
  <c r="D1123" i="16"/>
  <c r="H1123" i="16" s="1"/>
  <c r="M20" i="1"/>
  <c r="M163" i="1"/>
  <c r="S110" i="18" s="1"/>
  <c r="AM51" i="5"/>
  <c r="L60" i="28" s="1"/>
  <c r="AJ32" i="5"/>
  <c r="AY16" i="5"/>
  <c r="AY18" i="5" s="1"/>
  <c r="W255" i="12"/>
  <c r="AE40" i="4"/>
  <c r="W256" i="12"/>
  <c r="Y256" i="12"/>
  <c r="BA241" i="12"/>
  <c r="J29" i="12"/>
  <c r="J33" i="12" s="1"/>
  <c r="K30" i="12"/>
  <c r="F96" i="12"/>
  <c r="F57" i="12"/>
  <c r="G4" i="12"/>
  <c r="U242" i="12"/>
  <c r="J140" i="12"/>
  <c r="J94" i="12"/>
  <c r="N947" i="16"/>
  <c r="Q48" i="11"/>
  <c r="Q50" i="11" s="1"/>
  <c r="Q71" i="11"/>
  <c r="Q55" i="11"/>
  <c r="Q38" i="11"/>
  <c r="Q43" i="11"/>
  <c r="Q75" i="11"/>
  <c r="R38" i="11"/>
  <c r="Q53" i="11"/>
  <c r="D163" i="16"/>
  <c r="D138" i="16"/>
  <c r="U23" i="11"/>
  <c r="L9" i="11"/>
  <c r="H177" i="13"/>
  <c r="L159" i="13"/>
  <c r="F210" i="13"/>
  <c r="O82" i="13"/>
  <c r="N52" i="13"/>
  <c r="N51" i="13"/>
  <c r="K242" i="16" s="1"/>
  <c r="L5" i="19"/>
  <c r="G186" i="13"/>
  <c r="O174" i="13"/>
  <c r="O177" i="13" s="1"/>
  <c r="O59" i="13"/>
  <c r="P176" i="13"/>
  <c r="J208" i="13"/>
  <c r="S80" i="13"/>
  <c r="F878" i="16"/>
  <c r="D1672" i="16"/>
  <c r="H260" i="16"/>
  <c r="C1607" i="16"/>
  <c r="I20" i="22"/>
  <c r="I15" i="22"/>
  <c r="I17" i="22" s="1"/>
  <c r="G656" i="16"/>
  <c r="G659" i="16" s="1"/>
  <c r="H1607" i="16"/>
  <c r="I1672" i="16"/>
  <c r="F1672" i="16"/>
  <c r="J260" i="16"/>
  <c r="H878" i="16"/>
  <c r="E1607" i="16"/>
  <c r="J77" i="10"/>
  <c r="W72" i="13"/>
  <c r="U99" i="10"/>
  <c r="J162" i="10"/>
  <c r="I164" i="10"/>
  <c r="H204" i="13"/>
  <c r="H203" i="13"/>
  <c r="F76" i="25"/>
  <c r="G75" i="25"/>
  <c r="R85" i="10"/>
  <c r="Q60" i="10"/>
  <c r="J110" i="10"/>
  <c r="J30" i="25"/>
  <c r="J24" i="14"/>
  <c r="H258" i="16" s="1"/>
  <c r="J48" i="14"/>
  <c r="O58" i="1"/>
  <c r="O59" i="1" s="1"/>
  <c r="H265" i="16" s="1"/>
  <c r="I85" i="14"/>
  <c r="I86" i="14" s="1"/>
  <c r="K48" i="14"/>
  <c r="K24" i="14"/>
  <c r="I258" i="16" s="1"/>
  <c r="L8" i="14"/>
  <c r="I202" i="16" s="1"/>
  <c r="M7" i="14"/>
  <c r="S80" i="11"/>
  <c r="S53" i="11"/>
  <c r="J146" i="10"/>
  <c r="I37" i="7"/>
  <c r="I38" i="7" s="1"/>
  <c r="J12" i="7"/>
  <c r="G50" i="25"/>
  <c r="G53" i="25" s="1"/>
  <c r="P482" i="1"/>
  <c r="Q479" i="1"/>
  <c r="L460" i="1"/>
  <c r="M459" i="1"/>
  <c r="L461" i="1"/>
  <c r="H1813" i="16"/>
  <c r="H188" i="16"/>
  <c r="D195" i="16"/>
  <c r="D1823" i="16"/>
  <c r="I1823" i="16" s="1"/>
  <c r="S22" i="18"/>
  <c r="M420" i="1"/>
  <c r="E171" i="18"/>
  <c r="X152" i="18"/>
  <c r="I171" i="18" s="1"/>
  <c r="C2330" i="16"/>
  <c r="C2327" i="16"/>
  <c r="D2327" i="16" s="1"/>
  <c r="N540" i="1"/>
  <c r="N583" i="1" s="1"/>
  <c r="Q504" i="1"/>
  <c r="Q508" i="1"/>
  <c r="Q490" i="1"/>
  <c r="M198" i="10"/>
  <c r="M211" i="10" s="1"/>
  <c r="M57" i="10"/>
  <c r="F1671" i="16"/>
  <c r="S243" i="1"/>
  <c r="S244" i="1" s="1"/>
  <c r="G188" i="1"/>
  <c r="N19" i="18"/>
  <c r="E24" i="7"/>
  <c r="H445" i="1"/>
  <c r="H325" i="1"/>
  <c r="H18" i="1"/>
  <c r="S533" i="1"/>
  <c r="S41" i="1"/>
  <c r="T2" i="1"/>
  <c r="T4" i="1" s="1"/>
  <c r="N1" i="10"/>
  <c r="N167" i="10" s="1"/>
  <c r="M731" i="16"/>
  <c r="E1477" i="16"/>
  <c r="E1484" i="16" s="1"/>
  <c r="S20" i="1"/>
  <c r="Y28" i="18" s="1"/>
  <c r="S163" i="1"/>
  <c r="Y110" i="18" s="1"/>
  <c r="H228" i="10"/>
  <c r="H229" i="10" s="1"/>
  <c r="H249" i="10"/>
  <c r="P494" i="1"/>
  <c r="V142" i="18"/>
  <c r="C174" i="18" s="1"/>
  <c r="D780" i="16"/>
  <c r="D798" i="16" s="1"/>
  <c r="D772" i="16"/>
  <c r="D1017" i="16"/>
  <c r="C1135" i="16"/>
  <c r="P75" i="1"/>
  <c r="P74" i="1"/>
  <c r="C1488" i="16" s="1"/>
  <c r="P13" i="1"/>
  <c r="P84" i="1"/>
  <c r="U473" i="1"/>
  <c r="S494" i="1"/>
  <c r="S487" i="1"/>
  <c r="S488" i="1" s="1"/>
  <c r="S461" i="1"/>
  <c r="T456" i="1"/>
  <c r="T458" i="1" s="1"/>
  <c r="N541" i="1"/>
  <c r="N584" i="1" s="1"/>
  <c r="M187" i="1"/>
  <c r="L186" i="1"/>
  <c r="K133" i="1"/>
  <c r="K134" i="1" s="1"/>
  <c r="L292" i="1"/>
  <c r="S392" i="1"/>
  <c r="R4" i="18"/>
  <c r="O18" i="12"/>
  <c r="O14" i="12"/>
  <c r="F1776" i="16"/>
  <c r="H47" i="12"/>
  <c r="H44" i="12"/>
  <c r="G236" i="13"/>
  <c r="P115" i="13"/>
  <c r="O116" i="13"/>
  <c r="G237" i="13" s="1"/>
  <c r="R176" i="13"/>
  <c r="Q174" i="13"/>
  <c r="Q177" i="13" s="1"/>
  <c r="I186" i="13"/>
  <c r="Q59" i="13"/>
  <c r="Q76" i="13"/>
  <c r="I198" i="13" s="1"/>
  <c r="L276" i="10"/>
  <c r="M270" i="10"/>
  <c r="AI5" i="14"/>
  <c r="I203" i="16"/>
  <c r="D1478" i="16"/>
  <c r="R53" i="11"/>
  <c r="R80" i="11"/>
  <c r="E178" i="16" s="1"/>
  <c r="K29" i="14"/>
  <c r="K23" i="14"/>
  <c r="I257" i="16" s="1"/>
  <c r="K34" i="14"/>
  <c r="K81" i="14"/>
  <c r="K82" i="14" s="1"/>
  <c r="N90" i="14"/>
  <c r="N100" i="14"/>
  <c r="L474" i="1"/>
  <c r="M473" i="1"/>
  <c r="L475" i="1"/>
  <c r="E36" i="16"/>
  <c r="L4" i="16"/>
  <c r="Q162" i="13"/>
  <c r="Q163" i="13" s="1"/>
  <c r="Q131" i="13"/>
  <c r="Q178" i="13"/>
  <c r="S32" i="11"/>
  <c r="S31" i="11"/>
  <c r="U22" i="11"/>
  <c r="H223" i="13"/>
  <c r="Q103" i="13"/>
  <c r="L146" i="10"/>
  <c r="O122" i="10"/>
  <c r="O123" i="10" s="1"/>
  <c r="P120" i="10"/>
  <c r="O32" i="10"/>
  <c r="O30" i="10"/>
  <c r="O33" i="10" s="1"/>
  <c r="D81" i="14"/>
  <c r="D34" i="14"/>
  <c r="D23" i="14"/>
  <c r="D29" i="14"/>
  <c r="D180" i="16"/>
  <c r="D491" i="16"/>
  <c r="K42" i="14"/>
  <c r="M23" i="14"/>
  <c r="G1545" i="16" s="1"/>
  <c r="J1812" i="16"/>
  <c r="K1814" i="16"/>
  <c r="K1816" i="16"/>
  <c r="X515" i="1"/>
  <c r="W34" i="1"/>
  <c r="K1812" i="16"/>
  <c r="N3" i="18"/>
  <c r="N4" i="18" s="1"/>
  <c r="E7" i="7"/>
  <c r="E10" i="7" s="1"/>
  <c r="E1823" i="16"/>
  <c r="J1823" i="16" s="1"/>
  <c r="CM267" i="5"/>
  <c r="E43" i="9"/>
  <c r="U31" i="5"/>
  <c r="L72" i="1" s="1"/>
  <c r="L12" i="1" s="1"/>
  <c r="AD40" i="4"/>
  <c r="AC40" i="4"/>
  <c r="D53" i="12"/>
  <c r="J61" i="12"/>
  <c r="J78" i="12" s="1"/>
  <c r="O21" i="12"/>
  <c r="O22" i="12" s="1"/>
  <c r="E120" i="12"/>
  <c r="E129" i="12"/>
  <c r="G35" i="21"/>
  <c r="H2" i="21"/>
  <c r="K53" i="12"/>
  <c r="I9" i="11"/>
  <c r="P69" i="11"/>
  <c r="C478" i="16"/>
  <c r="R9" i="11"/>
  <c r="P9" i="11"/>
  <c r="C18" i="19"/>
  <c r="F48" i="13"/>
  <c r="F49" i="13"/>
  <c r="F39" i="13"/>
  <c r="F43" i="13"/>
  <c r="F34" i="13"/>
  <c r="F35" i="13"/>
  <c r="F33" i="13"/>
  <c r="F29" i="13"/>
  <c r="C240" i="16" s="1"/>
  <c r="F44" i="13"/>
  <c r="W10" i="13"/>
  <c r="T148" i="10"/>
  <c r="M27" i="26"/>
  <c r="P174" i="13"/>
  <c r="T18" i="13"/>
  <c r="E19" i="22"/>
  <c r="I123" i="10"/>
  <c r="R76" i="10"/>
  <c r="R77" i="10" s="1"/>
  <c r="R86" i="10"/>
  <c r="R68" i="10"/>
  <c r="S70" i="10"/>
  <c r="S95" i="10" s="1"/>
  <c r="T143" i="10"/>
  <c r="N195" i="13"/>
  <c r="V68" i="13"/>
  <c r="R174" i="13"/>
  <c r="S176" i="13"/>
  <c r="J186" i="13"/>
  <c r="R59" i="13"/>
  <c r="G1672" i="16"/>
  <c r="F1607" i="16"/>
  <c r="I878" i="16"/>
  <c r="M80" i="10"/>
  <c r="M76" i="10"/>
  <c r="H108" i="25"/>
  <c r="D62" i="14"/>
  <c r="F78" i="25"/>
  <c r="G79" i="25"/>
  <c r="L29" i="14"/>
  <c r="AI6" i="14" s="1"/>
  <c r="K59" i="25"/>
  <c r="J85" i="14"/>
  <c r="J86" i="14" s="1"/>
  <c r="D135" i="25"/>
  <c r="N23" i="14"/>
  <c r="H1545" i="16" s="1"/>
  <c r="N81" i="14"/>
  <c r="H1535" i="16"/>
  <c r="H1538" i="16" s="1"/>
  <c r="H1451" i="16"/>
  <c r="N34" i="14"/>
  <c r="O36" i="14" s="1"/>
  <c r="F126" i="25"/>
  <c r="D2568" i="16" s="1"/>
  <c r="D2561" i="16"/>
  <c r="D2544" i="16" s="1"/>
  <c r="D2555" i="16" s="1"/>
  <c r="J62" i="10"/>
  <c r="M48" i="14"/>
  <c r="M24" i="14"/>
  <c r="M49" i="14"/>
  <c r="M51" i="14" s="1"/>
  <c r="M52" i="14" s="1"/>
  <c r="C1980" i="16"/>
  <c r="C1967" i="16"/>
  <c r="G180" i="16"/>
  <c r="G491" i="16"/>
  <c r="N42" i="14"/>
  <c r="C1603" i="16"/>
  <c r="C1561" i="16"/>
  <c r="J188" i="1"/>
  <c r="I188" i="1"/>
  <c r="E1140" i="16"/>
  <c r="I1140" i="16" s="1"/>
  <c r="I1137" i="16"/>
  <c r="N236" i="10"/>
  <c r="N228" i="10"/>
  <c r="N249" i="10"/>
  <c r="N250" i="10" s="1"/>
  <c r="M2031" i="16"/>
  <c r="C2042" i="16" s="1"/>
  <c r="N537" i="1"/>
  <c r="N580" i="1" s="1"/>
  <c r="M503" i="1"/>
  <c r="L501" i="1"/>
  <c r="L499" i="1"/>
  <c r="L498" i="1"/>
  <c r="L505" i="1"/>
  <c r="L500" i="1"/>
  <c r="L20" i="1"/>
  <c r="R28" i="18" s="1"/>
  <c r="L163" i="1"/>
  <c r="R110" i="18" s="1"/>
  <c r="M244" i="1"/>
  <c r="G38" i="7"/>
  <c r="J290" i="1"/>
  <c r="J292" i="1" s="1"/>
  <c r="S3" i="18"/>
  <c r="J7" i="7"/>
  <c r="J10" i="7" s="1"/>
  <c r="M512" i="1"/>
  <c r="M513" i="1" s="1"/>
  <c r="N511" i="1"/>
  <c r="M511" i="1"/>
  <c r="M133" i="1"/>
  <c r="M134" i="1" s="1"/>
  <c r="F131" i="13"/>
  <c r="F162" i="13"/>
  <c r="F129" i="13"/>
  <c r="K446" i="1"/>
  <c r="K526" i="1" s="1"/>
  <c r="K326" i="1"/>
  <c r="K182" i="1"/>
  <c r="K198" i="10"/>
  <c r="K211" i="10" s="1"/>
  <c r="K57" i="10"/>
  <c r="D1671" i="16"/>
  <c r="K244" i="1"/>
  <c r="R45" i="11"/>
  <c r="R46" i="11" s="1"/>
  <c r="R64" i="11"/>
  <c r="E474" i="16"/>
  <c r="W48" i="11"/>
  <c r="M30" i="13"/>
  <c r="J240" i="16"/>
  <c r="H30" i="13"/>
  <c r="E240" i="16"/>
  <c r="T4" i="10"/>
  <c r="S18" i="10"/>
  <c r="S8" i="10"/>
  <c r="G2500" i="16" s="1"/>
  <c r="K163" i="1"/>
  <c r="Q110" i="18" s="1"/>
  <c r="K20" i="1"/>
  <c r="Q28" i="18" s="1"/>
  <c r="V134" i="18"/>
  <c r="I270" i="16"/>
  <c r="D779" i="16"/>
  <c r="D797" i="16" s="1"/>
  <c r="I272" i="16"/>
  <c r="I271" i="16"/>
  <c r="D1010" i="16"/>
  <c r="I1010" i="16" s="1"/>
  <c r="C1129" i="16"/>
  <c r="P58" i="1"/>
  <c r="P59" i="1" s="1"/>
  <c r="I265" i="16" s="1"/>
  <c r="P5" i="1"/>
  <c r="P57" i="1"/>
  <c r="P62" i="1"/>
  <c r="J57" i="10"/>
  <c r="J198" i="10"/>
  <c r="J211" i="10" s="1"/>
  <c r="BI58" i="5"/>
  <c r="K94" i="12"/>
  <c r="O947" i="16"/>
  <c r="K60" i="12"/>
  <c r="J77" i="12"/>
  <c r="J81" i="12"/>
  <c r="G245" i="13"/>
  <c r="P133" i="13"/>
  <c r="H191" i="13"/>
  <c r="P134" i="13"/>
  <c r="H246" i="13" s="1"/>
  <c r="D128" i="14"/>
  <c r="D129" i="14" s="1"/>
  <c r="I129" i="14" s="1"/>
  <c r="N86" i="14"/>
  <c r="Q86" i="11"/>
  <c r="C494" i="16"/>
  <c r="I1816" i="16"/>
  <c r="I1810" i="16"/>
  <c r="D1603" i="16"/>
  <c r="D1561" i="16"/>
  <c r="D1828" i="16"/>
  <c r="I198" i="10"/>
  <c r="I211" i="10" s="1"/>
  <c r="I57" i="10"/>
  <c r="P7" i="18"/>
  <c r="P25" i="18" s="1"/>
  <c r="P119" i="18"/>
  <c r="G15" i="7"/>
  <c r="K254" i="1"/>
  <c r="K252" i="1" s="1"/>
  <c r="J176" i="1"/>
  <c r="J156" i="1" s="1"/>
  <c r="C186" i="14"/>
  <c r="C187" i="14" s="1"/>
  <c r="S116" i="1"/>
  <c r="CD259" i="5"/>
  <c r="AD51" i="5"/>
  <c r="E60" i="28" s="1"/>
  <c r="BI45" i="5"/>
  <c r="BA46" i="5"/>
  <c r="DU34" i="5"/>
  <c r="S242" i="12"/>
  <c r="BE241" i="12"/>
  <c r="G89" i="12"/>
  <c r="H89" i="12" s="1"/>
  <c r="I89" i="12" s="1"/>
  <c r="J89" i="12" s="1"/>
  <c r="K89" i="12" s="1"/>
  <c r="L89" i="12" s="1"/>
  <c r="M89" i="12" s="1"/>
  <c r="N89" i="12" s="1"/>
  <c r="O89" i="12" s="1"/>
  <c r="P89" i="12" s="1"/>
  <c r="Q89" i="12" s="1"/>
  <c r="R89" i="12" s="1"/>
  <c r="Y255" i="12"/>
  <c r="C143" i="12"/>
  <c r="D144" i="12" s="1"/>
  <c r="C146" i="12"/>
  <c r="P14" i="12"/>
  <c r="P18" i="12"/>
  <c r="L67" i="12"/>
  <c r="L84" i="12" s="1"/>
  <c r="X87" i="11"/>
  <c r="L63" i="12"/>
  <c r="L80" i="12" s="1"/>
  <c r="L69" i="12"/>
  <c r="L86" i="12" s="1"/>
  <c r="M50" i="12"/>
  <c r="L49" i="12"/>
  <c r="S59" i="11"/>
  <c r="T41" i="11"/>
  <c r="G249" i="13"/>
  <c r="P137" i="13"/>
  <c r="Q73" i="13"/>
  <c r="I196" i="13" s="1"/>
  <c r="K177" i="13"/>
  <c r="F18" i="19"/>
  <c r="I39" i="13"/>
  <c r="I33" i="13"/>
  <c r="I29" i="13"/>
  <c r="I43" i="13"/>
  <c r="I34" i="13"/>
  <c r="I48" i="13"/>
  <c r="I49" i="13"/>
  <c r="I44" i="13"/>
  <c r="I35" i="13"/>
  <c r="I46" i="13"/>
  <c r="O22" i="13"/>
  <c r="O48" i="13" s="1"/>
  <c r="E66" i="13"/>
  <c r="E65" i="13"/>
  <c r="J193" i="13"/>
  <c r="R71" i="13"/>
  <c r="J194" i="13" s="1"/>
  <c r="I233" i="13"/>
  <c r="R112" i="13"/>
  <c r="Q137" i="3"/>
  <c r="R132" i="3"/>
  <c r="H19" i="22"/>
  <c r="N63" i="10"/>
  <c r="N146" i="10" s="1"/>
  <c r="F8" i="22" s="1"/>
  <c r="E129" i="10"/>
  <c r="S74" i="10"/>
  <c r="R80" i="10"/>
  <c r="G143" i="10"/>
  <c r="F5" i="25"/>
  <c r="G20" i="25"/>
  <c r="F29" i="25"/>
  <c r="E84" i="25"/>
  <c r="E92" i="25"/>
  <c r="E114" i="25" s="1"/>
  <c r="J55" i="25"/>
  <c r="K58" i="25"/>
  <c r="I131" i="14"/>
  <c r="F129" i="14"/>
  <c r="K43" i="14"/>
  <c r="G119" i="25"/>
  <c r="G112" i="25" s="1"/>
  <c r="G64" i="25"/>
  <c r="H2" i="25"/>
  <c r="O37" i="14"/>
  <c r="O90" i="14"/>
  <c r="O100" i="14"/>
  <c r="O105" i="14" s="1"/>
  <c r="P475" i="1"/>
  <c r="Q472" i="1"/>
  <c r="D2564" i="16"/>
  <c r="L1473" i="16"/>
  <c r="L481" i="1"/>
  <c r="M480" i="1"/>
  <c r="L482" i="1"/>
  <c r="L24" i="14"/>
  <c r="J258" i="16" s="1"/>
  <c r="N538" i="1"/>
  <c r="N581" i="1" s="1"/>
  <c r="O502" i="1"/>
  <c r="G1381" i="16"/>
  <c r="H1375" i="16"/>
  <c r="O236" i="10"/>
  <c r="O249" i="10"/>
  <c r="O250" i="10" s="1"/>
  <c r="O228" i="10"/>
  <c r="N2031" i="16"/>
  <c r="K1815" i="16"/>
  <c r="N115" i="18"/>
  <c r="E1016" i="16"/>
  <c r="J1017" i="16"/>
  <c r="D38" i="16"/>
  <c r="K11" i="16"/>
  <c r="H1815" i="16"/>
  <c r="D1804" i="16"/>
  <c r="D1799" i="16"/>
  <c r="D36" i="16"/>
  <c r="K4" i="16"/>
  <c r="V109" i="11"/>
  <c r="U110" i="11"/>
  <c r="H185" i="16" s="1"/>
  <c r="E1827" i="16"/>
  <c r="K502" i="1"/>
  <c r="G526" i="1"/>
  <c r="H447" i="1"/>
  <c r="H527" i="1" s="1"/>
  <c r="H327" i="1"/>
  <c r="H209" i="1"/>
  <c r="R163" i="1"/>
  <c r="X110" i="18" s="1"/>
  <c r="R20" i="1"/>
  <c r="X28" i="18" s="1"/>
  <c r="R45" i="14"/>
  <c r="T19" i="7"/>
  <c r="E1143" i="16"/>
  <c r="I1143" i="16" s="1"/>
  <c r="J508" i="1"/>
  <c r="J504" i="1"/>
  <c r="J485" i="1"/>
  <c r="J490" i="1"/>
  <c r="R492" i="1"/>
  <c r="R509" i="1" s="1"/>
  <c r="R488" i="1"/>
  <c r="L133" i="1"/>
  <c r="L134" i="1" s="1"/>
  <c r="M292" i="1"/>
  <c r="L198" i="10"/>
  <c r="L211" i="10" s="1"/>
  <c r="L57" i="10"/>
  <c r="E1671" i="16"/>
  <c r="F774" i="16"/>
  <c r="G774" i="16" s="1"/>
  <c r="H774" i="16" s="1"/>
  <c r="D774" i="16"/>
  <c r="I249" i="1"/>
  <c r="R27" i="7"/>
  <c r="BR150" i="5"/>
  <c r="U171" i="1"/>
  <c r="AA113" i="18" s="1"/>
  <c r="I10" i="12"/>
  <c r="I11" i="12"/>
  <c r="I12" i="12" s="1"/>
  <c r="J8" i="12"/>
  <c r="N17" i="21"/>
  <c r="M16" i="21"/>
  <c r="S132" i="10"/>
  <c r="G87" i="25"/>
  <c r="F86" i="25"/>
  <c r="K9" i="14"/>
  <c r="AH5" i="14"/>
  <c r="D1572" i="16"/>
  <c r="D1571" i="16" s="1"/>
  <c r="C1478" i="16"/>
  <c r="C1108" i="16"/>
  <c r="H203" i="16"/>
  <c r="H116" i="1"/>
  <c r="H121" i="1"/>
  <c r="AC103" i="11"/>
  <c r="N43" i="9"/>
  <c r="V518" i="1"/>
  <c r="S41" i="7" s="1"/>
  <c r="S49" i="7" s="1"/>
  <c r="D526" i="1"/>
  <c r="AY45" i="5"/>
  <c r="U93" i="10"/>
  <c r="V36" i="10"/>
  <c r="R127" i="10"/>
  <c r="M299" i="1"/>
  <c r="L142" i="1"/>
  <c r="L145" i="1" s="1"/>
  <c r="I292" i="1"/>
  <c r="I291" i="1"/>
  <c r="I133" i="1"/>
  <c r="I134" i="1" s="1"/>
  <c r="J44" i="9"/>
  <c r="R122" i="1"/>
  <c r="R116" i="1"/>
  <c r="J249" i="5"/>
  <c r="AT56" i="5"/>
  <c r="CX187" i="5"/>
  <c r="BF46" i="5"/>
  <c r="BK14" i="4"/>
  <c r="AF17" i="4"/>
  <c r="BK17" i="4" s="1"/>
  <c r="J68" i="12"/>
  <c r="J85" i="12" s="1"/>
  <c r="J155" i="12"/>
  <c r="F94" i="12"/>
  <c r="G176" i="12"/>
  <c r="I155" i="12"/>
  <c r="Q17" i="12"/>
  <c r="R19" i="12"/>
  <c r="R17" i="12" s="1"/>
  <c r="R21" i="12" s="1"/>
  <c r="K81" i="12"/>
  <c r="J66" i="12"/>
  <c r="J83" i="12" s="1"/>
  <c r="R31" i="11"/>
  <c r="R32" i="11"/>
  <c r="AC35" i="11"/>
  <c r="AC80" i="11" s="1"/>
  <c r="AD34" i="11"/>
  <c r="AC30" i="11"/>
  <c r="K77" i="12"/>
  <c r="N9" i="11"/>
  <c r="AC25" i="11"/>
  <c r="G193" i="13"/>
  <c r="O138" i="13"/>
  <c r="G250" i="13" s="1"/>
  <c r="O114" i="13"/>
  <c r="G235" i="13" s="1"/>
  <c r="J158" i="13"/>
  <c r="I160" i="13"/>
  <c r="N46" i="13"/>
  <c r="N41" i="13" s="1"/>
  <c r="N20" i="13"/>
  <c r="G191" i="13"/>
  <c r="O134" i="13"/>
  <c r="G246" i="13" s="1"/>
  <c r="K191" i="13"/>
  <c r="S134" i="13"/>
  <c r="K246" i="13" s="1"/>
  <c r="S70" i="13"/>
  <c r="D240" i="16"/>
  <c r="Q13" i="13"/>
  <c r="Q14" i="13" s="1"/>
  <c r="R12" i="13"/>
  <c r="J191" i="13"/>
  <c r="R134" i="13"/>
  <c r="J246" i="13" s="1"/>
  <c r="L277" i="10"/>
  <c r="M271" i="10"/>
  <c r="N281" i="10"/>
  <c r="O281" i="10" s="1"/>
  <c r="Q146" i="10"/>
  <c r="Q97" i="10"/>
  <c r="Q98" i="10" s="1"/>
  <c r="J28" i="26"/>
  <c r="I80" i="10"/>
  <c r="F19" i="22"/>
  <c r="M133" i="10"/>
  <c r="L109" i="10"/>
  <c r="L77" i="10"/>
  <c r="E89" i="25"/>
  <c r="C2557" i="16"/>
  <c r="E95" i="25"/>
  <c r="M82" i="14"/>
  <c r="C2564" i="16"/>
  <c r="M91" i="14"/>
  <c r="AF91" i="14" s="1"/>
  <c r="M101" i="14"/>
  <c r="M106" i="14" s="1"/>
  <c r="M111" i="14" s="1"/>
  <c r="M112" i="14" s="1"/>
  <c r="F16" i="25"/>
  <c r="F18" i="25" s="1"/>
  <c r="G12" i="25"/>
  <c r="J81" i="14"/>
  <c r="J80" i="14" s="1"/>
  <c r="J34" i="14"/>
  <c r="J23" i="14"/>
  <c r="H257" i="16" s="1"/>
  <c r="H26" i="25"/>
  <c r="I9" i="25"/>
  <c r="L43" i="14"/>
  <c r="L42" i="14"/>
  <c r="J9" i="14"/>
  <c r="E216" i="25"/>
  <c r="E138" i="25"/>
  <c r="C2581" i="16"/>
  <c r="K59" i="14"/>
  <c r="L62" i="14"/>
  <c r="K62" i="14"/>
  <c r="E2238" i="16"/>
  <c r="E2244" i="16" s="1"/>
  <c r="F2237" i="16"/>
  <c r="E525" i="16"/>
  <c r="E546" i="16" s="1"/>
  <c r="F504" i="16"/>
  <c r="K1466" i="16"/>
  <c r="K1472" i="16" s="1"/>
  <c r="O1458" i="16"/>
  <c r="O1466" i="16" s="1"/>
  <c r="O1472" i="16" s="1"/>
  <c r="H1814" i="16"/>
  <c r="E1561" i="16"/>
  <c r="E1603" i="16"/>
  <c r="P465" i="1"/>
  <c r="L48" i="14"/>
  <c r="M581" i="1"/>
  <c r="H198" i="10"/>
  <c r="H211" i="10" s="1"/>
  <c r="H57" i="10"/>
  <c r="P474" i="1"/>
  <c r="J178" i="13"/>
  <c r="J179" i="13" s="1"/>
  <c r="J180" i="13" s="1"/>
  <c r="J162" i="13"/>
  <c r="G11" i="19" s="1"/>
  <c r="J131" i="13"/>
  <c r="F1804" i="16"/>
  <c r="F1799" i="16"/>
  <c r="G57" i="10"/>
  <c r="G198" i="10"/>
  <c r="G211" i="10" s="1"/>
  <c r="I178" i="13"/>
  <c r="I131" i="13"/>
  <c r="I150" i="13" s="1"/>
  <c r="I162" i="13"/>
  <c r="F11" i="19" s="1"/>
  <c r="D7" i="19"/>
  <c r="G62" i="13"/>
  <c r="G64" i="13"/>
  <c r="R162" i="13"/>
  <c r="R163" i="13" s="1"/>
  <c r="R131" i="13"/>
  <c r="R178" i="13"/>
  <c r="I1124" i="16"/>
  <c r="E1123" i="16"/>
  <c r="I1123" i="16" s="1"/>
  <c r="E198" i="10"/>
  <c r="E211" i="10" s="1"/>
  <c r="E57" i="10"/>
  <c r="T20" i="1"/>
  <c r="T163" i="1"/>
  <c r="Z110" i="18" s="1"/>
  <c r="N35" i="7"/>
  <c r="L249" i="1"/>
  <c r="E186" i="10"/>
  <c r="U307" i="1"/>
  <c r="U142" i="18"/>
  <c r="C780" i="16"/>
  <c r="C798" i="16" s="1"/>
  <c r="C1017" i="16"/>
  <c r="O75" i="1"/>
  <c r="O74" i="1"/>
  <c r="O13" i="1"/>
  <c r="O84" i="1"/>
  <c r="E1028" i="16"/>
  <c r="J1028" i="16" s="1"/>
  <c r="Q258" i="1"/>
  <c r="E526" i="1"/>
  <c r="R495" i="1"/>
  <c r="I44" i="9"/>
  <c r="Q122" i="1"/>
  <c r="C1828" i="16"/>
  <c r="I269" i="16"/>
  <c r="M249" i="1"/>
  <c r="B68" i="9"/>
  <c r="B44" i="9"/>
  <c r="V477" i="1"/>
  <c r="K316" i="1"/>
  <c r="K148" i="1" s="1"/>
  <c r="K153" i="1" s="1"/>
  <c r="Z134" i="18"/>
  <c r="T57" i="1"/>
  <c r="G1482" i="16" s="1"/>
  <c r="T62" i="1"/>
  <c r="T5" i="1"/>
  <c r="T83" i="1"/>
  <c r="M221" i="1"/>
  <c r="L223" i="1"/>
  <c r="L137" i="1" s="1"/>
  <c r="Y149" i="18"/>
  <c r="BD94" i="5"/>
  <c r="P25" i="7"/>
  <c r="C2213" i="16"/>
  <c r="S419" i="1"/>
  <c r="H522" i="16"/>
  <c r="H564" i="16" s="1"/>
  <c r="D1454" i="16"/>
  <c r="D1469" i="16" s="1"/>
  <c r="D1768" i="16"/>
  <c r="S528" i="1"/>
  <c r="S107" i="1"/>
  <c r="AD191" i="5"/>
  <c r="AE191" i="5" s="1"/>
  <c r="AE192" i="5" s="1"/>
  <c r="X45" i="5"/>
  <c r="X47" i="5" s="1"/>
  <c r="G249" i="5"/>
  <c r="DH23" i="5"/>
  <c r="X20" i="5"/>
  <c r="AC19" i="5" s="1"/>
  <c r="BC55" i="5"/>
  <c r="Y63" i="28" s="1"/>
  <c r="AD16" i="5"/>
  <c r="AD56" i="5" s="1"/>
  <c r="E64" i="28" s="1"/>
  <c r="J73" i="1"/>
  <c r="J74" i="1" s="1"/>
  <c r="L190" i="10"/>
  <c r="EY17" i="5"/>
  <c r="AS51" i="5"/>
  <c r="Q60" i="28" s="1"/>
  <c r="I78" i="5"/>
  <c r="I79" i="5" s="1"/>
  <c r="AS43" i="5"/>
  <c r="AS61" i="5" s="1"/>
  <c r="AI188" i="5"/>
  <c r="X51" i="5"/>
  <c r="J325" i="1"/>
  <c r="AC189" i="5"/>
  <c r="K51" i="5"/>
  <c r="DM23" i="5"/>
  <c r="AD20" i="5"/>
  <c r="CL291" i="5"/>
  <c r="CR7" i="5"/>
  <c r="D30" i="28" s="1"/>
  <c r="DR15" i="5"/>
  <c r="Y38" i="28" s="1"/>
  <c r="AS28" i="5"/>
  <c r="DM28" i="5" s="1"/>
  <c r="K34" i="5"/>
  <c r="K71" i="5" s="1"/>
  <c r="K78" i="5" s="1"/>
  <c r="BC16" i="5"/>
  <c r="DW16" i="5" s="1"/>
  <c r="AC39" i="28" s="1"/>
  <c r="X16" i="5"/>
  <c r="X56" i="5" s="1"/>
  <c r="CU187" i="5"/>
  <c r="AO56" i="5"/>
  <c r="K30" i="5"/>
  <c r="K32" i="5" s="1"/>
  <c r="K59" i="5" s="1"/>
  <c r="AI16" i="5"/>
  <c r="DC16" i="5" s="1"/>
  <c r="M39" i="28" s="1"/>
  <c r="CV294" i="5"/>
  <c r="H811" i="16" s="1"/>
  <c r="AI45" i="5"/>
  <c r="DC45" i="5" s="1"/>
  <c r="P87" i="1"/>
  <c r="K97" i="14" s="1"/>
  <c r="K96" i="14" s="1"/>
  <c r="P311" i="5"/>
  <c r="AI51" i="5"/>
  <c r="I60" i="28" s="1"/>
  <c r="CX7" i="5"/>
  <c r="I30" i="28" s="1"/>
  <c r="P98" i="1"/>
  <c r="D750" i="16" s="1"/>
  <c r="V190" i="5"/>
  <c r="AD144" i="5"/>
  <c r="I830" i="16"/>
  <c r="J59" i="5"/>
  <c r="AF280" i="5"/>
  <c r="V249" i="5"/>
  <c r="Z10" i="5"/>
  <c r="M45" i="1" s="1"/>
  <c r="M47" i="1" s="1"/>
  <c r="Y7" i="5"/>
  <c r="CS7" i="5" s="1"/>
  <c r="E30" i="28" s="1"/>
  <c r="CN185" i="5"/>
  <c r="O303" i="5"/>
  <c r="D249" i="5"/>
  <c r="AA280" i="5"/>
  <c r="CS10" i="5"/>
  <c r="E34" i="28" s="1"/>
  <c r="P19" i="10"/>
  <c r="P37" i="10" s="1"/>
  <c r="D2489" i="16" s="1"/>
  <c r="CL187" i="5"/>
  <c r="CN10" i="5"/>
  <c r="Y83" i="5"/>
  <c r="Y94" i="5" s="1"/>
  <c r="J61" i="13"/>
  <c r="J64" i="13" s="1"/>
  <c r="AF56" i="5"/>
  <c r="F64" i="28" s="1"/>
  <c r="CI187" i="5"/>
  <c r="R132" i="18"/>
  <c r="I1631" i="16"/>
  <c r="CB291" i="5"/>
  <c r="CA16" i="5"/>
  <c r="U264" i="5"/>
  <c r="U265" i="5" s="1"/>
  <c r="U266" i="5" s="1"/>
  <c r="C249" i="5"/>
  <c r="G56" i="5"/>
  <c r="AO30" i="5"/>
  <c r="AO58" i="5" s="1"/>
  <c r="AO238" i="5"/>
  <c r="F1582" i="16"/>
  <c r="CX31" i="5"/>
  <c r="G214" i="10"/>
  <c r="S1404" i="16"/>
  <c r="P309" i="5"/>
  <c r="DH128" i="5"/>
  <c r="AK294" i="5"/>
  <c r="AH188" i="5"/>
  <c r="CP16" i="5"/>
  <c r="B39" i="28" s="1"/>
  <c r="D271" i="16"/>
  <c r="BA123" i="5"/>
  <c r="AZ123" i="5"/>
  <c r="DA139" i="5"/>
  <c r="AC288" i="5"/>
  <c r="U55" i="5"/>
  <c r="N294" i="5"/>
  <c r="V56" i="5"/>
  <c r="CD187" i="5"/>
  <c r="CX128" i="5"/>
  <c r="J71" i="5"/>
  <c r="AZ149" i="5"/>
  <c r="AZ156" i="5" s="1"/>
  <c r="CN31" i="5"/>
  <c r="Y32" i="5"/>
  <c r="Z31" i="5"/>
  <c r="AR56" i="5"/>
  <c r="P64" i="28" s="1"/>
  <c r="DG28" i="5"/>
  <c r="AR30" i="5"/>
  <c r="DL30" i="5" s="1"/>
  <c r="AR34" i="5"/>
  <c r="DL34" i="5" s="1"/>
  <c r="AL47" i="5"/>
  <c r="DA45" i="5"/>
  <c r="T30" i="5"/>
  <c r="CN30" i="5" s="1"/>
  <c r="CI28" i="5"/>
  <c r="T34" i="5"/>
  <c r="G87" i="14"/>
  <c r="G30" i="14"/>
  <c r="G28" i="14"/>
  <c r="I236" i="10"/>
  <c r="J186" i="10"/>
  <c r="G260" i="16" s="1"/>
  <c r="I182" i="10"/>
  <c r="L12" i="21"/>
  <c r="BI236" i="5"/>
  <c r="BJ246" i="5" s="1"/>
  <c r="H8" i="22"/>
  <c r="H5" i="22" s="1"/>
  <c r="P149" i="10"/>
  <c r="P152" i="10" s="1"/>
  <c r="L10" i="21" s="1"/>
  <c r="L11" i="21" s="1"/>
  <c r="M98" i="10"/>
  <c r="AT238" i="5"/>
  <c r="L1405" i="16"/>
  <c r="H199" i="10"/>
  <c r="U302" i="5"/>
  <c r="U309" i="5"/>
  <c r="AK241" i="5"/>
  <c r="AL122" i="5"/>
  <c r="AK122" i="5"/>
  <c r="CH293" i="5"/>
  <c r="CD292" i="5"/>
  <c r="CW294" i="5"/>
  <c r="H215" i="10"/>
  <c r="BG123" i="5"/>
  <c r="CK292" i="5"/>
  <c r="J293" i="5"/>
  <c r="CD260" i="5"/>
  <c r="M249" i="5"/>
  <c r="DC137" i="5"/>
  <c r="AS119" i="5"/>
  <c r="AS114" i="5"/>
  <c r="DH113" i="5"/>
  <c r="AS139" i="5"/>
  <c r="DM113" i="5"/>
  <c r="O47" i="10"/>
  <c r="O19" i="10"/>
  <c r="DT34" i="5"/>
  <c r="BE71" i="5"/>
  <c r="DP30" i="5"/>
  <c r="AB58" i="5"/>
  <c r="AB32" i="5"/>
  <c r="CQ30" i="5"/>
  <c r="W71" i="5"/>
  <c r="CL34" i="5"/>
  <c r="S58" i="5"/>
  <c r="CH30" i="5"/>
  <c r="S32" i="5"/>
  <c r="C1585" i="16"/>
  <c r="O190" i="5"/>
  <c r="CD18" i="5"/>
  <c r="AD139" i="5"/>
  <c r="AW32" i="5"/>
  <c r="Z53" i="5"/>
  <c r="M67" i="1"/>
  <c r="BF123" i="5"/>
  <c r="M6" i="5"/>
  <c r="BG71" i="5"/>
  <c r="DV34" i="5"/>
  <c r="AU32" i="5"/>
  <c r="DJ30" i="5"/>
  <c r="N58" i="5"/>
  <c r="CC30" i="5"/>
  <c r="N32" i="5"/>
  <c r="Z28" i="5"/>
  <c r="EU8" i="5"/>
  <c r="BH18" i="5"/>
  <c r="V1405" i="16"/>
  <c r="V1407" i="16" s="1"/>
  <c r="AP18" i="5"/>
  <c r="AP58" i="5" s="1"/>
  <c r="C1640" i="16"/>
  <c r="DE16" i="5"/>
  <c r="N39" i="28" s="1"/>
  <c r="U52" i="5"/>
  <c r="L66" i="1"/>
  <c r="G262" i="16"/>
  <c r="F262" i="16"/>
  <c r="AK82" i="5"/>
  <c r="AK74" i="5"/>
  <c r="AK78" i="5"/>
  <c r="AK79" i="5" s="1"/>
  <c r="EY91" i="5"/>
  <c r="F830" i="16"/>
  <c r="H87" i="14"/>
  <c r="H66" i="14"/>
  <c r="H30" i="14"/>
  <c r="I28" i="14"/>
  <c r="H28" i="14"/>
  <c r="CN28" i="5"/>
  <c r="F7" i="19"/>
  <c r="I62" i="13"/>
  <c r="D261" i="16" s="1"/>
  <c r="I90" i="13"/>
  <c r="I64" i="13"/>
  <c r="I129" i="13"/>
  <c r="C272" i="16"/>
  <c r="E61" i="14"/>
  <c r="J58" i="1" s="1"/>
  <c r="J59" i="1" s="1"/>
  <c r="C265" i="16" s="1"/>
  <c r="E18" i="14"/>
  <c r="CF291" i="5"/>
  <c r="CK291" i="5"/>
  <c r="BE58" i="5"/>
  <c r="DT30" i="5"/>
  <c r="BE32" i="5"/>
  <c r="DY32" i="5" s="1"/>
  <c r="AQ61" i="5"/>
  <c r="AQ62" i="5"/>
  <c r="AQ63" i="5" s="1"/>
  <c r="N1405" i="16"/>
  <c r="N1407" i="16" s="1"/>
  <c r="Z54" i="5"/>
  <c r="M68" i="1"/>
  <c r="T1404" i="16"/>
  <c r="CH291" i="5"/>
  <c r="AL294" i="5"/>
  <c r="AW123" i="5"/>
  <c r="AV123" i="5"/>
  <c r="CA291" i="5"/>
  <c r="P264" i="5"/>
  <c r="P265" i="5" s="1"/>
  <c r="AN144" i="5"/>
  <c r="DC128" i="5"/>
  <c r="T249" i="5"/>
  <c r="AB288" i="5"/>
  <c r="AW71" i="5"/>
  <c r="AK58" i="5"/>
  <c r="AK32" i="5"/>
  <c r="CZ30" i="5"/>
  <c r="AV71" i="5"/>
  <c r="J827" i="16"/>
  <c r="O71" i="5"/>
  <c r="CD34" i="5"/>
  <c r="AX56" i="5"/>
  <c r="U64" i="28" s="1"/>
  <c r="AX30" i="5"/>
  <c r="AX34" i="5"/>
  <c r="CV30" i="5"/>
  <c r="AG32" i="5"/>
  <c r="AA149" i="5"/>
  <c r="AA59" i="5"/>
  <c r="B66" i="28" s="1"/>
  <c r="CP32" i="5"/>
  <c r="AI71" i="5"/>
  <c r="W32" i="5"/>
  <c r="CL30" i="5"/>
  <c r="AH74" i="5"/>
  <c r="AH78" i="5"/>
  <c r="AH79" i="5" s="1"/>
  <c r="BH46" i="5"/>
  <c r="H18" i="5"/>
  <c r="H6" i="5" s="1"/>
  <c r="H56" i="5"/>
  <c r="AC81" i="5"/>
  <c r="AC78" i="5"/>
  <c r="AC79" i="5" s="1"/>
  <c r="DA16" i="5"/>
  <c r="K39" i="28" s="1"/>
  <c r="AL18" i="5"/>
  <c r="AL58" i="5" s="1"/>
  <c r="AP47" i="5"/>
  <c r="DE45" i="5"/>
  <c r="BA78" i="5"/>
  <c r="BA79" i="5" s="1"/>
  <c r="BA74" i="5"/>
  <c r="AF18" i="5"/>
  <c r="AF58" i="5" s="1"/>
  <c r="CU16" i="5"/>
  <c r="F39" i="28" s="1"/>
  <c r="CJ9" i="5"/>
  <c r="L44" i="1"/>
  <c r="AN18" i="5"/>
  <c r="AN59" i="5" s="1"/>
  <c r="M66" i="28" s="1"/>
  <c r="BI32" i="5"/>
  <c r="BI59" i="5" s="1"/>
  <c r="AI149" i="5"/>
  <c r="U17" i="5"/>
  <c r="L55" i="1" s="1"/>
  <c r="H830" i="16"/>
  <c r="F12" i="14"/>
  <c r="F43" i="14"/>
  <c r="F14" i="14"/>
  <c r="F15" i="14" s="1"/>
  <c r="F47" i="14"/>
  <c r="G830" i="16"/>
  <c r="F61" i="14"/>
  <c r="F18" i="14"/>
  <c r="H95" i="13"/>
  <c r="E9" i="19"/>
  <c r="H94" i="13"/>
  <c r="J83" i="1"/>
  <c r="C269" i="16"/>
  <c r="G212" i="10"/>
  <c r="U304" i="5"/>
  <c r="U54" i="5"/>
  <c r="L68" i="1"/>
  <c r="AL32" i="5"/>
  <c r="DA30" i="5"/>
  <c r="N98" i="10"/>
  <c r="CH292" i="5"/>
  <c r="CF293" i="5"/>
  <c r="D1585" i="16"/>
  <c r="AF286" i="5"/>
  <c r="CB292" i="5"/>
  <c r="CA292" i="5"/>
  <c r="W294" i="5"/>
  <c r="X249" i="5"/>
  <c r="S294" i="5"/>
  <c r="G231" i="10"/>
  <c r="G169" i="10"/>
  <c r="G182" i="10"/>
  <c r="G183" i="10" s="1"/>
  <c r="CL293" i="5"/>
  <c r="CN186" i="5"/>
  <c r="CS186" i="5"/>
  <c r="AG71" i="5"/>
  <c r="CV34" i="5"/>
  <c r="AC32" i="5"/>
  <c r="CR30" i="5"/>
  <c r="X71" i="5"/>
  <c r="CM34" i="5"/>
  <c r="X242" i="5"/>
  <c r="CS31" i="5"/>
  <c r="CW153" i="5"/>
  <c r="CV155" i="5"/>
  <c r="CW155" i="5" s="1"/>
  <c r="Q58" i="5"/>
  <c r="CF30" i="5"/>
  <c r="Q32" i="5"/>
  <c r="CK32" i="5" s="1"/>
  <c r="BC51" i="5"/>
  <c r="Y60" i="28" s="1"/>
  <c r="DW23" i="5"/>
  <c r="BC28" i="5"/>
  <c r="DR23" i="5"/>
  <c r="EU44" i="5" s="1"/>
  <c r="J2635" i="16"/>
  <c r="J2636" i="16" s="1"/>
  <c r="AR62" i="5"/>
  <c r="AR61" i="5"/>
  <c r="BD30" i="5"/>
  <c r="AA71" i="5"/>
  <c r="CP34" i="5"/>
  <c r="O32" i="5"/>
  <c r="O58" i="5"/>
  <c r="CD30" i="5"/>
  <c r="AM34" i="5"/>
  <c r="DB28" i="5"/>
  <c r="AM30" i="5"/>
  <c r="AC47" i="5"/>
  <c r="AS50" i="5"/>
  <c r="DQ30" i="5"/>
  <c r="AQ44" i="5"/>
  <c r="R190" i="5"/>
  <c r="CE7" i="5"/>
  <c r="CV16" i="5"/>
  <c r="G39" i="28" s="1"/>
  <c r="AG18" i="5"/>
  <c r="AG58" i="5" s="1"/>
  <c r="DM31" i="5"/>
  <c r="DH31" i="5"/>
  <c r="AF47" i="5"/>
  <c r="CU45" i="5"/>
  <c r="N71" i="5"/>
  <c r="CC34" i="5"/>
  <c r="EY43" i="5"/>
  <c r="R1405" i="16"/>
  <c r="R1407" i="16" s="1"/>
  <c r="AN47" i="5"/>
  <c r="BC45" i="5"/>
  <c r="AD47" i="5"/>
  <c r="F87" i="14"/>
  <c r="F30" i="14"/>
  <c r="F28" i="14"/>
  <c r="G4" i="14"/>
  <c r="E157" i="12"/>
  <c r="E155" i="12"/>
  <c r="M12" i="16"/>
  <c r="E22" i="14"/>
  <c r="E4" i="14"/>
  <c r="E9" i="14" s="1"/>
  <c r="L12" i="16"/>
  <c r="CI293" i="5"/>
  <c r="H249" i="5"/>
  <c r="BA149" i="5"/>
  <c r="AF78" i="5"/>
  <c r="AF79" i="5" s="1"/>
  <c r="AF74" i="5"/>
  <c r="P193" i="10"/>
  <c r="P98" i="10"/>
  <c r="BI238" i="5"/>
  <c r="BJ248" i="5" s="1"/>
  <c r="I294" i="5"/>
  <c r="I265" i="5"/>
  <c r="I267" i="5"/>
  <c r="I314" i="5"/>
  <c r="AG280" i="5"/>
  <c r="G294" i="5"/>
  <c r="G267" i="5"/>
  <c r="G265" i="5"/>
  <c r="T265" i="5"/>
  <c r="T266" i="5" s="1"/>
  <c r="CI264" i="5"/>
  <c r="T294" i="5"/>
  <c r="T314" i="5"/>
  <c r="T267" i="5"/>
  <c r="CC293" i="5"/>
  <c r="S190" i="5"/>
  <c r="S189" i="5"/>
  <c r="N189" i="10"/>
  <c r="N190" i="10" s="1"/>
  <c r="O191" i="10"/>
  <c r="CC292" i="5"/>
  <c r="Q71" i="5"/>
  <c r="CF34" i="5"/>
  <c r="M58" i="5"/>
  <c r="CB30" i="5"/>
  <c r="M32" i="5"/>
  <c r="G200" i="10"/>
  <c r="G213" i="10" s="1"/>
  <c r="P310" i="5"/>
  <c r="AI119" i="5"/>
  <c r="AI114" i="5"/>
  <c r="CX113" i="5"/>
  <c r="AI139" i="5"/>
  <c r="DC113" i="5"/>
  <c r="DU30" i="5"/>
  <c r="I58" i="5"/>
  <c r="I32" i="5"/>
  <c r="I59" i="5" s="1"/>
  <c r="CI292" i="5"/>
  <c r="AV32" i="5"/>
  <c r="P56" i="5"/>
  <c r="P34" i="5"/>
  <c r="P71" i="5" s="1"/>
  <c r="P78" i="5" s="1"/>
  <c r="P79" i="5" s="1"/>
  <c r="P30" i="5"/>
  <c r="K70" i="1"/>
  <c r="S71" i="5"/>
  <c r="CH34" i="5"/>
  <c r="G32" i="5"/>
  <c r="G59" i="5" s="1"/>
  <c r="G58" i="5"/>
  <c r="AE30" i="5"/>
  <c r="AY30" i="5"/>
  <c r="BC120" i="5"/>
  <c r="EU66" i="5"/>
  <c r="FC13" i="5"/>
  <c r="FC14" i="5" s="1"/>
  <c r="EY90" i="5"/>
  <c r="AP74" i="5"/>
  <c r="AP78" i="5"/>
  <c r="AP79" i="5" s="1"/>
  <c r="AF188" i="5"/>
  <c r="CJ10" i="5"/>
  <c r="L45" i="1"/>
  <c r="AZ18" i="5"/>
  <c r="AZ58" i="5" s="1"/>
  <c r="DO16" i="5"/>
  <c r="V39" i="28" s="1"/>
  <c r="AD34" i="5"/>
  <c r="CX34" i="5" s="1"/>
  <c r="CS28" i="5"/>
  <c r="CX28" i="5"/>
  <c r="AD30" i="5"/>
  <c r="AQ47" i="5"/>
  <c r="AQ48" i="5" s="1"/>
  <c r="DF45" i="5"/>
  <c r="CG18" i="5"/>
  <c r="AG47" i="5"/>
  <c r="CV45" i="5"/>
  <c r="AL71" i="5"/>
  <c r="DA34" i="5"/>
  <c r="BB32" i="5"/>
  <c r="EY8" i="5"/>
  <c r="Q134" i="18"/>
  <c r="G14" i="16"/>
  <c r="G15" i="16" s="1"/>
  <c r="K57" i="1"/>
  <c r="D264" i="16" s="1"/>
  <c r="K107" i="1"/>
  <c r="K5" i="1"/>
  <c r="D270" i="16"/>
  <c r="K104" i="1"/>
  <c r="K62" i="1"/>
  <c r="F38" i="16"/>
  <c r="M11" i="16"/>
  <c r="E43" i="14"/>
  <c r="E38" i="16"/>
  <c r="L11" i="16"/>
  <c r="K129" i="13"/>
  <c r="H7" i="19"/>
  <c r="K90" i="13"/>
  <c r="K64" i="13"/>
  <c r="L62" i="13"/>
  <c r="G261" i="16" s="1"/>
  <c r="F9" i="19"/>
  <c r="I95" i="13"/>
  <c r="I94" i="13"/>
  <c r="F4" i="14"/>
  <c r="F22" i="14"/>
  <c r="F29" i="14" s="1"/>
  <c r="AC6" i="14" s="1"/>
  <c r="G186" i="10"/>
  <c r="D260" i="16" s="1"/>
  <c r="G236" i="10"/>
  <c r="H6" i="16"/>
  <c r="L6" i="16" s="1"/>
  <c r="H9" i="16"/>
  <c r="L7" i="16"/>
  <c r="DO30" i="5"/>
  <c r="AI120" i="5"/>
  <c r="D1588" i="16"/>
  <c r="V71" i="5"/>
  <c r="CK34" i="5"/>
  <c r="AW47" i="5"/>
  <c r="AW48" i="5" s="1"/>
  <c r="AW49" i="5" s="1"/>
  <c r="DL45" i="5"/>
  <c r="L30" i="21"/>
  <c r="L28" i="21"/>
  <c r="H172" i="10"/>
  <c r="H214" i="10" s="1"/>
  <c r="G233" i="10"/>
  <c r="G173" i="10"/>
  <c r="I168" i="10"/>
  <c r="H169" i="10"/>
  <c r="CC291" i="5"/>
  <c r="Q249" i="5"/>
  <c r="F1584" i="16"/>
  <c r="AD280" i="5"/>
  <c r="AF288" i="5"/>
  <c r="CB293" i="5"/>
  <c r="G1585" i="16"/>
  <c r="CW139" i="5"/>
  <c r="AQ56" i="5"/>
  <c r="O64" i="28" s="1"/>
  <c r="DF28" i="5"/>
  <c r="I1649" i="16" s="1"/>
  <c r="AQ30" i="5"/>
  <c r="DK30" i="5" s="1"/>
  <c r="AQ34" i="5"/>
  <c r="D1649" i="16"/>
  <c r="DB187" i="5"/>
  <c r="DE30" i="5"/>
  <c r="H1651" i="16" s="1"/>
  <c r="AP32" i="5"/>
  <c r="C1651" i="16"/>
  <c r="BH71" i="5"/>
  <c r="DC30" i="5"/>
  <c r="L190" i="5"/>
  <c r="CA18" i="5"/>
  <c r="AC18" i="5"/>
  <c r="AC58" i="5" s="1"/>
  <c r="AZ47" i="5"/>
  <c r="AZ48" i="5" s="1"/>
  <c r="AZ46" i="5"/>
  <c r="Y34" i="5"/>
  <c r="BB71" i="5"/>
  <c r="DQ34" i="5"/>
  <c r="BG46" i="5"/>
  <c r="AL56" i="5"/>
  <c r="K64" i="28" s="1"/>
  <c r="F809" i="16"/>
  <c r="E878" i="16"/>
  <c r="BF18" i="5"/>
  <c r="DZ18" i="5" s="1"/>
  <c r="DU16" i="5"/>
  <c r="AA39" i="28" s="1"/>
  <c r="T16" i="5"/>
  <c r="CI7" i="5"/>
  <c r="U7" i="5"/>
  <c r="CK30" i="5"/>
  <c r="M78" i="5"/>
  <c r="M79" i="5" s="1"/>
  <c r="M81" i="5"/>
  <c r="K56" i="5"/>
  <c r="AU18" i="5"/>
  <c r="DJ16" i="5"/>
  <c r="R39" i="28" s="1"/>
  <c r="CE16" i="5"/>
  <c r="C44" i="9"/>
  <c r="K122" i="1"/>
  <c r="I6" i="16"/>
  <c r="I9" i="16"/>
  <c r="M7" i="16"/>
  <c r="F186" i="10"/>
  <c r="C260" i="16" s="1"/>
  <c r="F184" i="10"/>
  <c r="F219" i="10"/>
  <c r="F236" i="10"/>
  <c r="E2031" i="16"/>
  <c r="CI291" i="5"/>
  <c r="W249" i="5"/>
  <c r="W242" i="5"/>
  <c r="N249" i="5"/>
  <c r="F1585" i="16"/>
  <c r="DJ34" i="5"/>
  <c r="AU71" i="5"/>
  <c r="DL28" i="5"/>
  <c r="R81" i="5"/>
  <c r="R78" i="5"/>
  <c r="R79" i="5" s="1"/>
  <c r="H170" i="10"/>
  <c r="CG292" i="5"/>
  <c r="L249" i="5"/>
  <c r="CG291" i="5"/>
  <c r="AN149" i="5"/>
  <c r="DC32" i="5"/>
  <c r="AN35" i="5"/>
  <c r="AA190" i="5"/>
  <c r="AA189" i="5"/>
  <c r="CW30" i="5"/>
  <c r="AH32" i="5"/>
  <c r="EU17" i="5"/>
  <c r="F1583" i="16"/>
  <c r="AZ71" i="5"/>
  <c r="DO34" i="5"/>
  <c r="AF32" i="5"/>
  <c r="CU30" i="5"/>
  <c r="BF32" i="5"/>
  <c r="DZ32" i="5" s="1"/>
  <c r="BC129" i="5"/>
  <c r="BC54" i="5"/>
  <c r="Y62" i="28" s="1"/>
  <c r="DR26" i="5"/>
  <c r="AG109" i="28" s="1"/>
  <c r="DW26" i="5"/>
  <c r="AA1405" i="16"/>
  <c r="AA1407" i="16" s="1"/>
  <c r="BB47" i="5"/>
  <c r="BB48" i="5" s="1"/>
  <c r="BB46" i="5"/>
  <c r="P134" i="18"/>
  <c r="F14" i="16"/>
  <c r="F15" i="16" s="1"/>
  <c r="J57" i="1"/>
  <c r="C264" i="16" s="1"/>
  <c r="J62" i="1"/>
  <c r="J121" i="1"/>
  <c r="J107" i="1"/>
  <c r="J5" i="1"/>
  <c r="J104" i="1"/>
  <c r="BA18" i="5"/>
  <c r="BA59" i="5" s="1"/>
  <c r="W66" i="28" s="1"/>
  <c r="DP16" i="5"/>
  <c r="W39" i="28" s="1"/>
  <c r="AR44" i="5"/>
  <c r="CW16" i="5"/>
  <c r="H39" i="28" s="1"/>
  <c r="AH18" i="5"/>
  <c r="BE46" i="5"/>
  <c r="U28" i="5"/>
  <c r="H11" i="14"/>
  <c r="E312" i="16"/>
  <c r="E313" i="16" s="1"/>
  <c r="AX18" i="5"/>
  <c r="CQ34" i="5"/>
  <c r="CF18" i="5"/>
  <c r="X188" i="5"/>
  <c r="X189" i="5" s="1"/>
  <c r="B45" i="28" s="1"/>
  <c r="CD16" i="5"/>
  <c r="V59" i="5"/>
  <c r="U53" i="5"/>
  <c r="L67" i="1"/>
  <c r="AU47" i="5"/>
  <c r="AU48" i="5" s="1"/>
  <c r="DJ45" i="5"/>
  <c r="I4" i="14"/>
  <c r="H4" i="14"/>
  <c r="C270" i="16"/>
  <c r="D272" i="16"/>
  <c r="H32" i="5"/>
  <c r="AV47" i="5"/>
  <c r="AV48" i="5" s="1"/>
  <c r="DK45" i="5"/>
  <c r="CK293" i="5"/>
  <c r="V294" i="5"/>
  <c r="I249" i="5"/>
  <c r="CL292" i="5"/>
  <c r="CG293" i="5"/>
  <c r="CF292" i="5"/>
  <c r="R58" i="5"/>
  <c r="CG30" i="5"/>
  <c r="R32" i="5"/>
  <c r="AH280" i="5"/>
  <c r="CZ187" i="5"/>
  <c r="AS144" i="5"/>
  <c r="L71" i="5"/>
  <c r="CA34" i="5"/>
  <c r="CM30" i="5"/>
  <c r="CG187" i="5"/>
  <c r="AH47" i="5"/>
  <c r="CW45" i="5"/>
  <c r="L59" i="5"/>
  <c r="DQ16" i="5"/>
  <c r="X39" i="28" s="1"/>
  <c r="BB18" i="5"/>
  <c r="BB58" i="5" s="1"/>
  <c r="DE139" i="5"/>
  <c r="AS16" i="5"/>
  <c r="AS45" i="5"/>
  <c r="DM45" i="5" s="1"/>
  <c r="DH7" i="5"/>
  <c r="Q30" i="28" s="1"/>
  <c r="DM7" i="5"/>
  <c r="U30" i="28" s="1"/>
  <c r="CU34" i="5"/>
  <c r="X1405" i="16"/>
  <c r="X1407" i="16" s="1"/>
  <c r="AR18" i="5"/>
  <c r="DF16" i="5"/>
  <c r="O39" i="28" s="1"/>
  <c r="AQ18" i="5"/>
  <c r="D1640" i="16"/>
  <c r="BB56" i="5"/>
  <c r="X64" i="28" s="1"/>
  <c r="EU90" i="5"/>
  <c r="AX47" i="5"/>
  <c r="AX48" i="5" s="1"/>
  <c r="AB81" i="5"/>
  <c r="AB78" i="5"/>
  <c r="AB79" i="5" s="1"/>
  <c r="Q190" i="5"/>
  <c r="AD285" i="5"/>
  <c r="AD288" i="5" s="1"/>
  <c r="AD294" i="5"/>
  <c r="CX294" i="5" s="1"/>
  <c r="AW18" i="5"/>
  <c r="DL16" i="5"/>
  <c r="T39" i="28" s="1"/>
  <c r="AI144" i="5"/>
  <c r="X32" i="5"/>
  <c r="AV18" i="5"/>
  <c r="DK16" i="5"/>
  <c r="S39" i="28" s="1"/>
  <c r="B1714" i="16"/>
  <c r="Y187" i="5"/>
  <c r="CN187" i="5" s="1"/>
  <c r="G219" i="10"/>
  <c r="G209" i="10"/>
  <c r="F2031" i="16"/>
  <c r="E48" i="14"/>
  <c r="E56" i="14"/>
  <c r="E7" i="19"/>
  <c r="H62" i="13"/>
  <c r="C261" i="16" s="1"/>
  <c r="H64" i="13"/>
  <c r="D269" i="16"/>
  <c r="K121" i="1"/>
  <c r="DT123" i="5" l="1"/>
  <c r="T499" i="1"/>
  <c r="N507" i="1"/>
  <c r="C1467" i="16"/>
  <c r="G1473" i="16"/>
  <c r="G30" i="13"/>
  <c r="T46" i="13"/>
  <c r="U46" i="13" s="1"/>
  <c r="V46" i="13" s="1"/>
  <c r="W46" i="13" s="1"/>
  <c r="X46" i="13" s="1"/>
  <c r="Y46" i="13" s="1"/>
  <c r="Z46" i="13" s="1"/>
  <c r="AA46" i="13" s="1"/>
  <c r="I179" i="13"/>
  <c r="I180" i="13" s="1"/>
  <c r="R26" i="10"/>
  <c r="M77" i="10"/>
  <c r="T445" i="1"/>
  <c r="T501" i="1"/>
  <c r="N520" i="1"/>
  <c r="N167" i="1" s="1"/>
  <c r="U503" i="1"/>
  <c r="T498" i="1"/>
  <c r="T505" i="1"/>
  <c r="C130" i="14"/>
  <c r="C134" i="14" s="1"/>
  <c r="O82" i="14"/>
  <c r="O91" i="14"/>
  <c r="O92" i="14"/>
  <c r="P235" i="5"/>
  <c r="P239" i="5" s="1"/>
  <c r="Q59" i="10"/>
  <c r="P84" i="10"/>
  <c r="G2558" i="16"/>
  <c r="F2547" i="16"/>
  <c r="U173" i="1"/>
  <c r="R31" i="7"/>
  <c r="C141" i="14"/>
  <c r="C143" i="14" s="1"/>
  <c r="C144" i="14" s="1"/>
  <c r="C136" i="14" s="1"/>
  <c r="L301" i="1"/>
  <c r="L165" i="1" s="1"/>
  <c r="R112" i="18" s="1"/>
  <c r="P244" i="1"/>
  <c r="C214" i="14"/>
  <c r="C1975" i="16"/>
  <c r="F2790" i="16"/>
  <c r="AD146" i="18"/>
  <c r="S97" i="14"/>
  <c r="S96" i="14" s="1"/>
  <c r="X112" i="1"/>
  <c r="AC146" i="18"/>
  <c r="AC152" i="18" s="1"/>
  <c r="R97" i="14"/>
  <c r="R96" i="14" s="1"/>
  <c r="W112" i="1"/>
  <c r="O47" i="9" s="1"/>
  <c r="G2926" i="16"/>
  <c r="AC25" i="9"/>
  <c r="C1763" i="16"/>
  <c r="D1763" i="16" s="1"/>
  <c r="E1763" i="16" s="1"/>
  <c r="F1763" i="16" s="1"/>
  <c r="G42" i="9"/>
  <c r="BS245" i="5"/>
  <c r="I102" i="25"/>
  <c r="I116" i="25" s="1"/>
  <c r="F2548" i="16"/>
  <c r="K2031" i="16"/>
  <c r="L249" i="10"/>
  <c r="L250" i="10" s="1"/>
  <c r="I116" i="1"/>
  <c r="I118" i="1" s="1"/>
  <c r="D334" i="1"/>
  <c r="D336" i="1"/>
  <c r="D340" i="1" s="1"/>
  <c r="V306" i="1"/>
  <c r="V307" i="1" s="1"/>
  <c r="P118" i="18"/>
  <c r="M539" i="1"/>
  <c r="M582" i="1" s="1"/>
  <c r="F775" i="16"/>
  <c r="G775" i="16" s="1"/>
  <c r="H775" i="16" s="1"/>
  <c r="T474" i="1"/>
  <c r="C1829" i="16"/>
  <c r="C1830" i="16" s="1"/>
  <c r="H1830" i="16" s="1"/>
  <c r="M53" i="7"/>
  <c r="P156" i="1"/>
  <c r="L228" i="10"/>
  <c r="L229" i="10" s="1"/>
  <c r="T20" i="29"/>
  <c r="I163" i="13"/>
  <c r="F12" i="19" s="1"/>
  <c r="F2787" i="16"/>
  <c r="X115" i="1"/>
  <c r="U244" i="1"/>
  <c r="O35" i="14"/>
  <c r="L543" i="1"/>
  <c r="T11" i="1"/>
  <c r="E1767" i="16"/>
  <c r="E1788" i="16" s="1"/>
  <c r="J60" i="14"/>
  <c r="D2211" i="16"/>
  <c r="D2229" i="16" s="1"/>
  <c r="D132" i="14"/>
  <c r="I132" i="14" s="1"/>
  <c r="Q116" i="1"/>
  <c r="E784" i="16" s="1"/>
  <c r="E800" i="16" s="1"/>
  <c r="I50" i="9"/>
  <c r="Q24" i="7"/>
  <c r="D133" i="14"/>
  <c r="I133" i="14" s="1"/>
  <c r="U3" i="18"/>
  <c r="U4" i="18" s="1"/>
  <c r="S502" i="1"/>
  <c r="F522" i="16"/>
  <c r="F564" i="16" s="1"/>
  <c r="E253" i="1"/>
  <c r="BG59" i="5"/>
  <c r="AB66" i="28" s="1"/>
  <c r="BG170" i="5"/>
  <c r="BG149" i="5"/>
  <c r="BG156" i="5" s="1"/>
  <c r="G45" i="9"/>
  <c r="G50" i="9"/>
  <c r="DV32" i="5"/>
  <c r="F2545" i="16"/>
  <c r="H113" i="25"/>
  <c r="S46" i="29"/>
  <c r="AD139" i="18"/>
  <c r="AD152" i="18" s="1"/>
  <c r="G2787" i="16"/>
  <c r="DU123" i="5"/>
  <c r="DZ123" i="5"/>
  <c r="DV123" i="5"/>
  <c r="EA123" i="5"/>
  <c r="DW123" i="5"/>
  <c r="EB123" i="5"/>
  <c r="BH170" i="5"/>
  <c r="BH149" i="5"/>
  <c r="BH156" i="5" s="1"/>
  <c r="BH59" i="5"/>
  <c r="AC66" i="28" s="1"/>
  <c r="EB18" i="5"/>
  <c r="I37" i="13"/>
  <c r="G1138" i="16"/>
  <c r="H2826" i="16"/>
  <c r="H2833" i="16"/>
  <c r="H2830" i="16"/>
  <c r="G2234" i="16"/>
  <c r="AE42" i="28"/>
  <c r="AE41" i="28"/>
  <c r="C2788" i="16"/>
  <c r="C2757" i="16"/>
  <c r="O2757" i="16" s="1"/>
  <c r="I1021" i="16"/>
  <c r="L129" i="13"/>
  <c r="L162" i="13"/>
  <c r="L163" i="13" s="1"/>
  <c r="L178" i="13"/>
  <c r="L179" i="13" s="1"/>
  <c r="L180" i="13" s="1"/>
  <c r="L6" i="22"/>
  <c r="T45" i="29"/>
  <c r="T46" i="29" s="1"/>
  <c r="C650" i="16"/>
  <c r="T25" i="29"/>
  <c r="X5" i="29"/>
  <c r="G3134" i="3"/>
  <c r="G3133" i="3"/>
  <c r="K29" i="29"/>
  <c r="K22" i="29"/>
  <c r="AG56" i="28"/>
  <c r="AF42" i="28"/>
  <c r="AG55" i="28"/>
  <c r="X45" i="29"/>
  <c r="I38" i="25"/>
  <c r="I115" i="25" s="1"/>
  <c r="R490" i="1"/>
  <c r="R520" i="1" s="1"/>
  <c r="R167" i="1" s="1"/>
  <c r="O512" i="1"/>
  <c r="O513" i="1" s="1"/>
  <c r="D1134" i="16"/>
  <c r="H1134" i="16" s="1"/>
  <c r="U7" i="18"/>
  <c r="U25" i="18" s="1"/>
  <c r="U119" i="18"/>
  <c r="V118" i="18" s="1"/>
  <c r="L15" i="7"/>
  <c r="O176" i="1"/>
  <c r="L53" i="7" s="1"/>
  <c r="C750" i="16"/>
  <c r="H44" i="25"/>
  <c r="R508" i="1"/>
  <c r="L7" i="7"/>
  <c r="L10" i="7" s="1"/>
  <c r="L35" i="7" s="1"/>
  <c r="E10" i="21"/>
  <c r="J301" i="1"/>
  <c r="J165" i="1" s="1"/>
  <c r="P112" i="18" s="1"/>
  <c r="E1134" i="16"/>
  <c r="I1134" i="16" s="1"/>
  <c r="R504" i="1"/>
  <c r="I82" i="14"/>
  <c r="G53" i="12"/>
  <c r="E58" i="14"/>
  <c r="I80" i="14"/>
  <c r="I91" i="14" s="1"/>
  <c r="AB91" i="14" s="1"/>
  <c r="P254" i="1"/>
  <c r="P252" i="1" s="1"/>
  <c r="K504" i="1"/>
  <c r="M282" i="10"/>
  <c r="D154" i="12"/>
  <c r="D155" i="12" s="1"/>
  <c r="E158" i="12" s="1"/>
  <c r="F253" i="1"/>
  <c r="H52" i="13"/>
  <c r="M177" i="13"/>
  <c r="R138" i="13"/>
  <c r="J250" i="13" s="1"/>
  <c r="Q71" i="13"/>
  <c r="I194" i="13" s="1"/>
  <c r="C54" i="12"/>
  <c r="J72" i="25"/>
  <c r="G169" i="12"/>
  <c r="D452" i="1"/>
  <c r="D525" i="1" s="1"/>
  <c r="P301" i="1"/>
  <c r="P165" i="1" s="1"/>
  <c r="V112" i="18" s="1"/>
  <c r="I238" i="10"/>
  <c r="Y155" i="18"/>
  <c r="I158" i="12"/>
  <c r="G18" i="12"/>
  <c r="D1767" i="16"/>
  <c r="D1788" i="16" s="1"/>
  <c r="T468" i="1"/>
  <c r="F18" i="12"/>
  <c r="U466" i="1"/>
  <c r="U468" i="1" s="1"/>
  <c r="Q138" i="13"/>
  <c r="I250" i="13" s="1"/>
  <c r="U449" i="1"/>
  <c r="B1209" i="16"/>
  <c r="S445" i="1"/>
  <c r="D1452" i="16"/>
  <c r="H1474" i="16" s="1"/>
  <c r="S11" i="1"/>
  <c r="M36" i="14"/>
  <c r="K586" i="1"/>
  <c r="K576" i="1" s="1"/>
  <c r="E1552" i="16"/>
  <c r="I124" i="10"/>
  <c r="AC4" i="14"/>
  <c r="T472" i="1"/>
  <c r="G148" i="10"/>
  <c r="G149" i="10" s="1"/>
  <c r="G152" i="10" s="1"/>
  <c r="C10" i="21" s="1"/>
  <c r="O41" i="13"/>
  <c r="G2" i="14"/>
  <c r="AD4" i="14" s="1"/>
  <c r="U470" i="1"/>
  <c r="U475" i="1" s="1"/>
  <c r="G260" i="10"/>
  <c r="U28" i="18"/>
  <c r="AJ68" i="5"/>
  <c r="B1226" i="16"/>
  <c r="C1238" i="16" s="1"/>
  <c r="C1239" i="16" s="1"/>
  <c r="I38" i="13"/>
  <c r="C1218" i="16"/>
  <c r="C1219" i="16" s="1"/>
  <c r="R177" i="13"/>
  <c r="R179" i="13" s="1"/>
  <c r="R180" i="13" s="1"/>
  <c r="J37" i="13"/>
  <c r="C473" i="16"/>
  <c r="C479" i="16" s="1"/>
  <c r="I14" i="13"/>
  <c r="J10" i="13"/>
  <c r="H148" i="10" s="1"/>
  <c r="H149" i="10" s="1"/>
  <c r="H152" i="10" s="1"/>
  <c r="H9" i="13"/>
  <c r="G9" i="13" s="1"/>
  <c r="G10" i="13" s="1"/>
  <c r="S118" i="18"/>
  <c r="K140" i="10"/>
  <c r="R118" i="18"/>
  <c r="Q114" i="13"/>
  <c r="I235" i="13" s="1"/>
  <c r="Y261" i="1"/>
  <c r="Y144" i="1" s="1"/>
  <c r="D2559" i="16"/>
  <c r="AI14" i="12"/>
  <c r="M542" i="1"/>
  <c r="E782" i="16"/>
  <c r="E799" i="16" s="1"/>
  <c r="K105" i="10"/>
  <c r="K129" i="10" s="1"/>
  <c r="Q528" i="1"/>
  <c r="AL90" i="28"/>
  <c r="CJ15" i="28"/>
  <c r="C441" i="16"/>
  <c r="H25" i="1"/>
  <c r="H30" i="1" s="1"/>
  <c r="H409" i="1" s="1"/>
  <c r="E1045" i="16"/>
  <c r="E1046" i="16" s="1"/>
  <c r="J1046" i="16" s="1"/>
  <c r="BF74" i="5"/>
  <c r="X119" i="18"/>
  <c r="Q107" i="1"/>
  <c r="F2183" i="16" s="1"/>
  <c r="N25" i="7"/>
  <c r="AL91" i="28"/>
  <c r="CJ16" i="28"/>
  <c r="BF78" i="5"/>
  <c r="K141" i="10"/>
  <c r="K142" i="10" s="1"/>
  <c r="X7" i="18"/>
  <c r="X25" i="18" s="1"/>
  <c r="E1023" i="16"/>
  <c r="J1023" i="16" s="1"/>
  <c r="W149" i="18"/>
  <c r="W155" i="18" s="1"/>
  <c r="H174" i="18" s="1"/>
  <c r="H520" i="16"/>
  <c r="H562" i="16" s="1"/>
  <c r="C2211" i="16"/>
  <c r="C2215" i="16" s="1"/>
  <c r="C2231" i="16" s="1"/>
  <c r="P24" i="7"/>
  <c r="P32" i="7" s="1"/>
  <c r="I301" i="1"/>
  <c r="I165" i="1" s="1"/>
  <c r="O112" i="18" s="1"/>
  <c r="O504" i="1"/>
  <c r="M228" i="10"/>
  <c r="C657" i="16" s="1"/>
  <c r="C660" i="16" s="1"/>
  <c r="O508" i="1"/>
  <c r="C1057" i="16"/>
  <c r="J1057" i="16" s="1"/>
  <c r="G520" i="16"/>
  <c r="G562" i="16" s="1"/>
  <c r="C1767" i="16"/>
  <c r="C1788" i="16" s="1"/>
  <c r="D1552" i="16"/>
  <c r="R445" i="1"/>
  <c r="C1452" i="16"/>
  <c r="X19" i="18"/>
  <c r="O24" i="7"/>
  <c r="R11" i="1"/>
  <c r="G175" i="12"/>
  <c r="I452" i="1"/>
  <c r="I453" i="1" s="1"/>
  <c r="L92" i="14"/>
  <c r="O490" i="1"/>
  <c r="O507" i="1" s="1"/>
  <c r="AM47" i="5"/>
  <c r="AR49" i="5" s="1"/>
  <c r="C2546" i="16"/>
  <c r="C2549" i="16" s="1"/>
  <c r="C2553" i="16" s="1"/>
  <c r="E117" i="25"/>
  <c r="E11" i="19"/>
  <c r="H163" i="13"/>
  <c r="H165" i="13" s="1"/>
  <c r="L2031" i="16"/>
  <c r="N291" i="1"/>
  <c r="N292" i="1"/>
  <c r="N301" i="1" s="1"/>
  <c r="N165" i="1" s="1"/>
  <c r="T112" i="18" s="1"/>
  <c r="O292" i="1"/>
  <c r="O301" i="1" s="1"/>
  <c r="O165" i="1" s="1"/>
  <c r="U112" i="18" s="1"/>
  <c r="H129" i="13"/>
  <c r="M35" i="14"/>
  <c r="M249" i="10"/>
  <c r="M250" i="10" s="1"/>
  <c r="O118" i="18"/>
  <c r="L585" i="1"/>
  <c r="L586" i="1" s="1"/>
  <c r="H131" i="13"/>
  <c r="H150" i="13" s="1"/>
  <c r="R176" i="1"/>
  <c r="C1771" i="16" s="1"/>
  <c r="K253" i="1"/>
  <c r="H178" i="13"/>
  <c r="H179" i="13" s="1"/>
  <c r="H180" i="13" s="1"/>
  <c r="O15" i="7"/>
  <c r="O249" i="1"/>
  <c r="N65" i="13"/>
  <c r="S249" i="1"/>
  <c r="F157" i="1"/>
  <c r="F177" i="1" s="1"/>
  <c r="N60" i="14"/>
  <c r="C749" i="16"/>
  <c r="AK109" i="28"/>
  <c r="EY69" i="5"/>
  <c r="J265" i="5"/>
  <c r="C1026" i="16"/>
  <c r="H1026" i="16" s="1"/>
  <c r="P99" i="1"/>
  <c r="E92" i="28"/>
  <c r="B92" i="28"/>
  <c r="O116" i="1"/>
  <c r="C784" i="16" s="1"/>
  <c r="C800" i="16" s="1"/>
  <c r="H92" i="28"/>
  <c r="C92" i="28"/>
  <c r="D92" i="28"/>
  <c r="BU92" i="28"/>
  <c r="AC30" i="28"/>
  <c r="E24" i="14"/>
  <c r="C258" i="16" s="1"/>
  <c r="O123" i="1"/>
  <c r="J80" i="16" s="1"/>
  <c r="J83" i="16" s="1"/>
  <c r="F92" i="28"/>
  <c r="G92" i="28"/>
  <c r="Y280" i="5"/>
  <c r="I92" i="28"/>
  <c r="K236" i="10"/>
  <c r="J2031" i="16"/>
  <c r="O419" i="1"/>
  <c r="U22" i="18" s="1"/>
  <c r="K228" i="10"/>
  <c r="K240" i="10" s="1"/>
  <c r="O107" i="1"/>
  <c r="D2183" i="16" s="1"/>
  <c r="CG294" i="5"/>
  <c r="BD56" i="5"/>
  <c r="DG45" i="5"/>
  <c r="E2559" i="16"/>
  <c r="E1043" i="16"/>
  <c r="D1579" i="16"/>
  <c r="W19" i="18"/>
  <c r="N24" i="7"/>
  <c r="C1552" i="16"/>
  <c r="F520" i="16"/>
  <c r="Q11" i="1"/>
  <c r="G1579" i="16"/>
  <c r="C1056" i="16"/>
  <c r="Q445" i="1"/>
  <c r="F1579" i="16"/>
  <c r="C1579" i="16"/>
  <c r="E1579" i="16"/>
  <c r="P281" i="10"/>
  <c r="L9" i="14"/>
  <c r="D303" i="16"/>
  <c r="C1115" i="16"/>
  <c r="E98" i="25"/>
  <c r="E121" i="25" s="1"/>
  <c r="C2563" i="16" s="1"/>
  <c r="BJ250" i="5"/>
  <c r="I90" i="12"/>
  <c r="S484" i="1"/>
  <c r="S485" i="1" s="1"/>
  <c r="T4" i="18"/>
  <c r="K149" i="10"/>
  <c r="K152" i="10" s="1"/>
  <c r="G10" i="21" s="1"/>
  <c r="P495" i="1"/>
  <c r="C5" i="22"/>
  <c r="I1821" i="16"/>
  <c r="CD291" i="5"/>
  <c r="I186" i="10"/>
  <c r="F260" i="16" s="1"/>
  <c r="C1028" i="16"/>
  <c r="H1028" i="16" s="1"/>
  <c r="H43" i="9"/>
  <c r="AS34" i="5"/>
  <c r="AS71" i="5" s="1"/>
  <c r="C782" i="16"/>
  <c r="C799" i="16" s="1"/>
  <c r="AS30" i="5"/>
  <c r="DM30" i="5" s="1"/>
  <c r="D202" i="14"/>
  <c r="D203" i="14" s="1"/>
  <c r="E203" i="14" s="1"/>
  <c r="U149" i="18"/>
  <c r="U155" i="18" s="1"/>
  <c r="D522" i="16"/>
  <c r="D564" i="16" s="1"/>
  <c r="C1023" i="16"/>
  <c r="H1023" i="16" s="1"/>
  <c r="M131" i="13"/>
  <c r="M147" i="13" s="1"/>
  <c r="I2031" i="16"/>
  <c r="AN74" i="5"/>
  <c r="AS56" i="5"/>
  <c r="Q64" i="28" s="1"/>
  <c r="N528" i="1"/>
  <c r="C1045" i="16"/>
  <c r="C1046" i="16" s="1"/>
  <c r="H1046" i="16" s="1"/>
  <c r="M178" i="13"/>
  <c r="J228" i="10"/>
  <c r="AN82" i="5"/>
  <c r="C202" i="14"/>
  <c r="C203" i="14" s="1"/>
  <c r="C204" i="14" s="1"/>
  <c r="L25" i="7"/>
  <c r="M129" i="13"/>
  <c r="J249" i="10"/>
  <c r="J250" i="10" s="1"/>
  <c r="J252" i="10" s="1"/>
  <c r="J253" i="10" s="1"/>
  <c r="J254" i="10" s="1"/>
  <c r="C1137" i="16"/>
  <c r="V146" i="18"/>
  <c r="V152" i="18" s="1"/>
  <c r="G171" i="18" s="1"/>
  <c r="P112" i="1"/>
  <c r="P121" i="1" s="1"/>
  <c r="N116" i="1"/>
  <c r="T23" i="18" s="1"/>
  <c r="T24" i="18" s="1"/>
  <c r="P104" i="1"/>
  <c r="D1020" i="16"/>
  <c r="I1020" i="16" s="1"/>
  <c r="DR16" i="5"/>
  <c r="Y39" i="28" s="1"/>
  <c r="W56" i="5"/>
  <c r="BC18" i="5"/>
  <c r="DR18" i="5" s="1"/>
  <c r="H186" i="10"/>
  <c r="E260" i="16" s="1"/>
  <c r="E344" i="16"/>
  <c r="E356" i="16" s="1"/>
  <c r="E326" i="16"/>
  <c r="E338" i="16" s="1"/>
  <c r="T149" i="18"/>
  <c r="T155" i="18" s="1"/>
  <c r="J115" i="1"/>
  <c r="J116" i="1" s="1"/>
  <c r="P23" i="18" s="1"/>
  <c r="P24" i="18" s="1"/>
  <c r="C522" i="16"/>
  <c r="C564" i="16" s="1"/>
  <c r="J62" i="13"/>
  <c r="E261" i="16" s="1"/>
  <c r="N419" i="1"/>
  <c r="T22" i="18" s="1"/>
  <c r="N107" i="1"/>
  <c r="C2183" i="16" s="1"/>
  <c r="AY56" i="5"/>
  <c r="K62" i="13"/>
  <c r="F261" i="16" s="1"/>
  <c r="G7" i="19"/>
  <c r="J90" i="13"/>
  <c r="K91" i="13" s="1"/>
  <c r="W18" i="5"/>
  <c r="W58" i="5" s="1"/>
  <c r="CL16" i="5"/>
  <c r="G78" i="5"/>
  <c r="G79" i="5" s="1"/>
  <c r="G81" i="5"/>
  <c r="P139" i="18"/>
  <c r="P152" i="18" s="1"/>
  <c r="P90" i="1"/>
  <c r="P528" i="1" s="1"/>
  <c r="CR16" i="5"/>
  <c r="D39" i="28" s="1"/>
  <c r="CF294" i="5"/>
  <c r="J129" i="13"/>
  <c r="CA294" i="5"/>
  <c r="CB294" i="5"/>
  <c r="K58" i="5"/>
  <c r="DH28" i="5"/>
  <c r="P113" i="1"/>
  <c r="N128" i="13"/>
  <c r="V147" i="18"/>
  <c r="V153" i="18" s="1"/>
  <c r="G172" i="18" s="1"/>
  <c r="C1139" i="16"/>
  <c r="P105" i="1"/>
  <c r="D1022" i="16"/>
  <c r="CI267" i="5"/>
  <c r="CD267" i="5"/>
  <c r="C45" i="9"/>
  <c r="K123" i="1"/>
  <c r="F80" i="16" s="1"/>
  <c r="F83" i="16" s="1"/>
  <c r="AJ59" i="5"/>
  <c r="CD264" i="5"/>
  <c r="J294" i="5"/>
  <c r="AN58" i="5"/>
  <c r="CX45" i="5"/>
  <c r="J13" i="1"/>
  <c r="J11" i="1" s="1"/>
  <c r="AI47" i="5"/>
  <c r="AE56" i="5"/>
  <c r="U314" i="5"/>
  <c r="U267" i="5"/>
  <c r="CA32" i="5"/>
  <c r="G1467" i="16"/>
  <c r="O1473" i="16"/>
  <c r="G1453" i="16"/>
  <c r="F41" i="13"/>
  <c r="H1138" i="16"/>
  <c r="D1143" i="16"/>
  <c r="H1143" i="16" s="1"/>
  <c r="J84" i="1"/>
  <c r="Q179" i="13"/>
  <c r="Q180" i="13" s="1"/>
  <c r="J75" i="1"/>
  <c r="S495" i="1"/>
  <c r="N259" i="1"/>
  <c r="N258" i="1"/>
  <c r="DG16" i="5"/>
  <c r="P39" i="28" s="1"/>
  <c r="P142" i="18"/>
  <c r="P155" i="18" s="1"/>
  <c r="AM18" i="5"/>
  <c r="DB18" i="5" s="1"/>
  <c r="L41" i="28" s="1"/>
  <c r="J91" i="14"/>
  <c r="AC91" i="14" s="1"/>
  <c r="E336" i="1"/>
  <c r="E340" i="1" s="1"/>
  <c r="E342" i="1" s="1"/>
  <c r="E348" i="1" s="1"/>
  <c r="E349" i="1" s="1"/>
  <c r="F140" i="16"/>
  <c r="N138" i="16"/>
  <c r="Q259" i="1"/>
  <c r="E333" i="1"/>
  <c r="E450" i="1" s="1"/>
  <c r="E452" i="1" s="1"/>
  <c r="E525" i="1" s="1"/>
  <c r="F164" i="16"/>
  <c r="F167" i="16"/>
  <c r="AM56" i="5"/>
  <c r="L64" i="28" s="1"/>
  <c r="E344" i="1"/>
  <c r="E345" i="1" s="1"/>
  <c r="F474" i="16"/>
  <c r="S64" i="11"/>
  <c r="AV49" i="5"/>
  <c r="P177" i="13"/>
  <c r="P179" i="13" s="1"/>
  <c r="P180" i="13" s="1"/>
  <c r="L82" i="14"/>
  <c r="K62" i="10"/>
  <c r="K97" i="10" s="1"/>
  <c r="D1140" i="16"/>
  <c r="I253" i="1"/>
  <c r="S83" i="11"/>
  <c r="F169" i="16"/>
  <c r="F489" i="16"/>
  <c r="F490" i="16" s="1"/>
  <c r="F151" i="16"/>
  <c r="S77" i="11"/>
  <c r="F171" i="16" s="1"/>
  <c r="S78" i="11"/>
  <c r="K14" i="13"/>
  <c r="M157" i="1"/>
  <c r="T160" i="5"/>
  <c r="T163" i="5" s="1"/>
  <c r="L278" i="10"/>
  <c r="P502" i="1"/>
  <c r="AP241" i="12"/>
  <c r="CB241" i="12" s="1"/>
  <c r="CB242" i="12" s="1"/>
  <c r="AP235" i="12"/>
  <c r="P22" i="12"/>
  <c r="G611" i="16"/>
  <c r="F655" i="16"/>
  <c r="F680" i="16" s="1"/>
  <c r="F105" i="25"/>
  <c r="G81" i="25"/>
  <c r="L946" i="16"/>
  <c r="K952" i="16"/>
  <c r="M190" i="1"/>
  <c r="L191" i="1"/>
  <c r="K508" i="1"/>
  <c r="K490" i="1"/>
  <c r="F1955" i="16"/>
  <c r="H1955" i="16" s="1"/>
  <c r="D1954" i="16"/>
  <c r="F1954" i="16" s="1"/>
  <c r="W28" i="18"/>
  <c r="AT68" i="5"/>
  <c r="H331" i="1"/>
  <c r="H336" i="1" s="1"/>
  <c r="H340" i="1" s="1"/>
  <c r="I41" i="13"/>
  <c r="J82" i="14"/>
  <c r="I19" i="22"/>
  <c r="F3133" i="3"/>
  <c r="D1081" i="16"/>
  <c r="C1079" i="16"/>
  <c r="E1079" i="16" s="1"/>
  <c r="J158" i="12"/>
  <c r="H1820" i="16"/>
  <c r="I45" i="9"/>
  <c r="C2080" i="16"/>
  <c r="C2082" i="16" s="1"/>
  <c r="Q123" i="1"/>
  <c r="E19" i="12"/>
  <c r="E18" i="12"/>
  <c r="O536" i="1"/>
  <c r="O579" i="1" s="1"/>
  <c r="G1101" i="16"/>
  <c r="H1101" i="16" s="1"/>
  <c r="I1100" i="16"/>
  <c r="M66" i="13"/>
  <c r="M65" i="13"/>
  <c r="F3134" i="3"/>
  <c r="E97" i="12"/>
  <c r="E54" i="12"/>
  <c r="E53" i="12"/>
  <c r="F1102" i="16"/>
  <c r="O179" i="13"/>
  <c r="O180" i="13" s="1"/>
  <c r="M102" i="14"/>
  <c r="L253" i="1"/>
  <c r="V28" i="18"/>
  <c r="AO68" i="5"/>
  <c r="K133" i="25"/>
  <c r="H2579" i="16"/>
  <c r="H1100" i="16"/>
  <c r="D19" i="12"/>
  <c r="D18" i="12"/>
  <c r="L502" i="1"/>
  <c r="AB47" i="14"/>
  <c r="P484" i="1"/>
  <c r="P485" i="1" s="1"/>
  <c r="M107" i="14"/>
  <c r="S151" i="10"/>
  <c r="T51" i="10"/>
  <c r="I25" i="1"/>
  <c r="I30" i="1" s="1"/>
  <c r="I336" i="1"/>
  <c r="I340" i="1" s="1"/>
  <c r="I334" i="1"/>
  <c r="G37" i="13"/>
  <c r="C2230" i="16"/>
  <c r="C2214" i="16"/>
  <c r="L147" i="10"/>
  <c r="D7" i="22" s="1"/>
  <c r="L260" i="10"/>
  <c r="L110" i="10"/>
  <c r="L134" i="10" s="1"/>
  <c r="L143" i="10" s="1"/>
  <c r="X23" i="18"/>
  <c r="D1553" i="16"/>
  <c r="D1595" i="16"/>
  <c r="M732" i="16"/>
  <c r="R118" i="1"/>
  <c r="R124" i="1"/>
  <c r="M733" i="16" s="1"/>
  <c r="R162" i="1"/>
  <c r="X109" i="18" s="1"/>
  <c r="W36" i="10"/>
  <c r="E2565" i="16"/>
  <c r="C1777" i="16"/>
  <c r="C1778" i="16" s="1"/>
  <c r="L52" i="12"/>
  <c r="L53" i="12" s="1"/>
  <c r="N191" i="13"/>
  <c r="V134" i="13"/>
  <c r="N246" i="13" s="1"/>
  <c r="Q150" i="13"/>
  <c r="Q73" i="11"/>
  <c r="Q69" i="11"/>
  <c r="Q83" i="11"/>
  <c r="Q84" i="11" s="1"/>
  <c r="Q118" i="11" s="1"/>
  <c r="Q120" i="11" s="1"/>
  <c r="D165" i="16"/>
  <c r="D478" i="16"/>
  <c r="V131" i="10"/>
  <c r="I216" i="13"/>
  <c r="R97" i="13"/>
  <c r="W7" i="18"/>
  <c r="W25" i="18" s="1"/>
  <c r="W119" i="18"/>
  <c r="W118" i="18" s="1"/>
  <c r="N15" i="7"/>
  <c r="C640" i="16"/>
  <c r="C644" i="16" s="1"/>
  <c r="Q176" i="1"/>
  <c r="R254" i="1"/>
  <c r="R252" i="1" s="1"/>
  <c r="Q254" i="1"/>
  <c r="Q252" i="1" s="1"/>
  <c r="X3" i="18"/>
  <c r="O7" i="7"/>
  <c r="R512" i="1"/>
  <c r="R511" i="1"/>
  <c r="Q20" i="18"/>
  <c r="K184" i="1"/>
  <c r="K183" i="1"/>
  <c r="K195" i="1"/>
  <c r="K15" i="1"/>
  <c r="K206" i="1"/>
  <c r="J97" i="10"/>
  <c r="J69" i="10"/>
  <c r="J94" i="10" s="1"/>
  <c r="J87" i="10"/>
  <c r="J99" i="10" s="1"/>
  <c r="T392" i="1"/>
  <c r="R51" i="11"/>
  <c r="Q51" i="11"/>
  <c r="D473" i="16"/>
  <c r="F36" i="13"/>
  <c r="F52" i="13" s="1"/>
  <c r="F9" i="13"/>
  <c r="F37" i="13" s="1"/>
  <c r="J92" i="14"/>
  <c r="P70" i="12"/>
  <c r="Q87" i="12" s="1"/>
  <c r="H1129" i="16"/>
  <c r="D1128" i="16"/>
  <c r="H1128" i="16" s="1"/>
  <c r="G240" i="10"/>
  <c r="G241" i="10" s="1"/>
  <c r="K252" i="10"/>
  <c r="K253" i="10" s="1"/>
  <c r="K254" i="10" s="1"/>
  <c r="K58" i="1"/>
  <c r="K59" i="1" s="1"/>
  <c r="D265" i="16" s="1"/>
  <c r="U19" i="18"/>
  <c r="L24" i="7"/>
  <c r="E464" i="16" s="1"/>
  <c r="D167" i="14"/>
  <c r="C1043" i="16"/>
  <c r="C1039" i="16" s="1"/>
  <c r="D520" i="16"/>
  <c r="D562" i="16" s="1"/>
  <c r="O445" i="1"/>
  <c r="D158" i="14"/>
  <c r="O11" i="1"/>
  <c r="J66" i="14"/>
  <c r="Z28" i="18"/>
  <c r="BI68" i="5"/>
  <c r="R150" i="13"/>
  <c r="G16" i="25"/>
  <c r="G18" i="25" s="1"/>
  <c r="H12" i="25"/>
  <c r="G14" i="25"/>
  <c r="I8" i="22"/>
  <c r="L316" i="1"/>
  <c r="L148" i="1" s="1"/>
  <c r="L153" i="1" s="1"/>
  <c r="T132" i="10"/>
  <c r="S27" i="7"/>
  <c r="V171" i="1"/>
  <c r="AB113" i="18" s="1"/>
  <c r="S45" i="14"/>
  <c r="U19" i="7"/>
  <c r="X518" i="1" s="1"/>
  <c r="U41" i="7" s="1"/>
  <c r="U49" i="7" s="1"/>
  <c r="G23" i="22"/>
  <c r="O229" i="10"/>
  <c r="O238" i="10"/>
  <c r="I1694" i="16" s="1"/>
  <c r="E657" i="16"/>
  <c r="E660" i="16" s="1"/>
  <c r="O240" i="10"/>
  <c r="R137" i="3"/>
  <c r="S132" i="3"/>
  <c r="S137" i="3" s="1"/>
  <c r="M69" i="12"/>
  <c r="M86" i="12" s="1"/>
  <c r="C11" i="19"/>
  <c r="F163" i="13"/>
  <c r="C12" i="19" s="1"/>
  <c r="I108" i="25"/>
  <c r="V70" i="13"/>
  <c r="E35" i="7"/>
  <c r="E38" i="7" s="1"/>
  <c r="E20" i="7"/>
  <c r="W83" i="10"/>
  <c r="H452" i="1"/>
  <c r="E51" i="7" s="1"/>
  <c r="I1820" i="16"/>
  <c r="L484" i="1"/>
  <c r="M8" i="14"/>
  <c r="M9" i="14" s="1"/>
  <c r="N7" i="14"/>
  <c r="K30" i="25"/>
  <c r="X72" i="13"/>
  <c r="F146" i="12"/>
  <c r="F133" i="12"/>
  <c r="F132" i="12" s="1"/>
  <c r="F24" i="12"/>
  <c r="C151" i="14"/>
  <c r="D11" i="19"/>
  <c r="G163" i="13"/>
  <c r="C3134" i="3"/>
  <c r="C3125" i="3"/>
  <c r="C3130" i="3" s="1"/>
  <c r="U46" i="11"/>
  <c r="Z215" i="1"/>
  <c r="Y218" i="1"/>
  <c r="Y170" i="1"/>
  <c r="J253" i="1"/>
  <c r="X40" i="11"/>
  <c r="F101" i="10"/>
  <c r="F3" i="10"/>
  <c r="M468" i="1"/>
  <c r="M467" i="1"/>
  <c r="E7" i="21"/>
  <c r="N1037" i="16"/>
  <c r="H1035" i="16"/>
  <c r="R84" i="11"/>
  <c r="R118" i="11" s="1"/>
  <c r="R120" i="11" s="1"/>
  <c r="C46" i="9"/>
  <c r="W18" i="18"/>
  <c r="F138" i="14"/>
  <c r="F137" i="14" s="1"/>
  <c r="C1551" i="16"/>
  <c r="E1035" i="16"/>
  <c r="F2182" i="16"/>
  <c r="F512" i="16"/>
  <c r="F554" i="16" s="1"/>
  <c r="Q285" i="1"/>
  <c r="Q6" i="1"/>
  <c r="Q295" i="1"/>
  <c r="Q288" i="1"/>
  <c r="R6" i="1"/>
  <c r="Q298" i="1"/>
  <c r="AD35" i="11"/>
  <c r="AD80" i="11" s="1"/>
  <c r="AE34" i="11"/>
  <c r="AD30" i="11"/>
  <c r="M482" i="1"/>
  <c r="M481" i="1"/>
  <c r="K55" i="25"/>
  <c r="L58" i="25"/>
  <c r="W264" i="1"/>
  <c r="M3" i="10"/>
  <c r="M101" i="10"/>
  <c r="R291" i="1"/>
  <c r="R133" i="1"/>
  <c r="R134" i="1" s="1"/>
  <c r="J101" i="14"/>
  <c r="J106" i="14" s="1"/>
  <c r="J111" i="14" s="1"/>
  <c r="J112" i="14" s="1"/>
  <c r="T49" i="13"/>
  <c r="W169" i="1"/>
  <c r="BW153" i="5" s="1"/>
  <c r="X412" i="1"/>
  <c r="M49" i="12"/>
  <c r="N50" i="12"/>
  <c r="O135" i="13"/>
  <c r="H236" i="13"/>
  <c r="P116" i="13"/>
  <c r="H237" i="13" s="1"/>
  <c r="Q115" i="13"/>
  <c r="F178" i="16"/>
  <c r="S100" i="11"/>
  <c r="S101" i="11" s="1"/>
  <c r="V463" i="1"/>
  <c r="V465" i="1" s="1"/>
  <c r="CW18" i="5"/>
  <c r="H41" i="28" s="1"/>
  <c r="I26" i="25"/>
  <c r="J9" i="25"/>
  <c r="AD25" i="11"/>
  <c r="I279" i="1"/>
  <c r="I277" i="1" s="1"/>
  <c r="I138" i="1" s="1"/>
  <c r="I140" i="1" s="1"/>
  <c r="I154" i="1" s="1"/>
  <c r="L3" i="10"/>
  <c r="L101" i="10"/>
  <c r="J520" i="1"/>
  <c r="J167" i="1" s="1"/>
  <c r="J507" i="1"/>
  <c r="J491" i="1"/>
  <c r="H249" i="13"/>
  <c r="Q137" i="13"/>
  <c r="C10" i="19"/>
  <c r="F147" i="13"/>
  <c r="F150" i="13"/>
  <c r="J133" i="1"/>
  <c r="J134" i="1" s="1"/>
  <c r="K292" i="1"/>
  <c r="K301" i="1" s="1"/>
  <c r="K165" i="1" s="1"/>
  <c r="Q112" i="18" s="1"/>
  <c r="D138" i="25"/>
  <c r="D219" i="25" s="1"/>
  <c r="D216" i="25"/>
  <c r="E2564" i="16"/>
  <c r="D35" i="14"/>
  <c r="D37" i="14"/>
  <c r="D38" i="14" s="1"/>
  <c r="D36" i="14"/>
  <c r="D8" i="22"/>
  <c r="V22" i="11"/>
  <c r="O541" i="1"/>
  <c r="O584" i="1" s="1"/>
  <c r="V473" i="1"/>
  <c r="Q520" i="1"/>
  <c r="Q167" i="1" s="1"/>
  <c r="Q507" i="1"/>
  <c r="Q491" i="1"/>
  <c r="M461" i="1"/>
  <c r="M460" i="1"/>
  <c r="H50" i="25"/>
  <c r="H53" i="25" s="1"/>
  <c r="G41" i="25"/>
  <c r="W68" i="13"/>
  <c r="W134" i="13" s="1"/>
  <c r="M159" i="13"/>
  <c r="S28" i="18"/>
  <c r="Z68" i="5"/>
  <c r="N30" i="13"/>
  <c r="K240" i="16"/>
  <c r="H137" i="12"/>
  <c r="G136" i="12"/>
  <c r="G138" i="12" s="1"/>
  <c r="G141" i="12" s="1"/>
  <c r="G134" i="12" s="1"/>
  <c r="U465" i="1"/>
  <c r="S316" i="1"/>
  <c r="S148" i="1" s="1"/>
  <c r="S153" i="1" s="1"/>
  <c r="D10" i="19"/>
  <c r="G147" i="13"/>
  <c r="G150" i="13"/>
  <c r="F66" i="13"/>
  <c r="F65" i="13"/>
  <c r="D3134" i="3"/>
  <c r="D3125" i="3"/>
  <c r="D3130" i="3" s="1"/>
  <c r="F53" i="7"/>
  <c r="I156" i="1"/>
  <c r="J157" i="1" s="1"/>
  <c r="K100" i="14"/>
  <c r="K105" i="14" s="1"/>
  <c r="K90" i="14"/>
  <c r="K86" i="14"/>
  <c r="C1806" i="16"/>
  <c r="H1804" i="16" s="1"/>
  <c r="L36" i="14"/>
  <c r="L37" i="14"/>
  <c r="M38" i="14" s="1"/>
  <c r="E1514" i="16" s="1"/>
  <c r="L35" i="14"/>
  <c r="R100" i="11"/>
  <c r="J264" i="16"/>
  <c r="D1482" i="16"/>
  <c r="Q118" i="18"/>
  <c r="N535" i="1"/>
  <c r="N578" i="1" s="1"/>
  <c r="C8" i="21"/>
  <c r="G10" i="19"/>
  <c r="J148" i="13"/>
  <c r="J147" i="13"/>
  <c r="D149" i="14"/>
  <c r="J37" i="14"/>
  <c r="J35" i="14"/>
  <c r="J36" i="14"/>
  <c r="P135" i="13"/>
  <c r="Q133" i="13"/>
  <c r="H245" i="13"/>
  <c r="R65" i="11"/>
  <c r="E484" i="16"/>
  <c r="E485" i="16" s="1"/>
  <c r="X10" i="13"/>
  <c r="U148" i="10"/>
  <c r="I189" i="13"/>
  <c r="P123" i="10"/>
  <c r="O124" i="10"/>
  <c r="K208" i="13"/>
  <c r="T80" i="13"/>
  <c r="R117" i="11"/>
  <c r="S2" i="11"/>
  <c r="E161" i="16"/>
  <c r="U133" i="10"/>
  <c r="M246" i="10"/>
  <c r="L247" i="10"/>
  <c r="R13" i="13"/>
  <c r="R14" i="13" s="1"/>
  <c r="S12" i="13"/>
  <c r="N270" i="10"/>
  <c r="M272" i="10"/>
  <c r="M275" i="10" s="1"/>
  <c r="V19" i="18"/>
  <c r="M24" i="7"/>
  <c r="E520" i="16"/>
  <c r="E562" i="16" s="1"/>
  <c r="D1043" i="16"/>
  <c r="P445" i="1"/>
  <c r="P11" i="1"/>
  <c r="E167" i="14"/>
  <c r="G210" i="13"/>
  <c r="O85" i="13"/>
  <c r="P82" i="13"/>
  <c r="O78" i="13"/>
  <c r="O86" i="13"/>
  <c r="O84" i="13"/>
  <c r="T291" i="1"/>
  <c r="T133" i="1"/>
  <c r="T134" i="1" s="1"/>
  <c r="T460" i="1"/>
  <c r="U459" i="1"/>
  <c r="AS62" i="5"/>
  <c r="AS63" i="5" s="1"/>
  <c r="W306" i="1"/>
  <c r="W307" i="1" s="1"/>
  <c r="X310" i="1"/>
  <c r="E3" i="10"/>
  <c r="E101" i="10"/>
  <c r="G101" i="10"/>
  <c r="G3" i="10"/>
  <c r="M39" i="14"/>
  <c r="AO187" i="5"/>
  <c r="E132" i="14"/>
  <c r="E133" i="14"/>
  <c r="K60" i="14"/>
  <c r="L60" i="14"/>
  <c r="N271" i="10"/>
  <c r="D1568" i="16"/>
  <c r="D1569" i="16" s="1"/>
  <c r="E1571" i="16"/>
  <c r="N16" i="21"/>
  <c r="O17" i="21"/>
  <c r="AD103" i="11"/>
  <c r="O43" i="9"/>
  <c r="T29" i="7"/>
  <c r="O538" i="1"/>
  <c r="O581" i="1" s="1"/>
  <c r="F32" i="25"/>
  <c r="F120" i="25" s="1"/>
  <c r="D2556" i="16"/>
  <c r="I52" i="13"/>
  <c r="O139" i="13"/>
  <c r="M63" i="12"/>
  <c r="N80" i="12" s="1"/>
  <c r="Y23" i="18"/>
  <c r="E1553" i="16"/>
  <c r="E1595" i="16"/>
  <c r="N732" i="16"/>
  <c r="S124" i="1"/>
  <c r="N733" i="16" s="1"/>
  <c r="S118" i="1"/>
  <c r="S162" i="1"/>
  <c r="Y109" i="18" s="1"/>
  <c r="J90" i="12"/>
  <c r="J35" i="12" s="1"/>
  <c r="J101" i="10"/>
  <c r="J3" i="10"/>
  <c r="M42" i="26"/>
  <c r="G333" i="1"/>
  <c r="G450" i="1" s="1"/>
  <c r="G452" i="1" s="1"/>
  <c r="G525" i="1" s="1"/>
  <c r="G336" i="1"/>
  <c r="G340" i="1" s="1"/>
  <c r="G334" i="1"/>
  <c r="M501" i="1"/>
  <c r="M499" i="1"/>
  <c r="M498" i="1"/>
  <c r="M505" i="1"/>
  <c r="M500" i="1"/>
  <c r="C1982" i="16"/>
  <c r="C1984" i="16"/>
  <c r="U143" i="10"/>
  <c r="R97" i="10"/>
  <c r="R146" i="10"/>
  <c r="N51" i="29" s="1"/>
  <c r="K28" i="26"/>
  <c r="H35" i="21"/>
  <c r="I2" i="21"/>
  <c r="D92" i="14"/>
  <c r="N105" i="14"/>
  <c r="K279" i="1"/>
  <c r="K277" i="1" s="1"/>
  <c r="K138" i="1" s="1"/>
  <c r="K140" i="1" s="1"/>
  <c r="K154" i="1" s="1"/>
  <c r="N198" i="10"/>
  <c r="N211" i="10" s="1"/>
  <c r="N57" i="10"/>
  <c r="G1671" i="16"/>
  <c r="J37" i="7"/>
  <c r="K12" i="7"/>
  <c r="J134" i="10"/>
  <c r="J143" i="10" s="1"/>
  <c r="J147" i="10"/>
  <c r="J149" i="10" s="1"/>
  <c r="J152" i="10" s="1"/>
  <c r="J140" i="10"/>
  <c r="J141" i="10"/>
  <c r="K162" i="10"/>
  <c r="J164" i="10"/>
  <c r="O948" i="16"/>
  <c r="G57" i="12"/>
  <c r="G96" i="12"/>
  <c r="H4" i="12"/>
  <c r="D191" i="14"/>
  <c r="E191" i="14" s="1"/>
  <c r="E189" i="14" s="1"/>
  <c r="L17" i="19"/>
  <c r="P28" i="13"/>
  <c r="O29" i="13"/>
  <c r="F229" i="10"/>
  <c r="F240" i="10"/>
  <c r="T481" i="1"/>
  <c r="U480" i="1"/>
  <c r="T482" i="1"/>
  <c r="L100" i="14"/>
  <c r="L90" i="14"/>
  <c r="H193" i="13"/>
  <c r="P138" i="13"/>
  <c r="H250" i="13" s="1"/>
  <c r="P71" i="13"/>
  <c r="H194" i="13" s="1"/>
  <c r="P114" i="13"/>
  <c r="H235" i="13" s="1"/>
  <c r="U8" i="11"/>
  <c r="T7" i="11"/>
  <c r="T16" i="11" s="1"/>
  <c r="D3133" i="3"/>
  <c r="J176" i="25"/>
  <c r="K175" i="25"/>
  <c r="M71" i="12"/>
  <c r="M88" i="12" s="1"/>
  <c r="N513" i="1"/>
  <c r="E1806" i="16"/>
  <c r="J1804" i="16" s="1"/>
  <c r="W22" i="18"/>
  <c r="Q421" i="1"/>
  <c r="H143" i="10"/>
  <c r="G80" i="10"/>
  <c r="F79" i="10"/>
  <c r="BI241" i="12"/>
  <c r="BM241" i="12"/>
  <c r="W242" i="12"/>
  <c r="I101" i="14"/>
  <c r="I106" i="14" s="1"/>
  <c r="I111" i="14" s="1"/>
  <c r="I112" i="14" s="1"/>
  <c r="T19" i="18"/>
  <c r="K24" i="7"/>
  <c r="F213" i="16"/>
  <c r="E325" i="16"/>
  <c r="E337" i="16" s="1"/>
  <c r="C520" i="16"/>
  <c r="C562" i="16" s="1"/>
  <c r="E343" i="16"/>
  <c r="E355" i="16" s="1"/>
  <c r="N445" i="1"/>
  <c r="C167" i="14"/>
  <c r="N11" i="1"/>
  <c r="C158" i="14"/>
  <c r="C154" i="14" s="1"/>
  <c r="K113" i="10"/>
  <c r="K137" i="10" s="1"/>
  <c r="H87" i="25"/>
  <c r="G86" i="25"/>
  <c r="U18" i="13"/>
  <c r="K157" i="1"/>
  <c r="L157" i="1"/>
  <c r="F10" i="19"/>
  <c r="I147" i="13"/>
  <c r="I148" i="13"/>
  <c r="BN238" i="5"/>
  <c r="BO248" i="5" s="1"/>
  <c r="AP91" i="28" s="1"/>
  <c r="G126" i="25"/>
  <c r="E2568" i="16" s="1"/>
  <c r="E2561" i="16"/>
  <c r="E2544" i="16" s="1"/>
  <c r="E2555" i="16" s="1"/>
  <c r="H110" i="25"/>
  <c r="H123" i="25" s="1"/>
  <c r="F2559" i="16"/>
  <c r="M475" i="1"/>
  <c r="M474" i="1"/>
  <c r="V99" i="10"/>
  <c r="D140" i="16"/>
  <c r="M138" i="16"/>
  <c r="D3" i="10"/>
  <c r="D101" i="10"/>
  <c r="E173" i="16"/>
  <c r="E170" i="16"/>
  <c r="E174" i="16"/>
  <c r="E53" i="7"/>
  <c r="H156" i="1"/>
  <c r="H157" i="1" s="1"/>
  <c r="H17" i="14"/>
  <c r="H61" i="14" s="1"/>
  <c r="AR63" i="5"/>
  <c r="J331" i="1"/>
  <c r="M223" i="1"/>
  <c r="M137" i="1" s="1"/>
  <c r="N221" i="1"/>
  <c r="W477" i="1"/>
  <c r="W479" i="1" s="1"/>
  <c r="C1016" i="16"/>
  <c r="H1017" i="16"/>
  <c r="G66" i="13"/>
  <c r="G65" i="13"/>
  <c r="H101" i="10"/>
  <c r="H3" i="10"/>
  <c r="F525" i="16"/>
  <c r="F546" i="16" s="1"/>
  <c r="G504" i="16"/>
  <c r="K66" i="12"/>
  <c r="K83" i="12" s="1"/>
  <c r="V93" i="10"/>
  <c r="K8" i="12"/>
  <c r="J11" i="12"/>
  <c r="J12" i="12" s="1"/>
  <c r="J10" i="12"/>
  <c r="M301" i="1"/>
  <c r="M165" i="1" s="1"/>
  <c r="S112" i="18" s="1"/>
  <c r="D1806" i="16"/>
  <c r="I1799" i="16" s="1"/>
  <c r="E1029" i="16"/>
  <c r="J1029" i="16" s="1"/>
  <c r="J1016" i="16"/>
  <c r="G5" i="25"/>
  <c r="H20" i="25"/>
  <c r="G29" i="25"/>
  <c r="I30" i="13"/>
  <c r="J30" i="13"/>
  <c r="F240" i="16"/>
  <c r="C154" i="12"/>
  <c r="D58" i="14"/>
  <c r="L60" i="12"/>
  <c r="L77" i="12" s="1"/>
  <c r="X48" i="11"/>
  <c r="F23" i="22"/>
  <c r="N238" i="10"/>
  <c r="H1694" i="16" s="1"/>
  <c r="N229" i="10"/>
  <c r="D657" i="16"/>
  <c r="D660" i="16" s="1"/>
  <c r="N240" i="10"/>
  <c r="C219" i="14"/>
  <c r="G78" i="25"/>
  <c r="H79" i="25"/>
  <c r="K61" i="12"/>
  <c r="K78" i="12" s="1"/>
  <c r="AC13" i="18"/>
  <c r="E21" i="26"/>
  <c r="M280" i="10"/>
  <c r="N282" i="10"/>
  <c r="L326" i="1"/>
  <c r="L446" i="1"/>
  <c r="L526" i="1" s="1"/>
  <c r="L182" i="1"/>
  <c r="T487" i="1"/>
  <c r="T488" i="1" s="1"/>
  <c r="T461" i="1"/>
  <c r="U456" i="1"/>
  <c r="T494" i="1"/>
  <c r="G1135" i="16"/>
  <c r="C1134" i="16"/>
  <c r="G1134" i="16" s="1"/>
  <c r="T533" i="1"/>
  <c r="T41" i="1"/>
  <c r="U2" i="1"/>
  <c r="U4" i="1" s="1"/>
  <c r="E195" i="16"/>
  <c r="I188" i="16"/>
  <c r="AA133" i="18"/>
  <c r="BN14" i="5"/>
  <c r="C2727" i="16"/>
  <c r="O2727" i="16" s="1"/>
  <c r="G681" i="16"/>
  <c r="Q77" i="11"/>
  <c r="D171" i="16" s="1"/>
  <c r="Q78" i="11"/>
  <c r="D169" i="16"/>
  <c r="D173" i="16" s="1"/>
  <c r="D489" i="16"/>
  <c r="D151" i="16"/>
  <c r="I1822" i="16"/>
  <c r="F253" i="10"/>
  <c r="F254" i="10" s="1"/>
  <c r="X22" i="18"/>
  <c r="R421" i="1"/>
  <c r="R420" i="1"/>
  <c r="H1822" i="16"/>
  <c r="N948" i="16"/>
  <c r="M948" i="16"/>
  <c r="K158" i="12"/>
  <c r="S258" i="1"/>
  <c r="R292" i="1"/>
  <c r="R301" i="1" s="1"/>
  <c r="R165" i="1" s="1"/>
  <c r="X112" i="18" s="1"/>
  <c r="K35" i="7"/>
  <c r="K20" i="7"/>
  <c r="H2234" i="16"/>
  <c r="G2243" i="16"/>
  <c r="I125" i="14"/>
  <c r="I124" i="14" s="1"/>
  <c r="J32" i="13"/>
  <c r="J54" i="13" s="1"/>
  <c r="J105" i="10"/>
  <c r="I51" i="13"/>
  <c r="F242" i="16" s="1"/>
  <c r="CM16" i="5"/>
  <c r="N133" i="10"/>
  <c r="N109" i="10" s="1"/>
  <c r="M109" i="10"/>
  <c r="W109" i="11"/>
  <c r="W86" i="11" s="1"/>
  <c r="V110" i="11"/>
  <c r="I185" i="16" s="1"/>
  <c r="V86" i="11"/>
  <c r="J56" i="25"/>
  <c r="H2558" i="16"/>
  <c r="I128" i="14"/>
  <c r="I127" i="14" s="1"/>
  <c r="J35" i="7"/>
  <c r="J20" i="7"/>
  <c r="N80" i="14"/>
  <c r="N91" i="14" s="1"/>
  <c r="AG91" i="14" s="1"/>
  <c r="N82" i="14"/>
  <c r="N92" i="14"/>
  <c r="J1820" i="16"/>
  <c r="L69" i="14"/>
  <c r="AH6" i="14"/>
  <c r="D2565" i="16"/>
  <c r="F333" i="1"/>
  <c r="F450" i="1" s="1"/>
  <c r="F452" i="1" s="1"/>
  <c r="F525" i="1" s="1"/>
  <c r="F336" i="1"/>
  <c r="F340" i="1" s="1"/>
  <c r="F334" i="1"/>
  <c r="M6" i="16"/>
  <c r="G156" i="12"/>
  <c r="G157" i="12" s="1"/>
  <c r="CN7" i="5"/>
  <c r="V479" i="1"/>
  <c r="H1821" i="16"/>
  <c r="F1806" i="16"/>
  <c r="K1804" i="16" s="1"/>
  <c r="F144" i="25"/>
  <c r="E219" i="25"/>
  <c r="E145" i="25"/>
  <c r="E143" i="25"/>
  <c r="C2584" i="16"/>
  <c r="K193" i="13"/>
  <c r="S138" i="13"/>
  <c r="K250" i="13" s="1"/>
  <c r="S71" i="13"/>
  <c r="K194" i="13" s="1"/>
  <c r="T138" i="13"/>
  <c r="L250" i="13" s="1"/>
  <c r="K158" i="13"/>
  <c r="L158" i="13" s="1"/>
  <c r="M158" i="13" s="1"/>
  <c r="N158" i="13" s="1"/>
  <c r="O158" i="13" s="1"/>
  <c r="P158" i="13" s="1"/>
  <c r="Q158" i="13" s="1"/>
  <c r="R158" i="13" s="1"/>
  <c r="S158" i="13" s="1"/>
  <c r="T158" i="13" s="1"/>
  <c r="U158" i="13" s="1"/>
  <c r="V158" i="13" s="1"/>
  <c r="W158" i="13" s="1"/>
  <c r="X158" i="13" s="1"/>
  <c r="Y158" i="13" s="1"/>
  <c r="Z158" i="13" s="1"/>
  <c r="AA158" i="13" s="1"/>
  <c r="J160" i="13"/>
  <c r="H37" i="13"/>
  <c r="H10" i="13"/>
  <c r="L279" i="1"/>
  <c r="L277" i="1" s="1"/>
  <c r="L138" i="1" s="1"/>
  <c r="L140" i="1" s="1"/>
  <c r="L91" i="14"/>
  <c r="AE91" i="14" s="1"/>
  <c r="L101" i="14"/>
  <c r="L106" i="14" s="1"/>
  <c r="L111" i="14" s="1"/>
  <c r="L112" i="14" s="1"/>
  <c r="T74" i="10"/>
  <c r="S80" i="10"/>
  <c r="J233" i="13"/>
  <c r="S112" i="13"/>
  <c r="R114" i="13"/>
  <c r="J235" i="13" s="1"/>
  <c r="Y87" i="11"/>
  <c r="I101" i="10"/>
  <c r="I3" i="10"/>
  <c r="D1830" i="16"/>
  <c r="I1828" i="16" s="1"/>
  <c r="I264" i="16"/>
  <c r="C1482" i="16"/>
  <c r="O537" i="1"/>
  <c r="O580" i="1" s="1"/>
  <c r="N36" i="14"/>
  <c r="O39" i="14" s="1"/>
  <c r="N37" i="14"/>
  <c r="N38" i="14" s="1"/>
  <c r="F1514" i="16" s="1"/>
  <c r="N35" i="14"/>
  <c r="F84" i="25"/>
  <c r="F92" i="25"/>
  <c r="F114" i="25" s="1"/>
  <c r="N77" i="10"/>
  <c r="W518" i="1"/>
  <c r="I223" i="13"/>
  <c r="R103" i="13"/>
  <c r="K80" i="14"/>
  <c r="K92" i="14"/>
  <c r="N187" i="1"/>
  <c r="M186" i="1"/>
  <c r="D441" i="16"/>
  <c r="C410" i="16"/>
  <c r="D1016" i="16"/>
  <c r="I1017" i="16"/>
  <c r="O1" i="10"/>
  <c r="O167" i="10" s="1"/>
  <c r="F1477" i="16"/>
  <c r="F1484" i="16" s="1"/>
  <c r="N731" i="16"/>
  <c r="I90" i="14"/>
  <c r="I100" i="14"/>
  <c r="G78" i="14"/>
  <c r="G84" i="14" s="1"/>
  <c r="G89" i="14" s="1"/>
  <c r="G94" i="14" s="1"/>
  <c r="G99" i="14" s="1"/>
  <c r="G104" i="14" s="1"/>
  <c r="G109" i="14" s="1"/>
  <c r="S85" i="10"/>
  <c r="R60" i="10"/>
  <c r="Q45" i="11"/>
  <c r="Q61" i="11" s="1"/>
  <c r="Q58" i="11" s="1"/>
  <c r="D481" i="16" s="1"/>
  <c r="D474" i="16"/>
  <c r="F129" i="12"/>
  <c r="F120" i="12"/>
  <c r="N50" i="14"/>
  <c r="E1145" i="16"/>
  <c r="I1145" i="16" s="1"/>
  <c r="U501" i="1"/>
  <c r="U499" i="1"/>
  <c r="V503" i="1"/>
  <c r="U500" i="1"/>
  <c r="U498" i="1"/>
  <c r="U505" i="1"/>
  <c r="P492" i="1"/>
  <c r="P509" i="1" s="1"/>
  <c r="Q488" i="1"/>
  <c r="P488" i="1"/>
  <c r="U59" i="14"/>
  <c r="T61" i="14"/>
  <c r="J124" i="10"/>
  <c r="N539" i="1"/>
  <c r="N582" i="1" s="1"/>
  <c r="V135" i="10"/>
  <c r="L11" i="19"/>
  <c r="O163" i="13"/>
  <c r="H10" i="19"/>
  <c r="K147" i="13"/>
  <c r="K148" i="13"/>
  <c r="H124" i="10"/>
  <c r="G253" i="1"/>
  <c r="T316" i="1"/>
  <c r="J73" i="12"/>
  <c r="J74" i="12" s="1"/>
  <c r="H90" i="12"/>
  <c r="R18" i="12"/>
  <c r="R14" i="12"/>
  <c r="M67" i="12"/>
  <c r="T8" i="10"/>
  <c r="H2500" i="16" s="1"/>
  <c r="U4" i="10"/>
  <c r="T18" i="10"/>
  <c r="Y515" i="1"/>
  <c r="X34" i="1"/>
  <c r="Q249" i="10"/>
  <c r="Q250" i="10" s="1"/>
  <c r="Q228" i="10"/>
  <c r="Q240" i="10" s="1"/>
  <c r="Q14" i="12"/>
  <c r="Q18" i="12"/>
  <c r="Q21" i="12"/>
  <c r="Q22" i="12" s="1"/>
  <c r="G1129" i="16"/>
  <c r="C1128" i="16"/>
  <c r="G1128" i="16" s="1"/>
  <c r="L59" i="25"/>
  <c r="K140" i="12"/>
  <c r="H189" i="13"/>
  <c r="N124" i="10"/>
  <c r="Y45" i="5"/>
  <c r="Y47" i="5" s="1"/>
  <c r="Y22" i="18"/>
  <c r="S421" i="1"/>
  <c r="S420" i="1"/>
  <c r="Z18" i="18"/>
  <c r="D2210" i="16"/>
  <c r="D2228" i="16" s="1"/>
  <c r="E1766" i="16"/>
  <c r="E1787" i="16" s="1"/>
  <c r="T285" i="1"/>
  <c r="T295" i="1"/>
  <c r="T6" i="1"/>
  <c r="T288" i="1"/>
  <c r="F2238" i="16"/>
  <c r="F2244" i="16" s="1"/>
  <c r="G2237" i="16"/>
  <c r="AC31" i="11"/>
  <c r="K68" i="12"/>
  <c r="S127" i="10"/>
  <c r="N23" i="18"/>
  <c r="N24" i="18" s="1"/>
  <c r="H162" i="1"/>
  <c r="H118" i="1"/>
  <c r="H124" i="1"/>
  <c r="F89" i="25"/>
  <c r="F95" i="25"/>
  <c r="D2557" i="16"/>
  <c r="J1821" i="16"/>
  <c r="E1830" i="16"/>
  <c r="J1827" i="16" s="1"/>
  <c r="H1381" i="16"/>
  <c r="I1375" i="16"/>
  <c r="H119" i="25"/>
  <c r="H112" i="25" s="1"/>
  <c r="H64" i="25"/>
  <c r="I2" i="25"/>
  <c r="S60" i="11"/>
  <c r="S61" i="11"/>
  <c r="S62" i="11" s="1"/>
  <c r="T62" i="11" s="1"/>
  <c r="T60" i="11"/>
  <c r="N101" i="14"/>
  <c r="N106" i="14" s="1"/>
  <c r="N111" i="14" s="1"/>
  <c r="N112" i="14" s="1"/>
  <c r="V18" i="18"/>
  <c r="E138" i="14"/>
  <c r="E158" i="14"/>
  <c r="E2182" i="16"/>
  <c r="E512" i="16"/>
  <c r="E554" i="16" s="1"/>
  <c r="D1035" i="16"/>
  <c r="P288" i="1"/>
  <c r="P285" i="1"/>
  <c r="P6" i="1"/>
  <c r="P295" i="1"/>
  <c r="P291" i="1"/>
  <c r="P259" i="1"/>
  <c r="P298" i="1"/>
  <c r="S26" i="10"/>
  <c r="S43" i="10"/>
  <c r="E475" i="16"/>
  <c r="E476" i="16"/>
  <c r="K101" i="10"/>
  <c r="K3" i="10"/>
  <c r="D1567" i="16"/>
  <c r="D1570" i="16" s="1"/>
  <c r="H1467" i="16"/>
  <c r="H1473" i="16"/>
  <c r="P1473" i="16"/>
  <c r="H1453" i="16"/>
  <c r="J100" i="14"/>
  <c r="J90" i="14"/>
  <c r="S76" i="10"/>
  <c r="S77" i="10" s="1"/>
  <c r="S86" i="10"/>
  <c r="S62" i="10"/>
  <c r="S58" i="10"/>
  <c r="T70" i="10"/>
  <c r="T95" i="10" s="1"/>
  <c r="S68" i="10"/>
  <c r="Q120" i="10"/>
  <c r="K37" i="14"/>
  <c r="K35" i="14"/>
  <c r="K36" i="14"/>
  <c r="E149" i="14"/>
  <c r="S492" i="1"/>
  <c r="S509" i="1" s="1"/>
  <c r="S511" i="1" s="1"/>
  <c r="O540" i="1"/>
  <c r="O583" i="1" s="1"/>
  <c r="G76" i="25"/>
  <c r="H75" i="25"/>
  <c r="I22" i="22"/>
  <c r="Q209" i="10"/>
  <c r="V23" i="11"/>
  <c r="L30" i="12"/>
  <c r="K29" i="12"/>
  <c r="K33" i="12" s="1"/>
  <c r="N53" i="14"/>
  <c r="D187" i="14"/>
  <c r="E187" i="14" s="1"/>
  <c r="E185" i="14" s="1"/>
  <c r="J1822" i="16"/>
  <c r="AC47" i="14"/>
  <c r="AD45" i="14"/>
  <c r="E3134" i="3"/>
  <c r="E3125" i="3"/>
  <c r="E3130" i="3" s="1"/>
  <c r="S4" i="18"/>
  <c r="C170" i="12"/>
  <c r="C171" i="12" s="1"/>
  <c r="C173" i="12" s="1"/>
  <c r="H175" i="12"/>
  <c r="K179" i="13"/>
  <c r="K180" i="13" s="1"/>
  <c r="E121" i="12"/>
  <c r="S290" i="1"/>
  <c r="S292" i="1" s="1"/>
  <c r="S301" i="1" s="1"/>
  <c r="S165" i="1" s="1"/>
  <c r="Y112" i="18" s="1"/>
  <c r="E153" i="16"/>
  <c r="E158" i="16"/>
  <c r="T298" i="1"/>
  <c r="E79" i="14"/>
  <c r="E85" i="14" s="1"/>
  <c r="E110" i="14"/>
  <c r="M253" i="1"/>
  <c r="H253" i="1"/>
  <c r="I40" i="13"/>
  <c r="G161" i="10"/>
  <c r="G162" i="10" s="1"/>
  <c r="Y51" i="5"/>
  <c r="Y16" i="5"/>
  <c r="Y56" i="5" s="1"/>
  <c r="AD189" i="5"/>
  <c r="AD18" i="5"/>
  <c r="AD58" i="5" s="1"/>
  <c r="Y20" i="5"/>
  <c r="AD19" i="5" s="1"/>
  <c r="CX16" i="5"/>
  <c r="I39" i="28" s="1"/>
  <c r="U303" i="5"/>
  <c r="G184" i="10"/>
  <c r="X18" i="5"/>
  <c r="X58" i="5" s="1"/>
  <c r="CX139" i="5"/>
  <c r="AO32" i="5"/>
  <c r="AO59" i="5" s="1"/>
  <c r="BA49" i="5"/>
  <c r="H182" i="10"/>
  <c r="H183" i="10" s="1"/>
  <c r="AI56" i="5"/>
  <c r="I64" i="28" s="1"/>
  <c r="AI18" i="5"/>
  <c r="N48" i="1"/>
  <c r="M78" i="1"/>
  <c r="Z7" i="5"/>
  <c r="Z20" i="5" s="1"/>
  <c r="M54" i="1"/>
  <c r="E314" i="16" s="1"/>
  <c r="AH58" i="5"/>
  <c r="BB49" i="5"/>
  <c r="AP248" i="5"/>
  <c r="V91" i="28" s="1"/>
  <c r="H59" i="5"/>
  <c r="BH58" i="5"/>
  <c r="H58" i="5"/>
  <c r="CD293" i="5"/>
  <c r="J78" i="5"/>
  <c r="J79" i="5" s="1"/>
  <c r="J81" i="5"/>
  <c r="CW154" i="5"/>
  <c r="AQ49" i="5"/>
  <c r="DL19" i="5"/>
  <c r="T42" i="28" s="1"/>
  <c r="AW19" i="5"/>
  <c r="DL18" i="5"/>
  <c r="T41" i="28" s="1"/>
  <c r="CI294" i="5"/>
  <c r="AD5" i="14"/>
  <c r="M199" i="16"/>
  <c r="G9" i="14"/>
  <c r="D203" i="16"/>
  <c r="O37" i="10"/>
  <c r="C2489" i="16" s="1"/>
  <c r="O22" i="10"/>
  <c r="O40" i="10" s="1"/>
  <c r="I12" i="14"/>
  <c r="H14" i="14"/>
  <c r="I15" i="14"/>
  <c r="BF149" i="5"/>
  <c r="BF156" i="5" s="1"/>
  <c r="BF170" i="5"/>
  <c r="BF59" i="5"/>
  <c r="AA66" i="28" s="1"/>
  <c r="DU32" i="5"/>
  <c r="DU18" i="5"/>
  <c r="K65" i="13"/>
  <c r="L65" i="13"/>
  <c r="K66" i="13"/>
  <c r="BF58" i="5"/>
  <c r="M59" i="5"/>
  <c r="CB32" i="5"/>
  <c r="DV18" i="5"/>
  <c r="AM32" i="5"/>
  <c r="AN169" i="5" s="1"/>
  <c r="DB30" i="5"/>
  <c r="AA81" i="5"/>
  <c r="AA78" i="5"/>
  <c r="AA79" i="5" s="1"/>
  <c r="BC56" i="5"/>
  <c r="Y64" i="28" s="1"/>
  <c r="BC34" i="5"/>
  <c r="BC30" i="5"/>
  <c r="DR28" i="5"/>
  <c r="DW28" i="5"/>
  <c r="AC149" i="5"/>
  <c r="AC59" i="5"/>
  <c r="D66" i="28" s="1"/>
  <c r="CR32" i="5"/>
  <c r="AL59" i="5"/>
  <c r="K66" i="28" s="1"/>
  <c r="AL149" i="5"/>
  <c r="DA32" i="5"/>
  <c r="AL35" i="5"/>
  <c r="F42" i="14"/>
  <c r="AF190" i="5"/>
  <c r="CU18" i="5"/>
  <c r="F41" i="28" s="1"/>
  <c r="CZ18" i="5"/>
  <c r="J41" i="28" s="1"/>
  <c r="L830" i="16"/>
  <c r="K830" i="16"/>
  <c r="J830" i="16"/>
  <c r="AW78" i="5"/>
  <c r="AW79" i="5" s="1"/>
  <c r="AW74" i="5"/>
  <c r="E59" i="14"/>
  <c r="E62" i="14"/>
  <c r="N59" i="5"/>
  <c r="CC32" i="5"/>
  <c r="CI30" i="5"/>
  <c r="T32" i="5"/>
  <c r="CN32" i="5" s="1"/>
  <c r="O81" i="5"/>
  <c r="O78" i="5"/>
  <c r="O79" i="5" s="1"/>
  <c r="S141" i="18"/>
  <c r="S154" i="18" s="1"/>
  <c r="I208" i="10"/>
  <c r="M81" i="1"/>
  <c r="M114" i="1"/>
  <c r="E50" i="9" s="1"/>
  <c r="BG78" i="5"/>
  <c r="BG74" i="5"/>
  <c r="L1407" i="16"/>
  <c r="C1411" i="16"/>
  <c r="U30" i="5"/>
  <c r="U32" i="5" s="1"/>
  <c r="U34" i="5"/>
  <c r="L70" i="1"/>
  <c r="L91" i="13"/>
  <c r="O189" i="10"/>
  <c r="O190" i="10" s="1"/>
  <c r="P191" i="10"/>
  <c r="E34" i="14"/>
  <c r="E29" i="14"/>
  <c r="E81" i="14"/>
  <c r="E23" i="14"/>
  <c r="C257" i="16" s="1"/>
  <c r="E42" i="14"/>
  <c r="BC47" i="5"/>
  <c r="BC48" i="5" s="1"/>
  <c r="BC49" i="5" s="1"/>
  <c r="BC46" i="5"/>
  <c r="EY44" i="5"/>
  <c r="CH294" i="5"/>
  <c r="J66" i="13"/>
  <c r="J65" i="13"/>
  <c r="H86" i="14"/>
  <c r="CB18" i="5"/>
  <c r="S140" i="18"/>
  <c r="S153" i="18" s="1"/>
  <c r="K93" i="13"/>
  <c r="M80" i="1"/>
  <c r="M113" i="1"/>
  <c r="AB149" i="5"/>
  <c r="AB59" i="5"/>
  <c r="C66" i="28" s="1"/>
  <c r="CQ32" i="5"/>
  <c r="AU248" i="5"/>
  <c r="Z91" i="28" s="1"/>
  <c r="M72" i="1"/>
  <c r="M12" i="1" s="1"/>
  <c r="DK18" i="5"/>
  <c r="S41" i="28" s="1"/>
  <c r="DK19" i="5"/>
  <c r="S42" i="28" s="1"/>
  <c r="AV19" i="5"/>
  <c r="G253" i="10"/>
  <c r="G254" i="10" s="1"/>
  <c r="AS47" i="5"/>
  <c r="AS48" i="5" s="1"/>
  <c r="AS49" i="5" s="1"/>
  <c r="DH45" i="5"/>
  <c r="M163" i="13"/>
  <c r="J11" i="19"/>
  <c r="AL169" i="5"/>
  <c r="AH59" i="5"/>
  <c r="H66" i="28" s="1"/>
  <c r="AH149" i="5"/>
  <c r="CW32" i="5"/>
  <c r="AU78" i="5"/>
  <c r="AU79" i="5" s="1"/>
  <c r="AU74" i="5"/>
  <c r="U16" i="5"/>
  <c r="U56" i="5" s="1"/>
  <c r="CJ7" i="5"/>
  <c r="U51" i="5"/>
  <c r="BH78" i="5"/>
  <c r="BH74" i="5"/>
  <c r="AQ71" i="5"/>
  <c r="DF34" i="5"/>
  <c r="AD71" i="5"/>
  <c r="CS34" i="5"/>
  <c r="AV58" i="5"/>
  <c r="F86" i="14"/>
  <c r="N78" i="5"/>
  <c r="N79" i="5" s="1"/>
  <c r="N81" i="5"/>
  <c r="DB34" i="5"/>
  <c r="AM71" i="5"/>
  <c r="BD58" i="5"/>
  <c r="BD32" i="5"/>
  <c r="BD59" i="5" s="1"/>
  <c r="R141" i="18"/>
  <c r="R154" i="18" s="1"/>
  <c r="H208" i="10"/>
  <c r="L114" i="1"/>
  <c r="D50" i="9" s="1"/>
  <c r="L81" i="1"/>
  <c r="AI74" i="5"/>
  <c r="AI78" i="5"/>
  <c r="AI79" i="5" s="1"/>
  <c r="AX71" i="5"/>
  <c r="DK34" i="5"/>
  <c r="L79" i="1"/>
  <c r="M190" i="5"/>
  <c r="AC169" i="5"/>
  <c r="X4" i="28" s="1"/>
  <c r="AR19" i="5"/>
  <c r="L33" i="21"/>
  <c r="L36" i="21" s="1"/>
  <c r="L37" i="21" s="1"/>
  <c r="P205" i="10"/>
  <c r="I10" i="19"/>
  <c r="L147" i="13"/>
  <c r="L148" i="13"/>
  <c r="L150" i="13"/>
  <c r="CS30" i="5"/>
  <c r="CX30" i="5"/>
  <c r="AD32" i="5"/>
  <c r="AG169" i="5" s="1"/>
  <c r="AA4" i="28" s="1"/>
  <c r="AK169" i="5"/>
  <c r="AG59" i="5"/>
  <c r="G66" i="28" s="1"/>
  <c r="AG149" i="5"/>
  <c r="CV32" i="5"/>
  <c r="L78" i="5"/>
  <c r="L79" i="5" s="1"/>
  <c r="L81" i="5"/>
  <c r="AS18" i="5"/>
  <c r="DM19" i="5" s="1"/>
  <c r="U42" i="28" s="1"/>
  <c r="DH16" i="5"/>
  <c r="Q39" i="28" s="1"/>
  <c r="R140" i="18"/>
  <c r="R153" i="18" s="1"/>
  <c r="J93" i="13"/>
  <c r="L113" i="1"/>
  <c r="L80" i="1"/>
  <c r="DP19" i="5"/>
  <c r="DP18" i="5"/>
  <c r="AF149" i="5"/>
  <c r="AI169" i="5"/>
  <c r="AC4" i="28" s="1"/>
  <c r="AF59" i="5"/>
  <c r="F66" i="28" s="1"/>
  <c r="CU32" i="5"/>
  <c r="BB78" i="5"/>
  <c r="BB79" i="5" s="1"/>
  <c r="BB74" i="5"/>
  <c r="DF30" i="5"/>
  <c r="I1651" i="16" s="1"/>
  <c r="AQ58" i="5"/>
  <c r="D1651" i="16"/>
  <c r="AQ32" i="5"/>
  <c r="DK32" i="5" s="1"/>
  <c r="AV149" i="5"/>
  <c r="AV156" i="5" s="1"/>
  <c r="AV59" i="5"/>
  <c r="S66" i="28" s="1"/>
  <c r="AG74" i="5"/>
  <c r="AG78" i="5"/>
  <c r="AG79" i="5" s="1"/>
  <c r="F59" i="14"/>
  <c r="F62" i="14"/>
  <c r="AV78" i="5"/>
  <c r="AV79" i="5" s="1"/>
  <c r="AV74" i="5"/>
  <c r="I66" i="13"/>
  <c r="I65" i="13"/>
  <c r="AW149" i="5"/>
  <c r="AW156" i="5" s="1"/>
  <c r="AW59" i="5"/>
  <c r="T66" i="28" s="1"/>
  <c r="S59" i="5"/>
  <c r="CH32" i="5"/>
  <c r="Y188" i="5"/>
  <c r="Y189" i="5" s="1"/>
  <c r="DQ19" i="5"/>
  <c r="DQ18" i="5"/>
  <c r="Q18" i="18"/>
  <c r="K285" i="1"/>
  <c r="K259" i="1"/>
  <c r="K298" i="1"/>
  <c r="K421" i="1"/>
  <c r="K6" i="1"/>
  <c r="K288" i="1"/>
  <c r="K291" i="1"/>
  <c r="C212" i="16"/>
  <c r="C217" i="16" s="1"/>
  <c r="K295" i="1"/>
  <c r="AB169" i="5"/>
  <c r="W4" i="28" s="1"/>
  <c r="CM32" i="5"/>
  <c r="H9" i="14"/>
  <c r="E203" i="16"/>
  <c r="AE5" i="14"/>
  <c r="N199" i="16"/>
  <c r="FC17" i="5"/>
  <c r="EU69" i="5"/>
  <c r="CI16" i="5"/>
  <c r="T18" i="5"/>
  <c r="Y71" i="5"/>
  <c r="CN34" i="5"/>
  <c r="BB59" i="5"/>
  <c r="X66" i="28" s="1"/>
  <c r="BB149" i="5"/>
  <c r="DQ32" i="5"/>
  <c r="S81" i="5"/>
  <c r="S78" i="5"/>
  <c r="S79" i="5" s="1"/>
  <c r="Q81" i="5"/>
  <c r="Q78" i="5"/>
  <c r="Q79" i="5" s="1"/>
  <c r="CV18" i="5"/>
  <c r="G41" i="28" s="1"/>
  <c r="AG6" i="5"/>
  <c r="F48" i="14"/>
  <c r="F56" i="14"/>
  <c r="G56" i="14" s="1"/>
  <c r="H56" i="14" s="1"/>
  <c r="F24" i="14"/>
  <c r="D258" i="16" s="1"/>
  <c r="AX58" i="5"/>
  <c r="AX32" i="5"/>
  <c r="BA169" i="5" s="1"/>
  <c r="H1640" i="16"/>
  <c r="Z30" i="5"/>
  <c r="Z32" i="5" s="1"/>
  <c r="Z34" i="5"/>
  <c r="M70" i="1"/>
  <c r="AU59" i="5"/>
  <c r="R66" i="28" s="1"/>
  <c r="AU149" i="5"/>
  <c r="AU156" i="5" s="1"/>
  <c r="DJ32" i="5"/>
  <c r="BA58" i="5"/>
  <c r="DO32" i="5"/>
  <c r="DC139" i="5"/>
  <c r="E316" i="16"/>
  <c r="E317" i="16" s="1"/>
  <c r="H65" i="13"/>
  <c r="H66" i="13"/>
  <c r="AQ19" i="5"/>
  <c r="DF19" i="5" s="1"/>
  <c r="O42" i="28" s="1"/>
  <c r="DF18" i="5"/>
  <c r="O41" i="28" s="1"/>
  <c r="D1642" i="16"/>
  <c r="I9" i="14"/>
  <c r="F203" i="16"/>
  <c r="AF5" i="14"/>
  <c r="DM16" i="5"/>
  <c r="U39" i="28" s="1"/>
  <c r="P18" i="18"/>
  <c r="J421" i="1"/>
  <c r="J291" i="1"/>
  <c r="J259" i="1"/>
  <c r="J295" i="1"/>
  <c r="J285" i="1"/>
  <c r="J298" i="1"/>
  <c r="J6" i="1"/>
  <c r="J288" i="1"/>
  <c r="AZ78" i="5"/>
  <c r="AZ79" i="5" s="1"/>
  <c r="AZ74" i="5"/>
  <c r="I170" i="10"/>
  <c r="H171" i="10"/>
  <c r="H213" i="10"/>
  <c r="DJ19" i="5"/>
  <c r="R42" i="28" s="1"/>
  <c r="AU19" i="5"/>
  <c r="DJ18" i="5"/>
  <c r="R41" i="28" s="1"/>
  <c r="AP149" i="5"/>
  <c r="AP59" i="5"/>
  <c r="N66" i="28" s="1"/>
  <c r="DE32" i="5"/>
  <c r="H1653" i="16" s="1"/>
  <c r="C1653" i="16"/>
  <c r="F34" i="14"/>
  <c r="F81" i="14"/>
  <c r="F23" i="14"/>
  <c r="D257" i="16" s="1"/>
  <c r="DO19" i="5"/>
  <c r="DO18" i="5"/>
  <c r="DT18" i="5"/>
  <c r="AY58" i="5"/>
  <c r="AY32" i="5"/>
  <c r="AY59" i="5" s="1"/>
  <c r="K69" i="1"/>
  <c r="K8" i="1"/>
  <c r="K73" i="1"/>
  <c r="K83" i="1"/>
  <c r="DP32" i="5"/>
  <c r="Q59" i="5"/>
  <c r="CF32" i="5"/>
  <c r="D312" i="16"/>
  <c r="G11" i="14"/>
  <c r="L47" i="1"/>
  <c r="DA18" i="5"/>
  <c r="K41" i="28" s="1"/>
  <c r="AK59" i="5"/>
  <c r="J66" i="28" s="1"/>
  <c r="AK149" i="5"/>
  <c r="CZ32" i="5"/>
  <c r="AK35" i="5"/>
  <c r="BE149" i="5"/>
  <c r="BE156" i="5" s="1"/>
  <c r="BE170" i="5"/>
  <c r="BE59" i="5"/>
  <c r="Z66" i="28" s="1"/>
  <c r="DT32" i="5"/>
  <c r="BH169" i="5"/>
  <c r="CS187" i="5"/>
  <c r="AU58" i="5"/>
  <c r="AW58" i="5"/>
  <c r="BE78" i="5"/>
  <c r="BE74" i="5"/>
  <c r="H212" i="10"/>
  <c r="H206" i="10"/>
  <c r="T56" i="5"/>
  <c r="AR71" i="5"/>
  <c r="DG34" i="5"/>
  <c r="AZ59" i="5"/>
  <c r="V66" i="28" s="1"/>
  <c r="CK294" i="5"/>
  <c r="J168" i="10"/>
  <c r="I199" i="10"/>
  <c r="Z297" i="5" s="1"/>
  <c r="Z258" i="5"/>
  <c r="Z96" i="5"/>
  <c r="AA169" i="5"/>
  <c r="V4" i="28" s="1"/>
  <c r="CL32" i="5"/>
  <c r="W78" i="5"/>
  <c r="W79" i="5" s="1"/>
  <c r="W81" i="5"/>
  <c r="G86" i="14"/>
  <c r="I1640" i="16"/>
  <c r="CG32" i="5"/>
  <c r="R59" i="5"/>
  <c r="AX19" i="5"/>
  <c r="AZ49" i="5"/>
  <c r="I172" i="10"/>
  <c r="H173" i="10"/>
  <c r="V81" i="5"/>
  <c r="V78" i="5"/>
  <c r="V79" i="5" s="1"/>
  <c r="AC5" i="14"/>
  <c r="L199" i="16"/>
  <c r="F9" i="14"/>
  <c r="C203" i="16"/>
  <c r="AL74" i="5"/>
  <c r="AL78" i="5"/>
  <c r="AL79" i="5" s="1"/>
  <c r="AL82" i="5"/>
  <c r="F156" i="12"/>
  <c r="G17" i="14"/>
  <c r="AE58" i="5"/>
  <c r="AE32" i="5"/>
  <c r="AE59" i="5" s="1"/>
  <c r="P58" i="5"/>
  <c r="P32" i="5"/>
  <c r="P59" i="5" s="1"/>
  <c r="CD32" i="5"/>
  <c r="O59" i="5"/>
  <c r="X81" i="5"/>
  <c r="X78" i="5"/>
  <c r="X79" i="5" s="1"/>
  <c r="CL294" i="5"/>
  <c r="G206" i="10"/>
  <c r="CC294" i="5"/>
  <c r="AP19" i="5"/>
  <c r="DE18" i="5"/>
  <c r="N41" i="28" s="1"/>
  <c r="C1642" i="16"/>
  <c r="BI239" i="5"/>
  <c r="BJ122" i="5" s="1"/>
  <c r="T71" i="5"/>
  <c r="CI34" i="5"/>
  <c r="AR58" i="5"/>
  <c r="DG30" i="5"/>
  <c r="AR32" i="5"/>
  <c r="T502" i="1" l="1"/>
  <c r="C137" i="14"/>
  <c r="C220" i="14" s="1"/>
  <c r="AE139" i="18"/>
  <c r="O23" i="18"/>
  <c r="O24" i="18" s="1"/>
  <c r="C215" i="14"/>
  <c r="C216" i="14" s="1"/>
  <c r="C172" i="14"/>
  <c r="P47" i="9"/>
  <c r="K87" i="10"/>
  <c r="K99" i="10" s="1"/>
  <c r="K69" i="10"/>
  <c r="K94" i="10" s="1"/>
  <c r="L732" i="16"/>
  <c r="I124" i="1"/>
  <c r="I162" i="1"/>
  <c r="O109" i="18" s="1"/>
  <c r="R59" i="10"/>
  <c r="Q84" i="10"/>
  <c r="R84" i="10" s="1"/>
  <c r="Q69" i="10"/>
  <c r="Q94" i="10" s="1"/>
  <c r="J102" i="25"/>
  <c r="J116" i="25" s="1"/>
  <c r="G2548" i="16"/>
  <c r="D342" i="1"/>
  <c r="D344" i="1" s="1"/>
  <c r="D345" i="1" s="1"/>
  <c r="M238" i="10"/>
  <c r="G1694" i="16" s="1"/>
  <c r="M229" i="10"/>
  <c r="M230" i="10" s="1"/>
  <c r="D157" i="12"/>
  <c r="R491" i="1"/>
  <c r="O50" i="7" s="1"/>
  <c r="S508" i="1"/>
  <c r="U467" i="1"/>
  <c r="V466" i="1"/>
  <c r="W466" i="1" s="1"/>
  <c r="S504" i="1"/>
  <c r="H147" i="13"/>
  <c r="AE146" i="18"/>
  <c r="AE152" i="18" s="1"/>
  <c r="G2790" i="16"/>
  <c r="Y112" i="1"/>
  <c r="T41" i="7"/>
  <c r="T49" i="7" s="1"/>
  <c r="G34" i="9"/>
  <c r="L252" i="10"/>
  <c r="L253" i="10" s="1"/>
  <c r="L254" i="10" s="1"/>
  <c r="H42" i="9"/>
  <c r="J38" i="25"/>
  <c r="J115" i="25" s="1"/>
  <c r="I44" i="25"/>
  <c r="I62" i="25" s="1"/>
  <c r="I122" i="25" s="1"/>
  <c r="G2564" i="16" s="1"/>
  <c r="G2547" i="16"/>
  <c r="I165" i="13"/>
  <c r="I166" i="13" s="1"/>
  <c r="I167" i="13" s="1"/>
  <c r="K391" i="1" s="1"/>
  <c r="M231" i="10"/>
  <c r="H62" i="25"/>
  <c r="H122" i="25" s="1"/>
  <c r="F2564" i="16" s="1"/>
  <c r="D214" i="14"/>
  <c r="M543" i="1"/>
  <c r="S490" i="1"/>
  <c r="S520" i="1" s="1"/>
  <c r="S167" i="1" s="1"/>
  <c r="L238" i="10"/>
  <c r="F1694" i="16" s="1"/>
  <c r="E23" i="22"/>
  <c r="L240" i="10"/>
  <c r="L241" i="10" s="1"/>
  <c r="F1695" i="16" s="1"/>
  <c r="D23" i="22"/>
  <c r="I130" i="14"/>
  <c r="I134" i="14" s="1"/>
  <c r="E172" i="14" s="1"/>
  <c r="M240" i="10"/>
  <c r="M241" i="10" s="1"/>
  <c r="G1695" i="16" s="1"/>
  <c r="W23" i="18"/>
  <c r="D141" i="14"/>
  <c r="D143" i="14" s="1"/>
  <c r="D144" i="14" s="1"/>
  <c r="D136" i="14" s="1"/>
  <c r="D219" i="14" s="1"/>
  <c r="D130" i="14"/>
  <c r="D134" i="14" s="1"/>
  <c r="D172" i="14" s="1"/>
  <c r="D173" i="14" s="1"/>
  <c r="C1595" i="16"/>
  <c r="Q124" i="1"/>
  <c r="L733" i="16" s="1"/>
  <c r="O520" i="1"/>
  <c r="L576" i="1"/>
  <c r="Q118" i="1"/>
  <c r="O491" i="1"/>
  <c r="L50" i="7" s="1"/>
  <c r="C1553" i="16"/>
  <c r="H32" i="1"/>
  <c r="N14" i="18" s="1"/>
  <c r="H334" i="1"/>
  <c r="E10" i="19"/>
  <c r="Q162" i="1"/>
  <c r="W109" i="18" s="1"/>
  <c r="N32" i="7"/>
  <c r="C647" i="16" s="1"/>
  <c r="C652" i="16" s="1"/>
  <c r="G2545" i="16"/>
  <c r="I113" i="25"/>
  <c r="BS238" i="5"/>
  <c r="BT248" i="5" s="1"/>
  <c r="AT91" i="28" s="1"/>
  <c r="BH79" i="5"/>
  <c r="I11" i="19"/>
  <c r="L20" i="7"/>
  <c r="BG79" i="5"/>
  <c r="C2763" i="16"/>
  <c r="O2763" i="16" s="1"/>
  <c r="C2794" i="16"/>
  <c r="O2788" i="16"/>
  <c r="Y2788" i="16"/>
  <c r="C480" i="16"/>
  <c r="C476" i="16"/>
  <c r="I1057" i="16"/>
  <c r="D1057" i="16" s="1"/>
  <c r="E1142" i="16"/>
  <c r="I1142" i="16" s="1"/>
  <c r="E1030" i="16"/>
  <c r="J1030" i="16" s="1"/>
  <c r="C1789" i="16"/>
  <c r="C1790" i="16" s="1"/>
  <c r="D1142" i="16"/>
  <c r="H1142" i="16" s="1"/>
  <c r="C475" i="16"/>
  <c r="Y115" i="1"/>
  <c r="X16" i="29"/>
  <c r="AF41" i="28"/>
  <c r="R118" i="28"/>
  <c r="BQ89" i="28"/>
  <c r="BQ92" i="28" s="1"/>
  <c r="AS32" i="5"/>
  <c r="AS149" i="5" s="1"/>
  <c r="X46" i="29"/>
  <c r="N46" i="29"/>
  <c r="R507" i="1"/>
  <c r="AD47" i="14"/>
  <c r="H523" i="16"/>
  <c r="H565" i="16" s="1"/>
  <c r="Q253" i="1"/>
  <c r="DH30" i="5"/>
  <c r="M179" i="13"/>
  <c r="M180" i="13" s="1"/>
  <c r="AJ160" i="5"/>
  <c r="C1066" i="16"/>
  <c r="O156" i="1"/>
  <c r="P157" i="1" s="1"/>
  <c r="D1455" i="16"/>
  <c r="D1470" i="16" s="1"/>
  <c r="R156" i="1"/>
  <c r="BF79" i="5"/>
  <c r="B1229" i="16"/>
  <c r="H260" i="10"/>
  <c r="D1453" i="16"/>
  <c r="E12" i="19"/>
  <c r="D1769" i="16"/>
  <c r="J38" i="13"/>
  <c r="J51" i="13" s="1"/>
  <c r="G242" i="16" s="1"/>
  <c r="J13" i="13"/>
  <c r="J22" i="13" s="1"/>
  <c r="J48" i="13" s="1"/>
  <c r="J41" i="13" s="1"/>
  <c r="Z261" i="1"/>
  <c r="AA261" i="1" s="1"/>
  <c r="D1468" i="16"/>
  <c r="C221" i="14"/>
  <c r="L1474" i="16"/>
  <c r="U472" i="1"/>
  <c r="H1828" i="16"/>
  <c r="W70" i="13"/>
  <c r="W138" i="13" s="1"/>
  <c r="U474" i="1"/>
  <c r="E1049" i="16"/>
  <c r="I525" i="1"/>
  <c r="O30" i="18" s="1"/>
  <c r="H1829" i="16"/>
  <c r="H2" i="14"/>
  <c r="V470" i="1"/>
  <c r="V474" i="1" s="1"/>
  <c r="K229" i="10"/>
  <c r="L230" i="10" s="1"/>
  <c r="E2075" i="16"/>
  <c r="E2077" i="16" s="1"/>
  <c r="D1456" i="16"/>
  <c r="D1471" i="16" s="1"/>
  <c r="Y31" i="18"/>
  <c r="C2216" i="16"/>
  <c r="E1554" i="16"/>
  <c r="E647" i="16"/>
  <c r="E1596" i="16"/>
  <c r="D1770" i="16"/>
  <c r="C1769" i="16"/>
  <c r="N118" i="1"/>
  <c r="G523" i="16"/>
  <c r="G565" i="16" s="1"/>
  <c r="C2229" i="16"/>
  <c r="C2212" i="16"/>
  <c r="F51" i="7"/>
  <c r="N542" i="1"/>
  <c r="N585" i="1" s="1"/>
  <c r="N586" i="1" s="1"/>
  <c r="C1772" i="16"/>
  <c r="I1772" i="16" s="1"/>
  <c r="CJ13" i="28"/>
  <c r="M585" i="1"/>
  <c r="M586" i="1" s="1"/>
  <c r="G1474" i="16"/>
  <c r="C1468" i="16"/>
  <c r="C1453" i="16"/>
  <c r="C1455" i="16"/>
  <c r="C1470" i="16" s="1"/>
  <c r="K1474" i="16"/>
  <c r="G8" i="21"/>
  <c r="G7" i="21" s="1"/>
  <c r="I33" i="1"/>
  <c r="O15" i="18" s="1"/>
  <c r="D2546" i="16"/>
  <c r="D2549" i="16" s="1"/>
  <c r="D2553" i="16" s="1"/>
  <c r="F117" i="25"/>
  <c r="O53" i="7"/>
  <c r="H1827" i="16"/>
  <c r="J1799" i="16"/>
  <c r="J732" i="16"/>
  <c r="N124" i="1"/>
  <c r="I733" i="16" s="1"/>
  <c r="C23" i="22"/>
  <c r="U23" i="18"/>
  <c r="U24" i="18" s="1"/>
  <c r="K231" i="10"/>
  <c r="N162" i="1"/>
  <c r="T109" i="18" s="1"/>
  <c r="I732" i="16"/>
  <c r="L231" i="10"/>
  <c r="O118" i="1"/>
  <c r="D1023" i="16"/>
  <c r="I1023" i="16" s="1"/>
  <c r="O124" i="1"/>
  <c r="J733" i="16" s="1"/>
  <c r="K238" i="10"/>
  <c r="E1694" i="16" s="1"/>
  <c r="O162" i="1"/>
  <c r="U109" i="18" s="1"/>
  <c r="DH34" i="5"/>
  <c r="O421" i="1"/>
  <c r="CN16" i="5"/>
  <c r="Y42" i="28"/>
  <c r="Y41" i="28"/>
  <c r="W42" i="28"/>
  <c r="W41" i="28"/>
  <c r="P116" i="1"/>
  <c r="V23" i="18" s="1"/>
  <c r="Z42" i="28"/>
  <c r="Z41" i="28"/>
  <c r="AA41" i="28"/>
  <c r="AA42" i="28"/>
  <c r="V42" i="28"/>
  <c r="V41" i="28"/>
  <c r="X42" i="28"/>
  <c r="X41" i="28"/>
  <c r="AB41" i="28"/>
  <c r="AB42" i="28"/>
  <c r="DW18" i="5"/>
  <c r="C1030" i="16"/>
  <c r="H1030" i="16" s="1"/>
  <c r="CD294" i="5"/>
  <c r="E124" i="25"/>
  <c r="E128" i="25" s="1"/>
  <c r="C2570" i="16" s="1"/>
  <c r="F98" i="25"/>
  <c r="F121" i="25" s="1"/>
  <c r="D2563" i="16" s="1"/>
  <c r="L149" i="10"/>
  <c r="L152" i="10" s="1"/>
  <c r="H10" i="21" s="1"/>
  <c r="D523" i="16"/>
  <c r="D565" i="16" s="1"/>
  <c r="F562" i="16"/>
  <c r="F523" i="16"/>
  <c r="F565" i="16" s="1"/>
  <c r="C1059" i="16"/>
  <c r="C1062" i="16" s="1"/>
  <c r="D1056" i="16"/>
  <c r="BJ249" i="5"/>
  <c r="AL92" i="28" s="1"/>
  <c r="C1142" i="16"/>
  <c r="G1142" i="16" s="1"/>
  <c r="C240" i="14"/>
  <c r="T484" i="1"/>
  <c r="T485" i="1" s="1"/>
  <c r="P508" i="1"/>
  <c r="P504" i="1"/>
  <c r="Q485" i="1"/>
  <c r="E345" i="16"/>
  <c r="E357" i="16" s="1"/>
  <c r="DM34" i="5"/>
  <c r="M150" i="13"/>
  <c r="J238" i="10"/>
  <c r="D1694" i="16" s="1"/>
  <c r="M148" i="13"/>
  <c r="J240" i="10"/>
  <c r="J258" i="10" s="1"/>
  <c r="J256" i="10" s="1"/>
  <c r="J10" i="19"/>
  <c r="J229" i="10"/>
  <c r="V149" i="18"/>
  <c r="V155" i="18" s="1"/>
  <c r="G174" i="18" s="1"/>
  <c r="D782" i="16"/>
  <c r="D799" i="16" s="1"/>
  <c r="C1049" i="16"/>
  <c r="G1137" i="16"/>
  <c r="P107" i="1"/>
  <c r="E2183" i="16" s="1"/>
  <c r="E522" i="16"/>
  <c r="E564" i="16" s="1"/>
  <c r="D1045" i="16"/>
  <c r="D1049" i="16" s="1"/>
  <c r="C1140" i="16"/>
  <c r="G1140" i="16" s="1"/>
  <c r="M25" i="7"/>
  <c r="M32" i="7" s="1"/>
  <c r="V31" i="18" s="1"/>
  <c r="C523" i="16"/>
  <c r="C565" i="16" s="1"/>
  <c r="P419" i="1"/>
  <c r="V22" i="18" s="1"/>
  <c r="D1026" i="16"/>
  <c r="I1026" i="16" s="1"/>
  <c r="AC190" i="5"/>
  <c r="Z71" i="5"/>
  <c r="J445" i="1"/>
  <c r="J452" i="1" s="1"/>
  <c r="J521" i="1" s="1"/>
  <c r="J18" i="1"/>
  <c r="J25" i="1" s="1"/>
  <c r="J30" i="1" s="1"/>
  <c r="J32" i="1" s="1"/>
  <c r="P14" i="18" s="1"/>
  <c r="J162" i="1"/>
  <c r="P109" i="18" s="1"/>
  <c r="G53" i="7"/>
  <c r="E732" i="16"/>
  <c r="J118" i="1"/>
  <c r="J124" i="1"/>
  <c r="E733" i="16" s="1"/>
  <c r="W59" i="5"/>
  <c r="N420" i="1"/>
  <c r="J91" i="13"/>
  <c r="N421" i="1"/>
  <c r="CQ18" i="5"/>
  <c r="C41" i="28" s="1"/>
  <c r="O420" i="1"/>
  <c r="W6" i="5"/>
  <c r="CL18" i="5"/>
  <c r="AB190" i="5"/>
  <c r="X190" i="5"/>
  <c r="B46" i="28" s="1"/>
  <c r="W190" i="5"/>
  <c r="DG19" i="5"/>
  <c r="P42" i="28" s="1"/>
  <c r="AM58" i="5"/>
  <c r="DG18" i="5"/>
  <c r="P41" i="28" s="1"/>
  <c r="AM169" i="5"/>
  <c r="G24" i="7"/>
  <c r="P19" i="18"/>
  <c r="I18" i="14"/>
  <c r="I183" i="10"/>
  <c r="I1022" i="16"/>
  <c r="D1028" i="16"/>
  <c r="I1028" i="16" s="1"/>
  <c r="G1139" i="16"/>
  <c r="C1144" i="16"/>
  <c r="G1144" i="16" s="1"/>
  <c r="N162" i="13"/>
  <c r="N129" i="13"/>
  <c r="N178" i="13"/>
  <c r="N179" i="13" s="1"/>
  <c r="N180" i="13" s="1"/>
  <c r="N131" i="13"/>
  <c r="H44" i="9"/>
  <c r="P122" i="1"/>
  <c r="H22" i="14"/>
  <c r="H42" i="14" s="1"/>
  <c r="Y18" i="5"/>
  <c r="Y59" i="5" s="1"/>
  <c r="CS16" i="5"/>
  <c r="E39" i="28" s="1"/>
  <c r="G155" i="12"/>
  <c r="H158" i="12" s="1"/>
  <c r="E139" i="25"/>
  <c r="C2585" i="16" s="1"/>
  <c r="D490" i="16"/>
  <c r="H1140" i="16"/>
  <c r="D1145" i="16"/>
  <c r="H1145" i="16" s="1"/>
  <c r="F475" i="16"/>
  <c r="F476" i="16"/>
  <c r="F146" i="16"/>
  <c r="F141" i="16"/>
  <c r="F145" i="16"/>
  <c r="F162" i="16" s="1"/>
  <c r="N140" i="16"/>
  <c r="F143" i="16"/>
  <c r="F144" i="16"/>
  <c r="X59" i="5"/>
  <c r="CM18" i="5"/>
  <c r="P61" i="11"/>
  <c r="P58" i="11" s="1"/>
  <c r="C481" i="16" s="1"/>
  <c r="D475" i="16"/>
  <c r="M80" i="12"/>
  <c r="D2212" i="16"/>
  <c r="F153" i="16"/>
  <c r="F158" i="16"/>
  <c r="Z16" i="5"/>
  <c r="Z56" i="5" s="1"/>
  <c r="F170" i="16"/>
  <c r="F173" i="16"/>
  <c r="F174" i="16"/>
  <c r="F175" i="16" s="1"/>
  <c r="BE79" i="5"/>
  <c r="CR18" i="5"/>
  <c r="D41" i="28" s="1"/>
  <c r="K73" i="12"/>
  <c r="L73" i="12" s="1"/>
  <c r="M73" i="12" s="1"/>
  <c r="N73" i="12" s="1"/>
  <c r="O73" i="12" s="1"/>
  <c r="P73" i="12" s="1"/>
  <c r="Q73" i="12" s="1"/>
  <c r="R73" i="12" s="1"/>
  <c r="M277" i="10"/>
  <c r="S84" i="11"/>
  <c r="S118" i="11" s="1"/>
  <c r="S120" i="11" s="1"/>
  <c r="D46" i="9"/>
  <c r="N254" i="1"/>
  <c r="N252" i="1" s="1"/>
  <c r="N253" i="1" s="1"/>
  <c r="T119" i="18"/>
  <c r="K15" i="7"/>
  <c r="C107" i="16" s="1"/>
  <c r="C113" i="16" s="1"/>
  <c r="O254" i="1"/>
  <c r="O252" i="1" s="1"/>
  <c r="T7" i="18"/>
  <c r="T25" i="18" s="1"/>
  <c r="N176" i="1"/>
  <c r="D479" i="16"/>
  <c r="F484" i="16"/>
  <c r="F485" i="16" s="1"/>
  <c r="S65" i="11"/>
  <c r="L32" i="7"/>
  <c r="C785" i="16" s="1"/>
  <c r="C801" i="16" s="1"/>
  <c r="I1101" i="16"/>
  <c r="G1102" i="16"/>
  <c r="H1102" i="16" s="1"/>
  <c r="H611" i="16"/>
  <c r="G655" i="16"/>
  <c r="G680" i="16" s="1"/>
  <c r="F342" i="1"/>
  <c r="P536" i="1"/>
  <c r="P579" i="1" s="1"/>
  <c r="M191" i="1"/>
  <c r="N190" i="1"/>
  <c r="P490" i="1"/>
  <c r="P491" i="1" s="1"/>
  <c r="C1080" i="16"/>
  <c r="P87" i="12"/>
  <c r="I32" i="1"/>
  <c r="O14" i="18" s="1"/>
  <c r="I409" i="1"/>
  <c r="F1079" i="16"/>
  <c r="E1080" i="16"/>
  <c r="L952" i="16"/>
  <c r="M946" i="16"/>
  <c r="M952" i="16" s="1"/>
  <c r="T151" i="10"/>
  <c r="U51" i="10"/>
  <c r="H2548" i="16"/>
  <c r="K102" i="25"/>
  <c r="K116" i="25" s="1"/>
  <c r="F1958" i="16"/>
  <c r="H1954" i="16"/>
  <c r="H1958" i="16" s="1"/>
  <c r="H81" i="25"/>
  <c r="G105" i="25"/>
  <c r="L133" i="25"/>
  <c r="I2579" i="16"/>
  <c r="K507" i="1"/>
  <c r="K491" i="1"/>
  <c r="H50" i="7" s="1"/>
  <c r="K520" i="1"/>
  <c r="K167" i="1" s="1"/>
  <c r="Q115" i="18" s="1"/>
  <c r="L154" i="1"/>
  <c r="G2238" i="16"/>
  <c r="G2244" i="16" s="1"/>
  <c r="H2237" i="16"/>
  <c r="H504" i="16"/>
  <c r="H525" i="16" s="1"/>
  <c r="H546" i="16" s="1"/>
  <c r="G525" i="16"/>
  <c r="G546" i="16" s="1"/>
  <c r="G214" i="13"/>
  <c r="O61" i="13"/>
  <c r="O87" i="13" s="1"/>
  <c r="C1668" i="16"/>
  <c r="X115" i="18"/>
  <c r="I236" i="13"/>
  <c r="R115" i="13"/>
  <c r="Q116" i="13"/>
  <c r="I237" i="13" s="1"/>
  <c r="O241" i="10"/>
  <c r="I1695" i="16" s="1"/>
  <c r="X36" i="10"/>
  <c r="G164" i="10"/>
  <c r="H163" i="10"/>
  <c r="F2565" i="16"/>
  <c r="C7" i="21"/>
  <c r="C161" i="14"/>
  <c r="C162" i="14" s="1"/>
  <c r="C226" i="14"/>
  <c r="E327" i="16"/>
  <c r="E339" i="16" s="1"/>
  <c r="S291" i="1"/>
  <c r="T292" i="1"/>
  <c r="T301" i="1" s="1"/>
  <c r="T165" i="1" s="1"/>
  <c r="Z112" i="18" s="1"/>
  <c r="S133" i="1"/>
  <c r="S134" i="1" s="1"/>
  <c r="AA141" i="18"/>
  <c r="C2733" i="16"/>
  <c r="G683" i="16"/>
  <c r="G684" i="16" s="1"/>
  <c r="U81" i="1"/>
  <c r="H2468" i="3"/>
  <c r="H2469" i="3" s="1"/>
  <c r="I2469" i="3" s="1"/>
  <c r="K38" i="14"/>
  <c r="C1514" i="16" s="1"/>
  <c r="K39" i="14"/>
  <c r="H126" i="25"/>
  <c r="F2568" i="16" s="1"/>
  <c r="F2561" i="16"/>
  <c r="F2544" i="16" s="1"/>
  <c r="F2555" i="16" s="1"/>
  <c r="T127" i="10"/>
  <c r="Q64" i="11"/>
  <c r="D484" i="16" s="1"/>
  <c r="D485" i="16" s="1"/>
  <c r="P537" i="1"/>
  <c r="P580" i="1" s="1"/>
  <c r="K1806" i="16"/>
  <c r="K1798" i="16"/>
  <c r="K1797" i="16"/>
  <c r="K1802" i="16"/>
  <c r="K1801" i="16"/>
  <c r="K1805" i="16"/>
  <c r="K1803" i="16"/>
  <c r="K1800" i="16"/>
  <c r="M110" i="10"/>
  <c r="M134" i="10" s="1"/>
  <c r="M260" i="10"/>
  <c r="M147" i="10"/>
  <c r="R20" i="18"/>
  <c r="L184" i="1"/>
  <c r="L183" i="1"/>
  <c r="L206" i="1"/>
  <c r="L15" i="1"/>
  <c r="L195" i="1"/>
  <c r="C157" i="12"/>
  <c r="C155" i="12"/>
  <c r="D158" i="12" s="1"/>
  <c r="H17" i="10"/>
  <c r="H35" i="10"/>
  <c r="D464" i="16"/>
  <c r="C108" i="16"/>
  <c r="K176" i="25"/>
  <c r="L175" i="25"/>
  <c r="V480" i="1"/>
  <c r="U481" i="1"/>
  <c r="U482" i="1"/>
  <c r="Q28" i="13"/>
  <c r="L162" i="10"/>
  <c r="K164" i="10"/>
  <c r="N101" i="10"/>
  <c r="N3" i="10"/>
  <c r="V143" i="10"/>
  <c r="M279" i="1"/>
  <c r="M277" i="1" s="1"/>
  <c r="M138" i="1" s="1"/>
  <c r="M140" i="1" s="1"/>
  <c r="M154" i="1" s="1"/>
  <c r="E1568" i="16"/>
  <c r="E1569" i="16" s="1"/>
  <c r="V459" i="1"/>
  <c r="U460" i="1"/>
  <c r="H210" i="13"/>
  <c r="P85" i="13"/>
  <c r="Q82" i="13"/>
  <c r="P78" i="13"/>
  <c r="P86" i="13"/>
  <c r="P84" i="13"/>
  <c r="S13" i="13"/>
  <c r="S14" i="13" s="1"/>
  <c r="T12" i="13"/>
  <c r="E1047" i="16"/>
  <c r="J1047" i="16" s="1"/>
  <c r="P1047" i="16" s="1"/>
  <c r="Y10" i="13"/>
  <c r="V148" i="10"/>
  <c r="L38" i="14"/>
  <c r="D1514" i="16" s="1"/>
  <c r="L39" i="14"/>
  <c r="M40" i="14" s="1"/>
  <c r="J279" i="1"/>
  <c r="J277" i="1" s="1"/>
  <c r="J138" i="1" s="1"/>
  <c r="J140" i="1" s="1"/>
  <c r="J154" i="1" s="1"/>
  <c r="I491" i="1"/>
  <c r="AE25" i="11"/>
  <c r="U49" i="13"/>
  <c r="AE30" i="11"/>
  <c r="AE35" i="11"/>
  <c r="AE80" i="11" s="1"/>
  <c r="C152" i="14"/>
  <c r="C227" i="14" s="1"/>
  <c r="O10" i="7"/>
  <c r="D650" i="16"/>
  <c r="D174" i="16"/>
  <c r="D167" i="16"/>
  <c r="L141" i="10"/>
  <c r="L142" i="10" s="1"/>
  <c r="R22" i="12"/>
  <c r="W23" i="11"/>
  <c r="O187" i="1"/>
  <c r="N186" i="1"/>
  <c r="K32" i="13"/>
  <c r="K54" i="13" s="1"/>
  <c r="I79" i="25"/>
  <c r="H78" i="25"/>
  <c r="O271" i="10"/>
  <c r="F17" i="10"/>
  <c r="F35" i="10"/>
  <c r="Q21" i="18"/>
  <c r="K208" i="1"/>
  <c r="K16" i="1"/>
  <c r="W99" i="10"/>
  <c r="J36" i="12"/>
  <c r="G206" i="13"/>
  <c r="O113" i="13"/>
  <c r="G234" i="13" s="1"/>
  <c r="O79" i="13"/>
  <c r="AA215" i="1"/>
  <c r="Z170" i="1"/>
  <c r="Z218" i="1"/>
  <c r="X83" i="10"/>
  <c r="DM18" i="5"/>
  <c r="U41" i="28" s="1"/>
  <c r="H184" i="10"/>
  <c r="P540" i="1"/>
  <c r="R120" i="10"/>
  <c r="D1039" i="16"/>
  <c r="D1037" i="16"/>
  <c r="I1037" i="16" s="1"/>
  <c r="L140" i="12"/>
  <c r="I23" i="22"/>
  <c r="Q238" i="10"/>
  <c r="K1694" i="16" s="1"/>
  <c r="Q229" i="10"/>
  <c r="G657" i="16"/>
  <c r="G660" i="16" s="1"/>
  <c r="G661" i="16" s="1"/>
  <c r="G664" i="16" s="1"/>
  <c r="G665" i="16" s="1"/>
  <c r="Z515" i="1"/>
  <c r="Y34" i="1"/>
  <c r="AE13" i="18" s="1"/>
  <c r="O539" i="1"/>
  <c r="O582" i="1" s="1"/>
  <c r="F10" i="21"/>
  <c r="F8" i="21"/>
  <c r="I1830" i="16"/>
  <c r="I1827" i="16"/>
  <c r="I1829" i="16"/>
  <c r="H38" i="13"/>
  <c r="H51" i="13" s="1"/>
  <c r="E242" i="16" s="1"/>
  <c r="H12" i="13"/>
  <c r="F148" i="10"/>
  <c r="F149" i="10" s="1"/>
  <c r="F152" i="10" s="1"/>
  <c r="H14" i="13"/>
  <c r="P948" i="16"/>
  <c r="P950" i="16" s="1"/>
  <c r="D957" i="16" s="1"/>
  <c r="D959" i="16" s="1"/>
  <c r="D158" i="16"/>
  <c r="D153" i="16"/>
  <c r="L61" i="12"/>
  <c r="Y48" i="11"/>
  <c r="L8" i="12"/>
  <c r="K11" i="12"/>
  <c r="K12" i="12" s="1"/>
  <c r="K10" i="12"/>
  <c r="X477" i="1"/>
  <c r="G89" i="25"/>
  <c r="E2557" i="16"/>
  <c r="G95" i="25"/>
  <c r="F80" i="10"/>
  <c r="F123" i="10"/>
  <c r="J1806" i="16"/>
  <c r="J1797" i="16"/>
  <c r="J1802" i="16"/>
  <c r="J1801" i="16"/>
  <c r="J1798" i="16"/>
  <c r="J1803" i="16"/>
  <c r="J1805" i="16"/>
  <c r="J1800" i="16"/>
  <c r="J2" i="21"/>
  <c r="I35" i="21"/>
  <c r="M502" i="1"/>
  <c r="O140" i="13"/>
  <c r="G251" i="13"/>
  <c r="G213" i="13"/>
  <c r="O117" i="13"/>
  <c r="L208" i="13"/>
  <c r="U80" i="13"/>
  <c r="J38" i="14"/>
  <c r="J39" i="14"/>
  <c r="K91" i="14"/>
  <c r="AD91" i="14" s="1"/>
  <c r="I50" i="25"/>
  <c r="I53" i="25" s="1"/>
  <c r="H41" i="25"/>
  <c r="W473" i="1"/>
  <c r="Q281" i="10"/>
  <c r="G247" i="13"/>
  <c r="O142" i="13"/>
  <c r="J41" i="12"/>
  <c r="X264" i="1"/>
  <c r="V46" i="11"/>
  <c r="F25" i="12"/>
  <c r="F27" i="12" s="1"/>
  <c r="F121" i="12"/>
  <c r="N8" i="14"/>
  <c r="N9" i="14" s="1"/>
  <c r="O7" i="14"/>
  <c r="C1040" i="16"/>
  <c r="H1040" i="16" s="1"/>
  <c r="F10" i="13"/>
  <c r="U392" i="1"/>
  <c r="X4" i="18"/>
  <c r="AD13" i="18"/>
  <c r="F21" i="26"/>
  <c r="H1806" i="16"/>
  <c r="H1797" i="16"/>
  <c r="H1798" i="16"/>
  <c r="H1801" i="16"/>
  <c r="H1802" i="16"/>
  <c r="H1803" i="16"/>
  <c r="H1805" i="16"/>
  <c r="H1800" i="16"/>
  <c r="W463" i="1"/>
  <c r="E1039" i="16"/>
  <c r="E1037" i="16"/>
  <c r="J1037" i="16" s="1"/>
  <c r="X68" i="13"/>
  <c r="X134" i="13" s="1"/>
  <c r="S146" i="10"/>
  <c r="S51" i="29" s="1"/>
  <c r="S52" i="29" s="1"/>
  <c r="S97" i="10"/>
  <c r="BX238" i="5" s="1"/>
  <c r="BW238" i="5" s="1"/>
  <c r="L28" i="26"/>
  <c r="I105" i="14"/>
  <c r="I107" i="14" s="1"/>
  <c r="I102" i="14"/>
  <c r="D110" i="14"/>
  <c r="D79" i="14"/>
  <c r="D59" i="14"/>
  <c r="E60" i="14" s="1"/>
  <c r="F218" i="16"/>
  <c r="F214" i="16"/>
  <c r="P29" i="13"/>
  <c r="Q29" i="13" s="1"/>
  <c r="R29" i="13" s="1"/>
  <c r="S29" i="13" s="1"/>
  <c r="T29" i="13" s="1"/>
  <c r="U29" i="13" s="1"/>
  <c r="V29" i="13" s="1"/>
  <c r="W29" i="13" s="1"/>
  <c r="X29" i="13" s="1"/>
  <c r="Y29" i="13" s="1"/>
  <c r="Z29" i="13" s="1"/>
  <c r="AA29" i="13" s="1"/>
  <c r="O30" i="13"/>
  <c r="L240" i="16"/>
  <c r="P1046" i="16"/>
  <c r="E661" i="16"/>
  <c r="E664" i="16" s="1"/>
  <c r="E665" i="16" s="1"/>
  <c r="E686" i="16"/>
  <c r="E687" i="16" s="1"/>
  <c r="K85" i="12"/>
  <c r="K90" i="12" s="1"/>
  <c r="K35" i="12" s="1"/>
  <c r="K41" i="12" s="1"/>
  <c r="M59" i="25"/>
  <c r="T43" i="10"/>
  <c r="T26" i="10"/>
  <c r="V3" i="18"/>
  <c r="Q511" i="1"/>
  <c r="R513" i="1" s="1"/>
  <c r="M7" i="7"/>
  <c r="M10" i="7" s="1"/>
  <c r="P512" i="1"/>
  <c r="P513" i="1" s="1"/>
  <c r="Q512" i="1"/>
  <c r="P511" i="1"/>
  <c r="I17" i="10"/>
  <c r="I35" i="10"/>
  <c r="U74" i="10"/>
  <c r="T80" i="10"/>
  <c r="H1799" i="16"/>
  <c r="N241" i="10"/>
  <c r="H1695" i="16" s="1"/>
  <c r="K1799" i="16"/>
  <c r="D17" i="10"/>
  <c r="D42" i="10" s="1"/>
  <c r="D49" i="10" s="1"/>
  <c r="D35" i="10"/>
  <c r="I87" i="25"/>
  <c r="H86" i="25"/>
  <c r="F258" i="10"/>
  <c r="F256" i="10" s="1"/>
  <c r="F241" i="10"/>
  <c r="N42" i="26"/>
  <c r="M57" i="26"/>
  <c r="D151" i="14"/>
  <c r="O535" i="1"/>
  <c r="O578" i="1" s="1"/>
  <c r="M160" i="13"/>
  <c r="M165" i="13" s="1"/>
  <c r="N159" i="13"/>
  <c r="J26" i="25"/>
  <c r="K9" i="25"/>
  <c r="O50" i="12"/>
  <c r="N49" i="12"/>
  <c r="K101" i="14"/>
  <c r="T27" i="7"/>
  <c r="W171" i="1"/>
  <c r="AC113" i="18" s="1"/>
  <c r="W201" i="1"/>
  <c r="J216" i="13"/>
  <c r="S97" i="13"/>
  <c r="D5" i="22"/>
  <c r="G14" i="13"/>
  <c r="G38" i="13"/>
  <c r="G51" i="13" s="1"/>
  <c r="D242" i="16" s="1"/>
  <c r="E148" i="10"/>
  <c r="E149" i="10" s="1"/>
  <c r="G12" i="13"/>
  <c r="G40" i="13" s="1"/>
  <c r="D146" i="16"/>
  <c r="D141" i="16"/>
  <c r="D143" i="16"/>
  <c r="D144" i="16"/>
  <c r="E141" i="16"/>
  <c r="M140" i="16"/>
  <c r="AE103" i="11"/>
  <c r="P43" i="9"/>
  <c r="U29" i="7"/>
  <c r="V501" i="1"/>
  <c r="V499" i="1"/>
  <c r="W503" i="1"/>
  <c r="V505" i="1"/>
  <c r="V498" i="1"/>
  <c r="V500" i="1"/>
  <c r="K233" i="13"/>
  <c r="T112" i="13"/>
  <c r="S114" i="13"/>
  <c r="K235" i="13" s="1"/>
  <c r="P1" i="10"/>
  <c r="P167" i="10" s="1"/>
  <c r="G1477" i="16"/>
  <c r="G1484" i="16" s="1"/>
  <c r="N71" i="12"/>
  <c r="N88" i="12" s="1"/>
  <c r="E141" i="14"/>
  <c r="E143" i="14" s="1"/>
  <c r="E144" i="14" s="1"/>
  <c r="E136" i="14" s="1"/>
  <c r="E219" i="14" s="1"/>
  <c r="E130" i="14"/>
  <c r="E134" i="14" s="1"/>
  <c r="E214" i="14"/>
  <c r="AD31" i="11"/>
  <c r="L30" i="25"/>
  <c r="Q241" i="10"/>
  <c r="K1695" i="16" s="1"/>
  <c r="K35" i="10"/>
  <c r="K17" i="10"/>
  <c r="I1381" i="16"/>
  <c r="J1375" i="16"/>
  <c r="L68" i="12"/>
  <c r="U8" i="10"/>
  <c r="I2500" i="16" s="1"/>
  <c r="V4" i="10"/>
  <c r="C2469" i="16"/>
  <c r="U18" i="10"/>
  <c r="T85" i="10"/>
  <c r="S60" i="10"/>
  <c r="E224" i="25"/>
  <c r="C2589" i="16"/>
  <c r="J38" i="7"/>
  <c r="W110" i="11"/>
  <c r="J185" i="16" s="1"/>
  <c r="X109" i="11"/>
  <c r="I2234" i="16"/>
  <c r="H2243" i="16"/>
  <c r="Y7" i="18"/>
  <c r="Y25" i="18" s="1"/>
  <c r="Y119" i="18"/>
  <c r="Y118" i="18" s="1"/>
  <c r="P15" i="7"/>
  <c r="D2338" i="16" s="1"/>
  <c r="E640" i="16"/>
  <c r="E644" i="16" s="1"/>
  <c r="S176" i="1"/>
  <c r="S254" i="1"/>
  <c r="S252" i="1" s="1"/>
  <c r="S253" i="1" s="1"/>
  <c r="T495" i="1"/>
  <c r="D686" i="16"/>
  <c r="D687" i="16" s="1"/>
  <c r="D661" i="16"/>
  <c r="W93" i="10"/>
  <c r="L102" i="14"/>
  <c r="L105" i="14"/>
  <c r="L107" i="14" s="1"/>
  <c r="H96" i="12"/>
  <c r="H57" i="12"/>
  <c r="I4" i="12"/>
  <c r="C173" i="14"/>
  <c r="G17" i="10"/>
  <c r="G35" i="10"/>
  <c r="L160" i="13"/>
  <c r="L165" i="13" s="1"/>
  <c r="M484" i="1"/>
  <c r="M485" i="1" s="1"/>
  <c r="P541" i="1"/>
  <c r="P584" i="1" s="1"/>
  <c r="Q139" i="13"/>
  <c r="R137" i="13"/>
  <c r="I249" i="13"/>
  <c r="D1777" i="16"/>
  <c r="M52" i="12"/>
  <c r="M53" i="12" s="1"/>
  <c r="M35" i="10"/>
  <c r="M17" i="10"/>
  <c r="M58" i="25"/>
  <c r="L55" i="25"/>
  <c r="Y40" i="11"/>
  <c r="L508" i="1"/>
  <c r="L504" i="1"/>
  <c r="L490" i="1"/>
  <c r="L485" i="1"/>
  <c r="N193" i="13"/>
  <c r="V138" i="13"/>
  <c r="N250" i="13" s="1"/>
  <c r="V71" i="13"/>
  <c r="N194" i="13" s="1"/>
  <c r="N69" i="12"/>
  <c r="N86" i="12" s="1"/>
  <c r="R253" i="1"/>
  <c r="L140" i="10"/>
  <c r="I342" i="1"/>
  <c r="I119" i="25"/>
  <c r="I112" i="25" s="1"/>
  <c r="I64" i="25"/>
  <c r="J2" i="25"/>
  <c r="N67" i="12"/>
  <c r="N84" i="12" s="1"/>
  <c r="I1016" i="16"/>
  <c r="D1029" i="16"/>
  <c r="I1029" i="16" s="1"/>
  <c r="E175" i="16"/>
  <c r="E179" i="16"/>
  <c r="H247" i="13"/>
  <c r="D8" i="21"/>
  <c r="D10" i="21"/>
  <c r="G258" i="10"/>
  <c r="G256" i="10" s="1"/>
  <c r="G244" i="10" s="1"/>
  <c r="G243" i="10" s="1"/>
  <c r="W135" i="10"/>
  <c r="G92" i="25"/>
  <c r="G114" i="25" s="1"/>
  <c r="G84" i="25"/>
  <c r="C1029" i="16"/>
  <c r="H1029" i="16" s="1"/>
  <c r="H1016" i="16"/>
  <c r="E100" i="14"/>
  <c r="E90" i="14"/>
  <c r="E86" i="14"/>
  <c r="E101" i="14" s="1"/>
  <c r="E106" i="14" s="1"/>
  <c r="E111" i="14" s="1"/>
  <c r="E112" i="14" s="1"/>
  <c r="Y3" i="18"/>
  <c r="P7" i="7"/>
  <c r="S512" i="1"/>
  <c r="S513" i="1" s="1"/>
  <c r="E154" i="14"/>
  <c r="U62" i="11"/>
  <c r="H78" i="14"/>
  <c r="H84" i="14" s="1"/>
  <c r="H89" i="14" s="1"/>
  <c r="H94" i="14" s="1"/>
  <c r="H99" i="14" s="1"/>
  <c r="H104" i="14" s="1"/>
  <c r="H109" i="14" s="1"/>
  <c r="AE4" i="14"/>
  <c r="I2" i="14"/>
  <c r="O57" i="10"/>
  <c r="O198" i="10"/>
  <c r="O211" i="10" s="1"/>
  <c r="H1671" i="16"/>
  <c r="J223" i="13"/>
  <c r="S103" i="13"/>
  <c r="Z87" i="11"/>
  <c r="D348" i="1"/>
  <c r="D349" i="1" s="1"/>
  <c r="F195" i="16"/>
  <c r="J188" i="16"/>
  <c r="U461" i="1"/>
  <c r="V456" i="1"/>
  <c r="U487" i="1"/>
  <c r="U488" i="1" s="1"/>
  <c r="U494" i="1"/>
  <c r="O282" i="10"/>
  <c r="N280" i="10"/>
  <c r="M60" i="12"/>
  <c r="G32" i="25"/>
  <c r="G120" i="25" s="1"/>
  <c r="E2556" i="16"/>
  <c r="I1806" i="16"/>
  <c r="I1797" i="16"/>
  <c r="I1798" i="16"/>
  <c r="I1801" i="16"/>
  <c r="I1803" i="16"/>
  <c r="I1805" i="16"/>
  <c r="I1802" i="16"/>
  <c r="I1800" i="16"/>
  <c r="M1799" i="16" s="1"/>
  <c r="T26" i="11"/>
  <c r="T24" i="11" s="1"/>
  <c r="T13" i="11" s="1"/>
  <c r="T18" i="11"/>
  <c r="T17" i="11"/>
  <c r="T14" i="11"/>
  <c r="T12" i="11"/>
  <c r="T11" i="11"/>
  <c r="G129" i="12"/>
  <c r="G120" i="12"/>
  <c r="N102" i="14"/>
  <c r="C1988" i="16"/>
  <c r="C1987" i="16"/>
  <c r="C1989" i="16"/>
  <c r="C1986" i="16"/>
  <c r="D2562" i="16"/>
  <c r="O270" i="10"/>
  <c r="N272" i="10"/>
  <c r="N275" i="10" s="1"/>
  <c r="J189" i="13"/>
  <c r="P122" i="10"/>
  <c r="Q123" i="10"/>
  <c r="C2528" i="16"/>
  <c r="X118" i="18"/>
  <c r="G133" i="12"/>
  <c r="G132" i="12" s="1"/>
  <c r="G146" i="12"/>
  <c r="G24" i="12"/>
  <c r="P139" i="13"/>
  <c r="P142" i="13" s="1"/>
  <c r="L17" i="10"/>
  <c r="L35" i="10"/>
  <c r="H342" i="1"/>
  <c r="X169" i="1"/>
  <c r="Y412" i="1"/>
  <c r="K56" i="25"/>
  <c r="I2558" i="16"/>
  <c r="J108" i="25"/>
  <c r="D476" i="16"/>
  <c r="D480" i="16"/>
  <c r="D482" i="16" s="1"/>
  <c r="N53" i="7"/>
  <c r="Q156" i="1"/>
  <c r="Q157" i="1" s="1"/>
  <c r="K160" i="13"/>
  <c r="U533" i="1"/>
  <c r="U41" i="1"/>
  <c r="Q1" i="10" s="1"/>
  <c r="Q167" i="10" s="1"/>
  <c r="V2" i="1"/>
  <c r="R98" i="10"/>
  <c r="E35" i="10"/>
  <c r="E17" i="10"/>
  <c r="E42" i="10" s="1"/>
  <c r="E49" i="10" s="1"/>
  <c r="C433" i="16"/>
  <c r="F441" i="16" s="1"/>
  <c r="E441" i="16"/>
  <c r="T492" i="1"/>
  <c r="T509" i="1" s="1"/>
  <c r="J334" i="1"/>
  <c r="J336" i="1"/>
  <c r="J340" i="1" s="1"/>
  <c r="Y310" i="1"/>
  <c r="X306" i="1"/>
  <c r="S117" i="11"/>
  <c r="T2" i="11"/>
  <c r="F161" i="16"/>
  <c r="M30" i="12"/>
  <c r="L29" i="12"/>
  <c r="L33" i="12" s="1"/>
  <c r="H76" i="25"/>
  <c r="I75" i="25"/>
  <c r="I76" i="25" s="1"/>
  <c r="E151" i="14"/>
  <c r="E152" i="14" s="1"/>
  <c r="E227" i="14" s="1"/>
  <c r="T76" i="10"/>
  <c r="T77" i="10" s="1"/>
  <c r="T86" i="10"/>
  <c r="U70" i="10"/>
  <c r="U95" i="10" s="1"/>
  <c r="T58" i="10"/>
  <c r="T62" i="10"/>
  <c r="T68" i="10"/>
  <c r="J105" i="14"/>
  <c r="J107" i="14" s="1"/>
  <c r="J102" i="14"/>
  <c r="J1830" i="16"/>
  <c r="J1829" i="16"/>
  <c r="J1828" i="16"/>
  <c r="N109" i="18"/>
  <c r="M84" i="12"/>
  <c r="T148" i="1"/>
  <c r="T153" i="1" s="1"/>
  <c r="L12" i="19"/>
  <c r="V59" i="14"/>
  <c r="U61" i="14"/>
  <c r="U502" i="1"/>
  <c r="M326" i="1"/>
  <c r="M446" i="1"/>
  <c r="M526" i="1" s="1"/>
  <c r="M182" i="1"/>
  <c r="X86" i="11"/>
  <c r="O38" i="14"/>
  <c r="I522" i="1"/>
  <c r="J113" i="10"/>
  <c r="J137" i="10" s="1"/>
  <c r="J129" i="10"/>
  <c r="K193" i="10"/>
  <c r="K98" i="10"/>
  <c r="L98" i="10"/>
  <c r="U458" i="1"/>
  <c r="H5" i="25"/>
  <c r="I20" i="25"/>
  <c r="H29" i="25"/>
  <c r="I1804" i="16"/>
  <c r="L66" i="12"/>
  <c r="N223" i="1"/>
  <c r="N137" i="1" s="1"/>
  <c r="O221" i="1"/>
  <c r="D145" i="16"/>
  <c r="D162" i="16" s="1"/>
  <c r="V18" i="13"/>
  <c r="V8" i="11"/>
  <c r="U7" i="11"/>
  <c r="U16" i="11" s="1"/>
  <c r="K37" i="7"/>
  <c r="K38" i="7" s="1"/>
  <c r="L12" i="7"/>
  <c r="N107" i="14"/>
  <c r="J8" i="22"/>
  <c r="G342" i="1"/>
  <c r="J17" i="10"/>
  <c r="J35" i="10"/>
  <c r="P538" i="1"/>
  <c r="P581" i="1" s="1"/>
  <c r="O16" i="21"/>
  <c r="P17" i="21"/>
  <c r="G212" i="13"/>
  <c r="M276" i="10"/>
  <c r="N246" i="10"/>
  <c r="M247" i="10"/>
  <c r="M252" i="10" s="1"/>
  <c r="V133" i="10"/>
  <c r="I245" i="13"/>
  <c r="Q135" i="13"/>
  <c r="R133" i="13"/>
  <c r="I157" i="1"/>
  <c r="I137" i="12"/>
  <c r="H136" i="12"/>
  <c r="H138" i="12" s="1"/>
  <c r="H141" i="12" s="1"/>
  <c r="H134" i="12" s="1"/>
  <c r="W22" i="11"/>
  <c r="K38" i="25"/>
  <c r="K115" i="25" s="1"/>
  <c r="J44" i="25"/>
  <c r="H2547" i="16"/>
  <c r="C661" i="16"/>
  <c r="C686" i="16"/>
  <c r="C687" i="16" s="1"/>
  <c r="N1035" i="16"/>
  <c r="D12" i="19"/>
  <c r="G165" i="13"/>
  <c r="Y72" i="13"/>
  <c r="H453" i="1"/>
  <c r="I454" i="1" s="1"/>
  <c r="H525" i="1"/>
  <c r="H33" i="1"/>
  <c r="H521" i="1"/>
  <c r="I110" i="25"/>
  <c r="I123" i="25" s="1"/>
  <c r="G2559" i="16"/>
  <c r="T45" i="14"/>
  <c r="T79" i="14" s="1"/>
  <c r="V19" i="7"/>
  <c r="Y518" i="1" s="1"/>
  <c r="V41" i="7" s="1"/>
  <c r="V49" i="7" s="1"/>
  <c r="U132" i="10"/>
  <c r="I12" i="25"/>
  <c r="H16" i="25"/>
  <c r="H18" i="25" s="1"/>
  <c r="H14" i="25"/>
  <c r="D154" i="14"/>
  <c r="J98" i="10"/>
  <c r="J193" i="10"/>
  <c r="W131" i="10"/>
  <c r="AX49" i="5"/>
  <c r="Z51" i="5"/>
  <c r="AI58" i="5"/>
  <c r="AI59" i="5"/>
  <c r="I66" i="28" s="1"/>
  <c r="CX18" i="5"/>
  <c r="I41" i="28" s="1"/>
  <c r="DC18" i="5"/>
  <c r="M41" i="28" s="1"/>
  <c r="AX169" i="5"/>
  <c r="F60" i="14"/>
  <c r="C1047" i="16"/>
  <c r="H1047" i="16" s="1"/>
  <c r="N1047" i="16" s="1"/>
  <c r="H59" i="14"/>
  <c r="I62" i="14"/>
  <c r="AF169" i="5"/>
  <c r="Z4" i="28" s="1"/>
  <c r="AR59" i="5"/>
  <c r="P66" i="28" s="1"/>
  <c r="AR149" i="5"/>
  <c r="DG32" i="5"/>
  <c r="AR35" i="5"/>
  <c r="G61" i="14"/>
  <c r="H62" i="14" s="1"/>
  <c r="G18" i="14"/>
  <c r="K9" i="1"/>
  <c r="K325" i="1"/>
  <c r="F82" i="14"/>
  <c r="F80" i="14"/>
  <c r="F91" i="14" s="1"/>
  <c r="H18" i="14"/>
  <c r="G9" i="19"/>
  <c r="J150" i="13"/>
  <c r="J94" i="13"/>
  <c r="J163" i="13"/>
  <c r="J95" i="13"/>
  <c r="F92" i="14"/>
  <c r="H101" i="14"/>
  <c r="E36" i="14"/>
  <c r="E37" i="14"/>
  <c r="E38" i="14" s="1"/>
  <c r="E35" i="14"/>
  <c r="I200" i="10"/>
  <c r="Z298" i="5" s="1"/>
  <c r="J170" i="10"/>
  <c r="J200" i="10" s="1"/>
  <c r="Z259" i="5"/>
  <c r="Z97" i="5"/>
  <c r="P302" i="5"/>
  <c r="P314" i="5" s="1"/>
  <c r="G207" i="10"/>
  <c r="P303" i="5" s="1"/>
  <c r="F157" i="12"/>
  <c r="F155" i="12"/>
  <c r="F158" i="12" s="1"/>
  <c r="J172" i="10"/>
  <c r="J201" i="10" s="1"/>
  <c r="I201" i="10"/>
  <c r="Z299" i="5" s="1"/>
  <c r="Y299" i="5" s="1"/>
  <c r="Z260" i="5"/>
  <c r="Z98" i="5"/>
  <c r="G101" i="14"/>
  <c r="K258" i="10"/>
  <c r="K256" i="10" s="1"/>
  <c r="K241" i="10"/>
  <c r="E1695" i="16" s="1"/>
  <c r="K82" i="1"/>
  <c r="Q139" i="18"/>
  <c r="Q152" i="18" s="1"/>
  <c r="K115" i="1"/>
  <c r="F36" i="14"/>
  <c r="F37" i="14"/>
  <c r="F35" i="14"/>
  <c r="AX149" i="5"/>
  <c r="AX156" i="5" s="1"/>
  <c r="BB169" i="5"/>
  <c r="AX59" i="5"/>
  <c r="U66" i="28" s="1"/>
  <c r="H55" i="14"/>
  <c r="I55" i="14" s="1"/>
  <c r="J55" i="14" s="1"/>
  <c r="I56" i="14"/>
  <c r="N1046" i="16"/>
  <c r="AS19" i="5"/>
  <c r="DH18" i="5"/>
  <c r="Q41" i="28" s="1"/>
  <c r="F101" i="14"/>
  <c r="AQ74" i="5"/>
  <c r="AQ78" i="5"/>
  <c r="AQ79" i="5" s="1"/>
  <c r="Q191" i="10"/>
  <c r="P189" i="10"/>
  <c r="P190" i="10" s="1"/>
  <c r="AS74" i="5"/>
  <c r="AS78" i="5"/>
  <c r="AS79" i="5" s="1"/>
  <c r="AX78" i="5"/>
  <c r="AX79" i="5" s="1"/>
  <c r="AX74" i="5"/>
  <c r="D204" i="14"/>
  <c r="E204" i="14" s="1"/>
  <c r="E202" i="14" s="1"/>
  <c r="AM59" i="5"/>
  <c r="L66" i="28" s="1"/>
  <c r="AM149" i="5"/>
  <c r="AQ169" i="5"/>
  <c r="DK171" i="5" s="1"/>
  <c r="AM35" i="5"/>
  <c r="DB32" i="5"/>
  <c r="AS58" i="5"/>
  <c r="Q142" i="18"/>
  <c r="Q155" i="18" s="1"/>
  <c r="K84" i="1"/>
  <c r="K13" i="1"/>
  <c r="K74" i="1"/>
  <c r="K75" i="1"/>
  <c r="M73" i="1"/>
  <c r="E318" i="16" s="1"/>
  <c r="M69" i="1"/>
  <c r="M8" i="1"/>
  <c r="AZ169" i="5"/>
  <c r="E44" i="9"/>
  <c r="M122" i="1"/>
  <c r="AP169" i="5"/>
  <c r="DJ171" i="5" s="1"/>
  <c r="D44" i="9"/>
  <c r="L122" i="1"/>
  <c r="AD149" i="5"/>
  <c r="AD59" i="5"/>
  <c r="E66" i="28" s="1"/>
  <c r="AH169" i="5"/>
  <c r="AB4" i="28" s="1"/>
  <c r="CS32" i="5"/>
  <c r="CX32" i="5"/>
  <c r="H207" i="10"/>
  <c r="I207" i="10" s="1"/>
  <c r="Z303" i="5" s="1"/>
  <c r="H250" i="10"/>
  <c r="H252" i="10" s="1"/>
  <c r="H240" i="10"/>
  <c r="H219" i="10"/>
  <c r="H209" i="10"/>
  <c r="G2031" i="16"/>
  <c r="L69" i="1"/>
  <c r="L8" i="1"/>
  <c r="L73" i="1"/>
  <c r="DE19" i="5"/>
  <c r="N42" i="28" s="1"/>
  <c r="H1642" i="16"/>
  <c r="AD169" i="5"/>
  <c r="Y4" i="28" s="1"/>
  <c r="J199" i="10"/>
  <c r="R131" i="18"/>
  <c r="L54" i="1"/>
  <c r="L48" i="1"/>
  <c r="L78" i="1"/>
  <c r="M48" i="1"/>
  <c r="I1642" i="16"/>
  <c r="H166" i="13"/>
  <c r="AD81" i="5"/>
  <c r="AD78" i="5"/>
  <c r="AD79" i="5" s="1"/>
  <c r="E45" i="9"/>
  <c r="M123" i="1"/>
  <c r="H80" i="16" s="1"/>
  <c r="H83" i="16" s="1"/>
  <c r="T59" i="5"/>
  <c r="CI32" i="5"/>
  <c r="BC58" i="5"/>
  <c r="DR30" i="5"/>
  <c r="BC32" i="5"/>
  <c r="DW30" i="5"/>
  <c r="I12" i="19"/>
  <c r="T81" i="5"/>
  <c r="T78" i="5"/>
  <c r="T79" i="5" s="1"/>
  <c r="G12" i="14"/>
  <c r="G14" i="14"/>
  <c r="G15" i="14" s="1"/>
  <c r="G47" i="14"/>
  <c r="G22" i="14"/>
  <c r="H24" i="14" s="1"/>
  <c r="F258" i="16" s="1"/>
  <c r="I174" i="10"/>
  <c r="Y81" i="5"/>
  <c r="Y78" i="5"/>
  <c r="Y79" i="5" s="1"/>
  <c r="DL32" i="5"/>
  <c r="AQ149" i="5"/>
  <c r="DF32" i="5"/>
  <c r="I1653" i="16" s="1"/>
  <c r="AQ59" i="5"/>
  <c r="O66" i="28" s="1"/>
  <c r="AQ35" i="5"/>
  <c r="D1653" i="16"/>
  <c r="AR169" i="5"/>
  <c r="DL171" i="5" s="1"/>
  <c r="AM78" i="5"/>
  <c r="AM79" i="5" s="1"/>
  <c r="AM82" i="5"/>
  <c r="AM74" i="5"/>
  <c r="K95" i="13"/>
  <c r="H9" i="19"/>
  <c r="L95" i="13"/>
  <c r="K163" i="13"/>
  <c r="K94" i="13"/>
  <c r="K150" i="13"/>
  <c r="BC71" i="5"/>
  <c r="DR34" i="5"/>
  <c r="DW34" i="5"/>
  <c r="AR74" i="5"/>
  <c r="AR78" i="5"/>
  <c r="AR79" i="5" s="1"/>
  <c r="T190" i="5"/>
  <c r="CI18" i="5"/>
  <c r="D45" i="9"/>
  <c r="L123" i="1"/>
  <c r="G80" i="16" s="1"/>
  <c r="G83" i="16" s="1"/>
  <c r="CJ16" i="5"/>
  <c r="U18" i="5"/>
  <c r="L56" i="1" s="1"/>
  <c r="E269" i="16" s="1"/>
  <c r="J12" i="19"/>
  <c r="E82" i="14"/>
  <c r="E80" i="14"/>
  <c r="E92" i="14"/>
  <c r="I240" i="10"/>
  <c r="I250" i="10"/>
  <c r="I252" i="10" s="1"/>
  <c r="I219" i="10"/>
  <c r="J209" i="10"/>
  <c r="I209" i="10"/>
  <c r="H2031" i="16"/>
  <c r="T58" i="5"/>
  <c r="H12" i="14"/>
  <c r="C175" i="14" l="1"/>
  <c r="C176" i="14" s="1"/>
  <c r="AF139" i="18"/>
  <c r="Q47" i="9"/>
  <c r="O167" i="1"/>
  <c r="U115" i="18" s="1"/>
  <c r="BW248" i="5"/>
  <c r="BX248" i="5" s="1"/>
  <c r="R51" i="29"/>
  <c r="R52" i="29" s="1"/>
  <c r="W2" i="1"/>
  <c r="W4" i="1" s="1"/>
  <c r="V4" i="1"/>
  <c r="R94" i="10"/>
  <c r="R69" i="10" s="1"/>
  <c r="S84" i="10"/>
  <c r="M140" i="10"/>
  <c r="J62" i="25"/>
  <c r="J122" i="25" s="1"/>
  <c r="M50" i="7"/>
  <c r="S507" i="1"/>
  <c r="V467" i="1"/>
  <c r="V468" i="1"/>
  <c r="M576" i="1"/>
  <c r="S491" i="1"/>
  <c r="P50" i="7" s="1"/>
  <c r="D215" i="14"/>
  <c r="D216" i="14" s="1"/>
  <c r="L258" i="10"/>
  <c r="L256" i="10" s="1"/>
  <c r="C2075" i="16"/>
  <c r="C2077" i="16" s="1"/>
  <c r="G2932" i="16"/>
  <c r="AC34" i="9"/>
  <c r="AF146" i="18"/>
  <c r="Z112" i="1"/>
  <c r="C482" i="16"/>
  <c r="C1554" i="16"/>
  <c r="I42" i="9"/>
  <c r="E67" i="9"/>
  <c r="F67" i="9" s="1"/>
  <c r="I136" i="14"/>
  <c r="D137" i="14"/>
  <c r="D175" i="14" s="1"/>
  <c r="D176" i="14" s="1"/>
  <c r="D177" i="14" s="1"/>
  <c r="E785" i="16"/>
  <c r="E801" i="16" s="1"/>
  <c r="W31" i="18"/>
  <c r="E220" i="25"/>
  <c r="C646" i="16"/>
  <c r="C653" i="16" s="1"/>
  <c r="C1555" i="16"/>
  <c r="C1596" i="16"/>
  <c r="C1597" i="16" s="1"/>
  <c r="BR248" i="5"/>
  <c r="M51" i="29"/>
  <c r="M52" i="29" s="1"/>
  <c r="H2545" i="16"/>
  <c r="J113" i="25"/>
  <c r="C2769" i="16"/>
  <c r="C2800" i="16"/>
  <c r="Y2794" i="16"/>
  <c r="O2794" i="16"/>
  <c r="AS169" i="5"/>
  <c r="DM171" i="5" s="1"/>
  <c r="AU169" i="5"/>
  <c r="DN171" i="5" s="1"/>
  <c r="BN248" i="5"/>
  <c r="D1059" i="16"/>
  <c r="D1062" i="16" s="1"/>
  <c r="Z115" i="1"/>
  <c r="AS59" i="5"/>
  <c r="Q66" i="28" s="1"/>
  <c r="AW169" i="5"/>
  <c r="D1030" i="16"/>
  <c r="I1030" i="16" s="1"/>
  <c r="AS35" i="5"/>
  <c r="DH35" i="5" s="1"/>
  <c r="AV169" i="5"/>
  <c r="DH32" i="5"/>
  <c r="DM32" i="5"/>
  <c r="AO109" i="28"/>
  <c r="V472" i="1"/>
  <c r="F124" i="25"/>
  <c r="F127" i="25" s="1"/>
  <c r="D2569" i="16" s="1"/>
  <c r="W470" i="1"/>
  <c r="W472" i="1" s="1"/>
  <c r="U23" i="1"/>
  <c r="I135" i="14"/>
  <c r="C1067" i="16"/>
  <c r="H1066" i="16"/>
  <c r="V475" i="1"/>
  <c r="Z144" i="1"/>
  <c r="W71" i="13"/>
  <c r="K230" i="10"/>
  <c r="J14" i="13"/>
  <c r="H8" i="21"/>
  <c r="H7" i="21" s="1"/>
  <c r="I529" i="1"/>
  <c r="O31" i="18" s="1"/>
  <c r="F40" i="7"/>
  <c r="N543" i="1"/>
  <c r="N576" i="1" s="1"/>
  <c r="E129" i="25"/>
  <c r="C2571" i="16" s="1"/>
  <c r="E130" i="25"/>
  <c r="C2572" i="16" s="1"/>
  <c r="E127" i="25"/>
  <c r="C2569" i="16" s="1"/>
  <c r="O542" i="1"/>
  <c r="O585" i="1" s="1"/>
  <c r="O586" i="1" s="1"/>
  <c r="C2566" i="16"/>
  <c r="E131" i="25"/>
  <c r="C2573" i="16" s="1"/>
  <c r="E2546" i="16"/>
  <c r="E2549" i="16" s="1"/>
  <c r="E2553" i="16" s="1"/>
  <c r="G117" i="25"/>
  <c r="T490" i="1"/>
  <c r="T504" i="1"/>
  <c r="T508" i="1"/>
  <c r="U114" i="1"/>
  <c r="P162" i="1"/>
  <c r="V109" i="18" s="1"/>
  <c r="D784" i="16"/>
  <c r="D800" i="16" s="1"/>
  <c r="P124" i="1"/>
  <c r="K733" i="16" s="1"/>
  <c r="K732" i="16"/>
  <c r="P118" i="1"/>
  <c r="AC41" i="28"/>
  <c r="AC42" i="28"/>
  <c r="G51" i="7"/>
  <c r="D1046" i="16"/>
  <c r="I1046" i="16" s="1"/>
  <c r="O1046" i="16" s="1"/>
  <c r="J453" i="1"/>
  <c r="J522" i="1" s="1"/>
  <c r="J33" i="1"/>
  <c r="G40" i="7" s="1"/>
  <c r="J525" i="1"/>
  <c r="P30" i="18" s="1"/>
  <c r="U484" i="1"/>
  <c r="U485" i="1" s="1"/>
  <c r="M278" i="10"/>
  <c r="K74" i="12"/>
  <c r="P507" i="1"/>
  <c r="P520" i="1"/>
  <c r="P167" i="1" s="1"/>
  <c r="V115" i="18" s="1"/>
  <c r="P64" i="11"/>
  <c r="C484" i="16" s="1"/>
  <c r="C485" i="16" s="1"/>
  <c r="L74" i="12"/>
  <c r="L58" i="12" s="1"/>
  <c r="D785" i="16"/>
  <c r="D801" i="16" s="1"/>
  <c r="J241" i="10"/>
  <c r="D1695" i="16" s="1"/>
  <c r="E523" i="16"/>
  <c r="E565" i="16" s="1"/>
  <c r="C1145" i="16"/>
  <c r="G1145" i="16" s="1"/>
  <c r="P420" i="1"/>
  <c r="P421" i="1"/>
  <c r="Q420" i="1"/>
  <c r="J409" i="1"/>
  <c r="CS18" i="5"/>
  <c r="E41" i="28" s="1"/>
  <c r="I206" i="10"/>
  <c r="I202" i="10" s="1"/>
  <c r="I215" i="10" s="1"/>
  <c r="Y17" i="5"/>
  <c r="Z17" i="5" s="1"/>
  <c r="AD190" i="5"/>
  <c r="Y58" i="5"/>
  <c r="CN18" i="5"/>
  <c r="Y190" i="5"/>
  <c r="I24" i="14"/>
  <c r="G258" i="16" s="1"/>
  <c r="I23" i="14"/>
  <c r="G257" i="16" s="1"/>
  <c r="H34" i="14"/>
  <c r="H37" i="14" s="1"/>
  <c r="I38" i="14" s="1"/>
  <c r="H67" i="14"/>
  <c r="K11" i="19"/>
  <c r="N163" i="13"/>
  <c r="K12" i="19" s="1"/>
  <c r="N147" i="13"/>
  <c r="N154" i="13" s="1"/>
  <c r="K10" i="19"/>
  <c r="N150" i="13"/>
  <c r="N151" i="13" s="1"/>
  <c r="N148" i="13"/>
  <c r="H29" i="14"/>
  <c r="AE6" i="14" s="1"/>
  <c r="H81" i="14"/>
  <c r="U495" i="1"/>
  <c r="E1565" i="16"/>
  <c r="E1566" i="16" s="1"/>
  <c r="F179" i="16"/>
  <c r="T118" i="18"/>
  <c r="U118" i="18"/>
  <c r="M1797" i="16"/>
  <c r="L40" i="14"/>
  <c r="K53" i="7"/>
  <c r="N156" i="1"/>
  <c r="M141" i="10"/>
  <c r="M142" i="10" s="1"/>
  <c r="O253" i="1"/>
  <c r="P253" i="1"/>
  <c r="F348" i="1"/>
  <c r="F349" i="1" s="1"/>
  <c r="F344" i="1"/>
  <c r="F345" i="1" s="1"/>
  <c r="U151" i="10"/>
  <c r="V51" i="10"/>
  <c r="M133" i="25"/>
  <c r="J2579" i="16"/>
  <c r="N277" i="10"/>
  <c r="I81" i="25"/>
  <c r="H105" i="25"/>
  <c r="O190" i="1"/>
  <c r="N191" i="1"/>
  <c r="I611" i="16"/>
  <c r="H655" i="16"/>
  <c r="H680" i="16" s="1"/>
  <c r="F1080" i="16"/>
  <c r="D1080" i="16"/>
  <c r="G1103" i="16"/>
  <c r="I1102" i="16"/>
  <c r="N276" i="10"/>
  <c r="L102" i="25"/>
  <c r="L116" i="25" s="1"/>
  <c r="I2548" i="16"/>
  <c r="Q536" i="1"/>
  <c r="F1997" i="16"/>
  <c r="F1993" i="16"/>
  <c r="F1992" i="16"/>
  <c r="Z72" i="13"/>
  <c r="AA72" i="13"/>
  <c r="Y169" i="1"/>
  <c r="Z412" i="1"/>
  <c r="H89" i="25"/>
  <c r="F2557" i="16"/>
  <c r="H95" i="25"/>
  <c r="Y36" i="10"/>
  <c r="W133" i="10"/>
  <c r="S20" i="18"/>
  <c r="M183" i="1"/>
  <c r="M206" i="1"/>
  <c r="M184" i="1"/>
  <c r="M15" i="1"/>
  <c r="M195" i="1"/>
  <c r="P10" i="7"/>
  <c r="E650" i="16"/>
  <c r="E652" i="16" s="1"/>
  <c r="E1555" i="16"/>
  <c r="E646" i="16"/>
  <c r="I86" i="25"/>
  <c r="J87" i="25"/>
  <c r="X473" i="1"/>
  <c r="E1997" i="16"/>
  <c r="E1992" i="16"/>
  <c r="E1993" i="16"/>
  <c r="T17" i="14"/>
  <c r="X466" i="1"/>
  <c r="W467" i="1"/>
  <c r="M68" i="12"/>
  <c r="M85" i="12" s="1"/>
  <c r="L233" i="13"/>
  <c r="T114" i="13"/>
  <c r="L235" i="13" s="1"/>
  <c r="U112" i="13"/>
  <c r="K216" i="13"/>
  <c r="T97" i="13"/>
  <c r="W4" i="18"/>
  <c r="V4" i="18"/>
  <c r="M208" i="13"/>
  <c r="V80" i="13"/>
  <c r="Y477" i="1"/>
  <c r="X99" i="10"/>
  <c r="L176" i="25"/>
  <c r="M175" i="25"/>
  <c r="G2565" i="16"/>
  <c r="O246" i="10"/>
  <c r="N247" i="10"/>
  <c r="K194" i="10"/>
  <c r="T97" i="10"/>
  <c r="T146" i="10"/>
  <c r="T51" i="29" s="1"/>
  <c r="T52" i="29" s="1"/>
  <c r="M28" i="26"/>
  <c r="E2562" i="16"/>
  <c r="V461" i="1"/>
  <c r="W456" i="1"/>
  <c r="V487" i="1"/>
  <c r="V488" i="1" s="1"/>
  <c r="V494" i="1"/>
  <c r="I126" i="25"/>
  <c r="G2568" i="16" s="1"/>
  <c r="G2561" i="16"/>
  <c r="G2544" i="16" s="1"/>
  <c r="G2555" i="16" s="1"/>
  <c r="L56" i="25"/>
  <c r="J2558" i="16"/>
  <c r="J249" i="13"/>
  <c r="S137" i="13"/>
  <c r="R139" i="13"/>
  <c r="G42" i="10"/>
  <c r="G49" i="10" s="1"/>
  <c r="G25" i="10"/>
  <c r="L85" i="12"/>
  <c r="D161" i="14"/>
  <c r="D162" i="14" s="1"/>
  <c r="D155" i="14" s="1"/>
  <c r="D230" i="14" s="1"/>
  <c r="D226" i="14"/>
  <c r="Z115" i="18"/>
  <c r="K8" i="22"/>
  <c r="Y4" i="18"/>
  <c r="K2" i="21"/>
  <c r="J35" i="21"/>
  <c r="X479" i="1"/>
  <c r="M61" i="12"/>
  <c r="AA144" i="1"/>
  <c r="AB261" i="1"/>
  <c r="M140" i="12"/>
  <c r="Q540" i="1"/>
  <c r="Q583" i="1" s="1"/>
  <c r="W459" i="1"/>
  <c r="V460" i="1"/>
  <c r="L164" i="10"/>
  <c r="M162" i="10"/>
  <c r="N134" i="10"/>
  <c r="M143" i="10"/>
  <c r="O272" i="10"/>
  <c r="O275" i="10" s="1"/>
  <c r="P282" i="10"/>
  <c r="O280" i="10"/>
  <c r="P198" i="10"/>
  <c r="P211" i="10" s="1"/>
  <c r="P57" i="10"/>
  <c r="I1671" i="16"/>
  <c r="M35" i="7"/>
  <c r="M20" i="7"/>
  <c r="N1040" i="16"/>
  <c r="W480" i="1"/>
  <c r="V481" i="1"/>
  <c r="V482" i="1"/>
  <c r="E161" i="14"/>
  <c r="E162" i="14" s="1"/>
  <c r="E155" i="14" s="1"/>
  <c r="E230" i="14" s="1"/>
  <c r="E226" i="14"/>
  <c r="U296" i="1"/>
  <c r="U143" i="1"/>
  <c r="W468" i="1"/>
  <c r="X463" i="1"/>
  <c r="V49" i="13"/>
  <c r="L38" i="25"/>
  <c r="L115" i="25" s="1"/>
  <c r="K44" i="25"/>
  <c r="K62" i="25" s="1"/>
  <c r="K122" i="25" s="1"/>
  <c r="I2547" i="16"/>
  <c r="L37" i="7"/>
  <c r="L38" i="7" s="1"/>
  <c r="L48" i="7" s="1"/>
  <c r="L47" i="7" s="1"/>
  <c r="M12" i="7"/>
  <c r="U2" i="11"/>
  <c r="T117" i="11"/>
  <c r="G161" i="16"/>
  <c r="H348" i="1"/>
  <c r="H349" i="1" s="1"/>
  <c r="H344" i="1"/>
  <c r="U492" i="1"/>
  <c r="U509" i="1" s="1"/>
  <c r="E102" i="14"/>
  <c r="E105" i="14"/>
  <c r="E107" i="14" s="1"/>
  <c r="S98" i="10"/>
  <c r="G207" i="13"/>
  <c r="O105" i="13"/>
  <c r="O99" i="13"/>
  <c r="P187" i="1"/>
  <c r="O186" i="1"/>
  <c r="J12" i="25"/>
  <c r="I16" i="25"/>
  <c r="I18" i="25" s="1"/>
  <c r="I14" i="25"/>
  <c r="O223" i="1"/>
  <c r="O137" i="1" s="1"/>
  <c r="P221" i="1"/>
  <c r="L42" i="10"/>
  <c r="L49" i="10" s="1"/>
  <c r="L25" i="10"/>
  <c r="K189" i="13"/>
  <c r="R123" i="10"/>
  <c r="Q122" i="10"/>
  <c r="Q114" i="10" s="1"/>
  <c r="D2528" i="16"/>
  <c r="N60" i="12"/>
  <c r="V458" i="1"/>
  <c r="V62" i="11"/>
  <c r="K43" i="12"/>
  <c r="K97" i="12" s="1"/>
  <c r="I348" i="1"/>
  <c r="I349" i="1" s="1"/>
  <c r="I344" i="1"/>
  <c r="N58" i="25"/>
  <c r="M55" i="25"/>
  <c r="I251" i="13"/>
  <c r="Q148" i="13"/>
  <c r="H129" i="12"/>
  <c r="H120" i="12"/>
  <c r="U85" i="10"/>
  <c r="T60" i="10"/>
  <c r="K1375" i="16"/>
  <c r="J1381" i="16"/>
  <c r="U286" i="1"/>
  <c r="U131" i="1"/>
  <c r="K102" i="14"/>
  <c r="K106" i="14"/>
  <c r="D152" i="14"/>
  <c r="D227" i="14" s="1"/>
  <c r="J1045" i="16"/>
  <c r="P1045" i="16" s="1"/>
  <c r="D85" i="14"/>
  <c r="D82" i="14"/>
  <c r="D80" i="14"/>
  <c r="J43" i="12"/>
  <c r="J45" i="12" s="1"/>
  <c r="J47" i="12" s="1"/>
  <c r="J50" i="25"/>
  <c r="I41" i="25"/>
  <c r="G239" i="13"/>
  <c r="O118" i="13"/>
  <c r="G240" i="13" s="1"/>
  <c r="L78" i="12"/>
  <c r="P583" i="1"/>
  <c r="K209" i="1"/>
  <c r="K327" i="1"/>
  <c r="K331" i="1" s="1"/>
  <c r="K447" i="1"/>
  <c r="K527" i="1" s="1"/>
  <c r="X23" i="11"/>
  <c r="O35" i="7"/>
  <c r="O20" i="7"/>
  <c r="H491" i="1"/>
  <c r="I490" i="1"/>
  <c r="G50" i="7" s="1"/>
  <c r="H212" i="13"/>
  <c r="X307" i="1"/>
  <c r="P23" i="13"/>
  <c r="C114" i="16"/>
  <c r="C115" i="16" s="1"/>
  <c r="C109" i="16"/>
  <c r="O2733" i="16"/>
  <c r="I2237" i="16"/>
  <c r="H2238" i="16"/>
  <c r="H2244" i="16" s="1"/>
  <c r="Q43" i="9"/>
  <c r="V29" i="7"/>
  <c r="J110" i="25"/>
  <c r="J123" i="25" s="1"/>
  <c r="H2559" i="16"/>
  <c r="X135" i="10"/>
  <c r="D1778" i="16"/>
  <c r="D1789" i="16"/>
  <c r="D1790" i="16" s="1"/>
  <c r="L32" i="13"/>
  <c r="L54" i="13" s="1"/>
  <c r="H213" i="13"/>
  <c r="P117" i="13"/>
  <c r="Y68" i="13"/>
  <c r="Y134" i="13" s="1"/>
  <c r="D1997" i="16"/>
  <c r="D1992" i="16"/>
  <c r="D1993" i="16"/>
  <c r="Z40" i="11"/>
  <c r="E240" i="14"/>
  <c r="K26" i="25"/>
  <c r="L9" i="25"/>
  <c r="C1041" i="16"/>
  <c r="H1041" i="16" s="1"/>
  <c r="N1041" i="16" s="1"/>
  <c r="G158" i="12"/>
  <c r="G166" i="13"/>
  <c r="I5" i="25"/>
  <c r="J20" i="25"/>
  <c r="I29" i="25"/>
  <c r="W465" i="1"/>
  <c r="Y264" i="1"/>
  <c r="N15" i="18"/>
  <c r="E40" i="7"/>
  <c r="X22" i="11"/>
  <c r="J245" i="13"/>
  <c r="S133" i="13"/>
  <c r="R135" i="13"/>
  <c r="J42" i="10"/>
  <c r="J49" i="10" s="1"/>
  <c r="J25" i="10"/>
  <c r="N279" i="1"/>
  <c r="N277" i="1" s="1"/>
  <c r="N138" i="1" s="1"/>
  <c r="N140" i="1" s="1"/>
  <c r="N154" i="1" s="1"/>
  <c r="Y115" i="18"/>
  <c r="BC152" i="5"/>
  <c r="U62" i="14"/>
  <c r="U86" i="10"/>
  <c r="V70" i="10"/>
  <c r="V95" i="10" s="1"/>
  <c r="U76" i="10"/>
  <c r="U77" i="10" s="1"/>
  <c r="U62" i="10"/>
  <c r="U58" i="10"/>
  <c r="U68" i="10"/>
  <c r="M29" i="12"/>
  <c r="M33" i="12" s="1"/>
  <c r="N30" i="12"/>
  <c r="Z310" i="1"/>
  <c r="Y306" i="1"/>
  <c r="V533" i="1"/>
  <c r="V41" i="1"/>
  <c r="R1" i="10" s="1"/>
  <c r="R167" i="10" s="1"/>
  <c r="H251" i="13"/>
  <c r="P140" i="13"/>
  <c r="J188" i="13"/>
  <c r="P109" i="10"/>
  <c r="P108" i="10"/>
  <c r="P115" i="10"/>
  <c r="P107" i="10"/>
  <c r="P32" i="10"/>
  <c r="P111" i="10"/>
  <c r="P103" i="10"/>
  <c r="P113" i="10" s="1"/>
  <c r="P137" i="10" s="1"/>
  <c r="M77" i="12"/>
  <c r="AO236" i="5"/>
  <c r="L193" i="10"/>
  <c r="M42" i="10"/>
  <c r="M49" i="10" s="1"/>
  <c r="M25" i="10"/>
  <c r="J2234" i="16"/>
  <c r="I2243" i="16"/>
  <c r="U26" i="10"/>
  <c r="U43" i="10"/>
  <c r="O71" i="12"/>
  <c r="V502" i="1"/>
  <c r="N52" i="12"/>
  <c r="N53" i="12" s="1"/>
  <c r="E1777" i="16"/>
  <c r="E1778" i="16" s="1"/>
  <c r="N160" i="13"/>
  <c r="O159" i="13"/>
  <c r="U132" i="1"/>
  <c r="U289" i="1"/>
  <c r="G253" i="13"/>
  <c r="O143" i="13"/>
  <c r="G254" i="13" s="1"/>
  <c r="O131" i="13"/>
  <c r="F124" i="10"/>
  <c r="G124" i="10"/>
  <c r="F7" i="21"/>
  <c r="G19" i="21"/>
  <c r="F19" i="21"/>
  <c r="AA515" i="1"/>
  <c r="Z34" i="1"/>
  <c r="AF13" i="18" s="1"/>
  <c r="R157" i="1"/>
  <c r="Y83" i="10"/>
  <c r="H84" i="25"/>
  <c r="H92" i="25"/>
  <c r="H114" i="25" s="1"/>
  <c r="E1597" i="16"/>
  <c r="H214" i="13"/>
  <c r="P61" i="13"/>
  <c r="P87" i="13" s="1"/>
  <c r="D1668" i="16"/>
  <c r="W143" i="10"/>
  <c r="Q23" i="13"/>
  <c r="R28" i="13"/>
  <c r="Q537" i="1"/>
  <c r="Q580" i="1" s="1"/>
  <c r="K40" i="14"/>
  <c r="BN54" i="5"/>
  <c r="C228" i="14"/>
  <c r="C235" i="14" s="1"/>
  <c r="H146" i="12"/>
  <c r="H24" i="12"/>
  <c r="H133" i="12"/>
  <c r="H132" i="12" s="1"/>
  <c r="E1040" i="16"/>
  <c r="J1040" i="16" s="1"/>
  <c r="D1040" i="16"/>
  <c r="I1040" i="16" s="1"/>
  <c r="E7" i="22"/>
  <c r="E5" i="22" s="1"/>
  <c r="M149" i="10"/>
  <c r="M152" i="10" s="1"/>
  <c r="H2564" i="16"/>
  <c r="W18" i="13"/>
  <c r="Z3" i="18"/>
  <c r="Q7" i="7"/>
  <c r="T512" i="1"/>
  <c r="T513" i="1" s="1"/>
  <c r="K223" i="13"/>
  <c r="T103" i="13"/>
  <c r="X93" i="10"/>
  <c r="I42" i="10"/>
  <c r="I49" i="10" s="1"/>
  <c r="I25" i="10"/>
  <c r="E173" i="14"/>
  <c r="N326" i="1"/>
  <c r="N446" i="1"/>
  <c r="N182" i="1"/>
  <c r="M253" i="10"/>
  <c r="M254" i="10" s="1"/>
  <c r="V296" i="1"/>
  <c r="I96" i="12"/>
  <c r="J4" i="12"/>
  <c r="I57" i="12"/>
  <c r="E215" i="14"/>
  <c r="E216" i="14" s="1"/>
  <c r="P535" i="1"/>
  <c r="P578" i="1" s="1"/>
  <c r="U12" i="13"/>
  <c r="T13" i="13"/>
  <c r="T14" i="13" s="1"/>
  <c r="U14" i="13" s="1"/>
  <c r="V14" i="13" s="1"/>
  <c r="W14" i="13" s="1"/>
  <c r="X14" i="13" s="1"/>
  <c r="Y14" i="13" s="1"/>
  <c r="Z14" i="13" s="1"/>
  <c r="AA14" i="13" s="1"/>
  <c r="X131" i="10"/>
  <c r="V132" i="10"/>
  <c r="N30" i="18"/>
  <c r="H529" i="1"/>
  <c r="I247" i="13"/>
  <c r="Q142" i="13"/>
  <c r="Q147" i="13"/>
  <c r="G348" i="1"/>
  <c r="G349" i="1" s="1"/>
  <c r="G344" i="1"/>
  <c r="G345" i="1" s="1"/>
  <c r="U26" i="11"/>
  <c r="U24" i="11" s="1"/>
  <c r="U13" i="11" s="1"/>
  <c r="U18" i="11"/>
  <c r="U17" i="11"/>
  <c r="U14" i="11"/>
  <c r="U11" i="11"/>
  <c r="U12" i="11"/>
  <c r="U19" i="11" s="1"/>
  <c r="L83" i="12"/>
  <c r="W59" i="14"/>
  <c r="V61" i="14"/>
  <c r="J342" i="1"/>
  <c r="Q198" i="10"/>
  <c r="Q211" i="10" s="1"/>
  <c r="Q57" i="10"/>
  <c r="J1671" i="16"/>
  <c r="N50" i="7"/>
  <c r="F131" i="25"/>
  <c r="D2573" i="16" s="1"/>
  <c r="G195" i="16"/>
  <c r="K188" i="16"/>
  <c r="O101" i="10"/>
  <c r="O3" i="10"/>
  <c r="D7" i="21"/>
  <c r="E19" i="21"/>
  <c r="L507" i="1"/>
  <c r="L491" i="1"/>
  <c r="I50" i="7" s="1"/>
  <c r="L520" i="1"/>
  <c r="L167" i="1" s="1"/>
  <c r="R115" i="18" s="1"/>
  <c r="Q541" i="1"/>
  <c r="Q584" i="1" s="1"/>
  <c r="X110" i="11"/>
  <c r="K185" i="16" s="1"/>
  <c r="Y109" i="11"/>
  <c r="K42" i="10"/>
  <c r="K49" i="10" s="1"/>
  <c r="K25" i="10"/>
  <c r="T491" i="1"/>
  <c r="Q50" i="7" s="1"/>
  <c r="P50" i="12"/>
  <c r="O49" i="12"/>
  <c r="Q513" i="1"/>
  <c r="N59" i="25"/>
  <c r="K36" i="12"/>
  <c r="X70" i="13"/>
  <c r="V392" i="1"/>
  <c r="W46" i="11"/>
  <c r="H40" i="13"/>
  <c r="F161" i="10"/>
  <c r="F162" i="10" s="1"/>
  <c r="AA148" i="18"/>
  <c r="AA154" i="18" s="1"/>
  <c r="BN95" i="5"/>
  <c r="C2739" i="16"/>
  <c r="O2739" i="16" s="1"/>
  <c r="G686" i="16"/>
  <c r="G687" i="16" s="1"/>
  <c r="U106" i="1"/>
  <c r="J79" i="25"/>
  <c r="I78" i="25"/>
  <c r="Z10" i="13"/>
  <c r="W148" i="10"/>
  <c r="H206" i="13"/>
  <c r="P113" i="13"/>
  <c r="H234" i="13" s="1"/>
  <c r="P79" i="13"/>
  <c r="D240" i="14"/>
  <c r="C169" i="14"/>
  <c r="C170" i="14" s="1"/>
  <c r="C155" i="14"/>
  <c r="J236" i="13"/>
  <c r="R116" i="13"/>
  <c r="J237" i="13" s="1"/>
  <c r="S115" i="13"/>
  <c r="L7" i="19"/>
  <c r="O90" i="13"/>
  <c r="O91" i="13" s="1"/>
  <c r="O64" i="13"/>
  <c r="O62" i="13"/>
  <c r="J261" i="16" s="1"/>
  <c r="O94" i="13"/>
  <c r="O129" i="13"/>
  <c r="T19" i="11"/>
  <c r="P539" i="1"/>
  <c r="P582" i="1" s="1"/>
  <c r="AB215" i="1"/>
  <c r="AA170" i="1"/>
  <c r="AA218" i="1"/>
  <c r="O277" i="10"/>
  <c r="P271" i="10"/>
  <c r="N17" i="10"/>
  <c r="N35" i="10"/>
  <c r="J137" i="12"/>
  <c r="I136" i="12"/>
  <c r="I138" i="12" s="1"/>
  <c r="I141" i="12" s="1"/>
  <c r="I134" i="12" s="1"/>
  <c r="F2556" i="16"/>
  <c r="H32" i="25"/>
  <c r="H120" i="25" s="1"/>
  <c r="K108" i="25"/>
  <c r="J119" i="25"/>
  <c r="J112" i="25" s="1"/>
  <c r="J64" i="25"/>
  <c r="K2" i="25"/>
  <c r="C177" i="14"/>
  <c r="C206" i="14"/>
  <c r="E91" i="14"/>
  <c r="Q538" i="1"/>
  <c r="Q581" i="1" s="1"/>
  <c r="M30" i="25"/>
  <c r="P7" i="14"/>
  <c r="O8" i="14"/>
  <c r="O9" i="14" s="1"/>
  <c r="Z48" i="11"/>
  <c r="S120" i="10"/>
  <c r="J194" i="10"/>
  <c r="K195" i="10"/>
  <c r="J195" i="10"/>
  <c r="U45" i="14"/>
  <c r="U17" i="14" s="1"/>
  <c r="W19" i="7"/>
  <c r="Z518" i="1" s="1"/>
  <c r="W41" i="7" s="1"/>
  <c r="W49" i="7" s="1"/>
  <c r="P16" i="21"/>
  <c r="V7" i="11"/>
  <c r="V16" i="11" s="1"/>
  <c r="W8" i="11"/>
  <c r="M66" i="12"/>
  <c r="E137" i="14"/>
  <c r="G25" i="12"/>
  <c r="G27" i="12" s="1"/>
  <c r="G121" i="12"/>
  <c r="C1997" i="16"/>
  <c r="C1993" i="16"/>
  <c r="C1992" i="16"/>
  <c r="M1798" i="16"/>
  <c r="AA87" i="11"/>
  <c r="AF4" i="14"/>
  <c r="I78" i="14"/>
  <c r="I84" i="14" s="1"/>
  <c r="I89" i="14" s="1"/>
  <c r="I94" i="14" s="1"/>
  <c r="I99" i="14" s="1"/>
  <c r="I104" i="14" s="1"/>
  <c r="I109" i="14" s="1"/>
  <c r="J2" i="14"/>
  <c r="T511" i="1"/>
  <c r="H253" i="13"/>
  <c r="P143" i="13"/>
  <c r="H254" i="13" s="1"/>
  <c r="O67" i="12"/>
  <c r="P84" i="12" s="1"/>
  <c r="O69" i="12"/>
  <c r="O86" i="12" s="1"/>
  <c r="M508" i="1"/>
  <c r="M504" i="1"/>
  <c r="M490" i="1"/>
  <c r="N485" i="1"/>
  <c r="S156" i="1"/>
  <c r="S157" i="1" s="1"/>
  <c r="P53" i="7"/>
  <c r="D1771" i="16"/>
  <c r="D1772" i="16" s="1"/>
  <c r="J1772" i="16" s="1"/>
  <c r="V8" i="10"/>
  <c r="J2500" i="16" s="1"/>
  <c r="W4" i="10"/>
  <c r="V18" i="10"/>
  <c r="W501" i="1"/>
  <c r="W499" i="1"/>
  <c r="X503" i="1"/>
  <c r="W505" i="1"/>
  <c r="W500" i="1"/>
  <c r="W498" i="1"/>
  <c r="U27" i="7"/>
  <c r="X171" i="1"/>
  <c r="AD113" i="18" s="1"/>
  <c r="X201" i="1"/>
  <c r="V74" i="10"/>
  <c r="U80" i="10"/>
  <c r="P1037" i="16"/>
  <c r="J1035" i="16"/>
  <c r="F14" i="13"/>
  <c r="F38" i="13"/>
  <c r="F51" i="13" s="1"/>
  <c r="C242" i="16" s="1"/>
  <c r="F12" i="13"/>
  <c r="F40" i="13" s="1"/>
  <c r="D148" i="10"/>
  <c r="D149" i="10" s="1"/>
  <c r="R281" i="10"/>
  <c r="G98" i="25"/>
  <c r="G121" i="25" s="1"/>
  <c r="M8" i="12"/>
  <c r="L11" i="12"/>
  <c r="L12" i="12" s="1"/>
  <c r="L10" i="12"/>
  <c r="O1037" i="16"/>
  <c r="I1035" i="16"/>
  <c r="F42" i="10"/>
  <c r="F49" i="10" s="1"/>
  <c r="F25" i="10"/>
  <c r="AE31" i="11"/>
  <c r="I210" i="13"/>
  <c r="R82" i="13"/>
  <c r="Q78" i="13"/>
  <c r="Q86" i="13"/>
  <c r="Q140" i="13" s="1"/>
  <c r="Q84" i="13"/>
  <c r="Q85" i="13"/>
  <c r="H42" i="10"/>
  <c r="H49" i="10" s="1"/>
  <c r="H25" i="10"/>
  <c r="R21" i="18"/>
  <c r="L208" i="1"/>
  <c r="L16" i="1"/>
  <c r="U127" i="10"/>
  <c r="D19" i="21"/>
  <c r="F38" i="14"/>
  <c r="G42" i="14"/>
  <c r="H1045" i="16"/>
  <c r="N1045" i="16" s="1"/>
  <c r="G43" i="14"/>
  <c r="L82" i="1"/>
  <c r="L115" i="1"/>
  <c r="R139" i="18"/>
  <c r="R152" i="18" s="1"/>
  <c r="S142" i="18"/>
  <c r="S155" i="18" s="1"/>
  <c r="M13" i="1"/>
  <c r="M11" i="1" s="1"/>
  <c r="N74" i="1"/>
  <c r="M74" i="1"/>
  <c r="M75" i="1"/>
  <c r="G106" i="14"/>
  <c r="G102" i="14"/>
  <c r="DG35" i="5"/>
  <c r="DL35" i="5"/>
  <c r="DK35" i="5"/>
  <c r="DF35" i="5"/>
  <c r="DH19" i="5"/>
  <c r="Q42" i="28" s="1"/>
  <c r="H12" i="19"/>
  <c r="K165" i="13"/>
  <c r="C88" i="9"/>
  <c r="C699" i="16"/>
  <c r="C90" i="9"/>
  <c r="L9" i="1"/>
  <c r="L325" i="1"/>
  <c r="J174" i="10"/>
  <c r="I175" i="10"/>
  <c r="Z261" i="5"/>
  <c r="Z264" i="5" s="1"/>
  <c r="Z99" i="5"/>
  <c r="H172" i="13"/>
  <c r="H170" i="13" s="1"/>
  <c r="C89" i="9"/>
  <c r="J165" i="13"/>
  <c r="G12" i="19"/>
  <c r="I253" i="10"/>
  <c r="I254" i="10" s="1"/>
  <c r="M166" i="13"/>
  <c r="M167" i="13" s="1"/>
  <c r="H15" i="14"/>
  <c r="H167" i="13"/>
  <c r="J391" i="1" s="1"/>
  <c r="Q19" i="18"/>
  <c r="C213" i="16"/>
  <c r="H24" i="7"/>
  <c r="H53" i="7"/>
  <c r="K18" i="1"/>
  <c r="K25" i="1" s="1"/>
  <c r="K30" i="1" s="1"/>
  <c r="K445" i="1"/>
  <c r="F106" i="14"/>
  <c r="F102" i="14"/>
  <c r="Z187" i="5"/>
  <c r="Z185" i="5" s="1"/>
  <c r="I60" i="14"/>
  <c r="G81" i="14"/>
  <c r="G23" i="14"/>
  <c r="E257" i="16" s="1"/>
  <c r="G34" i="14"/>
  <c r="G29" i="14"/>
  <c r="AD6" i="14" s="1"/>
  <c r="H23" i="14"/>
  <c r="F257" i="16" s="1"/>
  <c r="L166" i="13"/>
  <c r="L167" i="13" s="1"/>
  <c r="H241" i="10"/>
  <c r="J56" i="14"/>
  <c r="K55" i="14"/>
  <c r="K11" i="1"/>
  <c r="BC78" i="5"/>
  <c r="BC74" i="5"/>
  <c r="M115" i="1"/>
  <c r="M82" i="1"/>
  <c r="S139" i="18"/>
  <c r="S152" i="18" s="1"/>
  <c r="I241" i="10"/>
  <c r="R134" i="18"/>
  <c r="H14" i="16"/>
  <c r="H15" i="16" s="1"/>
  <c r="L57" i="1"/>
  <c r="E264" i="16" s="1"/>
  <c r="L107" i="1"/>
  <c r="L58" i="1"/>
  <c r="L59" i="1" s="1"/>
  <c r="E265" i="16" s="1"/>
  <c r="L5" i="1"/>
  <c r="L104" i="1"/>
  <c r="L62" i="1"/>
  <c r="L121" i="1"/>
  <c r="E272" i="16"/>
  <c r="E270" i="16"/>
  <c r="E271" i="16"/>
  <c r="H48" i="14"/>
  <c r="G55" i="14"/>
  <c r="G48" i="14"/>
  <c r="G24" i="14"/>
  <c r="E258" i="16" s="1"/>
  <c r="BG169" i="5"/>
  <c r="BC59" i="5"/>
  <c r="Y66" i="28" s="1"/>
  <c r="BC149" i="5"/>
  <c r="DR32" i="5"/>
  <c r="DW32" i="5"/>
  <c r="BE169" i="5"/>
  <c r="BC169" i="5"/>
  <c r="BF169" i="5"/>
  <c r="L83" i="1"/>
  <c r="H253" i="10"/>
  <c r="H258" i="10" s="1"/>
  <c r="Q189" i="10"/>
  <c r="Q190" i="10" s="1"/>
  <c r="H102" i="14"/>
  <c r="H106" i="14"/>
  <c r="G59" i="14"/>
  <c r="G60" i="14" s="1"/>
  <c r="G62" i="14"/>
  <c r="I172" i="13"/>
  <c r="I170" i="13" s="1"/>
  <c r="I157" i="13" s="1"/>
  <c r="I187" i="10"/>
  <c r="R142" i="18"/>
  <c r="R155" i="18" s="1"/>
  <c r="C302" i="16"/>
  <c r="L84" i="1"/>
  <c r="L13" i="1"/>
  <c r="L74" i="1"/>
  <c r="L75" i="1"/>
  <c r="M325" i="1"/>
  <c r="N9" i="1"/>
  <c r="M9" i="1"/>
  <c r="C47" i="9"/>
  <c r="K116" i="1"/>
  <c r="AF152" i="18" l="1"/>
  <c r="AG139" i="18"/>
  <c r="H19" i="21"/>
  <c r="R47" i="9"/>
  <c r="Q136" i="10"/>
  <c r="R136" i="10" s="1"/>
  <c r="S136" i="10" s="1"/>
  <c r="T136" i="10" s="1"/>
  <c r="U136" i="10" s="1"/>
  <c r="V136" i="10" s="1"/>
  <c r="W136" i="10" s="1"/>
  <c r="Q126" i="10"/>
  <c r="K201" i="13" s="1"/>
  <c r="Q129" i="10"/>
  <c r="Q143" i="10" s="1"/>
  <c r="S59" i="10"/>
  <c r="T84" i="10"/>
  <c r="S94" i="10"/>
  <c r="S69" i="10" s="1"/>
  <c r="F128" i="25"/>
  <c r="D2570" i="16" s="1"/>
  <c r="F129" i="25"/>
  <c r="D2571" i="16" s="1"/>
  <c r="D2566" i="16"/>
  <c r="W475" i="1"/>
  <c r="T507" i="1"/>
  <c r="X470" i="1"/>
  <c r="X472" i="1" s="1"/>
  <c r="W474" i="1"/>
  <c r="AG146" i="18"/>
  <c r="AG152" i="18" s="1"/>
  <c r="AA112" i="1"/>
  <c r="BS248" i="5"/>
  <c r="AS91" i="28"/>
  <c r="BW15" i="28"/>
  <c r="BU15" i="28"/>
  <c r="CJ19" i="28"/>
  <c r="J42" i="9"/>
  <c r="X51" i="29"/>
  <c r="N52" i="29" s="1"/>
  <c r="F137" i="25"/>
  <c r="F135" i="25" s="1"/>
  <c r="F130" i="25"/>
  <c r="D2572" i="16" s="1"/>
  <c r="D220" i="14"/>
  <c r="D221" i="14" s="1"/>
  <c r="I137" i="14"/>
  <c r="K452" i="1"/>
  <c r="K525" i="1" s="1"/>
  <c r="G2080" i="16"/>
  <c r="G2082" i="16" s="1"/>
  <c r="M50" i="9"/>
  <c r="U297" i="1"/>
  <c r="G124" i="25"/>
  <c r="G137" i="25" s="1"/>
  <c r="I2545" i="16"/>
  <c r="K113" i="25"/>
  <c r="EG26" i="5"/>
  <c r="AS109" i="28" s="1"/>
  <c r="M16" i="29"/>
  <c r="BS15" i="28"/>
  <c r="CK19" i="28"/>
  <c r="AO102" i="28"/>
  <c r="BM120" i="5"/>
  <c r="BN70" i="5"/>
  <c r="U329" i="1"/>
  <c r="E1567" i="16"/>
  <c r="BL98" i="5"/>
  <c r="Y2800" i="16"/>
  <c r="O2800" i="16"/>
  <c r="C2806" i="16"/>
  <c r="DM35" i="5"/>
  <c r="AA115" i="1"/>
  <c r="J454" i="1"/>
  <c r="P15" i="18"/>
  <c r="D206" i="14"/>
  <c r="D1067" i="16"/>
  <c r="H1067" i="16"/>
  <c r="C1068" i="16"/>
  <c r="N278" i="10"/>
  <c r="M45" i="9"/>
  <c r="U490" i="1"/>
  <c r="U504" i="1"/>
  <c r="K54" i="12"/>
  <c r="U508" i="1"/>
  <c r="P542" i="1"/>
  <c r="P543" i="1" s="1"/>
  <c r="O543" i="1"/>
  <c r="O576" i="1" s="1"/>
  <c r="E156" i="14"/>
  <c r="E231" i="14" s="1"/>
  <c r="E232" i="14" s="1"/>
  <c r="F2546" i="16"/>
  <c r="F2549" i="16" s="1"/>
  <c r="F2553" i="16" s="1"/>
  <c r="H117" i="25"/>
  <c r="U18" i="14"/>
  <c r="U123" i="1"/>
  <c r="O2769" i="16"/>
  <c r="C2775" i="16"/>
  <c r="O2775" i="16" s="1"/>
  <c r="D1047" i="16"/>
  <c r="I1047" i="16" s="1"/>
  <c r="O1047" i="16" s="1"/>
  <c r="AG52" i="28"/>
  <c r="AG37" i="28"/>
  <c r="J529" i="1"/>
  <c r="J530" i="1" s="1"/>
  <c r="J35" i="1" s="1"/>
  <c r="E1994" i="16"/>
  <c r="E1995" i="16" s="1"/>
  <c r="O276" i="10"/>
  <c r="O278" i="10" s="1"/>
  <c r="M74" i="12"/>
  <c r="M58" i="12" s="1"/>
  <c r="D156" i="14"/>
  <c r="D231" i="14" s="1"/>
  <c r="D232" i="14" s="1"/>
  <c r="E653" i="16"/>
  <c r="CS17" i="5"/>
  <c r="E40" i="28" s="1"/>
  <c r="CN17" i="5"/>
  <c r="I35" i="14"/>
  <c r="N165" i="13"/>
  <c r="N166" i="13" s="1"/>
  <c r="N167" i="13" s="1"/>
  <c r="E467" i="16" s="1"/>
  <c r="I36" i="14"/>
  <c r="H92" i="14"/>
  <c r="H82" i="14"/>
  <c r="H80" i="14"/>
  <c r="H91" i="14" s="1"/>
  <c r="AA91" i="14" s="1"/>
  <c r="D1041" i="16"/>
  <c r="I1041" i="16" s="1"/>
  <c r="O1041" i="16" s="1"/>
  <c r="I258" i="10"/>
  <c r="I256" i="10" s="1"/>
  <c r="N157" i="1"/>
  <c r="O157" i="1"/>
  <c r="S281" i="10"/>
  <c r="M83" i="12"/>
  <c r="K196" i="10"/>
  <c r="C2745" i="16"/>
  <c r="O2745" i="16" s="1"/>
  <c r="R536" i="1"/>
  <c r="R579" i="1" s="1"/>
  <c r="I105" i="25"/>
  <c r="J81" i="25"/>
  <c r="P270" i="10"/>
  <c r="P272" i="10" s="1"/>
  <c r="P275" i="10" s="1"/>
  <c r="J2548" i="16"/>
  <c r="M102" i="25"/>
  <c r="M116" i="25" s="1"/>
  <c r="C1998" i="16"/>
  <c r="N133" i="25"/>
  <c r="L2579" i="16" s="1"/>
  <c r="K2579" i="16"/>
  <c r="O84" i="12"/>
  <c r="F1998" i="16"/>
  <c r="J611" i="16"/>
  <c r="J655" i="16" s="1"/>
  <c r="J680" i="16" s="1"/>
  <c r="I655" i="16"/>
  <c r="I680" i="16" s="1"/>
  <c r="V151" i="10"/>
  <c r="W51" i="10"/>
  <c r="G1104" i="16"/>
  <c r="H1103" i="16"/>
  <c r="I1103" i="16"/>
  <c r="O191" i="1"/>
  <c r="P190" i="1"/>
  <c r="Q579" i="1"/>
  <c r="K336" i="1"/>
  <c r="K340" i="1" s="1"/>
  <c r="K334" i="1"/>
  <c r="M164" i="10"/>
  <c r="N162" i="10"/>
  <c r="K79" i="25"/>
  <c r="J78" i="25"/>
  <c r="P159" i="13"/>
  <c r="O160" i="13"/>
  <c r="O165" i="13" s="1"/>
  <c r="W115" i="18"/>
  <c r="AT152" i="5"/>
  <c r="G218" i="13"/>
  <c r="O98" i="13"/>
  <c r="G225" i="13"/>
  <c r="O104" i="13"/>
  <c r="X480" i="1"/>
  <c r="W481" i="1"/>
  <c r="W482" i="1"/>
  <c r="V484" i="1"/>
  <c r="I212" i="13"/>
  <c r="Y503" i="1"/>
  <c r="X505" i="1"/>
  <c r="X500" i="1"/>
  <c r="X498" i="1"/>
  <c r="X499" i="1"/>
  <c r="X501" i="1"/>
  <c r="W7" i="11"/>
  <c r="W16" i="11" s="1"/>
  <c r="X8" i="11"/>
  <c r="K50" i="25"/>
  <c r="K53" i="25" s="1"/>
  <c r="J41" i="25"/>
  <c r="I2564" i="16"/>
  <c r="N140" i="12"/>
  <c r="W461" i="1"/>
  <c r="X456" i="1"/>
  <c r="X458" i="1" s="1"/>
  <c r="W494" i="1"/>
  <c r="W487" i="1"/>
  <c r="W488" i="1" s="1"/>
  <c r="AA412" i="1"/>
  <c r="Z169" i="1"/>
  <c r="Q539" i="1"/>
  <c r="Q582" i="1" s="1"/>
  <c r="L223" i="13"/>
  <c r="U103" i="13"/>
  <c r="L10" i="19"/>
  <c r="O150" i="13"/>
  <c r="O148" i="13"/>
  <c r="AA3" i="18"/>
  <c r="R7" i="7"/>
  <c r="U512" i="1"/>
  <c r="U513" i="1" s="1"/>
  <c r="P35" i="7"/>
  <c r="P20" i="7"/>
  <c r="M491" i="1"/>
  <c r="M507" i="1"/>
  <c r="M520" i="1"/>
  <c r="M167" i="1" s="1"/>
  <c r="S115" i="18" s="1"/>
  <c r="T20" i="18"/>
  <c r="N183" i="1"/>
  <c r="N206" i="1"/>
  <c r="N15" i="1"/>
  <c r="N184" i="1"/>
  <c r="N195" i="1"/>
  <c r="O1040" i="16"/>
  <c r="AC261" i="1"/>
  <c r="AC144" i="1" s="1"/>
  <c r="AB144" i="1"/>
  <c r="L327" i="1"/>
  <c r="L331" i="1" s="1"/>
  <c r="L447" i="1"/>
  <c r="L527" i="1" s="1"/>
  <c r="L209" i="1"/>
  <c r="J210" i="13"/>
  <c r="R78" i="13"/>
  <c r="R86" i="13"/>
  <c r="R140" i="13" s="1"/>
  <c r="R84" i="13"/>
  <c r="R85" i="13"/>
  <c r="S82" i="13"/>
  <c r="V26" i="10"/>
  <c r="V43" i="10"/>
  <c r="T120" i="10"/>
  <c r="F2562" i="16"/>
  <c r="U37" i="11"/>
  <c r="U45" i="11"/>
  <c r="U43" i="11" s="1"/>
  <c r="C2715" i="16"/>
  <c r="P2027" i="16"/>
  <c r="M258" i="10"/>
  <c r="M256" i="10" s="1"/>
  <c r="V62" i="14"/>
  <c r="V143" i="1"/>
  <c r="N526" i="1"/>
  <c r="Y93" i="10"/>
  <c r="P1040" i="16"/>
  <c r="X143" i="10"/>
  <c r="C2477" i="16"/>
  <c r="O30" i="12"/>
  <c r="N29" i="12"/>
  <c r="N33" i="12" s="1"/>
  <c r="P38" i="13"/>
  <c r="P39" i="13"/>
  <c r="P19" i="13"/>
  <c r="P43" i="13"/>
  <c r="P52" i="13" s="1"/>
  <c r="P45" i="13"/>
  <c r="P40" i="13"/>
  <c r="L90" i="12"/>
  <c r="L35" i="12" s="1"/>
  <c r="L36" i="12" s="1"/>
  <c r="K107" i="14"/>
  <c r="K111" i="14"/>
  <c r="K112" i="14" s="1"/>
  <c r="L1375" i="16"/>
  <c r="K1381" i="16"/>
  <c r="M56" i="25"/>
  <c r="K2558" i="16"/>
  <c r="K188" i="13"/>
  <c r="Q115" i="10"/>
  <c r="Q107" i="10"/>
  <c r="Q128" i="10"/>
  <c r="Q111" i="10"/>
  <c r="Q109" i="10"/>
  <c r="Q108" i="10"/>
  <c r="Q103" i="10"/>
  <c r="O279" i="1"/>
  <c r="O277" i="1" s="1"/>
  <c r="O138" i="1" s="1"/>
  <c r="O140" i="1" s="1"/>
  <c r="O154" i="1" s="1"/>
  <c r="E28" i="7"/>
  <c r="E32" i="7" s="1"/>
  <c r="E48" i="7" s="1"/>
  <c r="E47" i="7" s="1"/>
  <c r="H164" i="1"/>
  <c r="M38" i="25"/>
  <c r="M115" i="25" s="1"/>
  <c r="L44" i="25"/>
  <c r="L62" i="25" s="1"/>
  <c r="L122" i="25" s="1"/>
  <c r="J2547" i="16"/>
  <c r="P101" i="10"/>
  <c r="P3" i="10"/>
  <c r="X459" i="1"/>
  <c r="W460" i="1"/>
  <c r="D228" i="14"/>
  <c r="D235" i="14" s="1"/>
  <c r="D241" i="14"/>
  <c r="D242" i="14" s="1"/>
  <c r="L8" i="22"/>
  <c r="N68" i="12"/>
  <c r="N85" i="12" s="1"/>
  <c r="Y473" i="1"/>
  <c r="V131" i="1"/>
  <c r="AT236" i="5"/>
  <c r="M193" i="10"/>
  <c r="M195" i="10" s="1"/>
  <c r="L194" i="10"/>
  <c r="I32" i="25"/>
  <c r="I120" i="25" s="1"/>
  <c r="G2556" i="16"/>
  <c r="J97" i="12"/>
  <c r="J54" i="12"/>
  <c r="Y99" i="10"/>
  <c r="X133" i="10"/>
  <c r="I206" i="13"/>
  <c r="Q113" i="13"/>
  <c r="I234" i="13" s="1"/>
  <c r="Q79" i="13"/>
  <c r="K236" i="13"/>
  <c r="S116" i="13"/>
  <c r="K237" i="13" s="1"/>
  <c r="T115" i="13"/>
  <c r="AA310" i="1"/>
  <c r="Z306" i="1"/>
  <c r="Z307" i="1" s="1"/>
  <c r="P1035" i="16"/>
  <c r="W8" i="10"/>
  <c r="K2500" i="16" s="1"/>
  <c r="X4" i="10"/>
  <c r="W18" i="10"/>
  <c r="V45" i="14"/>
  <c r="V17" i="14" s="1"/>
  <c r="V18" i="14" s="1"/>
  <c r="X19" i="7"/>
  <c r="AA518" i="1" s="1"/>
  <c r="X41" i="7" s="1"/>
  <c r="X49" i="7" s="1"/>
  <c r="BN84" i="5"/>
  <c r="M2848" i="16"/>
  <c r="R541" i="1"/>
  <c r="R584" i="1" s="1"/>
  <c r="H30" i="21"/>
  <c r="H28" i="21"/>
  <c r="X59" i="14"/>
  <c r="X61" i="14" s="1"/>
  <c r="W61" i="14"/>
  <c r="W132" i="10"/>
  <c r="X18" i="13"/>
  <c r="E1041" i="16"/>
  <c r="J1041" i="16" s="1"/>
  <c r="P1041" i="16" s="1"/>
  <c r="AG62" i="28"/>
  <c r="F30" i="21"/>
  <c r="F28" i="21"/>
  <c r="P46" i="10"/>
  <c r="P29" i="10"/>
  <c r="P30" i="10" s="1"/>
  <c r="P33" i="10" s="1"/>
  <c r="G172" i="13"/>
  <c r="G170" i="13" s="1"/>
  <c r="D1994" i="16"/>
  <c r="D1995" i="16" s="1"/>
  <c r="H239" i="13"/>
  <c r="P118" i="13"/>
  <c r="H240" i="13" s="1"/>
  <c r="N55" i="25"/>
  <c r="L189" i="13"/>
  <c r="R122" i="10"/>
  <c r="R114" i="10" s="1"/>
  <c r="S123" i="10"/>
  <c r="E2528" i="16"/>
  <c r="X468" i="1"/>
  <c r="Y463" i="1"/>
  <c r="N61" i="12"/>
  <c r="O78" i="12" s="1"/>
  <c r="T98" i="10"/>
  <c r="M176" i="25"/>
  <c r="N175" i="25"/>
  <c r="N176" i="25" s="1"/>
  <c r="Z477" i="1"/>
  <c r="L216" i="13"/>
  <c r="U97" i="13"/>
  <c r="J86" i="25"/>
  <c r="K87" i="25"/>
  <c r="W392" i="1"/>
  <c r="R23" i="13"/>
  <c r="S28" i="13"/>
  <c r="O60" i="12"/>
  <c r="O77" i="12" s="1"/>
  <c r="O1035" i="16"/>
  <c r="V18" i="11"/>
  <c r="V17" i="11"/>
  <c r="V14" i="11"/>
  <c r="V26" i="11"/>
  <c r="V24" i="11" s="1"/>
  <c r="V13" i="11" s="1"/>
  <c r="V11" i="11"/>
  <c r="V12" i="11"/>
  <c r="V19" i="11" s="1"/>
  <c r="V61" i="11" s="1"/>
  <c r="V58" i="11" s="1"/>
  <c r="L108" i="25"/>
  <c r="H207" i="13"/>
  <c r="P105" i="13"/>
  <c r="P99" i="13"/>
  <c r="Q50" i="12"/>
  <c r="P49" i="12"/>
  <c r="P52" i="12" s="1"/>
  <c r="P53" i="12" s="1"/>
  <c r="J96" i="12"/>
  <c r="K4" i="12"/>
  <c r="J57" i="12"/>
  <c r="C245" i="14"/>
  <c r="V27" i="7"/>
  <c r="Y171" i="1"/>
  <c r="AE113" i="18" s="1"/>
  <c r="Y201" i="1"/>
  <c r="T37" i="11"/>
  <c r="T45" i="11"/>
  <c r="T43" i="11" s="1"/>
  <c r="T61" i="11"/>
  <c r="T58" i="11" s="1"/>
  <c r="G481" i="16" s="1"/>
  <c r="X138" i="13"/>
  <c r="X71" i="13"/>
  <c r="Y22" i="11"/>
  <c r="D30" i="21"/>
  <c r="D28" i="21"/>
  <c r="M11" i="12"/>
  <c r="S8" i="12"/>
  <c r="M10" i="12"/>
  <c r="N8" i="12"/>
  <c r="W502" i="1"/>
  <c r="R43" i="9"/>
  <c r="W29" i="7"/>
  <c r="AA48" i="11"/>
  <c r="I146" i="12"/>
  <c r="I133" i="12"/>
  <c r="I132" i="12" s="1"/>
  <c r="I24" i="12"/>
  <c r="C230" i="14"/>
  <c r="C156" i="14"/>
  <c r="C231" i="14" s="1"/>
  <c r="AA10" i="13"/>
  <c r="X148" i="10"/>
  <c r="O17" i="10"/>
  <c r="O35" i="10"/>
  <c r="Q101" i="10"/>
  <c r="Q3" i="10"/>
  <c r="G28" i="21"/>
  <c r="G30" i="21"/>
  <c r="K2234" i="16"/>
  <c r="K2243" i="16" s="1"/>
  <c r="J2243" i="16"/>
  <c r="J247" i="13"/>
  <c r="R142" i="13"/>
  <c r="R147" i="13"/>
  <c r="Z264" i="1"/>
  <c r="G167" i="13"/>
  <c r="I391" i="1" s="1"/>
  <c r="L26" i="25"/>
  <c r="M9" i="25"/>
  <c r="D1998" i="16"/>
  <c r="D100" i="14"/>
  <c r="D90" i="14"/>
  <c r="D86" i="14"/>
  <c r="V85" i="10"/>
  <c r="U60" i="10"/>
  <c r="K45" i="12"/>
  <c r="K47" i="12" s="1"/>
  <c r="X465" i="1"/>
  <c r="E241" i="14"/>
  <c r="E242" i="14" s="1"/>
  <c r="E228" i="14"/>
  <c r="E235" i="14" s="1"/>
  <c r="H1039" i="16"/>
  <c r="O134" i="10"/>
  <c r="N110" i="10"/>
  <c r="N106" i="10" s="1"/>
  <c r="M78" i="12"/>
  <c r="J251" i="13"/>
  <c r="R148" i="13"/>
  <c r="Z4" i="18"/>
  <c r="L195" i="10"/>
  <c r="L196" i="10" s="1"/>
  <c r="Y479" i="1"/>
  <c r="X467" i="1"/>
  <c r="Y466" i="1"/>
  <c r="I89" i="25"/>
  <c r="G2557" i="16"/>
  <c r="I95" i="25"/>
  <c r="S21" i="18"/>
  <c r="M208" i="1"/>
  <c r="M16" i="1"/>
  <c r="M18" i="1" s="1"/>
  <c r="M25" i="1" s="1"/>
  <c r="M30" i="1" s="1"/>
  <c r="H98" i="25"/>
  <c r="H121" i="25" s="1"/>
  <c r="H124" i="25" s="1"/>
  <c r="AA68" i="13"/>
  <c r="N30" i="25"/>
  <c r="F1777" i="16"/>
  <c r="F1778" i="16" s="1"/>
  <c r="O52" i="12"/>
  <c r="O53" i="12" s="1"/>
  <c r="G491" i="1"/>
  <c r="G490" i="1" s="1"/>
  <c r="H490" i="1"/>
  <c r="H507" i="1" s="1"/>
  <c r="H508" i="1" s="1"/>
  <c r="V132" i="1"/>
  <c r="Q187" i="1"/>
  <c r="P186" i="1"/>
  <c r="O247" i="10"/>
  <c r="P246" i="10"/>
  <c r="I214" i="13"/>
  <c r="Q61" i="13"/>
  <c r="Q87" i="13" s="1"/>
  <c r="E1668" i="16"/>
  <c r="F164" i="10"/>
  <c r="G163" i="10"/>
  <c r="N31" i="18"/>
  <c r="H523" i="1"/>
  <c r="Q39" i="13"/>
  <c r="Q19" i="13"/>
  <c r="Q45" i="13"/>
  <c r="Q38" i="13"/>
  <c r="Q43" i="13"/>
  <c r="Q52" i="13" s="1"/>
  <c r="Q40" i="13"/>
  <c r="AA34" i="1"/>
  <c r="AG13" i="18" s="1"/>
  <c r="AB515" i="1"/>
  <c r="W70" i="10"/>
  <c r="W95" i="10" s="1"/>
  <c r="V76" i="10"/>
  <c r="V77" i="10" s="1"/>
  <c r="V86" i="10"/>
  <c r="V58" i="10"/>
  <c r="V62" i="10"/>
  <c r="V68" i="10"/>
  <c r="AA40" i="11"/>
  <c r="Y307" i="1"/>
  <c r="W458" i="1"/>
  <c r="E1998" i="16"/>
  <c r="Q271" i="10"/>
  <c r="E30" i="21"/>
  <c r="E28" i="21"/>
  <c r="V12" i="13"/>
  <c r="U13" i="13"/>
  <c r="AP246" i="5"/>
  <c r="V90" i="28" s="1"/>
  <c r="AO239" i="5"/>
  <c r="K20" i="25"/>
  <c r="J5" i="25"/>
  <c r="J29" i="25"/>
  <c r="E2563" i="16"/>
  <c r="P69" i="12"/>
  <c r="Q86" i="12" s="1"/>
  <c r="J78" i="14"/>
  <c r="J84" i="14" s="1"/>
  <c r="J89" i="14" s="1"/>
  <c r="J94" i="14" s="1"/>
  <c r="J99" i="14" s="1"/>
  <c r="J104" i="14" s="1"/>
  <c r="J109" i="14" s="1"/>
  <c r="AG4" i="14"/>
  <c r="K2" i="14"/>
  <c r="N66" i="12"/>
  <c r="N83" i="12" s="1"/>
  <c r="R538" i="1"/>
  <c r="K119" i="25"/>
  <c r="K112" i="25" s="1"/>
  <c r="K64" i="25"/>
  <c r="L2" i="25"/>
  <c r="K137" i="12"/>
  <c r="J136" i="12"/>
  <c r="J138" i="12" s="1"/>
  <c r="J141" i="12" s="1"/>
  <c r="J134" i="12" s="1"/>
  <c r="AC215" i="1"/>
  <c r="AB170" i="1"/>
  <c r="AB218" i="1"/>
  <c r="X46" i="11"/>
  <c r="Y131" i="10"/>
  <c r="Q535" i="1"/>
  <c r="Q578" i="1" s="1"/>
  <c r="U511" i="1"/>
  <c r="R537" i="1"/>
  <c r="R580" i="1" s="1"/>
  <c r="P90" i="13"/>
  <c r="P91" i="13" s="1"/>
  <c r="P64" i="13"/>
  <c r="P62" i="13"/>
  <c r="P94" i="13"/>
  <c r="P129" i="13"/>
  <c r="R198" i="10"/>
  <c r="R211" i="10" s="1"/>
  <c r="R57" i="10"/>
  <c r="K245" i="13"/>
  <c r="T133" i="13"/>
  <c r="S135" i="13"/>
  <c r="M32" i="13"/>
  <c r="M54" i="13" s="1"/>
  <c r="Y135" i="10"/>
  <c r="I2238" i="16"/>
  <c r="I2244" i="16" s="1"/>
  <c r="J2237" i="16"/>
  <c r="Y23" i="11"/>
  <c r="V286" i="1"/>
  <c r="F28" i="7"/>
  <c r="F32" i="7" s="1"/>
  <c r="F48" i="7" s="1"/>
  <c r="F47" i="7" s="1"/>
  <c r="I164" i="1"/>
  <c r="W62" i="11"/>
  <c r="K12" i="25"/>
  <c r="J16" i="25"/>
  <c r="J18" i="25" s="1"/>
  <c r="J14" i="25"/>
  <c r="V2" i="11"/>
  <c r="U117" i="11"/>
  <c r="H161" i="16"/>
  <c r="W49" i="13"/>
  <c r="P280" i="10"/>
  <c r="Q282" i="10"/>
  <c r="K249" i="13"/>
  <c r="S139" i="13"/>
  <c r="T137" i="13"/>
  <c r="V495" i="1"/>
  <c r="Z68" i="13"/>
  <c r="Z134" i="13" s="1"/>
  <c r="J126" i="25"/>
  <c r="H2568" i="16" s="1"/>
  <c r="H2561" i="16"/>
  <c r="H2544" i="16" s="1"/>
  <c r="H2555" i="16" s="1"/>
  <c r="I92" i="25"/>
  <c r="I114" i="25" s="1"/>
  <c r="I84" i="25"/>
  <c r="Q10" i="7"/>
  <c r="F650" i="16"/>
  <c r="P71" i="12"/>
  <c r="P88" i="12" s="1"/>
  <c r="H2565" i="16"/>
  <c r="K35" i="21"/>
  <c r="L2" i="21"/>
  <c r="AB87" i="11"/>
  <c r="N42" i="10"/>
  <c r="N49" i="10" s="1"/>
  <c r="N25" i="10"/>
  <c r="K110" i="25"/>
  <c r="K123" i="25" s="1"/>
  <c r="I2559" i="16"/>
  <c r="I129" i="12"/>
  <c r="I120" i="12"/>
  <c r="Q221" i="1"/>
  <c r="P223" i="1"/>
  <c r="P137" i="1" s="1"/>
  <c r="V127" i="10"/>
  <c r="I213" i="13"/>
  <c r="Q117" i="13"/>
  <c r="V80" i="10"/>
  <c r="W74" i="10"/>
  <c r="C1994" i="16"/>
  <c r="Q7" i="14"/>
  <c r="P8" i="14"/>
  <c r="P9" i="14" s="1"/>
  <c r="O65" i="13"/>
  <c r="O66" i="13"/>
  <c r="Z109" i="11"/>
  <c r="Y110" i="11"/>
  <c r="Y86" i="11"/>
  <c r="H195" i="16"/>
  <c r="L188" i="16"/>
  <c r="J348" i="1"/>
  <c r="J349" i="1" s="1"/>
  <c r="J344" i="1"/>
  <c r="I253" i="13"/>
  <c r="Q143" i="13"/>
  <c r="I254" i="13" s="1"/>
  <c r="I8" i="21"/>
  <c r="I10" i="21"/>
  <c r="H25" i="12"/>
  <c r="H27" i="12" s="1"/>
  <c r="H121" i="12"/>
  <c r="V289" i="1"/>
  <c r="O88" i="12"/>
  <c r="W533" i="1"/>
  <c r="W41" i="1"/>
  <c r="S1" i="10" s="1"/>
  <c r="S167" i="10" s="1"/>
  <c r="X2" i="1"/>
  <c r="X4" i="1" s="1"/>
  <c r="U146" i="10"/>
  <c r="U97" i="10"/>
  <c r="Y70" i="13"/>
  <c r="I520" i="1"/>
  <c r="I167" i="1" s="1"/>
  <c r="O115" i="18" s="1"/>
  <c r="I507" i="1"/>
  <c r="I508" i="1" s="1"/>
  <c r="J53" i="25"/>
  <c r="U61" i="11"/>
  <c r="U58" i="11" s="1"/>
  <c r="N77" i="12"/>
  <c r="O446" i="1"/>
  <c r="O182" i="1"/>
  <c r="O326" i="1"/>
  <c r="M37" i="7"/>
  <c r="M38" i="7" s="1"/>
  <c r="M48" i="7" s="1"/>
  <c r="N12" i="7"/>
  <c r="R540" i="1"/>
  <c r="R583" i="1" s="1"/>
  <c r="V492" i="1"/>
  <c r="V509" i="1" s="1"/>
  <c r="V511" i="1" s="1"/>
  <c r="N252" i="10"/>
  <c r="N208" i="13"/>
  <c r="W80" i="13"/>
  <c r="X80" i="13" s="1"/>
  <c r="Y80" i="13" s="1"/>
  <c r="Z80" i="13" s="1"/>
  <c r="AA80" i="13" s="1"/>
  <c r="M233" i="13"/>
  <c r="U114" i="13"/>
  <c r="M235" i="13" s="1"/>
  <c r="V112" i="13"/>
  <c r="F1994" i="16"/>
  <c r="F1995" i="16" s="1"/>
  <c r="Z300" i="5"/>
  <c r="Z302" i="5" s="1"/>
  <c r="Z304" i="5" s="1"/>
  <c r="D467" i="16"/>
  <c r="O391" i="1"/>
  <c r="Z267" i="5"/>
  <c r="Z266" i="5"/>
  <c r="L55" i="14"/>
  <c r="K56" i="14"/>
  <c r="BC79" i="5"/>
  <c r="F111" i="14"/>
  <c r="F112" i="14" s="1"/>
  <c r="F107" i="14"/>
  <c r="J202" i="10"/>
  <c r="J187" i="10"/>
  <c r="H111" i="14"/>
  <c r="H112" i="14" s="1"/>
  <c r="H107" i="14"/>
  <c r="H254" i="10"/>
  <c r="G37" i="14"/>
  <c r="G35" i="14"/>
  <c r="G36" i="14"/>
  <c r="H35" i="14"/>
  <c r="H36" i="14"/>
  <c r="E90" i="9"/>
  <c r="F90" i="9" s="1"/>
  <c r="K166" i="13"/>
  <c r="K167" i="13" s="1"/>
  <c r="M391" i="1" s="1"/>
  <c r="S19" i="18"/>
  <c r="E213" i="16"/>
  <c r="J24" i="7"/>
  <c r="D325" i="16"/>
  <c r="J53" i="7"/>
  <c r="C391" i="16" s="1"/>
  <c r="C443" i="16" s="1"/>
  <c r="D343" i="16"/>
  <c r="M445" i="1"/>
  <c r="C467" i="16"/>
  <c r="N391" i="1"/>
  <c r="R19" i="18"/>
  <c r="D213" i="16"/>
  <c r="I24" i="7"/>
  <c r="C325" i="16"/>
  <c r="I53" i="7"/>
  <c r="C343" i="16"/>
  <c r="L445" i="1"/>
  <c r="L18" i="1"/>
  <c r="L25" i="1" s="1"/>
  <c r="L30" i="1" s="1"/>
  <c r="R18" i="18"/>
  <c r="C342" i="16"/>
  <c r="C354" i="16" s="1"/>
  <c r="L298" i="1"/>
  <c r="L6" i="1"/>
  <c r="L288" i="1"/>
  <c r="L285" i="1"/>
  <c r="C324" i="16"/>
  <c r="C336" i="16" s="1"/>
  <c r="D212" i="16"/>
  <c r="D217" i="16" s="1"/>
  <c r="L295" i="1"/>
  <c r="L421" i="1"/>
  <c r="L291" i="1"/>
  <c r="L259" i="1"/>
  <c r="K32" i="1"/>
  <c r="Q14" i="18" s="1"/>
  <c r="K409" i="1"/>
  <c r="C702" i="16"/>
  <c r="C700" i="16"/>
  <c r="H256" i="10"/>
  <c r="H244" i="10" s="1"/>
  <c r="G82" i="14"/>
  <c r="G80" i="14"/>
  <c r="G91" i="14" s="1"/>
  <c r="Z91" i="14" s="1"/>
  <c r="Z92" i="14" s="1"/>
  <c r="G92" i="14"/>
  <c r="M55" i="1"/>
  <c r="S131" i="18" s="1"/>
  <c r="Z18" i="5"/>
  <c r="C304" i="16"/>
  <c r="D302" i="16"/>
  <c r="D304" i="16" s="1"/>
  <c r="H60" i="14"/>
  <c r="M172" i="13"/>
  <c r="M170" i="13" s="1"/>
  <c r="J166" i="13"/>
  <c r="J167" i="13" s="1"/>
  <c r="L391" i="1" s="1"/>
  <c r="L11" i="1"/>
  <c r="G111" i="14"/>
  <c r="G112" i="14" s="1"/>
  <c r="G107" i="14"/>
  <c r="D47" i="9"/>
  <c r="L116" i="1"/>
  <c r="I156" i="13"/>
  <c r="Q23" i="18"/>
  <c r="Q24" i="18" s="1"/>
  <c r="F732" i="16"/>
  <c r="K124" i="1"/>
  <c r="F733" i="16" s="1"/>
  <c r="K118" i="1"/>
  <c r="K162" i="1"/>
  <c r="E47" i="9"/>
  <c r="M116" i="1"/>
  <c r="L172" i="13"/>
  <c r="L170" i="13" s="1"/>
  <c r="C218" i="16"/>
  <c r="C214" i="16"/>
  <c r="E89" i="9"/>
  <c r="F89" i="9" s="1"/>
  <c r="E88" i="9"/>
  <c r="F88" i="9" s="1"/>
  <c r="X475" i="1" l="1"/>
  <c r="X474" i="1"/>
  <c r="AH139" i="18"/>
  <c r="S47" i="9"/>
  <c r="Q17" i="13"/>
  <c r="Q44" i="13" s="1"/>
  <c r="Q20" i="13"/>
  <c r="P17" i="13"/>
  <c r="P44" i="13" s="1"/>
  <c r="P20" i="13"/>
  <c r="Q137" i="10"/>
  <c r="Q113" i="10" s="1"/>
  <c r="V297" i="1"/>
  <c r="V299" i="1" s="1"/>
  <c r="U84" i="10"/>
  <c r="T94" i="10"/>
  <c r="T69" i="10" s="1"/>
  <c r="T59" i="10"/>
  <c r="K204" i="13"/>
  <c r="K203" i="13"/>
  <c r="R126" i="10"/>
  <c r="R129" i="10"/>
  <c r="R143" i="10" s="1"/>
  <c r="G136" i="25"/>
  <c r="G135" i="25"/>
  <c r="Y470" i="1"/>
  <c r="Y472" i="1" s="1"/>
  <c r="D236" i="14"/>
  <c r="D246" i="14" s="1"/>
  <c r="U507" i="1"/>
  <c r="U491" i="1"/>
  <c r="R50" i="7" s="1"/>
  <c r="AH146" i="18"/>
  <c r="AH152" i="18" s="1"/>
  <c r="AB112" i="1"/>
  <c r="K42" i="9"/>
  <c r="K33" i="1"/>
  <c r="Q15" i="18" s="1"/>
  <c r="H51" i="7"/>
  <c r="X52" i="29"/>
  <c r="K453" i="1"/>
  <c r="K522" i="1" s="1"/>
  <c r="K521" i="1"/>
  <c r="G130" i="25"/>
  <c r="E2572" i="16" s="1"/>
  <c r="D2583" i="16"/>
  <c r="F218" i="25"/>
  <c r="F136" i="25"/>
  <c r="H136" i="25" s="1"/>
  <c r="E2566" i="16"/>
  <c r="H135" i="25"/>
  <c r="I135" i="25" s="1"/>
  <c r="N81" i="27"/>
  <c r="G128" i="25"/>
  <c r="E2570" i="16" s="1"/>
  <c r="G127" i="25"/>
  <c r="E2569" i="16" s="1"/>
  <c r="G129" i="25"/>
  <c r="E2571" i="16" s="1"/>
  <c r="E220" i="14"/>
  <c r="E221" i="14" s="1"/>
  <c r="E236" i="14" s="1"/>
  <c r="E175" i="14"/>
  <c r="E176" i="14" s="1"/>
  <c r="I138" i="14"/>
  <c r="I139" i="14" s="1"/>
  <c r="U299" i="1"/>
  <c r="U142" i="1"/>
  <c r="U145" i="1" s="1"/>
  <c r="G131" i="25"/>
  <c r="E2573" i="16" s="1"/>
  <c r="J2545" i="16"/>
  <c r="L113" i="25"/>
  <c r="D2582" i="16"/>
  <c r="F138" i="25"/>
  <c r="J135" i="25"/>
  <c r="Y2806" i="16"/>
  <c r="O2806" i="16"/>
  <c r="AB115" i="1"/>
  <c r="B118" i="28"/>
  <c r="AY89" i="28"/>
  <c r="AY92" i="28" s="1"/>
  <c r="M90" i="12"/>
  <c r="M35" i="12" s="1"/>
  <c r="M36" i="12" s="1"/>
  <c r="D1068" i="16"/>
  <c r="D1066" i="16" s="1"/>
  <c r="H1068" i="16"/>
  <c r="Q542" i="1"/>
  <c r="R542" i="1" s="1"/>
  <c r="R585" i="1" s="1"/>
  <c r="P585" i="1"/>
  <c r="P586" i="1" s="1"/>
  <c r="P576" i="1" s="1"/>
  <c r="I1039" i="16"/>
  <c r="J523" i="1"/>
  <c r="G2546" i="16"/>
  <c r="G2549" i="16" s="1"/>
  <c r="G2553" i="16" s="1"/>
  <c r="I117" i="25"/>
  <c r="W484" i="1"/>
  <c r="W504" i="1" s="1"/>
  <c r="I1045" i="16"/>
  <c r="O1045" i="16" s="1"/>
  <c r="P31" i="18"/>
  <c r="T281" i="10"/>
  <c r="N78" i="12"/>
  <c r="P391" i="1"/>
  <c r="N172" i="13"/>
  <c r="N170" i="13" s="1"/>
  <c r="P22" i="13"/>
  <c r="P48" i="13" s="1"/>
  <c r="P41" i="13" s="1"/>
  <c r="F50" i="7"/>
  <c r="E50" i="7"/>
  <c r="P276" i="10"/>
  <c r="P277" i="10"/>
  <c r="Q22" i="13"/>
  <c r="Q48" i="13" s="1"/>
  <c r="Q41" i="13" s="1"/>
  <c r="N102" i="25"/>
  <c r="K2548" i="16"/>
  <c r="Z70" i="13"/>
  <c r="Z138" i="13" s="1"/>
  <c r="AA134" i="13"/>
  <c r="D33" i="21"/>
  <c r="D36" i="21" s="1"/>
  <c r="D37" i="21" s="1"/>
  <c r="K342" i="1"/>
  <c r="K348" i="1" s="1"/>
  <c r="K349" i="1" s="1"/>
  <c r="Q190" i="1"/>
  <c r="P191" i="1"/>
  <c r="W495" i="1"/>
  <c r="K81" i="25"/>
  <c r="J105" i="25"/>
  <c r="G1105" i="16"/>
  <c r="I1104" i="16"/>
  <c r="H1104" i="16"/>
  <c r="S536" i="1"/>
  <c r="S579" i="1" s="1"/>
  <c r="W151" i="10"/>
  <c r="X51" i="10"/>
  <c r="H131" i="25"/>
  <c r="F2573" i="16" s="1"/>
  <c r="H137" i="25"/>
  <c r="F2566" i="16"/>
  <c r="H129" i="25"/>
  <c r="F2571" i="16" s="1"/>
  <c r="H130" i="25"/>
  <c r="F2572" i="16" s="1"/>
  <c r="H127" i="25"/>
  <c r="F2569" i="16" s="1"/>
  <c r="E245" i="14"/>
  <c r="L334" i="1"/>
  <c r="L336" i="1"/>
  <c r="L340" i="1" s="1"/>
  <c r="M47" i="7"/>
  <c r="C1440" i="16"/>
  <c r="AA477" i="1"/>
  <c r="L236" i="13"/>
  <c r="T116" i="13"/>
  <c r="L237" i="13" s="1"/>
  <c r="U115" i="13"/>
  <c r="T115" i="18"/>
  <c r="W12" i="13"/>
  <c r="V13" i="13"/>
  <c r="P446" i="1"/>
  <c r="P326" i="1"/>
  <c r="P182" i="1"/>
  <c r="N74" i="12"/>
  <c r="N58" i="12" s="1"/>
  <c r="AC87" i="11"/>
  <c r="N32" i="13"/>
  <c r="Q186" i="1"/>
  <c r="R187" i="1"/>
  <c r="P77" i="12"/>
  <c r="S198" i="10"/>
  <c r="S211" i="10" s="1"/>
  <c r="S57" i="10"/>
  <c r="Z110" i="11"/>
  <c r="AA109" i="11"/>
  <c r="Z86" i="11"/>
  <c r="M2" i="21"/>
  <c r="L35" i="21"/>
  <c r="Q35" i="7"/>
  <c r="D2337" i="16"/>
  <c r="D2339" i="16" s="1"/>
  <c r="D2341" i="16" s="1"/>
  <c r="D2343" i="16" s="1"/>
  <c r="D2346" i="16" s="1"/>
  <c r="Q20" i="7"/>
  <c r="V117" i="11"/>
  <c r="W2" i="11"/>
  <c r="I161" i="16"/>
  <c r="L137" i="12"/>
  <c r="K136" i="12"/>
  <c r="K138" i="12" s="1"/>
  <c r="K141" i="12" s="1"/>
  <c r="K134" i="12" s="1"/>
  <c r="L2" i="14"/>
  <c r="AH4" i="14"/>
  <c r="K78" i="14"/>
  <c r="K84" i="14" s="1"/>
  <c r="K89" i="14" s="1"/>
  <c r="K94" i="14" s="1"/>
  <c r="K99" i="14" s="1"/>
  <c r="K104" i="14" s="1"/>
  <c r="K109" i="14" s="1"/>
  <c r="X70" i="10"/>
  <c r="X95" i="10" s="1"/>
  <c r="W86" i="10"/>
  <c r="W76" i="10"/>
  <c r="W77" i="10" s="1"/>
  <c r="W58" i="10"/>
  <c r="W62" i="10"/>
  <c r="W68" i="10"/>
  <c r="M447" i="1"/>
  <c r="M527" i="1" s="1"/>
  <c r="M327" i="1"/>
  <c r="M331" i="1" s="1"/>
  <c r="M209" i="1"/>
  <c r="N9" i="25"/>
  <c r="M26" i="25"/>
  <c r="G33" i="21"/>
  <c r="G36" i="21" s="1"/>
  <c r="G37" i="21" s="1"/>
  <c r="K205" i="10"/>
  <c r="T64" i="11"/>
  <c r="T44" i="11"/>
  <c r="G474" i="16"/>
  <c r="H225" i="13"/>
  <c r="P104" i="13"/>
  <c r="S23" i="13"/>
  <c r="T28" i="13"/>
  <c r="M216" i="13"/>
  <c r="V97" i="13"/>
  <c r="W45" i="14"/>
  <c r="W17" i="14" s="1"/>
  <c r="W18" i="14" s="1"/>
  <c r="Y19" i="7"/>
  <c r="AB518" i="1" s="1"/>
  <c r="Y41" i="7" s="1"/>
  <c r="Y49" i="7" s="1"/>
  <c r="I207" i="13"/>
  <c r="Q105" i="13"/>
  <c r="Q99" i="13"/>
  <c r="M196" i="10"/>
  <c r="D245" i="14"/>
  <c r="M1375" i="16"/>
  <c r="L1381" i="16"/>
  <c r="J212" i="13"/>
  <c r="L50" i="25"/>
  <c r="L53" i="25" s="1"/>
  <c r="K41" i="25"/>
  <c r="O166" i="13"/>
  <c r="O167" i="13" s="1"/>
  <c r="Q391" i="1" s="1"/>
  <c r="O252" i="10"/>
  <c r="O42" i="10"/>
  <c r="O49" i="10" s="1"/>
  <c r="O25" i="10"/>
  <c r="Y18" i="13"/>
  <c r="P47" i="10"/>
  <c r="G2562" i="16"/>
  <c r="K210" i="13"/>
  <c r="S86" i="13"/>
  <c r="S84" i="13"/>
  <c r="T82" i="13"/>
  <c r="U82" i="13" s="1"/>
  <c r="S78" i="13"/>
  <c r="S85" i="13"/>
  <c r="V37" i="11"/>
  <c r="V45" i="11"/>
  <c r="V43" i="11" s="1"/>
  <c r="E33" i="21"/>
  <c r="E36" i="21" s="1"/>
  <c r="E37" i="21" s="1"/>
  <c r="I205" i="10"/>
  <c r="J89" i="25"/>
  <c r="H2557" i="16"/>
  <c r="J95" i="25"/>
  <c r="F33" i="21"/>
  <c r="F36" i="21" s="1"/>
  <c r="F37" i="21" s="1"/>
  <c r="J205" i="10"/>
  <c r="J206" i="10" s="1"/>
  <c r="J207" i="10" s="1"/>
  <c r="Y4" i="10"/>
  <c r="X8" i="10"/>
  <c r="L2500" i="16" s="1"/>
  <c r="X18" i="10"/>
  <c r="Q140" i="10"/>
  <c r="Q147" i="10"/>
  <c r="Q27" i="10"/>
  <c r="J26" i="26"/>
  <c r="Q44" i="10"/>
  <c r="J213" i="13"/>
  <c r="R117" i="13"/>
  <c r="T21" i="18"/>
  <c r="N16" i="1"/>
  <c r="AE33" i="5" s="1"/>
  <c r="AE34" i="5" s="1"/>
  <c r="N208" i="1"/>
  <c r="O140" i="12"/>
  <c r="N253" i="10"/>
  <c r="N254" i="10" s="1"/>
  <c r="I523" i="1"/>
  <c r="I521" i="1"/>
  <c r="P115" i="18"/>
  <c r="I239" i="13"/>
  <c r="Q118" i="13"/>
  <c r="I240" i="13" s="1"/>
  <c r="Q280" i="10"/>
  <c r="R282" i="10"/>
  <c r="L64" i="25"/>
  <c r="M2" i="25"/>
  <c r="L119" i="25"/>
  <c r="L112" i="25" s="1"/>
  <c r="L20" i="25"/>
  <c r="K5" i="25"/>
  <c r="K29" i="25"/>
  <c r="R271" i="10"/>
  <c r="AB40" i="11"/>
  <c r="AB34" i="1"/>
  <c r="AH13" i="18" s="1"/>
  <c r="AC515" i="1"/>
  <c r="N141" i="10"/>
  <c r="N142" i="10" s="1"/>
  <c r="N130" i="10"/>
  <c r="N143" i="10" s="1"/>
  <c r="N147" i="10"/>
  <c r="N140" i="10"/>
  <c r="N193" i="10" s="1"/>
  <c r="N195" i="10" s="1"/>
  <c r="N196" i="10" s="1"/>
  <c r="N260" i="10"/>
  <c r="V60" i="10"/>
  <c r="W85" i="10"/>
  <c r="Y148" i="10"/>
  <c r="AB48" i="11"/>
  <c r="T75" i="11"/>
  <c r="T38" i="11"/>
  <c r="T50" i="11"/>
  <c r="G163" i="16"/>
  <c r="G164" i="16" s="1"/>
  <c r="G138" i="16"/>
  <c r="T71" i="11"/>
  <c r="R38" i="13"/>
  <c r="R39" i="13"/>
  <c r="R19" i="13"/>
  <c r="R43" i="13"/>
  <c r="R52" i="13" s="1"/>
  <c r="R45" i="13"/>
  <c r="R40" i="13"/>
  <c r="X132" i="10"/>
  <c r="S43" i="9"/>
  <c r="X29" i="7"/>
  <c r="Z473" i="1"/>
  <c r="J2564" i="16"/>
  <c r="J214" i="13"/>
  <c r="R61" i="13"/>
  <c r="F1668" i="16"/>
  <c r="C5" i="26"/>
  <c r="C6" i="26" s="1"/>
  <c r="R10" i="7"/>
  <c r="G650" i="16"/>
  <c r="V103" i="13"/>
  <c r="M223" i="13"/>
  <c r="AB412" i="1"/>
  <c r="AA169" i="1"/>
  <c r="Z503" i="1"/>
  <c r="Y505" i="1"/>
  <c r="Y500" i="1"/>
  <c r="Y498" i="1"/>
  <c r="Y499" i="1"/>
  <c r="Y501" i="1"/>
  <c r="G217" i="13"/>
  <c r="O100" i="13"/>
  <c r="Q159" i="13"/>
  <c r="P160" i="13"/>
  <c r="P165" i="13" s="1"/>
  <c r="X49" i="13"/>
  <c r="AC218" i="1"/>
  <c r="S219" i="1" s="1"/>
  <c r="AC170" i="1"/>
  <c r="P30" i="12"/>
  <c r="O29" i="12"/>
  <c r="O33" i="12" s="1"/>
  <c r="X481" i="1"/>
  <c r="Y480" i="1"/>
  <c r="X482" i="1"/>
  <c r="Z463" i="1"/>
  <c r="Z465" i="1" s="1"/>
  <c r="Y468" i="1"/>
  <c r="Q32" i="10"/>
  <c r="C2494" i="16"/>
  <c r="V508" i="1"/>
  <c r="V504" i="1"/>
  <c r="V490" i="1"/>
  <c r="V485" i="1"/>
  <c r="I7" i="21"/>
  <c r="I19" i="21"/>
  <c r="J146" i="12"/>
  <c r="J133" i="12"/>
  <c r="J24" i="12"/>
  <c r="J25" i="12" s="1"/>
  <c r="J27" i="12" s="1"/>
  <c r="H218" i="13"/>
  <c r="P98" i="13"/>
  <c r="N56" i="25"/>
  <c r="L2558" i="16"/>
  <c r="N37" i="7"/>
  <c r="N38" i="7" s="1"/>
  <c r="N48" i="7" s="1"/>
  <c r="O12" i="7"/>
  <c r="L452" i="1"/>
  <c r="I51" i="7" s="1"/>
  <c r="N233" i="13"/>
  <c r="V114" i="13"/>
  <c r="N235" i="13" s="1"/>
  <c r="W112" i="13"/>
  <c r="Y138" i="13"/>
  <c r="Y71" i="13"/>
  <c r="Z23" i="11"/>
  <c r="K247" i="13"/>
  <c r="S142" i="13"/>
  <c r="R535" i="1"/>
  <c r="Y46" i="11"/>
  <c r="AO241" i="5"/>
  <c r="AP123" i="5" s="1"/>
  <c r="AP294" i="5"/>
  <c r="AP249" i="5"/>
  <c r="V92" i="28" s="1"/>
  <c r="AP122" i="5"/>
  <c r="Q64" i="13"/>
  <c r="Q94" i="13"/>
  <c r="Q90" i="13"/>
  <c r="Q91" i="13" s="1"/>
  <c r="Q62" i="13"/>
  <c r="Q129" i="13"/>
  <c r="I98" i="25"/>
  <c r="I121" i="25" s="1"/>
  <c r="I124" i="25" s="1"/>
  <c r="O110" i="10"/>
  <c r="O106" i="10" s="1"/>
  <c r="P134" i="10"/>
  <c r="D101" i="14"/>
  <c r="D106" i="14" s="1"/>
  <c r="D111" i="14" s="1"/>
  <c r="D112" i="14" s="1"/>
  <c r="D91" i="14"/>
  <c r="BR152" i="5"/>
  <c r="Q17" i="10"/>
  <c r="Q35" i="10"/>
  <c r="Z22" i="11"/>
  <c r="M108" i="25"/>
  <c r="N108" i="25"/>
  <c r="X392" i="1"/>
  <c r="M189" i="13"/>
  <c r="T123" i="10"/>
  <c r="S122" i="10"/>
  <c r="S114" i="10" s="1"/>
  <c r="F2528" i="16"/>
  <c r="X460" i="1"/>
  <c r="Y459" i="1"/>
  <c r="N38" i="25"/>
  <c r="N115" i="25" s="1"/>
  <c r="M44" i="25"/>
  <c r="M62" i="25" s="1"/>
  <c r="M122" i="25" s="1"/>
  <c r="K2547" i="16"/>
  <c r="Q29" i="10"/>
  <c r="C2497" i="16" s="1"/>
  <c r="Q46" i="10"/>
  <c r="Q39" i="10" s="1"/>
  <c r="E2491" i="16" s="1"/>
  <c r="Y143" i="10"/>
  <c r="U44" i="11"/>
  <c r="U64" i="11"/>
  <c r="U120" i="10"/>
  <c r="J206" i="13"/>
  <c r="R79" i="13"/>
  <c r="R113" i="13"/>
  <c r="J234" i="13" s="1"/>
  <c r="AA115" i="18"/>
  <c r="W492" i="1"/>
  <c r="W509" i="1" s="1"/>
  <c r="Y8" i="11"/>
  <c r="X7" i="11"/>
  <c r="X16" i="11" s="1"/>
  <c r="AA4" i="18"/>
  <c r="N164" i="10"/>
  <c r="O162" i="10"/>
  <c r="N90" i="12"/>
  <c r="N35" i="12" s="1"/>
  <c r="C1996" i="16"/>
  <c r="C1995" i="16"/>
  <c r="R3" i="10"/>
  <c r="R101" i="10"/>
  <c r="S538" i="1"/>
  <c r="S581" i="1" s="1"/>
  <c r="Y467" i="1"/>
  <c r="Z466" i="1"/>
  <c r="W80" i="10"/>
  <c r="X74" i="10"/>
  <c r="Q71" i="12"/>
  <c r="Q88" i="12" s="1"/>
  <c r="O111" i="18"/>
  <c r="O117" i="18" s="1"/>
  <c r="I175" i="1"/>
  <c r="I177" i="1" s="1"/>
  <c r="O66" i="12"/>
  <c r="P83" i="12" s="1"/>
  <c r="H128" i="25"/>
  <c r="F2570" i="16" s="1"/>
  <c r="F2563" i="16"/>
  <c r="J253" i="13"/>
  <c r="R143" i="13"/>
  <c r="J254" i="13" s="1"/>
  <c r="Q49" i="12"/>
  <c r="Q52" i="12" s="1"/>
  <c r="Q53" i="12" s="1"/>
  <c r="R50" i="12"/>
  <c r="R49" i="12" s="1"/>
  <c r="R52" i="12" s="1"/>
  <c r="R53" i="12" s="1"/>
  <c r="K86" i="25"/>
  <c r="L87" i="25"/>
  <c r="R539" i="1"/>
  <c r="R582" i="1" s="1"/>
  <c r="G224" i="13"/>
  <c r="O106" i="13"/>
  <c r="X533" i="1"/>
  <c r="X41" i="1"/>
  <c r="T1" i="10" s="1"/>
  <c r="T167" i="10" s="1"/>
  <c r="Y2" i="1"/>
  <c r="Y4" i="1" s="1"/>
  <c r="R221" i="1"/>
  <c r="Q223" i="1"/>
  <c r="Q137" i="1" s="1"/>
  <c r="J32" i="25"/>
  <c r="J120" i="25" s="1"/>
  <c r="H2556" i="16"/>
  <c r="Q51" i="13"/>
  <c r="S11" i="12"/>
  <c r="M12" i="12"/>
  <c r="Y465" i="1"/>
  <c r="S541" i="1"/>
  <c r="X136" i="10"/>
  <c r="AB3" i="18"/>
  <c r="AB4" i="18" s="1"/>
  <c r="S7" i="7"/>
  <c r="V512" i="1"/>
  <c r="V513" i="1" s="1"/>
  <c r="U20" i="18"/>
  <c r="O206" i="1"/>
  <c r="O15" i="1"/>
  <c r="O183" i="1"/>
  <c r="O184" i="1"/>
  <c r="O195" i="1"/>
  <c r="G28" i="7"/>
  <c r="G32" i="7" s="1"/>
  <c r="G48" i="7" s="1"/>
  <c r="G47" i="7" s="1"/>
  <c r="J164" i="1"/>
  <c r="I2565" i="16"/>
  <c r="L249" i="13"/>
  <c r="U137" i="13"/>
  <c r="T139" i="13"/>
  <c r="L12" i="25"/>
  <c r="K16" i="25"/>
  <c r="K18" i="25" s="1"/>
  <c r="K14" i="25"/>
  <c r="K2237" i="16"/>
  <c r="K2238" i="16" s="1"/>
  <c r="K2244" i="16" s="1"/>
  <c r="L2237" i="16"/>
  <c r="L2238" i="16" s="1"/>
  <c r="L2244" i="16" s="1"/>
  <c r="J2238" i="16"/>
  <c r="J2244" i="16" s="1"/>
  <c r="L245" i="13"/>
  <c r="U133" i="13"/>
  <c r="T135" i="13"/>
  <c r="P66" i="13"/>
  <c r="P65" i="13"/>
  <c r="K126" i="25"/>
  <c r="I2568" i="16" s="1"/>
  <c r="I2561" i="16"/>
  <c r="I2544" i="16" s="1"/>
  <c r="I2555" i="16" s="1"/>
  <c r="P86" i="12"/>
  <c r="AA70" i="13"/>
  <c r="N1039" i="16"/>
  <c r="H1043" i="16"/>
  <c r="K96" i="12"/>
  <c r="K57" i="12"/>
  <c r="L4" i="12"/>
  <c r="L110" i="25"/>
  <c r="L123" i="25" s="1"/>
  <c r="J2559" i="16"/>
  <c r="Z479" i="1"/>
  <c r="L188" i="13"/>
  <c r="R128" i="10"/>
  <c r="R137" i="10" s="1"/>
  <c r="R113" i="10" s="1"/>
  <c r="R107" i="10"/>
  <c r="R115" i="10"/>
  <c r="R111" i="10"/>
  <c r="R109" i="10"/>
  <c r="R108" i="10"/>
  <c r="R103" i="10"/>
  <c r="W62" i="14"/>
  <c r="M194" i="10"/>
  <c r="P51" i="13"/>
  <c r="J1039" i="16"/>
  <c r="U38" i="11"/>
  <c r="U75" i="11"/>
  <c r="U71" i="11"/>
  <c r="U50" i="11"/>
  <c r="H163" i="16"/>
  <c r="H164" i="16" s="1"/>
  <c r="H138" i="16"/>
  <c r="W18" i="11"/>
  <c r="W17" i="11"/>
  <c r="W14" i="11"/>
  <c r="W26" i="11"/>
  <c r="W24" i="11" s="1"/>
  <c r="W13" i="11" s="1"/>
  <c r="W12" i="11"/>
  <c r="W19" i="11" s="1"/>
  <c r="W11" i="11"/>
  <c r="J92" i="25"/>
  <c r="J114" i="25" s="1"/>
  <c r="J84" i="25"/>
  <c r="C232" i="14"/>
  <c r="C236" i="14" s="1"/>
  <c r="C241" i="14"/>
  <c r="C242" i="14" s="1"/>
  <c r="H33" i="21"/>
  <c r="H36" i="21" s="1"/>
  <c r="H37" i="21" s="1"/>
  <c r="L205" i="10"/>
  <c r="P279" i="1"/>
  <c r="P277" i="1" s="1"/>
  <c r="P138" i="1" s="1"/>
  <c r="P140" i="1" s="1"/>
  <c r="P154" i="1" s="1"/>
  <c r="S537" i="1"/>
  <c r="S580" i="1" s="1"/>
  <c r="I25" i="12"/>
  <c r="I27" i="12" s="1"/>
  <c r="I121" i="12"/>
  <c r="W26" i="10"/>
  <c r="W43" i="10"/>
  <c r="Q270" i="10"/>
  <c r="X502" i="1"/>
  <c r="J50" i="7"/>
  <c r="K50" i="7"/>
  <c r="S540" i="1"/>
  <c r="S583" i="1" s="1"/>
  <c r="O526" i="1"/>
  <c r="U98" i="10"/>
  <c r="M188" i="16"/>
  <c r="I195" i="16"/>
  <c r="R7" i="14"/>
  <c r="Q8" i="14"/>
  <c r="Q9" i="14" s="1"/>
  <c r="W127" i="10"/>
  <c r="K251" i="13"/>
  <c r="X62" i="11"/>
  <c r="R581" i="1"/>
  <c r="V146" i="10"/>
  <c r="V97" i="10"/>
  <c r="P247" i="10"/>
  <c r="Q246" i="10"/>
  <c r="D105" i="14"/>
  <c r="AA264" i="1"/>
  <c r="O8" i="12"/>
  <c r="N10" i="12"/>
  <c r="N11" i="12"/>
  <c r="N12" i="12" s="1"/>
  <c r="W27" i="7"/>
  <c r="Z171" i="1"/>
  <c r="AF113" i="18" s="1"/>
  <c r="Z201" i="1"/>
  <c r="J129" i="12"/>
  <c r="J120" i="12"/>
  <c r="X62" i="14"/>
  <c r="AA306" i="1"/>
  <c r="AA307" i="1" s="1"/>
  <c r="AB310" i="1"/>
  <c r="Y133" i="10"/>
  <c r="AU246" i="5"/>
  <c r="Z90" i="28" s="1"/>
  <c r="AT239" i="5"/>
  <c r="O68" i="12"/>
  <c r="O85" i="12" s="1"/>
  <c r="P17" i="10"/>
  <c r="P35" i="10"/>
  <c r="N111" i="18"/>
  <c r="H175" i="1"/>
  <c r="H177" i="1" s="1"/>
  <c r="X461" i="1"/>
  <c r="Y456" i="1"/>
  <c r="X494" i="1"/>
  <c r="X487" i="1"/>
  <c r="X488" i="1" s="1"/>
  <c r="U147" i="1"/>
  <c r="U256" i="1"/>
  <c r="L79" i="25"/>
  <c r="K78" i="25"/>
  <c r="G218" i="25"/>
  <c r="E2583" i="16"/>
  <c r="C345" i="16"/>
  <c r="C357" i="16" s="1"/>
  <c r="C355" i="16"/>
  <c r="M409" i="1"/>
  <c r="M32" i="1"/>
  <c r="S14" i="18" s="1"/>
  <c r="Q30" i="18"/>
  <c r="K529" i="1"/>
  <c r="K172" i="13"/>
  <c r="K170" i="13" s="1"/>
  <c r="I244" i="10"/>
  <c r="H243" i="10"/>
  <c r="M56" i="1"/>
  <c r="M124" i="1" s="1"/>
  <c r="H733" i="16" s="1"/>
  <c r="Z59" i="5"/>
  <c r="Z58" i="5"/>
  <c r="C327" i="16"/>
  <c r="C339" i="16" s="1"/>
  <c r="C337" i="16"/>
  <c r="D355" i="16"/>
  <c r="D345" i="16"/>
  <c r="D357" i="16" s="1"/>
  <c r="M55" i="14"/>
  <c r="L56" i="14"/>
  <c r="S23" i="18"/>
  <c r="S24" i="18" s="1"/>
  <c r="H732" i="16"/>
  <c r="M118" i="1"/>
  <c r="M162" i="1"/>
  <c r="S109" i="18" s="1"/>
  <c r="J172" i="13"/>
  <c r="J170" i="13" s="1"/>
  <c r="J157" i="13" s="1"/>
  <c r="D218" i="16"/>
  <c r="D214" i="16"/>
  <c r="D337" i="16"/>
  <c r="D327" i="16"/>
  <c r="D339" i="16" s="1"/>
  <c r="C91" i="9"/>
  <c r="R23" i="18"/>
  <c r="R24" i="18" s="1"/>
  <c r="G732" i="16"/>
  <c r="L124" i="1"/>
  <c r="G733" i="16" s="1"/>
  <c r="L118" i="1"/>
  <c r="L162" i="1"/>
  <c r="R109" i="18" s="1"/>
  <c r="C442" i="16"/>
  <c r="C464" i="16"/>
  <c r="C387" i="16"/>
  <c r="C389" i="16" s="1"/>
  <c r="Q109" i="18"/>
  <c r="L32" i="1"/>
  <c r="R14" i="18" s="1"/>
  <c r="L409" i="1"/>
  <c r="E218" i="16"/>
  <c r="G38" i="14"/>
  <c r="H38" i="14"/>
  <c r="T47" i="9" l="1"/>
  <c r="Y475" i="1"/>
  <c r="Z71" i="13"/>
  <c r="R17" i="13"/>
  <c r="R44" i="13" s="1"/>
  <c r="R20" i="13"/>
  <c r="V142" i="1"/>
  <c r="V145" i="1" s="1"/>
  <c r="L201" i="13"/>
  <c r="S126" i="10"/>
  <c r="S140" i="13"/>
  <c r="S61" i="13"/>
  <c r="U94" i="10"/>
  <c r="U69" i="10" s="1"/>
  <c r="U59" i="10"/>
  <c r="V84" i="10"/>
  <c r="G138" i="25"/>
  <c r="G182" i="25" s="1"/>
  <c r="D237" i="14"/>
  <c r="D247" i="14" s="1"/>
  <c r="Y474" i="1"/>
  <c r="Z470" i="1"/>
  <c r="Z472" i="1" s="1"/>
  <c r="E246" i="14"/>
  <c r="E237" i="14"/>
  <c r="E247" i="14" s="1"/>
  <c r="W511" i="1"/>
  <c r="G29" i="9"/>
  <c r="AI146" i="18"/>
  <c r="AC112" i="1"/>
  <c r="AC115" i="1"/>
  <c r="AI139" i="18"/>
  <c r="H40" i="7"/>
  <c r="N87" i="27"/>
  <c r="N110" i="27" s="1"/>
  <c r="BA81" i="27"/>
  <c r="L42" i="9"/>
  <c r="K454" i="1"/>
  <c r="F217" i="25"/>
  <c r="W490" i="1"/>
  <c r="E177" i="14"/>
  <c r="E206" i="14"/>
  <c r="E207" i="14" s="1"/>
  <c r="U258" i="1"/>
  <c r="U176" i="1" s="1"/>
  <c r="U248" i="1"/>
  <c r="U249" i="1" s="1"/>
  <c r="U316" i="1"/>
  <c r="P219" i="1"/>
  <c r="T219" i="1"/>
  <c r="AB219" i="1"/>
  <c r="Y219" i="1"/>
  <c r="AC219" i="1"/>
  <c r="U219" i="1"/>
  <c r="N219" i="1"/>
  <c r="O219" i="1"/>
  <c r="Z219" i="1"/>
  <c r="AA219" i="1"/>
  <c r="V219" i="1"/>
  <c r="R219" i="1"/>
  <c r="Q219" i="1"/>
  <c r="X219" i="1"/>
  <c r="W219" i="1"/>
  <c r="K2545" i="16"/>
  <c r="M113" i="25"/>
  <c r="G217" i="25"/>
  <c r="E2582" i="16"/>
  <c r="F118" i="28"/>
  <c r="BC89" i="28"/>
  <c r="BC92" i="28" s="1"/>
  <c r="Q543" i="1"/>
  <c r="O172" i="13"/>
  <c r="O170" i="13" s="1"/>
  <c r="N18" i="1"/>
  <c r="N25" i="1" s="1"/>
  <c r="AE71" i="5" s="1"/>
  <c r="AE78" i="5" s="1"/>
  <c r="AE79" i="5" s="1"/>
  <c r="C179" i="14"/>
  <c r="C180" i="14" s="1"/>
  <c r="C181" i="14" s="1"/>
  <c r="Q585" i="1"/>
  <c r="Q586" i="1" s="1"/>
  <c r="N36" i="12"/>
  <c r="W508" i="1"/>
  <c r="W485" i="1"/>
  <c r="P278" i="10"/>
  <c r="J121" i="12"/>
  <c r="O1039" i="16"/>
  <c r="I1043" i="16"/>
  <c r="H2546" i="16"/>
  <c r="H2549" i="16" s="1"/>
  <c r="H2553" i="16" s="1"/>
  <c r="J117" i="25"/>
  <c r="L2548" i="16"/>
  <c r="N116" i="25"/>
  <c r="X495" i="1"/>
  <c r="L521" i="1"/>
  <c r="L342" i="1"/>
  <c r="L348" i="1" s="1"/>
  <c r="L349" i="1" s="1"/>
  <c r="L453" i="1"/>
  <c r="L454" i="1" s="1"/>
  <c r="L33" i="1"/>
  <c r="R15" i="18" s="1"/>
  <c r="L525" i="1"/>
  <c r="R30" i="18" s="1"/>
  <c r="O83" i="12"/>
  <c r="O90" i="12" s="1"/>
  <c r="O35" i="12" s="1"/>
  <c r="K344" i="1"/>
  <c r="X484" i="1"/>
  <c r="X485" i="1" s="1"/>
  <c r="O74" i="12"/>
  <c r="O58" i="12" s="1"/>
  <c r="G1106" i="16"/>
  <c r="I1105" i="16"/>
  <c r="H1105" i="16"/>
  <c r="X151" i="10"/>
  <c r="Y51" i="10"/>
  <c r="Y151" i="10" s="1"/>
  <c r="L81" i="25"/>
  <c r="K105" i="25"/>
  <c r="T536" i="1"/>
  <c r="T579" i="1" s="1"/>
  <c r="Q191" i="1"/>
  <c r="R190" i="1"/>
  <c r="U53" i="11"/>
  <c r="U55" i="11"/>
  <c r="U67" i="11" s="1"/>
  <c r="U51" i="11"/>
  <c r="U49" i="11"/>
  <c r="J175" i="1"/>
  <c r="J177" i="1" s="1"/>
  <c r="P111" i="18"/>
  <c r="P117" i="18" s="1"/>
  <c r="L210" i="13"/>
  <c r="T84" i="13"/>
  <c r="T85" i="13"/>
  <c r="T78" i="13"/>
  <c r="T86" i="13"/>
  <c r="X45" i="14"/>
  <c r="X17" i="14" s="1"/>
  <c r="X18" i="14" s="1"/>
  <c r="Z19" i="7"/>
  <c r="AC518" i="1" s="1"/>
  <c r="Z41" i="7" s="1"/>
  <c r="Z49" i="7" s="1"/>
  <c r="AB477" i="1"/>
  <c r="AB479" i="1" s="1"/>
  <c r="Y494" i="1"/>
  <c r="Y487" i="1"/>
  <c r="Y488" i="1" s="1"/>
  <c r="Y461" i="1"/>
  <c r="Z456" i="1"/>
  <c r="Z458" i="1" s="1"/>
  <c r="W37" i="11"/>
  <c r="W45" i="11"/>
  <c r="W43" i="11" s="1"/>
  <c r="V98" i="10"/>
  <c r="N188" i="16"/>
  <c r="K195" i="16" s="1"/>
  <c r="J195" i="16"/>
  <c r="R56" i="7"/>
  <c r="R35" i="7"/>
  <c r="R20" i="7"/>
  <c r="N194" i="10"/>
  <c r="M119" i="25"/>
  <c r="M112" i="25" s="1"/>
  <c r="M64" i="25"/>
  <c r="N2" i="25"/>
  <c r="K213" i="13"/>
  <c r="S117" i="13"/>
  <c r="M188" i="13"/>
  <c r="S128" i="10"/>
  <c r="S137" i="10" s="1"/>
  <c r="S113" i="10" s="1"/>
  <c r="S115" i="10"/>
  <c r="S105" i="10"/>
  <c r="S111" i="10"/>
  <c r="S107" i="10"/>
  <c r="S102" i="10"/>
  <c r="S109" i="10"/>
  <c r="S108" i="10"/>
  <c r="S103" i="10"/>
  <c r="R543" i="1"/>
  <c r="S535" i="1"/>
  <c r="J132" i="12"/>
  <c r="L66" i="14"/>
  <c r="N447" i="1"/>
  <c r="N327" i="1"/>
  <c r="N331" i="1" s="1"/>
  <c r="N209" i="1"/>
  <c r="H140" i="16"/>
  <c r="P138" i="16"/>
  <c r="L96" i="12"/>
  <c r="L57" i="12"/>
  <c r="M4" i="12"/>
  <c r="N110" i="25"/>
  <c r="N123" i="25" s="1"/>
  <c r="L2559" i="16"/>
  <c r="AA23" i="11"/>
  <c r="AC40" i="11"/>
  <c r="I131" i="25"/>
  <c r="G2573" i="16" s="1"/>
  <c r="I137" i="25"/>
  <c r="G2566" i="16"/>
  <c r="I129" i="25"/>
  <c r="G2571" i="16" s="1"/>
  <c r="I130" i="25"/>
  <c r="G2572" i="16" s="1"/>
  <c r="I225" i="13"/>
  <c r="Q104" i="13"/>
  <c r="Y458" i="1"/>
  <c r="O10" i="12"/>
  <c r="P8" i="12"/>
  <c r="O11" i="12"/>
  <c r="O12" i="12" s="1"/>
  <c r="R147" i="10"/>
  <c r="N48" i="29" s="1"/>
  <c r="R27" i="10"/>
  <c r="K26" i="26"/>
  <c r="R140" i="10"/>
  <c r="BS236" i="5" s="1"/>
  <c r="BT246" i="5" s="1"/>
  <c r="AT90" i="28" s="1"/>
  <c r="R44" i="10"/>
  <c r="U21" i="18"/>
  <c r="O208" i="1"/>
  <c r="O16" i="1"/>
  <c r="AJ33" i="5" s="1"/>
  <c r="AJ34" i="5" s="1"/>
  <c r="T538" i="1"/>
  <c r="T581" i="1" s="1"/>
  <c r="AC3" i="18"/>
  <c r="AC4" i="18" s="1"/>
  <c r="T7" i="7"/>
  <c r="W512" i="1"/>
  <c r="W513" i="1" s="1"/>
  <c r="V120" i="10"/>
  <c r="K2564" i="16"/>
  <c r="M110" i="25"/>
  <c r="M123" i="25" s="1"/>
  <c r="K2559" i="16"/>
  <c r="Z46" i="11"/>
  <c r="Z505" i="1"/>
  <c r="Z500" i="1"/>
  <c r="Z498" i="1"/>
  <c r="Z499" i="1"/>
  <c r="AA503" i="1"/>
  <c r="Z501" i="1"/>
  <c r="AA473" i="1"/>
  <c r="G140" i="16"/>
  <c r="G145" i="16" s="1"/>
  <c r="G162" i="16" s="1"/>
  <c r="O138" i="16"/>
  <c r="F7" i="22"/>
  <c r="F5" i="22" s="1"/>
  <c r="N149" i="10"/>
  <c r="N152" i="10" s="1"/>
  <c r="P140" i="12"/>
  <c r="Q30" i="10"/>
  <c r="Q33" i="10" s="1"/>
  <c r="C2495" i="16"/>
  <c r="C2498" i="16" s="1"/>
  <c r="J98" i="25"/>
  <c r="J121" i="25" s="1"/>
  <c r="K206" i="13"/>
  <c r="S79" i="13"/>
  <c r="S113" i="13"/>
  <c r="K234" i="13" s="1"/>
  <c r="T23" i="13"/>
  <c r="U28" i="13"/>
  <c r="M2" i="14"/>
  <c r="L65" i="14"/>
  <c r="AI4" i="14"/>
  <c r="L78" i="14"/>
  <c r="S101" i="10"/>
  <c r="S3" i="10"/>
  <c r="AD87" i="11"/>
  <c r="P526" i="1"/>
  <c r="P42" i="10"/>
  <c r="P49" i="10" s="1"/>
  <c r="P25" i="10"/>
  <c r="AB306" i="1"/>
  <c r="AC310" i="1"/>
  <c r="AC306" i="1" s="1"/>
  <c r="X27" i="7"/>
  <c r="AA171" i="1"/>
  <c r="AG113" i="18" s="1"/>
  <c r="AA201" i="1"/>
  <c r="D107" i="14"/>
  <c r="X127" i="10"/>
  <c r="U77" i="11"/>
  <c r="H171" i="16" s="1"/>
  <c r="U78" i="11"/>
  <c r="H151" i="16"/>
  <c r="H169" i="16"/>
  <c r="L247" i="13"/>
  <c r="T142" i="13"/>
  <c r="L16" i="25"/>
  <c r="L18" i="25" s="1"/>
  <c r="M12" i="25"/>
  <c r="L14" i="25"/>
  <c r="T541" i="1"/>
  <c r="Q279" i="1"/>
  <c r="Q277" i="1" s="1"/>
  <c r="Q138" i="1" s="1"/>
  <c r="Q140" i="1" s="1"/>
  <c r="Q154" i="1" s="1"/>
  <c r="G226" i="13"/>
  <c r="O107" i="13"/>
  <c r="G228" i="13" s="1"/>
  <c r="L86" i="25"/>
  <c r="M87" i="25"/>
  <c r="Q74" i="12"/>
  <c r="Q58" i="12" s="1"/>
  <c r="R71" i="12"/>
  <c r="R74" i="12" s="1"/>
  <c r="R58" i="12" s="1"/>
  <c r="Z8" i="11"/>
  <c r="Y7" i="11"/>
  <c r="Y16" i="11" s="1"/>
  <c r="Y460" i="1"/>
  <c r="Z459" i="1"/>
  <c r="O260" i="10"/>
  <c r="O147" i="10"/>
  <c r="O130" i="10"/>
  <c r="O141" i="10"/>
  <c r="O142" i="10" s="1"/>
  <c r="O140" i="10"/>
  <c r="R578" i="1"/>
  <c r="R586" i="1" s="1"/>
  <c r="I30" i="21"/>
  <c r="I28" i="21"/>
  <c r="AA463" i="1"/>
  <c r="AA465" i="1" s="1"/>
  <c r="Z468" i="1"/>
  <c r="R62" i="13"/>
  <c r="R90" i="13"/>
  <c r="R91" i="13" s="1"/>
  <c r="R64" i="13"/>
  <c r="R94" i="13"/>
  <c r="R129" i="13"/>
  <c r="K32" i="25"/>
  <c r="K120" i="25" s="1"/>
  <c r="I2556" i="16"/>
  <c r="R280" i="10"/>
  <c r="S282" i="10"/>
  <c r="X26" i="10"/>
  <c r="X43" i="10"/>
  <c r="K214" i="13"/>
  <c r="G1668" i="16"/>
  <c r="M35" i="21"/>
  <c r="N2" i="21"/>
  <c r="R186" i="1"/>
  <c r="S187" i="1"/>
  <c r="X12" i="13"/>
  <c r="W13" i="13"/>
  <c r="P68" i="12"/>
  <c r="P85" i="12" s="1"/>
  <c r="P90" i="12" s="1"/>
  <c r="P35" i="12" s="1"/>
  <c r="D102" i="14"/>
  <c r="W61" i="11"/>
  <c r="W58" i="11" s="1"/>
  <c r="R270" i="10"/>
  <c r="Q272" i="10"/>
  <c r="R32" i="10"/>
  <c r="D2494" i="16"/>
  <c r="AA138" i="13"/>
  <c r="AA71" i="13"/>
  <c r="M245" i="13"/>
  <c r="U135" i="13"/>
  <c r="V133" i="13"/>
  <c r="L251" i="13"/>
  <c r="D5" i="26"/>
  <c r="D6" i="26" s="1"/>
  <c r="S10" i="7"/>
  <c r="H650" i="16"/>
  <c r="S584" i="1"/>
  <c r="S221" i="1"/>
  <c r="R223" i="1"/>
  <c r="R137" i="1" s="1"/>
  <c r="K89" i="25"/>
  <c r="I2557" i="16"/>
  <c r="K95" i="25"/>
  <c r="X80" i="10"/>
  <c r="Y74" i="10"/>
  <c r="Y80" i="10" s="1"/>
  <c r="Y392" i="1"/>
  <c r="I128" i="25"/>
  <c r="G2570" i="16" s="1"/>
  <c r="G2563" i="16"/>
  <c r="K253" i="13"/>
  <c r="S143" i="13"/>
  <c r="K254" i="13" s="1"/>
  <c r="V491" i="1"/>
  <c r="S50" i="7" s="1"/>
  <c r="V507" i="1"/>
  <c r="W410" i="1"/>
  <c r="P166" i="13"/>
  <c r="P167" i="13" s="1"/>
  <c r="R391" i="1" s="1"/>
  <c r="N223" i="13"/>
  <c r="W103" i="13"/>
  <c r="R87" i="13"/>
  <c r="T77" i="11"/>
  <c r="G171" i="16" s="1"/>
  <c r="G172" i="16" s="1"/>
  <c r="T78" i="11"/>
  <c r="G151" i="16"/>
  <c r="G169" i="16"/>
  <c r="G489" i="16"/>
  <c r="W60" i="10"/>
  <c r="X85" i="10"/>
  <c r="AC34" i="1"/>
  <c r="AI13" i="18" s="1"/>
  <c r="J239" i="13"/>
  <c r="R118" i="13"/>
  <c r="J240" i="13" s="1"/>
  <c r="N26" i="25"/>
  <c r="W117" i="11"/>
  <c r="X2" i="11"/>
  <c r="J161" i="16"/>
  <c r="U281" i="10"/>
  <c r="Q446" i="1"/>
  <c r="Q326" i="1"/>
  <c r="Q182" i="1"/>
  <c r="U65" i="11"/>
  <c r="AA22" i="11"/>
  <c r="W114" i="13"/>
  <c r="X112" i="13"/>
  <c r="K146" i="12"/>
  <c r="K133" i="12"/>
  <c r="K132" i="12" s="1"/>
  <c r="L132" i="12" s="1"/>
  <c r="K24" i="12"/>
  <c r="M72" i="14"/>
  <c r="AB264" i="1"/>
  <c r="H2562" i="16"/>
  <c r="R17" i="10"/>
  <c r="R35" i="10"/>
  <c r="AA11" i="18"/>
  <c r="R58" i="7"/>
  <c r="C11" i="26" s="1"/>
  <c r="N44" i="25"/>
  <c r="N62" i="25" s="1"/>
  <c r="N122" i="25" s="1"/>
  <c r="L2547" i="16"/>
  <c r="Q134" i="10"/>
  <c r="P110" i="10"/>
  <c r="S271" i="10"/>
  <c r="V147" i="1"/>
  <c r="V256" i="1"/>
  <c r="V258" i="1" s="1"/>
  <c r="V176" i="1" s="1"/>
  <c r="T43" i="9"/>
  <c r="Y29" i="7"/>
  <c r="M137" i="12"/>
  <c r="L136" i="12"/>
  <c r="L138" i="12" s="1"/>
  <c r="L141" i="12" s="1"/>
  <c r="X492" i="1"/>
  <c r="X509" i="1" s="1"/>
  <c r="Q247" i="10"/>
  <c r="R246" i="10"/>
  <c r="Y62" i="11"/>
  <c r="S7" i="14"/>
  <c r="R8" i="14"/>
  <c r="R9" i="14" s="1"/>
  <c r="T540" i="1"/>
  <c r="T583" i="1" s="1"/>
  <c r="P1039" i="16"/>
  <c r="J1043" i="16"/>
  <c r="M249" i="13"/>
  <c r="U139" i="13"/>
  <c r="V137" i="13"/>
  <c r="Y533" i="1"/>
  <c r="Y41" i="1"/>
  <c r="U1" i="10" s="1"/>
  <c r="U167" i="10" s="1"/>
  <c r="Z2" i="1"/>
  <c r="Z4" i="1" s="1"/>
  <c r="Z467" i="1"/>
  <c r="AA466" i="1"/>
  <c r="J207" i="13"/>
  <c r="R105" i="13"/>
  <c r="R99" i="13"/>
  <c r="Q42" i="10"/>
  <c r="Q49" i="10" s="1"/>
  <c r="Q25" i="10"/>
  <c r="O37" i="7"/>
  <c r="O38" i="7" s="1"/>
  <c r="P12" i="7"/>
  <c r="Q30" i="12"/>
  <c r="P29" i="12"/>
  <c r="P33" i="12" s="1"/>
  <c r="R159" i="13"/>
  <c r="Q160" i="13"/>
  <c r="Y502" i="1"/>
  <c r="R51" i="13"/>
  <c r="AC48" i="11"/>
  <c r="M20" i="25"/>
  <c r="L5" i="25"/>
  <c r="L29" i="25"/>
  <c r="N258" i="10"/>
  <c r="N256" i="10" s="1"/>
  <c r="Y8" i="10"/>
  <c r="M2500" i="16" s="1"/>
  <c r="Y18" i="10"/>
  <c r="V64" i="11"/>
  <c r="V44" i="11"/>
  <c r="Z18" i="13"/>
  <c r="N216" i="13"/>
  <c r="W97" i="13"/>
  <c r="X86" i="10"/>
  <c r="X76" i="10"/>
  <c r="X77" i="10" s="1"/>
  <c r="Y70" i="10"/>
  <c r="Y95" i="10" s="1"/>
  <c r="X58" i="10"/>
  <c r="X62" i="10"/>
  <c r="X68" i="10"/>
  <c r="F184" i="13"/>
  <c r="N54" i="13"/>
  <c r="H218" i="25"/>
  <c r="F2583" i="16"/>
  <c r="K92" i="25"/>
  <c r="K114" i="25" s="1"/>
  <c r="K84" i="25"/>
  <c r="K129" i="12"/>
  <c r="K120" i="12"/>
  <c r="S542" i="1"/>
  <c r="I7" i="22"/>
  <c r="I5" i="22" s="1"/>
  <c r="Q149" i="10"/>
  <c r="Q152" i="10" s="1"/>
  <c r="P39" i="10"/>
  <c r="D2491" i="16" s="1"/>
  <c r="P22" i="10"/>
  <c r="P40" i="10" s="1"/>
  <c r="S39" i="13"/>
  <c r="S19" i="13"/>
  <c r="S38" i="13"/>
  <c r="S45" i="13"/>
  <c r="S40" i="13"/>
  <c r="W146" i="10"/>
  <c r="W97" i="10"/>
  <c r="L78" i="25"/>
  <c r="M79" i="25"/>
  <c r="T537" i="1"/>
  <c r="T580" i="1" s="1"/>
  <c r="C246" i="14"/>
  <c r="C237" i="14"/>
  <c r="C247" i="14" s="1"/>
  <c r="R29" i="10"/>
  <c r="D2497" i="16" s="1"/>
  <c r="R46" i="10"/>
  <c r="R39" i="10" s="1"/>
  <c r="F2491" i="16" s="1"/>
  <c r="N1043" i="16"/>
  <c r="H1049" i="16"/>
  <c r="N1049" i="16" s="1"/>
  <c r="Y136" i="10"/>
  <c r="X26" i="11"/>
  <c r="X18" i="11"/>
  <c r="X17" i="11"/>
  <c r="X14" i="11"/>
  <c r="X11" i="11"/>
  <c r="X12" i="11"/>
  <c r="N189" i="13"/>
  <c r="U123" i="10"/>
  <c r="T122" i="10"/>
  <c r="T114" i="10" s="1"/>
  <c r="G2528" i="16"/>
  <c r="Q65" i="13"/>
  <c r="Q66" i="13"/>
  <c r="Y481" i="1"/>
  <c r="Z480" i="1"/>
  <c r="Y482" i="1"/>
  <c r="Y49" i="13"/>
  <c r="AC412" i="1"/>
  <c r="AC169" i="1" s="1"/>
  <c r="AB169" i="1"/>
  <c r="T55" i="11"/>
  <c r="T67" i="11" s="1"/>
  <c r="T53" i="11"/>
  <c r="T51" i="11"/>
  <c r="G473" i="16"/>
  <c r="T49" i="11"/>
  <c r="BN236" i="5"/>
  <c r="BO246" i="5" s="1"/>
  <c r="Q141" i="10"/>
  <c r="Q142" i="10" s="1"/>
  <c r="Q193" i="10"/>
  <c r="K212" i="13"/>
  <c r="O253" i="10"/>
  <c r="O254" i="10" s="1"/>
  <c r="N1375" i="16"/>
  <c r="M1381" i="16"/>
  <c r="H224" i="13"/>
  <c r="P106" i="13"/>
  <c r="AA479" i="1"/>
  <c r="AT241" i="5"/>
  <c r="AU123" i="5" s="1"/>
  <c r="AU294" i="5"/>
  <c r="AU122" i="5"/>
  <c r="AU249" i="5"/>
  <c r="Z92" i="28" s="1"/>
  <c r="M452" i="1"/>
  <c r="J2565" i="16"/>
  <c r="T198" i="10"/>
  <c r="T211" i="10" s="1"/>
  <c r="T57" i="10"/>
  <c r="S539" i="1"/>
  <c r="S582" i="1" s="1"/>
  <c r="P162" i="10"/>
  <c r="O164" i="10"/>
  <c r="AB115" i="18"/>
  <c r="N47" i="7"/>
  <c r="D1440" i="16"/>
  <c r="H217" i="13"/>
  <c r="P100" i="13"/>
  <c r="G219" i="13"/>
  <c r="O101" i="13"/>
  <c r="Y132" i="10"/>
  <c r="R22" i="13"/>
  <c r="R48" i="13" s="1"/>
  <c r="R41" i="13" s="1"/>
  <c r="L126" i="25"/>
  <c r="J2568" i="16" s="1"/>
  <c r="J2561" i="16"/>
  <c r="J2544" i="16" s="1"/>
  <c r="J2555" i="16" s="1"/>
  <c r="Q19" i="10"/>
  <c r="Q47" i="10"/>
  <c r="V71" i="11"/>
  <c r="V50" i="11"/>
  <c r="V75" i="11"/>
  <c r="V38" i="11"/>
  <c r="I163" i="16"/>
  <c r="I164" i="16" s="1"/>
  <c r="I138" i="16"/>
  <c r="I127" i="25"/>
  <c r="G2569" i="16" s="1"/>
  <c r="M50" i="25"/>
  <c r="M53" i="25" s="1"/>
  <c r="L41" i="25"/>
  <c r="I218" i="13"/>
  <c r="Q98" i="13"/>
  <c r="T65" i="11"/>
  <c r="G484" i="16"/>
  <c r="M336" i="1"/>
  <c r="M340" i="1" s="1"/>
  <c r="M334" i="1"/>
  <c r="AB109" i="11"/>
  <c r="AA110" i="11"/>
  <c r="AA86" i="11"/>
  <c r="O32" i="13"/>
  <c r="V20" i="18"/>
  <c r="P183" i="1"/>
  <c r="P206" i="1"/>
  <c r="P15" i="1"/>
  <c r="P184" i="1"/>
  <c r="P195" i="1"/>
  <c r="M236" i="13"/>
  <c r="U116" i="13"/>
  <c r="M237" i="13" s="1"/>
  <c r="V115" i="13"/>
  <c r="K164" i="1"/>
  <c r="Q111" i="18" s="1"/>
  <c r="H28" i="7"/>
  <c r="H32" i="7" s="1"/>
  <c r="H48" i="7" s="1"/>
  <c r="H47" i="7" s="1"/>
  <c r="Q31" i="18"/>
  <c r="K530" i="1"/>
  <c r="K523" i="1"/>
  <c r="J244" i="10"/>
  <c r="I243" i="10"/>
  <c r="C6" i="9"/>
  <c r="C392" i="16"/>
  <c r="D443" i="16" s="1"/>
  <c r="C411" i="16"/>
  <c r="D442" i="16"/>
  <c r="E91" i="9"/>
  <c r="F91" i="9" s="1"/>
  <c r="C94" i="9"/>
  <c r="J156" i="13"/>
  <c r="K157" i="13"/>
  <c r="S134" i="18"/>
  <c r="I14" i="16"/>
  <c r="I15" i="16" s="1"/>
  <c r="F271" i="16"/>
  <c r="M107" i="1"/>
  <c r="M58" i="1"/>
  <c r="M59" i="1" s="1"/>
  <c r="F265" i="16" s="1"/>
  <c r="M5" i="1"/>
  <c r="M104" i="1"/>
  <c r="M57" i="1"/>
  <c r="F264" i="16" s="1"/>
  <c r="M62" i="1"/>
  <c r="N59" i="1"/>
  <c r="G265" i="16" s="1"/>
  <c r="N57" i="1"/>
  <c r="G264" i="16" s="1"/>
  <c r="G271" i="16"/>
  <c r="M121" i="1"/>
  <c r="F270" i="16"/>
  <c r="G270" i="16"/>
  <c r="F272" i="16"/>
  <c r="G269" i="16"/>
  <c r="G272" i="16"/>
  <c r="H43" i="14"/>
  <c r="M83" i="1"/>
  <c r="F269" i="16"/>
  <c r="M84" i="1"/>
  <c r="N55" i="14"/>
  <c r="M56" i="14"/>
  <c r="W520" i="1" l="1"/>
  <c r="W167" i="1" s="1"/>
  <c r="U47" i="9"/>
  <c r="C70" i="9" s="1"/>
  <c r="S22" i="13"/>
  <c r="S48" i="13" s="1"/>
  <c r="S41" i="13" s="1"/>
  <c r="S20" i="13"/>
  <c r="C3018" i="16"/>
  <c r="G33" i="9" s="1"/>
  <c r="BT250" i="5"/>
  <c r="V316" i="1"/>
  <c r="W316" i="1" s="1"/>
  <c r="X316" i="1" s="1"/>
  <c r="Y316" i="1" s="1"/>
  <c r="Z316" i="1" s="1"/>
  <c r="V248" i="1"/>
  <c r="V249" i="1" s="1"/>
  <c r="V94" i="10"/>
  <c r="V69" i="10" s="1"/>
  <c r="W84" i="10"/>
  <c r="V59" i="10"/>
  <c r="T140" i="13"/>
  <c r="T61" i="13"/>
  <c r="S94" i="13"/>
  <c r="S129" i="13"/>
  <c r="M201" i="13"/>
  <c r="T126" i="10"/>
  <c r="L203" i="13"/>
  <c r="L204" i="13"/>
  <c r="G152" i="25"/>
  <c r="N6" i="27"/>
  <c r="M6" i="27"/>
  <c r="R576" i="1"/>
  <c r="Z474" i="1"/>
  <c r="AA470" i="1"/>
  <c r="AA472" i="1" s="1"/>
  <c r="Z475" i="1"/>
  <c r="Q576" i="1"/>
  <c r="AI152" i="18"/>
  <c r="W507" i="1"/>
  <c r="W491" i="1"/>
  <c r="T50" i="7" s="1"/>
  <c r="G2930" i="16"/>
  <c r="D2971" i="16"/>
  <c r="AC29" i="9"/>
  <c r="E774" i="16"/>
  <c r="E773" i="16"/>
  <c r="E775" i="16"/>
  <c r="AF25" i="9"/>
  <c r="C1941" i="16"/>
  <c r="E772" i="16"/>
  <c r="M42" i="9"/>
  <c r="G26" i="9"/>
  <c r="G2927" i="16" s="1"/>
  <c r="N30" i="1"/>
  <c r="N409" i="1" s="1"/>
  <c r="C194" i="14"/>
  <c r="C196" i="14" s="1"/>
  <c r="T394" i="1"/>
  <c r="T397" i="1" s="1"/>
  <c r="U394" i="1"/>
  <c r="V394" i="1" s="1"/>
  <c r="V397" i="1" s="1"/>
  <c r="L2545" i="16"/>
  <c r="N113" i="25"/>
  <c r="I136" i="25"/>
  <c r="J136" i="25" s="1"/>
  <c r="K136" i="25" s="1"/>
  <c r="L136" i="25" s="1"/>
  <c r="M136" i="25" s="1"/>
  <c r="N136" i="25" s="1"/>
  <c r="F2582" i="16"/>
  <c r="H217" i="25"/>
  <c r="AP90" i="28"/>
  <c r="BU89" i="28" s="1"/>
  <c r="BO250" i="5"/>
  <c r="C183" i="14"/>
  <c r="O1043" i="16"/>
  <c r="I1049" i="16"/>
  <c r="O1049" i="16" s="1"/>
  <c r="I2546" i="16"/>
  <c r="I2549" i="16" s="1"/>
  <c r="I2553" i="16" s="1"/>
  <c r="K117" i="25"/>
  <c r="X490" i="1"/>
  <c r="X491" i="1" s="1"/>
  <c r="X504" i="1"/>
  <c r="X508" i="1"/>
  <c r="L344" i="1"/>
  <c r="V281" i="10"/>
  <c r="O36" i="12"/>
  <c r="I40" i="7"/>
  <c r="L529" i="1"/>
  <c r="R31" i="18" s="1"/>
  <c r="L522" i="1"/>
  <c r="Z502" i="1"/>
  <c r="AC307" i="1"/>
  <c r="G490" i="16"/>
  <c r="M81" i="25"/>
  <c r="L105" i="25"/>
  <c r="S190" i="1"/>
  <c r="S191" i="1" s="1"/>
  <c r="R191" i="1"/>
  <c r="R88" i="12"/>
  <c r="R90" i="12" s="1"/>
  <c r="R35" i="12" s="1"/>
  <c r="R36" i="12" s="1"/>
  <c r="G1107" i="16"/>
  <c r="I1106" i="16"/>
  <c r="H1106" i="16"/>
  <c r="Y484" i="1"/>
  <c r="Y490" i="1" s="1"/>
  <c r="U536" i="1"/>
  <c r="V536" i="1" s="1"/>
  <c r="V53" i="11"/>
  <c r="V51" i="11"/>
  <c r="V55" i="11"/>
  <c r="V67" i="11" s="1"/>
  <c r="V49" i="11"/>
  <c r="J218" i="13"/>
  <c r="R98" i="13"/>
  <c r="Y12" i="13"/>
  <c r="X13" i="13"/>
  <c r="O193" i="10"/>
  <c r="BD236" i="5"/>
  <c r="P141" i="10"/>
  <c r="P142" i="10" s="1"/>
  <c r="K12" i="21"/>
  <c r="AA46" i="11"/>
  <c r="AD40" i="11"/>
  <c r="N188" i="13"/>
  <c r="T128" i="10"/>
  <c r="T137" i="10" s="1"/>
  <c r="T113" i="10" s="1"/>
  <c r="T115" i="10"/>
  <c r="T111" i="10"/>
  <c r="T107" i="10"/>
  <c r="T105" i="10"/>
  <c r="T109" i="10"/>
  <c r="T102" i="10"/>
  <c r="T108" i="10"/>
  <c r="T103" i="10"/>
  <c r="L92" i="25"/>
  <c r="L114" i="25" s="1"/>
  <c r="L84" i="25"/>
  <c r="N20" i="25"/>
  <c r="M5" i="25"/>
  <c r="M29" i="25"/>
  <c r="U540" i="1"/>
  <c r="U583" i="1" s="1"/>
  <c r="E5" i="26"/>
  <c r="E6" i="26" s="1"/>
  <c r="T10" i="7"/>
  <c r="I650" i="16"/>
  <c r="N50" i="25"/>
  <c r="N41" i="25" s="1"/>
  <c r="M41" i="25"/>
  <c r="G476" i="16"/>
  <c r="S17" i="13"/>
  <c r="S44" i="13" s="1"/>
  <c r="Z392" i="1"/>
  <c r="S186" i="1"/>
  <c r="T187" i="1"/>
  <c r="S35" i="10"/>
  <c r="S17" i="10"/>
  <c r="G184" i="13"/>
  <c r="O54" i="13"/>
  <c r="M342" i="1"/>
  <c r="Q37" i="10"/>
  <c r="E2489" i="16" s="1"/>
  <c r="Q22" i="10"/>
  <c r="Q40" i="10" s="1"/>
  <c r="H226" i="13"/>
  <c r="P107" i="13"/>
  <c r="H228" i="13" s="1"/>
  <c r="Q195" i="10"/>
  <c r="Q194" i="10"/>
  <c r="W98" i="10"/>
  <c r="Y26" i="10"/>
  <c r="Y43" i="10"/>
  <c r="AD48" i="11"/>
  <c r="L2564" i="16"/>
  <c r="N249" i="13"/>
  <c r="V139" i="13"/>
  <c r="W137" i="13"/>
  <c r="S8" i="14"/>
  <c r="S9" i="14" s="1"/>
  <c r="T7" i="14"/>
  <c r="M132" i="12"/>
  <c r="L133" i="12"/>
  <c r="L134" i="12" s="1"/>
  <c r="BW152" i="5"/>
  <c r="T221" i="1"/>
  <c r="S223" i="1"/>
  <c r="S137" i="1" s="1"/>
  <c r="N245" i="13"/>
  <c r="V135" i="13"/>
  <c r="W133" i="13"/>
  <c r="P74" i="12"/>
  <c r="P58" i="12" s="1"/>
  <c r="P36" i="12" s="1"/>
  <c r="Q85" i="12"/>
  <c r="Q90" i="12" s="1"/>
  <c r="Q35" i="12" s="1"/>
  <c r="R446" i="1"/>
  <c r="R326" i="1"/>
  <c r="R182" i="1"/>
  <c r="G7" i="22"/>
  <c r="G5" i="22" s="1"/>
  <c r="O149" i="10"/>
  <c r="O152" i="10" s="1"/>
  <c r="K10" i="21" s="1"/>
  <c r="K11" i="21" s="1"/>
  <c r="H170" i="16"/>
  <c r="H173" i="16"/>
  <c r="V28" i="13"/>
  <c r="U23" i="13"/>
  <c r="AB473" i="1"/>
  <c r="D2495" i="16"/>
  <c r="D2498" i="16" s="1"/>
  <c r="R30" i="10"/>
  <c r="R33" i="10" s="1"/>
  <c r="AB23" i="11"/>
  <c r="L129" i="12"/>
  <c r="L120" i="12"/>
  <c r="S32" i="10"/>
  <c r="E2494" i="16"/>
  <c r="AC477" i="1"/>
  <c r="L213" i="13"/>
  <c r="T117" i="13"/>
  <c r="V21" i="18"/>
  <c r="P16" i="1"/>
  <c r="AO33" i="5" s="1"/>
  <c r="AO34" i="5" s="1"/>
  <c r="P208" i="1"/>
  <c r="T3" i="10"/>
  <c r="T101" i="10"/>
  <c r="AA18" i="13"/>
  <c r="N2" i="14"/>
  <c r="AJ4" i="14"/>
  <c r="N336" i="1"/>
  <c r="N340" i="1" s="1"/>
  <c r="N334" i="1"/>
  <c r="U84" i="13"/>
  <c r="U85" i="13"/>
  <c r="V82" i="13"/>
  <c r="M210" i="13"/>
  <c r="U86" i="13"/>
  <c r="U78" i="13"/>
  <c r="Y76" i="10"/>
  <c r="Y77" i="10" s="1"/>
  <c r="Y86" i="10"/>
  <c r="Y58" i="10"/>
  <c r="Y62" i="10"/>
  <c r="Y68" i="10"/>
  <c r="G173" i="16"/>
  <c r="G170" i="16"/>
  <c r="L253" i="13"/>
  <c r="T143" i="13"/>
  <c r="L254" i="13" s="1"/>
  <c r="H2563" i="16"/>
  <c r="P10" i="12"/>
  <c r="Q8" i="12"/>
  <c r="P11" i="12"/>
  <c r="P12" i="12" s="1"/>
  <c r="N527" i="1"/>
  <c r="N452" i="1"/>
  <c r="L214" i="13"/>
  <c r="H1668" i="16"/>
  <c r="AB11" i="18"/>
  <c r="S58" i="7"/>
  <c r="D11" i="26" s="1"/>
  <c r="K25" i="12"/>
  <c r="K27" i="12" s="1"/>
  <c r="K121" i="12"/>
  <c r="K239" i="13"/>
  <c r="S118" i="13"/>
  <c r="K240" i="13" s="1"/>
  <c r="Y495" i="1"/>
  <c r="G485" i="16"/>
  <c r="Z481" i="1"/>
  <c r="AA480" i="1"/>
  <c r="Z482" i="1"/>
  <c r="X97" i="13"/>
  <c r="P37" i="7"/>
  <c r="P38" i="7" s="1"/>
  <c r="P48" i="7" s="1"/>
  <c r="Q12" i="7"/>
  <c r="M251" i="13"/>
  <c r="Z62" i="11"/>
  <c r="X19" i="11"/>
  <c r="Q526" i="1"/>
  <c r="M247" i="13"/>
  <c r="U142" i="13"/>
  <c r="I2562" i="16"/>
  <c r="AB463" i="1"/>
  <c r="AB465" i="1" s="1"/>
  <c r="AA468" i="1"/>
  <c r="U541" i="1"/>
  <c r="U584" i="1" s="1"/>
  <c r="H153" i="16"/>
  <c r="H158" i="16"/>
  <c r="Y27" i="7"/>
  <c r="AB171" i="1"/>
  <c r="AH113" i="18" s="1"/>
  <c r="AB201" i="1"/>
  <c r="T19" i="13"/>
  <c r="T39" i="13"/>
  <c r="T38" i="13"/>
  <c r="T45" i="13"/>
  <c r="T40" i="13"/>
  <c r="Q140" i="12"/>
  <c r="U538" i="1"/>
  <c r="U581" i="1" s="1"/>
  <c r="J7" i="22"/>
  <c r="J5" i="22" s="1"/>
  <c r="R149" i="10"/>
  <c r="R152" i="10" s="1"/>
  <c r="I224" i="13"/>
  <c r="Q106" i="13"/>
  <c r="S543" i="1"/>
  <c r="T535" i="1"/>
  <c r="T578" i="1" s="1"/>
  <c r="N64" i="25"/>
  <c r="N119" i="25"/>
  <c r="N112" i="25" s="1"/>
  <c r="O18" i="1"/>
  <c r="O25" i="1" s="1"/>
  <c r="W64" i="11"/>
  <c r="W44" i="11"/>
  <c r="L212" i="13"/>
  <c r="M78" i="25"/>
  <c r="N79" i="25"/>
  <c r="N78" i="25" s="1"/>
  <c r="Q110" i="10"/>
  <c r="R134" i="10"/>
  <c r="S29" i="10"/>
  <c r="E2497" i="16" s="1"/>
  <c r="S46" i="10"/>
  <c r="S39" i="10" s="1"/>
  <c r="G2491" i="16" s="1"/>
  <c r="AB110" i="11"/>
  <c r="AC109" i="11"/>
  <c r="AC86" i="11" s="1"/>
  <c r="AB86" i="11"/>
  <c r="Q29" i="12"/>
  <c r="Q33" i="12" s="1"/>
  <c r="R30" i="12"/>
  <c r="R29" i="12" s="1"/>
  <c r="R33" i="12" s="1"/>
  <c r="Y127" i="10"/>
  <c r="G144" i="16"/>
  <c r="G146" i="16"/>
  <c r="G141" i="16"/>
  <c r="O140" i="16"/>
  <c r="G143" i="16"/>
  <c r="U122" i="10"/>
  <c r="U114" i="10" s="1"/>
  <c r="V123" i="10"/>
  <c r="C2474" i="16"/>
  <c r="V65" i="11"/>
  <c r="AD3" i="18"/>
  <c r="AD4" i="18" s="1"/>
  <c r="U7" i="7"/>
  <c r="X512" i="1"/>
  <c r="X513" i="1" s="1"/>
  <c r="W20" i="18"/>
  <c r="Q184" i="1"/>
  <c r="Q183" i="1"/>
  <c r="Q206" i="1"/>
  <c r="Q15" i="1"/>
  <c r="Q195" i="1"/>
  <c r="L67" i="14"/>
  <c r="L68" i="14"/>
  <c r="L71" i="14" s="1"/>
  <c r="L72" i="14" s="1"/>
  <c r="L73" i="14" s="1"/>
  <c r="L75" i="14" s="1"/>
  <c r="L76" i="14" s="1"/>
  <c r="L206" i="13"/>
  <c r="T79" i="13"/>
  <c r="T113" i="13"/>
  <c r="L234" i="13" s="1"/>
  <c r="Q162" i="10"/>
  <c r="P164" i="10"/>
  <c r="M33" i="1"/>
  <c r="M521" i="1"/>
  <c r="J51" i="7"/>
  <c r="M525" i="1"/>
  <c r="M453" i="1"/>
  <c r="T69" i="11"/>
  <c r="T73" i="11"/>
  <c r="T83" i="11"/>
  <c r="G478" i="16"/>
  <c r="G479" i="16" s="1"/>
  <c r="G165" i="16"/>
  <c r="AA467" i="1"/>
  <c r="AB466" i="1"/>
  <c r="T271" i="10"/>
  <c r="X114" i="13"/>
  <c r="Y112" i="13"/>
  <c r="G475" i="16"/>
  <c r="Q275" i="10"/>
  <c r="Q277" i="10"/>
  <c r="I33" i="21"/>
  <c r="I36" i="21" s="1"/>
  <c r="I37" i="21" s="1"/>
  <c r="M205" i="10"/>
  <c r="Z460" i="1"/>
  <c r="AA459" i="1"/>
  <c r="T584" i="1"/>
  <c r="L84" i="14"/>
  <c r="L89" i="14" s="1"/>
  <c r="L94" i="14" s="1"/>
  <c r="L99" i="14" s="1"/>
  <c r="L104" i="14" s="1"/>
  <c r="L109" i="14" s="1"/>
  <c r="M78" i="14"/>
  <c r="P54" i="10"/>
  <c r="W120" i="10"/>
  <c r="L2565" i="16"/>
  <c r="H144" i="16"/>
  <c r="H143" i="16"/>
  <c r="H146" i="16"/>
  <c r="H141" i="16"/>
  <c r="P140" i="16"/>
  <c r="D179" i="14"/>
  <c r="W71" i="11"/>
  <c r="W50" i="11"/>
  <c r="W75" i="11"/>
  <c r="W38" i="11"/>
  <c r="J163" i="16"/>
  <c r="J164" i="16" s="1"/>
  <c r="J138" i="16"/>
  <c r="U73" i="11"/>
  <c r="U83" i="11"/>
  <c r="U69" i="11"/>
  <c r="H165" i="16"/>
  <c r="Y26" i="11"/>
  <c r="X24" i="11"/>
  <c r="X13" i="11" s="1"/>
  <c r="J225" i="13"/>
  <c r="R104" i="13"/>
  <c r="R141" i="10"/>
  <c r="R142" i="10" s="1"/>
  <c r="R193" i="10"/>
  <c r="M96" i="12"/>
  <c r="N4" i="12"/>
  <c r="M57" i="12"/>
  <c r="Y492" i="1"/>
  <c r="Y509" i="1" s="1"/>
  <c r="AE3" i="18" s="1"/>
  <c r="R279" i="1"/>
  <c r="R277" i="1" s="1"/>
  <c r="R138" i="1" s="1"/>
  <c r="R140" i="1" s="1"/>
  <c r="R154" i="1" s="1"/>
  <c r="AB307" i="1"/>
  <c r="P130" i="10"/>
  <c r="O143" i="10"/>
  <c r="K2565" i="16"/>
  <c r="P32" i="13"/>
  <c r="I140" i="16"/>
  <c r="Q138" i="16"/>
  <c r="I217" i="13"/>
  <c r="Q100" i="13"/>
  <c r="H219" i="13"/>
  <c r="P101" i="13"/>
  <c r="N1381" i="16"/>
  <c r="O1375" i="16"/>
  <c r="U537" i="1"/>
  <c r="U580" i="1" s="1"/>
  <c r="M10" i="21"/>
  <c r="M11" i="21" s="1"/>
  <c r="Q165" i="13"/>
  <c r="P1043" i="16"/>
  <c r="J1049" i="16"/>
  <c r="P1049" i="16" s="1"/>
  <c r="R247" i="10"/>
  <c r="S246" i="10"/>
  <c r="M136" i="12"/>
  <c r="M138" i="12" s="1"/>
  <c r="M141" i="12" s="1"/>
  <c r="N137" i="12"/>
  <c r="AC264" i="1"/>
  <c r="Y85" i="10"/>
  <c r="Y60" i="10" s="1"/>
  <c r="X60" i="10"/>
  <c r="X103" i="13"/>
  <c r="S56" i="7"/>
  <c r="S35" i="7"/>
  <c r="S20" i="7"/>
  <c r="Q276" i="10"/>
  <c r="N87" i="25"/>
  <c r="M86" i="25"/>
  <c r="J8" i="21"/>
  <c r="J10" i="21"/>
  <c r="AA500" i="1"/>
  <c r="AA498" i="1"/>
  <c r="AA501" i="1"/>
  <c r="AA499" i="1"/>
  <c r="AA505" i="1"/>
  <c r="AB503" i="1"/>
  <c r="O447" i="1"/>
  <c r="O327" i="1"/>
  <c r="O331" i="1" s="1"/>
  <c r="O209" i="1"/>
  <c r="I218" i="25"/>
  <c r="G2583" i="16"/>
  <c r="H145" i="16"/>
  <c r="H162" i="16" s="1"/>
  <c r="S578" i="1"/>
  <c r="M126" i="25"/>
  <c r="K2568" i="16" s="1"/>
  <c r="K2561" i="16"/>
  <c r="K2544" i="16" s="1"/>
  <c r="K2555" i="16" s="1"/>
  <c r="U43" i="9"/>
  <c r="C67" i="9" s="1"/>
  <c r="Z29" i="7"/>
  <c r="T542" i="1"/>
  <c r="T585" i="1" s="1"/>
  <c r="U198" i="10"/>
  <c r="U211" i="10" s="1"/>
  <c r="U57" i="10"/>
  <c r="R42" i="10"/>
  <c r="R49" i="10" s="1"/>
  <c r="R25" i="10"/>
  <c r="Z7" i="11"/>
  <c r="Z16" i="11" s="1"/>
  <c r="AA8" i="11"/>
  <c r="AE87" i="11"/>
  <c r="R19" i="10"/>
  <c r="R37" i="10" s="1"/>
  <c r="R47" i="10"/>
  <c r="G221" i="13"/>
  <c r="O109" i="13"/>
  <c r="Z49" i="13"/>
  <c r="S585" i="1"/>
  <c r="S280" i="10"/>
  <c r="T282" i="10"/>
  <c r="N236" i="13"/>
  <c r="V116" i="13"/>
  <c r="N237" i="13" s="1"/>
  <c r="W115" i="13"/>
  <c r="J124" i="25"/>
  <c r="G153" i="16"/>
  <c r="G158" i="16"/>
  <c r="V78" i="11"/>
  <c r="V77" i="11"/>
  <c r="I171" i="16" s="1"/>
  <c r="I151" i="16"/>
  <c r="I169" i="16"/>
  <c r="T539" i="1"/>
  <c r="O258" i="10"/>
  <c r="O256" i="10" s="1"/>
  <c r="X146" i="10"/>
  <c r="X97" i="10"/>
  <c r="L32" i="25"/>
  <c r="L120" i="25" s="1"/>
  <c r="J2556" i="16"/>
  <c r="S159" i="13"/>
  <c r="R160" i="13"/>
  <c r="Z533" i="1"/>
  <c r="Z41" i="1"/>
  <c r="V1" i="10" s="1"/>
  <c r="V167" i="10" s="1"/>
  <c r="AA2" i="1"/>
  <c r="AA4" i="1" s="1"/>
  <c r="Q252" i="10"/>
  <c r="AB22" i="11"/>
  <c r="X117" i="11"/>
  <c r="Y2" i="11"/>
  <c r="K161" i="16"/>
  <c r="K98" i="25"/>
  <c r="K121" i="25" s="1"/>
  <c r="K124" i="25" s="1"/>
  <c r="S270" i="10"/>
  <c r="R272" i="10"/>
  <c r="N35" i="21"/>
  <c r="O2" i="21"/>
  <c r="R66" i="13"/>
  <c r="R65" i="13"/>
  <c r="Y18" i="11"/>
  <c r="Y17" i="11"/>
  <c r="Y14" i="11"/>
  <c r="Y12" i="11"/>
  <c r="Y19" i="11" s="1"/>
  <c r="Y11" i="11"/>
  <c r="L89" i="25"/>
  <c r="J2557" i="16"/>
  <c r="L95" i="25"/>
  <c r="M16" i="25"/>
  <c r="M18" i="25" s="1"/>
  <c r="N12" i="25"/>
  <c r="M14" i="25"/>
  <c r="K207" i="13"/>
  <c r="S105" i="13"/>
  <c r="S99" i="13"/>
  <c r="X511" i="1"/>
  <c r="S147" i="10"/>
  <c r="S48" i="29" s="1"/>
  <c r="S49" i="29" s="1"/>
  <c r="S140" i="10"/>
  <c r="BX236" i="5" s="1"/>
  <c r="BW236" i="5" s="1"/>
  <c r="S27" i="10"/>
  <c r="L26" i="26"/>
  <c r="S44" i="10"/>
  <c r="Z494" i="1"/>
  <c r="Z487" i="1"/>
  <c r="Z488" i="1" s="1"/>
  <c r="AA456" i="1"/>
  <c r="AA458" i="1" s="1"/>
  <c r="Z461" i="1"/>
  <c r="D39" i="16"/>
  <c r="D40" i="16" s="1"/>
  <c r="C39" i="16"/>
  <c r="C40" i="16" s="1"/>
  <c r="G17" i="16"/>
  <c r="J49" i="26"/>
  <c r="F17" i="16"/>
  <c r="J41" i="26"/>
  <c r="D2352" i="16"/>
  <c r="D2354" i="16" s="1"/>
  <c r="D2356" i="16" s="1"/>
  <c r="J395" i="1"/>
  <c r="F18" i="16"/>
  <c r="C42" i="16" s="1"/>
  <c r="G18" i="16"/>
  <c r="D42" i="16" s="1"/>
  <c r="E39" i="16"/>
  <c r="E40" i="16" s="1"/>
  <c r="I18" i="16"/>
  <c r="F42" i="16" s="1"/>
  <c r="H17" i="16"/>
  <c r="F39" i="16"/>
  <c r="F40" i="16" s="1"/>
  <c r="H18" i="16"/>
  <c r="E42" i="16" s="1"/>
  <c r="I17" i="16"/>
  <c r="I28" i="7"/>
  <c r="I32" i="7" s="1"/>
  <c r="I48" i="7" s="1"/>
  <c r="I47" i="7" s="1"/>
  <c r="L164" i="1"/>
  <c r="C412" i="16"/>
  <c r="E443" i="16" s="1"/>
  <c r="C434" i="16"/>
  <c r="E442" i="16"/>
  <c r="O55" i="14"/>
  <c r="P55" i="14" s="1"/>
  <c r="Q55" i="14" s="1"/>
  <c r="R55" i="14" s="1"/>
  <c r="S55" i="14" s="1"/>
  <c r="T55" i="14" s="1"/>
  <c r="U55" i="14" s="1"/>
  <c r="V55" i="14" s="1"/>
  <c r="W55" i="14" s="1"/>
  <c r="X55" i="14" s="1"/>
  <c r="N56" i="14"/>
  <c r="K531" i="1"/>
  <c r="K35" i="1"/>
  <c r="L157" i="13"/>
  <c r="K156" i="13"/>
  <c r="K244" i="10"/>
  <c r="J243" i="10"/>
  <c r="S18" i="18"/>
  <c r="D342" i="16"/>
  <c r="D354" i="16" s="1"/>
  <c r="H64" i="14"/>
  <c r="N6" i="1"/>
  <c r="M6" i="1"/>
  <c r="M288" i="1"/>
  <c r="M298" i="1"/>
  <c r="D324" i="16"/>
  <c r="D336" i="16" s="1"/>
  <c r="E212" i="16"/>
  <c r="M295" i="1"/>
  <c r="M421" i="1"/>
  <c r="M291" i="1"/>
  <c r="M259" i="1"/>
  <c r="M285" i="1"/>
  <c r="E94" i="9"/>
  <c r="F94" i="9" s="1"/>
  <c r="X410" i="1" l="1"/>
  <c r="T22" i="13"/>
  <c r="T48" i="13" s="1"/>
  <c r="T41" i="13" s="1"/>
  <c r="T20" i="13"/>
  <c r="BW246" i="5"/>
  <c r="BX246" i="5" s="1"/>
  <c r="R48" i="29"/>
  <c r="R49" i="29" s="1"/>
  <c r="AA475" i="1"/>
  <c r="T94" i="13"/>
  <c r="N201" i="13"/>
  <c r="U126" i="10"/>
  <c r="V126" i="10" s="1"/>
  <c r="W126" i="10" s="1"/>
  <c r="X126" i="10" s="1"/>
  <c r="Y126" i="10" s="1"/>
  <c r="M204" i="13"/>
  <c r="M203" i="13"/>
  <c r="W94" i="10"/>
  <c r="W69" i="10" s="1"/>
  <c r="W59" i="10"/>
  <c r="X84" i="10"/>
  <c r="AA474" i="1"/>
  <c r="AB470" i="1"/>
  <c r="AB472" i="1" s="1"/>
  <c r="Y508" i="1"/>
  <c r="N32" i="1"/>
  <c r="T14" i="18" s="1"/>
  <c r="U50" i="7"/>
  <c r="C199" i="14"/>
  <c r="C208" i="14" s="1"/>
  <c r="C193" i="14"/>
  <c r="N42" i="9"/>
  <c r="D2120" i="16"/>
  <c r="AC26" i="9"/>
  <c r="N86" i="25"/>
  <c r="N95" i="25" s="1"/>
  <c r="X520" i="1"/>
  <c r="AE4" i="18"/>
  <c r="X507" i="1"/>
  <c r="Y504" i="1"/>
  <c r="U397" i="1"/>
  <c r="U398" i="1" s="1"/>
  <c r="W394" i="1"/>
  <c r="X394" i="1" s="1"/>
  <c r="Y394" i="1" s="1"/>
  <c r="Z394" i="1" s="1"/>
  <c r="AA394" i="1" s="1"/>
  <c r="AB394" i="1" s="1"/>
  <c r="AC394" i="1" s="1"/>
  <c r="I217" i="25"/>
  <c r="G2582" i="16"/>
  <c r="BR246" i="5"/>
  <c r="AS90" i="28" s="1"/>
  <c r="M48" i="29"/>
  <c r="M49" i="29" s="1"/>
  <c r="T118" i="28"/>
  <c r="L530" i="1"/>
  <c r="L35" i="1" s="1"/>
  <c r="L523" i="1"/>
  <c r="Q54" i="10"/>
  <c r="Y485" i="1"/>
  <c r="J2546" i="16"/>
  <c r="J2549" i="16" s="1"/>
  <c r="J2553" i="16" s="1"/>
  <c r="L117" i="25"/>
  <c r="P18" i="1"/>
  <c r="P25" i="1" s="1"/>
  <c r="P30" i="1" s="1"/>
  <c r="U579" i="1"/>
  <c r="N53" i="25"/>
  <c r="N342" i="1"/>
  <c r="N348" i="1" s="1"/>
  <c r="N349" i="1" s="1"/>
  <c r="K28" i="7" s="1"/>
  <c r="K32" i="7" s="1"/>
  <c r="K48" i="7" s="1"/>
  <c r="K47" i="7" s="1"/>
  <c r="H1107" i="16"/>
  <c r="G1108" i="16"/>
  <c r="I1107" i="16"/>
  <c r="Z495" i="1"/>
  <c r="V579" i="1"/>
  <c r="W536" i="1"/>
  <c r="N81" i="25"/>
  <c r="N105" i="25" s="1"/>
  <c r="M105" i="25"/>
  <c r="S586" i="1"/>
  <c r="S576" i="1" s="1"/>
  <c r="Z17" i="11"/>
  <c r="Z18" i="11"/>
  <c r="Z14" i="11"/>
  <c r="Z11" i="11"/>
  <c r="Z12" i="11"/>
  <c r="Z19" i="11" s="1"/>
  <c r="R194" i="10"/>
  <c r="Y37" i="11"/>
  <c r="Y45" i="11"/>
  <c r="Y43" i="11" s="1"/>
  <c r="W139" i="13"/>
  <c r="X137" i="13"/>
  <c r="I144" i="16"/>
  <c r="I143" i="16"/>
  <c r="I141" i="16"/>
  <c r="I146" i="16"/>
  <c r="Q140" i="16"/>
  <c r="AB467" i="1"/>
  <c r="AC466" i="1"/>
  <c r="K131" i="25"/>
  <c r="I2573" i="16" s="1"/>
  <c r="K137" i="25"/>
  <c r="I2566" i="16"/>
  <c r="K129" i="25"/>
  <c r="I2571" i="16" s="1"/>
  <c r="K130" i="25"/>
  <c r="I2572" i="16" s="1"/>
  <c r="Y146" i="10"/>
  <c r="Y97" i="10"/>
  <c r="O2" i="14"/>
  <c r="AK4" i="14"/>
  <c r="W135" i="13"/>
  <c r="X133" i="13"/>
  <c r="N251" i="13"/>
  <c r="Y507" i="1"/>
  <c r="Y491" i="1"/>
  <c r="V50" i="7" s="1"/>
  <c r="Y520" i="1"/>
  <c r="E2495" i="16"/>
  <c r="E2498" i="16" s="1"/>
  <c r="S30" i="10"/>
  <c r="S33" i="10" s="1"/>
  <c r="R275" i="10"/>
  <c r="R277" i="10"/>
  <c r="Y117" i="11"/>
  <c r="Z2" i="11"/>
  <c r="S160" i="13"/>
  <c r="T159" i="13"/>
  <c r="U539" i="1"/>
  <c r="U582" i="1" s="1"/>
  <c r="J131" i="25"/>
  <c r="H2573" i="16" s="1"/>
  <c r="J137" i="25"/>
  <c r="H2566" i="16"/>
  <c r="J129" i="25"/>
  <c r="H2571" i="16" s="1"/>
  <c r="J130" i="25"/>
  <c r="H2572" i="16" s="1"/>
  <c r="J127" i="25"/>
  <c r="H2569" i="16" s="1"/>
  <c r="O137" i="12"/>
  <c r="N136" i="12"/>
  <c r="N138" i="12" s="1"/>
  <c r="N141" i="12" s="1"/>
  <c r="Q166" i="13"/>
  <c r="H184" i="13"/>
  <c r="P54" i="13"/>
  <c r="C1666" i="16" s="1"/>
  <c r="U84" i="11"/>
  <c r="U118" i="11" s="1"/>
  <c r="F46" i="9"/>
  <c r="D180" i="14"/>
  <c r="E180" i="14" s="1"/>
  <c r="D183" i="14"/>
  <c r="M522" i="1"/>
  <c r="M454" i="1"/>
  <c r="W21" i="18"/>
  <c r="Q16" i="1"/>
  <c r="Q18" i="1" s="1"/>
  <c r="Q25" i="1" s="1"/>
  <c r="Q208" i="1"/>
  <c r="U535" i="1"/>
  <c r="U578" i="1" s="1"/>
  <c r="T543" i="1"/>
  <c r="K127" i="25"/>
  <c r="I2569" i="16" s="1"/>
  <c r="X37" i="11"/>
  <c r="X45" i="11"/>
  <c r="X43" i="11" s="1"/>
  <c r="X61" i="11"/>
  <c r="X58" i="11" s="1"/>
  <c r="Y97" i="13"/>
  <c r="AA481" i="1"/>
  <c r="AB480" i="1"/>
  <c r="AA482" i="1"/>
  <c r="J128" i="25"/>
  <c r="H2570" i="16" s="1"/>
  <c r="N210" i="13"/>
  <c r="V85" i="13"/>
  <c r="W82" i="13"/>
  <c r="V78" i="13"/>
  <c r="V86" i="13"/>
  <c r="V140" i="13" s="1"/>
  <c r="V84" i="13"/>
  <c r="AC473" i="1"/>
  <c r="N247" i="13"/>
  <c r="V142" i="13"/>
  <c r="N5" i="25"/>
  <c r="N29" i="25"/>
  <c r="T147" i="10"/>
  <c r="T48" i="29" s="1"/>
  <c r="T49" i="29" s="1"/>
  <c r="T140" i="10"/>
  <c r="T27" i="10"/>
  <c r="M26" i="26"/>
  <c r="T44" i="10"/>
  <c r="AC22" i="11"/>
  <c r="H167" i="16"/>
  <c r="H166" i="16"/>
  <c r="H174" i="16"/>
  <c r="H175" i="16" s="1"/>
  <c r="U271" i="10"/>
  <c r="M214" i="13"/>
  <c r="I1668" i="16"/>
  <c r="AB46" i="11"/>
  <c r="AA316" i="1"/>
  <c r="M84" i="25"/>
  <c r="M92" i="25"/>
  <c r="M114" i="25" s="1"/>
  <c r="P47" i="7"/>
  <c r="D2088" i="16"/>
  <c r="Z484" i="1"/>
  <c r="S141" i="10"/>
  <c r="S142" i="10" s="1"/>
  <c r="S193" i="10"/>
  <c r="N16" i="25"/>
  <c r="N18" i="25" s="1"/>
  <c r="N14" i="25"/>
  <c r="R276" i="10"/>
  <c r="T582" i="1"/>
  <c r="T586" i="1" s="1"/>
  <c r="E70" i="9"/>
  <c r="F70" i="9" s="1"/>
  <c r="O336" i="1"/>
  <c r="O340" i="1" s="1"/>
  <c r="O334" i="1"/>
  <c r="H221" i="13"/>
  <c r="P109" i="13"/>
  <c r="Q32" i="13"/>
  <c r="V7" i="7"/>
  <c r="V10" i="7" s="1"/>
  <c r="Y512" i="1"/>
  <c r="Y513" i="1" s="1"/>
  <c r="J224" i="13"/>
  <c r="R106" i="13"/>
  <c r="X120" i="10"/>
  <c r="AA460" i="1"/>
  <c r="AB459" i="1"/>
  <c r="W281" i="10"/>
  <c r="G174" i="16"/>
  <c r="G175" i="16" s="1"/>
  <c r="G167" i="16"/>
  <c r="G166" i="16"/>
  <c r="S30" i="18"/>
  <c r="M529" i="1"/>
  <c r="R140" i="12"/>
  <c r="V541" i="1"/>
  <c r="V584" i="1" s="1"/>
  <c r="Y61" i="11"/>
  <c r="Y58" i="11" s="1"/>
  <c r="M213" i="13"/>
  <c r="U117" i="13"/>
  <c r="L239" i="13"/>
  <c r="T118" i="13"/>
  <c r="L240" i="13" s="1"/>
  <c r="S42" i="10"/>
  <c r="S49" i="10" s="1"/>
  <c r="S25" i="10"/>
  <c r="T56" i="7"/>
  <c r="T35" i="7"/>
  <c r="T20" i="7"/>
  <c r="BE246" i="5"/>
  <c r="BD239" i="5"/>
  <c r="BE122" i="5" s="1"/>
  <c r="V83" i="11"/>
  <c r="V73" i="11"/>
  <c r="V69" i="11"/>
  <c r="I165" i="16"/>
  <c r="R162" i="10"/>
  <c r="Q164" i="10"/>
  <c r="Q37" i="7"/>
  <c r="Q38" i="7" s="1"/>
  <c r="R12" i="7"/>
  <c r="J217" i="13"/>
  <c r="R100" i="13"/>
  <c r="G230" i="13"/>
  <c r="O110" i="13"/>
  <c r="G231" i="13" s="1"/>
  <c r="O120" i="13"/>
  <c r="K19" i="21"/>
  <c r="J7" i="21"/>
  <c r="J19" i="21"/>
  <c r="J140" i="16"/>
  <c r="J145" i="16" s="1"/>
  <c r="J162" i="16" s="1"/>
  <c r="R138" i="16"/>
  <c r="L207" i="13"/>
  <c r="T99" i="13"/>
  <c r="T105" i="13"/>
  <c r="V122" i="10"/>
  <c r="V114" i="10" s="1"/>
  <c r="W123" i="10"/>
  <c r="N525" i="1"/>
  <c r="N453" i="1"/>
  <c r="N33" i="1"/>
  <c r="N521" i="1"/>
  <c r="K51" i="7"/>
  <c r="M212" i="13"/>
  <c r="X20" i="18"/>
  <c r="R184" i="1"/>
  <c r="R206" i="1"/>
  <c r="R15" i="1"/>
  <c r="R183" i="1"/>
  <c r="R195" i="1"/>
  <c r="L143" i="12"/>
  <c r="L146" i="12"/>
  <c r="L24" i="12"/>
  <c r="L25" i="12" s="1"/>
  <c r="L27" i="12" s="1"/>
  <c r="AA494" i="1"/>
  <c r="AA487" i="1"/>
  <c r="AA488" i="1" s="1"/>
  <c r="AA461" i="1"/>
  <c r="AB456" i="1"/>
  <c r="L98" i="25"/>
  <c r="L121" i="25" s="1"/>
  <c r="L124" i="25" s="1"/>
  <c r="L127" i="25" s="1"/>
  <c r="J2569" i="16" s="1"/>
  <c r="K128" i="25"/>
  <c r="I2570" i="16" s="1"/>
  <c r="I2563" i="16"/>
  <c r="Q253" i="10"/>
  <c r="Q254" i="10" s="1"/>
  <c r="I173" i="16"/>
  <c r="I170" i="16"/>
  <c r="AB501" i="1"/>
  <c r="AB499" i="1"/>
  <c r="AB498" i="1"/>
  <c r="AB505" i="1"/>
  <c r="AC503" i="1"/>
  <c r="AB500" i="1"/>
  <c r="M89" i="25"/>
  <c r="K2557" i="16"/>
  <c r="M95" i="25"/>
  <c r="M12" i="21"/>
  <c r="M7" i="21"/>
  <c r="J29" i="26"/>
  <c r="BN237" i="5"/>
  <c r="BO247" i="5" s="1"/>
  <c r="M19" i="21"/>
  <c r="I219" i="13"/>
  <c r="Q101" i="13"/>
  <c r="Z112" i="13"/>
  <c r="Y114" i="13"/>
  <c r="T84" i="11"/>
  <c r="T118" i="11" s="1"/>
  <c r="E46" i="9"/>
  <c r="U128" i="10"/>
  <c r="U137" i="10" s="1"/>
  <c r="U113" i="10" s="1"/>
  <c r="U115" i="10"/>
  <c r="U107" i="10"/>
  <c r="U105" i="10"/>
  <c r="U111" i="10"/>
  <c r="U109" i="10"/>
  <c r="U102" i="10"/>
  <c r="U108" i="10"/>
  <c r="U103" i="10"/>
  <c r="AD109" i="11"/>
  <c r="AC110" i="11"/>
  <c r="I226" i="13"/>
  <c r="Q107" i="13"/>
  <c r="I228" i="13" s="1"/>
  <c r="U140" i="13"/>
  <c r="W28" i="13"/>
  <c r="V23" i="13"/>
  <c r="U221" i="1"/>
  <c r="T223" i="1"/>
  <c r="T137" i="1" s="1"/>
  <c r="N132" i="12"/>
  <c r="M133" i="12"/>
  <c r="M134" i="12" s="1"/>
  <c r="AE48" i="11"/>
  <c r="T186" i="1"/>
  <c r="U187" i="1"/>
  <c r="AE40" i="11"/>
  <c r="S19" i="10"/>
  <c r="S47" i="10"/>
  <c r="O35" i="21"/>
  <c r="P2" i="21"/>
  <c r="P35" i="21" s="1"/>
  <c r="W51" i="11"/>
  <c r="W55" i="11"/>
  <c r="W67" i="11" s="1"/>
  <c r="W53" i="11"/>
  <c r="W49" i="11"/>
  <c r="F5" i="26"/>
  <c r="F6" i="26" s="1"/>
  <c r="U10" i="7"/>
  <c r="J650" i="16"/>
  <c r="N126" i="25"/>
  <c r="L2568" i="16" s="1"/>
  <c r="L2561" i="16"/>
  <c r="L2544" i="16" s="1"/>
  <c r="L2555" i="16" s="1"/>
  <c r="M32" i="25"/>
  <c r="M120" i="25" s="1"/>
  <c r="K2556" i="16"/>
  <c r="AA502" i="1"/>
  <c r="O1381" i="16"/>
  <c r="P1375" i="16"/>
  <c r="Q278" i="10"/>
  <c r="V538" i="1"/>
  <c r="V581" i="1" s="1"/>
  <c r="F2489" i="16"/>
  <c r="R22" i="10"/>
  <c r="R40" i="10" s="1"/>
  <c r="Y103" i="13"/>
  <c r="S247" i="10"/>
  <c r="T246" i="10"/>
  <c r="AA62" i="11"/>
  <c r="U39" i="13"/>
  <c r="U19" i="13"/>
  <c r="U22" i="13" s="1"/>
  <c r="U48" i="13" s="1"/>
  <c r="U41" i="13" s="1"/>
  <c r="U38" i="13"/>
  <c r="U45" i="13"/>
  <c r="U40" i="13"/>
  <c r="S279" i="1"/>
  <c r="S277" i="1" s="1"/>
  <c r="S138" i="1" s="1"/>
  <c r="S140" i="1" s="1"/>
  <c r="S154" i="1" s="1"/>
  <c r="S43" i="13"/>
  <c r="S58" i="13"/>
  <c r="S64" i="13" s="1"/>
  <c r="S65" i="13" s="1"/>
  <c r="O194" i="10"/>
  <c r="P195" i="10"/>
  <c r="Q196" i="10" s="1"/>
  <c r="P194" i="10"/>
  <c r="O195" i="10"/>
  <c r="O196" i="10" s="1"/>
  <c r="Z492" i="1"/>
  <c r="Z509" i="1" s="1"/>
  <c r="AF3" i="18" s="1"/>
  <c r="AF4" i="18" s="1"/>
  <c r="K218" i="13"/>
  <c r="S98" i="13"/>
  <c r="S66" i="13"/>
  <c r="AA533" i="1"/>
  <c r="AA41" i="1"/>
  <c r="W1" i="10" s="1"/>
  <c r="W167" i="10" s="1"/>
  <c r="AB2" i="1"/>
  <c r="AB4" i="1" s="1"/>
  <c r="X98" i="10"/>
  <c r="I158" i="16"/>
  <c r="I153" i="16"/>
  <c r="U542" i="1"/>
  <c r="N89" i="25"/>
  <c r="L2557" i="16"/>
  <c r="N96" i="12"/>
  <c r="N57" i="12"/>
  <c r="O4" i="12"/>
  <c r="M84" i="14"/>
  <c r="M89" i="14" s="1"/>
  <c r="M94" i="14" s="1"/>
  <c r="M99" i="14" s="1"/>
  <c r="M104" i="14" s="1"/>
  <c r="M109" i="14" s="1"/>
  <c r="N78" i="14"/>
  <c r="J40" i="7"/>
  <c r="S15" i="18"/>
  <c r="R110" i="10"/>
  <c r="S134" i="10"/>
  <c r="W65" i="11"/>
  <c r="Z27" i="7"/>
  <c r="AC171" i="1"/>
  <c r="AI113" i="18" s="1"/>
  <c r="AC201" i="1"/>
  <c r="M253" i="13"/>
  <c r="U143" i="13"/>
  <c r="M254" i="13" s="1"/>
  <c r="AC479" i="1"/>
  <c r="R526" i="1"/>
  <c r="AC115" i="18"/>
  <c r="T16" i="7"/>
  <c r="T8" i="14"/>
  <c r="T9" i="14" s="1"/>
  <c r="U7" i="14"/>
  <c r="M348" i="1"/>
  <c r="M349" i="1" s="1"/>
  <c r="M344" i="1"/>
  <c r="S446" i="1"/>
  <c r="S326" i="1"/>
  <c r="S182" i="1"/>
  <c r="G480" i="16"/>
  <c r="G482" i="16" s="1"/>
  <c r="V540" i="1"/>
  <c r="Z12" i="13"/>
  <c r="Y13" i="13"/>
  <c r="N92" i="25"/>
  <c r="N114" i="25" s="1"/>
  <c r="P447" i="1"/>
  <c r="P327" i="1"/>
  <c r="P331" i="1" s="1"/>
  <c r="P209" i="1"/>
  <c r="T32" i="10"/>
  <c r="F2494" i="16"/>
  <c r="R165" i="13"/>
  <c r="X115" i="13"/>
  <c r="W116" i="13"/>
  <c r="K7" i="22"/>
  <c r="K5" i="22" s="1"/>
  <c r="S149" i="10"/>
  <c r="S152" i="10" s="1"/>
  <c r="T270" i="10"/>
  <c r="S272" i="10"/>
  <c r="J2562" i="16"/>
  <c r="U282" i="10"/>
  <c r="T280" i="10"/>
  <c r="U3" i="10"/>
  <c r="U101" i="10"/>
  <c r="O527" i="1"/>
  <c r="O452" i="1"/>
  <c r="K225" i="13"/>
  <c r="S104" i="13"/>
  <c r="V198" i="10"/>
  <c r="V211" i="10" s="1"/>
  <c r="V57" i="10"/>
  <c r="AA49" i="13"/>
  <c r="AA7" i="11"/>
  <c r="AA16" i="11" s="1"/>
  <c r="AB8" i="11"/>
  <c r="V537" i="1"/>
  <c r="V580" i="1" s="1"/>
  <c r="I145" i="16"/>
  <c r="I162" i="16" s="1"/>
  <c r="Q130" i="10"/>
  <c r="P106" i="10"/>
  <c r="P260" i="10" s="1"/>
  <c r="M129" i="12"/>
  <c r="M120" i="12"/>
  <c r="Y15" i="11"/>
  <c r="Z26" i="11"/>
  <c r="Y24" i="11"/>
  <c r="Y13" i="11" s="1"/>
  <c r="W78" i="11"/>
  <c r="W77" i="11"/>
  <c r="J171" i="16" s="1"/>
  <c r="J169" i="16"/>
  <c r="J151" i="16"/>
  <c r="Y511" i="1"/>
  <c r="AJ71" i="5"/>
  <c r="AJ78" i="5" s="1"/>
  <c r="AJ79" i="5" s="1"/>
  <c r="D194" i="14"/>
  <c r="O30" i="1"/>
  <c r="N10" i="21"/>
  <c r="N11" i="21" s="1"/>
  <c r="AB468" i="1"/>
  <c r="AC463" i="1"/>
  <c r="Q10" i="12"/>
  <c r="R8" i="12"/>
  <c r="Q11" i="12"/>
  <c r="Q12" i="12" s="1"/>
  <c r="M206" i="13"/>
  <c r="U79" i="13"/>
  <c r="U113" i="13"/>
  <c r="M234" i="13" s="1"/>
  <c r="T17" i="10"/>
  <c r="T35" i="10"/>
  <c r="AC23" i="11"/>
  <c r="Q36" i="12"/>
  <c r="AA392" i="1"/>
  <c r="T29" i="10"/>
  <c r="F2497" i="16" s="1"/>
  <c r="T46" i="10"/>
  <c r="T39" i="10" s="1"/>
  <c r="H2491" i="16" s="1"/>
  <c r="F43" i="16"/>
  <c r="H19" i="16"/>
  <c r="F19" i="16"/>
  <c r="E43" i="16"/>
  <c r="D43" i="16"/>
  <c r="K243" i="10"/>
  <c r="L244" i="10"/>
  <c r="C435" i="16"/>
  <c r="F443" i="16" s="1"/>
  <c r="F442" i="16"/>
  <c r="E217" i="16"/>
  <c r="E214" i="16"/>
  <c r="R111" i="18"/>
  <c r="G19" i="16"/>
  <c r="I19" i="16"/>
  <c r="K395" i="1"/>
  <c r="I395" i="1"/>
  <c r="H395" i="1" s="1"/>
  <c r="J394" i="1"/>
  <c r="J397" i="1" s="1"/>
  <c r="C43" i="16"/>
  <c r="J56" i="26"/>
  <c r="L156" i="13"/>
  <c r="C449" i="16" s="1"/>
  <c r="C450" i="16" s="1"/>
  <c r="M157" i="13"/>
  <c r="Z410" i="1" l="1"/>
  <c r="Y167" i="1"/>
  <c r="AE115" i="18" s="1"/>
  <c r="AB475" i="1"/>
  <c r="Y410" i="1"/>
  <c r="X167" i="1"/>
  <c r="AD115" i="18" s="1"/>
  <c r="BW250" i="5"/>
  <c r="N204" i="13"/>
  <c r="N203" i="13"/>
  <c r="X59" i="10"/>
  <c r="Y84" i="10"/>
  <c r="X94" i="10"/>
  <c r="X69" i="10" s="1"/>
  <c r="V398" i="1"/>
  <c r="AB474" i="1"/>
  <c r="AC470" i="1"/>
  <c r="AC474" i="1" s="1"/>
  <c r="O42" i="9"/>
  <c r="P42" i="9" s="1"/>
  <c r="Q42" i="9" s="1"/>
  <c r="R42" i="9" s="1"/>
  <c r="S42" i="9" s="1"/>
  <c r="T42" i="9" s="1"/>
  <c r="U42" i="9" s="1"/>
  <c r="BR250" i="5"/>
  <c r="BS246" i="5"/>
  <c r="AC468" i="1"/>
  <c r="AH90" i="28"/>
  <c r="N118" i="28" s="1"/>
  <c r="BE250" i="5"/>
  <c r="J217" i="25"/>
  <c r="H2582" i="16"/>
  <c r="T17" i="13"/>
  <c r="T44" i="13" s="1"/>
  <c r="S58" i="29"/>
  <c r="S59" i="29" s="1"/>
  <c r="DT122" i="5"/>
  <c r="DY122" i="5"/>
  <c r="N19" i="21"/>
  <c r="N30" i="21" s="1"/>
  <c r="BS237" i="5"/>
  <c r="BT247" i="5" s="1"/>
  <c r="X48" i="29"/>
  <c r="N49" i="29" s="1"/>
  <c r="L531" i="1"/>
  <c r="U118" i="28"/>
  <c r="BN246" i="5"/>
  <c r="M98" i="25"/>
  <c r="M121" i="25" s="1"/>
  <c r="K2563" i="16" s="1"/>
  <c r="AO71" i="5"/>
  <c r="AO78" i="5" s="1"/>
  <c r="AO79" i="5" s="1"/>
  <c r="K2546" i="16"/>
  <c r="K2549" i="16" s="1"/>
  <c r="K2553" i="16" s="1"/>
  <c r="M117" i="25"/>
  <c r="L2546" i="16"/>
  <c r="L2549" i="16" s="1"/>
  <c r="L2553" i="16" s="1"/>
  <c r="N117" i="25"/>
  <c r="N164" i="1"/>
  <c r="T111" i="18" s="1"/>
  <c r="AT33" i="5"/>
  <c r="AT34" i="5" s="1"/>
  <c r="N344" i="1"/>
  <c r="AA484" i="1"/>
  <c r="AA504" i="1" s="1"/>
  <c r="AC465" i="1"/>
  <c r="W142" i="13"/>
  <c r="O342" i="1"/>
  <c r="O348" i="1" s="1"/>
  <c r="N84" i="25"/>
  <c r="AA495" i="1"/>
  <c r="N98" i="25"/>
  <c r="N121" i="25" s="1"/>
  <c r="L2563" i="16" s="1"/>
  <c r="X536" i="1"/>
  <c r="W579" i="1"/>
  <c r="I1108" i="16"/>
  <c r="H1108" i="16"/>
  <c r="AT71" i="5"/>
  <c r="AT78" i="5" s="1"/>
  <c r="AT79" i="5" s="1"/>
  <c r="Q30" i="1"/>
  <c r="R166" i="13"/>
  <c r="R167" i="13" s="1"/>
  <c r="I221" i="13"/>
  <c r="Q109" i="13"/>
  <c r="AC46" i="11"/>
  <c r="AB533" i="1"/>
  <c r="AB41" i="1"/>
  <c r="X1" i="10" s="1"/>
  <c r="X167" i="10" s="1"/>
  <c r="AC2" i="1"/>
  <c r="AC4" i="1" s="1"/>
  <c r="V115" i="10"/>
  <c r="V128" i="10"/>
  <c r="V137" i="10" s="1"/>
  <c r="V113" i="10" s="1"/>
  <c r="V105" i="10"/>
  <c r="V111" i="10"/>
  <c r="V107" i="10"/>
  <c r="V102" i="10"/>
  <c r="V109" i="10"/>
  <c r="V108" i="10"/>
  <c r="V103" i="10"/>
  <c r="G70" i="9"/>
  <c r="L7" i="22"/>
  <c r="L5" i="22" s="1"/>
  <c r="T149" i="10"/>
  <c r="T152" i="10" s="1"/>
  <c r="K218" i="25"/>
  <c r="I2583" i="16"/>
  <c r="M207" i="13"/>
  <c r="U99" i="13"/>
  <c r="U105" i="13"/>
  <c r="J173" i="16"/>
  <c r="J170" i="16"/>
  <c r="O525" i="1"/>
  <c r="O453" i="1"/>
  <c r="O33" i="1"/>
  <c r="L51" i="7"/>
  <c r="O521" i="1"/>
  <c r="AA12" i="13"/>
  <c r="Z13" i="13"/>
  <c r="W198" i="10"/>
  <c r="W211" i="10" s="1"/>
  <c r="W57" i="10"/>
  <c r="M143" i="12"/>
  <c r="M146" i="12"/>
  <c r="M24" i="12"/>
  <c r="M25" i="12" s="1"/>
  <c r="M27" i="12" s="1"/>
  <c r="AB502" i="1"/>
  <c r="L128" i="25"/>
  <c r="J2570" i="16" s="1"/>
  <c r="J2563" i="16"/>
  <c r="L144" i="12"/>
  <c r="L154" i="12"/>
  <c r="L155" i="12" s="1"/>
  <c r="L225" i="13"/>
  <c r="T104" i="13"/>
  <c r="K28" i="21"/>
  <c r="K30" i="21"/>
  <c r="R37" i="7"/>
  <c r="R38" i="7" s="1"/>
  <c r="S12" i="7"/>
  <c r="V84" i="11"/>
  <c r="V118" i="11" s="1"/>
  <c r="G46" i="9"/>
  <c r="M523" i="1"/>
  <c r="S31" i="18"/>
  <c r="M530" i="1"/>
  <c r="R32" i="13"/>
  <c r="R54" i="10"/>
  <c r="N32" i="25"/>
  <c r="N120" i="25" s="1"/>
  <c r="L2556" i="16"/>
  <c r="Z97" i="13"/>
  <c r="V535" i="1"/>
  <c r="V578" i="1" s="1"/>
  <c r="U543" i="1"/>
  <c r="D181" i="14"/>
  <c r="E181" i="14" s="1"/>
  <c r="E179" i="14" s="1"/>
  <c r="E183" i="14" s="1"/>
  <c r="P137" i="12"/>
  <c r="O136" i="12"/>
  <c r="O138" i="12" s="1"/>
  <c r="O141" i="12" s="1"/>
  <c r="R278" i="10"/>
  <c r="AL4" i="14"/>
  <c r="P2" i="14"/>
  <c r="AB392" i="1"/>
  <c r="AB481" i="1"/>
  <c r="AC480" i="1"/>
  <c r="AB482" i="1"/>
  <c r="T43" i="13"/>
  <c r="T58" i="13"/>
  <c r="Z103" i="13"/>
  <c r="T576" i="1"/>
  <c r="I184" i="13"/>
  <c r="Q54" i="13"/>
  <c r="D1666" i="16" s="1"/>
  <c r="Z508" i="1"/>
  <c r="Z504" i="1"/>
  <c r="Z490" i="1"/>
  <c r="Z485" i="1"/>
  <c r="N213" i="13"/>
  <c r="V117" i="13"/>
  <c r="J218" i="25"/>
  <c r="H2583" i="16"/>
  <c r="AD23" i="11"/>
  <c r="N12" i="21"/>
  <c r="N7" i="21"/>
  <c r="K29" i="26"/>
  <c r="Q106" i="10"/>
  <c r="Q260" i="10" s="1"/>
  <c r="R130" i="10"/>
  <c r="S275" i="10"/>
  <c r="S277" i="10"/>
  <c r="J28" i="7"/>
  <c r="J32" i="7" s="1"/>
  <c r="J48" i="7" s="1"/>
  <c r="J47" i="7" s="1"/>
  <c r="M164" i="1"/>
  <c r="S111" i="18" s="1"/>
  <c r="AB62" i="11"/>
  <c r="S37" i="10"/>
  <c r="G2489" i="16" s="1"/>
  <c r="S22" i="10"/>
  <c r="S40" i="10" s="1"/>
  <c r="O132" i="12"/>
  <c r="N133" i="12"/>
  <c r="N134" i="12" s="1"/>
  <c r="U29" i="10"/>
  <c r="U46" i="10"/>
  <c r="U39" i="10" s="1"/>
  <c r="I2491" i="16" s="1"/>
  <c r="M28" i="21"/>
  <c r="M30" i="21"/>
  <c r="AB487" i="1"/>
  <c r="AB488" i="1" s="1"/>
  <c r="AB461" i="1"/>
  <c r="AC456" i="1"/>
  <c r="AC458" i="1" s="1"/>
  <c r="AB494" i="1"/>
  <c r="L218" i="13"/>
  <c r="T98" i="13"/>
  <c r="G242" i="13"/>
  <c r="O121" i="13"/>
  <c r="G243" i="13" s="1"/>
  <c r="O145" i="13"/>
  <c r="O122" i="13"/>
  <c r="O125" i="13"/>
  <c r="Y120" i="10"/>
  <c r="H230" i="13"/>
  <c r="P110" i="13"/>
  <c r="H231" i="13" s="1"/>
  <c r="P120" i="13"/>
  <c r="AD22" i="11"/>
  <c r="Q447" i="1"/>
  <c r="Q327" i="1"/>
  <c r="Q331" i="1" s="1"/>
  <c r="Q209" i="1"/>
  <c r="V539" i="1"/>
  <c r="V582" i="1" s="1"/>
  <c r="K224" i="13"/>
  <c r="S106" i="13"/>
  <c r="AC501" i="1"/>
  <c r="AC499" i="1"/>
  <c r="AC498" i="1"/>
  <c r="AC505" i="1"/>
  <c r="AC500" i="1"/>
  <c r="J30" i="21"/>
  <c r="J28" i="21"/>
  <c r="W85" i="13"/>
  <c r="W117" i="13" s="1"/>
  <c r="W118" i="13" s="1"/>
  <c r="X82" i="13"/>
  <c r="W78" i="13"/>
  <c r="W86" i="13"/>
  <c r="W140" i="13" s="1"/>
  <c r="W84" i="13"/>
  <c r="J158" i="16"/>
  <c r="J153" i="16"/>
  <c r="L131" i="25"/>
  <c r="J2573" i="16" s="1"/>
  <c r="L137" i="25"/>
  <c r="J2566" i="16"/>
  <c r="L129" i="25"/>
  <c r="J2571" i="16" s="1"/>
  <c r="L130" i="25"/>
  <c r="J2572" i="16" s="1"/>
  <c r="S526" i="1"/>
  <c r="U56" i="7"/>
  <c r="U35" i="7"/>
  <c r="U20" i="7"/>
  <c r="U270" i="10"/>
  <c r="T272" i="10"/>
  <c r="T276" i="10" s="1"/>
  <c r="W540" i="1"/>
  <c r="W583" i="1" s="1"/>
  <c r="K2562" i="16"/>
  <c r="T279" i="1"/>
  <c r="U32" i="10"/>
  <c r="C2478" i="16" s="1"/>
  <c r="G2494" i="16"/>
  <c r="BN239" i="5"/>
  <c r="W541" i="1"/>
  <c r="W584" i="1" s="1"/>
  <c r="Y98" i="10"/>
  <c r="X139" i="13"/>
  <c r="Y137" i="13"/>
  <c r="R10" i="12"/>
  <c r="R11" i="12"/>
  <c r="R12" i="12" s="1"/>
  <c r="O409" i="1"/>
  <c r="O32" i="1"/>
  <c r="U14" i="18" s="1"/>
  <c r="U35" i="10"/>
  <c r="U17" i="10"/>
  <c r="S276" i="10"/>
  <c r="Y115" i="13"/>
  <c r="X116" i="13"/>
  <c r="P334" i="1"/>
  <c r="P336" i="1"/>
  <c r="P340" i="1" s="1"/>
  <c r="P332" i="1"/>
  <c r="V583" i="1"/>
  <c r="N84" i="14"/>
  <c r="N89" i="14" s="1"/>
  <c r="N94" i="14" s="1"/>
  <c r="N99" i="14" s="1"/>
  <c r="N104" i="14" s="1"/>
  <c r="N109" i="14" s="1"/>
  <c r="O78" i="14"/>
  <c r="T78" i="14"/>
  <c r="Z78" i="14" s="1"/>
  <c r="AA78" i="14" s="1"/>
  <c r="AB78" i="14" s="1"/>
  <c r="AC78" i="14" s="1"/>
  <c r="V542" i="1"/>
  <c r="V585" i="1" s="1"/>
  <c r="P196" i="10"/>
  <c r="W538" i="1"/>
  <c r="W581" i="1" s="1"/>
  <c r="U223" i="1"/>
  <c r="V221" i="1"/>
  <c r="Q258" i="10"/>
  <c r="Q256" i="10" s="1"/>
  <c r="AB458" i="1"/>
  <c r="T15" i="18"/>
  <c r="K40" i="7"/>
  <c r="S162" i="10"/>
  <c r="R164" i="10"/>
  <c r="M239" i="13"/>
  <c r="U118" i="13"/>
  <c r="M240" i="13" s="1"/>
  <c r="AB316" i="1"/>
  <c r="V271" i="10"/>
  <c r="T19" i="10"/>
  <c r="T47" i="10"/>
  <c r="N212" i="13"/>
  <c r="X64" i="11"/>
  <c r="X44" i="11"/>
  <c r="T160" i="13"/>
  <c r="U159" i="13"/>
  <c r="AC467" i="1"/>
  <c r="S52" i="13"/>
  <c r="S51" i="13"/>
  <c r="M17" i="19"/>
  <c r="X28" i="13"/>
  <c r="W23" i="13"/>
  <c r="V56" i="7"/>
  <c r="V35" i="7"/>
  <c r="V20" i="7"/>
  <c r="Q172" i="13"/>
  <c r="Z37" i="11"/>
  <c r="Z45" i="11"/>
  <c r="Z43" i="11" s="1"/>
  <c r="W7" i="7"/>
  <c r="W10" i="7" s="1"/>
  <c r="Z512" i="1"/>
  <c r="Z513" i="1" s="1"/>
  <c r="U8" i="14"/>
  <c r="U9" i="14" s="1"/>
  <c r="V7" i="14"/>
  <c r="T42" i="10"/>
  <c r="T49" i="10" s="1"/>
  <c r="T25" i="10"/>
  <c r="D193" i="14"/>
  <c r="E193" i="14" s="1"/>
  <c r="D199" i="14"/>
  <c r="D208" i="14" s="1"/>
  <c r="D196" i="14"/>
  <c r="E196" i="14" s="1"/>
  <c r="AA26" i="11"/>
  <c r="Z15" i="11"/>
  <c r="Z24" i="11"/>
  <c r="Z13" i="11" s="1"/>
  <c r="W537" i="1"/>
  <c r="W580" i="1" s="1"/>
  <c r="V101" i="10"/>
  <c r="V3" i="10"/>
  <c r="O10" i="21"/>
  <c r="O8" i="21"/>
  <c r="BX237" i="5" s="1"/>
  <c r="P527" i="1"/>
  <c r="P452" i="1"/>
  <c r="AC11" i="18"/>
  <c r="T58" i="7"/>
  <c r="E11" i="26" s="1"/>
  <c r="T134" i="10"/>
  <c r="S110" i="10"/>
  <c r="U585" i="1"/>
  <c r="U586" i="1" s="1"/>
  <c r="W83" i="11"/>
  <c r="W84" i="11" s="1"/>
  <c r="W118" i="11" s="1"/>
  <c r="W73" i="11"/>
  <c r="W69" i="11"/>
  <c r="J165" i="16"/>
  <c r="V187" i="1"/>
  <c r="W187" i="1" s="1"/>
  <c r="X187" i="1" s="1"/>
  <c r="Y187" i="1" s="1"/>
  <c r="Z187" i="1" s="1"/>
  <c r="AA187" i="1" s="1"/>
  <c r="AB187" i="1" s="1"/>
  <c r="AC187" i="1" s="1"/>
  <c r="U186" i="1"/>
  <c r="U182" i="1" s="1"/>
  <c r="AA492" i="1"/>
  <c r="AA509" i="1" s="1"/>
  <c r="X21" i="18"/>
  <c r="R208" i="1"/>
  <c r="R16" i="1"/>
  <c r="AY33" i="5" s="1"/>
  <c r="AY34" i="5" s="1"/>
  <c r="N522" i="1"/>
  <c r="N454" i="1"/>
  <c r="J219" i="13"/>
  <c r="R101" i="13"/>
  <c r="P409" i="1"/>
  <c r="P32" i="1"/>
  <c r="V14" i="18" s="1"/>
  <c r="N253" i="13"/>
  <c r="V143" i="13"/>
  <c r="N254" i="13" s="1"/>
  <c r="N214" i="13"/>
  <c r="X75" i="11"/>
  <c r="X71" i="11"/>
  <c r="X50" i="11"/>
  <c r="X38" i="11"/>
  <c r="K163" i="16"/>
  <c r="K164" i="16" s="1"/>
  <c r="K138" i="16"/>
  <c r="Y64" i="11"/>
  <c r="Y44" i="11"/>
  <c r="AA18" i="11"/>
  <c r="AA17" i="11"/>
  <c r="AA14" i="11"/>
  <c r="AA11" i="11"/>
  <c r="AA12" i="11"/>
  <c r="P1381" i="16"/>
  <c r="Q1375" i="16"/>
  <c r="Q1381" i="16" s="1"/>
  <c r="AD110" i="11"/>
  <c r="AE109" i="11"/>
  <c r="AE110" i="11" s="1"/>
  <c r="AD86" i="11"/>
  <c r="W122" i="10"/>
  <c r="W114" i="10" s="1"/>
  <c r="X123" i="10"/>
  <c r="AB460" i="1"/>
  <c r="AC459" i="1"/>
  <c r="T141" i="10"/>
  <c r="T142" i="10" s="1"/>
  <c r="T193" i="10"/>
  <c r="N129" i="12"/>
  <c r="N120" i="12"/>
  <c r="S62" i="13"/>
  <c r="S90" i="13"/>
  <c r="S87" i="13"/>
  <c r="Z61" i="11"/>
  <c r="Z58" i="11" s="1"/>
  <c r="J226" i="13"/>
  <c r="R107" i="13"/>
  <c r="J228" i="13" s="1"/>
  <c r="AC8" i="11"/>
  <c r="AB7" i="11"/>
  <c r="AB16" i="11" s="1"/>
  <c r="U280" i="10"/>
  <c r="V282" i="10"/>
  <c r="Y20" i="18"/>
  <c r="S184" i="1"/>
  <c r="S183" i="1"/>
  <c r="S15" i="1"/>
  <c r="S206" i="1"/>
  <c r="S195" i="1"/>
  <c r="O57" i="12"/>
  <c r="P4" i="12"/>
  <c r="O96" i="12"/>
  <c r="K217" i="13"/>
  <c r="S100" i="13"/>
  <c r="T176" i="13"/>
  <c r="K186" i="13"/>
  <c r="S174" i="13"/>
  <c r="S177" i="13" s="1"/>
  <c r="S59" i="13"/>
  <c r="S76" i="13"/>
  <c r="K198" i="13" s="1"/>
  <c r="S73" i="13"/>
  <c r="K196" i="13" s="1"/>
  <c r="U16" i="13"/>
  <c r="U246" i="10"/>
  <c r="T247" i="10"/>
  <c r="T326" i="1"/>
  <c r="T446" i="1"/>
  <c r="T182" i="1"/>
  <c r="V39" i="13"/>
  <c r="V19" i="13"/>
  <c r="V22" i="13" s="1"/>
  <c r="V48" i="13" s="1"/>
  <c r="V41" i="13" s="1"/>
  <c r="V38" i="13"/>
  <c r="V45" i="13"/>
  <c r="V40" i="13"/>
  <c r="U147" i="10"/>
  <c r="U149" i="10" s="1"/>
  <c r="U152" i="10" s="1"/>
  <c r="U140" i="10"/>
  <c r="U27" i="10"/>
  <c r="U44" i="10"/>
  <c r="AA112" i="13"/>
  <c r="AA114" i="13" s="1"/>
  <c r="Z114" i="13"/>
  <c r="T30" i="18"/>
  <c r="N529" i="1"/>
  <c r="J143" i="16"/>
  <c r="J146" i="16"/>
  <c r="J141" i="16"/>
  <c r="R140" i="16"/>
  <c r="J144" i="16"/>
  <c r="I167" i="16"/>
  <c r="I166" i="16"/>
  <c r="I174" i="16"/>
  <c r="I175" i="16" s="1"/>
  <c r="X281" i="10"/>
  <c r="Z511" i="1"/>
  <c r="S194" i="10"/>
  <c r="F2495" i="16"/>
  <c r="F2498" i="16" s="1"/>
  <c r="T30" i="10"/>
  <c r="T33" i="10" s="1"/>
  <c r="N206" i="13"/>
  <c r="V113" i="13"/>
  <c r="N234" i="13" s="1"/>
  <c r="V79" i="13"/>
  <c r="Q167" i="13"/>
  <c r="S391" i="1" s="1"/>
  <c r="Z117" i="11"/>
  <c r="AA2" i="11"/>
  <c r="X135" i="13"/>
  <c r="Y133" i="13"/>
  <c r="Y71" i="11"/>
  <c r="Y50" i="11"/>
  <c r="Y38" i="11"/>
  <c r="Y75" i="11"/>
  <c r="M244" i="10"/>
  <c r="L243" i="10"/>
  <c r="L395" i="1"/>
  <c r="K394" i="1"/>
  <c r="K397" i="1" s="1"/>
  <c r="C453" i="16"/>
  <c r="C452" i="16"/>
  <c r="N157" i="13"/>
  <c r="M156" i="13"/>
  <c r="U16" i="7" l="1"/>
  <c r="V16" i="7" s="1"/>
  <c r="T90" i="13"/>
  <c r="BS13" i="5" s="1"/>
  <c r="T64" i="13"/>
  <c r="G8" i="9"/>
  <c r="AA508" i="1"/>
  <c r="BW237" i="5"/>
  <c r="R54" i="29" s="1"/>
  <c r="R55" i="29" s="1"/>
  <c r="BX239" i="5"/>
  <c r="AA485" i="1"/>
  <c r="AC472" i="1"/>
  <c r="AC475" i="1"/>
  <c r="Y59" i="10"/>
  <c r="Y94" i="10"/>
  <c r="Y69" i="10" s="1"/>
  <c r="AA490" i="1"/>
  <c r="AA491" i="1" s="1"/>
  <c r="AA511" i="1"/>
  <c r="AG3" i="18"/>
  <c r="AG4" i="18" s="1"/>
  <c r="BW11" i="28"/>
  <c r="BU11" i="28"/>
  <c r="M124" i="25"/>
  <c r="M127" i="25" s="1"/>
  <c r="K2569" i="16" s="1"/>
  <c r="BM89" i="28"/>
  <c r="BM92" i="28" s="1"/>
  <c r="U15" i="1"/>
  <c r="U206" i="1"/>
  <c r="K217" i="25"/>
  <c r="I2582" i="16"/>
  <c r="U17" i="13"/>
  <c r="U44" i="13" s="1"/>
  <c r="T58" i="29"/>
  <c r="T59" i="29" s="1"/>
  <c r="X142" i="13"/>
  <c r="BO249" i="5"/>
  <c r="AP92" i="28" s="1"/>
  <c r="BO122" i="5"/>
  <c r="ED122" i="5" s="1"/>
  <c r="N28" i="21"/>
  <c r="R205" i="10" s="1"/>
  <c r="BS239" i="5"/>
  <c r="X49" i="29"/>
  <c r="O344" i="1"/>
  <c r="P342" i="1"/>
  <c r="P348" i="1" s="1"/>
  <c r="U576" i="1"/>
  <c r="Y281" i="10"/>
  <c r="AC460" i="1"/>
  <c r="X65" i="11"/>
  <c r="E194" i="14"/>
  <c r="E195" i="14" s="1"/>
  <c r="E199" i="14" s="1"/>
  <c r="Y65" i="11"/>
  <c r="AC502" i="1"/>
  <c r="AB484" i="1"/>
  <c r="AB485" i="1" s="1"/>
  <c r="Y536" i="1"/>
  <c r="Z536" i="1" s="1"/>
  <c r="AA536" i="1" s="1"/>
  <c r="AA579" i="1" s="1"/>
  <c r="X579" i="1"/>
  <c r="T62" i="13"/>
  <c r="T87" i="13"/>
  <c r="AB18" i="11"/>
  <c r="AB17" i="11"/>
  <c r="AB14" i="11"/>
  <c r="AB12" i="11"/>
  <c r="AB19" i="11" s="1"/>
  <c r="AB61" i="11" s="1"/>
  <c r="AB58" i="11" s="1"/>
  <c r="AB11" i="11"/>
  <c r="Z75" i="11"/>
  <c r="Z71" i="11"/>
  <c r="Z50" i="11"/>
  <c r="Z38" i="11"/>
  <c r="P78" i="14"/>
  <c r="O84" i="14"/>
  <c r="O89" i="14" s="1"/>
  <c r="O94" i="14" s="1"/>
  <c r="O99" i="14" s="1"/>
  <c r="O104" i="14" s="1"/>
  <c r="O109" i="14" s="1"/>
  <c r="AD8" i="11"/>
  <c r="AC7" i="11"/>
  <c r="AC16" i="11" s="1"/>
  <c r="V586" i="1"/>
  <c r="M144" i="12"/>
  <c r="M154" i="12"/>
  <c r="M155" i="12" s="1"/>
  <c r="BD186" i="5"/>
  <c r="BC186" i="5" s="1"/>
  <c r="M218" i="13"/>
  <c r="U98" i="13"/>
  <c r="V16" i="13"/>
  <c r="U43" i="13"/>
  <c r="U58" i="13"/>
  <c r="X122" i="10"/>
  <c r="X114" i="10" s="1"/>
  <c r="Y123" i="10"/>
  <c r="Y122" i="10" s="1"/>
  <c r="U446" i="1"/>
  <c r="U526" i="1" s="1"/>
  <c r="U326" i="1"/>
  <c r="V17" i="10"/>
  <c r="V35" i="10"/>
  <c r="V8" i="14"/>
  <c r="V9" i="14" s="1"/>
  <c r="W7" i="14"/>
  <c r="Q170" i="13"/>
  <c r="U42" i="10"/>
  <c r="U49" i="10" s="1"/>
  <c r="U25" i="10"/>
  <c r="L218" i="25"/>
  <c r="J2583" i="16"/>
  <c r="W113" i="13"/>
  <c r="W79" i="13"/>
  <c r="H242" i="13"/>
  <c r="P122" i="13"/>
  <c r="P121" i="13"/>
  <c r="H243" i="13" s="1"/>
  <c r="P125" i="13"/>
  <c r="P126" i="13" s="1"/>
  <c r="P145" i="13"/>
  <c r="H256" i="13" s="1"/>
  <c r="AB492" i="1"/>
  <c r="AB509" i="1" s="1"/>
  <c r="AH3" i="18" s="1"/>
  <c r="O133" i="12"/>
  <c r="O134" i="12" s="1"/>
  <c r="P132" i="12"/>
  <c r="S278" i="10"/>
  <c r="N239" i="13"/>
  <c r="V118" i="13"/>
  <c r="N240" i="13" s="1"/>
  <c r="T52" i="13"/>
  <c r="T51" i="13"/>
  <c r="AC392" i="1"/>
  <c r="S54" i="10"/>
  <c r="V29" i="10"/>
  <c r="H2497" i="16" s="1"/>
  <c r="V46" i="10"/>
  <c r="V39" i="10" s="1"/>
  <c r="J2491" i="16" s="1"/>
  <c r="I230" i="13"/>
  <c r="Q110" i="13"/>
  <c r="I231" i="13" s="1"/>
  <c r="Q120" i="13"/>
  <c r="R172" i="13"/>
  <c r="Z115" i="13"/>
  <c r="Y116" i="13"/>
  <c r="C2481" i="16"/>
  <c r="C2486" i="16" s="1"/>
  <c r="G2497" i="16"/>
  <c r="L224" i="13"/>
  <c r="T106" i="13"/>
  <c r="M225" i="13"/>
  <c r="U104" i="13"/>
  <c r="G256" i="13"/>
  <c r="O151" i="13"/>
  <c r="N146" i="12"/>
  <c r="N154" i="12"/>
  <c r="N155" i="12" s="1"/>
  <c r="N143" i="12"/>
  <c r="N24" i="12"/>
  <c r="N25" i="12" s="1"/>
  <c r="N27" i="12" s="1"/>
  <c r="U19" i="10"/>
  <c r="U47" i="10"/>
  <c r="Y77" i="11"/>
  <c r="Y78" i="11"/>
  <c r="G2495" i="16"/>
  <c r="C2479" i="16"/>
  <c r="C2484" i="16" s="1"/>
  <c r="U30" i="10"/>
  <c r="U33" i="10" s="1"/>
  <c r="O129" i="12"/>
  <c r="O120" i="12"/>
  <c r="W115" i="10"/>
  <c r="W128" i="10"/>
  <c r="W137" i="10" s="1"/>
  <c r="W113" i="10" s="1"/>
  <c r="W111" i="10"/>
  <c r="W107" i="10"/>
  <c r="W105" i="10"/>
  <c r="W109" i="10"/>
  <c r="W102" i="10"/>
  <c r="W108" i="10"/>
  <c r="W103" i="10"/>
  <c r="K140" i="16"/>
  <c r="K145" i="16" s="1"/>
  <c r="K162" i="16" s="1"/>
  <c r="S138" i="16"/>
  <c r="U134" i="10"/>
  <c r="T110" i="10"/>
  <c r="AC316" i="1"/>
  <c r="T162" i="10"/>
  <c r="S164" i="10"/>
  <c r="V223" i="1"/>
  <c r="W221" i="1"/>
  <c r="K15" i="19"/>
  <c r="H46" i="9"/>
  <c r="H52" i="9"/>
  <c r="V24" i="18"/>
  <c r="M131" i="25"/>
  <c r="K2573" i="16" s="1"/>
  <c r="M137" i="25"/>
  <c r="X85" i="13"/>
  <c r="X117" i="13" s="1"/>
  <c r="X118" i="13" s="1"/>
  <c r="Y82" i="13"/>
  <c r="X78" i="13"/>
  <c r="X86" i="13"/>
  <c r="X84" i="13"/>
  <c r="Q334" i="1"/>
  <c r="Q336" i="1"/>
  <c r="Q340" i="1" s="1"/>
  <c r="Q332" i="1"/>
  <c r="AM4" i="14"/>
  <c r="Q2" i="14"/>
  <c r="W535" i="1"/>
  <c r="W578" i="1" s="1"/>
  <c r="V543" i="1"/>
  <c r="W101" i="10"/>
  <c r="W3" i="10"/>
  <c r="U15" i="18"/>
  <c r="L40" i="7"/>
  <c r="V246" i="10"/>
  <c r="U247" i="10"/>
  <c r="AB26" i="11"/>
  <c r="AA15" i="11"/>
  <c r="AA24" i="11"/>
  <c r="AA13" i="11" s="1"/>
  <c r="Y139" i="13"/>
  <c r="Z137" i="13"/>
  <c r="Y21" i="18"/>
  <c r="S208" i="1"/>
  <c r="S16" i="1"/>
  <c r="BD33" i="5" s="1"/>
  <c r="BD34" i="5" s="1"/>
  <c r="L186" i="13"/>
  <c r="T174" i="13"/>
  <c r="T177" i="13" s="1"/>
  <c r="T76" i="13"/>
  <c r="L198" i="13" s="1"/>
  <c r="U176" i="13"/>
  <c r="T59" i="13"/>
  <c r="T73" i="13"/>
  <c r="L196" i="13" s="1"/>
  <c r="J221" i="13"/>
  <c r="R109" i="13"/>
  <c r="Q527" i="1"/>
  <c r="Q452" i="1"/>
  <c r="S37" i="7"/>
  <c r="S38" i="7" s="1"/>
  <c r="T12" i="7"/>
  <c r="AA13" i="13"/>
  <c r="AC533" i="1"/>
  <c r="AC41" i="1"/>
  <c r="Y1" i="10" s="1"/>
  <c r="Y167" i="10" s="1"/>
  <c r="Y51" i="11"/>
  <c r="Y55" i="11"/>
  <c r="Y67" i="11" s="1"/>
  <c r="Y53" i="11"/>
  <c r="Y49" i="11"/>
  <c r="T526" i="1"/>
  <c r="U58" i="7"/>
  <c r="F11" i="26" s="1"/>
  <c r="X537" i="1"/>
  <c r="X580" i="1" s="1"/>
  <c r="X538" i="1"/>
  <c r="X581" i="1" s="1"/>
  <c r="W542" i="1"/>
  <c r="W585" i="1" s="1"/>
  <c r="X540" i="1"/>
  <c r="X583" i="1" s="1"/>
  <c r="J33" i="21"/>
  <c r="J36" i="21" s="1"/>
  <c r="J37" i="21" s="1"/>
  <c r="N205" i="10"/>
  <c r="K226" i="13"/>
  <c r="S107" i="13"/>
  <c r="K228" i="13" s="1"/>
  <c r="Y114" i="10"/>
  <c r="AE23" i="11"/>
  <c r="Z507" i="1"/>
  <c r="Z491" i="1"/>
  <c r="W50" i="7" s="1"/>
  <c r="Z520" i="1"/>
  <c r="AC481" i="1"/>
  <c r="AC482" i="1"/>
  <c r="S32" i="13"/>
  <c r="U30" i="18"/>
  <c r="O529" i="1"/>
  <c r="V32" i="10"/>
  <c r="H2494" i="16"/>
  <c r="X198" i="10"/>
  <c r="X211" i="10" s="1"/>
  <c r="X57" i="10"/>
  <c r="Q32" i="1"/>
  <c r="W14" i="18" s="1"/>
  <c r="Q409" i="1"/>
  <c r="S95" i="13"/>
  <c r="X78" i="11"/>
  <c r="X77" i="11"/>
  <c r="K171" i="16" s="1"/>
  <c r="K169" i="16"/>
  <c r="K151" i="16"/>
  <c r="W271" i="10"/>
  <c r="V270" i="10"/>
  <c r="U272" i="10"/>
  <c r="U276" i="10" s="1"/>
  <c r="AD46" i="11"/>
  <c r="R327" i="1"/>
  <c r="R331" i="1" s="1"/>
  <c r="R209" i="1"/>
  <c r="R447" i="1"/>
  <c r="AA507" i="1"/>
  <c r="U141" i="10"/>
  <c r="U142" i="10" s="1"/>
  <c r="U193" i="10"/>
  <c r="X7" i="7"/>
  <c r="X10" i="7" s="1"/>
  <c r="AA512" i="1"/>
  <c r="AA513" i="1" s="1"/>
  <c r="L217" i="13"/>
  <c r="T100" i="13"/>
  <c r="O522" i="1"/>
  <c r="O454" i="1"/>
  <c r="T31" i="18"/>
  <c r="N530" i="1"/>
  <c r="N523" i="1"/>
  <c r="W282" i="10"/>
  <c r="V280" i="10"/>
  <c r="T194" i="10"/>
  <c r="X55" i="11"/>
  <c r="X67" i="11" s="1"/>
  <c r="X51" i="11"/>
  <c r="X53" i="11"/>
  <c r="X49" i="11"/>
  <c r="P525" i="1"/>
  <c r="P453" i="1"/>
  <c r="P33" i="1"/>
  <c r="P521" i="1"/>
  <c r="M51" i="7"/>
  <c r="W56" i="7"/>
  <c r="W35" i="7"/>
  <c r="W20" i="7"/>
  <c r="W39" i="13"/>
  <c r="W19" i="13"/>
  <c r="W22" i="13" s="1"/>
  <c r="W48" i="13" s="1"/>
  <c r="W41" i="13" s="1"/>
  <c r="W38" i="13"/>
  <c r="W45" i="13"/>
  <c r="W40" i="13"/>
  <c r="R18" i="1"/>
  <c r="R25" i="1" s="1"/>
  <c r="R30" i="1" s="1"/>
  <c r="AB495" i="1"/>
  <c r="Q205" i="10"/>
  <c r="M33" i="21"/>
  <c r="M36" i="21" s="1"/>
  <c r="M37" i="21" s="1"/>
  <c r="AC62" i="11"/>
  <c r="R106" i="10"/>
  <c r="R260" i="10" s="1"/>
  <c r="S130" i="10"/>
  <c r="J184" i="13"/>
  <c r="R54" i="13"/>
  <c r="E1666" i="16" s="1"/>
  <c r="P8" i="21"/>
  <c r="P19" i="21" s="1"/>
  <c r="P10" i="21"/>
  <c r="O7" i="21"/>
  <c r="O12" i="21"/>
  <c r="L29" i="26"/>
  <c r="W539" i="1"/>
  <c r="W582" i="1" s="1"/>
  <c r="O19" i="21"/>
  <c r="V147" i="10"/>
  <c r="V149" i="10" s="1"/>
  <c r="V152" i="10" s="1"/>
  <c r="V140" i="10"/>
  <c r="V27" i="10"/>
  <c r="V44" i="10"/>
  <c r="AA117" i="11"/>
  <c r="AB2" i="11"/>
  <c r="K219" i="13"/>
  <c r="S101" i="13"/>
  <c r="T277" i="1"/>
  <c r="T138" i="1" s="1"/>
  <c r="T140" i="1" s="1"/>
  <c r="T154" i="1" s="1"/>
  <c r="N207" i="13"/>
  <c r="V99" i="13"/>
  <c r="V105" i="13"/>
  <c r="Z20" i="18"/>
  <c r="T184" i="1"/>
  <c r="T183" i="1"/>
  <c r="T206" i="1"/>
  <c r="T15" i="1"/>
  <c r="P96" i="12"/>
  <c r="P57" i="12"/>
  <c r="Q4" i="12"/>
  <c r="J174" i="16"/>
  <c r="J175" i="16" s="1"/>
  <c r="J167" i="16"/>
  <c r="J166" i="16"/>
  <c r="AA97" i="13"/>
  <c r="Y135" i="13"/>
  <c r="Z133" i="13"/>
  <c r="S91" i="13"/>
  <c r="Z64" i="11"/>
  <c r="Z65" i="11" s="1"/>
  <c r="Z44" i="11"/>
  <c r="N17" i="19"/>
  <c r="Y28" i="13"/>
  <c r="X23" i="13"/>
  <c r="U160" i="13"/>
  <c r="V159" i="13"/>
  <c r="T37" i="10"/>
  <c r="H2489" i="16" s="1"/>
  <c r="T22" i="10"/>
  <c r="T40" i="10" s="1"/>
  <c r="X541" i="1"/>
  <c r="T275" i="10"/>
  <c r="T277" i="10"/>
  <c r="AA19" i="11"/>
  <c r="AE22" i="11"/>
  <c r="O154" i="13"/>
  <c r="O126" i="13"/>
  <c r="AC461" i="1"/>
  <c r="AC494" i="1"/>
  <c r="AC487" i="1"/>
  <c r="AC492" i="1" s="1"/>
  <c r="AC509" i="1" s="1"/>
  <c r="AI3" i="18" s="1"/>
  <c r="AA103" i="13"/>
  <c r="Q137" i="12"/>
  <c r="P136" i="12"/>
  <c r="P138" i="12" s="1"/>
  <c r="P141" i="12" s="1"/>
  <c r="N124" i="25"/>
  <c r="N127" i="25" s="1"/>
  <c r="L2569" i="16" s="1"/>
  <c r="L2562" i="16"/>
  <c r="M35" i="1"/>
  <c r="M531" i="1"/>
  <c r="O205" i="10"/>
  <c r="K33" i="21"/>
  <c r="K36" i="21" s="1"/>
  <c r="K37" i="21" s="1"/>
  <c r="W143" i="13"/>
  <c r="AE86" i="11"/>
  <c r="K410" i="1"/>
  <c r="K168" i="1"/>
  <c r="C458" i="16"/>
  <c r="N156" i="13"/>
  <c r="O157" i="13"/>
  <c r="N244" i="10"/>
  <c r="M243" i="10"/>
  <c r="L394" i="1"/>
  <c r="L397" i="1" s="1"/>
  <c r="M395" i="1"/>
  <c r="D8" i="9" l="1"/>
  <c r="D2911" i="16" s="1"/>
  <c r="AD11" i="18"/>
  <c r="AA410" i="1"/>
  <c r="Z167" i="1"/>
  <c r="AF115" i="18" s="1"/>
  <c r="T65" i="13"/>
  <c r="U64" i="13"/>
  <c r="U61" i="13" s="1"/>
  <c r="U90" i="13" s="1"/>
  <c r="T66" i="13"/>
  <c r="X143" i="13"/>
  <c r="AC8" i="9"/>
  <c r="G2911" i="16"/>
  <c r="D2114" i="16"/>
  <c r="E8" i="9"/>
  <c r="E2911" i="16" s="1"/>
  <c r="BW247" i="5"/>
  <c r="BW239" i="5"/>
  <c r="BT122" i="5"/>
  <c r="EI122" i="5" s="1"/>
  <c r="BT249" i="5"/>
  <c r="AT92" i="28" s="1"/>
  <c r="AH4" i="18"/>
  <c r="Z579" i="1"/>
  <c r="AA520" i="1"/>
  <c r="AI4" i="18"/>
  <c r="C2114" i="16"/>
  <c r="M129" i="25"/>
  <c r="K2571" i="16" s="1"/>
  <c r="M128" i="25"/>
  <c r="K2570" i="16" s="1"/>
  <c r="M130" i="25"/>
  <c r="K2572" i="16" s="1"/>
  <c r="K2566" i="16"/>
  <c r="AC484" i="1"/>
  <c r="AC485" i="1" s="1"/>
  <c r="P344" i="1"/>
  <c r="U208" i="1"/>
  <c r="U16" i="1"/>
  <c r="BN33" i="5" s="1"/>
  <c r="AA21" i="18"/>
  <c r="V58" i="7"/>
  <c r="AE11" i="18"/>
  <c r="L217" i="25"/>
  <c r="J2582" i="16"/>
  <c r="BR247" i="5"/>
  <c r="BS247" i="5" s="1"/>
  <c r="M54" i="29"/>
  <c r="V17" i="13"/>
  <c r="V44" i="13" s="1"/>
  <c r="Y142" i="13"/>
  <c r="N33" i="21"/>
  <c r="N36" i="21" s="1"/>
  <c r="N37" i="21" s="1"/>
  <c r="BR239" i="5"/>
  <c r="BN247" i="5"/>
  <c r="C2756" i="16"/>
  <c r="O2756" i="16" s="1"/>
  <c r="C2787" i="16"/>
  <c r="X8" i="29"/>
  <c r="X13" i="29" s="1"/>
  <c r="AB508" i="1"/>
  <c r="T278" i="10"/>
  <c r="G2498" i="16"/>
  <c r="Y579" i="1"/>
  <c r="W586" i="1"/>
  <c r="S18" i="1"/>
  <c r="S25" i="1" s="1"/>
  <c r="S30" i="1" s="1"/>
  <c r="S409" i="1" s="1"/>
  <c r="AC488" i="1"/>
  <c r="AB490" i="1"/>
  <c r="AB507" i="1" s="1"/>
  <c r="X50" i="7"/>
  <c r="Q342" i="1"/>
  <c r="Q348" i="1" s="1"/>
  <c r="AB504" i="1"/>
  <c r="E200" i="14"/>
  <c r="E208" i="14"/>
  <c r="DR186" i="5"/>
  <c r="BC187" i="5"/>
  <c r="DW186" i="5"/>
  <c r="M224" i="13"/>
  <c r="U106" i="13"/>
  <c r="AC18" i="11"/>
  <c r="AC17" i="11"/>
  <c r="AC14" i="11"/>
  <c r="AC12" i="11"/>
  <c r="AC11" i="11"/>
  <c r="AA132" i="18"/>
  <c r="BN13" i="5"/>
  <c r="C2726" i="16"/>
  <c r="O2726" i="16" s="1"/>
  <c r="U54" i="1"/>
  <c r="H2495" i="16"/>
  <c r="H2498" i="16" s="1"/>
  <c r="V30" i="10"/>
  <c r="V33" i="10" s="1"/>
  <c r="T130" i="10"/>
  <c r="S106" i="10"/>
  <c r="S260" i="10" s="1"/>
  <c r="W16" i="7"/>
  <c r="U275" i="10"/>
  <c r="U277" i="10"/>
  <c r="K158" i="16"/>
  <c r="K153" i="16"/>
  <c r="J230" i="13"/>
  <c r="R120" i="13"/>
  <c r="R110" i="13"/>
  <c r="J231" i="13" s="1"/>
  <c r="AA137" i="13"/>
  <c r="AA139" i="13" s="1"/>
  <c r="Z139" i="13"/>
  <c r="X535" i="1"/>
  <c r="X578" i="1" s="1"/>
  <c r="W543" i="1"/>
  <c r="W223" i="1"/>
  <c r="X221" i="1"/>
  <c r="W140" i="10"/>
  <c r="W27" i="10"/>
  <c r="W147" i="10"/>
  <c r="W149" i="10" s="1"/>
  <c r="W152" i="10" s="1"/>
  <c r="W44" i="10"/>
  <c r="N144" i="12"/>
  <c r="BI186" i="5"/>
  <c r="Z116" i="13"/>
  <c r="AA115" i="13"/>
  <c r="AA116" i="13" s="1"/>
  <c r="AB37" i="11"/>
  <c r="AB45" i="11"/>
  <c r="AB43" i="11" s="1"/>
  <c r="M186" i="13"/>
  <c r="U174" i="13"/>
  <c r="U177" i="13" s="1"/>
  <c r="V176" i="13"/>
  <c r="U73" i="13"/>
  <c r="M196" i="13" s="1"/>
  <c r="U59" i="13"/>
  <c r="U76" i="13"/>
  <c r="M198" i="13" s="1"/>
  <c r="AD7" i="11"/>
  <c r="AD16" i="11" s="1"/>
  <c r="AE8" i="11"/>
  <c r="AE7" i="11" s="1"/>
  <c r="AE16" i="11" s="1"/>
  <c r="Z53" i="11"/>
  <c r="Z51" i="11"/>
  <c r="Z55" i="11"/>
  <c r="Z49" i="11"/>
  <c r="Y541" i="1"/>
  <c r="Y584" i="1" s="1"/>
  <c r="P30" i="21"/>
  <c r="P28" i="21"/>
  <c r="V19" i="10"/>
  <c r="V47" i="10"/>
  <c r="Y7" i="7"/>
  <c r="Y10" i="7" s="1"/>
  <c r="AB512" i="1"/>
  <c r="AB513" i="1" s="1"/>
  <c r="AC511" i="1"/>
  <c r="X7" i="14"/>
  <c r="X8" i="14" s="1"/>
  <c r="X9" i="14" s="1"/>
  <c r="W8" i="14"/>
  <c r="W9" i="14" s="1"/>
  <c r="V160" i="13"/>
  <c r="W159" i="13"/>
  <c r="V141" i="10"/>
  <c r="V142" i="10" s="1"/>
  <c r="V193" i="10"/>
  <c r="V15" i="18"/>
  <c r="M40" i="7"/>
  <c r="N35" i="1"/>
  <c r="N531" i="1"/>
  <c r="AB511" i="1"/>
  <c r="R527" i="1"/>
  <c r="R452" i="1"/>
  <c r="W270" i="10"/>
  <c r="V272" i="10"/>
  <c r="K173" i="16"/>
  <c r="K170" i="16"/>
  <c r="X542" i="1"/>
  <c r="AN4" i="14"/>
  <c r="R2" i="14"/>
  <c r="U52" i="13"/>
  <c r="U51" i="13"/>
  <c r="V576" i="1"/>
  <c r="AA133" i="13"/>
  <c r="AA135" i="13" s="1"/>
  <c r="Z135" i="13"/>
  <c r="N225" i="13"/>
  <c r="V104" i="13"/>
  <c r="U31" i="18"/>
  <c r="O530" i="1"/>
  <c r="O523" i="1"/>
  <c r="S327" i="1"/>
  <c r="S331" i="1" s="1"/>
  <c r="S332" i="1" s="1"/>
  <c r="S209" i="1"/>
  <c r="S447" i="1"/>
  <c r="U37" i="10"/>
  <c r="I2489" i="16" s="1"/>
  <c r="U22" i="10"/>
  <c r="U40" i="10" s="1"/>
  <c r="P84" i="14"/>
  <c r="P89" i="14" s="1"/>
  <c r="P94" i="14" s="1"/>
  <c r="P99" i="14" s="1"/>
  <c r="P104" i="14" s="1"/>
  <c r="P109" i="14" s="1"/>
  <c r="Q78" i="14"/>
  <c r="P120" i="12"/>
  <c r="P129" i="12"/>
  <c r="L219" i="13"/>
  <c r="T101" i="13"/>
  <c r="Y198" i="10"/>
  <c r="Y211" i="10" s="1"/>
  <c r="Y57" i="10"/>
  <c r="V134" i="10"/>
  <c r="U110" i="10"/>
  <c r="Z21" i="18"/>
  <c r="T208" i="1"/>
  <c r="T16" i="1"/>
  <c r="W16" i="13"/>
  <c r="L226" i="13"/>
  <c r="T107" i="13"/>
  <c r="L228" i="13" s="1"/>
  <c r="V42" i="10"/>
  <c r="V49" i="10" s="1"/>
  <c r="V25" i="10"/>
  <c r="T91" i="13"/>
  <c r="AC495" i="1"/>
  <c r="X39" i="13"/>
  <c r="X19" i="13"/>
  <c r="X38" i="13"/>
  <c r="X45" i="13"/>
  <c r="X40" i="13"/>
  <c r="K221" i="13"/>
  <c r="S109" i="13"/>
  <c r="O30" i="21"/>
  <c r="O28" i="21"/>
  <c r="AD62" i="11"/>
  <c r="V30" i="18"/>
  <c r="P529" i="1"/>
  <c r="X56" i="7"/>
  <c r="X35" i="7"/>
  <c r="X20" i="7"/>
  <c r="R334" i="1"/>
  <c r="R336" i="1"/>
  <c r="R340" i="1" s="1"/>
  <c r="R332" i="1"/>
  <c r="X271" i="10"/>
  <c r="T32" i="13"/>
  <c r="Y115" i="10"/>
  <c r="Y128" i="10"/>
  <c r="Y137" i="10" s="1"/>
  <c r="Y113" i="10" s="1"/>
  <c r="Y111" i="10"/>
  <c r="Y105" i="10"/>
  <c r="Y107" i="10"/>
  <c r="Y102" i="10"/>
  <c r="Y109" i="10"/>
  <c r="Y108" i="10"/>
  <c r="Y103" i="10"/>
  <c r="T37" i="7"/>
  <c r="T38" i="7" s="1"/>
  <c r="U12" i="7"/>
  <c r="X113" i="13"/>
  <c r="X79" i="13"/>
  <c r="T164" i="10"/>
  <c r="U162" i="10"/>
  <c r="R170" i="13"/>
  <c r="V58" i="13"/>
  <c r="V43" i="13"/>
  <c r="T95" i="13"/>
  <c r="X282" i="10"/>
  <c r="W280" i="10"/>
  <c r="W32" i="10"/>
  <c r="I2494" i="16"/>
  <c r="R137" i="12"/>
  <c r="R136" i="12" s="1"/>
  <c r="R138" i="12" s="1"/>
  <c r="R141" i="12" s="1"/>
  <c r="Q136" i="12"/>
  <c r="Q138" i="12" s="1"/>
  <c r="Q141" i="12" s="1"/>
  <c r="N218" i="13"/>
  <c r="V98" i="13"/>
  <c r="AA37" i="11"/>
  <c r="AA45" i="11"/>
  <c r="AA43" i="11" s="1"/>
  <c r="AA61" i="11"/>
  <c r="AA58" i="11" s="1"/>
  <c r="R32" i="1"/>
  <c r="X14" i="18" s="1"/>
  <c r="R409" i="1"/>
  <c r="P522" i="1"/>
  <c r="P454" i="1"/>
  <c r="S54" i="13"/>
  <c r="F1666" i="16" s="1"/>
  <c r="K184" i="13"/>
  <c r="Y540" i="1"/>
  <c r="Y583" i="1" s="1"/>
  <c r="M218" i="25"/>
  <c r="K2583" i="16"/>
  <c r="K143" i="16"/>
  <c r="K146" i="16"/>
  <c r="K141" i="16"/>
  <c r="S140" i="16"/>
  <c r="K144" i="16"/>
  <c r="X115" i="10"/>
  <c r="X128" i="10"/>
  <c r="X137" i="10" s="1"/>
  <c r="X113" i="10" s="1"/>
  <c r="X107" i="10"/>
  <c r="X105" i="10"/>
  <c r="X111" i="10"/>
  <c r="X109" i="10"/>
  <c r="X102" i="10"/>
  <c r="X108" i="10"/>
  <c r="X103" i="10"/>
  <c r="Z78" i="11"/>
  <c r="Z77" i="11"/>
  <c r="Y23" i="13"/>
  <c r="Z28" i="13"/>
  <c r="X539" i="1"/>
  <c r="X582" i="1" s="1"/>
  <c r="U194" i="10"/>
  <c r="Y73" i="11"/>
  <c r="Y83" i="11"/>
  <c r="Y84" i="11" s="1"/>
  <c r="Y118" i="11" s="1"/>
  <c r="Y69" i="11"/>
  <c r="AC26" i="11"/>
  <c r="AB15" i="11"/>
  <c r="AB24" i="11"/>
  <c r="AB13" i="11" s="1"/>
  <c r="W17" i="10"/>
  <c r="W35" i="10"/>
  <c r="Z82" i="13"/>
  <c r="Y78" i="13"/>
  <c r="Y86" i="13"/>
  <c r="Y140" i="13" s="1"/>
  <c r="Y84" i="13"/>
  <c r="Y85" i="13"/>
  <c r="Y117" i="13" s="1"/>
  <c r="Y118" i="13" s="1"/>
  <c r="I242" i="13"/>
  <c r="Q122" i="13"/>
  <c r="Q145" i="13"/>
  <c r="Q121" i="13"/>
  <c r="I243" i="13" s="1"/>
  <c r="Q125" i="13"/>
  <c r="P133" i="12"/>
  <c r="P134" i="12" s="1"/>
  <c r="Q132" i="12"/>
  <c r="M217" i="13"/>
  <c r="U100" i="13"/>
  <c r="W246" i="10"/>
  <c r="V247" i="10"/>
  <c r="Z7" i="7"/>
  <c r="Z10" i="7" s="1"/>
  <c r="AC512" i="1"/>
  <c r="X83" i="11"/>
  <c r="X84" i="11" s="1"/>
  <c r="X118" i="11" s="1"/>
  <c r="X69" i="11"/>
  <c r="X73" i="11"/>
  <c r="K165" i="16"/>
  <c r="X101" i="10"/>
  <c r="X3" i="10"/>
  <c r="Y538" i="1"/>
  <c r="Y581" i="1" s="1"/>
  <c r="N137" i="25"/>
  <c r="N131" i="25"/>
  <c r="L2573" i="16" s="1"/>
  <c r="L2566" i="16"/>
  <c r="N129" i="25"/>
  <c r="L2571" i="16" s="1"/>
  <c r="N130" i="25"/>
  <c r="L2572" i="16" s="1"/>
  <c r="N128" i="25"/>
  <c r="L2570" i="16" s="1"/>
  <c r="X584" i="1"/>
  <c r="Q96" i="12"/>
  <c r="R4" i="12"/>
  <c r="Q57" i="12"/>
  <c r="AC2" i="11"/>
  <c r="AB117" i="11"/>
  <c r="P7" i="21"/>
  <c r="P12" i="21"/>
  <c r="M29" i="26"/>
  <c r="T54" i="10"/>
  <c r="AE46" i="11"/>
  <c r="AB536" i="1"/>
  <c r="AB579" i="1" s="1"/>
  <c r="Y537" i="1"/>
  <c r="Q453" i="1"/>
  <c r="Q33" i="1"/>
  <c r="Q525" i="1"/>
  <c r="N51" i="7"/>
  <c r="Q521" i="1"/>
  <c r="L15" i="19"/>
  <c r="I52" i="9"/>
  <c r="W24" i="18"/>
  <c r="W29" i="10"/>
  <c r="I2497" i="16" s="1"/>
  <c r="W46" i="10"/>
  <c r="W39" i="10" s="1"/>
  <c r="K2491" i="16" s="1"/>
  <c r="X140" i="13"/>
  <c r="O154" i="12"/>
  <c r="O155" i="12" s="1"/>
  <c r="O143" i="12"/>
  <c r="O146" i="12"/>
  <c r="O24" i="12"/>
  <c r="O25" i="12" s="1"/>
  <c r="O27" i="12" s="1"/>
  <c r="W105" i="13"/>
  <c r="W99" i="13"/>
  <c r="AA20" i="18"/>
  <c r="U183" i="1"/>
  <c r="O244" i="10"/>
  <c r="N243" i="10"/>
  <c r="D458" i="16"/>
  <c r="C468" i="16"/>
  <c r="C469" i="16" s="1"/>
  <c r="C470" i="16" s="1"/>
  <c r="C459" i="16"/>
  <c r="M394" i="1"/>
  <c r="M397" i="1" s="1"/>
  <c r="M398" i="1" s="1"/>
  <c r="N395" i="1"/>
  <c r="Q116" i="18"/>
  <c r="Q117" i="18" s="1"/>
  <c r="K175" i="1"/>
  <c r="K177" i="1" s="1"/>
  <c r="L410" i="1"/>
  <c r="L168" i="1"/>
  <c r="O156" i="13"/>
  <c r="AB410" i="1" l="1"/>
  <c r="AA167" i="1"/>
  <c r="AG115" i="18" s="1"/>
  <c r="U66" i="13"/>
  <c r="V64" i="13"/>
  <c r="W98" i="13"/>
  <c r="W100" i="13" s="1"/>
  <c r="W101" i="13" s="1"/>
  <c r="W104" i="13"/>
  <c r="W106" i="13" s="1"/>
  <c r="W107" i="13" s="1"/>
  <c r="W109" i="13" s="1"/>
  <c r="W110" i="13" s="1"/>
  <c r="BX247" i="5"/>
  <c r="BW241" i="5"/>
  <c r="BW253" i="5" s="1"/>
  <c r="BW249" i="5"/>
  <c r="X26" i="29"/>
  <c r="AB491" i="1"/>
  <c r="Y50" i="7" s="1"/>
  <c r="AC504" i="1"/>
  <c r="AC508" i="1"/>
  <c r="AC490" i="1"/>
  <c r="AC520" i="1" s="1"/>
  <c r="AC167" i="1" s="1"/>
  <c r="W58" i="7"/>
  <c r="AF11" i="18"/>
  <c r="BR249" i="5"/>
  <c r="AS92" i="28" s="1"/>
  <c r="BR122" i="5"/>
  <c r="EG122" i="5" s="1"/>
  <c r="W576" i="1"/>
  <c r="AB520" i="1"/>
  <c r="U209" i="1"/>
  <c r="U327" i="1"/>
  <c r="U447" i="1"/>
  <c r="U527" i="1" s="1"/>
  <c r="M217" i="25"/>
  <c r="K2582" i="16"/>
  <c r="M55" i="29"/>
  <c r="X54" i="29"/>
  <c r="X55" i="29" s="1"/>
  <c r="BS11" i="28"/>
  <c r="BR241" i="5"/>
  <c r="D2787" i="16"/>
  <c r="D2756" i="16"/>
  <c r="P2756" i="16" s="1"/>
  <c r="O2787" i="16"/>
  <c r="Y2787" i="16"/>
  <c r="N8" i="29"/>
  <c r="U54" i="10"/>
  <c r="S32" i="1"/>
  <c r="Y14" i="18" s="1"/>
  <c r="R342" i="1"/>
  <c r="R348" i="1" s="1"/>
  <c r="R349" i="1" s="1"/>
  <c r="O28" i="7" s="1"/>
  <c r="O32" i="7" s="1"/>
  <c r="Z142" i="13"/>
  <c r="Q344" i="1"/>
  <c r="Y143" i="13"/>
  <c r="T18" i="1"/>
  <c r="T25" i="1" s="1"/>
  <c r="T30" i="1" s="1"/>
  <c r="T32" i="1" s="1"/>
  <c r="Z14" i="18" s="1"/>
  <c r="BI33" i="5"/>
  <c r="BI34" i="5" s="1"/>
  <c r="BI71" i="5" s="1"/>
  <c r="BI78" i="5" s="1"/>
  <c r="BI79" i="5" s="1"/>
  <c r="Z537" i="1"/>
  <c r="Z580" i="1" s="1"/>
  <c r="L184" i="13"/>
  <c r="T54" i="13"/>
  <c r="G1666" i="16" s="1"/>
  <c r="AE18" i="11"/>
  <c r="AE17" i="11"/>
  <c r="AE14" i="11"/>
  <c r="I2495" i="16"/>
  <c r="I2498" i="16" s="1"/>
  <c r="W30" i="10"/>
  <c r="W33" i="10" s="1"/>
  <c r="I256" i="13"/>
  <c r="Q151" i="13"/>
  <c r="AB75" i="11"/>
  <c r="AB38" i="11"/>
  <c r="AB71" i="11"/>
  <c r="AB50" i="11"/>
  <c r="U56" i="1"/>
  <c r="R96" i="12"/>
  <c r="R57" i="12"/>
  <c r="U128" i="13"/>
  <c r="U62" i="13"/>
  <c r="U93" i="13"/>
  <c r="W51" i="1"/>
  <c r="D2976" i="16" s="1"/>
  <c r="D3026" i="16" s="1"/>
  <c r="U87" i="13"/>
  <c r="W42" i="10"/>
  <c r="W49" i="10" s="1"/>
  <c r="W25" i="10"/>
  <c r="X32" i="10"/>
  <c r="J2494" i="16"/>
  <c r="Z540" i="1"/>
  <c r="Z583" i="1" s="1"/>
  <c r="AA64" i="11"/>
  <c r="AA44" i="11"/>
  <c r="U37" i="7"/>
  <c r="U38" i="7" s="1"/>
  <c r="V12" i="7"/>
  <c r="Y140" i="10"/>
  <c r="Y27" i="10"/>
  <c r="Y147" i="10"/>
  <c r="Y149" i="10" s="1"/>
  <c r="Y152" i="10" s="1"/>
  <c r="Y44" i="10"/>
  <c r="P530" i="1"/>
  <c r="P523" i="1"/>
  <c r="K230" i="13"/>
  <c r="S120" i="13"/>
  <c r="S125" i="13" s="1"/>
  <c r="S110" i="13"/>
  <c r="K231" i="13" s="1"/>
  <c r="W134" i="10"/>
  <c r="V110" i="10"/>
  <c r="Y35" i="7"/>
  <c r="Y56" i="7"/>
  <c r="Y20" i="7"/>
  <c r="Z541" i="1"/>
  <c r="X223" i="1"/>
  <c r="Y221" i="1"/>
  <c r="J242" i="13"/>
  <c r="R122" i="13"/>
  <c r="R145" i="13"/>
  <c r="R121" i="13"/>
  <c r="J243" i="13" s="1"/>
  <c r="R125" i="13"/>
  <c r="AE11" i="11"/>
  <c r="K174" i="16"/>
  <c r="K175" i="16" s="1"/>
  <c r="K167" i="16"/>
  <c r="K166" i="16"/>
  <c r="AD18" i="11"/>
  <c r="AD17" i="11"/>
  <c r="AD14" i="11"/>
  <c r="AD12" i="11"/>
  <c r="AD19" i="11" s="1"/>
  <c r="AD11" i="11"/>
  <c r="W141" i="10"/>
  <c r="W142" i="10" s="1"/>
  <c r="W193" i="10"/>
  <c r="U278" i="10"/>
  <c r="Q129" i="12"/>
  <c r="Q120" i="12"/>
  <c r="R132" i="12"/>
  <c r="R133" i="12" s="1"/>
  <c r="R134" i="12" s="1"/>
  <c r="Q133" i="12"/>
  <c r="Q134" i="12" s="1"/>
  <c r="AA75" i="11"/>
  <c r="AA71" i="11"/>
  <c r="AA50" i="11"/>
  <c r="AA38" i="11"/>
  <c r="M15" i="19"/>
  <c r="J52" i="9"/>
  <c r="J46" i="9"/>
  <c r="X24" i="18"/>
  <c r="AB132" i="18"/>
  <c r="D2726" i="16"/>
  <c r="P2726" i="16" s="1"/>
  <c r="AE12" i="11"/>
  <c r="Y101" i="10"/>
  <c r="Y3" i="10"/>
  <c r="N224" i="13"/>
  <c r="V106" i="13"/>
  <c r="AO4" i="14"/>
  <c r="S2" i="14"/>
  <c r="BN16" i="5"/>
  <c r="AC117" i="11"/>
  <c r="AD2" i="11"/>
  <c r="Y32" i="10"/>
  <c r="K2494" i="16"/>
  <c r="L2494" i="16"/>
  <c r="O531" i="1"/>
  <c r="O35" i="1"/>
  <c r="N218" i="25"/>
  <c r="L2583" i="16"/>
  <c r="N217" i="13"/>
  <c r="V100" i="13"/>
  <c r="U164" i="10"/>
  <c r="V162" i="10"/>
  <c r="W58" i="13"/>
  <c r="W43" i="13"/>
  <c r="V275" i="10"/>
  <c r="V277" i="10"/>
  <c r="Z83" i="11"/>
  <c r="Z84" i="11" s="1"/>
  <c r="Z118" i="11" s="1"/>
  <c r="Z73" i="11"/>
  <c r="Z69" i="11"/>
  <c r="O144" i="12"/>
  <c r="BN186" i="5"/>
  <c r="Z58" i="14"/>
  <c r="P58" i="14"/>
  <c r="I46" i="9"/>
  <c r="W30" i="18"/>
  <c r="Q529" i="1"/>
  <c r="AC536" i="1"/>
  <c r="AC579" i="1" s="1"/>
  <c r="AC513" i="1"/>
  <c r="AC19" i="11"/>
  <c r="AC15" i="11"/>
  <c r="AD26" i="11"/>
  <c r="AC24" i="11"/>
  <c r="AC13" i="11" s="1"/>
  <c r="X147" i="10"/>
  <c r="X149" i="10" s="1"/>
  <c r="X152" i="10" s="1"/>
  <c r="X140" i="10"/>
  <c r="X27" i="10"/>
  <c r="X44" i="10"/>
  <c r="Y29" i="10"/>
  <c r="Y46" i="10"/>
  <c r="Y39" i="10" s="1"/>
  <c r="M2491" i="16" s="1"/>
  <c r="W17" i="13"/>
  <c r="W44" i="13" s="1"/>
  <c r="L221" i="13"/>
  <c r="T109" i="13"/>
  <c r="S527" i="1"/>
  <c r="X270" i="10"/>
  <c r="W272" i="10"/>
  <c r="Z67" i="11"/>
  <c r="U130" i="10"/>
  <c r="T106" i="10"/>
  <c r="T260" i="10" s="1"/>
  <c r="Z78" i="13"/>
  <c r="Z86" i="13"/>
  <c r="Z140" i="13" s="1"/>
  <c r="Z84" i="13"/>
  <c r="Z85" i="13"/>
  <c r="Z117" i="13" s="1"/>
  <c r="Z118" i="13" s="1"/>
  <c r="AA82" i="13"/>
  <c r="Z23" i="13"/>
  <c r="AA28" i="13"/>
  <c r="AA23" i="13" s="1"/>
  <c r="O33" i="21"/>
  <c r="O36" i="21" s="1"/>
  <c r="O37" i="21" s="1"/>
  <c r="S205" i="10"/>
  <c r="Y39" i="13"/>
  <c r="Y19" i="13"/>
  <c r="Y22" i="13" s="1"/>
  <c r="Y48" i="13" s="1"/>
  <c r="Y41" i="13" s="1"/>
  <c r="Y38" i="13"/>
  <c r="Y45" i="13"/>
  <c r="Y40" i="13"/>
  <c r="Y271" i="10"/>
  <c r="R78" i="14"/>
  <c r="Q84" i="14"/>
  <c r="Q89" i="14" s="1"/>
  <c r="Q94" i="14" s="1"/>
  <c r="Q99" i="14" s="1"/>
  <c r="Q104" i="14" s="1"/>
  <c r="Q109" i="14" s="1"/>
  <c r="P154" i="12"/>
  <c r="P155" i="12" s="1"/>
  <c r="P143" i="12"/>
  <c r="P146" i="12"/>
  <c r="P24" i="12"/>
  <c r="P25" i="12" s="1"/>
  <c r="P27" i="12" s="1"/>
  <c r="W15" i="18"/>
  <c r="N40" i="7"/>
  <c r="Z538" i="1"/>
  <c r="Z581" i="1" s="1"/>
  <c r="Z35" i="7"/>
  <c r="Z56" i="7"/>
  <c r="Z20" i="7"/>
  <c r="M219" i="13"/>
  <c r="U101" i="13"/>
  <c r="X280" i="10"/>
  <c r="Y282" i="10"/>
  <c r="Y280" i="10" s="1"/>
  <c r="V52" i="13"/>
  <c r="V51" i="13"/>
  <c r="X105" i="13"/>
  <c r="X104" i="13" s="1"/>
  <c r="X106" i="13" s="1"/>
  <c r="X107" i="13" s="1"/>
  <c r="X99" i="13"/>
  <c r="AA142" i="13"/>
  <c r="V276" i="10"/>
  <c r="V194" i="10"/>
  <c r="V37" i="10"/>
  <c r="J2489" i="16" s="1"/>
  <c r="V22" i="10"/>
  <c r="V40" i="10" s="1"/>
  <c r="W19" i="10"/>
  <c r="W47" i="10"/>
  <c r="X543" i="1"/>
  <c r="Y535" i="1"/>
  <c r="Y578" i="1" s="1"/>
  <c r="M226" i="13"/>
  <c r="U107" i="13"/>
  <c r="M228" i="13" s="1"/>
  <c r="X16" i="13"/>
  <c r="Y542" i="1"/>
  <c r="Y585" i="1" s="1"/>
  <c r="AB64" i="11"/>
  <c r="AB44" i="11"/>
  <c r="Y580" i="1"/>
  <c r="W247" i="10"/>
  <c r="X246" i="10"/>
  <c r="X29" i="10"/>
  <c r="J2497" i="16" s="1"/>
  <c r="X46" i="10"/>
  <c r="X39" i="10" s="1"/>
  <c r="L2491" i="16" s="1"/>
  <c r="C1560" i="16"/>
  <c r="C1602" i="16"/>
  <c r="AE62" i="11"/>
  <c r="X159" i="13"/>
  <c r="W160" i="13"/>
  <c r="Q454" i="1"/>
  <c r="Q522" i="1"/>
  <c r="X17" i="10"/>
  <c r="X35" i="10"/>
  <c r="Q126" i="13"/>
  <c r="Q154" i="13"/>
  <c r="Y113" i="13"/>
  <c r="Y79" i="13"/>
  <c r="Y539" i="1"/>
  <c r="Y582" i="1" s="1"/>
  <c r="N186" i="13"/>
  <c r="V174" i="13"/>
  <c r="V177" i="13" s="1"/>
  <c r="W176" i="13"/>
  <c r="V59" i="13"/>
  <c r="V76" i="13"/>
  <c r="N198" i="13" s="1"/>
  <c r="V73" i="13"/>
  <c r="N196" i="13" s="1"/>
  <c r="U32" i="13"/>
  <c r="X22" i="13"/>
  <c r="X48" i="13" s="1"/>
  <c r="X41" i="13" s="1"/>
  <c r="T447" i="1"/>
  <c r="T209" i="1"/>
  <c r="T327" i="1"/>
  <c r="T331" i="1" s="1"/>
  <c r="T332" i="1" s="1"/>
  <c r="S334" i="1"/>
  <c r="S336" i="1"/>
  <c r="S340" i="1" s="1"/>
  <c r="S450" i="1"/>
  <c r="S452" i="1" s="1"/>
  <c r="X585" i="1"/>
  <c r="X586" i="1" s="1"/>
  <c r="R453" i="1"/>
  <c r="R525" i="1"/>
  <c r="R33" i="1"/>
  <c r="R521" i="1"/>
  <c r="O51" i="7"/>
  <c r="P33" i="21"/>
  <c r="P36" i="21" s="1"/>
  <c r="P37" i="21" s="1"/>
  <c r="T205" i="10"/>
  <c r="N394" i="1"/>
  <c r="N397" i="1" s="1"/>
  <c r="N398" i="1" s="1"/>
  <c r="O395" i="1"/>
  <c r="D459" i="16"/>
  <c r="C463" i="16"/>
  <c r="C465" i="16" s="1"/>
  <c r="C460" i="16"/>
  <c r="C461" i="16" s="1"/>
  <c r="D468" i="16"/>
  <c r="D469" i="16" s="1"/>
  <c r="D470" i="16" s="1"/>
  <c r="E458" i="16"/>
  <c r="E468" i="16" s="1"/>
  <c r="E469" i="16" s="1"/>
  <c r="E470" i="16" s="1"/>
  <c r="M168" i="1"/>
  <c r="M410" i="1"/>
  <c r="R116" i="18"/>
  <c r="R117" i="18" s="1"/>
  <c r="O243" i="10"/>
  <c r="X16" i="7" l="1"/>
  <c r="AC410" i="1"/>
  <c r="AB167" i="1"/>
  <c r="AH115" i="18" s="1"/>
  <c r="D2869" i="16"/>
  <c r="S88" i="13"/>
  <c r="X98" i="13"/>
  <c r="X100" i="13" s="1"/>
  <c r="X101" i="13" s="1"/>
  <c r="X109" i="13" s="1"/>
  <c r="X110" i="13" s="1"/>
  <c r="W64" i="13"/>
  <c r="X64" i="13" s="1"/>
  <c r="Y64" i="13" s="1"/>
  <c r="V66" i="13"/>
  <c r="V61" i="13"/>
  <c r="BR253" i="5"/>
  <c r="BR254" i="5" s="1"/>
  <c r="BT253" i="5"/>
  <c r="BT254" i="5" s="1"/>
  <c r="BW242" i="5"/>
  <c r="BT123" i="5"/>
  <c r="EI123" i="5" s="1"/>
  <c r="BT242" i="5"/>
  <c r="AC507" i="1"/>
  <c r="AC491" i="1"/>
  <c r="Z50" i="7" s="1"/>
  <c r="R344" i="1"/>
  <c r="AI115" i="18"/>
  <c r="X58" i="7"/>
  <c r="AG11" i="18"/>
  <c r="BR123" i="5"/>
  <c r="EG123" i="5" s="1"/>
  <c r="BR242" i="5"/>
  <c r="R164" i="1"/>
  <c r="X111" i="18" s="1"/>
  <c r="L2582" i="16"/>
  <c r="N217" i="25"/>
  <c r="EG13" i="5"/>
  <c r="M8" i="29"/>
  <c r="W120" i="13"/>
  <c r="W121" i="13" s="1"/>
  <c r="C2762" i="16"/>
  <c r="C2793" i="16"/>
  <c r="C2790" i="16"/>
  <c r="C2759" i="16"/>
  <c r="C2758" i="16" s="1"/>
  <c r="O2758" i="16" s="1"/>
  <c r="Z2787" i="16"/>
  <c r="P2787" i="16"/>
  <c r="BN25" i="5"/>
  <c r="BN40" i="5" s="1"/>
  <c r="X19" i="29"/>
  <c r="Z143" i="13"/>
  <c r="T409" i="1"/>
  <c r="S342" i="1"/>
  <c r="S348" i="1" s="1"/>
  <c r="X576" i="1"/>
  <c r="S453" i="1"/>
  <c r="S33" i="1"/>
  <c r="S525" i="1"/>
  <c r="S521" i="1"/>
  <c r="P51" i="7"/>
  <c r="AA134" i="18"/>
  <c r="C15" i="26"/>
  <c r="C2729" i="16"/>
  <c r="C2432" i="16"/>
  <c r="U62" i="1"/>
  <c r="U5" i="1"/>
  <c r="U57" i="1"/>
  <c r="AD37" i="11"/>
  <c r="AD45" i="11"/>
  <c r="AD43" i="11" s="1"/>
  <c r="AD61" i="11"/>
  <c r="AD58" i="11" s="1"/>
  <c r="W275" i="10"/>
  <c r="W277" i="10"/>
  <c r="Y19" i="10"/>
  <c r="Y47" i="10"/>
  <c r="U91" i="13"/>
  <c r="BX13" i="5"/>
  <c r="AD15" i="11"/>
  <c r="AE26" i="11"/>
  <c r="AD24" i="11"/>
  <c r="AD13" i="11" s="1"/>
  <c r="AD117" i="11"/>
  <c r="AE2" i="11"/>
  <c r="AE117" i="11" s="1"/>
  <c r="U95" i="13"/>
  <c r="L2495" i="16"/>
  <c r="K2495" i="16"/>
  <c r="Y30" i="10"/>
  <c r="Y33" i="10" s="1"/>
  <c r="R84" i="14"/>
  <c r="R89" i="14" s="1"/>
  <c r="R94" i="14" s="1"/>
  <c r="R99" i="14" s="1"/>
  <c r="R104" i="14" s="1"/>
  <c r="R109" i="14" s="1"/>
  <c r="S78" i="14"/>
  <c r="S84" i="14" s="1"/>
  <c r="S89" i="14" s="1"/>
  <c r="S94" i="14" s="1"/>
  <c r="S99" i="14" s="1"/>
  <c r="S104" i="14" s="1"/>
  <c r="S109" i="14" s="1"/>
  <c r="AA86" i="13"/>
  <c r="AA143" i="13" s="1"/>
  <c r="AA84" i="13"/>
  <c r="AA85" i="13"/>
  <c r="AA117" i="13" s="1"/>
  <c r="AA118" i="13" s="1"/>
  <c r="AA78" i="13"/>
  <c r="L2497" i="16"/>
  <c r="K2497" i="16"/>
  <c r="Y17" i="10"/>
  <c r="Y35" i="10"/>
  <c r="AA78" i="11"/>
  <c r="AA77" i="11"/>
  <c r="W194" i="10"/>
  <c r="Y141" i="10"/>
  <c r="Y142" i="10" s="1"/>
  <c r="Y193" i="10"/>
  <c r="U178" i="13"/>
  <c r="U179" i="13" s="1"/>
  <c r="U180" i="13" s="1"/>
  <c r="U162" i="13"/>
  <c r="U163" i="13" s="1"/>
  <c r="U165" i="13" s="1"/>
  <c r="U131" i="13"/>
  <c r="U150" i="13" s="1"/>
  <c r="D1602" i="16"/>
  <c r="D1560" i="16"/>
  <c r="Y105" i="13"/>
  <c r="Y104" i="13" s="1"/>
  <c r="Y106" i="13" s="1"/>
  <c r="Y107" i="13" s="1"/>
  <c r="Y99" i="13"/>
  <c r="Y98" i="13" s="1"/>
  <c r="Y100" i="13" s="1"/>
  <c r="Y101" i="13" s="1"/>
  <c r="Y270" i="10"/>
  <c r="X272" i="10"/>
  <c r="X15" i="18"/>
  <c r="O40" i="7"/>
  <c r="Y16" i="13"/>
  <c r="X19" i="10"/>
  <c r="X47" i="10"/>
  <c r="AC37" i="11"/>
  <c r="AC45" i="11"/>
  <c r="AC43" i="11" s="1"/>
  <c r="AC61" i="11"/>
  <c r="AC58" i="11" s="1"/>
  <c r="N219" i="13"/>
  <c r="V101" i="13"/>
  <c r="AG36" i="28"/>
  <c r="Q154" i="12"/>
  <c r="Q155" i="12" s="1"/>
  <c r="Q143" i="12"/>
  <c r="Q146" i="12"/>
  <c r="Q24" i="12"/>
  <c r="Q25" i="12" s="1"/>
  <c r="Q27" i="12" s="1"/>
  <c r="AA541" i="1"/>
  <c r="AA584" i="1" s="1"/>
  <c r="K242" i="13"/>
  <c r="S145" i="13"/>
  <c r="S121" i="13"/>
  <c r="K243" i="13" s="1"/>
  <c r="S122" i="13"/>
  <c r="V37" i="7"/>
  <c r="V38" i="7" s="1"/>
  <c r="W12" i="7"/>
  <c r="AA537" i="1"/>
  <c r="AA580" i="1" s="1"/>
  <c r="M184" i="13"/>
  <c r="U54" i="13"/>
  <c r="H1666" i="16" s="1"/>
  <c r="P144" i="12"/>
  <c r="AA58" i="14"/>
  <c r="Q58" i="14"/>
  <c r="V32" i="13"/>
  <c r="X58" i="13"/>
  <c r="X43" i="13"/>
  <c r="V130" i="10"/>
  <c r="U106" i="10"/>
  <c r="U260" i="10" s="1"/>
  <c r="AA51" i="11"/>
  <c r="AA55" i="11"/>
  <c r="AA67" i="11" s="1"/>
  <c r="AA53" i="11"/>
  <c r="AA49" i="11"/>
  <c r="X17" i="13"/>
  <c r="X44" i="13" s="1"/>
  <c r="Z19" i="13"/>
  <c r="Z22" i="13" s="1"/>
  <c r="Z48" i="13" s="1"/>
  <c r="Z41" i="13" s="1"/>
  <c r="Z39" i="13"/>
  <c r="Z38" i="13"/>
  <c r="Z45" i="13"/>
  <c r="Z40" i="13"/>
  <c r="Q530" i="1"/>
  <c r="Q523" i="1"/>
  <c r="X30" i="18"/>
  <c r="R529" i="1"/>
  <c r="R454" i="1"/>
  <c r="R522" i="1"/>
  <c r="Y543" i="1"/>
  <c r="Z535" i="1"/>
  <c r="Z578" i="1" s="1"/>
  <c r="X31" i="18"/>
  <c r="O48" i="7"/>
  <c r="D2075" i="16"/>
  <c r="D2077" i="16" s="1"/>
  <c r="C1770" i="16"/>
  <c r="D1554" i="16"/>
  <c r="D647" i="16"/>
  <c r="D652" i="16" s="1"/>
  <c r="D1596" i="16"/>
  <c r="D1597" i="16" s="1"/>
  <c r="C1456" i="16"/>
  <c r="C1471" i="16" s="1"/>
  <c r="D1555" i="16"/>
  <c r="D646" i="16"/>
  <c r="J2495" i="16"/>
  <c r="J2498" i="16" s="1"/>
  <c r="X30" i="10"/>
  <c r="X33" i="10" s="1"/>
  <c r="P61" i="14"/>
  <c r="P79" i="14"/>
  <c r="P85" i="14" s="1"/>
  <c r="P110" i="14"/>
  <c r="F1784" i="16"/>
  <c r="R146" i="12"/>
  <c r="R143" i="12"/>
  <c r="R154" i="12"/>
  <c r="R155" i="12" s="1"/>
  <c r="R24" i="12"/>
  <c r="R126" i="13"/>
  <c r="R154" i="13"/>
  <c r="Z584" i="1"/>
  <c r="AA65" i="11"/>
  <c r="R129" i="12"/>
  <c r="R120" i="12"/>
  <c r="AB77" i="11"/>
  <c r="AB78" i="11"/>
  <c r="Z539" i="1"/>
  <c r="Z582" i="1" s="1"/>
  <c r="W52" i="13"/>
  <c r="W51" i="13"/>
  <c r="BN17" i="5"/>
  <c r="BN18" i="5" s="1"/>
  <c r="AA131" i="18"/>
  <c r="W37" i="10"/>
  <c r="K2489" i="16" s="1"/>
  <c r="W22" i="10"/>
  <c r="W40" i="10" s="1"/>
  <c r="M221" i="13"/>
  <c r="U109" i="13"/>
  <c r="W276" i="10"/>
  <c r="M5" i="19"/>
  <c r="W174" i="13"/>
  <c r="W177" i="13" s="1"/>
  <c r="X176" i="13"/>
  <c r="W59" i="13"/>
  <c r="W76" i="13"/>
  <c r="W73" i="13"/>
  <c r="N226" i="13"/>
  <c r="V107" i="13"/>
  <c r="N228" i="13" s="1"/>
  <c r="V164" i="10"/>
  <c r="W162" i="10"/>
  <c r="W110" i="10"/>
  <c r="X134" i="10"/>
  <c r="Y159" i="13"/>
  <c r="X160" i="13"/>
  <c r="T336" i="1"/>
  <c r="T340" i="1" s="1"/>
  <c r="L52" i="9"/>
  <c r="T334" i="1"/>
  <c r="T527" i="1"/>
  <c r="AB65" i="11"/>
  <c r="L230" i="13"/>
  <c r="T120" i="13"/>
  <c r="T125" i="13" s="1"/>
  <c r="AM115" i="13" s="1"/>
  <c r="T110" i="13"/>
  <c r="L231" i="13" s="1"/>
  <c r="X141" i="10"/>
  <c r="X142" i="10" s="1"/>
  <c r="X193" i="10"/>
  <c r="Z79" i="14"/>
  <c r="Z110" i="14"/>
  <c r="AE19" i="11"/>
  <c r="C44" i="21"/>
  <c r="C45" i="21" s="1"/>
  <c r="C39" i="21"/>
  <c r="AA39" i="13"/>
  <c r="AA19" i="13"/>
  <c r="AA22" i="13" s="1"/>
  <c r="AA48" i="13" s="1"/>
  <c r="AA41" i="13" s="1"/>
  <c r="AA38" i="13"/>
  <c r="AA45" i="13"/>
  <c r="AA40" i="13"/>
  <c r="X247" i="10"/>
  <c r="Y246" i="10"/>
  <c r="Y247" i="10" s="1"/>
  <c r="Z221" i="1"/>
  <c r="Y223" i="1"/>
  <c r="AB55" i="11"/>
  <c r="AB53" i="11"/>
  <c r="AB51" i="11"/>
  <c r="AB49" i="11"/>
  <c r="N15" i="19"/>
  <c r="K52" i="9"/>
  <c r="K46" i="9"/>
  <c r="Y24" i="18"/>
  <c r="X42" i="10"/>
  <c r="X49" i="10" s="1"/>
  <c r="X25" i="10"/>
  <c r="Z542" i="1"/>
  <c r="Y586" i="1"/>
  <c r="AA538" i="1"/>
  <c r="AA581" i="1" s="1"/>
  <c r="BN90" i="5"/>
  <c r="U98" i="1"/>
  <c r="Z113" i="13"/>
  <c r="Z79" i="13"/>
  <c r="V54" i="10"/>
  <c r="V278" i="10"/>
  <c r="T2" i="14"/>
  <c r="U2" i="14" s="1"/>
  <c r="V2" i="14" s="1"/>
  <c r="W2" i="14" s="1"/>
  <c r="X2" i="14" s="1"/>
  <c r="AP4" i="14"/>
  <c r="J256" i="13"/>
  <c r="R151" i="13"/>
  <c r="P35" i="1"/>
  <c r="P531" i="1"/>
  <c r="AA540" i="1"/>
  <c r="E459" i="16"/>
  <c r="D460" i="16"/>
  <c r="D461" i="16" s="1"/>
  <c r="D463" i="16"/>
  <c r="D465" i="16" s="1"/>
  <c r="O394" i="1"/>
  <c r="O397" i="1" s="1"/>
  <c r="O398" i="1" s="1"/>
  <c r="P395" i="1"/>
  <c r="S116" i="18"/>
  <c r="S117" i="18" s="1"/>
  <c r="N410" i="1"/>
  <c r="Y16" i="7" l="1"/>
  <c r="X61" i="13"/>
  <c r="N7" i="19" s="1"/>
  <c r="W61" i="13"/>
  <c r="W128" i="13" s="1"/>
  <c r="V128" i="13"/>
  <c r="V87" i="13"/>
  <c r="V90" i="13"/>
  <c r="V62" i="13"/>
  <c r="V93" i="13"/>
  <c r="V95" i="13" s="1"/>
  <c r="BW13" i="5"/>
  <c r="R8" i="29" s="1"/>
  <c r="W145" i="13"/>
  <c r="O2759" i="16"/>
  <c r="Y58" i="7"/>
  <c r="AH11" i="18"/>
  <c r="U285" i="1"/>
  <c r="U295" i="1"/>
  <c r="U288" i="1"/>
  <c r="U298" i="1"/>
  <c r="Y17" i="13"/>
  <c r="Y44" i="13" s="1"/>
  <c r="Z16" i="7"/>
  <c r="CK11" i="28"/>
  <c r="N11" i="29"/>
  <c r="BS17" i="5"/>
  <c r="BS90" i="5"/>
  <c r="E2787" i="16"/>
  <c r="E2756" i="16"/>
  <c r="Q2756" i="16" s="1"/>
  <c r="Y2790" i="16"/>
  <c r="O2790" i="16"/>
  <c r="C2789" i="16"/>
  <c r="Y2793" i="16"/>
  <c r="O2793" i="16"/>
  <c r="S8" i="29"/>
  <c r="X22" i="29"/>
  <c r="X29" i="29"/>
  <c r="S344" i="1"/>
  <c r="X120" i="13"/>
  <c r="X121" i="13" s="1"/>
  <c r="K2498" i="16"/>
  <c r="L2498" i="16"/>
  <c r="D653" i="16"/>
  <c r="Y194" i="10"/>
  <c r="Y109" i="13"/>
  <c r="Y110" i="13" s="1"/>
  <c r="U166" i="13"/>
  <c r="U167" i="13" s="1"/>
  <c r="AA221" i="1"/>
  <c r="Z223" i="1"/>
  <c r="R530" i="1"/>
  <c r="R523" i="1"/>
  <c r="AA69" i="11"/>
  <c r="AA83" i="11"/>
  <c r="AA84" i="11" s="1"/>
  <c r="AA118" i="11" s="1"/>
  <c r="AA73" i="11"/>
  <c r="W32" i="13"/>
  <c r="W54" i="13" s="1"/>
  <c r="K256" i="13"/>
  <c r="AG39" i="28"/>
  <c r="Y272" i="10"/>
  <c r="Y276" i="10" s="1"/>
  <c r="AA79" i="13"/>
  <c r="AA113" i="13"/>
  <c r="AE15" i="11"/>
  <c r="AE24" i="11"/>
  <c r="AE13" i="11" s="1"/>
  <c r="C2728" i="16"/>
  <c r="O2728" i="16" s="1"/>
  <c r="O2729" i="16"/>
  <c r="Y576" i="1"/>
  <c r="Z159" i="13"/>
  <c r="Y160" i="13"/>
  <c r="P90" i="14"/>
  <c r="P100" i="14"/>
  <c r="P105" i="14" s="1"/>
  <c r="AB537" i="1"/>
  <c r="X37" i="10"/>
  <c r="L2489" i="16" s="1"/>
  <c r="X22" i="10"/>
  <c r="X40" i="10" s="1"/>
  <c r="AD64" i="11"/>
  <c r="AD44" i="11"/>
  <c r="AB540" i="1"/>
  <c r="AB583" i="1" s="1"/>
  <c r="AA539" i="1"/>
  <c r="AA582" i="1" s="1"/>
  <c r="C182" i="12"/>
  <c r="C184" i="12" s="1"/>
  <c r="C185" i="12" s="1"/>
  <c r="C186" i="12" s="1"/>
  <c r="C189" i="12" s="1"/>
  <c r="R25" i="12"/>
  <c r="R27" i="12" s="1"/>
  <c r="X12" i="7"/>
  <c r="W37" i="7"/>
  <c r="W38" i="7" s="1"/>
  <c r="N221" i="13"/>
  <c r="V109" i="13"/>
  <c r="V120" i="13" s="1"/>
  <c r="AA140" i="13"/>
  <c r="E1602" i="16"/>
  <c r="E1560" i="16"/>
  <c r="AA542" i="1"/>
  <c r="AA585" i="1" s="1"/>
  <c r="Z64" i="13"/>
  <c r="Y134" i="10"/>
  <c r="Y110" i="10" s="1"/>
  <c r="X110" i="10"/>
  <c r="AC132" i="18"/>
  <c r="E2726" i="16"/>
  <c r="Q2726" i="16" s="1"/>
  <c r="Q79" i="14"/>
  <c r="Q85" i="14" s="1"/>
  <c r="Q110" i="14"/>
  <c r="Q61" i="14"/>
  <c r="Q52" i="9"/>
  <c r="W164" i="10"/>
  <c r="X162" i="10"/>
  <c r="AB131" i="18"/>
  <c r="W130" i="10"/>
  <c r="V106" i="10"/>
  <c r="V260" i="10" s="1"/>
  <c r="AA110" i="14"/>
  <c r="AA79" i="14"/>
  <c r="Z105" i="13"/>
  <c r="Z104" i="13" s="1"/>
  <c r="Z106" i="13" s="1"/>
  <c r="Z107" i="13" s="1"/>
  <c r="Z99" i="13"/>
  <c r="Z98" i="13" s="1"/>
  <c r="Z100" i="13" s="1"/>
  <c r="Z101" i="13" s="1"/>
  <c r="AA16" i="13"/>
  <c r="P62" i="14"/>
  <c r="P17" i="14"/>
  <c r="P18" i="14" s="1"/>
  <c r="X194" i="10"/>
  <c r="Z16" i="13"/>
  <c r="Y42" i="10"/>
  <c r="Y49" i="10" s="1"/>
  <c r="Y25" i="10"/>
  <c r="BN83" i="5"/>
  <c r="C2710" i="16"/>
  <c r="U99" i="1"/>
  <c r="AB69" i="11"/>
  <c r="AB73" i="11"/>
  <c r="AB83" i="11"/>
  <c r="AB84" i="11" s="1"/>
  <c r="AB118" i="11" s="1"/>
  <c r="AE37" i="11"/>
  <c r="AE45" i="11"/>
  <c r="AE43" i="11" s="1"/>
  <c r="T450" i="1"/>
  <c r="T452" i="1" s="1"/>
  <c r="R144" i="12"/>
  <c r="AC58" i="14"/>
  <c r="S58" i="14"/>
  <c r="X52" i="13"/>
  <c r="X51" i="13"/>
  <c r="S126" i="13"/>
  <c r="Y37" i="10"/>
  <c r="M2489" i="16" s="1"/>
  <c r="Y22" i="10"/>
  <c r="Y40" i="10" s="1"/>
  <c r="AA18" i="18"/>
  <c r="E2210" i="16"/>
  <c r="E2228" i="16" s="1"/>
  <c r="F1766" i="16"/>
  <c r="F1787" i="16" s="1"/>
  <c r="W297" i="1"/>
  <c r="U6" i="1"/>
  <c r="Y30" i="18"/>
  <c r="S529" i="1"/>
  <c r="Z585" i="1"/>
  <c r="Z586" i="1" s="1"/>
  <c r="M7" i="19"/>
  <c r="AB67" i="11"/>
  <c r="L242" i="13"/>
  <c r="T145" i="13"/>
  <c r="T122" i="13"/>
  <c r="T121" i="13"/>
  <c r="L243" i="13" s="1"/>
  <c r="T342" i="1"/>
  <c r="T348" i="1" s="1"/>
  <c r="C150" i="12"/>
  <c r="C151" i="12" s="1"/>
  <c r="C148" i="12"/>
  <c r="Q35" i="1"/>
  <c r="Q531" i="1"/>
  <c r="N5" i="19"/>
  <c r="X174" i="13"/>
  <c r="X177" i="13" s="1"/>
  <c r="Y176" i="13"/>
  <c r="X59" i="13"/>
  <c r="X76" i="13"/>
  <c r="X73" i="13"/>
  <c r="W54" i="10"/>
  <c r="Q144" i="12"/>
  <c r="AB58" i="14"/>
  <c r="R58" i="14"/>
  <c r="AC44" i="11"/>
  <c r="AC64" i="11"/>
  <c r="X275" i="10"/>
  <c r="X277" i="10"/>
  <c r="Y15" i="18"/>
  <c r="P40" i="7"/>
  <c r="Z543" i="1"/>
  <c r="AA535" i="1"/>
  <c r="AA578" i="1" s="1"/>
  <c r="AB541" i="1"/>
  <c r="AB584" i="1" s="1"/>
  <c r="Y58" i="13"/>
  <c r="Y61" i="13" s="1"/>
  <c r="Y43" i="13"/>
  <c r="AD71" i="11"/>
  <c r="AD50" i="11"/>
  <c r="AD38" i="11"/>
  <c r="AD75" i="11"/>
  <c r="AA583" i="1"/>
  <c r="AB538" i="1"/>
  <c r="C47" i="21"/>
  <c r="C48" i="21" s="1"/>
  <c r="M230" i="13"/>
  <c r="U120" i="13"/>
  <c r="U125" i="13" s="1"/>
  <c r="U110" i="13"/>
  <c r="M231" i="13" s="1"/>
  <c r="O47" i="7"/>
  <c r="C2088" i="16"/>
  <c r="E1440" i="16"/>
  <c r="AE61" i="11"/>
  <c r="AE58" i="11" s="1"/>
  <c r="N184" i="13"/>
  <c r="V54" i="13"/>
  <c r="I1666" i="16" s="1"/>
  <c r="AC38" i="11"/>
  <c r="AC71" i="11"/>
  <c r="AC50" i="11"/>
  <c r="AC75" i="11"/>
  <c r="X276" i="10"/>
  <c r="U147" i="13"/>
  <c r="W88" i="1" s="1"/>
  <c r="U148" i="13"/>
  <c r="W278" i="10"/>
  <c r="S454" i="1"/>
  <c r="S522" i="1"/>
  <c r="P394" i="1"/>
  <c r="P397" i="1" s="1"/>
  <c r="P398" i="1" s="1"/>
  <c r="Q395" i="1"/>
  <c r="U116" i="18"/>
  <c r="U117" i="18" s="1"/>
  <c r="O175" i="1"/>
  <c r="O177" i="1" s="1"/>
  <c r="T116" i="18"/>
  <c r="T117" i="18" s="1"/>
  <c r="N175" i="1"/>
  <c r="N177" i="1" s="1"/>
  <c r="E463" i="16"/>
  <c r="E465" i="16" s="1"/>
  <c r="E460" i="16"/>
  <c r="E461" i="16" s="1"/>
  <c r="W62" i="13" l="1"/>
  <c r="W93" i="13"/>
  <c r="W95" i="13" s="1"/>
  <c r="X128" i="13"/>
  <c r="X178" i="13" s="1"/>
  <c r="X179" i="13" s="1"/>
  <c r="X180" i="13" s="1"/>
  <c r="X93" i="13"/>
  <c r="N9" i="19" s="1"/>
  <c r="X90" i="13"/>
  <c r="Z51" i="1" s="1"/>
  <c r="X87" i="13"/>
  <c r="X62" i="13"/>
  <c r="W87" i="13"/>
  <c r="W90" i="13"/>
  <c r="X51" i="1"/>
  <c r="V91" i="13"/>
  <c r="V178" i="13"/>
  <c r="V179" i="13" s="1"/>
  <c r="V180" i="13" s="1"/>
  <c r="V131" i="13"/>
  <c r="V162" i="13"/>
  <c r="V163" i="13" s="1"/>
  <c r="V165" i="13" s="1"/>
  <c r="V166" i="13" s="1"/>
  <c r="V167" i="13" s="1"/>
  <c r="BX101" i="5"/>
  <c r="D2989" i="16"/>
  <c r="X145" i="13"/>
  <c r="R52" i="9" s="1"/>
  <c r="EL13" i="5"/>
  <c r="Z58" i="7"/>
  <c r="AI11" i="18"/>
  <c r="M32" i="29"/>
  <c r="AA17" i="13"/>
  <c r="AA44" i="13" s="1"/>
  <c r="Z17" i="13"/>
  <c r="Z44" i="13" s="1"/>
  <c r="U172" i="13"/>
  <c r="AA2787" i="16"/>
  <c r="Q2787" i="16"/>
  <c r="E2799" i="16"/>
  <c r="E2768" i="16"/>
  <c r="Q2768" i="16" s="1"/>
  <c r="Y2789" i="16"/>
  <c r="O2789" i="16"/>
  <c r="AG40" i="28"/>
  <c r="Y120" i="13"/>
  <c r="Y145" i="13" s="1"/>
  <c r="T344" i="1"/>
  <c r="C152" i="12"/>
  <c r="Z109" i="13"/>
  <c r="Z120" i="13" s="1"/>
  <c r="AD65" i="11"/>
  <c r="Z576" i="1"/>
  <c r="AA586" i="1"/>
  <c r="Y128" i="13"/>
  <c r="Y93" i="13"/>
  <c r="Y90" i="13"/>
  <c r="Y62" i="13"/>
  <c r="Y87" i="13"/>
  <c r="AA105" i="13"/>
  <c r="AA104" i="13" s="1"/>
  <c r="AA106" i="13" s="1"/>
  <c r="AA107" i="13" s="1"/>
  <c r="AA99" i="13"/>
  <c r="AA98" i="13" s="1"/>
  <c r="AA100" i="13" s="1"/>
  <c r="AA101" i="13" s="1"/>
  <c r="M242" i="13"/>
  <c r="U145" i="13"/>
  <c r="U121" i="13"/>
  <c r="M243" i="13" s="1"/>
  <c r="U122" i="13"/>
  <c r="M9" i="19"/>
  <c r="W125" i="13"/>
  <c r="AC79" i="14"/>
  <c r="AC110" i="14"/>
  <c r="AA43" i="13"/>
  <c r="AA58" i="13"/>
  <c r="Y162" i="10"/>
  <c r="Y164" i="10" s="1"/>
  <c r="X164" i="10"/>
  <c r="N230" i="13"/>
  <c r="V110" i="13"/>
  <c r="N231" i="13" s="1"/>
  <c r="AB539" i="1"/>
  <c r="AB582" i="1" s="1"/>
  <c r="Y275" i="10"/>
  <c r="Y277" i="10"/>
  <c r="R531" i="1"/>
  <c r="R35" i="1"/>
  <c r="X125" i="13"/>
  <c r="X130" i="10"/>
  <c r="W106" i="10"/>
  <c r="W260" i="10" s="1"/>
  <c r="AC541" i="1"/>
  <c r="AC584" i="1" s="1"/>
  <c r="S79" i="14"/>
  <c r="S85" i="14" s="1"/>
  <c r="S110" i="14"/>
  <c r="E118" i="14" s="1"/>
  <c r="F118" i="14" s="1"/>
  <c r="S61" i="14"/>
  <c r="AD78" i="11"/>
  <c r="AD77" i="11"/>
  <c r="AC147" i="18"/>
  <c r="L48" i="26"/>
  <c r="E2738" i="16"/>
  <c r="Q2738" i="16" s="1"/>
  <c r="W105" i="1"/>
  <c r="W96" i="1"/>
  <c r="BX90" i="5" s="1"/>
  <c r="BW90" i="5" s="1"/>
  <c r="BW101" i="5" s="1"/>
  <c r="AD53" i="11"/>
  <c r="AD51" i="11"/>
  <c r="AD55" i="11"/>
  <c r="AD67" i="11" s="1"/>
  <c r="AD49" i="11"/>
  <c r="X278" i="10"/>
  <c r="W142" i="1"/>
  <c r="W299" i="1"/>
  <c r="Y54" i="10"/>
  <c r="Q62" i="14"/>
  <c r="Q17" i="14"/>
  <c r="Q18" i="14" s="1"/>
  <c r="X37" i="7"/>
  <c r="X38" i="7" s="1"/>
  <c r="Y12" i="7"/>
  <c r="X32" i="13"/>
  <c r="X54" i="13" s="1"/>
  <c r="AB221" i="1"/>
  <c r="AA223" i="1"/>
  <c r="AB110" i="14"/>
  <c r="AB79" i="14"/>
  <c r="W178" i="13"/>
  <c r="W179" i="13" s="1"/>
  <c r="W180" i="13" s="1"/>
  <c r="W162" i="13"/>
  <c r="M11" i="19" s="1"/>
  <c r="W131" i="13"/>
  <c r="W150" i="13" s="1"/>
  <c r="L256" i="13"/>
  <c r="C49" i="21"/>
  <c r="D49" i="21" s="1"/>
  <c r="AC65" i="11"/>
  <c r="S530" i="1"/>
  <c r="S523" i="1"/>
  <c r="AA64" i="13"/>
  <c r="AC537" i="1"/>
  <c r="AC580" i="1" s="1"/>
  <c r="X54" i="10"/>
  <c r="Z43" i="13"/>
  <c r="Z58" i="13"/>
  <c r="T453" i="1"/>
  <c r="T525" i="1"/>
  <c r="Z30" i="18" s="1"/>
  <c r="T33" i="1"/>
  <c r="T521" i="1"/>
  <c r="Q51" i="7"/>
  <c r="AC77" i="11"/>
  <c r="AC78" i="11"/>
  <c r="Y52" i="13"/>
  <c r="Y51" i="13"/>
  <c r="AE64" i="11"/>
  <c r="AE44" i="11"/>
  <c r="X122" i="13"/>
  <c r="Q100" i="14"/>
  <c r="Q105" i="14" s="1"/>
  <c r="Q90" i="14"/>
  <c r="AC540" i="1"/>
  <c r="AC583" i="1" s="1"/>
  <c r="AB580" i="1"/>
  <c r="AA159" i="13"/>
  <c r="AA160" i="13" s="1"/>
  <c r="Z160" i="13"/>
  <c r="AC538" i="1"/>
  <c r="AC581" i="1" s="1"/>
  <c r="T126" i="13"/>
  <c r="BS25" i="5"/>
  <c r="BS40" i="5" s="1"/>
  <c r="AA543" i="1"/>
  <c r="AB535" i="1"/>
  <c r="AB578" i="1" s="1"/>
  <c r="AA140" i="18"/>
  <c r="C2732" i="16"/>
  <c r="J40" i="26"/>
  <c r="U80" i="1"/>
  <c r="U70" i="1"/>
  <c r="AC53" i="11"/>
  <c r="AC51" i="11"/>
  <c r="AC55" i="11"/>
  <c r="AC49" i="11"/>
  <c r="AB581" i="1"/>
  <c r="Z176" i="13"/>
  <c r="Y174" i="13"/>
  <c r="Y177" i="13" s="1"/>
  <c r="Y59" i="13"/>
  <c r="Y76" i="13"/>
  <c r="Y73" i="13"/>
  <c r="R79" i="14"/>
  <c r="R85" i="14" s="1"/>
  <c r="R110" i="14"/>
  <c r="R61" i="14"/>
  <c r="AE71" i="11"/>
  <c r="AE50" i="11"/>
  <c r="AE75" i="11"/>
  <c r="AE38" i="11"/>
  <c r="AB542" i="1"/>
  <c r="AB585" i="1" s="1"/>
  <c r="Q394" i="1"/>
  <c r="R395" i="1"/>
  <c r="V116" i="18"/>
  <c r="V117" i="18" s="1"/>
  <c r="P175" i="1"/>
  <c r="P177" i="1" s="1"/>
  <c r="W122" i="13" l="1"/>
  <c r="X95" i="13"/>
  <c r="X162" i="13"/>
  <c r="N11" i="19" s="1"/>
  <c r="E2714" i="16"/>
  <c r="X91" i="13"/>
  <c r="X131" i="13"/>
  <c r="X150" i="13" s="1"/>
  <c r="X151" i="13" s="1"/>
  <c r="Y51" i="1"/>
  <c r="F2976" i="16" s="1"/>
  <c r="F3026" i="16" s="1"/>
  <c r="W91" i="13"/>
  <c r="V147" i="13"/>
  <c r="X88" i="1" s="1"/>
  <c r="V148" i="13"/>
  <c r="V150" i="13"/>
  <c r="V172" i="13" s="1"/>
  <c r="E2976" i="16"/>
  <c r="E3026" i="16" s="1"/>
  <c r="F2756" i="16"/>
  <c r="R2756" i="16" s="1"/>
  <c r="T8" i="29"/>
  <c r="AD132" i="18"/>
  <c r="F2726" i="16"/>
  <c r="R2726" i="16" s="1"/>
  <c r="AF132" i="18"/>
  <c r="G2976" i="16"/>
  <c r="G3026" i="16" s="1"/>
  <c r="Z110" i="13"/>
  <c r="Q397" i="1"/>
  <c r="Q398" i="1" s="1"/>
  <c r="EG17" i="5"/>
  <c r="M11" i="29"/>
  <c r="Y122" i="13"/>
  <c r="Y121" i="13"/>
  <c r="BS53" i="5"/>
  <c r="CK10" i="28"/>
  <c r="CN10" i="28" s="1"/>
  <c r="AG41" i="28"/>
  <c r="U170" i="13"/>
  <c r="Q2799" i="16"/>
  <c r="AA2799" i="16"/>
  <c r="D2793" i="16"/>
  <c r="D2762" i="16"/>
  <c r="N19" i="29"/>
  <c r="X163" i="13"/>
  <c r="N12" i="19" s="1"/>
  <c r="O2762" i="16"/>
  <c r="C118" i="14"/>
  <c r="H118" i="14" s="1"/>
  <c r="AA576" i="1"/>
  <c r="AA109" i="13"/>
  <c r="AA110" i="13" s="1"/>
  <c r="AB586" i="1"/>
  <c r="AD69" i="11"/>
  <c r="AD83" i="11"/>
  <c r="AD84" i="11" s="1"/>
  <c r="AD118" i="11" s="1"/>
  <c r="AD73" i="11"/>
  <c r="AA52" i="13"/>
  <c r="AA51" i="13"/>
  <c r="Z52" i="13"/>
  <c r="Z51" i="13"/>
  <c r="S62" i="14"/>
  <c r="S17" i="14"/>
  <c r="T62" i="14"/>
  <c r="W163" i="13"/>
  <c r="S52" i="9"/>
  <c r="AC535" i="1"/>
  <c r="AC578" i="1" s="1"/>
  <c r="AB543" i="1"/>
  <c r="AA176" i="13"/>
  <c r="Z174" i="13"/>
  <c r="Z177" i="13" s="1"/>
  <c r="Z59" i="13"/>
  <c r="Z76" i="13"/>
  <c r="Z73" i="13"/>
  <c r="AC539" i="1"/>
  <c r="AC582" i="1" s="1"/>
  <c r="W151" i="13"/>
  <c r="AE78" i="11"/>
  <c r="AE77" i="11"/>
  <c r="R100" i="14"/>
  <c r="R105" i="14" s="1"/>
  <c r="R90" i="14"/>
  <c r="Z61" i="13"/>
  <c r="Z145" i="13"/>
  <c r="Z121" i="13"/>
  <c r="N242" i="13"/>
  <c r="V121" i="13"/>
  <c r="N243" i="13" s="1"/>
  <c r="V122" i="13"/>
  <c r="V145" i="13"/>
  <c r="V125" i="13"/>
  <c r="X67" i="1" s="1"/>
  <c r="E2980" i="16" s="1"/>
  <c r="W126" i="13"/>
  <c r="Y67" i="1"/>
  <c r="F2980" i="16" s="1"/>
  <c r="M256" i="13"/>
  <c r="U151" i="13"/>
  <c r="O52" i="9"/>
  <c r="R62" i="14"/>
  <c r="R17" i="14"/>
  <c r="R18" i="14" s="1"/>
  <c r="AB140" i="18"/>
  <c r="D2732" i="16"/>
  <c r="K40" i="26"/>
  <c r="V80" i="1"/>
  <c r="AA61" i="13"/>
  <c r="S100" i="14"/>
  <c r="S105" i="14" s="1"/>
  <c r="S90" i="14"/>
  <c r="X106" i="10"/>
  <c r="X260" i="10" s="1"/>
  <c r="Y130" i="10"/>
  <c r="Y106" i="10" s="1"/>
  <c r="Y260" i="10" s="1"/>
  <c r="Y91" i="13"/>
  <c r="AA51" i="1"/>
  <c r="AC73" i="11"/>
  <c r="AC69" i="11"/>
  <c r="AC83" i="11"/>
  <c r="AC84" i="11" s="1"/>
  <c r="AC118" i="11" s="1"/>
  <c r="O2732" i="16"/>
  <c r="Z15" i="18"/>
  <c r="Q40" i="7"/>
  <c r="Y37" i="7"/>
  <c r="Y38" i="7" s="1"/>
  <c r="Z12" i="7"/>
  <c r="Z37" i="7" s="1"/>
  <c r="Z38" i="7" s="1"/>
  <c r="X126" i="13"/>
  <c r="Z67" i="1"/>
  <c r="U154" i="13"/>
  <c r="U126" i="13"/>
  <c r="W67" i="1"/>
  <c r="Y125" i="13"/>
  <c r="Y95" i="13"/>
  <c r="AA59" i="13"/>
  <c r="AA76" i="13"/>
  <c r="AA174" i="13"/>
  <c r="AA73" i="13"/>
  <c r="U83" i="1"/>
  <c r="U73" i="1"/>
  <c r="C2870" i="16" s="1"/>
  <c r="U8" i="1"/>
  <c r="J44" i="26"/>
  <c r="J13" i="26" s="1"/>
  <c r="AE65" i="11"/>
  <c r="BN28" i="5"/>
  <c r="BN53" i="5"/>
  <c r="M10" i="19"/>
  <c r="W147" i="13"/>
  <c r="Y88" i="1" s="1"/>
  <c r="F2989" i="16" s="1"/>
  <c r="W148" i="13"/>
  <c r="Y32" i="13"/>
  <c r="Y54" i="13" s="1"/>
  <c r="Y278" i="10"/>
  <c r="Y178" i="13"/>
  <c r="Y179" i="13" s="1"/>
  <c r="Y180" i="13" s="1"/>
  <c r="Y162" i="13"/>
  <c r="Y163" i="13" s="1"/>
  <c r="Y165" i="13" s="1"/>
  <c r="Y131" i="13"/>
  <c r="Y150" i="13" s="1"/>
  <c r="AE51" i="11"/>
  <c r="AE55" i="11"/>
  <c r="AE67" i="11" s="1"/>
  <c r="AE53" i="11"/>
  <c r="AE49" i="11"/>
  <c r="AC221" i="1"/>
  <c r="AC223" i="1" s="1"/>
  <c r="AB223" i="1"/>
  <c r="AC542" i="1"/>
  <c r="AC585" i="1" s="1"/>
  <c r="AC67" i="11"/>
  <c r="T454" i="1"/>
  <c r="T522" i="1"/>
  <c r="S531" i="1"/>
  <c r="S35" i="1"/>
  <c r="S395" i="1"/>
  <c r="R394" i="1"/>
  <c r="W116" i="18"/>
  <c r="W117" i="18" s="1"/>
  <c r="AT154" i="5"/>
  <c r="Q175" i="1"/>
  <c r="Q177" i="1" s="1"/>
  <c r="E3033" i="16" l="1"/>
  <c r="F3033" i="16"/>
  <c r="X148" i="13"/>
  <c r="X147" i="13"/>
  <c r="Z88" i="1" s="1"/>
  <c r="Z96" i="1" s="1"/>
  <c r="N10" i="19"/>
  <c r="AE132" i="18"/>
  <c r="G2726" i="16"/>
  <c r="S2726" i="16" s="1"/>
  <c r="G2756" i="16"/>
  <c r="S2756" i="16" s="1"/>
  <c r="V170" i="13"/>
  <c r="F2768" i="16"/>
  <c r="R2768" i="16" s="1"/>
  <c r="F2738" i="16"/>
  <c r="R2738" i="16" s="1"/>
  <c r="X96" i="1"/>
  <c r="X105" i="1"/>
  <c r="F2714" i="16" s="1"/>
  <c r="E2989" i="16"/>
  <c r="E2993" i="16" s="1"/>
  <c r="AD147" i="18"/>
  <c r="M48" i="26"/>
  <c r="E2985" i="16"/>
  <c r="AF140" i="18"/>
  <c r="G2980" i="16"/>
  <c r="AF147" i="18"/>
  <c r="G2989" i="16"/>
  <c r="AG132" i="18"/>
  <c r="H2976" i="16"/>
  <c r="F2993" i="16"/>
  <c r="F2985" i="16"/>
  <c r="BX25" i="5"/>
  <c r="BW25" i="5" s="1"/>
  <c r="R19" i="29" s="1"/>
  <c r="D2980" i="16"/>
  <c r="BW16" i="28"/>
  <c r="BU16" i="28"/>
  <c r="BS16" i="28"/>
  <c r="BR40" i="5"/>
  <c r="R397" i="1"/>
  <c r="R398" i="1" s="1"/>
  <c r="G2768" i="16"/>
  <c r="S2768" i="16" s="1"/>
  <c r="AE147" i="18"/>
  <c r="G2762" i="16"/>
  <c r="AE140" i="18"/>
  <c r="EG25" i="5"/>
  <c r="M19" i="29"/>
  <c r="AG42" i="28"/>
  <c r="BR53" i="5"/>
  <c r="BR28" i="5"/>
  <c r="P2762" i="16"/>
  <c r="C2765" i="16"/>
  <c r="C2796" i="16"/>
  <c r="C2795" i="16" s="1"/>
  <c r="Z2793" i="16"/>
  <c r="P2793" i="16"/>
  <c r="E2762" i="16"/>
  <c r="E2774" i="16" s="1"/>
  <c r="Q2774" i="16" s="1"/>
  <c r="E2793" i="16"/>
  <c r="S19" i="29"/>
  <c r="AA120" i="13"/>
  <c r="AA145" i="13" s="1"/>
  <c r="AB576" i="1"/>
  <c r="X165" i="13"/>
  <c r="X166" i="13" s="1"/>
  <c r="X167" i="13" s="1"/>
  <c r="AA177" i="13"/>
  <c r="Y151" i="13"/>
  <c r="Y166" i="13"/>
  <c r="Y167" i="13" s="1"/>
  <c r="V154" i="13"/>
  <c r="V126" i="13"/>
  <c r="N256" i="13"/>
  <c r="V151" i="13"/>
  <c r="P52" i="9"/>
  <c r="AC543" i="1"/>
  <c r="Z32" i="13"/>
  <c r="Z54" i="13" s="1"/>
  <c r="AA32" i="13"/>
  <c r="AA54" i="13" s="1"/>
  <c r="X154" i="13"/>
  <c r="Y147" i="13"/>
  <c r="AA88" i="1" s="1"/>
  <c r="Y148" i="13"/>
  <c r="AC586" i="1"/>
  <c r="S18" i="14"/>
  <c r="T18" i="14"/>
  <c r="Y126" i="13"/>
  <c r="AA67" i="1"/>
  <c r="P2732" i="16"/>
  <c r="Z113" i="1"/>
  <c r="Z80" i="1"/>
  <c r="J17" i="26"/>
  <c r="J14" i="26"/>
  <c r="J16" i="26"/>
  <c r="J15" i="26"/>
  <c r="AC140" i="18"/>
  <c r="AC153" i="18" s="1"/>
  <c r="L40" i="26"/>
  <c r="L55" i="26" s="1"/>
  <c r="E2732" i="16"/>
  <c r="W113" i="1"/>
  <c r="W80" i="1"/>
  <c r="G2732" i="16"/>
  <c r="Y113" i="1"/>
  <c r="Y80" i="1"/>
  <c r="AE83" i="11"/>
  <c r="AE84" i="11" s="1"/>
  <c r="AE118" i="11" s="1"/>
  <c r="AE69" i="11"/>
  <c r="AE73" i="11"/>
  <c r="G2738" i="16"/>
  <c r="S2738" i="16" s="1"/>
  <c r="Y96" i="1"/>
  <c r="Y105" i="1"/>
  <c r="G2714" i="16" s="1"/>
  <c r="U325" i="1"/>
  <c r="U9" i="1"/>
  <c r="AA128" i="13"/>
  <c r="AA62" i="13"/>
  <c r="AA93" i="13"/>
  <c r="AA90" i="13"/>
  <c r="AA87" i="13"/>
  <c r="Z62" i="13"/>
  <c r="Z128" i="13"/>
  <c r="Z90" i="13"/>
  <c r="Z93" i="13"/>
  <c r="Z87" i="13"/>
  <c r="BN34" i="5"/>
  <c r="BN30" i="5"/>
  <c r="BN56" i="5"/>
  <c r="AA142" i="18"/>
  <c r="R63" i="7"/>
  <c r="C16" i="26"/>
  <c r="C2433" i="16"/>
  <c r="C2705" i="16"/>
  <c r="C2735" i="16"/>
  <c r="G642" i="16"/>
  <c r="U84" i="1"/>
  <c r="U75" i="1"/>
  <c r="C2707" i="16" s="1"/>
  <c r="U74" i="1"/>
  <c r="U13" i="1"/>
  <c r="W154" i="13"/>
  <c r="T52" i="9"/>
  <c r="M12" i="19"/>
  <c r="W165" i="13"/>
  <c r="T395" i="1"/>
  <c r="S394" i="1"/>
  <c r="H3026" i="16" l="1"/>
  <c r="I3026" i="16" s="1"/>
  <c r="I2976" i="16"/>
  <c r="G2985" i="16"/>
  <c r="G3033" i="16"/>
  <c r="D3033" i="16"/>
  <c r="Z105" i="1"/>
  <c r="H2714" i="16" s="1"/>
  <c r="AF153" i="18"/>
  <c r="BX53" i="5"/>
  <c r="G2993" i="16"/>
  <c r="AG147" i="18"/>
  <c r="H2989" i="16"/>
  <c r="BX40" i="5"/>
  <c r="AG140" i="18"/>
  <c r="H2980" i="16"/>
  <c r="I2980" i="16" s="1"/>
  <c r="D2993" i="16"/>
  <c r="D2985" i="16"/>
  <c r="BW53" i="5"/>
  <c r="BW40" i="5"/>
  <c r="EL25" i="5"/>
  <c r="BR34" i="5"/>
  <c r="AA121" i="13"/>
  <c r="AA122" i="13"/>
  <c r="EG28" i="5"/>
  <c r="G2774" i="16"/>
  <c r="S2774" i="16" s="1"/>
  <c r="S397" i="1"/>
  <c r="S398" i="1" s="1"/>
  <c r="S2762" i="16"/>
  <c r="AE153" i="18"/>
  <c r="M22" i="29"/>
  <c r="M29" i="29"/>
  <c r="BR30" i="5"/>
  <c r="C2764" i="16"/>
  <c r="O2764" i="16" s="1"/>
  <c r="O2765" i="16"/>
  <c r="AA2793" i="16"/>
  <c r="Q2793" i="16"/>
  <c r="E2805" i="16"/>
  <c r="Y2796" i="16"/>
  <c r="O2796" i="16"/>
  <c r="Q2762" i="16"/>
  <c r="F2762" i="16"/>
  <c r="R2762" i="16" s="1"/>
  <c r="T19" i="29"/>
  <c r="AD140" i="18"/>
  <c r="AD153" i="18" s="1"/>
  <c r="M40" i="26"/>
  <c r="F2732" i="16"/>
  <c r="X113" i="1"/>
  <c r="X80" i="1"/>
  <c r="O44" i="9"/>
  <c r="W122" i="1"/>
  <c r="R44" i="9"/>
  <c r="Z122" i="1"/>
  <c r="E75" i="9"/>
  <c r="F75" i="9" s="1"/>
  <c r="AA19" i="18"/>
  <c r="R24" i="7"/>
  <c r="R67" i="7" s="1"/>
  <c r="E2211" i="16"/>
  <c r="F1767" i="16"/>
  <c r="U445" i="1"/>
  <c r="U18" i="1"/>
  <c r="C26" i="26"/>
  <c r="AA162" i="13"/>
  <c r="AA163" i="13" s="1"/>
  <c r="AA165" i="13" s="1"/>
  <c r="AA131" i="13"/>
  <c r="AA178" i="13"/>
  <c r="AA179" i="13" s="1"/>
  <c r="AA180" i="13" s="1"/>
  <c r="E2744" i="16"/>
  <c r="Q2744" i="16" s="1"/>
  <c r="Q2732" i="16"/>
  <c r="C2448" i="16"/>
  <c r="AA125" i="13"/>
  <c r="AA95" i="13"/>
  <c r="Q44" i="9"/>
  <c r="Y122" i="1"/>
  <c r="AA80" i="1"/>
  <c r="AA113" i="1"/>
  <c r="AC576" i="1"/>
  <c r="X172" i="13"/>
  <c r="W166" i="13"/>
  <c r="W167" i="13" s="1"/>
  <c r="BN58" i="5"/>
  <c r="BN32" i="5"/>
  <c r="BN59" i="5" s="1"/>
  <c r="Z125" i="13"/>
  <c r="Z95" i="13"/>
  <c r="Z122" i="13"/>
  <c r="U11" i="1"/>
  <c r="S2732" i="16"/>
  <c r="G2744" i="16"/>
  <c r="S2744" i="16" s="1"/>
  <c r="Y154" i="13"/>
  <c r="Y172" i="13"/>
  <c r="Z162" i="13"/>
  <c r="Z163" i="13" s="1"/>
  <c r="Z165" i="13" s="1"/>
  <c r="Z131" i="13"/>
  <c r="Z178" i="13"/>
  <c r="Z179" i="13" s="1"/>
  <c r="Z180" i="13" s="1"/>
  <c r="AA96" i="1"/>
  <c r="AA105" i="1"/>
  <c r="I2714" i="16" s="1"/>
  <c r="U52" i="9"/>
  <c r="C75" i="9" s="1"/>
  <c r="O2735" i="16"/>
  <c r="C2734" i="16"/>
  <c r="Z91" i="13"/>
  <c r="AB51" i="1"/>
  <c r="AH132" i="18" s="1"/>
  <c r="AA91" i="13"/>
  <c r="AC51" i="1"/>
  <c r="AI132" i="18" s="1"/>
  <c r="U148" i="1"/>
  <c r="Y116" i="18"/>
  <c r="Y117" i="18" s="1"/>
  <c r="BC154" i="5"/>
  <c r="U395" i="1"/>
  <c r="H3033" i="16" l="1"/>
  <c r="I3033" i="16" s="1"/>
  <c r="AG153" i="18"/>
  <c r="H2993" i="16"/>
  <c r="H2985" i="16"/>
  <c r="EG30" i="5"/>
  <c r="BR37" i="5"/>
  <c r="BU14" i="28"/>
  <c r="F2774" i="16"/>
  <c r="R2774" i="16" s="1"/>
  <c r="C2776" i="16"/>
  <c r="O2776" i="16" s="1"/>
  <c r="BR32" i="5"/>
  <c r="Q2805" i="16"/>
  <c r="AA2805" i="16"/>
  <c r="C2807" i="16"/>
  <c r="Y2795" i="16"/>
  <c r="O2795" i="16"/>
  <c r="X170" i="13"/>
  <c r="Z166" i="13"/>
  <c r="Z167" i="13" s="1"/>
  <c r="AA166" i="13"/>
  <c r="AA167" i="13" s="1"/>
  <c r="F1788" i="16"/>
  <c r="Z126" i="13"/>
  <c r="AB67" i="1"/>
  <c r="AH140" i="18" s="1"/>
  <c r="AA126" i="13"/>
  <c r="AC67" i="1"/>
  <c r="AI140" i="18" s="1"/>
  <c r="AA147" i="13"/>
  <c r="AC88" i="1" s="1"/>
  <c r="AI147" i="18" s="1"/>
  <c r="AA148" i="13"/>
  <c r="Z147" i="13"/>
  <c r="AB88" i="1" s="1"/>
  <c r="AH147" i="18" s="1"/>
  <c r="Z148" i="13"/>
  <c r="AA150" i="13"/>
  <c r="C2746" i="16"/>
  <c r="O2746" i="16" s="1"/>
  <c r="O2734" i="16"/>
  <c r="E2212" i="16"/>
  <c r="E2229" i="16"/>
  <c r="P44" i="9"/>
  <c r="X122" i="1"/>
  <c r="R2732" i="16"/>
  <c r="F2744" i="16"/>
  <c r="R2744" i="16" s="1"/>
  <c r="Z150" i="13"/>
  <c r="S44" i="9"/>
  <c r="AA122" i="1"/>
  <c r="G75" i="9"/>
  <c r="H75" i="9" s="1"/>
  <c r="M55" i="26"/>
  <c r="N40" i="26"/>
  <c r="W172" i="13"/>
  <c r="Y170" i="13"/>
  <c r="V395" i="1"/>
  <c r="BR170" i="5" l="1"/>
  <c r="BV169" i="5"/>
  <c r="BU169" i="5"/>
  <c r="BT169" i="5"/>
  <c r="BQ27" i="28" s="1"/>
  <c r="BS27" i="28" s="1"/>
  <c r="AH153" i="18"/>
  <c r="AI153" i="18"/>
  <c r="EG32" i="5"/>
  <c r="Y2807" i="16"/>
  <c r="O2807" i="16"/>
  <c r="W170" i="13"/>
  <c r="AC105" i="1"/>
  <c r="K2714" i="16" s="1"/>
  <c r="AC96" i="1"/>
  <c r="AC113" i="1"/>
  <c r="AC80" i="1"/>
  <c r="Z172" i="13"/>
  <c r="Z151" i="13"/>
  <c r="AA154" i="13"/>
  <c r="AA172" i="13"/>
  <c r="AA151" i="13"/>
  <c r="AB80" i="1"/>
  <c r="AB113" i="1"/>
  <c r="AB105" i="1"/>
  <c r="J2714" i="16" s="1"/>
  <c r="AB96" i="1"/>
  <c r="Z154" i="13"/>
  <c r="W395" i="1"/>
  <c r="BS19" i="28" l="1"/>
  <c r="BU19" i="28"/>
  <c r="BW19" i="28"/>
  <c r="Z170" i="13"/>
  <c r="T44" i="9"/>
  <c r="AB122" i="1"/>
  <c r="AA170" i="13"/>
  <c r="U44" i="9"/>
  <c r="AC122" i="1"/>
  <c r="X395" i="1"/>
  <c r="C68" i="9" l="1"/>
  <c r="E68" i="9"/>
  <c r="F68" i="9" s="1"/>
  <c r="Y395" i="1"/>
  <c r="G68" i="9" l="1"/>
  <c r="G5" i="9" s="1"/>
  <c r="Z395" i="1"/>
  <c r="F24" i="19" l="1"/>
  <c r="AA395" i="1"/>
  <c r="G2910" i="16" l="1"/>
  <c r="AC5" i="9"/>
  <c r="D5" i="9"/>
  <c r="AE17" i="9"/>
  <c r="AB395" i="1"/>
  <c r="AF17" i="9" l="1"/>
  <c r="D2910" i="16"/>
  <c r="C2112" i="16"/>
  <c r="AC395" i="1"/>
  <c r="BJ156" i="5" l="1"/>
  <c r="BR133" i="5" l="1"/>
  <c r="M18" i="29"/>
  <c r="BR128" i="5"/>
  <c r="BR138" i="5"/>
  <c r="AE51" i="28"/>
  <c r="AE54" i="28" s="1"/>
  <c r="AE57" i="28" s="1"/>
  <c r="AF51" i="28"/>
  <c r="AF54" i="28" s="1"/>
  <c r="AF57" i="28" s="1"/>
  <c r="BR129" i="5" l="1"/>
  <c r="BR144" i="5"/>
  <c r="BR139" i="5"/>
  <c r="BR130" i="5"/>
  <c r="BR134" i="5"/>
  <c r="AE64" i="28"/>
  <c r="AG51" i="28"/>
  <c r="AG54" i="28" s="1"/>
  <c r="AG57" i="28" s="1"/>
  <c r="AG61" i="28"/>
  <c r="AF64" i="28"/>
  <c r="AG64" i="28" l="1"/>
  <c r="K35" i="29" l="1"/>
  <c r="AF66" i="28"/>
  <c r="AE66" i="28"/>
  <c r="CK18" i="28" l="1"/>
  <c r="AG66" i="28"/>
  <c r="U216" i="1" l="1"/>
  <c r="X216" i="1"/>
  <c r="V216" i="1"/>
  <c r="K6" i="29" l="1"/>
  <c r="K7" i="29"/>
  <c r="L6" i="29" l="1"/>
  <c r="BQ133" i="5"/>
  <c r="L18" i="29"/>
  <c r="BP122" i="5"/>
  <c r="AP110" i="28"/>
  <c r="BQ113" i="5"/>
  <c r="BV119" i="5" s="1"/>
  <c r="BP113" i="5"/>
  <c r="BU119" i="5" s="1"/>
  <c r="BQ138" i="5"/>
  <c r="EE122" i="5" l="1"/>
  <c r="EJ122" i="5"/>
  <c r="BQ119" i="5"/>
  <c r="AR139" i="28" s="1"/>
  <c r="BQ114" i="5"/>
  <c r="K5" i="29"/>
  <c r="K13" i="29" s="1"/>
  <c r="BP114" i="5"/>
  <c r="BP119" i="5"/>
  <c r="AQ139" i="28" s="1"/>
  <c r="L17" i="29"/>
  <c r="BQ128" i="5"/>
  <c r="BP133" i="5"/>
  <c r="K18" i="29"/>
  <c r="BP132" i="5"/>
  <c r="AQ110" i="28" s="1"/>
  <c r="K17" i="29"/>
  <c r="BP137" i="5"/>
  <c r="BO54" i="5"/>
  <c r="ED14" i="5"/>
  <c r="BO106" i="5"/>
  <c r="BP128" i="5"/>
  <c r="BP54" i="5"/>
  <c r="EE14" i="5"/>
  <c r="BP16" i="5"/>
  <c r="BP106" i="5"/>
  <c r="BP138" i="5"/>
  <c r="BQ132" i="5"/>
  <c r="AR110" i="28" s="1"/>
  <c r="BQ137" i="5"/>
  <c r="EJ16" i="5" l="1"/>
  <c r="P11" i="29"/>
  <c r="P13" i="29" s="1"/>
  <c r="BU130" i="5"/>
  <c r="BU134" i="5"/>
  <c r="BV134" i="5"/>
  <c r="BV130" i="5"/>
  <c r="BP18" i="5"/>
  <c r="BP105" i="5"/>
  <c r="BQ129" i="5"/>
  <c r="BQ144" i="5"/>
  <c r="BO120" i="5"/>
  <c r="AQ102" i="28"/>
  <c r="BP120" i="5"/>
  <c r="BP130" i="5"/>
  <c r="BP144" i="5"/>
  <c r="L5" i="29"/>
  <c r="L13" i="29" s="1"/>
  <c r="AP102" i="28"/>
  <c r="BP139" i="5"/>
  <c r="BP129" i="5"/>
  <c r="BP134" i="5"/>
  <c r="BO56" i="5"/>
  <c r="ED16" i="5"/>
  <c r="BP56" i="5"/>
  <c r="EE16" i="5"/>
  <c r="EF14" i="5"/>
  <c r="BQ16" i="5"/>
  <c r="BQ54" i="5"/>
  <c r="BQ106" i="5"/>
  <c r="BQ134" i="5"/>
  <c r="BQ130" i="5"/>
  <c r="BQ139" i="5"/>
  <c r="EJ17" i="5" l="1"/>
  <c r="BU18" i="5"/>
  <c r="EJ18" i="5" s="1"/>
  <c r="EK16" i="5"/>
  <c r="Q11" i="29"/>
  <c r="Q13" i="29" s="1"/>
  <c r="BQ120" i="5"/>
  <c r="AR102" i="28"/>
  <c r="BQ18" i="5"/>
  <c r="BQ105" i="5"/>
  <c r="BR16" i="5"/>
  <c r="BR54" i="5"/>
  <c r="BR114" i="5"/>
  <c r="EG14" i="5"/>
  <c r="M5" i="29"/>
  <c r="M13" i="29" s="1"/>
  <c r="BR106" i="5"/>
  <c r="BQ56" i="5"/>
  <c r="EF16" i="5"/>
  <c r="BP58" i="5"/>
  <c r="BP59" i="5"/>
  <c r="EE18" i="5"/>
  <c r="BU58" i="5" l="1"/>
  <c r="BU59" i="5"/>
  <c r="EK17" i="5"/>
  <c r="BV18" i="5"/>
  <c r="BR56" i="5"/>
  <c r="BR120" i="5"/>
  <c r="AS102" i="28"/>
  <c r="EG16" i="5"/>
  <c r="BW10" i="28"/>
  <c r="BS10" i="28"/>
  <c r="CJ11" i="28"/>
  <c r="BU10" i="28"/>
  <c r="BR18" i="5"/>
  <c r="BR105" i="5"/>
  <c r="BQ58" i="5"/>
  <c r="BQ59" i="5"/>
  <c r="EF18" i="5"/>
  <c r="BV58" i="5" l="1"/>
  <c r="BV59" i="5"/>
  <c r="EK18" i="5"/>
  <c r="BR58" i="5"/>
  <c r="BR59" i="5"/>
  <c r="EG18" i="5"/>
  <c r="BS14" i="28"/>
  <c r="BW14" i="28"/>
  <c r="CJ18" i="28"/>
  <c r="S131" i="13"/>
  <c r="S148" i="13" s="1"/>
  <c r="S162" i="13"/>
  <c r="S163" i="13" s="1"/>
  <c r="S165" i="13" s="1"/>
  <c r="S178" i="13"/>
  <c r="S179" i="13" s="1"/>
  <c r="S180" i="13" s="1"/>
  <c r="BS9" i="28" l="1"/>
  <c r="CJ10" i="28"/>
  <c r="BU9" i="28"/>
  <c r="BW9" i="28"/>
  <c r="BW12" i="28"/>
  <c r="BW17" i="28"/>
  <c r="S150" i="13"/>
  <c r="S151" i="13" s="1"/>
  <c r="S166" i="13"/>
  <c r="S167" i="13" s="1"/>
  <c r="S147" i="13"/>
  <c r="S154" i="13" l="1"/>
  <c r="S172" i="13"/>
  <c r="S170" i="13" l="1"/>
  <c r="BN101" i="5"/>
  <c r="C2799" i="16"/>
  <c r="C2738" i="16"/>
  <c r="AA147" i="18"/>
  <c r="AA153" i="18" s="1"/>
  <c r="C2768" i="16"/>
  <c r="U105" i="1"/>
  <c r="C2714" i="16" s="1"/>
  <c r="J48" i="26"/>
  <c r="U113" i="1"/>
  <c r="C2744" i="16" l="1"/>
  <c r="O2744" i="16" s="1"/>
  <c r="O2738" i="16"/>
  <c r="M44" i="9"/>
  <c r="U122" i="1"/>
  <c r="O2799" i="16"/>
  <c r="Y2799" i="16"/>
  <c r="C2805" i="16"/>
  <c r="J55" i="26"/>
  <c r="J52" i="26"/>
  <c r="AA116" i="18"/>
  <c r="O2768" i="16"/>
  <c r="C2774" i="16"/>
  <c r="O2774" i="16" s="1"/>
  <c r="O2805" i="16" l="1"/>
  <c r="Y2805" i="16"/>
  <c r="J59" i="26"/>
  <c r="J20" i="26" l="1"/>
  <c r="J23" i="26"/>
  <c r="J21" i="26"/>
  <c r="J22" i="26"/>
  <c r="J19" i="26"/>
  <c r="F1822" i="16"/>
  <c r="F1829" i="16" s="1"/>
  <c r="Z148" i="18"/>
  <c r="Z154" i="18" s="1"/>
  <c r="P226" i="10"/>
  <c r="P236" i="10" s="1"/>
  <c r="BI95" i="5"/>
  <c r="T106" i="1"/>
  <c r="O2027" i="16" s="1"/>
  <c r="T114" i="1"/>
  <c r="T123" i="1" s="1"/>
  <c r="L45" i="9" l="1"/>
  <c r="P228" i="10"/>
  <c r="H23" i="22" s="1"/>
  <c r="F2080" i="16"/>
  <c r="F2082" i="16" s="1"/>
  <c r="L50" i="9"/>
  <c r="P249" i="10"/>
  <c r="P250" i="10" s="1"/>
  <c r="P252" i="10" s="1"/>
  <c r="P238" i="10" l="1"/>
  <c r="J1694" i="16" s="1"/>
  <c r="F657" i="16"/>
  <c r="F660" i="16" s="1"/>
  <c r="F661" i="16" s="1"/>
  <c r="F664" i="16" s="1"/>
  <c r="F665" i="16" s="1"/>
  <c r="P240" i="10"/>
  <c r="P241" i="10" s="1"/>
  <c r="J1695" i="16" s="1"/>
  <c r="P229" i="10"/>
  <c r="P253" i="10"/>
  <c r="P254" i="10" s="1"/>
  <c r="F686" i="16" l="1"/>
  <c r="F687" i="16" s="1"/>
  <c r="P258" i="10"/>
  <c r="Z116" i="18" s="1"/>
  <c r="T398" i="1"/>
  <c r="P256" i="10" l="1"/>
  <c r="P244" i="10" s="1"/>
  <c r="Q244" i="10" s="1"/>
  <c r="P243" i="10" l="1"/>
  <c r="Q243" i="10"/>
  <c r="U451" i="1"/>
  <c r="X397" i="1" l="1"/>
  <c r="W389" i="1"/>
  <c r="U28" i="1"/>
  <c r="BN77" i="5" s="1"/>
  <c r="V451" i="1"/>
  <c r="V28" i="1" l="1"/>
  <c r="BS77" i="5" s="1"/>
  <c r="X389" i="1"/>
  <c r="Y397" i="1"/>
  <c r="AA26" i="18"/>
  <c r="U150" i="1"/>
  <c r="W387" i="1"/>
  <c r="W451" i="1"/>
  <c r="W28" i="1" l="1"/>
  <c r="BX77" i="5" s="1"/>
  <c r="BW77" i="5" s="1"/>
  <c r="W400" i="1"/>
  <c r="W403" i="1" s="1"/>
  <c r="S30" i="7"/>
  <c r="V168" i="1"/>
  <c r="AB26" i="18"/>
  <c r="V150" i="1"/>
  <c r="X451" i="1"/>
  <c r="X387" i="1"/>
  <c r="Y389" i="1"/>
  <c r="Z397" i="1"/>
  <c r="AB116" i="18" l="1"/>
  <c r="BR154" i="5"/>
  <c r="W168" i="1"/>
  <c r="T30" i="7"/>
  <c r="X28" i="1"/>
  <c r="X400" i="1"/>
  <c r="AA397" i="1"/>
  <c r="Z389" i="1"/>
  <c r="AC26" i="18"/>
  <c r="W150" i="1"/>
  <c r="Y387" i="1"/>
  <c r="Y451" i="1"/>
  <c r="AC116" i="18" l="1"/>
  <c r="BW154" i="5"/>
  <c r="U30" i="7"/>
  <c r="X168" i="1"/>
  <c r="AD116" i="18" s="1"/>
  <c r="Y28" i="1"/>
  <c r="Y400" i="1"/>
  <c r="X403" i="1"/>
  <c r="Z387" i="1"/>
  <c r="Z451" i="1"/>
  <c r="AB397" i="1"/>
  <c r="AA389" i="1"/>
  <c r="Y403" i="1" l="1"/>
  <c r="AE26" i="18" s="1"/>
  <c r="X150" i="1"/>
  <c r="AD26" i="18"/>
  <c r="Y168" i="1"/>
  <c r="AE116" i="18" s="1"/>
  <c r="V30" i="7"/>
  <c r="Z28" i="1"/>
  <c r="Z400" i="1"/>
  <c r="AA387" i="1"/>
  <c r="AA451" i="1"/>
  <c r="AC397" i="1"/>
  <c r="AC389" i="1" s="1"/>
  <c r="AB389" i="1"/>
  <c r="Y150" i="1" l="1"/>
  <c r="Z168" i="1"/>
  <c r="AF116" i="18" s="1"/>
  <c r="W30" i="7"/>
  <c r="Z403" i="1"/>
  <c r="AA28" i="1"/>
  <c r="AA400" i="1"/>
  <c r="AC387" i="1"/>
  <c r="AC451" i="1"/>
  <c r="AB387" i="1"/>
  <c r="AB451" i="1"/>
  <c r="Z150" i="1" l="1"/>
  <c r="AF26" i="18"/>
  <c r="AC28" i="1"/>
  <c r="AC400" i="1"/>
  <c r="AA168" i="1"/>
  <c r="X30" i="7"/>
  <c r="AB28" i="1"/>
  <c r="AB400" i="1"/>
  <c r="AA403" i="1"/>
  <c r="AG26" i="18" s="1"/>
  <c r="AG116" i="18" l="1"/>
  <c r="AB403" i="1"/>
  <c r="AB150" i="1" s="1"/>
  <c r="AA150" i="1"/>
  <c r="Y30" i="7"/>
  <c r="AB168" i="1"/>
  <c r="AH116" i="18" s="1"/>
  <c r="Z30" i="7"/>
  <c r="AC168" i="1"/>
  <c r="AI116" i="18" s="1"/>
  <c r="F1820" i="16"/>
  <c r="F1823" i="16" s="1"/>
  <c r="K1822" i="16" s="1"/>
  <c r="Z146" i="18"/>
  <c r="Z152" i="18" s="1"/>
  <c r="O97" i="14"/>
  <c r="O96" i="14" s="1"/>
  <c r="O101" i="14" s="1"/>
  <c r="BI102" i="5"/>
  <c r="T90" i="1"/>
  <c r="T190" i="1" s="1"/>
  <c r="T191" i="1" s="1"/>
  <c r="T104" i="1"/>
  <c r="T112" i="1"/>
  <c r="T116" i="1" s="1"/>
  <c r="Z23" i="18" s="1"/>
  <c r="Z24" i="18" s="1"/>
  <c r="L43" i="9"/>
  <c r="Q25" i="7" l="1"/>
  <c r="Q32" i="7" s="1"/>
  <c r="Q48" i="7" s="1"/>
  <c r="E2088" i="16" s="1"/>
  <c r="T195" i="1"/>
  <c r="T121" i="1"/>
  <c r="T528" i="1"/>
  <c r="T529" i="1" s="1"/>
  <c r="T530" i="1" s="1"/>
  <c r="T107" i="1"/>
  <c r="T419" i="1"/>
  <c r="AC403" i="1"/>
  <c r="AH26" i="18"/>
  <c r="F1827" i="16"/>
  <c r="F1830" i="16" s="1"/>
  <c r="K1827" i="16" s="1"/>
  <c r="T118" i="1"/>
  <c r="T162" i="1"/>
  <c r="Z109" i="18" s="1"/>
  <c r="T124" i="1"/>
  <c r="C2871" i="16"/>
  <c r="C2872" i="16" s="1"/>
  <c r="BI94" i="5"/>
  <c r="BI105" i="5" s="1"/>
  <c r="D2213" i="16"/>
  <c r="E1768" i="16"/>
  <c r="Z149" i="18"/>
  <c r="Z155" i="18" s="1"/>
  <c r="K1823" i="16"/>
  <c r="K1820" i="16"/>
  <c r="K1821" i="16"/>
  <c r="O102" i="14"/>
  <c r="O106" i="14"/>
  <c r="F647" i="16" l="1"/>
  <c r="F652" i="16" s="1"/>
  <c r="F646" i="16"/>
  <c r="D2216" i="16"/>
  <c r="F2075" i="16"/>
  <c r="F2077" i="16" s="1"/>
  <c r="E1770" i="16"/>
  <c r="Q47" i="7"/>
  <c r="Z31" i="18"/>
  <c r="T523" i="1"/>
  <c r="Z22" i="18"/>
  <c r="T421" i="1"/>
  <c r="T420" i="1"/>
  <c r="AC150" i="1"/>
  <c r="AI26" i="18"/>
  <c r="E1789" i="16"/>
  <c r="E1790" i="16" s="1"/>
  <c r="E1769" i="16"/>
  <c r="K1828" i="16"/>
  <c r="K1829" i="16"/>
  <c r="K1830" i="16"/>
  <c r="O107" i="14"/>
  <c r="O111" i="14"/>
  <c r="D2214" i="16"/>
  <c r="D2230" i="16"/>
  <c r="D2215" i="16"/>
  <c r="D2231" i="16" s="1"/>
  <c r="T531" i="1"/>
  <c r="T35" i="1"/>
  <c r="F653" i="16" l="1"/>
  <c r="E1771" i="16"/>
  <c r="T156" i="1"/>
  <c r="T157" i="1" s="1"/>
  <c r="Q53" i="7"/>
  <c r="O112" i="14"/>
  <c r="Z7" i="18" l="1"/>
  <c r="Z25" i="18" s="1"/>
  <c r="F640" i="16"/>
  <c r="F644" i="16" s="1"/>
  <c r="Z119" i="18"/>
  <c r="Z118" i="18" s="1"/>
  <c r="Z117" i="18" s="1"/>
  <c r="T259" i="1"/>
  <c r="T254" i="1"/>
  <c r="T252" i="1" s="1"/>
  <c r="T253" i="1" s="1"/>
  <c r="Q15" i="7"/>
  <c r="E1772" i="16"/>
  <c r="K1772" i="16" s="1"/>
  <c r="AA146" i="18"/>
  <c r="AA152" i="18" s="1"/>
  <c r="P97" i="14"/>
  <c r="P96" i="14" s="1"/>
  <c r="BN102" i="5"/>
  <c r="U90" i="1"/>
  <c r="R25" i="7" s="1"/>
  <c r="U104" i="1"/>
  <c r="C2713" i="16" s="1"/>
  <c r="U112" i="1"/>
  <c r="M43" i="9"/>
  <c r="G67" i="9" s="1"/>
  <c r="G4" i="9" s="1"/>
  <c r="C17" i="26" l="1"/>
  <c r="C18" i="26" s="1"/>
  <c r="U116" i="1"/>
  <c r="AA23" i="18" s="1"/>
  <c r="M47" i="9"/>
  <c r="D4" i="9"/>
  <c r="U121" i="1"/>
  <c r="U528" i="1"/>
  <c r="U419" i="1"/>
  <c r="D2111" i="16"/>
  <c r="E4" i="9"/>
  <c r="C2741" i="16"/>
  <c r="F1768" i="16"/>
  <c r="E2213" i="16"/>
  <c r="D2871" i="16"/>
  <c r="C2434" i="16"/>
  <c r="C2435" i="16" s="1"/>
  <c r="C2709" i="16"/>
  <c r="C2802" i="16"/>
  <c r="C2771" i="16"/>
  <c r="U107" i="1"/>
  <c r="C2716" i="16" s="1"/>
  <c r="U191" i="1"/>
  <c r="AA149" i="18"/>
  <c r="AA155" i="18" s="1"/>
  <c r="U195" i="1"/>
  <c r="X32" i="29"/>
  <c r="BN94" i="5"/>
  <c r="BN105" i="5" s="1"/>
  <c r="C27" i="26" l="1"/>
  <c r="C28" i="26" s="1"/>
  <c r="C29" i="26" s="1"/>
  <c r="U124" i="1"/>
  <c r="C2718" i="16"/>
  <c r="U162" i="1"/>
  <c r="AA109" i="18" s="1"/>
  <c r="U118" i="1"/>
  <c r="C2111" i="16"/>
  <c r="AA22" i="18"/>
  <c r="U420" i="1"/>
  <c r="U421" i="1"/>
  <c r="F1769" i="16"/>
  <c r="F1789" i="16"/>
  <c r="F1790" i="16" s="1"/>
  <c r="C2777" i="16"/>
  <c r="O2777" i="16" s="1"/>
  <c r="O2771" i="16"/>
  <c r="Y2802" i="16"/>
  <c r="O2802" i="16"/>
  <c r="C2808" i="16"/>
  <c r="E2230" i="16"/>
  <c r="E2214" i="16"/>
  <c r="E2215" i="16"/>
  <c r="E2231" i="16" s="1"/>
  <c r="O2741" i="16"/>
  <c r="C2747" i="16"/>
  <c r="O2747" i="16" s="1"/>
  <c r="U136" i="1" l="1"/>
  <c r="AA33" i="18" s="1"/>
  <c r="U184" i="1"/>
  <c r="V186" i="1"/>
  <c r="U193" i="1"/>
  <c r="U229" i="1"/>
  <c r="O2808" i="16"/>
  <c r="Y2808" i="16"/>
  <c r="V182" i="1" l="1"/>
  <c r="V206" i="1" s="1"/>
  <c r="V208" i="1" s="1"/>
  <c r="V209" i="1" s="1"/>
  <c r="V446" i="1"/>
  <c r="V326" i="1"/>
  <c r="V526" i="1" l="1"/>
  <c r="AB20" i="18"/>
  <c r="V183" i="1"/>
  <c r="V15" i="1"/>
  <c r="U137" i="1" l="1"/>
  <c r="AB21" i="18"/>
  <c r="U230" i="1"/>
  <c r="U231" i="1" s="1"/>
  <c r="V16" i="1" l="1"/>
  <c r="BS33" i="5" s="1"/>
  <c r="V447" i="1"/>
  <c r="V527" i="1" s="1"/>
  <c r="V327" i="1"/>
  <c r="N26" i="29" l="1"/>
  <c r="M26" i="29"/>
  <c r="EG33" i="5"/>
  <c r="EG34" i="5" l="1"/>
  <c r="BN66" i="5"/>
  <c r="T244" i="1"/>
  <c r="U130" i="1"/>
  <c r="U290" i="1" s="1"/>
  <c r="U238" i="1"/>
  <c r="BN65" i="5" s="1"/>
  <c r="BU21" i="28" l="1"/>
  <c r="U291" i="1"/>
  <c r="U133" i="1"/>
  <c r="U134" i="1" s="1"/>
  <c r="U279" i="1" s="1"/>
  <c r="U292" i="1"/>
  <c r="U301" i="1" s="1"/>
  <c r="U165" i="1" s="1"/>
  <c r="AA112" i="18" s="1"/>
  <c r="U328" i="1"/>
  <c r="U331" i="1" s="1"/>
  <c r="U336" i="1" s="1"/>
  <c r="U340" i="1" s="1"/>
  <c r="U448" i="1"/>
  <c r="U239" i="1"/>
  <c r="U236" i="1"/>
  <c r="X33" i="29"/>
  <c r="R26" i="7" l="1"/>
  <c r="U163" i="1"/>
  <c r="U20" i="1"/>
  <c r="U27" i="1" l="1"/>
  <c r="U334" i="1"/>
  <c r="U342" i="1" s="1"/>
  <c r="C2436" i="16"/>
  <c r="AA28" i="18"/>
  <c r="BN68" i="5"/>
  <c r="U25" i="1"/>
  <c r="AA110" i="18"/>
  <c r="U30" i="1" l="1"/>
  <c r="C19" i="26" s="1"/>
  <c r="C20" i="26" s="1"/>
  <c r="J9" i="26" s="1"/>
  <c r="C2438" i="16"/>
  <c r="BN73" i="5"/>
  <c r="U348" i="1"/>
  <c r="BN71" i="5"/>
  <c r="U409" i="1" l="1"/>
  <c r="U32" i="1"/>
  <c r="AA14" i="18" s="1"/>
  <c r="U164" i="1"/>
  <c r="U277" i="1"/>
  <c r="U138" i="1" s="1"/>
  <c r="U140" i="1" s="1"/>
  <c r="R28" i="7"/>
  <c r="R32" i="7" s="1"/>
  <c r="R33" i="7" s="1"/>
  <c r="AA27" i="18"/>
  <c r="U151" i="1"/>
  <c r="U153" i="1" s="1"/>
  <c r="BN78" i="5"/>
  <c r="BN79" i="5" s="1"/>
  <c r="BN74" i="5"/>
  <c r="U154" i="1" l="1"/>
  <c r="C2779" i="16"/>
  <c r="O2779" i="16" s="1"/>
  <c r="C2749" i="16"/>
  <c r="O2749" i="16" s="1"/>
  <c r="R48" i="7"/>
  <c r="F1770" i="16"/>
  <c r="G647" i="16"/>
  <c r="G652" i="16" s="1"/>
  <c r="G2075" i="16"/>
  <c r="G2077" i="16" s="1"/>
  <c r="AA31" i="18"/>
  <c r="C2810" i="16"/>
  <c r="O2810" i="16" s="1"/>
  <c r="G646" i="16"/>
  <c r="E2216" i="16"/>
  <c r="X31" i="29"/>
  <c r="X35" i="29" s="1"/>
  <c r="AA111" i="18"/>
  <c r="G653" i="16" l="1"/>
  <c r="J10" i="26"/>
  <c r="AD166" i="28"/>
  <c r="R47" i="7"/>
  <c r="U156" i="1"/>
  <c r="R53" i="7"/>
  <c r="F1771" i="16"/>
  <c r="F1772" i="16" s="1"/>
  <c r="L1772" i="16" s="1"/>
  <c r="R15" i="7" l="1"/>
  <c r="AA119" i="18"/>
  <c r="AA118" i="18" s="1"/>
  <c r="AA117" i="18" s="1"/>
  <c r="U254" i="1"/>
  <c r="U252" i="1" s="1"/>
  <c r="U253" i="1" s="1"/>
  <c r="G640" i="16"/>
  <c r="G644" i="16" s="1"/>
  <c r="U259" i="1"/>
  <c r="AA7" i="18"/>
  <c r="AA25" i="18" s="1"/>
  <c r="C2442" i="16"/>
  <c r="C2444" i="16" s="1"/>
  <c r="C2874" i="16"/>
  <c r="U157" i="1"/>
  <c r="R57" i="7" l="1"/>
  <c r="C7" i="26"/>
  <c r="R66" i="7"/>
  <c r="R68" i="7" s="1"/>
  <c r="C2445" i="16"/>
  <c r="C2449" i="16"/>
  <c r="C2450" i="16" s="1"/>
  <c r="C22" i="26" l="1"/>
  <c r="T249" i="1"/>
  <c r="W248" i="1" l="1"/>
  <c r="X248" i="1" l="1"/>
  <c r="X243" i="1" s="1"/>
  <c r="V244" i="1"/>
  <c r="W244" i="1"/>
  <c r="Y248" i="1" l="1"/>
  <c r="Y243" i="1" s="1"/>
  <c r="X244" i="1"/>
  <c r="Z248" i="1" l="1"/>
  <c r="Z243" i="1" s="1"/>
  <c r="Y244" i="1"/>
  <c r="AA248" i="1" l="1"/>
  <c r="AA243" i="1" s="1"/>
  <c r="Z244" i="1"/>
  <c r="AB248" i="1" l="1"/>
  <c r="AB243" i="1" s="1"/>
  <c r="AA244" i="1"/>
  <c r="AC248" i="1" l="1"/>
  <c r="AC243" i="1" s="1"/>
  <c r="AB244" i="1"/>
  <c r="AC244" i="1" l="1"/>
  <c r="D2584" i="16" l="1"/>
  <c r="X39" i="29"/>
  <c r="C25" i="26"/>
  <c r="F139" i="25"/>
  <c r="D2585" i="16" s="1"/>
  <c r="F140" i="25"/>
  <c r="D2586" i="16" s="1"/>
  <c r="F143" i="25"/>
  <c r="D2589" i="16" s="1"/>
  <c r="F145" i="25"/>
  <c r="D2591" i="16" s="1"/>
  <c r="F152" i="25"/>
  <c r="F172" i="25"/>
  <c r="F182" i="25"/>
  <c r="D2595" i="16" s="1"/>
  <c r="F219" i="25"/>
  <c r="G6" i="27"/>
  <c r="H6" i="27"/>
  <c r="I6" i="27"/>
  <c r="J6" i="27"/>
  <c r="F221" i="25" l="1"/>
  <c r="F224" i="25"/>
  <c r="F220" i="25"/>
  <c r="F146" i="25"/>
  <c r="D2592" i="16" s="1"/>
  <c r="E2595" i="16" l="1"/>
  <c r="H182" i="25"/>
  <c r="F2595" i="16" l="1"/>
  <c r="I182" i="25"/>
  <c r="G2595" i="16" l="1"/>
  <c r="J182" i="25"/>
  <c r="H2595" i="16" l="1"/>
  <c r="K182" i="25"/>
  <c r="I2595" i="16" l="1"/>
  <c r="L182" i="25"/>
  <c r="J2595" i="16" l="1"/>
  <c r="M182" i="25"/>
  <c r="K2595" i="16" l="1"/>
  <c r="N182" i="25"/>
  <c r="L2595" i="16" l="1"/>
  <c r="D2581" i="16"/>
  <c r="F216" i="25"/>
  <c r="E2581" i="16"/>
  <c r="F2581" i="16"/>
  <c r="G2581" i="16"/>
  <c r="H2581" i="16"/>
  <c r="H138" i="25"/>
  <c r="F2584" i="16" s="1"/>
  <c r="I138" i="25"/>
  <c r="G2584" i="16" s="1"/>
  <c r="J138" i="25"/>
  <c r="H2584" i="16" s="1"/>
  <c r="G216" i="25"/>
  <c r="H216" i="25"/>
  <c r="I216" i="25"/>
  <c r="J216" i="25"/>
  <c r="N19" i="27" l="1"/>
  <c r="M39" i="29"/>
  <c r="N39" i="29"/>
  <c r="L6" i="27"/>
  <c r="K6" i="27"/>
  <c r="I219" i="25"/>
  <c r="H219" i="25"/>
  <c r="J181" i="25"/>
  <c r="H2594" i="16" s="1"/>
  <c r="J219" i="25"/>
  <c r="I181" i="25"/>
  <c r="M51" i="26" s="1"/>
  <c r="H181" i="25"/>
  <c r="F2594" i="16" s="1"/>
  <c r="J151" i="25"/>
  <c r="I151" i="25"/>
  <c r="H151" i="25"/>
  <c r="J140" i="25"/>
  <c r="I140" i="25"/>
  <c r="H140" i="25"/>
  <c r="I139" i="25"/>
  <c r="G140" i="25"/>
  <c r="E2586" i="16" s="1"/>
  <c r="H139" i="25"/>
  <c r="G145" i="25"/>
  <c r="G146" i="25" s="1"/>
  <c r="E2592" i="16" s="1"/>
  <c r="G139" i="25"/>
  <c r="G143" i="25"/>
  <c r="G219" i="25"/>
  <c r="K135" i="25"/>
  <c r="L135" i="25" s="1"/>
  <c r="J139" i="25"/>
  <c r="E2584" i="16"/>
  <c r="T39" i="29"/>
  <c r="S39" i="29"/>
  <c r="N31" i="27" l="1"/>
  <c r="N99" i="27"/>
  <c r="G160" i="25"/>
  <c r="N72" i="27"/>
  <c r="N93" i="27"/>
  <c r="N30" i="27"/>
  <c r="G221" i="25"/>
  <c r="N50" i="27"/>
  <c r="O51" i="27" s="1"/>
  <c r="O52" i="27" s="1"/>
  <c r="N34" i="27"/>
  <c r="N138" i="27" s="1"/>
  <c r="K51" i="26"/>
  <c r="G189" i="25"/>
  <c r="E2594" i="16"/>
  <c r="G2594" i="16"/>
  <c r="L51" i="26"/>
  <c r="H185" i="25"/>
  <c r="H186" i="25" s="1"/>
  <c r="I185" i="25"/>
  <c r="I186" i="25" s="1"/>
  <c r="G2585" i="16"/>
  <c r="I220" i="25"/>
  <c r="F2586" i="16"/>
  <c r="H221" i="25"/>
  <c r="G2586" i="16"/>
  <c r="I221" i="25"/>
  <c r="H2586" i="16"/>
  <c r="J221" i="25"/>
  <c r="G194" i="25"/>
  <c r="E2589" i="16"/>
  <c r="G224" i="25"/>
  <c r="E2585" i="16"/>
  <c r="G220" i="25"/>
  <c r="E2591" i="16"/>
  <c r="H145" i="25"/>
  <c r="G185" i="25"/>
  <c r="G186" i="25" s="1"/>
  <c r="F2585" i="16"/>
  <c r="H220" i="25"/>
  <c r="H2585" i="16"/>
  <c r="J220" i="25"/>
  <c r="I2581" i="16"/>
  <c r="K138" i="25"/>
  <c r="K216" i="25"/>
  <c r="L216" i="25"/>
  <c r="L138" i="25"/>
  <c r="J2581" i="16"/>
  <c r="M135" i="25"/>
  <c r="BA72" i="27" l="1"/>
  <c r="N75" i="27"/>
  <c r="N77" i="27" s="1"/>
  <c r="N94" i="27"/>
  <c r="N100" i="27" s="1"/>
  <c r="BA93" i="27"/>
  <c r="N51" i="27"/>
  <c r="BA50" i="27"/>
  <c r="BA75" i="27"/>
  <c r="G163" i="25"/>
  <c r="G165" i="25"/>
  <c r="G168" i="25" s="1"/>
  <c r="K58" i="26"/>
  <c r="E2597" i="16"/>
  <c r="C2439" i="16"/>
  <c r="C2440" i="16" s="1"/>
  <c r="H142" i="25"/>
  <c r="F2591" i="16"/>
  <c r="I145" i="25"/>
  <c r="I2584" i="16"/>
  <c r="K139" i="25"/>
  <c r="K219" i="25"/>
  <c r="K181" i="25"/>
  <c r="I2594" i="16" s="1"/>
  <c r="K140" i="25"/>
  <c r="K151" i="25"/>
  <c r="M216" i="25"/>
  <c r="M138" i="25"/>
  <c r="K2581" i="16"/>
  <c r="N135" i="25"/>
  <c r="L219" i="25"/>
  <c r="L139" i="25"/>
  <c r="L140" i="25"/>
  <c r="L151" i="25"/>
  <c r="J2584" i="16"/>
  <c r="L181" i="25"/>
  <c r="J2594" i="16" s="1"/>
  <c r="H155" i="25" l="1"/>
  <c r="O13" i="27"/>
  <c r="N118" i="27"/>
  <c r="N52" i="27"/>
  <c r="BA52" i="27" s="1"/>
  <c r="BA51" i="27"/>
  <c r="BA77" i="27"/>
  <c r="I142" i="25"/>
  <c r="I155" i="25" s="1"/>
  <c r="G2591" i="16"/>
  <c r="J145" i="25"/>
  <c r="H194" i="25"/>
  <c r="N40" i="29"/>
  <c r="H223" i="25"/>
  <c r="H143" i="25"/>
  <c r="F2588" i="16"/>
  <c r="L43" i="26"/>
  <c r="G179" i="25"/>
  <c r="S31" i="7" s="1"/>
  <c r="G172" i="25"/>
  <c r="I2586" i="16"/>
  <c r="K221" i="25"/>
  <c r="I2585" i="16"/>
  <c r="K220" i="25"/>
  <c r="M181" i="25"/>
  <c r="K2594" i="16" s="1"/>
  <c r="M219" i="25"/>
  <c r="M139" i="25"/>
  <c r="M140" i="25"/>
  <c r="M151" i="25"/>
  <c r="K2584" i="16"/>
  <c r="L221" i="25"/>
  <c r="J2586" i="16"/>
  <c r="L220" i="25"/>
  <c r="J2585" i="16"/>
  <c r="N216" i="25"/>
  <c r="N138" i="25"/>
  <c r="L2581" i="16"/>
  <c r="V449" i="1" l="1"/>
  <c r="V173" i="1"/>
  <c r="F13" i="9"/>
  <c r="L58" i="26"/>
  <c r="J142" i="25"/>
  <c r="J155" i="25" s="1"/>
  <c r="H2591" i="16"/>
  <c r="K145" i="25"/>
  <c r="H224" i="25"/>
  <c r="F2589" i="16"/>
  <c r="M43" i="26"/>
  <c r="I194" i="25"/>
  <c r="S40" i="29"/>
  <c r="G2588" i="16"/>
  <c r="I223" i="25"/>
  <c r="I143" i="25"/>
  <c r="N181" i="25"/>
  <c r="L2594" i="16" s="1"/>
  <c r="N219" i="25"/>
  <c r="N139" i="25"/>
  <c r="N140" i="25"/>
  <c r="N151" i="25"/>
  <c r="L2584" i="16"/>
  <c r="M221" i="25"/>
  <c r="K2586" i="16"/>
  <c r="M220" i="25"/>
  <c r="K2585" i="16"/>
  <c r="F2914" i="16" l="1"/>
  <c r="AF4" i="9"/>
  <c r="N67" i="27"/>
  <c r="BA67" i="27" s="1"/>
  <c r="N62" i="27"/>
  <c r="J223" i="25"/>
  <c r="T40" i="29"/>
  <c r="J143" i="25"/>
  <c r="H2588" i="16"/>
  <c r="I224" i="25"/>
  <c r="G2589" i="16"/>
  <c r="M58" i="26"/>
  <c r="N43" i="26"/>
  <c r="D8" i="26"/>
  <c r="H157" i="25"/>
  <c r="H189" i="25" s="1"/>
  <c r="G192" i="25"/>
  <c r="E2600" i="16" s="1"/>
  <c r="E2599" i="16"/>
  <c r="K142" i="25"/>
  <c r="K155" i="25" s="1"/>
  <c r="I2591" i="16"/>
  <c r="L145" i="25"/>
  <c r="V23" i="1"/>
  <c r="BS70" i="5" s="1"/>
  <c r="N221" i="25"/>
  <c r="L2586" i="16"/>
  <c r="N220" i="25"/>
  <c r="L2585" i="16"/>
  <c r="N61" i="27" l="1"/>
  <c r="BA61" i="27" s="1"/>
  <c r="BA62" i="27"/>
  <c r="AG4" i="9"/>
  <c r="AF6" i="9"/>
  <c r="AF8" i="9" s="1"/>
  <c r="J2591" i="16"/>
  <c r="L142" i="25"/>
  <c r="L155" i="25" s="1"/>
  <c r="M145" i="25"/>
  <c r="H2589" i="16"/>
  <c r="J224" i="25"/>
  <c r="K143" i="25"/>
  <c r="I2588" i="16"/>
  <c r="K223" i="25"/>
  <c r="H160" i="25"/>
  <c r="AG5" i="9" l="1"/>
  <c r="AH4" i="9"/>
  <c r="AI4" i="9" s="1"/>
  <c r="F2597" i="16"/>
  <c r="D2439" i="16"/>
  <c r="H163" i="25"/>
  <c r="H165" i="25"/>
  <c r="M142" i="25"/>
  <c r="M155" i="25" s="1"/>
  <c r="K2591" i="16"/>
  <c r="N145" i="25"/>
  <c r="I2589" i="16"/>
  <c r="K224" i="25"/>
  <c r="J2588" i="16"/>
  <c r="L143" i="25"/>
  <c r="L223" i="25"/>
  <c r="H168" i="25" l="1"/>
  <c r="H171" i="25"/>
  <c r="L2591" i="16"/>
  <c r="N142" i="25"/>
  <c r="N155" i="25" s="1"/>
  <c r="L224" i="25"/>
  <c r="J2589" i="16"/>
  <c r="M223" i="25"/>
  <c r="M143" i="25"/>
  <c r="K2588" i="16"/>
  <c r="K2589" i="16" l="1"/>
  <c r="M224" i="25"/>
  <c r="H179" i="25"/>
  <c r="W378" i="1"/>
  <c r="H172" i="25"/>
  <c r="L2588" i="16"/>
  <c r="N143" i="25"/>
  <c r="N223" i="25"/>
  <c r="W380" i="1" l="1"/>
  <c r="W173" i="1" s="1"/>
  <c r="T31" i="7"/>
  <c r="W449" i="1"/>
  <c r="W376" i="1"/>
  <c r="H191" i="25"/>
  <c r="F203" i="25" s="1"/>
  <c r="L2589" i="16"/>
  <c r="N224" i="25"/>
  <c r="W382" i="1" l="1"/>
  <c r="W23" i="1"/>
  <c r="BX70" i="5" s="1"/>
  <c r="BW70" i="5" s="1"/>
  <c r="F2599" i="16"/>
  <c r="H192" i="25"/>
  <c r="F2600" i="16" s="1"/>
  <c r="I157" i="25"/>
  <c r="I189" i="25" s="1"/>
  <c r="E8" i="26"/>
  <c r="I160" i="25" l="1"/>
  <c r="I163" i="25" l="1"/>
  <c r="I165" i="25"/>
  <c r="I168" i="25" s="1"/>
  <c r="G2597" i="16"/>
  <c r="E2439" i="16"/>
  <c r="I171" i="25" l="1"/>
  <c r="I172" i="25" l="1"/>
  <c r="I179" i="25"/>
  <c r="X378" i="1"/>
  <c r="U31" i="7" l="1"/>
  <c r="X380" i="1"/>
  <c r="X173" i="1" s="1"/>
  <c r="I191" i="25"/>
  <c r="X376" i="1"/>
  <c r="X449" i="1"/>
  <c r="I192" i="25" l="1"/>
  <c r="G2600" i="16" s="1"/>
  <c r="G2599" i="16"/>
  <c r="F8" i="26"/>
  <c r="J157" i="25"/>
  <c r="X382" i="1"/>
  <c r="X23" i="1"/>
  <c r="J160" i="25" l="1"/>
  <c r="J165" i="25" s="1"/>
  <c r="J162" i="25" s="1"/>
  <c r="J189" i="25" s="1"/>
  <c r="J171" i="25" l="1"/>
  <c r="Y378" i="1" s="1"/>
  <c r="J163" i="25"/>
  <c r="J194" i="25"/>
  <c r="J185" i="25"/>
  <c r="J186" i="25" s="1"/>
  <c r="J168" i="25"/>
  <c r="J179" i="25" l="1"/>
  <c r="J172" i="25"/>
  <c r="F2439" i="16"/>
  <c r="H2597" i="16"/>
  <c r="Y449" i="1"/>
  <c r="Y376" i="1"/>
  <c r="Y380" i="1" l="1"/>
  <c r="Y173" i="1" s="1"/>
  <c r="V31" i="7"/>
  <c r="J191" i="25"/>
  <c r="J192" i="25" s="1"/>
  <c r="H2600" i="16" s="1"/>
  <c r="Y23" i="1"/>
  <c r="Y382" i="1"/>
  <c r="H2599" i="16" l="1"/>
  <c r="K157" i="25"/>
  <c r="K160" i="25" s="1"/>
  <c r="K165" i="25" l="1"/>
  <c r="K171" i="25" s="1"/>
  <c r="K162" i="25" l="1"/>
  <c r="K189" i="25" s="1"/>
  <c r="Z378" i="1"/>
  <c r="K179" i="25"/>
  <c r="K172" i="25"/>
  <c r="W31" i="7" l="1"/>
  <c r="Z380" i="1"/>
  <c r="Z173" i="1" s="1"/>
  <c r="K168" i="25"/>
  <c r="Z376" i="1"/>
  <c r="Z449" i="1"/>
  <c r="K163" i="25"/>
  <c r="K185" i="25"/>
  <c r="K186" i="25" s="1"/>
  <c r="K194" i="25"/>
  <c r="I2597" i="16" l="1"/>
  <c r="K191" i="25"/>
  <c r="Z23" i="1"/>
  <c r="Z382" i="1"/>
  <c r="K192" i="25" l="1"/>
  <c r="I2600" i="16" s="1"/>
  <c r="L157" i="25"/>
  <c r="I2599" i="16"/>
  <c r="L160" i="25" l="1"/>
  <c r="L165" i="25" l="1"/>
  <c r="L162" i="25" l="1"/>
  <c r="L189" i="25" s="1"/>
  <c r="L171" i="25"/>
  <c r="L168" i="25" l="1"/>
  <c r="AA378" i="1"/>
  <c r="L172" i="25"/>
  <c r="L179" i="25"/>
  <c r="L194" i="25"/>
  <c r="L163" i="25"/>
  <c r="L185" i="25"/>
  <c r="L186" i="25" s="1"/>
  <c r="AA380" i="1" l="1"/>
  <c r="AA173" i="1" s="1"/>
  <c r="X31" i="7"/>
  <c r="J2597" i="16"/>
  <c r="L191" i="25"/>
  <c r="AA376" i="1"/>
  <c r="AA449" i="1"/>
  <c r="M157" i="25" l="1"/>
  <c r="L192" i="25"/>
  <c r="J2600" i="16" s="1"/>
  <c r="J2599" i="16"/>
  <c r="AA23" i="1"/>
  <c r="AA382" i="1"/>
  <c r="M160" i="25" l="1"/>
  <c r="M165" i="25" l="1"/>
  <c r="M171" i="25" s="1"/>
  <c r="M172" i="25" l="1"/>
  <c r="AB378" i="1"/>
  <c r="M179" i="25"/>
  <c r="M162" i="25"/>
  <c r="AB380" i="1" l="1"/>
  <c r="AB173" i="1" s="1"/>
  <c r="Y31" i="7"/>
  <c r="M168" i="25"/>
  <c r="M189" i="25"/>
  <c r="AB449" i="1"/>
  <c r="AB376" i="1"/>
  <c r="M163" i="25"/>
  <c r="M185" i="25"/>
  <c r="M186" i="25" s="1"/>
  <c r="M194" i="25"/>
  <c r="K2597" i="16" l="1"/>
  <c r="M191" i="25"/>
  <c r="AB23" i="1"/>
  <c r="AB382" i="1"/>
  <c r="M192" i="25" l="1"/>
  <c r="K2600" i="16" s="1"/>
  <c r="K2599" i="16"/>
  <c r="N157" i="25"/>
  <c r="N160" i="25" l="1"/>
  <c r="N165" i="25" l="1"/>
  <c r="N162" i="25" l="1"/>
  <c r="N171" i="25"/>
  <c r="N168" i="25" l="1"/>
  <c r="N189" i="25"/>
  <c r="AC378" i="1"/>
  <c r="N172" i="25"/>
  <c r="N179" i="25"/>
  <c r="N163" i="25"/>
  <c r="N194" i="25"/>
  <c r="F197" i="25" s="1"/>
  <c r="N185" i="25"/>
  <c r="N186" i="25" s="1"/>
  <c r="AC380" i="1" l="1"/>
  <c r="AC173" i="1" s="1"/>
  <c r="Z31" i="7"/>
  <c r="L2597" i="16"/>
  <c r="N191" i="25"/>
  <c r="F200" i="25"/>
  <c r="F201" i="25" s="1"/>
  <c r="AC376" i="1"/>
  <c r="AC449" i="1"/>
  <c r="AC23" i="1" l="1"/>
  <c r="AC382" i="1"/>
  <c r="F202" i="25"/>
  <c r="E13" i="9" s="1"/>
  <c r="N192" i="25"/>
  <c r="L2600" i="16" s="1"/>
  <c r="L2599" i="16"/>
  <c r="G13" i="9" l="1"/>
  <c r="I13" i="9" s="1"/>
  <c r="E2914" i="16"/>
  <c r="D13" i="9"/>
  <c r="D2914" i="16" s="1"/>
  <c r="F204" i="25"/>
  <c r="AC13" i="9" l="1"/>
  <c r="G2914" i="16"/>
  <c r="G2917" i="16" s="1"/>
  <c r="G15" i="9"/>
  <c r="F206" i="25"/>
  <c r="F207" i="25" s="1"/>
  <c r="F209" i="25" s="1"/>
  <c r="F210" i="25" s="1"/>
  <c r="C2644" i="16"/>
  <c r="AC15" i="9" l="1"/>
  <c r="N122" i="18"/>
  <c r="O122" i="18" s="1"/>
  <c r="P122" i="18" s="1"/>
  <c r="Q122" i="18" s="1"/>
  <c r="R122" i="18" s="1"/>
  <c r="S122" i="18" s="1"/>
  <c r="T122" i="18" s="1"/>
  <c r="U122" i="18" s="1"/>
  <c r="V122" i="18" s="1"/>
  <c r="W122" i="18" s="1"/>
  <c r="X122" i="18" s="1"/>
  <c r="Y122" i="18" s="1"/>
  <c r="Z122" i="18" s="1"/>
  <c r="AA122" i="18" s="1"/>
  <c r="AB122" i="18" s="1"/>
  <c r="AC122" i="18" s="1"/>
  <c r="AD122" i="18" s="1"/>
  <c r="AE122" i="18" s="1"/>
  <c r="AF122" i="18" s="1"/>
  <c r="AG122" i="18" s="1"/>
  <c r="AH122" i="18" s="1"/>
  <c r="AI122" i="18" s="1"/>
  <c r="F11" i="7"/>
  <c r="N9" i="18"/>
  <c r="O9" i="18" s="1"/>
  <c r="P9" i="18" s="1"/>
  <c r="Q9" i="18" s="1"/>
  <c r="R9" i="18" s="1"/>
  <c r="S9" i="18" s="1"/>
  <c r="T9" i="18" s="1"/>
  <c r="U9" i="18" s="1"/>
  <c r="V9" i="18" s="1"/>
  <c r="W9" i="18" s="1"/>
  <c r="X9" i="18" s="1"/>
  <c r="Y9" i="18" s="1"/>
  <c r="Z9" i="18" s="1"/>
  <c r="AA9" i="18" s="1"/>
  <c r="AB9" i="18" s="1"/>
  <c r="AC9" i="18" s="1"/>
  <c r="AD9" i="18" s="1"/>
  <c r="AE9" i="18" s="1"/>
  <c r="AF9" i="18" s="1"/>
  <c r="AG9" i="18" s="1"/>
  <c r="AH9" i="18" s="1"/>
  <c r="AI9" i="18" s="1"/>
  <c r="G11" i="7" l="1"/>
  <c r="H11" i="7" s="1"/>
  <c r="I11" i="7" s="1"/>
  <c r="J11" i="7" s="1"/>
  <c r="K11" i="7" s="1"/>
  <c r="L11" i="7" s="1"/>
  <c r="M11" i="7" s="1"/>
  <c r="E11" i="7"/>
  <c r="N11" i="7" l="1"/>
  <c r="O11" i="7" l="1"/>
  <c r="P11" i="7" l="1"/>
  <c r="Q11" i="7" l="1"/>
  <c r="R11" i="7" l="1"/>
  <c r="S11" i="7" l="1"/>
  <c r="T11" i="7" l="1"/>
  <c r="U11" i="7" l="1"/>
  <c r="V11" i="7" l="1"/>
  <c r="W11" i="7" l="1"/>
  <c r="X11" i="7" l="1"/>
  <c r="Y11" i="7" l="1"/>
  <c r="Z11" i="7" l="1"/>
  <c r="L175" i="1"/>
  <c r="L177" i="1" s="1"/>
  <c r="M175" i="1"/>
  <c r="M177" i="1" s="1"/>
  <c r="X116" i="18"/>
  <c r="X117" i="18" s="1"/>
  <c r="R175" i="1"/>
  <c r="R177" i="1" s="1"/>
  <c r="BO156" i="5"/>
  <c r="M31" i="29"/>
  <c r="BR149" i="5"/>
  <c r="BR156" i="5" s="1"/>
  <c r="BR161" i="5"/>
  <c r="BR169" i="5"/>
  <c r="BW27" i="28" s="1"/>
  <c r="BW26" i="28" l="1"/>
  <c r="M33" i="29"/>
  <c r="M35" i="29" s="1"/>
  <c r="BR71" i="5"/>
  <c r="BR78" i="5" l="1"/>
  <c r="BR80" i="5" s="1"/>
  <c r="BR74" i="5"/>
  <c r="BR79" i="5" l="1"/>
  <c r="H681" i="16"/>
  <c r="D2727" i="16"/>
  <c r="P2727" i="16" s="1"/>
  <c r="D2757" i="16"/>
  <c r="P2757" i="16" s="1"/>
  <c r="D2788" i="16"/>
  <c r="Z2788" i="16" s="1"/>
  <c r="AB133" i="18"/>
  <c r="R185" i="10"/>
  <c r="R191" i="10" s="1"/>
  <c r="R189" i="10" s="1"/>
  <c r="R190" i="10" s="1"/>
  <c r="N5" i="29"/>
  <c r="N13" i="29" s="1"/>
  <c r="BS14" i="5"/>
  <c r="BS16" i="5" s="1"/>
  <c r="BS18" i="5" s="1"/>
  <c r="V54" i="1"/>
  <c r="V56" i="1" s="1"/>
  <c r="V104" i="1" l="1"/>
  <c r="D2713" i="16" s="1"/>
  <c r="T88" i="13"/>
  <c r="J20" i="22"/>
  <c r="J15" i="22"/>
  <c r="J17" i="22" s="1"/>
  <c r="S185" i="10"/>
  <c r="R186" i="10"/>
  <c r="J1607" i="16" s="1"/>
  <c r="P2788" i="16"/>
  <c r="R195" i="10"/>
  <c r="R196" i="10" s="1"/>
  <c r="D2432" i="16"/>
  <c r="E2869" i="16"/>
  <c r="V62" i="1"/>
  <c r="V121" i="1"/>
  <c r="V57" i="1"/>
  <c r="D2729" i="16"/>
  <c r="D2759" i="16"/>
  <c r="D2790" i="16"/>
  <c r="AB134" i="18"/>
  <c r="V5" i="1"/>
  <c r="D15" i="26"/>
  <c r="D25" i="26" s="1"/>
  <c r="S226" i="10" l="1"/>
  <c r="S208" i="10"/>
  <c r="F6" i="9" s="1"/>
  <c r="S191" i="10"/>
  <c r="S189" i="10" s="1"/>
  <c r="S190" i="10" s="1"/>
  <c r="V288" i="1"/>
  <c r="W288" i="1" s="1"/>
  <c r="V285" i="1"/>
  <c r="W285" i="1" s="1"/>
  <c r="V295" i="1"/>
  <c r="W295" i="1" s="1"/>
  <c r="V298" i="1"/>
  <c r="J19" i="22"/>
  <c r="K15" i="22"/>
  <c r="K17" i="22" s="1"/>
  <c r="S195" i="10"/>
  <c r="S196" i="10" s="1"/>
  <c r="T185" i="10"/>
  <c r="W52" i="1"/>
  <c r="D2977" i="16" s="1"/>
  <c r="D3025" i="16" s="1"/>
  <c r="D3027" i="16" s="1"/>
  <c r="D3029" i="16" s="1"/>
  <c r="K20" i="22"/>
  <c r="S228" i="10"/>
  <c r="S249" i="10"/>
  <c r="P2790" i="16"/>
  <c r="Z2790" i="16"/>
  <c r="D2789" i="16"/>
  <c r="P2759" i="16"/>
  <c r="D2758" i="16"/>
  <c r="P2758" i="16" s="1"/>
  <c r="P2729" i="16"/>
  <c r="D2728" i="16"/>
  <c r="P2728" i="16" s="1"/>
  <c r="C2886" i="16"/>
  <c r="C2902" i="16" s="1"/>
  <c r="AB18" i="18"/>
  <c r="X297" i="1"/>
  <c r="E2941" i="16"/>
  <c r="V6" i="1"/>
  <c r="F2210" i="16"/>
  <c r="X52" i="1" l="1"/>
  <c r="E2977" i="16" s="1"/>
  <c r="E3025" i="16" s="1"/>
  <c r="E3027" i="16" s="1"/>
  <c r="T226" i="10"/>
  <c r="T228" i="10" s="1"/>
  <c r="X89" i="1" s="1"/>
  <c r="E3047" i="16" s="1"/>
  <c r="E3049" i="16" s="1"/>
  <c r="E3051" i="16" s="1"/>
  <c r="U25" i="7" s="1"/>
  <c r="D2978" i="16"/>
  <c r="E2978" i="16"/>
  <c r="I681" i="16"/>
  <c r="BX14" i="5"/>
  <c r="X295" i="1"/>
  <c r="W294" i="1"/>
  <c r="K19" i="22"/>
  <c r="X285" i="1"/>
  <c r="W284" i="1"/>
  <c r="X288" i="1"/>
  <c r="W287" i="1"/>
  <c r="L15" i="22"/>
  <c r="L17" i="22" s="1"/>
  <c r="L20" i="22"/>
  <c r="T249" i="10"/>
  <c r="T191" i="10"/>
  <c r="T189" i="10" s="1"/>
  <c r="T190" i="10" s="1"/>
  <c r="U185" i="10"/>
  <c r="Y52" i="1" s="1"/>
  <c r="F2977" i="16" s="1"/>
  <c r="F3025" i="16" s="1"/>
  <c r="F3027" i="16" s="1"/>
  <c r="E2788" i="16"/>
  <c r="AC133" i="18"/>
  <c r="E2757" i="16"/>
  <c r="Q2757" i="16" s="1"/>
  <c r="S5" i="29"/>
  <c r="E2727" i="16"/>
  <c r="Q2727" i="16" s="1"/>
  <c r="T195" i="10"/>
  <c r="T196" i="10" s="1"/>
  <c r="W54" i="1"/>
  <c r="F2727" i="16"/>
  <c r="R2727" i="16" s="1"/>
  <c r="X54" i="1"/>
  <c r="AD133" i="18"/>
  <c r="T5" i="29"/>
  <c r="J681" i="16"/>
  <c r="F2757" i="16"/>
  <c r="R2757" i="16" s="1"/>
  <c r="I657" i="16"/>
  <c r="I660" i="16" s="1"/>
  <c r="S229" i="10"/>
  <c r="W89" i="1"/>
  <c r="D3047" i="16" s="1"/>
  <c r="D3049" i="16" s="1"/>
  <c r="D3051" i="16" s="1"/>
  <c r="K23" i="22"/>
  <c r="S238" i="10"/>
  <c r="F2228" i="16"/>
  <c r="X299" i="1"/>
  <c r="X142" i="1"/>
  <c r="P2789" i="16"/>
  <c r="Z2789" i="16"/>
  <c r="D3052" i="16" l="1"/>
  <c r="T25" i="7"/>
  <c r="BX95" i="5"/>
  <c r="D2990" i="16"/>
  <c r="D2991" i="16" s="1"/>
  <c r="F2978" i="16"/>
  <c r="L23" i="22"/>
  <c r="BW14" i="5"/>
  <c r="R5" i="29" s="1"/>
  <c r="BX16" i="5"/>
  <c r="W56" i="1"/>
  <c r="BX17" i="5"/>
  <c r="W289" i="1"/>
  <c r="W132" i="1"/>
  <c r="Y288" i="1"/>
  <c r="Z288" i="1" s="1"/>
  <c r="AA288" i="1" s="1"/>
  <c r="AB288" i="1" s="1"/>
  <c r="AC288" i="1" s="1"/>
  <c r="X287" i="1"/>
  <c r="W131" i="1"/>
  <c r="W286" i="1"/>
  <c r="Y285" i="1"/>
  <c r="Z285" i="1" s="1"/>
  <c r="AA285" i="1" s="1"/>
  <c r="AB285" i="1" s="1"/>
  <c r="AC285" i="1" s="1"/>
  <c r="X284" i="1"/>
  <c r="W143" i="1"/>
  <c r="W145" i="1" s="1"/>
  <c r="W296" i="1"/>
  <c r="L19" i="22"/>
  <c r="Y295" i="1"/>
  <c r="Z295" i="1" s="1"/>
  <c r="AA295" i="1" s="1"/>
  <c r="AB295" i="1" s="1"/>
  <c r="AC295" i="1" s="1"/>
  <c r="X294" i="1"/>
  <c r="U226" i="10"/>
  <c r="U228" i="10" s="1"/>
  <c r="U195" i="10"/>
  <c r="U196" i="10" s="1"/>
  <c r="U191" i="10"/>
  <c r="V185" i="10"/>
  <c r="W185" i="10" s="1"/>
  <c r="Q2788" i="16"/>
  <c r="AA2788" i="16"/>
  <c r="Y54" i="1"/>
  <c r="G2727" i="16"/>
  <c r="S2727" i="16" s="1"/>
  <c r="G2757" i="16"/>
  <c r="S2757" i="16" s="1"/>
  <c r="AE133" i="18"/>
  <c r="E2800" i="16"/>
  <c r="L49" i="26"/>
  <c r="L52" i="26" s="1"/>
  <c r="W90" i="1"/>
  <c r="W97" i="1"/>
  <c r="BX84" i="5" s="1"/>
  <c r="BW84" i="5" s="1"/>
  <c r="BW95" i="5" s="1"/>
  <c r="W106" i="1"/>
  <c r="E2739" i="16"/>
  <c r="Q2739" i="16" s="1"/>
  <c r="AC148" i="18"/>
  <c r="E2769" i="16"/>
  <c r="Q2769" i="16" s="1"/>
  <c r="I686" i="16"/>
  <c r="I687" i="16" s="1"/>
  <c r="S11" i="29"/>
  <c r="S13" i="29" s="1"/>
  <c r="AC131" i="18"/>
  <c r="X55" i="1"/>
  <c r="X56" i="1" l="1"/>
  <c r="F2713" i="16" s="1"/>
  <c r="E3028" i="16"/>
  <c r="E3029" i="16" s="1"/>
  <c r="E3052" i="16" s="1"/>
  <c r="T229" i="10"/>
  <c r="J657" i="16"/>
  <c r="J660" i="16" s="1"/>
  <c r="E2713" i="16"/>
  <c r="U88" i="13"/>
  <c r="E2990" i="16"/>
  <c r="E2991" i="16" s="1"/>
  <c r="X97" i="1"/>
  <c r="T238" i="10"/>
  <c r="BX94" i="5"/>
  <c r="W190" i="1"/>
  <c r="BW106" i="5"/>
  <c r="V191" i="10"/>
  <c r="V189" i="10" s="1"/>
  <c r="U249" i="10"/>
  <c r="EL14" i="5"/>
  <c r="BW16" i="5"/>
  <c r="EL16" i="5" s="1"/>
  <c r="E2432" i="16"/>
  <c r="F2869" i="16"/>
  <c r="AC134" i="18"/>
  <c r="E15" i="26"/>
  <c r="E25" i="26" s="1"/>
  <c r="W57" i="1"/>
  <c r="W121" i="1"/>
  <c r="E2790" i="16"/>
  <c r="E2789" i="16" s="1"/>
  <c r="E2759" i="16"/>
  <c r="Q2759" i="16" s="1"/>
  <c r="E2729" i="16"/>
  <c r="E2728" i="16" s="1"/>
  <c r="Q2728" i="16" s="1"/>
  <c r="W62" i="1"/>
  <c r="W5" i="1"/>
  <c r="W6" i="1" s="1"/>
  <c r="BW17" i="5"/>
  <c r="BX18" i="5"/>
  <c r="X131" i="1"/>
  <c r="X286" i="1"/>
  <c r="X143" i="1"/>
  <c r="X145" i="1" s="1"/>
  <c r="X296" i="1"/>
  <c r="X289" i="1"/>
  <c r="X132" i="1"/>
  <c r="U189" i="10"/>
  <c r="U190" i="10" s="1"/>
  <c r="V195" i="10"/>
  <c r="V196" i="10" s="1"/>
  <c r="V226" i="10"/>
  <c r="V228" i="10" s="1"/>
  <c r="Z52" i="1"/>
  <c r="AA52" i="1"/>
  <c r="H2977" i="16" s="1"/>
  <c r="W195" i="10"/>
  <c r="W226" i="10"/>
  <c r="X185" i="10"/>
  <c r="O2848" i="16"/>
  <c r="W98" i="1"/>
  <c r="BX83" i="5" s="1"/>
  <c r="BW83" i="5" s="1"/>
  <c r="BW94" i="5" s="1"/>
  <c r="R32" i="29" s="1"/>
  <c r="R2027" i="16"/>
  <c r="E2715" i="16"/>
  <c r="F2871" i="16"/>
  <c r="W528" i="1"/>
  <c r="E17" i="26"/>
  <c r="E27" i="26" s="1"/>
  <c r="W107" i="1"/>
  <c r="E2716" i="16" s="1"/>
  <c r="W419" i="1"/>
  <c r="E2771" i="16"/>
  <c r="Q2771" i="16" s="1"/>
  <c r="E2434" i="16"/>
  <c r="D2890" i="16"/>
  <c r="D2906" i="16" s="1"/>
  <c r="G2213" i="16"/>
  <c r="S32" i="29"/>
  <c r="AC149" i="18"/>
  <c r="E2802" i="16"/>
  <c r="E2741" i="16"/>
  <c r="Q2741" i="16" s="1"/>
  <c r="E2709" i="16"/>
  <c r="N2848" i="16"/>
  <c r="V98" i="1"/>
  <c r="BS84" i="5"/>
  <c r="F2739" i="16"/>
  <c r="R2739" i="16" s="1"/>
  <c r="X90" i="1"/>
  <c r="M49" i="26"/>
  <c r="M52" i="26" s="1"/>
  <c r="X106" i="1"/>
  <c r="J686" i="16"/>
  <c r="J687" i="16" s="1"/>
  <c r="AD148" i="18"/>
  <c r="F2769" i="16"/>
  <c r="R2769" i="16" s="1"/>
  <c r="AD134" i="18"/>
  <c r="X5" i="1"/>
  <c r="F15" i="26"/>
  <c r="F2432" i="16"/>
  <c r="X57" i="1"/>
  <c r="G2869" i="16"/>
  <c r="V88" i="13"/>
  <c r="F2729" i="16"/>
  <c r="F2759" i="16"/>
  <c r="X121" i="1"/>
  <c r="X62" i="1"/>
  <c r="AA2800" i="16"/>
  <c r="Q2800" i="16"/>
  <c r="Y89" i="1"/>
  <c r="U229" i="10"/>
  <c r="U238" i="10"/>
  <c r="AD131" i="18"/>
  <c r="T11" i="29"/>
  <c r="T13" i="29" s="1"/>
  <c r="Y55" i="1"/>
  <c r="F3028" i="16" s="1"/>
  <c r="F3029" i="16" s="1"/>
  <c r="H3025" i="16" l="1"/>
  <c r="I2977" i="16"/>
  <c r="F2990" i="16"/>
  <c r="F2991" i="16" s="1"/>
  <c r="F3047" i="16"/>
  <c r="F3049" i="16" s="1"/>
  <c r="F3051" i="16" s="1"/>
  <c r="R11" i="29"/>
  <c r="R13" i="29" s="1"/>
  <c r="H2978" i="16"/>
  <c r="I2978" i="16" s="1"/>
  <c r="AF133" i="18"/>
  <c r="G2977" i="16"/>
  <c r="G3025" i="16" s="1"/>
  <c r="G3027" i="16" s="1"/>
  <c r="G3029" i="16" s="1"/>
  <c r="W191" i="10"/>
  <c r="W189" i="10" s="1"/>
  <c r="W190" i="10" s="1"/>
  <c r="E2758" i="16"/>
  <c r="Q2758" i="16" s="1"/>
  <c r="Z54" i="1"/>
  <c r="Z55" i="1" s="1"/>
  <c r="G3028" i="16" s="1"/>
  <c r="Q2790" i="16"/>
  <c r="AA2790" i="16"/>
  <c r="BW105" i="5"/>
  <c r="V249" i="10"/>
  <c r="Y284" i="1"/>
  <c r="Y286" i="1" s="1"/>
  <c r="Q2729" i="16"/>
  <c r="BW120" i="5"/>
  <c r="Y287" i="1"/>
  <c r="Y132" i="1" s="1"/>
  <c r="G2210" i="16"/>
  <c r="G2228" i="16" s="1"/>
  <c r="Y297" i="1"/>
  <c r="Y142" i="1" s="1"/>
  <c r="AC18" i="18"/>
  <c r="D2886" i="16"/>
  <c r="D2902" i="16" s="1"/>
  <c r="Y294" i="1"/>
  <c r="Y143" i="1" s="1"/>
  <c r="EL17" i="5"/>
  <c r="BW18" i="5"/>
  <c r="V190" i="10"/>
  <c r="W196" i="10"/>
  <c r="G15" i="26"/>
  <c r="F25" i="26"/>
  <c r="G25" i="26" s="1"/>
  <c r="F2715" i="16"/>
  <c r="S2027" i="16"/>
  <c r="Z284" i="1"/>
  <c r="X6" i="1"/>
  <c r="Z297" i="1"/>
  <c r="H2210" i="16"/>
  <c r="H2228" i="16" s="1"/>
  <c r="Z287" i="1"/>
  <c r="Z132" i="1" s="1"/>
  <c r="E2886" i="16"/>
  <c r="E2902" i="16" s="1"/>
  <c r="Z294" i="1"/>
  <c r="AD18" i="18"/>
  <c r="P2848" i="16"/>
  <c r="X98" i="1"/>
  <c r="AB52" i="1"/>
  <c r="X195" i="10"/>
  <c r="X196" i="10" s="1"/>
  <c r="Y185" i="10"/>
  <c r="X226" i="10"/>
  <c r="AE131" i="18"/>
  <c r="Y56" i="1"/>
  <c r="G2713" i="16" s="1"/>
  <c r="F2758" i="16"/>
  <c r="R2758" i="16" s="1"/>
  <c r="R2759" i="16"/>
  <c r="BS83" i="5"/>
  <c r="V99" i="1"/>
  <c r="D2710" i="16"/>
  <c r="Q2802" i="16"/>
  <c r="AA2802" i="16"/>
  <c r="AC22" i="18"/>
  <c r="W421" i="1"/>
  <c r="W228" i="10"/>
  <c r="W249" i="10"/>
  <c r="Y90" i="1"/>
  <c r="Y97" i="1"/>
  <c r="G2739" i="16"/>
  <c r="S2739" i="16" s="1"/>
  <c r="Y106" i="1"/>
  <c r="G2769" i="16"/>
  <c r="S2769" i="16" s="1"/>
  <c r="AE148" i="18"/>
  <c r="F2728" i="16"/>
  <c r="R2728" i="16" s="1"/>
  <c r="R2729" i="16"/>
  <c r="F2434" i="16"/>
  <c r="X528" i="1"/>
  <c r="F17" i="26"/>
  <c r="X419" i="1"/>
  <c r="F2741" i="16"/>
  <c r="R2741" i="16" s="1"/>
  <c r="T32" i="29"/>
  <c r="E2890" i="16"/>
  <c r="E2906" i="16" s="1"/>
  <c r="H2213" i="16"/>
  <c r="F2709" i="16"/>
  <c r="F2771" i="16"/>
  <c r="R2771" i="16" s="1"/>
  <c r="AD149" i="18"/>
  <c r="G2871" i="16"/>
  <c r="X107" i="1"/>
  <c r="V238" i="10"/>
  <c r="Z89" i="1"/>
  <c r="V229" i="10"/>
  <c r="G2230" i="16"/>
  <c r="E2710" i="16"/>
  <c r="W99" i="1"/>
  <c r="AA54" i="1"/>
  <c r="AG133" i="18"/>
  <c r="AA2789" i="16"/>
  <c r="Q2789" i="16"/>
  <c r="F3052" i="16" l="1"/>
  <c r="V25" i="7"/>
  <c r="H3027" i="16"/>
  <c r="I3027" i="16" s="1"/>
  <c r="I3025" i="16"/>
  <c r="G2990" i="16"/>
  <c r="G2991" i="16" s="1"/>
  <c r="G3047" i="16"/>
  <c r="G3049" i="16" s="1"/>
  <c r="G3051" i="16" s="1"/>
  <c r="X191" i="10"/>
  <c r="X189" i="10" s="1"/>
  <c r="X190" i="10" s="1"/>
  <c r="G2978" i="16"/>
  <c r="Y131" i="1"/>
  <c r="G2214" i="16"/>
  <c r="Y299" i="1"/>
  <c r="Y289" i="1"/>
  <c r="Y296" i="1"/>
  <c r="EL18" i="5"/>
  <c r="Z289" i="1"/>
  <c r="AA55" i="1"/>
  <c r="Z56" i="1"/>
  <c r="H2713" i="16" s="1"/>
  <c r="AF131" i="18"/>
  <c r="Z131" i="1"/>
  <c r="Z286" i="1"/>
  <c r="V136" i="1"/>
  <c r="AB33" i="18" s="1"/>
  <c r="V193" i="1"/>
  <c r="V229" i="1"/>
  <c r="V184" i="1"/>
  <c r="W186" i="1"/>
  <c r="F2716" i="16"/>
  <c r="F2796" i="16"/>
  <c r="AE134" i="18"/>
  <c r="Y62" i="1"/>
  <c r="Y57" i="1"/>
  <c r="Y121" i="1"/>
  <c r="G2759" i="16"/>
  <c r="W88" i="13"/>
  <c r="Y5" i="1"/>
  <c r="G2729" i="16"/>
  <c r="AB54" i="1"/>
  <c r="AH133" i="18"/>
  <c r="Z143" i="1"/>
  <c r="Z296" i="1"/>
  <c r="AD22" i="18"/>
  <c r="X420" i="1"/>
  <c r="X421" i="1"/>
  <c r="F27" i="26"/>
  <c r="G27" i="26" s="1"/>
  <c r="G17" i="26"/>
  <c r="T2027" i="16"/>
  <c r="G2715" i="16"/>
  <c r="X249" i="10"/>
  <c r="X228" i="10"/>
  <c r="AF148" i="18"/>
  <c r="Z97" i="1"/>
  <c r="Z98" i="1" s="1"/>
  <c r="Z90" i="1"/>
  <c r="Z106" i="1"/>
  <c r="H2715" i="16" s="1"/>
  <c r="Y98" i="1"/>
  <c r="Q2848" i="16"/>
  <c r="Y191" i="10"/>
  <c r="Y189" i="10" s="1"/>
  <c r="Y190" i="10" s="1"/>
  <c r="Y195" i="10"/>
  <c r="Y196" i="10" s="1"/>
  <c r="Y226" i="10"/>
  <c r="AC52" i="1"/>
  <c r="Z142" i="1"/>
  <c r="Z299" i="1"/>
  <c r="H2230" i="16"/>
  <c r="H2214" i="16"/>
  <c r="G2771" i="16"/>
  <c r="S2771" i="16" s="1"/>
  <c r="AE149" i="18"/>
  <c r="Y107" i="1"/>
  <c r="F2890" i="16"/>
  <c r="F2906" i="16" s="1"/>
  <c r="Y419" i="1"/>
  <c r="Y528" i="1"/>
  <c r="G2709" i="16"/>
  <c r="G2741" i="16"/>
  <c r="S2741" i="16" s="1"/>
  <c r="F2710" i="16"/>
  <c r="X99" i="1"/>
  <c r="F2794" i="16" s="1"/>
  <c r="F2806" i="16" s="1"/>
  <c r="F2793" i="16"/>
  <c r="AA89" i="1"/>
  <c r="W238" i="10"/>
  <c r="W229" i="10"/>
  <c r="Y145" i="1"/>
  <c r="G3052" i="16" l="1"/>
  <c r="W25" i="7"/>
  <c r="H2990" i="16"/>
  <c r="H2991" i="16" s="1"/>
  <c r="H3047" i="16"/>
  <c r="AA56" i="1"/>
  <c r="I2713" i="16" s="1"/>
  <c r="H3028" i="16"/>
  <c r="H3029" i="16" s="1"/>
  <c r="I3029" i="16" s="1"/>
  <c r="Z145" i="1"/>
  <c r="X229" i="10"/>
  <c r="X238" i="10"/>
  <c r="AB89" i="1"/>
  <c r="G2796" i="16"/>
  <c r="G2716" i="16"/>
  <c r="AA90" i="1"/>
  <c r="AA97" i="1"/>
  <c r="AA98" i="1" s="1"/>
  <c r="AA106" i="1"/>
  <c r="I2715" i="16" s="1"/>
  <c r="AG148" i="18"/>
  <c r="X88" i="13"/>
  <c r="Z57" i="1"/>
  <c r="AF134" i="18"/>
  <c r="Z121" i="1"/>
  <c r="Z5" i="1"/>
  <c r="Z62" i="1"/>
  <c r="Z528" i="1"/>
  <c r="H2709" i="16"/>
  <c r="Z419" i="1"/>
  <c r="G2890" i="16"/>
  <c r="G2906" i="16" s="1"/>
  <c r="AF149" i="18"/>
  <c r="Z107" i="1"/>
  <c r="H2716" i="16" s="1"/>
  <c r="G2728" i="16"/>
  <c r="S2728" i="16" s="1"/>
  <c r="S2729" i="16"/>
  <c r="AB55" i="1"/>
  <c r="AG131" i="18"/>
  <c r="H2710" i="16"/>
  <c r="Z99" i="1"/>
  <c r="AA297" i="1"/>
  <c r="Y6" i="1"/>
  <c r="AA287" i="1"/>
  <c r="AA294" i="1"/>
  <c r="F2886" i="16"/>
  <c r="F2902" i="16" s="1"/>
  <c r="AE18" i="18"/>
  <c r="AA284" i="1"/>
  <c r="F2795" i="16"/>
  <c r="F2807" i="16" s="1"/>
  <c r="F2808" i="16"/>
  <c r="G2793" i="16"/>
  <c r="G2710" i="16"/>
  <c r="Y99" i="1"/>
  <c r="G2794" i="16" s="1"/>
  <c r="G2806" i="16" s="1"/>
  <c r="G2758" i="16"/>
  <c r="S2758" i="16" s="1"/>
  <c r="S2759" i="16"/>
  <c r="Y420" i="1"/>
  <c r="Y421" i="1"/>
  <c r="AE22" i="18"/>
  <c r="AA62" i="1"/>
  <c r="AA121" i="1"/>
  <c r="AA57" i="1"/>
  <c r="AG134" i="18"/>
  <c r="AA5" i="1"/>
  <c r="Y88" i="13"/>
  <c r="AI133" i="18"/>
  <c r="AC54" i="1"/>
  <c r="Y249" i="10"/>
  <c r="Y228" i="10"/>
  <c r="W182" i="1"/>
  <c r="W446" i="1"/>
  <c r="W526" i="1" s="1"/>
  <c r="W326" i="1"/>
  <c r="H3049" i="16" l="1"/>
  <c r="I3047" i="16"/>
  <c r="AA289" i="1"/>
  <c r="AA132" i="1"/>
  <c r="AC55" i="1"/>
  <c r="AI131" i="18" s="1"/>
  <c r="AH131" i="18"/>
  <c r="AB56" i="1"/>
  <c r="AH148" i="18"/>
  <c r="AB106" i="1"/>
  <c r="J2715" i="16" s="1"/>
  <c r="AB90" i="1"/>
  <c r="AB97" i="1"/>
  <c r="AB98" i="1" s="1"/>
  <c r="AA142" i="1"/>
  <c r="AA299" i="1"/>
  <c r="Z420" i="1"/>
  <c r="Z421" i="1"/>
  <c r="AF22" i="18"/>
  <c r="G2886" i="16"/>
  <c r="G2902" i="16" s="1"/>
  <c r="AF18" i="18"/>
  <c r="AB297" i="1"/>
  <c r="AB284" i="1"/>
  <c r="Z6" i="1"/>
  <c r="AB287" i="1"/>
  <c r="AB294" i="1"/>
  <c r="AA286" i="1"/>
  <c r="AA131" i="1"/>
  <c r="AA99" i="1"/>
  <c r="I2710" i="16"/>
  <c r="AC287" i="1"/>
  <c r="AC132" i="1" s="1"/>
  <c r="AC294" i="1"/>
  <c r="AC143" i="1" s="1"/>
  <c r="H2886" i="16"/>
  <c r="H2902" i="16" s="1"/>
  <c r="AG18" i="18"/>
  <c r="AA6" i="1"/>
  <c r="AC284" i="1"/>
  <c r="AC131" i="1" s="1"/>
  <c r="AC297" i="1"/>
  <c r="AC142" i="1" s="1"/>
  <c r="W15" i="1"/>
  <c r="W191" i="1"/>
  <c r="AC20" i="18"/>
  <c r="W183" i="1"/>
  <c r="W195" i="1"/>
  <c r="AA107" i="1"/>
  <c r="I2716" i="16" s="1"/>
  <c r="H2890" i="16"/>
  <c r="H2906" i="16" s="1"/>
  <c r="AG149" i="18"/>
  <c r="AA528" i="1"/>
  <c r="AA419" i="1"/>
  <c r="I2709" i="16"/>
  <c r="AC89" i="1"/>
  <c r="Y238" i="10"/>
  <c r="Y229" i="10"/>
  <c r="AA143" i="1"/>
  <c r="AA296" i="1"/>
  <c r="G2795" i="16"/>
  <c r="G2807" i="16" s="1"/>
  <c r="G2808" i="16"/>
  <c r="H3051" i="16" l="1"/>
  <c r="I3049" i="16"/>
  <c r="AC56" i="1"/>
  <c r="K2713" i="16" s="1"/>
  <c r="J2713" i="16"/>
  <c r="AC299" i="1"/>
  <c r="AB142" i="1"/>
  <c r="AA145" i="1"/>
  <c r="AA420" i="1"/>
  <c r="AA421" i="1"/>
  <c r="AG22" i="18"/>
  <c r="AB57" i="1"/>
  <c r="AH134" i="18"/>
  <c r="Z88" i="13"/>
  <c r="AB5" i="1"/>
  <c r="AB62" i="1"/>
  <c r="AB121" i="1"/>
  <c r="AB296" i="1"/>
  <c r="AB143" i="1"/>
  <c r="AC296" i="1"/>
  <c r="AB132" i="1"/>
  <c r="AC289" i="1"/>
  <c r="AB289" i="1"/>
  <c r="AC145" i="1"/>
  <c r="J2710" i="16"/>
  <c r="AB99" i="1"/>
  <c r="AC106" i="1"/>
  <c r="K2715" i="16" s="1"/>
  <c r="AC90" i="1"/>
  <c r="AI148" i="18"/>
  <c r="AC97" i="1"/>
  <c r="AC98" i="1" s="1"/>
  <c r="AB299" i="1"/>
  <c r="AH149" i="18"/>
  <c r="AB107" i="1"/>
  <c r="J2716" i="16" s="1"/>
  <c r="AB528" i="1"/>
  <c r="Y25" i="7"/>
  <c r="AB419" i="1"/>
  <c r="I2890" i="16"/>
  <c r="I2906" i="16" s="1"/>
  <c r="J2709" i="16"/>
  <c r="AB286" i="1"/>
  <c r="AB131" i="1"/>
  <c r="AC286" i="1"/>
  <c r="I3051" i="16" l="1"/>
  <c r="X25" i="7"/>
  <c r="H3052" i="16"/>
  <c r="AC5" i="1"/>
  <c r="AC6" i="1" s="1"/>
  <c r="AC121" i="1"/>
  <c r="AI134" i="18"/>
  <c r="AC62" i="1"/>
  <c r="AA88" i="13"/>
  <c r="AC57" i="1"/>
  <c r="AB145" i="1"/>
  <c r="AH22" i="18"/>
  <c r="AB420" i="1"/>
  <c r="AB421" i="1"/>
  <c r="AC528" i="1"/>
  <c r="Z25" i="7"/>
  <c r="AC419" i="1"/>
  <c r="K2709" i="16"/>
  <c r="AI149" i="18"/>
  <c r="AC107" i="1"/>
  <c r="K2716" i="16" s="1"/>
  <c r="J2890" i="16"/>
  <c r="J2906" i="16" s="1"/>
  <c r="K2710" i="16"/>
  <c r="AC99" i="1"/>
  <c r="AB6" i="1"/>
  <c r="I2886" i="16"/>
  <c r="I2902" i="16" s="1"/>
  <c r="AH18" i="18"/>
  <c r="AI18" i="18" l="1"/>
  <c r="J2886" i="16"/>
  <c r="J2902" i="16" s="1"/>
  <c r="AC420" i="1"/>
  <c r="AC421" i="1"/>
  <c r="AI22" i="18"/>
  <c r="D2733" i="16" l="1"/>
  <c r="D2763" i="16"/>
  <c r="D2794" i="16"/>
  <c r="Z2794" i="16" s="1"/>
  <c r="AB141" i="18"/>
  <c r="R208" i="10"/>
  <c r="N16" i="29"/>
  <c r="N22" i="29" s="1"/>
  <c r="BS26" i="5"/>
  <c r="BS54" i="5" s="1"/>
  <c r="V70" i="1"/>
  <c r="V73" i="1" s="1"/>
  <c r="S63" i="7" s="1"/>
  <c r="V81" i="1"/>
  <c r="K41" i="26"/>
  <c r="R209" i="10" l="1"/>
  <c r="R219" i="10"/>
  <c r="BS28" i="5"/>
  <c r="BS56" i="5" s="1"/>
  <c r="K44" i="26"/>
  <c r="K13" i="26" s="1"/>
  <c r="N29" i="29"/>
  <c r="J22" i="22"/>
  <c r="D16" i="26"/>
  <c r="AB142" i="18"/>
  <c r="V13" i="1"/>
  <c r="V74" i="1"/>
  <c r="D2735" i="16"/>
  <c r="D2705" i="16"/>
  <c r="V75" i="1"/>
  <c r="D2707" i="16" s="1"/>
  <c r="D2796" i="16"/>
  <c r="D2765" i="16"/>
  <c r="D2870" i="16"/>
  <c r="D2872" i="16" s="1"/>
  <c r="V84" i="1"/>
  <c r="H642" i="16"/>
  <c r="D2433" i="16"/>
  <c r="P2794" i="16"/>
  <c r="P2733" i="16"/>
  <c r="H656" i="16"/>
  <c r="H659" i="16" s="1"/>
  <c r="V83" i="1"/>
  <c r="V8" i="1"/>
  <c r="P2763" i="16"/>
  <c r="BS34" i="5" l="1"/>
  <c r="BS30" i="5"/>
  <c r="BS58" i="5" s="1"/>
  <c r="L1693" i="16"/>
  <c r="K15" i="26"/>
  <c r="K14" i="26"/>
  <c r="K16" i="26"/>
  <c r="K17" i="26"/>
  <c r="D26" i="26"/>
  <c r="V11" i="1"/>
  <c r="V325" i="1"/>
  <c r="V9" i="1"/>
  <c r="E2942" i="16"/>
  <c r="V18" i="1"/>
  <c r="C2887" i="16"/>
  <c r="C2903" i="16" s="1"/>
  <c r="AB19" i="18"/>
  <c r="F2211" i="16"/>
  <c r="S24" i="7"/>
  <c r="V445" i="1"/>
  <c r="D2764" i="16"/>
  <c r="P2765" i="16"/>
  <c r="D2734" i="16"/>
  <c r="P2735" i="16"/>
  <c r="H683" i="16"/>
  <c r="H684" i="16" s="1"/>
  <c r="D2795" i="16"/>
  <c r="P2796" i="16"/>
  <c r="Z2796" i="16"/>
  <c r="BS32" i="5" l="1"/>
  <c r="BS59" i="5" s="1"/>
  <c r="E2945" i="16"/>
  <c r="C2888" i="16"/>
  <c r="C2904" i="16" s="1"/>
  <c r="P2795" i="16"/>
  <c r="D2807" i="16"/>
  <c r="Z2795" i="16"/>
  <c r="S67" i="7"/>
  <c r="V148" i="1"/>
  <c r="D2776" i="16"/>
  <c r="P2776" i="16" s="1"/>
  <c r="P2764" i="16"/>
  <c r="F2212" i="16"/>
  <c r="F2229" i="16"/>
  <c r="P2734" i="16"/>
  <c r="D2746" i="16"/>
  <c r="P2746" i="16" s="1"/>
  <c r="K22" i="22" l="1"/>
  <c r="S240" i="10"/>
  <c r="I656" i="16"/>
  <c r="I659" i="16" s="1"/>
  <c r="I661" i="16" s="1"/>
  <c r="I664" i="16" s="1"/>
  <c r="I665" i="16" s="1"/>
  <c r="S250" i="10"/>
  <c r="S252" i="10" s="1"/>
  <c r="W68" i="1"/>
  <c r="S209" i="10"/>
  <c r="T208" i="10"/>
  <c r="P2807" i="16"/>
  <c r="Z2807" i="16"/>
  <c r="BX26" i="5" l="1"/>
  <c r="BX28" i="5" s="1"/>
  <c r="D2981" i="16"/>
  <c r="D3032" i="16" s="1"/>
  <c r="D3034" i="16" s="1"/>
  <c r="D3037" i="16" s="1"/>
  <c r="S253" i="10"/>
  <c r="S254" i="10" s="1"/>
  <c r="AC141" i="18"/>
  <c r="AC154" i="18" s="1"/>
  <c r="E2763" i="16"/>
  <c r="S16" i="29"/>
  <c r="W114" i="1"/>
  <c r="E2733" i="16"/>
  <c r="L41" i="26"/>
  <c r="E2794" i="16"/>
  <c r="I683" i="16"/>
  <c r="I684" i="16" s="1"/>
  <c r="W81" i="1"/>
  <c r="W70" i="1"/>
  <c r="S241" i="10"/>
  <c r="U208" i="10"/>
  <c r="L22" i="22"/>
  <c r="J656" i="16"/>
  <c r="J659" i="16" s="1"/>
  <c r="T240" i="10"/>
  <c r="T250" i="10"/>
  <c r="T252" i="10" s="1"/>
  <c r="T253" i="10" s="1"/>
  <c r="T254" i="10" s="1"/>
  <c r="X68" i="1"/>
  <c r="E2981" i="16" s="1"/>
  <c r="E3032" i="16" s="1"/>
  <c r="E3034" i="16" s="1"/>
  <c r="E3037" i="16" s="1"/>
  <c r="T209" i="10"/>
  <c r="D3040" i="16" l="1"/>
  <c r="D3043" i="16"/>
  <c r="E3043" i="16"/>
  <c r="E3040" i="16"/>
  <c r="BX54" i="5"/>
  <c r="BW26" i="5"/>
  <c r="E2994" i="16"/>
  <c r="E2982" i="16"/>
  <c r="E2986" i="16"/>
  <c r="S258" i="10"/>
  <c r="S256" i="10" s="1"/>
  <c r="D2994" i="16"/>
  <c r="D2982" i="16"/>
  <c r="D2986" i="16"/>
  <c r="BX30" i="5"/>
  <c r="BX56" i="5"/>
  <c r="V208" i="10"/>
  <c r="Q2733" i="16"/>
  <c r="E2745" i="16"/>
  <c r="Q2745" i="16" s="1"/>
  <c r="I2080" i="16"/>
  <c r="I2082" i="16" s="1"/>
  <c r="W123" i="1"/>
  <c r="O45" i="9"/>
  <c r="W116" i="1"/>
  <c r="W162" i="1" s="1"/>
  <c r="O50" i="9"/>
  <c r="Y68" i="1"/>
  <c r="F2981" i="16" s="1"/>
  <c r="F3032" i="16" s="1"/>
  <c r="F3034" i="16" s="1"/>
  <c r="F3037" i="16" s="1"/>
  <c r="U209" i="10"/>
  <c r="U250" i="10"/>
  <c r="U252" i="10" s="1"/>
  <c r="U253" i="10" s="1"/>
  <c r="U254" i="10" s="1"/>
  <c r="U240" i="10"/>
  <c r="S22" i="29"/>
  <c r="S29" i="29"/>
  <c r="T28" i="29" s="1"/>
  <c r="Q2763" i="16"/>
  <c r="E2775" i="16"/>
  <c r="Q2775" i="16" s="1"/>
  <c r="L44" i="26"/>
  <c r="L14" i="26" s="1"/>
  <c r="L56" i="26"/>
  <c r="L59" i="26" s="1"/>
  <c r="W73" i="1"/>
  <c r="W8" i="1"/>
  <c r="W83" i="1"/>
  <c r="T16" i="29"/>
  <c r="AD141" i="18"/>
  <c r="AD154" i="18" s="1"/>
  <c r="F2763" i="16"/>
  <c r="F2733" i="16"/>
  <c r="X81" i="1"/>
  <c r="M41" i="26"/>
  <c r="X70" i="1"/>
  <c r="X114" i="1"/>
  <c r="T258" i="10"/>
  <c r="T256" i="10" s="1"/>
  <c r="T241" i="10"/>
  <c r="J683" i="16"/>
  <c r="J684" i="16" s="1"/>
  <c r="J661" i="16"/>
  <c r="J664" i="16" s="1"/>
  <c r="J665" i="16" s="1"/>
  <c r="C667" i="16" s="1"/>
  <c r="C668" i="16" s="1"/>
  <c r="Q2794" i="16"/>
  <c r="AA2794" i="16"/>
  <c r="E2806" i="16"/>
  <c r="E3044" i="16" l="1"/>
  <c r="E3041" i="16"/>
  <c r="D3044" i="16"/>
  <c r="D3041" i="16"/>
  <c r="F3043" i="16"/>
  <c r="F3040" i="16"/>
  <c r="R16" i="29"/>
  <c r="BW127" i="5"/>
  <c r="EL26" i="5"/>
  <c r="BW54" i="5"/>
  <c r="BW28" i="5"/>
  <c r="BW30" i="5" s="1"/>
  <c r="D3006" i="16"/>
  <c r="D3007" i="16" s="1"/>
  <c r="D2983" i="16"/>
  <c r="D2995" i="16"/>
  <c r="D2987" i="16"/>
  <c r="E3006" i="16"/>
  <c r="E3007" i="16" s="1"/>
  <c r="E2995" i="16"/>
  <c r="E2983" i="16"/>
  <c r="E2987" i="16"/>
  <c r="F2994" i="16"/>
  <c r="F2982" i="16"/>
  <c r="F2986" i="16"/>
  <c r="BX32" i="5"/>
  <c r="BX59" i="5" s="1"/>
  <c r="BX58" i="5"/>
  <c r="T29" i="29"/>
  <c r="T22" i="29"/>
  <c r="Q2806" i="16"/>
  <c r="AA2806" i="16"/>
  <c r="W325" i="1"/>
  <c r="W9" i="1"/>
  <c r="W313" i="1" s="1"/>
  <c r="E2718" i="16"/>
  <c r="AC23" i="18"/>
  <c r="AC24" i="18" s="1"/>
  <c r="W124" i="1"/>
  <c r="W118" i="1"/>
  <c r="AC109" i="18"/>
  <c r="J2080" i="16"/>
  <c r="J2082" i="16" s="1"/>
  <c r="X123" i="1"/>
  <c r="P45" i="9"/>
  <c r="X116" i="1"/>
  <c r="P50" i="9"/>
  <c r="M44" i="26"/>
  <c r="N41" i="26"/>
  <c r="M56" i="26"/>
  <c r="AC142" i="18"/>
  <c r="AC155" i="18" s="1"/>
  <c r="W84" i="1"/>
  <c r="E2796" i="16"/>
  <c r="W75" i="1"/>
  <c r="E2707" i="16" s="1"/>
  <c r="E2433" i="16"/>
  <c r="E2435" i="16" s="1"/>
  <c r="E2705" i="16"/>
  <c r="E2735" i="16"/>
  <c r="E2765" i="16"/>
  <c r="W13" i="1"/>
  <c r="I642" i="16"/>
  <c r="E2870" i="16"/>
  <c r="E16" i="26"/>
  <c r="W74" i="1"/>
  <c r="L20" i="26"/>
  <c r="L21" i="26"/>
  <c r="L19" i="26"/>
  <c r="L23" i="26"/>
  <c r="L22" i="26"/>
  <c r="X8" i="1"/>
  <c r="X73" i="1"/>
  <c r="X83" i="1"/>
  <c r="F2788" i="16" s="1"/>
  <c r="F2789" i="16" s="1"/>
  <c r="R2733" i="16"/>
  <c r="F2745" i="16"/>
  <c r="R2745" i="16" s="1"/>
  <c r="R2763" i="16"/>
  <c r="F2775" i="16"/>
  <c r="R2775" i="16" s="1"/>
  <c r="G2733" i="16"/>
  <c r="G2763" i="16"/>
  <c r="AE141" i="18"/>
  <c r="AE154" i="18" s="1"/>
  <c r="Y70" i="1"/>
  <c r="Y81" i="1"/>
  <c r="Y114" i="1"/>
  <c r="Z68" i="1"/>
  <c r="G2981" i="16" s="1"/>
  <c r="G3032" i="16" s="1"/>
  <c r="G3034" i="16" s="1"/>
  <c r="G3037" i="16" s="1"/>
  <c r="V209" i="10"/>
  <c r="V250" i="10"/>
  <c r="V252" i="10" s="1"/>
  <c r="V240" i="10"/>
  <c r="U241" i="10"/>
  <c r="U258" i="10"/>
  <c r="U256" i="10" s="1"/>
  <c r="L13" i="26"/>
  <c r="L15" i="26"/>
  <c r="L17" i="26"/>
  <c r="L16" i="26"/>
  <c r="W208" i="10"/>
  <c r="F3044" i="16" l="1"/>
  <c r="F3041" i="16"/>
  <c r="T24" i="7"/>
  <c r="T63" i="7"/>
  <c r="U24" i="7"/>
  <c r="U63" i="7"/>
  <c r="G3043" i="16"/>
  <c r="G3040" i="16"/>
  <c r="R18" i="29"/>
  <c r="BW133" i="5"/>
  <c r="BW128" i="5"/>
  <c r="R29" i="29"/>
  <c r="R22" i="29"/>
  <c r="EL28" i="5"/>
  <c r="BW56" i="5"/>
  <c r="G2994" i="16"/>
  <c r="G2982" i="16"/>
  <c r="G2986" i="16"/>
  <c r="F3006" i="16"/>
  <c r="F3007" i="16" s="1"/>
  <c r="F2995" i="16"/>
  <c r="F2983" i="16"/>
  <c r="F2987" i="16"/>
  <c r="EL30" i="5"/>
  <c r="BW32" i="5"/>
  <c r="BW58" i="5"/>
  <c r="V241" i="10"/>
  <c r="X9" i="1"/>
  <c r="X313" i="1" s="1"/>
  <c r="X325" i="1"/>
  <c r="E2795" i="16"/>
  <c r="AA2796" i="16"/>
  <c r="E2808" i="16"/>
  <c r="Q2796" i="16"/>
  <c r="Y208" i="10"/>
  <c r="X208" i="10"/>
  <c r="V253" i="10"/>
  <c r="V258" i="10" s="1"/>
  <c r="V256" i="10" s="1"/>
  <c r="S2733" i="16"/>
  <c r="G2745" i="16"/>
  <c r="S2745" i="16" s="1"/>
  <c r="W148" i="1"/>
  <c r="W209" i="10"/>
  <c r="AA68" i="1"/>
  <c r="H2981" i="16" s="1"/>
  <c r="W240" i="10"/>
  <c r="W250" i="10"/>
  <c r="W252" i="10" s="1"/>
  <c r="W253" i="10" s="1"/>
  <c r="W254" i="10" s="1"/>
  <c r="S2763" i="16"/>
  <c r="G2775" i="16"/>
  <c r="S2775" i="16" s="1"/>
  <c r="AD23" i="18"/>
  <c r="AD24" i="18" s="1"/>
  <c r="X124" i="1"/>
  <c r="F2799" i="16" s="1"/>
  <c r="F2805" i="16" s="1"/>
  <c r="V152" i="13"/>
  <c r="F2718" i="16"/>
  <c r="X118" i="1"/>
  <c r="X162" i="1"/>
  <c r="AD109" i="18" s="1"/>
  <c r="W445" i="1"/>
  <c r="T67" i="7"/>
  <c r="D2887" i="16"/>
  <c r="D2903" i="16" s="1"/>
  <c r="AC19" i="18"/>
  <c r="G2211" i="16"/>
  <c r="W11" i="1"/>
  <c r="Q50" i="9"/>
  <c r="Y116" i="1"/>
  <c r="Y123" i="1"/>
  <c r="Q45" i="9"/>
  <c r="Q2735" i="16"/>
  <c r="E2734" i="16"/>
  <c r="E2747" i="16"/>
  <c r="Q2747" i="16" s="1"/>
  <c r="M59" i="26"/>
  <c r="M20" i="26" s="1"/>
  <c r="Z81" i="1"/>
  <c r="AF141" i="18"/>
  <c r="AF154" i="18" s="1"/>
  <c r="Z70" i="1"/>
  <c r="Z114" i="1"/>
  <c r="E2777" i="16"/>
  <c r="Q2777" i="16" s="1"/>
  <c r="E2764" i="16"/>
  <c r="Q2765" i="16"/>
  <c r="M14" i="26"/>
  <c r="M16" i="26"/>
  <c r="N44" i="26"/>
  <c r="M15" i="26"/>
  <c r="M13" i="26"/>
  <c r="M17" i="26"/>
  <c r="Y73" i="1"/>
  <c r="Y8" i="1"/>
  <c r="Y83" i="1"/>
  <c r="G2788" i="16" s="1"/>
  <c r="G2789" i="16" s="1"/>
  <c r="F2735" i="16"/>
  <c r="X13" i="1"/>
  <c r="F2705" i="16"/>
  <c r="F2433" i="16"/>
  <c r="F2435" i="16" s="1"/>
  <c r="X84" i="1"/>
  <c r="F16" i="26"/>
  <c r="F2765" i="16"/>
  <c r="X74" i="1"/>
  <c r="F2870" i="16"/>
  <c r="F2872" i="16" s="1"/>
  <c r="J642" i="16"/>
  <c r="X75" i="1"/>
  <c r="F2707" i="16" s="1"/>
  <c r="AD142" i="18"/>
  <c r="AD155" i="18" s="1"/>
  <c r="V123" i="13"/>
  <c r="E18" i="26"/>
  <c r="E26" i="26"/>
  <c r="E28" i="26" s="1"/>
  <c r="E29" i="26" s="1"/>
  <c r="G3044" i="16" l="1"/>
  <c r="G3041" i="16"/>
  <c r="I3064" i="16" s="1"/>
  <c r="V63" i="7"/>
  <c r="V24" i="7"/>
  <c r="H3032" i="16"/>
  <c r="I2981" i="16"/>
  <c r="BW130" i="5"/>
  <c r="BW134" i="5"/>
  <c r="BW129" i="5"/>
  <c r="G2983" i="16"/>
  <c r="G2995" i="16"/>
  <c r="G3006" i="16"/>
  <c r="G3007" i="16" s="1"/>
  <c r="G2987" i="16"/>
  <c r="H2994" i="16"/>
  <c r="H2982" i="16"/>
  <c r="I2982" i="16" s="1"/>
  <c r="H2986" i="16"/>
  <c r="EL32" i="5"/>
  <c r="BW59" i="5"/>
  <c r="V254" i="10"/>
  <c r="X148" i="1"/>
  <c r="R45" i="9"/>
  <c r="R50" i="9"/>
  <c r="Z116" i="1"/>
  <c r="Z123" i="1"/>
  <c r="Q2808" i="16"/>
  <c r="AA2808" i="16"/>
  <c r="Z8" i="1"/>
  <c r="Z73" i="1"/>
  <c r="Z83" i="1"/>
  <c r="E2887" i="16"/>
  <c r="E2903" i="16" s="1"/>
  <c r="AD19" i="18"/>
  <c r="H2211" i="16"/>
  <c r="U67" i="7"/>
  <c r="X445" i="1"/>
  <c r="Q2795" i="16"/>
  <c r="AA2795" i="16"/>
  <c r="E2807" i="16"/>
  <c r="Y118" i="1"/>
  <c r="Y162" i="1"/>
  <c r="AE109" i="18" s="1"/>
  <c r="G2718" i="16"/>
  <c r="Y124" i="1"/>
  <c r="G2799" i="16" s="1"/>
  <c r="G2805" i="16" s="1"/>
  <c r="W152" i="13"/>
  <c r="AE23" i="18"/>
  <c r="AE24" i="18" s="1"/>
  <c r="X11" i="1"/>
  <c r="R2735" i="16"/>
  <c r="F2734" i="16"/>
  <c r="F2747" i="16"/>
  <c r="R2747" i="16" s="1"/>
  <c r="W258" i="10"/>
  <c r="W256" i="10" s="1"/>
  <c r="W241" i="10"/>
  <c r="R2765" i="16"/>
  <c r="F2777" i="16"/>
  <c r="R2777" i="16" s="1"/>
  <c r="F2764" i="16"/>
  <c r="Y9" i="1"/>
  <c r="Y313" i="1" s="1"/>
  <c r="Y325" i="1"/>
  <c r="M22" i="26"/>
  <c r="M23" i="26"/>
  <c r="M21" i="26"/>
  <c r="M19" i="26"/>
  <c r="AA70" i="1"/>
  <c r="AG141" i="18"/>
  <c r="AG154" i="18" s="1"/>
  <c r="AA81" i="1"/>
  <c r="AA114" i="1"/>
  <c r="X209" i="10"/>
  <c r="AB68" i="1"/>
  <c r="X250" i="10"/>
  <c r="X252" i="10" s="1"/>
  <c r="X253" i="10" s="1"/>
  <c r="X254" i="10" s="1"/>
  <c r="X240" i="10"/>
  <c r="F18" i="26"/>
  <c r="G18" i="26" s="1"/>
  <c r="G16" i="26"/>
  <c r="F26" i="26"/>
  <c r="Y84" i="1"/>
  <c r="AE142" i="18"/>
  <c r="AE155" i="18" s="1"/>
  <c r="G2705" i="16"/>
  <c r="Y13" i="1"/>
  <c r="G2870" i="16"/>
  <c r="G2872" i="16" s="1"/>
  <c r="Y75" i="1"/>
  <c r="G2707" i="16" s="1"/>
  <c r="G2735" i="16"/>
  <c r="W123" i="13"/>
  <c r="Y74" i="1"/>
  <c r="G2765" i="16"/>
  <c r="E2776" i="16"/>
  <c r="Q2776" i="16" s="1"/>
  <c r="Q2764" i="16"/>
  <c r="G2229" i="16"/>
  <c r="G2215" i="16"/>
  <c r="G2231" i="16" s="1"/>
  <c r="G2212" i="16"/>
  <c r="AC68" i="1"/>
  <c r="Y209" i="10"/>
  <c r="Y250" i="10"/>
  <c r="Y252" i="10" s="1"/>
  <c r="Y240" i="10"/>
  <c r="Y241" i="10" s="1"/>
  <c r="Q2734" i="16"/>
  <c r="E2746" i="16"/>
  <c r="Q2746" i="16" s="1"/>
  <c r="V130" i="1"/>
  <c r="V290" i="1" s="1"/>
  <c r="V238" i="1"/>
  <c r="V259" i="1"/>
  <c r="H3034" i="16" l="1"/>
  <c r="I3032" i="16"/>
  <c r="W63" i="7"/>
  <c r="W24" i="7"/>
  <c r="H2995" i="16"/>
  <c r="H2983" i="16"/>
  <c r="H3006" i="16"/>
  <c r="H3007" i="16" s="1"/>
  <c r="H2987" i="16"/>
  <c r="V291" i="1"/>
  <c r="V133" i="1"/>
  <c r="V292" i="1"/>
  <c r="V301" i="1" s="1"/>
  <c r="V165" i="1" s="1"/>
  <c r="AB112" i="18" s="1"/>
  <c r="V134" i="1"/>
  <c r="Y148" i="1"/>
  <c r="Y11" i="1"/>
  <c r="V67" i="7"/>
  <c r="F2887" i="16"/>
  <c r="F2903" i="16" s="1"/>
  <c r="Y445" i="1"/>
  <c r="AE19" i="18"/>
  <c r="AH141" i="18"/>
  <c r="AH154" i="18" s="1"/>
  <c r="AB70" i="1"/>
  <c r="AB81" i="1"/>
  <c r="AB114" i="1"/>
  <c r="H2215" i="16"/>
  <c r="H2231" i="16" s="1"/>
  <c r="H2229" i="16"/>
  <c r="H2212" i="16"/>
  <c r="Z118" i="1"/>
  <c r="X152" i="13"/>
  <c r="Z124" i="1"/>
  <c r="Z162" i="1"/>
  <c r="AF109" i="18" s="1"/>
  <c r="AF23" i="18"/>
  <c r="AF24" i="18" s="1"/>
  <c r="H2718" i="16"/>
  <c r="AA123" i="1"/>
  <c r="AA116" i="1"/>
  <c r="S50" i="9"/>
  <c r="S45" i="9"/>
  <c r="G2734" i="16"/>
  <c r="G2747" i="16"/>
  <c r="S2747" i="16" s="1"/>
  <c r="S2735" i="16"/>
  <c r="G26" i="26"/>
  <c r="F28" i="26"/>
  <c r="AA2807" i="16"/>
  <c r="Q2807" i="16"/>
  <c r="AI141" i="18"/>
  <c r="AI154" i="18" s="1"/>
  <c r="AC70" i="1"/>
  <c r="AC81" i="1"/>
  <c r="AC114" i="1"/>
  <c r="F2776" i="16"/>
  <c r="R2776" i="16" s="1"/>
  <c r="R2764" i="16"/>
  <c r="X123" i="13"/>
  <c r="H2705" i="16"/>
  <c r="AF142" i="18"/>
  <c r="AF155" i="18" s="1"/>
  <c r="Z13" i="1"/>
  <c r="Z11" i="1" s="1"/>
  <c r="Z74" i="1"/>
  <c r="Z84" i="1"/>
  <c r="Z75" i="1"/>
  <c r="H2707" i="16" s="1"/>
  <c r="X258" i="10"/>
  <c r="X256" i="10" s="1"/>
  <c r="X241" i="10"/>
  <c r="Y253" i="10"/>
  <c r="Y258" i="10" s="1"/>
  <c r="Y256" i="10" s="1"/>
  <c r="G2764" i="16"/>
  <c r="G2777" i="16"/>
  <c r="S2777" i="16" s="1"/>
  <c r="S2765" i="16"/>
  <c r="R2734" i="16"/>
  <c r="F2746" i="16"/>
  <c r="R2746" i="16" s="1"/>
  <c r="AA83" i="1"/>
  <c r="AA8" i="1"/>
  <c r="AA73" i="1"/>
  <c r="Z325" i="1"/>
  <c r="Z9" i="1"/>
  <c r="Z313" i="1" s="1"/>
  <c r="V236" i="1"/>
  <c r="V239" i="1"/>
  <c r="N33" i="29"/>
  <c r="V328" i="1"/>
  <c r="V331" i="1" s="1"/>
  <c r="V448" i="1"/>
  <c r="BS66" i="5"/>
  <c r="H3037" i="16" l="1"/>
  <c r="I3034" i="16"/>
  <c r="Y254" i="10"/>
  <c r="X291" i="1"/>
  <c r="W290" i="1"/>
  <c r="Z148" i="1"/>
  <c r="AA162" i="1"/>
  <c r="AG109" i="18" s="1"/>
  <c r="I2718" i="16"/>
  <c r="Y152" i="13"/>
  <c r="AG23" i="18"/>
  <c r="AG24" i="18" s="1"/>
  <c r="AA118" i="1"/>
  <c r="AA124" i="1"/>
  <c r="F29" i="26"/>
  <c r="G29" i="26" s="1"/>
  <c r="G28" i="26"/>
  <c r="AC123" i="1"/>
  <c r="U45" i="9"/>
  <c r="E69" i="9" s="1"/>
  <c r="F69" i="9" s="1"/>
  <c r="AC116" i="1"/>
  <c r="U50" i="9"/>
  <c r="E73" i="9" s="1"/>
  <c r="F73" i="9" s="1"/>
  <c r="AB116" i="1"/>
  <c r="T45" i="9"/>
  <c r="AB123" i="1"/>
  <c r="T50" i="9"/>
  <c r="AC73" i="1"/>
  <c r="AC8" i="1"/>
  <c r="AC83" i="1"/>
  <c r="G2746" i="16"/>
  <c r="S2746" i="16" s="1"/>
  <c r="S2734" i="16"/>
  <c r="G2776" i="16"/>
  <c r="S2776" i="16" s="1"/>
  <c r="S2764" i="16"/>
  <c r="Z445" i="1"/>
  <c r="G2887" i="16"/>
  <c r="G2903" i="16" s="1"/>
  <c r="AF19" i="18"/>
  <c r="W67" i="7"/>
  <c r="AA74" i="1"/>
  <c r="AA75" i="1"/>
  <c r="I2707" i="16" s="1"/>
  <c r="AA84" i="1"/>
  <c r="Y123" i="13"/>
  <c r="AA13" i="1"/>
  <c r="I2705" i="16"/>
  <c r="AG142" i="18"/>
  <c r="AG155" i="18" s="1"/>
  <c r="AA9" i="1"/>
  <c r="AA313" i="1" s="1"/>
  <c r="AA325" i="1"/>
  <c r="AB8" i="1"/>
  <c r="AB73" i="1"/>
  <c r="AB83" i="1"/>
  <c r="S26" i="7"/>
  <c r="V336" i="1"/>
  <c r="V340" i="1" s="1"/>
  <c r="V20" i="1"/>
  <c r="V163" i="1"/>
  <c r="I3037" i="16" l="1"/>
  <c r="H3040" i="16"/>
  <c r="H3043" i="16"/>
  <c r="W133" i="1"/>
  <c r="W292" i="1"/>
  <c r="W301" i="1" s="1"/>
  <c r="W165" i="1" s="1"/>
  <c r="AC112" i="18" s="1"/>
  <c r="Y291" i="1"/>
  <c r="X290" i="1"/>
  <c r="AA148" i="1"/>
  <c r="AC124" i="1"/>
  <c r="AI23" i="18"/>
  <c r="AI24" i="18" s="1"/>
  <c r="K2718" i="16"/>
  <c r="AA152" i="13"/>
  <c r="AC162" i="1"/>
  <c r="AI109" i="18" s="1"/>
  <c r="AC118" i="1"/>
  <c r="Z152" i="13"/>
  <c r="AH23" i="18"/>
  <c r="AH24" i="18" s="1"/>
  <c r="AB118" i="1"/>
  <c r="AB124" i="1"/>
  <c r="AB162" i="1"/>
  <c r="AH109" i="18" s="1"/>
  <c r="J2718" i="16"/>
  <c r="AB325" i="1"/>
  <c r="AB9" i="1"/>
  <c r="AB313" i="1" s="1"/>
  <c r="AC84" i="1"/>
  <c r="Z63" i="7"/>
  <c r="AA123" i="13"/>
  <c r="AI142" i="18"/>
  <c r="AI155" i="18" s="1"/>
  <c r="K2705" i="16"/>
  <c r="AC74" i="1"/>
  <c r="AC75" i="1"/>
  <c r="K2707" i="16" s="1"/>
  <c r="AC13" i="1"/>
  <c r="AC11" i="1" s="1"/>
  <c r="AC9" i="1"/>
  <c r="AC325" i="1"/>
  <c r="AA11" i="1"/>
  <c r="AG19" i="18"/>
  <c r="H2887" i="16"/>
  <c r="H2903" i="16" s="1"/>
  <c r="AA445" i="1"/>
  <c r="Z123" i="13"/>
  <c r="J2705" i="16"/>
  <c r="AB75" i="1"/>
  <c r="J2707" i="16" s="1"/>
  <c r="AB13" i="1"/>
  <c r="AH142" i="18"/>
  <c r="AH155" i="18" s="1"/>
  <c r="AB84" i="1"/>
  <c r="Y63" i="7"/>
  <c r="AB74" i="1"/>
  <c r="C69" i="9"/>
  <c r="G69" i="9" s="1"/>
  <c r="C73" i="9"/>
  <c r="G73" i="9" s="1"/>
  <c r="H73" i="9" s="1"/>
  <c r="G6" i="9" s="1"/>
  <c r="AB110" i="18"/>
  <c r="AB28" i="18"/>
  <c r="D2436" i="16"/>
  <c r="BS68" i="5"/>
  <c r="BS71" i="5" s="1"/>
  <c r="V25" i="1"/>
  <c r="H3044" i="16" l="1"/>
  <c r="I3040" i="16"/>
  <c r="H3041" i="16"/>
  <c r="X133" i="1"/>
  <c r="Z291" i="1"/>
  <c r="Y290" i="1"/>
  <c r="X292" i="1"/>
  <c r="X301" i="1" s="1"/>
  <c r="X165" i="1" s="1"/>
  <c r="AD112" i="18" s="1"/>
  <c r="AC313" i="1"/>
  <c r="AC148" i="1" s="1"/>
  <c r="AB148" i="1"/>
  <c r="AB11" i="1"/>
  <c r="AB445" i="1"/>
  <c r="I2887" i="16"/>
  <c r="I2903" i="16" s="1"/>
  <c r="AH19" i="18"/>
  <c r="AC6" i="9"/>
  <c r="D6" i="9"/>
  <c r="C2113" i="16" s="1"/>
  <c r="G94" i="9"/>
  <c r="D48" i="21"/>
  <c r="AE18" i="9"/>
  <c r="AC445" i="1"/>
  <c r="AI19" i="18"/>
  <c r="J2887" i="16"/>
  <c r="J2903" i="16" s="1"/>
  <c r="V334" i="1"/>
  <c r="V342" i="1" s="1"/>
  <c r="V27" i="1"/>
  <c r="I3041" i="16" l="1"/>
  <c r="X63" i="7"/>
  <c r="X24" i="7"/>
  <c r="Y133" i="1"/>
  <c r="AF18" i="9"/>
  <c r="AA291" i="1"/>
  <c r="Z290" i="1"/>
  <c r="Y292" i="1"/>
  <c r="Y301" i="1" s="1"/>
  <c r="Y165" i="1" s="1"/>
  <c r="AE112" i="18" s="1"/>
  <c r="G90" i="9"/>
  <c r="H90" i="9" s="1"/>
  <c r="J90" i="9" s="1"/>
  <c r="H94" i="9"/>
  <c r="G93" i="9"/>
  <c r="H93" i="9" s="1"/>
  <c r="J93" i="9" s="1"/>
  <c r="G91" i="9"/>
  <c r="H91" i="9" s="1"/>
  <c r="J91" i="9" s="1"/>
  <c r="G89" i="9"/>
  <c r="H89" i="9" s="1"/>
  <c r="J89" i="9" s="1"/>
  <c r="G92" i="9"/>
  <c r="H92" i="9" s="1"/>
  <c r="J92" i="9" s="1"/>
  <c r="G88" i="9"/>
  <c r="H88" i="9" s="1"/>
  <c r="J88" i="9" s="1"/>
  <c r="BS73" i="5"/>
  <c r="D2438" i="16"/>
  <c r="V348" i="1"/>
  <c r="V30" i="1"/>
  <c r="Y24" i="7" l="1"/>
  <c r="X67" i="7"/>
  <c r="AB291" i="1"/>
  <c r="AA290" i="1"/>
  <c r="AA292" i="1" s="1"/>
  <c r="AA301" i="1" s="1"/>
  <c r="AA165" i="1" s="1"/>
  <c r="AG112" i="18" s="1"/>
  <c r="Z133" i="1"/>
  <c r="Z292" i="1"/>
  <c r="Z301" i="1" s="1"/>
  <c r="Z165" i="1" s="1"/>
  <c r="AF112" i="18" s="1"/>
  <c r="J94" i="9"/>
  <c r="D19" i="26"/>
  <c r="D20" i="26" s="1"/>
  <c r="K9" i="26" s="1"/>
  <c r="V32" i="1"/>
  <c r="AB14" i="18" s="1"/>
  <c r="V409" i="1"/>
  <c r="C2889" i="16"/>
  <c r="C2905" i="16" s="1"/>
  <c r="BS74" i="5"/>
  <c r="BS78" i="5"/>
  <c r="BS79" i="5" s="1"/>
  <c r="V164" i="1"/>
  <c r="S28" i="7"/>
  <c r="Z24" i="7" l="1"/>
  <c r="Z67" i="7" s="1"/>
  <c r="Y67" i="7"/>
  <c r="AC291" i="1"/>
  <c r="AC290" i="1" s="1"/>
  <c r="AC133" i="1" s="1"/>
  <c r="AB290" i="1"/>
  <c r="AB292" i="1" s="1"/>
  <c r="AB301" i="1" s="1"/>
  <c r="AB165" i="1" s="1"/>
  <c r="AH112" i="18" s="1"/>
  <c r="AA133" i="1"/>
  <c r="AB27" i="18"/>
  <c r="V151" i="1"/>
  <c r="V153" i="1" s="1"/>
  <c r="AB111" i="18"/>
  <c r="N31" i="29"/>
  <c r="AB133" i="1" l="1"/>
  <c r="AC292" i="1"/>
  <c r="AC301" i="1" s="1"/>
  <c r="AC165" i="1" s="1"/>
  <c r="AI112" i="18" s="1"/>
  <c r="S53" i="7"/>
  <c r="V156" i="1"/>
  <c r="D2874" i="16" l="1"/>
  <c r="D2877" i="16" s="1"/>
  <c r="D2878" i="16" s="1"/>
  <c r="V157" i="1"/>
  <c r="AB7" i="18"/>
  <c r="AB25" i="18" s="1"/>
  <c r="AB119" i="18"/>
  <c r="AB118" i="18" s="1"/>
  <c r="V254" i="1"/>
  <c r="V252" i="1" s="1"/>
  <c r="V253" i="1" s="1"/>
  <c r="S15" i="7"/>
  <c r="H640" i="16"/>
  <c r="H644" i="16" s="1"/>
  <c r="D7" i="26" l="1"/>
  <c r="S57" i="7"/>
  <c r="S66" i="7"/>
  <c r="S68" i="7" s="1"/>
  <c r="D22" i="26" l="1"/>
  <c r="V137" i="1"/>
  <c r="V279" i="1" s="1"/>
  <c r="W208" i="1"/>
  <c r="W206" i="1" s="1"/>
  <c r="V230" i="1"/>
  <c r="V231" i="1" s="1"/>
  <c r="W327" i="1" l="1"/>
  <c r="W447" i="1"/>
  <c r="W527" i="1" s="1"/>
  <c r="W16" i="1"/>
  <c r="AC21" i="18"/>
  <c r="BX33" i="5" l="1"/>
  <c r="W18" i="1"/>
  <c r="S26" i="29"/>
  <c r="BW33" i="5" l="1"/>
  <c r="D2888" i="16"/>
  <c r="D2904" i="16" s="1"/>
  <c r="V277" i="1"/>
  <c r="V138" i="1" s="1"/>
  <c r="V140" i="1" s="1"/>
  <c r="V154" i="1" s="1"/>
  <c r="D2738" i="16"/>
  <c r="P2738" i="16" s="1"/>
  <c r="D2768" i="16"/>
  <c r="P2768" i="16" s="1"/>
  <c r="D2799" i="16"/>
  <c r="Z2799" i="16" s="1"/>
  <c r="AB147" i="18"/>
  <c r="AB153" i="18" s="1"/>
  <c r="BS101" i="5"/>
  <c r="V105" i="1"/>
  <c r="D2714" i="16" s="1"/>
  <c r="V113" i="1"/>
  <c r="N44" i="9" s="1"/>
  <c r="T128" i="13"/>
  <c r="K48" i="26"/>
  <c r="V122" i="1" l="1"/>
  <c r="P2799" i="16"/>
  <c r="T131" i="13"/>
  <c r="AM116" i="13"/>
  <c r="AM117" i="13" s="1"/>
  <c r="AM118" i="13" s="1"/>
  <c r="AM119" i="13" s="1"/>
  <c r="AM120" i="13" s="1"/>
  <c r="AM126" i="13" s="1"/>
  <c r="AM129" i="13" s="1"/>
  <c r="AM130" i="13" s="1"/>
  <c r="D2744" i="16"/>
  <c r="P2744" i="16" s="1"/>
  <c r="BW34" i="5"/>
  <c r="BW37" i="5" s="1"/>
  <c r="BW38" i="5" s="1"/>
  <c r="R26" i="29"/>
  <c r="T129" i="13"/>
  <c r="EL33" i="5"/>
  <c r="T162" i="13"/>
  <c r="T163" i="13" s="1"/>
  <c r="T165" i="13" s="1"/>
  <c r="T166" i="13" s="1"/>
  <c r="T167" i="13" s="1"/>
  <c r="T178" i="13"/>
  <c r="T179" i="13" s="1"/>
  <c r="T180" i="13" s="1"/>
  <c r="D2774" i="16"/>
  <c r="P2774" i="16" s="1"/>
  <c r="D2805" i="16"/>
  <c r="Z2805" i="16" s="1"/>
  <c r="T150" i="13"/>
  <c r="T147" i="13"/>
  <c r="T154" i="13" s="1"/>
  <c r="T148" i="13"/>
  <c r="K55" i="26"/>
  <c r="EL34" i="5" l="1"/>
  <c r="P2805" i="16"/>
  <c r="T151" i="13"/>
  <c r="T172" i="13"/>
  <c r="T170" i="13" s="1"/>
  <c r="D2739" i="16"/>
  <c r="P2739" i="16" s="1"/>
  <c r="D2769" i="16"/>
  <c r="D2775" i="16" s="1"/>
  <c r="P2775" i="16" s="1"/>
  <c r="D2800" i="16"/>
  <c r="P2800" i="16" s="1"/>
  <c r="AB148" i="18"/>
  <c r="AB154" i="18" s="1"/>
  <c r="R226" i="10"/>
  <c r="R236" i="10" s="1"/>
  <c r="BS95" i="5"/>
  <c r="V90" i="1"/>
  <c r="D2709" i="16" s="1"/>
  <c r="V106" i="1"/>
  <c r="D2715" i="16" s="1"/>
  <c r="V114" i="1"/>
  <c r="V123" i="1" s="1"/>
  <c r="N45" i="9"/>
  <c r="N50" i="9"/>
  <c r="K49" i="26"/>
  <c r="K52" i="26" s="1"/>
  <c r="D2745" i="16" l="1"/>
  <c r="P2745" i="16" s="1"/>
  <c r="P2769" i="16"/>
  <c r="S25" i="7"/>
  <c r="S32" i="7" s="1"/>
  <c r="H647" i="16" s="1"/>
  <c r="H652" i="16" s="1"/>
  <c r="V195" i="1"/>
  <c r="W192" i="1"/>
  <c r="D17" i="26"/>
  <c r="D18" i="26" s="1"/>
  <c r="Z2800" i="16"/>
  <c r="V419" i="1"/>
  <c r="D2806" i="16"/>
  <c r="P2806" i="16" s="1"/>
  <c r="V528" i="1"/>
  <c r="V107" i="1"/>
  <c r="D2716" i="16" s="1"/>
  <c r="R228" i="10"/>
  <c r="R229" i="10" s="1"/>
  <c r="K56" i="26"/>
  <c r="K59" i="26" s="1"/>
  <c r="K19" i="26" s="1"/>
  <c r="R249" i="10"/>
  <c r="R250" i="10" s="1"/>
  <c r="R252" i="10" s="1"/>
  <c r="D2802" i="16"/>
  <c r="Q2027" i="16"/>
  <c r="V116" i="1"/>
  <c r="BS94" i="5"/>
  <c r="E2871" i="16"/>
  <c r="E2872" i="16" s="1"/>
  <c r="D2771" i="16"/>
  <c r="D2741" i="16"/>
  <c r="D2434" i="16"/>
  <c r="D2435" i="16" s="1"/>
  <c r="D2440" i="16" s="1"/>
  <c r="F2213" i="16"/>
  <c r="H2080" i="16"/>
  <c r="H2082" i="16" s="1"/>
  <c r="N32" i="29"/>
  <c r="N35" i="29" s="1"/>
  <c r="C2890" i="16"/>
  <c r="C2906" i="16" s="1"/>
  <c r="H657" i="16"/>
  <c r="H660" i="16" s="1"/>
  <c r="AB149" i="18"/>
  <c r="AB155" i="18" s="1"/>
  <c r="E2955" i="16"/>
  <c r="R238" i="10" l="1"/>
  <c r="L1694" i="16" s="1"/>
  <c r="R240" i="10"/>
  <c r="D2779" i="16"/>
  <c r="P2779" i="16" s="1"/>
  <c r="D27" i="26"/>
  <c r="D28" i="26" s="1"/>
  <c r="D29" i="26" s="1"/>
  <c r="S48" i="7"/>
  <c r="K10" i="26" s="1"/>
  <c r="H646" i="16"/>
  <c r="H653" i="16" s="1"/>
  <c r="F2216" i="16"/>
  <c r="D2810" i="16"/>
  <c r="P2810" i="16" s="1"/>
  <c r="H2075" i="16"/>
  <c r="H2077" i="16" s="1"/>
  <c r="S33" i="7"/>
  <c r="AB31" i="18"/>
  <c r="J23" i="22"/>
  <c r="X190" i="1"/>
  <c r="Y190" i="1" s="1"/>
  <c r="D2749" i="16"/>
  <c r="P2749" i="16" s="1"/>
  <c r="Z2806" i="16"/>
  <c r="AB22" i="18"/>
  <c r="V421" i="1"/>
  <c r="W420" i="1"/>
  <c r="V420" i="1"/>
  <c r="K23" i="26"/>
  <c r="K21" i="26"/>
  <c r="K22" i="26"/>
  <c r="K20" i="26"/>
  <c r="D2777" i="16"/>
  <c r="P2777" i="16" s="1"/>
  <c r="P2771" i="16"/>
  <c r="R241" i="10"/>
  <c r="L1695" i="16" s="1"/>
  <c r="E2956" i="16"/>
  <c r="V124" i="1"/>
  <c r="D2718" i="16"/>
  <c r="AB23" i="18"/>
  <c r="V162" i="1"/>
  <c r="V118" i="1"/>
  <c r="W136" i="1"/>
  <c r="AC33" i="18" s="1"/>
  <c r="X186" i="1"/>
  <c r="W184" i="1"/>
  <c r="W229" i="1"/>
  <c r="W193" i="1"/>
  <c r="P2802" i="16"/>
  <c r="Z2802" i="16"/>
  <c r="D2808" i="16"/>
  <c r="R253" i="10"/>
  <c r="R254" i="10" s="1"/>
  <c r="H661" i="16"/>
  <c r="H664" i="16" s="1"/>
  <c r="H665" i="16" s="1"/>
  <c r="C666" i="16" s="1"/>
  <c r="C669" i="16" s="1"/>
  <c r="H686" i="16"/>
  <c r="H687" i="16" s="1"/>
  <c r="F2215" i="16"/>
  <c r="F2231" i="16" s="1"/>
  <c r="F2230" i="16"/>
  <c r="F2214" i="16"/>
  <c r="D2747" i="16"/>
  <c r="P2747" i="16" s="1"/>
  <c r="P2741" i="16"/>
  <c r="AE166" i="28" l="1"/>
  <c r="S47" i="7"/>
  <c r="R258" i="10"/>
  <c r="R256" i="10" s="1"/>
  <c r="R244" i="10" s="1"/>
  <c r="X326" i="1"/>
  <c r="X446" i="1"/>
  <c r="X182" i="1"/>
  <c r="G672" i="16"/>
  <c r="G673" i="16" s="1"/>
  <c r="H672" i="16"/>
  <c r="H673" i="16" s="1"/>
  <c r="I672" i="16"/>
  <c r="I673" i="16" s="1"/>
  <c r="C670" i="16"/>
  <c r="J672" i="16"/>
  <c r="J673" i="16" s="1"/>
  <c r="C672" i="16"/>
  <c r="C673" i="16" s="1"/>
  <c r="C676" i="16"/>
  <c r="C677" i="16" s="1"/>
  <c r="C678" i="16" s="1"/>
  <c r="D672" i="16"/>
  <c r="D673" i="16" s="1"/>
  <c r="E672" i="16"/>
  <c r="E673" i="16" s="1"/>
  <c r="F672" i="16"/>
  <c r="F673" i="16" s="1"/>
  <c r="AB109" i="18"/>
  <c r="AB117" i="18" s="1"/>
  <c r="Z190" i="1"/>
  <c r="P2808" i="16"/>
  <c r="Z2808" i="16"/>
  <c r="S244" i="10" l="1"/>
  <c r="R243" i="10"/>
  <c r="X191" i="1"/>
  <c r="X183" i="1"/>
  <c r="X195" i="1"/>
  <c r="AD20" i="18"/>
  <c r="X15" i="1"/>
  <c r="X526" i="1"/>
  <c r="AA190" i="1"/>
  <c r="X192" i="1" l="1"/>
  <c r="AB190" i="1"/>
  <c r="S243" i="10"/>
  <c r="T244" i="10"/>
  <c r="AC190" i="1" l="1"/>
  <c r="T243" i="10"/>
  <c r="U244" i="10"/>
  <c r="X136" i="1"/>
  <c r="AD33" i="18" s="1"/>
  <c r="Y186" i="1"/>
  <c r="X229" i="1"/>
  <c r="X193" i="1"/>
  <c r="X184" i="1"/>
  <c r="Y182" i="1" l="1"/>
  <c r="Y326" i="1"/>
  <c r="Y446" i="1"/>
  <c r="U243" i="10"/>
  <c r="V244" i="10"/>
  <c r="Y526" i="1" l="1"/>
  <c r="V243" i="10"/>
  <c r="W244" i="10"/>
  <c r="AE20" i="18"/>
  <c r="Y15" i="1"/>
  <c r="Y183" i="1"/>
  <c r="Y195" i="1"/>
  <c r="Y191" i="1"/>
  <c r="Y192" i="1" l="1"/>
  <c r="W243" i="10"/>
  <c r="X244" i="10"/>
  <c r="Y136" i="1" l="1"/>
  <c r="AE33" i="18" s="1"/>
  <c r="Z186" i="1"/>
  <c r="Y229" i="1"/>
  <c r="Y193" i="1"/>
  <c r="Y184" i="1"/>
  <c r="X243" i="10"/>
  <c r="Y244" i="10"/>
  <c r="Y243" i="10" s="1"/>
  <c r="Z182" i="1" l="1"/>
  <c r="Z326" i="1"/>
  <c r="Z446" i="1"/>
  <c r="Z526" i="1" l="1"/>
  <c r="AF20" i="18"/>
  <c r="Z15" i="1"/>
  <c r="Z183" i="1"/>
  <c r="Z195" i="1"/>
  <c r="Z191" i="1"/>
  <c r="Z192" i="1" l="1"/>
  <c r="Z193" i="1" l="1"/>
  <c r="Z136" i="1"/>
  <c r="AF33" i="18" s="1"/>
  <c r="AA186" i="1"/>
  <c r="Z229" i="1"/>
  <c r="Z184" i="1"/>
  <c r="AA182" i="1" l="1"/>
  <c r="AA326" i="1"/>
  <c r="AA446" i="1"/>
  <c r="AA183" i="1" l="1"/>
  <c r="AA195" i="1"/>
  <c r="AG20" i="18"/>
  <c r="AA15" i="1"/>
  <c r="AA191" i="1"/>
  <c r="AA526" i="1"/>
  <c r="AA192" i="1" l="1"/>
  <c r="AA193" i="1" l="1"/>
  <c r="AA136" i="1"/>
  <c r="AG33" i="18" s="1"/>
  <c r="AB186" i="1"/>
  <c r="AA229" i="1"/>
  <c r="AA184" i="1"/>
  <c r="AB182" i="1" l="1"/>
  <c r="AB326" i="1"/>
  <c r="AB446" i="1"/>
  <c r="AB183" i="1" l="1"/>
  <c r="AB195" i="1"/>
  <c r="AH20" i="18"/>
  <c r="AB15" i="1"/>
  <c r="AB191" i="1"/>
  <c r="AB526" i="1"/>
  <c r="AB192" i="1" l="1"/>
  <c r="AB229" i="1" l="1"/>
  <c r="AB193" i="1"/>
  <c r="AB136" i="1"/>
  <c r="AH33" i="18" s="1"/>
  <c r="AC186" i="1"/>
  <c r="AB184" i="1"/>
  <c r="AC326" i="1" l="1"/>
  <c r="AC446" i="1"/>
  <c r="AC182" i="1"/>
  <c r="AC183" i="1" l="1"/>
  <c r="AC195" i="1"/>
  <c r="AI20" i="18"/>
  <c r="AC15" i="1"/>
  <c r="AC191" i="1"/>
  <c r="AC192" i="1" s="1"/>
  <c r="AC526" i="1"/>
  <c r="AC229" i="1" l="1"/>
  <c r="AC193" i="1"/>
  <c r="AC136" i="1"/>
  <c r="AI33" i="18" s="1"/>
  <c r="AC184" i="1"/>
  <c r="F162" i="25"/>
  <c r="F163" i="25" s="1"/>
  <c r="F168" i="25"/>
  <c r="F169" i="25" s="1"/>
  <c r="G169" i="25" s="1"/>
  <c r="H169" i="25" s="1"/>
  <c r="I169" i="25" s="1"/>
  <c r="J169" i="25" s="1"/>
  <c r="K169" i="25" s="1"/>
  <c r="L169" i="25" s="1"/>
  <c r="M169" i="25" s="1"/>
  <c r="N169" i="25" s="1"/>
  <c r="F186" i="25"/>
  <c r="F189" i="25"/>
  <c r="D2597" i="16" s="1"/>
  <c r="F194" i="25"/>
  <c r="BX34" i="5"/>
  <c r="W211" i="1"/>
  <c r="X211" i="1" s="1"/>
  <c r="Y211" i="1" s="1"/>
  <c r="V212" i="1"/>
  <c r="W212" i="1" s="1"/>
  <c r="W213" i="1" l="1"/>
  <c r="Z211" i="1"/>
  <c r="AA211" i="1" l="1"/>
  <c r="W137" i="1"/>
  <c r="X208" i="1"/>
  <c r="W230" i="1"/>
  <c r="W231" i="1" s="1"/>
  <c r="X206" i="1" l="1"/>
  <c r="X327" i="1"/>
  <c r="X447" i="1"/>
  <c r="AB211" i="1"/>
  <c r="AC211" i="1" l="1"/>
  <c r="X527" i="1"/>
  <c r="AD21" i="18"/>
  <c r="X16" i="1"/>
  <c r="X212" i="1"/>
  <c r="X213" i="1" l="1"/>
  <c r="T26" i="29"/>
  <c r="X18" i="1"/>
  <c r="E2888" i="16" l="1"/>
  <c r="E2904" i="16" s="1"/>
  <c r="X137" i="1"/>
  <c r="Y208" i="1"/>
  <c r="X230" i="1"/>
  <c r="X231" i="1" s="1"/>
  <c r="Y206" i="1" l="1"/>
  <c r="Y327" i="1"/>
  <c r="Y447" i="1"/>
  <c r="Y527" i="1" l="1"/>
  <c r="AE21" i="18"/>
  <c r="Y16" i="1"/>
  <c r="Y18" i="1" s="1"/>
  <c r="Y212" i="1"/>
  <c r="F2888" i="16" l="1"/>
  <c r="F2904" i="16" s="1"/>
  <c r="Y213" i="1"/>
  <c r="Y230" i="1" l="1"/>
  <c r="Y231" i="1" s="1"/>
  <c r="Y137" i="1"/>
  <c r="Z208" i="1"/>
  <c r="Z206" i="1" l="1"/>
  <c r="Z327" i="1"/>
  <c r="Z447" i="1"/>
  <c r="Z527" i="1" l="1"/>
  <c r="AF21" i="18"/>
  <c r="Z16" i="1"/>
  <c r="Z18" i="1" s="1"/>
  <c r="Z212" i="1"/>
  <c r="Z213" i="1" l="1"/>
  <c r="G2888" i="16"/>
  <c r="G2904" i="16" s="1"/>
  <c r="AA208" i="1" l="1"/>
  <c r="Z230" i="1"/>
  <c r="Z231" i="1" s="1"/>
  <c r="Z137" i="1"/>
  <c r="AA206" i="1" l="1"/>
  <c r="AA327" i="1"/>
  <c r="AA447" i="1"/>
  <c r="AA527" i="1" l="1"/>
  <c r="AG21" i="18"/>
  <c r="AA16" i="1"/>
  <c r="AA18" i="1" s="1"/>
  <c r="AA212" i="1"/>
  <c r="H2888" i="16" l="1"/>
  <c r="H2904" i="16" s="1"/>
  <c r="AA213" i="1"/>
  <c r="AB208" i="1" l="1"/>
  <c r="AA230" i="1"/>
  <c r="AA231" i="1" s="1"/>
  <c r="AA137" i="1"/>
  <c r="AB206" i="1" l="1"/>
  <c r="AB327" i="1"/>
  <c r="AB447" i="1"/>
  <c r="AB527" i="1" l="1"/>
  <c r="AH21" i="18"/>
  <c r="AB16" i="1"/>
  <c r="AB18" i="1" s="1"/>
  <c r="AB212" i="1"/>
  <c r="I2888" i="16" l="1"/>
  <c r="I2904" i="16" s="1"/>
  <c r="AB213" i="1"/>
  <c r="AC208" i="1" l="1"/>
  <c r="AB230" i="1"/>
  <c r="AB231" i="1" s="1"/>
  <c r="AB137" i="1"/>
  <c r="AC206" i="1" l="1"/>
  <c r="AC327" i="1"/>
  <c r="AC447" i="1"/>
  <c r="AC527" i="1" l="1"/>
  <c r="AI21" i="18"/>
  <c r="AC16" i="1"/>
  <c r="AC18" i="1" s="1"/>
  <c r="AC212" i="1"/>
  <c r="AC213" i="1" s="1"/>
  <c r="J2888" i="16" l="1"/>
  <c r="J2904" i="16" s="1"/>
  <c r="AC230" i="1"/>
  <c r="AC231" i="1" s="1"/>
  <c r="AC137" i="1"/>
  <c r="U212" i="1"/>
  <c r="V268" i="1"/>
  <c r="W268" i="1" s="1"/>
  <c r="W265" i="1" l="1"/>
  <c r="X268" i="1"/>
  <c r="X265" i="1" l="1"/>
  <c r="Y268" i="1"/>
  <c r="W262" i="1"/>
  <c r="W266" i="1" s="1"/>
  <c r="W269" i="1"/>
  <c r="W271" i="1" s="1"/>
  <c r="W172" i="1" l="1"/>
  <c r="W279" i="1"/>
  <c r="W256" i="1"/>
  <c r="BX163" i="5" s="1"/>
  <c r="BW163" i="5" s="1"/>
  <c r="W147" i="1"/>
  <c r="Y265" i="1"/>
  <c r="Z268" i="1"/>
  <c r="X262" i="1"/>
  <c r="X266" i="1" s="1"/>
  <c r="X269" i="1"/>
  <c r="X271" i="1" s="1"/>
  <c r="X172" i="1" s="1"/>
  <c r="Z265" i="1" l="1"/>
  <c r="AA268" i="1"/>
  <c r="X256" i="1"/>
  <c r="X147" i="1"/>
  <c r="Y262" i="1"/>
  <c r="Y266" i="1" s="1"/>
  <c r="Y269" i="1"/>
  <c r="Y271" i="1" s="1"/>
  <c r="Y172" i="1" s="1"/>
  <c r="W246" i="1"/>
  <c r="X279" i="1"/>
  <c r="Y256" i="1" l="1"/>
  <c r="Y147" i="1"/>
  <c r="Y279" i="1"/>
  <c r="Y246" i="1"/>
  <c r="X246" i="1"/>
  <c r="AB268" i="1"/>
  <c r="AA265" i="1"/>
  <c r="BX65" i="5"/>
  <c r="BW65" i="5" s="1"/>
  <c r="Z262" i="1"/>
  <c r="Z266" i="1" s="1"/>
  <c r="Z269" i="1"/>
  <c r="Z271" i="1" s="1"/>
  <c r="Z172" i="1" s="1"/>
  <c r="AC268" i="1" l="1"/>
  <c r="AC265" i="1" s="1"/>
  <c r="AB265" i="1"/>
  <c r="Z147" i="1"/>
  <c r="Z256" i="1"/>
  <c r="Z279" i="1"/>
  <c r="AA262" i="1"/>
  <c r="AA266" i="1" s="1"/>
  <c r="AA269" i="1"/>
  <c r="AA271" i="1" s="1"/>
  <c r="AA172" i="1" s="1"/>
  <c r="AA279" i="1" l="1"/>
  <c r="AA147" i="1"/>
  <c r="AA256" i="1"/>
  <c r="Z246" i="1"/>
  <c r="AB262" i="1"/>
  <c r="AB266" i="1" s="1"/>
  <c r="AB269" i="1"/>
  <c r="AB271" i="1" s="1"/>
  <c r="AB172" i="1" s="1"/>
  <c r="AC262" i="1"/>
  <c r="AC266" i="1" s="1"/>
  <c r="AC269" i="1"/>
  <c r="AC271" i="1" s="1"/>
  <c r="AC172" i="1" s="1"/>
  <c r="AB147" i="1" l="1"/>
  <c r="AB256" i="1"/>
  <c r="AC256" i="1"/>
  <c r="AC147" i="1"/>
  <c r="AB246" i="1"/>
  <c r="AA246" i="1"/>
  <c r="AB279" i="1"/>
  <c r="AC279" i="1" s="1"/>
  <c r="AC246" i="1" l="1"/>
  <c r="U268" i="1"/>
  <c r="V269" i="1"/>
  <c r="V271" i="1" s="1"/>
  <c r="V172" i="1" s="1"/>
  <c r="V175" i="1" s="1"/>
  <c r="V177" i="1" s="1"/>
  <c r="E6" i="9"/>
  <c r="G19" i="9" s="1"/>
  <c r="D2113" i="16" s="1"/>
  <c r="AE21" i="9" l="1"/>
  <c r="AC19" i="9"/>
  <c r="R6" i="29"/>
  <c r="BW112" i="5"/>
  <c r="BW113" i="5" s="1"/>
  <c r="BW117" i="5"/>
  <c r="BW122" i="5"/>
  <c r="EL122" i="5" s="1"/>
  <c r="BW123" i="5"/>
  <c r="EL123" i="5" s="1"/>
  <c r="BW137" i="5"/>
  <c r="BW142" i="5"/>
  <c r="BW252" i="5"/>
  <c r="BW254" i="5" s="1"/>
  <c r="BW138" i="5" l="1"/>
  <c r="BW143" i="5"/>
  <c r="BW114" i="5"/>
  <c r="BW139" i="5"/>
  <c r="BW119" i="5"/>
  <c r="BW144" i="5"/>
  <c r="R7" i="29"/>
  <c r="BW118" i="5"/>
  <c r="U323" i="1"/>
  <c r="U332" i="1" s="1"/>
  <c r="AA24" i="18" s="1"/>
  <c r="V323" i="1"/>
  <c r="V332" i="1" s="1"/>
  <c r="AB24" i="18" s="1"/>
  <c r="U344" i="1"/>
  <c r="V344" i="1"/>
  <c r="U450" i="1"/>
  <c r="V450" i="1"/>
  <c r="V452" i="1" s="1"/>
  <c r="U452" i="1"/>
  <c r="U33" i="1" s="1"/>
  <c r="AA15" i="18" s="1"/>
  <c r="M52" i="9"/>
  <c r="N52" i="9"/>
  <c r="V33" i="1" l="1"/>
  <c r="V521" i="1"/>
  <c r="S51" i="7"/>
  <c r="V525" i="1"/>
  <c r="U521" i="1"/>
  <c r="U453" i="1"/>
  <c r="R40" i="7"/>
  <c r="U525" i="1"/>
  <c r="R51" i="7"/>
  <c r="V453" i="1"/>
  <c r="U454" i="1" l="1"/>
  <c r="U522" i="1"/>
  <c r="AB30" i="18"/>
  <c r="V529" i="1"/>
  <c r="AA30" i="18"/>
  <c r="U529" i="1"/>
  <c r="AB15" i="18"/>
  <c r="S40" i="7"/>
  <c r="V454" i="1"/>
  <c r="V522" i="1"/>
  <c r="BU167" i="5"/>
  <c r="U530" i="1" l="1"/>
  <c r="U523" i="1"/>
  <c r="V530" i="1"/>
  <c r="V523" i="1"/>
  <c r="V35" i="1" l="1"/>
  <c r="V531" i="1"/>
  <c r="U35" i="1"/>
  <c r="U531" i="1"/>
  <c r="G176" i="16" l="1"/>
  <c r="H176" i="16"/>
  <c r="I176" i="16"/>
  <c r="J176" i="16"/>
  <c r="K176" i="16"/>
  <c r="D177" i="16"/>
  <c r="G177" i="16"/>
  <c r="H177" i="16"/>
  <c r="I177" i="16"/>
  <c r="J177" i="16"/>
  <c r="K177" i="16"/>
  <c r="D179" i="16"/>
  <c r="G179" i="16"/>
  <c r="H179" i="16"/>
  <c r="I179" i="16"/>
  <c r="J179" i="16"/>
  <c r="K179" i="16"/>
  <c r="D181" i="16"/>
  <c r="G181" i="16"/>
  <c r="H181" i="16"/>
  <c r="I181" i="16"/>
  <c r="J181" i="16"/>
  <c r="K181" i="16"/>
  <c r="D182" i="16"/>
  <c r="G182" i="16"/>
  <c r="H182" i="16"/>
  <c r="I182" i="16"/>
  <c r="J182" i="16"/>
  <c r="K182" i="16"/>
  <c r="D184" i="16"/>
  <c r="G184" i="16"/>
  <c r="H184" i="16"/>
  <c r="I184" i="16"/>
  <c r="J184" i="16"/>
  <c r="K184" i="16"/>
  <c r="D186" i="16"/>
  <c r="G186" i="16"/>
  <c r="H186" i="16"/>
  <c r="I186" i="16"/>
  <c r="J186" i="16"/>
  <c r="K186" i="16"/>
  <c r="D487" i="16"/>
  <c r="G487" i="16"/>
  <c r="D492" i="16"/>
  <c r="E492" i="16"/>
  <c r="G492" i="16"/>
  <c r="D493" i="16"/>
  <c r="G493" i="16"/>
  <c r="D495" i="16"/>
  <c r="G495" i="16"/>
  <c r="I640" i="16"/>
  <c r="J640" i="16"/>
  <c r="I644" i="16"/>
  <c r="J644" i="16"/>
  <c r="I646" i="16"/>
  <c r="J646" i="16"/>
  <c r="I647" i="16"/>
  <c r="J647" i="16"/>
  <c r="I652" i="16"/>
  <c r="J652" i="16"/>
  <c r="I653" i="16"/>
  <c r="J653" i="16"/>
  <c r="C908" i="16"/>
  <c r="F999" i="16"/>
  <c r="C1063" i="16"/>
  <c r="D1063" i="16"/>
  <c r="H1063" i="16"/>
  <c r="C1064" i="16"/>
  <c r="D1064" i="16"/>
  <c r="C1070" i="16"/>
  <c r="D1070" i="16"/>
  <c r="H1070" i="16"/>
  <c r="D1071" i="16"/>
  <c r="C1072" i="16"/>
  <c r="D1072" i="16"/>
  <c r="C1073" i="16"/>
  <c r="D1073" i="16"/>
  <c r="D1074" i="16"/>
  <c r="C1558" i="16"/>
  <c r="D1558" i="16"/>
  <c r="E1558" i="16"/>
  <c r="C1559" i="16"/>
  <c r="D1559" i="16"/>
  <c r="E1559" i="16"/>
  <c r="C1600" i="16"/>
  <c r="D1600" i="16"/>
  <c r="E1600" i="16"/>
  <c r="C1601" i="16"/>
  <c r="D1601" i="16"/>
  <c r="E1601" i="16"/>
  <c r="I1773" i="16"/>
  <c r="J1773" i="16"/>
  <c r="K1773" i="16"/>
  <c r="L1773" i="16"/>
  <c r="C1779" i="16"/>
  <c r="D1779" i="16"/>
  <c r="E1779" i="16"/>
  <c r="F1779" i="16"/>
  <c r="C1780" i="16"/>
  <c r="D1780" i="16"/>
  <c r="E1780" i="16"/>
  <c r="F1780" i="16"/>
  <c r="C1781" i="16"/>
  <c r="D1781" i="16"/>
  <c r="E1781" i="16"/>
  <c r="F1781" i="16"/>
  <c r="C1782" i="16"/>
  <c r="D1782" i="16"/>
  <c r="E1782" i="16"/>
  <c r="F1782" i="16"/>
  <c r="C1791" i="16"/>
  <c r="D1791" i="16"/>
  <c r="E1791" i="16"/>
  <c r="F1791" i="16"/>
  <c r="C1792" i="16"/>
  <c r="D1792" i="16"/>
  <c r="E1792" i="16"/>
  <c r="F1792" i="16"/>
  <c r="C1793" i="16"/>
  <c r="D1793" i="16"/>
  <c r="E1793" i="16"/>
  <c r="F1793" i="16"/>
  <c r="I2075" i="16"/>
  <c r="J2075" i="16"/>
  <c r="I2077" i="16"/>
  <c r="J2077" i="16"/>
  <c r="D2112" i="16"/>
  <c r="D2115" i="16"/>
  <c r="D2117" i="16"/>
  <c r="D2119" i="16"/>
  <c r="D2121" i="16"/>
  <c r="D2122" i="16"/>
  <c r="G2216" i="16"/>
  <c r="H2216" i="16"/>
  <c r="E2436" i="16"/>
  <c r="F2436" i="16"/>
  <c r="E2438" i="16"/>
  <c r="F2438" i="16"/>
  <c r="E2440" i="16"/>
  <c r="F2440" i="16"/>
  <c r="C2649" i="16"/>
  <c r="E2749" i="16"/>
  <c r="F2749" i="16"/>
  <c r="G2749" i="16"/>
  <c r="Q2749" i="16"/>
  <c r="R2749" i="16"/>
  <c r="S2749" i="16"/>
  <c r="E2779" i="16"/>
  <c r="F2779" i="16"/>
  <c r="G2779" i="16"/>
  <c r="Q2779" i="16"/>
  <c r="R2779" i="16"/>
  <c r="S2779" i="16"/>
  <c r="E2810" i="16"/>
  <c r="F2810" i="16"/>
  <c r="G2810" i="16"/>
  <c r="Q2810" i="16"/>
  <c r="D2889" i="16"/>
  <c r="E2889" i="16"/>
  <c r="F2889" i="16"/>
  <c r="G2889" i="16"/>
  <c r="H2889" i="16"/>
  <c r="I2889" i="16"/>
  <c r="J2889" i="16"/>
  <c r="D2905" i="16"/>
  <c r="E2905" i="16"/>
  <c r="F2905" i="16"/>
  <c r="G2905" i="16"/>
  <c r="H2905" i="16"/>
  <c r="I2905" i="16"/>
  <c r="J2905" i="16"/>
  <c r="E2910" i="16"/>
  <c r="F2910" i="16"/>
  <c r="G2920" i="16"/>
  <c r="G2921" i="16"/>
  <c r="G2923" i="16"/>
  <c r="G2924" i="16"/>
  <c r="G2928" i="16"/>
  <c r="H2928" i="16"/>
  <c r="I2928" i="16"/>
  <c r="G2931" i="16"/>
  <c r="G2933" i="16"/>
  <c r="G2935" i="16"/>
  <c r="D3057" i="16"/>
  <c r="E3057" i="16"/>
  <c r="F3057" i="16"/>
  <c r="G3057" i="16"/>
  <c r="I3057" i="16"/>
  <c r="D3064" i="16"/>
  <c r="E3064" i="16"/>
  <c r="F3064" i="16"/>
  <c r="G3064" i="16"/>
  <c r="D3071" i="16"/>
  <c r="E3071" i="16"/>
  <c r="F3071" i="16"/>
  <c r="G3071" i="16"/>
  <c r="AC7" i="18"/>
  <c r="AD7" i="18"/>
  <c r="AE7" i="18"/>
  <c r="AF7" i="18"/>
  <c r="AG7" i="18"/>
  <c r="AH7" i="18"/>
  <c r="AI7" i="18"/>
  <c r="N10" i="18"/>
  <c r="O10" i="18"/>
  <c r="P10" i="18"/>
  <c r="Q10" i="18"/>
  <c r="R10" i="18"/>
  <c r="S10" i="18"/>
  <c r="T10" i="18"/>
  <c r="U10" i="18"/>
  <c r="V10" i="18"/>
  <c r="W10" i="18"/>
  <c r="X10" i="18"/>
  <c r="Y10" i="18"/>
  <c r="Z10" i="18"/>
  <c r="AA10" i="18"/>
  <c r="AB10" i="18"/>
  <c r="AC10" i="18"/>
  <c r="AD10" i="18"/>
  <c r="AE10" i="18"/>
  <c r="AF10" i="18"/>
  <c r="AG10" i="18"/>
  <c r="AH10" i="18"/>
  <c r="AI10" i="18"/>
  <c r="AC14" i="18"/>
  <c r="AD14" i="18"/>
  <c r="AE14" i="18"/>
  <c r="AF14" i="18"/>
  <c r="AG14" i="18"/>
  <c r="AH14" i="18"/>
  <c r="AI14" i="18"/>
  <c r="AC15" i="18"/>
  <c r="AD15" i="18"/>
  <c r="AE15" i="18"/>
  <c r="AF15" i="18"/>
  <c r="AG15" i="18"/>
  <c r="AH15" i="18"/>
  <c r="AI15" i="18"/>
  <c r="AC25" i="18"/>
  <c r="AD25" i="18"/>
  <c r="AE25" i="18"/>
  <c r="AF25" i="18"/>
  <c r="AG25" i="18"/>
  <c r="AH25" i="18"/>
  <c r="AI25" i="18"/>
  <c r="AC27" i="18"/>
  <c r="AD27" i="18"/>
  <c r="AE27" i="18"/>
  <c r="AF27" i="18"/>
  <c r="AG27" i="18"/>
  <c r="AH27" i="18"/>
  <c r="AI27" i="18"/>
  <c r="AC28" i="18"/>
  <c r="AD28" i="18"/>
  <c r="AE28" i="18"/>
  <c r="AF28" i="18"/>
  <c r="AG28" i="18"/>
  <c r="AH28" i="18"/>
  <c r="AI28" i="18"/>
  <c r="AC30" i="18"/>
  <c r="AD30" i="18"/>
  <c r="AE30" i="18"/>
  <c r="AF30" i="18"/>
  <c r="AG30" i="18"/>
  <c r="AH30" i="18"/>
  <c r="AI30" i="18"/>
  <c r="AC31" i="18"/>
  <c r="AD31" i="18"/>
  <c r="AE31" i="18"/>
  <c r="AF31" i="18"/>
  <c r="AG31" i="18"/>
  <c r="AH31" i="18"/>
  <c r="AI31" i="18"/>
  <c r="AC110" i="18"/>
  <c r="AD110" i="18"/>
  <c r="AE110" i="18"/>
  <c r="AF110" i="18"/>
  <c r="AG110" i="18"/>
  <c r="AH110" i="18"/>
  <c r="AI110" i="18"/>
  <c r="AC111" i="18"/>
  <c r="AD111" i="18"/>
  <c r="AE111" i="18"/>
  <c r="AF111" i="18"/>
  <c r="AG111" i="18"/>
  <c r="AH111" i="18"/>
  <c r="AI111" i="18"/>
  <c r="AC117" i="18"/>
  <c r="AD117" i="18"/>
  <c r="AE117" i="18"/>
  <c r="AF117" i="18"/>
  <c r="AG117" i="18"/>
  <c r="AH117" i="18"/>
  <c r="AI117" i="18"/>
  <c r="AC118" i="18"/>
  <c r="AD118" i="18"/>
  <c r="AE118" i="18"/>
  <c r="AF118" i="18"/>
  <c r="AG118" i="18"/>
  <c r="AH118" i="18"/>
  <c r="AI118" i="18"/>
  <c r="AC119" i="18"/>
  <c r="AD119" i="18"/>
  <c r="AE119" i="18"/>
  <c r="AF119" i="18"/>
  <c r="AG119" i="18"/>
  <c r="AH119" i="18"/>
  <c r="AI119" i="18"/>
  <c r="J182" i="10"/>
  <c r="J183" i="10"/>
  <c r="J184" i="10"/>
  <c r="L265" i="10"/>
  <c r="M265" i="10"/>
  <c r="N265" i="10"/>
  <c r="O265" i="10"/>
  <c r="P265" i="10"/>
  <c r="Q265" i="10"/>
  <c r="R265" i="10"/>
  <c r="S265" i="10"/>
  <c r="T265" i="10"/>
  <c r="U265" i="10"/>
  <c r="V265" i="10"/>
  <c r="W265" i="10"/>
  <c r="X265" i="10"/>
  <c r="Y265" i="10"/>
  <c r="L266" i="10"/>
  <c r="M266" i="10"/>
  <c r="N266" i="10"/>
  <c r="O266" i="10"/>
  <c r="P266" i="10"/>
  <c r="Q266" i="10"/>
  <c r="R266" i="10"/>
  <c r="S266" i="10"/>
  <c r="T266" i="10"/>
  <c r="U266" i="10"/>
  <c r="V266" i="10"/>
  <c r="W266" i="10"/>
  <c r="X266" i="10"/>
  <c r="Y266" i="10"/>
  <c r="R31" i="29"/>
  <c r="S31" i="29"/>
  <c r="T31" i="29"/>
  <c r="R33" i="29"/>
  <c r="S33" i="29"/>
  <c r="T33" i="29"/>
  <c r="R35" i="29"/>
  <c r="S35" i="29"/>
  <c r="T35" i="29"/>
  <c r="P11" i="14"/>
  <c r="Q11" i="14"/>
  <c r="R11" i="14"/>
  <c r="S11" i="14"/>
  <c r="T11" i="14"/>
  <c r="U11" i="14"/>
  <c r="V11" i="14"/>
  <c r="W11" i="14"/>
  <c r="X11" i="14"/>
  <c r="P12" i="14"/>
  <c r="Q12" i="14"/>
  <c r="R12" i="14"/>
  <c r="S12" i="14"/>
  <c r="T12" i="14"/>
  <c r="U12" i="14"/>
  <c r="V12" i="14"/>
  <c r="W12" i="14"/>
  <c r="X12" i="14"/>
  <c r="P14" i="14"/>
  <c r="Q14" i="14"/>
  <c r="R14" i="14"/>
  <c r="S14" i="14"/>
  <c r="T14" i="14"/>
  <c r="U14" i="14"/>
  <c r="V14" i="14"/>
  <c r="W14" i="14"/>
  <c r="X14" i="14"/>
  <c r="P15" i="14"/>
  <c r="Q15" i="14"/>
  <c r="R15" i="14"/>
  <c r="S15" i="14"/>
  <c r="T15" i="14"/>
  <c r="U15" i="14"/>
  <c r="V15" i="14"/>
  <c r="W15" i="14"/>
  <c r="X15" i="14"/>
  <c r="P22" i="14"/>
  <c r="Q22" i="14"/>
  <c r="R22" i="14"/>
  <c r="S22" i="14"/>
  <c r="T22" i="14"/>
  <c r="U22" i="14"/>
  <c r="V22" i="14"/>
  <c r="W22" i="14"/>
  <c r="X22" i="14"/>
  <c r="P23" i="14"/>
  <c r="Q23" i="14"/>
  <c r="R23" i="14"/>
  <c r="S23" i="14"/>
  <c r="T23" i="14"/>
  <c r="U23" i="14"/>
  <c r="V23" i="14"/>
  <c r="W23" i="14"/>
  <c r="X23" i="14"/>
  <c r="O24" i="14"/>
  <c r="P24" i="14"/>
  <c r="Q24" i="14"/>
  <c r="R24" i="14"/>
  <c r="S24" i="14"/>
  <c r="T24" i="14"/>
  <c r="U24" i="14"/>
  <c r="V24" i="14"/>
  <c r="W24" i="14"/>
  <c r="X24" i="14"/>
  <c r="P27" i="14"/>
  <c r="Q27" i="14"/>
  <c r="R27" i="14"/>
  <c r="S27" i="14"/>
  <c r="T27" i="14"/>
  <c r="U27" i="14"/>
  <c r="V27" i="14"/>
  <c r="W27" i="14"/>
  <c r="X27" i="14"/>
  <c r="P28" i="14"/>
  <c r="Q28" i="14"/>
  <c r="R28" i="14"/>
  <c r="S28" i="14"/>
  <c r="T28" i="14"/>
  <c r="U28" i="14"/>
  <c r="V28" i="14"/>
  <c r="W28" i="14"/>
  <c r="X28" i="14"/>
  <c r="P30" i="14"/>
  <c r="Q30" i="14"/>
  <c r="R30" i="14"/>
  <c r="S30" i="14"/>
  <c r="T30" i="14"/>
  <c r="U30" i="14"/>
  <c r="V30" i="14"/>
  <c r="W30" i="14"/>
  <c r="X30" i="14"/>
  <c r="P34" i="14"/>
  <c r="Q34" i="14"/>
  <c r="R34" i="14"/>
  <c r="S34" i="14"/>
  <c r="T34" i="14"/>
  <c r="U34" i="14"/>
  <c r="V34" i="14"/>
  <c r="W34" i="14"/>
  <c r="X34" i="14"/>
  <c r="P35" i="14"/>
  <c r="Q35" i="14"/>
  <c r="R35" i="14"/>
  <c r="S35" i="14"/>
  <c r="T35" i="14"/>
  <c r="U35" i="14"/>
  <c r="V35" i="14"/>
  <c r="W35" i="14"/>
  <c r="X35" i="14"/>
  <c r="P36" i="14"/>
  <c r="Q36" i="14"/>
  <c r="R36" i="14"/>
  <c r="S36" i="14"/>
  <c r="T36" i="14"/>
  <c r="U36" i="14"/>
  <c r="V36" i="14"/>
  <c r="W36" i="14"/>
  <c r="X36" i="14"/>
  <c r="P37" i="14"/>
  <c r="Q37" i="14"/>
  <c r="R37" i="14"/>
  <c r="S37" i="14"/>
  <c r="T37" i="14"/>
  <c r="U37" i="14"/>
  <c r="V37" i="14"/>
  <c r="W37" i="14"/>
  <c r="X37" i="14"/>
  <c r="P38" i="14"/>
  <c r="Q38" i="14"/>
  <c r="R38" i="14"/>
  <c r="S38" i="14"/>
  <c r="T38" i="14"/>
  <c r="U38" i="14"/>
  <c r="V38" i="14"/>
  <c r="W38" i="14"/>
  <c r="X38" i="14"/>
  <c r="P42" i="14"/>
  <c r="Q42" i="14"/>
  <c r="R42" i="14"/>
  <c r="S42" i="14"/>
  <c r="T42" i="14"/>
  <c r="U42" i="14"/>
  <c r="V42" i="14"/>
  <c r="W42" i="14"/>
  <c r="X42" i="14"/>
  <c r="O47" i="14"/>
  <c r="P47" i="14"/>
  <c r="Q47" i="14"/>
  <c r="R47" i="14"/>
  <c r="S47" i="14"/>
  <c r="T47" i="14"/>
  <c r="U47" i="14"/>
  <c r="V47" i="14"/>
  <c r="W47" i="14"/>
  <c r="X47" i="14"/>
  <c r="O48" i="14"/>
  <c r="P48" i="14"/>
  <c r="Q48" i="14"/>
  <c r="R48" i="14"/>
  <c r="S48" i="14"/>
  <c r="T48" i="14"/>
  <c r="U48" i="14"/>
  <c r="V48" i="14"/>
  <c r="W48" i="14"/>
  <c r="X48" i="14"/>
  <c r="O49" i="14"/>
  <c r="P49" i="14"/>
  <c r="Q49" i="14"/>
  <c r="R49" i="14"/>
  <c r="S49" i="14"/>
  <c r="T49" i="14"/>
  <c r="U49" i="14"/>
  <c r="V49" i="14"/>
  <c r="W49" i="14"/>
  <c r="X49" i="14"/>
  <c r="O50" i="14"/>
  <c r="O51" i="14"/>
  <c r="P51" i="14"/>
  <c r="Q51" i="14"/>
  <c r="R51" i="14"/>
  <c r="S51" i="14"/>
  <c r="T51" i="14"/>
  <c r="U51" i="14"/>
  <c r="V51" i="14"/>
  <c r="W51" i="14"/>
  <c r="X51" i="14"/>
  <c r="O52" i="14"/>
  <c r="P52" i="14"/>
  <c r="Q52" i="14"/>
  <c r="R52" i="14"/>
  <c r="S52" i="14"/>
  <c r="T52" i="14"/>
  <c r="U52" i="14"/>
  <c r="V52" i="14"/>
  <c r="W52" i="14"/>
  <c r="X52" i="14"/>
  <c r="O53" i="14"/>
  <c r="O56" i="14"/>
  <c r="P56" i="14"/>
  <c r="Q56" i="14"/>
  <c r="R56" i="14"/>
  <c r="S56" i="14"/>
  <c r="T56" i="14"/>
  <c r="U56" i="14"/>
  <c r="V56" i="14"/>
  <c r="W56" i="14"/>
  <c r="X56" i="14"/>
  <c r="P80" i="14"/>
  <c r="Q80" i="14"/>
  <c r="R80" i="14"/>
  <c r="S80" i="14"/>
  <c r="P81" i="14"/>
  <c r="Q81" i="14"/>
  <c r="R81" i="14"/>
  <c r="S81" i="14"/>
  <c r="P82" i="14"/>
  <c r="Q82" i="14"/>
  <c r="R82" i="14"/>
  <c r="S82" i="14"/>
  <c r="P86" i="14"/>
  <c r="Q86" i="14"/>
  <c r="R86" i="14"/>
  <c r="S86" i="14"/>
  <c r="P87" i="14"/>
  <c r="Q87" i="14"/>
  <c r="R87" i="14"/>
  <c r="S87" i="14"/>
  <c r="P91" i="14"/>
  <c r="Q91" i="14"/>
  <c r="R91" i="14"/>
  <c r="S91" i="14"/>
  <c r="P92" i="14"/>
  <c r="Q92" i="14"/>
  <c r="R92" i="14"/>
  <c r="S92" i="14"/>
  <c r="P101" i="14"/>
  <c r="Q101" i="14"/>
  <c r="R101" i="14"/>
  <c r="S101" i="14"/>
  <c r="P102" i="14"/>
  <c r="Q102" i="14"/>
  <c r="R102" i="14"/>
  <c r="S102" i="14"/>
  <c r="P106" i="14"/>
  <c r="Q106" i="14"/>
  <c r="R106" i="14"/>
  <c r="S106" i="14"/>
  <c r="P107" i="14"/>
  <c r="Q107" i="14"/>
  <c r="R107" i="14"/>
  <c r="S107" i="14"/>
  <c r="P111" i="14"/>
  <c r="Q111" i="14"/>
  <c r="R111" i="14"/>
  <c r="S111" i="14"/>
  <c r="P112" i="14"/>
  <c r="Q112" i="14"/>
  <c r="R112" i="14"/>
  <c r="S112" i="14"/>
  <c r="C119" i="14"/>
  <c r="E119" i="14"/>
  <c r="F119" i="14"/>
  <c r="H119" i="14"/>
  <c r="H120" i="14"/>
  <c r="AF166" i="28"/>
  <c r="AG166" i="28"/>
  <c r="AH166" i="28"/>
  <c r="F25" i="19"/>
  <c r="AP35" i="5"/>
  <c r="DE35" i="5"/>
  <c r="DJ35" i="5"/>
  <c r="AP40" i="5"/>
  <c r="AP41" i="5"/>
  <c r="AP43" i="5"/>
  <c r="AP48" i="5"/>
  <c r="AP49" i="5"/>
  <c r="AU49" i="5"/>
  <c r="AP50" i="5"/>
  <c r="AP61" i="5"/>
  <c r="AP62" i="5"/>
  <c r="AP63" i="5"/>
  <c r="BW66" i="5"/>
  <c r="BX66" i="5"/>
  <c r="BW68" i="5"/>
  <c r="BX68" i="5"/>
  <c r="BW71" i="5"/>
  <c r="BX71" i="5"/>
  <c r="BW73" i="5"/>
  <c r="BX73" i="5"/>
  <c r="BW74" i="5"/>
  <c r="BX74" i="5"/>
  <c r="BW78" i="5"/>
  <c r="BX78" i="5"/>
  <c r="BW79" i="5"/>
  <c r="BX79" i="5"/>
  <c r="BW80" i="5"/>
  <c r="BW147" i="5"/>
  <c r="BW149" i="5"/>
  <c r="BC155" i="5"/>
  <c r="BC156" i="5"/>
  <c r="BW156" i="5"/>
  <c r="BW160" i="5"/>
  <c r="BX160" i="5"/>
  <c r="BW161" i="5"/>
  <c r="BW166" i="5"/>
  <c r="BX166" i="5"/>
  <c r="BW167" i="5"/>
  <c r="BW169" i="5"/>
  <c r="BW170" i="5"/>
  <c r="Q88" i="11"/>
  <c r="T88" i="11"/>
  <c r="U88" i="11"/>
  <c r="V88" i="11"/>
  <c r="W88" i="11"/>
  <c r="X88" i="11"/>
  <c r="Y88" i="11"/>
  <c r="Z88" i="11"/>
  <c r="AA88" i="11"/>
  <c r="AB88" i="11"/>
  <c r="AC88" i="11"/>
  <c r="AD88" i="11"/>
  <c r="AE88" i="11"/>
  <c r="R89" i="11"/>
  <c r="Q90" i="11"/>
  <c r="T90" i="11"/>
  <c r="U90" i="11"/>
  <c r="V90" i="11"/>
  <c r="W90" i="11"/>
  <c r="X90" i="11"/>
  <c r="Y90" i="11"/>
  <c r="Z90" i="11"/>
  <c r="AA90" i="11"/>
  <c r="AB90" i="11"/>
  <c r="AC90" i="11"/>
  <c r="AD90" i="11"/>
  <c r="AE90" i="11"/>
  <c r="T92" i="11"/>
  <c r="U92" i="11"/>
  <c r="V92" i="11"/>
  <c r="W92" i="11"/>
  <c r="X92" i="11"/>
  <c r="Y92" i="11"/>
  <c r="Z92" i="11"/>
  <c r="AA92" i="11"/>
  <c r="AB92" i="11"/>
  <c r="AC92" i="11"/>
  <c r="AD92" i="11"/>
  <c r="AE92" i="11"/>
  <c r="T94" i="11"/>
  <c r="U94" i="11"/>
  <c r="V94" i="11"/>
  <c r="W94" i="11"/>
  <c r="X94" i="11"/>
  <c r="Y94" i="11"/>
  <c r="Z94" i="11"/>
  <c r="AA94" i="11"/>
  <c r="AB94" i="11"/>
  <c r="AC94" i="11"/>
  <c r="AD94" i="11"/>
  <c r="AE94" i="11"/>
  <c r="Q97" i="11"/>
  <c r="T97" i="11"/>
  <c r="U97" i="11"/>
  <c r="V97" i="11"/>
  <c r="W97" i="11"/>
  <c r="X97" i="11"/>
  <c r="Y97" i="11"/>
  <c r="Z97" i="11"/>
  <c r="AA97" i="11"/>
  <c r="AB97" i="11"/>
  <c r="AC97" i="11"/>
  <c r="AD97" i="11"/>
  <c r="AE97" i="11"/>
  <c r="T99" i="11"/>
  <c r="U99" i="11"/>
  <c r="V99" i="11"/>
  <c r="W99" i="11"/>
  <c r="X99" i="11"/>
  <c r="Y99" i="11"/>
  <c r="Z99" i="11"/>
  <c r="AA99" i="11"/>
  <c r="AB99" i="11"/>
  <c r="AC99" i="11"/>
  <c r="AD99" i="11"/>
  <c r="AE99" i="11"/>
  <c r="Q100" i="11"/>
  <c r="T100" i="11"/>
  <c r="U100" i="11"/>
  <c r="V100" i="11"/>
  <c r="W100" i="11"/>
  <c r="X100" i="11"/>
  <c r="Y100" i="11"/>
  <c r="Z100" i="11"/>
  <c r="AA100" i="11"/>
  <c r="AB100" i="11"/>
  <c r="AC100" i="11"/>
  <c r="AD100" i="11"/>
  <c r="AE100" i="11"/>
  <c r="R101" i="11"/>
  <c r="T101" i="11"/>
  <c r="U101" i="11"/>
  <c r="V101" i="11"/>
  <c r="W101" i="11"/>
  <c r="X101" i="11"/>
  <c r="Y101" i="11"/>
  <c r="Z101" i="11"/>
  <c r="AA101" i="11"/>
  <c r="AB101" i="11"/>
  <c r="AC101" i="11"/>
  <c r="AD101" i="11"/>
  <c r="AE101" i="11"/>
  <c r="Q106" i="11"/>
  <c r="T106" i="11"/>
  <c r="U106" i="11"/>
  <c r="V106" i="11"/>
  <c r="W106" i="11"/>
  <c r="X106" i="11"/>
  <c r="Y106" i="11"/>
  <c r="Z106" i="11"/>
  <c r="AA106" i="11"/>
  <c r="AB106" i="11"/>
  <c r="AC106" i="11"/>
  <c r="AD106" i="11"/>
  <c r="AE106" i="11"/>
  <c r="Q107" i="11"/>
  <c r="T107" i="11"/>
  <c r="U107" i="11"/>
  <c r="V107" i="11"/>
  <c r="W107" i="11"/>
  <c r="X107" i="11"/>
  <c r="Y107" i="11"/>
  <c r="Z107" i="11"/>
  <c r="AA107" i="11"/>
  <c r="AB107" i="11"/>
  <c r="AC107" i="11"/>
  <c r="AD107" i="11"/>
  <c r="AE107" i="11"/>
  <c r="Q112" i="11"/>
  <c r="T112" i="11"/>
  <c r="U112" i="11"/>
  <c r="V112" i="11"/>
  <c r="W112" i="11"/>
  <c r="X112" i="11"/>
  <c r="Y112" i="11"/>
  <c r="Z112" i="11"/>
  <c r="AA112" i="11"/>
  <c r="AB112" i="11"/>
  <c r="AC112" i="11"/>
  <c r="AD112" i="11"/>
  <c r="AE112" i="11"/>
  <c r="Q113" i="11"/>
  <c r="T113" i="11"/>
  <c r="U113" i="11"/>
  <c r="V113" i="11"/>
  <c r="W113" i="11"/>
  <c r="X113" i="11"/>
  <c r="Y113" i="11"/>
  <c r="Z113" i="11"/>
  <c r="AA113" i="11"/>
  <c r="AB113" i="11"/>
  <c r="AC113" i="11"/>
  <c r="AD113" i="11"/>
  <c r="AE113" i="11"/>
  <c r="Q115" i="11"/>
  <c r="T115" i="11"/>
  <c r="U115" i="11"/>
  <c r="V115" i="11"/>
  <c r="W115" i="11"/>
  <c r="X115" i="11"/>
  <c r="Y115" i="11"/>
  <c r="Z115" i="11"/>
  <c r="AA115" i="11"/>
  <c r="AB115" i="11"/>
  <c r="AC115" i="11"/>
  <c r="AD115" i="11"/>
  <c r="AE115" i="11"/>
  <c r="T119" i="11"/>
  <c r="U119" i="11"/>
  <c r="V119" i="11"/>
  <c r="W119" i="11"/>
  <c r="X119" i="11"/>
  <c r="Y119" i="11"/>
  <c r="Z119" i="11"/>
  <c r="AA119" i="11"/>
  <c r="AB119" i="11"/>
  <c r="AC119" i="11"/>
  <c r="AD119" i="11"/>
  <c r="AE119" i="11"/>
  <c r="T120" i="11"/>
  <c r="U120" i="11"/>
  <c r="V120" i="11"/>
  <c r="W120" i="11"/>
  <c r="X120" i="11"/>
  <c r="Y120" i="11"/>
  <c r="Z120" i="11"/>
  <c r="AA120" i="11"/>
  <c r="AB120" i="11"/>
  <c r="AC120" i="11"/>
  <c r="AD120" i="11"/>
  <c r="AE120" i="11"/>
  <c r="O124" i="11"/>
  <c r="O127" i="11"/>
  <c r="O128" i="11"/>
  <c r="O129" i="11"/>
  <c r="O131" i="11"/>
  <c r="O133" i="11"/>
  <c r="AD1" i="1"/>
  <c r="W20" i="1"/>
  <c r="X20" i="1"/>
  <c r="Y20" i="1"/>
  <c r="Z20" i="1"/>
  <c r="AA20" i="1"/>
  <c r="AB20" i="1"/>
  <c r="AC20" i="1"/>
  <c r="W25" i="1"/>
  <c r="X25" i="1"/>
  <c r="Y25" i="1"/>
  <c r="Z25" i="1"/>
  <c r="AA25" i="1"/>
  <c r="AB25" i="1"/>
  <c r="AC25" i="1"/>
  <c r="W27" i="1"/>
  <c r="X27" i="1"/>
  <c r="Y27" i="1"/>
  <c r="Z27" i="1"/>
  <c r="AA27" i="1"/>
  <c r="AB27" i="1"/>
  <c r="AC27" i="1"/>
  <c r="W30" i="1"/>
  <c r="X30" i="1"/>
  <c r="Y30" i="1"/>
  <c r="Z30" i="1"/>
  <c r="AA30" i="1"/>
  <c r="AB30" i="1"/>
  <c r="AC30" i="1"/>
  <c r="W32" i="1"/>
  <c r="X32" i="1"/>
  <c r="Y32" i="1"/>
  <c r="Z32" i="1"/>
  <c r="AA32" i="1"/>
  <c r="AB32" i="1"/>
  <c r="AC32" i="1"/>
  <c r="W33" i="1"/>
  <c r="X33" i="1"/>
  <c r="Y33" i="1"/>
  <c r="Z33" i="1"/>
  <c r="AA33" i="1"/>
  <c r="AB33" i="1"/>
  <c r="AC33" i="1"/>
  <c r="W35" i="1"/>
  <c r="X35" i="1"/>
  <c r="Y35" i="1"/>
  <c r="Z35" i="1"/>
  <c r="AA35" i="1"/>
  <c r="AB35" i="1"/>
  <c r="AC35" i="1"/>
  <c r="T58" i="1"/>
  <c r="U58" i="1"/>
  <c r="V58" i="1"/>
  <c r="W58" i="1"/>
  <c r="X58" i="1"/>
  <c r="Y58" i="1"/>
  <c r="Z58" i="1"/>
  <c r="AA58" i="1"/>
  <c r="AB58" i="1"/>
  <c r="AC58" i="1"/>
  <c r="T59" i="1"/>
  <c r="U59" i="1"/>
  <c r="V59" i="1"/>
  <c r="W59" i="1"/>
  <c r="X59" i="1"/>
  <c r="Y59" i="1"/>
  <c r="Z59" i="1"/>
  <c r="AA59" i="1"/>
  <c r="AB59" i="1"/>
  <c r="AC59" i="1"/>
  <c r="W130" i="1"/>
  <c r="X130" i="1"/>
  <c r="Y130" i="1"/>
  <c r="Z130" i="1"/>
  <c r="AA130" i="1"/>
  <c r="AB130" i="1"/>
  <c r="AC130" i="1"/>
  <c r="W134" i="1"/>
  <c r="X134" i="1"/>
  <c r="Y134" i="1"/>
  <c r="Z134" i="1"/>
  <c r="AA134" i="1"/>
  <c r="AB134" i="1"/>
  <c r="AC134" i="1"/>
  <c r="W138" i="1"/>
  <c r="X138" i="1"/>
  <c r="Y138" i="1"/>
  <c r="Z138" i="1"/>
  <c r="AA138" i="1"/>
  <c r="AB138" i="1"/>
  <c r="AC138" i="1"/>
  <c r="W140" i="1"/>
  <c r="X140" i="1"/>
  <c r="Y140" i="1"/>
  <c r="Z140" i="1"/>
  <c r="AA140" i="1"/>
  <c r="AB140" i="1"/>
  <c r="AC140" i="1"/>
  <c r="W151" i="1"/>
  <c r="X151" i="1"/>
  <c r="Y151" i="1"/>
  <c r="Z151" i="1"/>
  <c r="AA151" i="1"/>
  <c r="AB151" i="1"/>
  <c r="AC151" i="1"/>
  <c r="W153" i="1"/>
  <c r="X153" i="1"/>
  <c r="Y153" i="1"/>
  <c r="Z153" i="1"/>
  <c r="AA153" i="1"/>
  <c r="AB153" i="1"/>
  <c r="AC153" i="1"/>
  <c r="W154" i="1"/>
  <c r="X154" i="1"/>
  <c r="Y154" i="1"/>
  <c r="Z154" i="1"/>
  <c r="AA154" i="1"/>
  <c r="AB154" i="1"/>
  <c r="AC154" i="1"/>
  <c r="W156" i="1"/>
  <c r="X156" i="1"/>
  <c r="Y156" i="1"/>
  <c r="Z156" i="1"/>
  <c r="AA156" i="1"/>
  <c r="AB156" i="1"/>
  <c r="AC156" i="1"/>
  <c r="W157" i="1"/>
  <c r="X157" i="1"/>
  <c r="Y157" i="1"/>
  <c r="Z157" i="1"/>
  <c r="AA157" i="1"/>
  <c r="AB157" i="1"/>
  <c r="AC157" i="1"/>
  <c r="W163" i="1"/>
  <c r="X163" i="1"/>
  <c r="Y163" i="1"/>
  <c r="Z163" i="1"/>
  <c r="AA163" i="1"/>
  <c r="AB163" i="1"/>
  <c r="AC163" i="1"/>
  <c r="W164" i="1"/>
  <c r="X164" i="1"/>
  <c r="Y164" i="1"/>
  <c r="Z164" i="1"/>
  <c r="AA164" i="1"/>
  <c r="AB164" i="1"/>
  <c r="AC164" i="1"/>
  <c r="L170" i="1"/>
  <c r="M170" i="1"/>
  <c r="S172" i="1"/>
  <c r="T172" i="1"/>
  <c r="U172" i="1"/>
  <c r="S175" i="1"/>
  <c r="T175" i="1"/>
  <c r="U175" i="1"/>
  <c r="W175" i="1"/>
  <c r="X175" i="1"/>
  <c r="Y175" i="1"/>
  <c r="Z175" i="1"/>
  <c r="AA175" i="1"/>
  <c r="AB175" i="1"/>
  <c r="AC175" i="1"/>
  <c r="W176" i="1"/>
  <c r="X176" i="1"/>
  <c r="Y176" i="1"/>
  <c r="Z176" i="1"/>
  <c r="AA176" i="1"/>
  <c r="AB176" i="1"/>
  <c r="AC176" i="1"/>
  <c r="S177" i="1"/>
  <c r="T177" i="1"/>
  <c r="U177" i="1"/>
  <c r="W177" i="1"/>
  <c r="X177" i="1"/>
  <c r="Y177" i="1"/>
  <c r="Z177" i="1"/>
  <c r="AA177" i="1"/>
  <c r="AB177" i="1"/>
  <c r="AC177" i="1"/>
  <c r="L211" i="1"/>
  <c r="M211" i="1"/>
  <c r="N211" i="1"/>
  <c r="O211" i="1"/>
  <c r="P211" i="1"/>
  <c r="Q211" i="1"/>
  <c r="R211" i="1"/>
  <c r="S211" i="1"/>
  <c r="T211" i="1"/>
  <c r="L212" i="1"/>
  <c r="M212" i="1"/>
  <c r="N212" i="1"/>
  <c r="O212" i="1"/>
  <c r="P212" i="1"/>
  <c r="Q212" i="1"/>
  <c r="R212" i="1"/>
  <c r="S212" i="1"/>
  <c r="T212" i="1"/>
  <c r="L215" i="1"/>
  <c r="M215" i="1"/>
  <c r="L218" i="1"/>
  <c r="M218" i="1"/>
  <c r="I219" i="1"/>
  <c r="J219" i="1"/>
  <c r="K219" i="1"/>
  <c r="L219" i="1"/>
  <c r="M219" i="1"/>
  <c r="W236" i="1"/>
  <c r="X236" i="1"/>
  <c r="Y236" i="1"/>
  <c r="Z236" i="1"/>
  <c r="AA236" i="1"/>
  <c r="AB236" i="1"/>
  <c r="AC236" i="1"/>
  <c r="W238" i="1"/>
  <c r="X238" i="1"/>
  <c r="Y238" i="1"/>
  <c r="Z238" i="1"/>
  <c r="AA238" i="1"/>
  <c r="AB238" i="1"/>
  <c r="AC238" i="1"/>
  <c r="W239" i="1"/>
  <c r="X239" i="1"/>
  <c r="Y239" i="1"/>
  <c r="Z239" i="1"/>
  <c r="AA239" i="1"/>
  <c r="AB239" i="1"/>
  <c r="AC239" i="1"/>
  <c r="W241" i="1"/>
  <c r="X241" i="1"/>
  <c r="Y241" i="1"/>
  <c r="Z241" i="1"/>
  <c r="AA241" i="1"/>
  <c r="AB241" i="1"/>
  <c r="AC241" i="1"/>
  <c r="W252" i="1"/>
  <c r="X252" i="1"/>
  <c r="Y252" i="1"/>
  <c r="Z252" i="1"/>
  <c r="AA252" i="1"/>
  <c r="AB252" i="1"/>
  <c r="AC252" i="1"/>
  <c r="W253" i="1"/>
  <c r="X253" i="1"/>
  <c r="Y253" i="1"/>
  <c r="Z253" i="1"/>
  <c r="AA253" i="1"/>
  <c r="AB253" i="1"/>
  <c r="AC253" i="1"/>
  <c r="W254" i="1"/>
  <c r="X254" i="1"/>
  <c r="Y254" i="1"/>
  <c r="Z254" i="1"/>
  <c r="AA254" i="1"/>
  <c r="AB254" i="1"/>
  <c r="AC254" i="1"/>
  <c r="W257" i="1"/>
  <c r="X257" i="1"/>
  <c r="Y257" i="1"/>
  <c r="Z257" i="1"/>
  <c r="AA257" i="1"/>
  <c r="AB257" i="1"/>
  <c r="AC257" i="1"/>
  <c r="W258" i="1"/>
  <c r="X258" i="1"/>
  <c r="Y258" i="1"/>
  <c r="Z258" i="1"/>
  <c r="AA258" i="1"/>
  <c r="AB258" i="1"/>
  <c r="AC258" i="1"/>
  <c r="W259" i="1"/>
  <c r="X259" i="1"/>
  <c r="Y259" i="1"/>
  <c r="Z259" i="1"/>
  <c r="AA259" i="1"/>
  <c r="AB259" i="1"/>
  <c r="AC259" i="1"/>
  <c r="S265" i="1"/>
  <c r="T265" i="1"/>
  <c r="S268" i="1"/>
  <c r="T268" i="1"/>
  <c r="S269" i="1"/>
  <c r="T269" i="1"/>
  <c r="U269" i="1"/>
  <c r="S271" i="1"/>
  <c r="T271" i="1"/>
  <c r="U271" i="1"/>
  <c r="W275" i="1"/>
  <c r="X275" i="1"/>
  <c r="Y275" i="1"/>
  <c r="Z275" i="1"/>
  <c r="AA275" i="1"/>
  <c r="AB275" i="1"/>
  <c r="AC275" i="1"/>
  <c r="W277" i="1"/>
  <c r="X277" i="1"/>
  <c r="Y277" i="1"/>
  <c r="Z277" i="1"/>
  <c r="AA277" i="1"/>
  <c r="AB277" i="1"/>
  <c r="AC277" i="1"/>
  <c r="W278" i="1"/>
  <c r="X278" i="1"/>
  <c r="Y278" i="1"/>
  <c r="Z278" i="1"/>
  <c r="AA278" i="1"/>
  <c r="AB278" i="1"/>
  <c r="AC278" i="1"/>
  <c r="W321" i="1"/>
  <c r="X321" i="1"/>
  <c r="Y321" i="1"/>
  <c r="Z321" i="1"/>
  <c r="AA321" i="1"/>
  <c r="AB321" i="1"/>
  <c r="AC321" i="1"/>
  <c r="W323" i="1"/>
  <c r="X323" i="1"/>
  <c r="Y323" i="1"/>
  <c r="Z323" i="1"/>
  <c r="AA323" i="1"/>
  <c r="AB323" i="1"/>
  <c r="AC323" i="1"/>
  <c r="W328" i="1"/>
  <c r="X328" i="1"/>
  <c r="Y328" i="1"/>
  <c r="Z328" i="1"/>
  <c r="AA328" i="1"/>
  <c r="AB328" i="1"/>
  <c r="AC328" i="1"/>
  <c r="W331" i="1"/>
  <c r="X331" i="1"/>
  <c r="Y331" i="1"/>
  <c r="Z331" i="1"/>
  <c r="AA331" i="1"/>
  <c r="AB331" i="1"/>
  <c r="AC331" i="1"/>
  <c r="W333" i="1"/>
  <c r="X333" i="1"/>
  <c r="Y333" i="1"/>
  <c r="Z333" i="1"/>
  <c r="AA333" i="1"/>
  <c r="AB333" i="1"/>
  <c r="AC333" i="1"/>
  <c r="W334" i="1"/>
  <c r="X334" i="1"/>
  <c r="Y334" i="1"/>
  <c r="Z334" i="1"/>
  <c r="AA334" i="1"/>
  <c r="AB334" i="1"/>
  <c r="AC334" i="1"/>
  <c r="W336" i="1"/>
  <c r="X336" i="1"/>
  <c r="Y336" i="1"/>
  <c r="Z336" i="1"/>
  <c r="AA336" i="1"/>
  <c r="AB336" i="1"/>
  <c r="AC336" i="1"/>
  <c r="W340" i="1"/>
  <c r="X340" i="1"/>
  <c r="Y340" i="1"/>
  <c r="Z340" i="1"/>
  <c r="AA340" i="1"/>
  <c r="AB340" i="1"/>
  <c r="AC340" i="1"/>
  <c r="W342" i="1"/>
  <c r="X342" i="1"/>
  <c r="Y342" i="1"/>
  <c r="Z342" i="1"/>
  <c r="AA342" i="1"/>
  <c r="AB342" i="1"/>
  <c r="AC342" i="1"/>
  <c r="W344" i="1"/>
  <c r="X344" i="1"/>
  <c r="Y344" i="1"/>
  <c r="Z344" i="1"/>
  <c r="AA344" i="1"/>
  <c r="AB344" i="1"/>
  <c r="AC344" i="1"/>
  <c r="H345" i="1"/>
  <c r="I345" i="1"/>
  <c r="J345" i="1"/>
  <c r="K345" i="1"/>
  <c r="L345" i="1"/>
  <c r="M345" i="1"/>
  <c r="N345" i="1"/>
  <c r="O345" i="1"/>
  <c r="P345" i="1"/>
  <c r="Q345" i="1"/>
  <c r="R345" i="1"/>
  <c r="S345" i="1"/>
  <c r="T345" i="1"/>
  <c r="U345" i="1"/>
  <c r="V345" i="1"/>
  <c r="W345" i="1"/>
  <c r="X345" i="1"/>
  <c r="Y345" i="1"/>
  <c r="Z345" i="1"/>
  <c r="AA345" i="1"/>
  <c r="AB345" i="1"/>
  <c r="AC345" i="1"/>
  <c r="W348" i="1"/>
  <c r="X348" i="1"/>
  <c r="Y348" i="1"/>
  <c r="Z348" i="1"/>
  <c r="AA348" i="1"/>
  <c r="AB348" i="1"/>
  <c r="AC348" i="1"/>
  <c r="W349" i="1"/>
  <c r="X349" i="1"/>
  <c r="Y349" i="1"/>
  <c r="Z349" i="1"/>
  <c r="AA349" i="1"/>
  <c r="AB349" i="1"/>
  <c r="AC349" i="1"/>
  <c r="W408" i="1"/>
  <c r="X408" i="1"/>
  <c r="Y408" i="1"/>
  <c r="Z408" i="1"/>
  <c r="AA408" i="1"/>
  <c r="AB408" i="1"/>
  <c r="AC408" i="1"/>
  <c r="W409" i="1"/>
  <c r="X409" i="1"/>
  <c r="Y409" i="1"/>
  <c r="Z409" i="1"/>
  <c r="AA409" i="1"/>
  <c r="AB409" i="1"/>
  <c r="AC409" i="1"/>
  <c r="W448" i="1"/>
  <c r="X448" i="1"/>
  <c r="Y448" i="1"/>
  <c r="Z448" i="1"/>
  <c r="AA448" i="1"/>
  <c r="AB448" i="1"/>
  <c r="AC448" i="1"/>
  <c r="W450" i="1"/>
  <c r="X450" i="1"/>
  <c r="Y450" i="1"/>
  <c r="Z450" i="1"/>
  <c r="AA450" i="1"/>
  <c r="AB450" i="1"/>
  <c r="AC450" i="1"/>
  <c r="W452" i="1"/>
  <c r="X452" i="1"/>
  <c r="Y452" i="1"/>
  <c r="Z452" i="1"/>
  <c r="AA452" i="1"/>
  <c r="AB452" i="1"/>
  <c r="AC452" i="1"/>
  <c r="W453" i="1"/>
  <c r="X453" i="1"/>
  <c r="Y453" i="1"/>
  <c r="Z453" i="1"/>
  <c r="AA453" i="1"/>
  <c r="AB453" i="1"/>
  <c r="AC453" i="1"/>
  <c r="W454" i="1"/>
  <c r="X454" i="1"/>
  <c r="Y454" i="1"/>
  <c r="Z454" i="1"/>
  <c r="AA454" i="1"/>
  <c r="AB454" i="1"/>
  <c r="AC454" i="1"/>
  <c r="W521" i="1"/>
  <c r="X521" i="1"/>
  <c r="Y521" i="1"/>
  <c r="Z521" i="1"/>
  <c r="AA521" i="1"/>
  <c r="AB521" i="1"/>
  <c r="AC521" i="1"/>
  <c r="W522" i="1"/>
  <c r="X522" i="1"/>
  <c r="Y522" i="1"/>
  <c r="Z522" i="1"/>
  <c r="AA522" i="1"/>
  <c r="AB522" i="1"/>
  <c r="AC522" i="1"/>
  <c r="W523" i="1"/>
  <c r="X523" i="1"/>
  <c r="Y523" i="1"/>
  <c r="Z523" i="1"/>
  <c r="AA523" i="1"/>
  <c r="AB523" i="1"/>
  <c r="AC523" i="1"/>
  <c r="W525" i="1"/>
  <c r="X525" i="1"/>
  <c r="Y525" i="1"/>
  <c r="Z525" i="1"/>
  <c r="AA525" i="1"/>
  <c r="AB525" i="1"/>
  <c r="AC525" i="1"/>
  <c r="W529" i="1"/>
  <c r="X529" i="1"/>
  <c r="Y529" i="1"/>
  <c r="Z529" i="1"/>
  <c r="AA529" i="1"/>
  <c r="AB529" i="1"/>
  <c r="AC529" i="1"/>
  <c r="W530" i="1"/>
  <c r="X530" i="1"/>
  <c r="Y530" i="1"/>
  <c r="Z530" i="1"/>
  <c r="AA530" i="1"/>
  <c r="AB530" i="1"/>
  <c r="AC530" i="1"/>
  <c r="W531" i="1"/>
  <c r="X531" i="1"/>
  <c r="Y531" i="1"/>
  <c r="Z531" i="1"/>
  <c r="AA531" i="1"/>
  <c r="AB531" i="1"/>
  <c r="AC531" i="1"/>
  <c r="E525" i="3"/>
  <c r="F525" i="3"/>
  <c r="AB1" i="13"/>
  <c r="P131" i="13"/>
  <c r="P147" i="13"/>
  <c r="P148" i="13"/>
  <c r="P150" i="13"/>
  <c r="P151" i="13"/>
  <c r="P154" i="13"/>
  <c r="P156" i="13"/>
  <c r="Q156" i="13"/>
  <c r="R156" i="13"/>
  <c r="S156" i="13"/>
  <c r="T156" i="13"/>
  <c r="U156" i="13"/>
  <c r="V156" i="13"/>
  <c r="W156" i="13"/>
  <c r="X156" i="13"/>
  <c r="Y156" i="13"/>
  <c r="Z156" i="13"/>
  <c r="AA156" i="13"/>
  <c r="P157" i="13"/>
  <c r="Q157" i="13"/>
  <c r="R157" i="13"/>
  <c r="S157" i="13"/>
  <c r="T157" i="13"/>
  <c r="U157" i="13"/>
  <c r="V157" i="13"/>
  <c r="W157" i="13"/>
  <c r="X157" i="13"/>
  <c r="Y157" i="13"/>
  <c r="Z157" i="13"/>
  <c r="AA157" i="13"/>
  <c r="P170" i="13"/>
  <c r="P172" i="13"/>
  <c r="H4" i="9"/>
  <c r="E5" i="9"/>
  <c r="F5" i="9"/>
  <c r="H5" i="9"/>
  <c r="H6" i="9"/>
  <c r="H8" i="9"/>
  <c r="D11" i="9"/>
  <c r="E11" i="9"/>
  <c r="F11" i="9"/>
  <c r="G11" i="9"/>
  <c r="H11" i="9"/>
  <c r="AC11" i="9"/>
  <c r="AK11" i="9"/>
  <c r="D12" i="9"/>
  <c r="E12" i="9"/>
  <c r="F12" i="9"/>
  <c r="G12" i="9"/>
  <c r="H12" i="9"/>
  <c r="AC12" i="9"/>
  <c r="H13" i="9"/>
  <c r="H14" i="9"/>
  <c r="G18" i="9"/>
  <c r="AC18" i="9"/>
  <c r="G20" i="9"/>
  <c r="AC20" i="9"/>
  <c r="G23" i="9"/>
  <c r="AC23" i="9"/>
  <c r="G24" i="9"/>
  <c r="AC24" i="9"/>
  <c r="G27" i="9"/>
  <c r="AC27" i="9"/>
  <c r="AI30" i="9"/>
  <c r="G31" i="9"/>
  <c r="AC31" i="9"/>
  <c r="AI31" i="9"/>
  <c r="AI32" i="9"/>
  <c r="AI34" i="9"/>
  <c r="G35" i="9"/>
  <c r="AC35" i="9"/>
  <c r="AI35" i="9"/>
  <c r="G37" i="9"/>
  <c r="D79" i="9"/>
  <c r="E79" i="9"/>
  <c r="F79" i="9"/>
  <c r="G79" i="9"/>
  <c r="D80" i="9"/>
  <c r="E80" i="9"/>
  <c r="F80" i="9"/>
  <c r="G80" i="9"/>
  <c r="G82" i="9"/>
  <c r="J5" i="26"/>
  <c r="K5" i="26"/>
  <c r="L5" i="26"/>
  <c r="M5" i="26"/>
  <c r="J6" i="26"/>
  <c r="K6" i="26"/>
  <c r="L6" i="26"/>
  <c r="M6" i="26"/>
  <c r="E7" i="26"/>
  <c r="F7" i="26"/>
  <c r="J7" i="26"/>
  <c r="K7" i="26"/>
  <c r="L7" i="26"/>
  <c r="M7" i="26"/>
  <c r="J8" i="26"/>
  <c r="K8" i="26"/>
  <c r="L8" i="26"/>
  <c r="M8" i="26"/>
  <c r="L9" i="26"/>
  <c r="M9" i="26"/>
  <c r="C10" i="26"/>
  <c r="D10" i="26"/>
  <c r="E10" i="26"/>
  <c r="F10" i="26"/>
  <c r="L10" i="26"/>
  <c r="M10" i="26"/>
  <c r="C12" i="26"/>
  <c r="D12" i="26"/>
  <c r="E12" i="26"/>
  <c r="F12" i="26"/>
  <c r="E19" i="26"/>
  <c r="F19" i="26"/>
  <c r="E20" i="26"/>
  <c r="F20" i="26"/>
  <c r="E22" i="26"/>
  <c r="F22" i="26"/>
  <c r="L37" i="12"/>
  <c r="M37" i="12"/>
  <c r="N37" i="12"/>
  <c r="O37" i="12"/>
  <c r="P37" i="12"/>
  <c r="Q37" i="12"/>
  <c r="R37" i="12"/>
  <c r="L41" i="12"/>
  <c r="M41" i="12"/>
  <c r="N41" i="12"/>
  <c r="O41" i="12"/>
  <c r="P41" i="12"/>
  <c r="Q41" i="12"/>
  <c r="R41" i="12"/>
  <c r="L43" i="12"/>
  <c r="M43" i="12"/>
  <c r="N43" i="12"/>
  <c r="O43" i="12"/>
  <c r="P43" i="12"/>
  <c r="Q43" i="12"/>
  <c r="R43" i="12"/>
  <c r="L45" i="12"/>
  <c r="M45" i="12"/>
  <c r="N45" i="12"/>
  <c r="O45" i="12"/>
  <c r="P45" i="12"/>
  <c r="Q45" i="12"/>
  <c r="R45" i="12"/>
  <c r="L47" i="12"/>
  <c r="M47" i="12"/>
  <c r="N47" i="12"/>
  <c r="O47" i="12"/>
  <c r="P47" i="12"/>
  <c r="Q47" i="12"/>
  <c r="R47" i="12"/>
  <c r="L54" i="12"/>
  <c r="M54" i="12"/>
  <c r="N54" i="12"/>
  <c r="O54" i="12"/>
  <c r="P54" i="12"/>
  <c r="Q54" i="12"/>
  <c r="R54" i="12"/>
  <c r="L92" i="12"/>
  <c r="M92" i="12"/>
  <c r="N92" i="12"/>
  <c r="O92" i="12"/>
  <c r="P92" i="12"/>
  <c r="Q92" i="12"/>
  <c r="R92" i="12"/>
  <c r="L93" i="12"/>
  <c r="M93" i="12"/>
  <c r="N93" i="12"/>
  <c r="O93" i="12"/>
  <c r="P93" i="12"/>
  <c r="Q93" i="12"/>
  <c r="R93" i="12"/>
  <c r="L94" i="12"/>
  <c r="M94" i="12"/>
  <c r="N94" i="12"/>
  <c r="O94" i="12"/>
  <c r="P94" i="12"/>
  <c r="Q94" i="12"/>
  <c r="R94" i="12"/>
  <c r="L97" i="12"/>
  <c r="M97" i="12"/>
  <c r="N97" i="12"/>
  <c r="O97" i="12"/>
  <c r="P97" i="12"/>
  <c r="Q97" i="12"/>
  <c r="R97" i="12"/>
  <c r="C101" i="12"/>
  <c r="C104" i="12"/>
  <c r="C105" i="12"/>
  <c r="C107" i="12"/>
  <c r="C108" i="12"/>
  <c r="C109" i="12"/>
  <c r="C111" i="12"/>
  <c r="C116" i="12"/>
  <c r="C117" i="12"/>
  <c r="C118" i="12"/>
  <c r="L121" i="12"/>
  <c r="M121" i="12"/>
  <c r="N121" i="12"/>
  <c r="O121" i="12"/>
  <c r="P121" i="12"/>
  <c r="Q121" i="12"/>
  <c r="R121" i="12"/>
  <c r="C122" i="12"/>
  <c r="C123" i="12"/>
  <c r="C124" i="12"/>
  <c r="C125" i="12"/>
  <c r="C126" i="12"/>
  <c r="C127" i="12"/>
  <c r="C174" i="12"/>
  <c r="C175" i="12"/>
  <c r="C176" i="12"/>
  <c r="E13" i="7"/>
  <c r="F13" i="7"/>
  <c r="G13" i="7"/>
  <c r="H13" i="7"/>
  <c r="I13" i="7"/>
  <c r="J13" i="7"/>
  <c r="K13" i="7"/>
  <c r="L13" i="7"/>
  <c r="M13" i="7"/>
  <c r="N13" i="7"/>
  <c r="O13" i="7"/>
  <c r="P13" i="7"/>
  <c r="Q13" i="7"/>
  <c r="R13" i="7"/>
  <c r="S13" i="7"/>
  <c r="T13" i="7"/>
  <c r="U13" i="7"/>
  <c r="V13" i="7"/>
  <c r="W13" i="7"/>
  <c r="X13" i="7"/>
  <c r="Y13" i="7"/>
  <c r="Z13" i="7"/>
  <c r="T15" i="7"/>
  <c r="U15" i="7"/>
  <c r="V15" i="7"/>
  <c r="W15" i="7"/>
  <c r="X15" i="7"/>
  <c r="Y15" i="7"/>
  <c r="Z15" i="7"/>
  <c r="E17" i="7"/>
  <c r="F17" i="7"/>
  <c r="G17" i="7"/>
  <c r="H17" i="7"/>
  <c r="I17" i="7"/>
  <c r="J17" i="7"/>
  <c r="K17" i="7"/>
  <c r="L17" i="7"/>
  <c r="M17" i="7"/>
  <c r="N17" i="7"/>
  <c r="O17" i="7"/>
  <c r="P17" i="7"/>
  <c r="Q17" i="7"/>
  <c r="R17" i="7"/>
  <c r="S17" i="7"/>
  <c r="T17" i="7"/>
  <c r="U17" i="7"/>
  <c r="V17" i="7"/>
  <c r="W17" i="7"/>
  <c r="X17" i="7"/>
  <c r="Y17" i="7"/>
  <c r="Z17" i="7"/>
  <c r="T26" i="7"/>
  <c r="U26" i="7"/>
  <c r="V26" i="7"/>
  <c r="W26" i="7"/>
  <c r="X26" i="7"/>
  <c r="Y26" i="7"/>
  <c r="Z26" i="7"/>
  <c r="T28" i="7"/>
  <c r="U28" i="7"/>
  <c r="V28" i="7"/>
  <c r="W28" i="7"/>
  <c r="X28" i="7"/>
  <c r="Y28" i="7"/>
  <c r="Z28" i="7"/>
  <c r="T32" i="7"/>
  <c r="U32" i="7"/>
  <c r="V32" i="7"/>
  <c r="W32" i="7"/>
  <c r="X32" i="7"/>
  <c r="Y32" i="7"/>
  <c r="Z32" i="7"/>
  <c r="T33" i="7"/>
  <c r="U33" i="7"/>
  <c r="V33" i="7"/>
  <c r="W33" i="7"/>
  <c r="X33" i="7"/>
  <c r="Y33" i="7"/>
  <c r="Z33" i="7"/>
  <c r="T40" i="7"/>
  <c r="U40" i="7"/>
  <c r="V40" i="7"/>
  <c r="W40" i="7"/>
  <c r="X40" i="7"/>
  <c r="Y40" i="7"/>
  <c r="Z40" i="7"/>
  <c r="E43" i="7"/>
  <c r="F43" i="7"/>
  <c r="G43" i="7"/>
  <c r="H43" i="7"/>
  <c r="I43" i="7"/>
  <c r="J43" i="7"/>
  <c r="K43" i="7"/>
  <c r="L43" i="7"/>
  <c r="M43" i="7"/>
  <c r="N43" i="7"/>
  <c r="O43" i="7"/>
  <c r="P43" i="7"/>
  <c r="Q43" i="7"/>
  <c r="R43" i="7"/>
  <c r="S43" i="7"/>
  <c r="T43" i="7"/>
  <c r="U43" i="7"/>
  <c r="V43" i="7"/>
  <c r="W43" i="7"/>
  <c r="X43" i="7"/>
  <c r="Y43" i="7"/>
  <c r="Z43" i="7"/>
  <c r="E44" i="7"/>
  <c r="F44" i="7"/>
  <c r="G44" i="7"/>
  <c r="H44" i="7"/>
  <c r="I44" i="7"/>
  <c r="J44" i="7"/>
  <c r="K44" i="7"/>
  <c r="L44" i="7"/>
  <c r="M44" i="7"/>
  <c r="N44" i="7"/>
  <c r="O44" i="7"/>
  <c r="P44" i="7"/>
  <c r="Q44" i="7"/>
  <c r="R44" i="7"/>
  <c r="S44" i="7"/>
  <c r="T44" i="7"/>
  <c r="U44" i="7"/>
  <c r="V44" i="7"/>
  <c r="W44" i="7"/>
  <c r="X44" i="7"/>
  <c r="Y44" i="7"/>
  <c r="Z44" i="7"/>
  <c r="E45" i="7"/>
  <c r="F45" i="7"/>
  <c r="G45" i="7"/>
  <c r="H45" i="7"/>
  <c r="I45" i="7"/>
  <c r="J45" i="7"/>
  <c r="K45" i="7"/>
  <c r="L45" i="7"/>
  <c r="M45" i="7"/>
  <c r="N45" i="7"/>
  <c r="O45" i="7"/>
  <c r="P45" i="7"/>
  <c r="Q45" i="7"/>
  <c r="R45" i="7"/>
  <c r="S45" i="7"/>
  <c r="T45" i="7"/>
  <c r="U45" i="7"/>
  <c r="V45" i="7"/>
  <c r="W45" i="7"/>
  <c r="X45" i="7"/>
  <c r="Y45" i="7"/>
  <c r="Z45" i="7"/>
  <c r="T47" i="7"/>
  <c r="U47" i="7"/>
  <c r="V47" i="7"/>
  <c r="W47" i="7"/>
  <c r="X47" i="7"/>
  <c r="Y47" i="7"/>
  <c r="Z47" i="7"/>
  <c r="T48" i="7"/>
  <c r="U48" i="7"/>
  <c r="V48" i="7"/>
  <c r="W48" i="7"/>
  <c r="X48" i="7"/>
  <c r="Y48" i="7"/>
  <c r="Z48" i="7"/>
  <c r="T51" i="7"/>
  <c r="U51" i="7"/>
  <c r="V51" i="7"/>
  <c r="W51" i="7"/>
  <c r="X51" i="7"/>
  <c r="Y51" i="7"/>
  <c r="Z51" i="7"/>
  <c r="T53" i="7"/>
  <c r="U53" i="7"/>
  <c r="V53" i="7"/>
  <c r="W53" i="7"/>
  <c r="X53" i="7"/>
  <c r="Y53" i="7"/>
  <c r="Z53" i="7"/>
  <c r="T57" i="7"/>
  <c r="U57" i="7"/>
  <c r="V57" i="7"/>
  <c r="W57" i="7"/>
  <c r="X57" i="7"/>
  <c r="Y57" i="7"/>
  <c r="Z57" i="7"/>
  <c r="R60" i="7"/>
  <c r="S60" i="7"/>
  <c r="T60" i="7"/>
  <c r="U60" i="7"/>
  <c r="V60" i="7"/>
  <c r="W60" i="7"/>
  <c r="X60" i="7"/>
  <c r="Y60" i="7"/>
  <c r="Z60" i="7"/>
  <c r="R61" i="7"/>
  <c r="S61" i="7"/>
  <c r="T61" i="7"/>
  <c r="U61" i="7"/>
  <c r="V61" i="7"/>
  <c r="W61" i="7"/>
  <c r="X61" i="7"/>
  <c r="Y61" i="7"/>
  <c r="Z61" i="7"/>
  <c r="R64" i="7"/>
  <c r="S64" i="7"/>
  <c r="T64" i="7"/>
  <c r="U64" i="7"/>
  <c r="V64" i="7"/>
  <c r="W64" i="7"/>
  <c r="X64" i="7"/>
  <c r="Y64" i="7"/>
  <c r="Z64" i="7"/>
  <c r="T66" i="7"/>
  <c r="U66" i="7"/>
  <c r="V66" i="7"/>
  <c r="W66" i="7"/>
  <c r="X66" i="7"/>
  <c r="Y66" i="7"/>
  <c r="Z66" i="7"/>
  <c r="T68" i="7"/>
  <c r="U68" i="7"/>
  <c r="V68" i="7"/>
  <c r="W68" i="7"/>
  <c r="X68" i="7"/>
  <c r="Y68" i="7"/>
  <c r="Z68"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author>
  </authors>
  <commentList>
    <comment ref="B14" authorId="0" shapeId="0" xr:uid="{007787DC-BA6B-49BC-8296-9FAD1EB7D199}">
      <text>
        <r>
          <rPr>
            <sz val="9"/>
            <color indexed="81"/>
            <rFont val="Tahoma"/>
            <family val="2"/>
          </rPr>
          <t xml:space="preserve">
Consortium leasing 20,000 km of dark fibre using DWDM</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Soomit Datta</author>
    <author>David</author>
  </authors>
  <commentList>
    <comment ref="AX8" authorId="0" shapeId="0" xr:uid="{780216D1-C24A-4E6F-8A2D-E9D506F54C50}">
      <text>
        <r>
          <rPr>
            <b/>
            <sz val="9"/>
            <color indexed="81"/>
            <rFont val="Tahoma"/>
            <family val="2"/>
          </rPr>
          <t>Soomit Datta:</t>
        </r>
        <r>
          <rPr>
            <sz val="9"/>
            <color indexed="81"/>
            <rFont val="Tahoma"/>
            <family val="2"/>
          </rPr>
          <t xml:space="preserve">
Assets held for sale
</t>
        </r>
      </text>
    </comment>
    <comment ref="AX15" authorId="0" shapeId="0" xr:uid="{1CAB5B80-06B2-47A0-B400-73247CDAF0A7}">
      <text>
        <r>
          <rPr>
            <b/>
            <sz val="9"/>
            <color indexed="81"/>
            <rFont val="Tahoma"/>
            <family val="2"/>
          </rPr>
          <t>Soomit Datta:</t>
        </r>
        <r>
          <rPr>
            <sz val="9"/>
            <color indexed="81"/>
            <rFont val="Tahoma"/>
            <family val="2"/>
          </rPr>
          <t xml:space="preserve">
Assets held for sale</t>
        </r>
      </text>
    </comment>
    <comment ref="S19" authorId="0" shapeId="0" xr:uid="{00000000-0006-0000-0200-000001000000}">
      <text>
        <r>
          <rPr>
            <b/>
            <sz val="9"/>
            <color indexed="81"/>
            <rFont val="Tahoma"/>
            <family val="2"/>
          </rPr>
          <t>Soomit Datta:</t>
        </r>
        <r>
          <rPr>
            <sz val="9"/>
            <color indexed="81"/>
            <rFont val="Tahoma"/>
            <family val="2"/>
          </rPr>
          <t xml:space="preserve">
15 days of Q3</t>
        </r>
      </text>
    </comment>
    <comment ref="T19" authorId="0" shapeId="0" xr:uid="{00000000-0006-0000-0200-000002000000}">
      <text>
        <r>
          <rPr>
            <b/>
            <sz val="9"/>
            <color indexed="81"/>
            <rFont val="Tahoma"/>
            <family val="2"/>
          </rPr>
          <t>Soomit Datta:</t>
        </r>
        <r>
          <rPr>
            <sz val="9"/>
            <color indexed="81"/>
            <rFont val="Tahoma"/>
            <family val="2"/>
          </rPr>
          <t xml:space="preserve">
full impact in Q4</t>
        </r>
      </text>
    </comment>
    <comment ref="AQ31" authorId="0" shapeId="0" xr:uid="{438B6684-2B8D-419A-85D3-891BFFAA0BEA}">
      <text>
        <r>
          <rPr>
            <b/>
            <sz val="9"/>
            <color indexed="81"/>
            <rFont val="Tahoma"/>
            <family val="2"/>
          </rPr>
          <t>Soomit Datta:</t>
        </r>
        <r>
          <rPr>
            <sz val="9"/>
            <color indexed="81"/>
            <rFont val="Tahoma"/>
            <family val="2"/>
          </rPr>
          <t xml:space="preserve">
Sale of Imagina</t>
        </r>
      </text>
    </comment>
    <comment ref="AS31" authorId="0" shapeId="0" xr:uid="{4C35979B-D4DD-4145-9EB0-CCE25A8FE5F8}">
      <text>
        <r>
          <rPr>
            <b/>
            <sz val="9"/>
            <color indexed="81"/>
            <rFont val="Tahoma"/>
            <family val="2"/>
          </rPr>
          <t>Soomit Datta:</t>
        </r>
        <r>
          <rPr>
            <sz val="9"/>
            <color indexed="81"/>
            <rFont val="Tahoma"/>
            <family val="2"/>
          </rPr>
          <t xml:space="preserve">
 Approximately two-thirds of the quarterly increase are non-cash and originated from the impairment of certain trademarks in our publishing
business and from the disposition of obsolete infrastructure in our Cable segment, as a result of the ongoing
upgrades to our network</t>
        </r>
      </text>
    </comment>
    <comment ref="BT31" authorId="1" shapeId="0" xr:uid="{E674C94A-7EF4-4AD7-8715-F4BF649F788A}">
      <text>
        <r>
          <rPr>
            <b/>
            <sz val="9"/>
            <color indexed="81"/>
            <rFont val="Tahoma"/>
            <family val="2"/>
          </rPr>
          <t>David:</t>
        </r>
        <r>
          <rPr>
            <sz val="9"/>
            <color indexed="81"/>
            <rFont val="Tahoma"/>
            <family val="2"/>
          </rPr>
          <t xml:space="preserve">
Gain on sale of property to certain companies in our
former Other Businesses segment that was recognized on January 31, 2024, in connection with
the spin-off that we carried out on that date</t>
        </r>
      </text>
    </comment>
    <comment ref="BW31" authorId="1" shapeId="0" xr:uid="{B2FCD719-03AA-477F-89DC-46E16A393797}">
      <text>
        <r>
          <rPr>
            <b/>
            <sz val="9"/>
            <color indexed="81"/>
            <rFont val="Tahoma"/>
            <family val="2"/>
          </rPr>
          <t>David:</t>
        </r>
        <r>
          <rPr>
            <sz val="9"/>
            <color indexed="81"/>
            <rFont val="Tahoma"/>
            <family val="2"/>
          </rPr>
          <t xml:space="preserve">
Includes $30m from insurance company (hurricane Otis)</t>
        </r>
      </text>
    </comment>
    <comment ref="AP47" authorId="0" shapeId="0" xr:uid="{00000000-0006-0000-0200-000003000000}">
      <text>
        <r>
          <rPr>
            <b/>
            <sz val="9"/>
            <color indexed="81"/>
            <rFont val="Tahoma"/>
            <family val="2"/>
          </rPr>
          <t>Soomit Datta:</t>
        </r>
        <r>
          <rPr>
            <sz val="9"/>
            <color indexed="81"/>
            <rFont val="Tahoma"/>
            <family val="2"/>
          </rPr>
          <t xml:space="preserve">
last year fx</t>
        </r>
      </text>
    </comment>
    <comment ref="AQ47" authorId="0" shapeId="0" xr:uid="{00000000-0006-0000-0200-000004000000}">
      <text>
        <r>
          <rPr>
            <b/>
            <sz val="9"/>
            <color indexed="81"/>
            <rFont val="Tahoma"/>
            <family val="2"/>
          </rPr>
          <t>Soomit Datta:</t>
        </r>
        <r>
          <rPr>
            <sz val="9"/>
            <color indexed="81"/>
            <rFont val="Tahoma"/>
            <family val="2"/>
          </rPr>
          <t xml:space="preserve">
last year fx</t>
        </r>
      </text>
    </comment>
    <comment ref="BM53" authorId="0" shapeId="0" xr:uid="{98463205-0CF8-4E69-AC20-0ADD6FC40547}">
      <text>
        <r>
          <rPr>
            <b/>
            <sz val="9"/>
            <color indexed="81"/>
            <rFont val="Tahoma"/>
            <family val="2"/>
          </rPr>
          <t>Soomit Datta:</t>
        </r>
        <r>
          <rPr>
            <sz val="9"/>
            <color indexed="81"/>
            <rFont val="Tahoma"/>
            <family val="2"/>
          </rPr>
          <t xml:space="preserve">
34.3% clean for World Cup expenses and amortisation costs</t>
        </r>
      </text>
    </comment>
    <comment ref="X79" authorId="0" shapeId="0" xr:uid="{00000000-0006-0000-0200-000008000000}">
      <text>
        <r>
          <rPr>
            <b/>
            <sz val="9"/>
            <color indexed="81"/>
            <rFont val="Tahoma"/>
            <family val="2"/>
          </rPr>
          <t>Soomit Datta:</t>
        </r>
        <r>
          <rPr>
            <sz val="9"/>
            <color indexed="81"/>
            <rFont val="Tahoma"/>
            <family val="2"/>
          </rPr>
          <t xml:space="preserve">
Iusacell write off, BMP option </t>
        </r>
      </text>
    </comment>
    <comment ref="AA79" authorId="0" shapeId="0" xr:uid="{00000000-0006-0000-0200-000009000000}">
      <text>
        <r>
          <rPr>
            <b/>
            <sz val="9"/>
            <color indexed="81"/>
            <rFont val="Tahoma"/>
            <family val="2"/>
          </rPr>
          <t>Soomit Datta:</t>
        </r>
        <r>
          <rPr>
            <sz val="9"/>
            <color indexed="81"/>
            <rFont val="Tahoma"/>
            <family val="2"/>
          </rPr>
          <t xml:space="preserve">
</t>
        </r>
      </text>
    </comment>
    <comment ref="AD160" authorId="0" shapeId="0" xr:uid="{00000000-0006-0000-0200-00000A000000}">
      <text>
        <r>
          <rPr>
            <b/>
            <sz val="9"/>
            <color indexed="81"/>
            <rFont val="Tahoma"/>
            <family val="2"/>
          </rPr>
          <t>Soomit Datta:</t>
        </r>
        <r>
          <rPr>
            <sz val="9"/>
            <color indexed="81"/>
            <rFont val="Tahoma"/>
            <family val="2"/>
          </rPr>
          <t xml:space="preserve">
restated to include finance leases</t>
        </r>
      </text>
    </comment>
    <comment ref="BT160" authorId="1" shapeId="0" xr:uid="{9C4FD297-C531-4A1D-8721-BCD4FE310506}">
      <text>
        <r>
          <rPr>
            <b/>
            <sz val="9"/>
            <color indexed="81"/>
            <rFont val="Tahoma"/>
            <family val="2"/>
          </rPr>
          <t>David:</t>
        </r>
        <r>
          <rPr>
            <sz val="9"/>
            <color indexed="81"/>
            <rFont val="Tahoma"/>
            <family val="2"/>
          </rPr>
          <t xml:space="preserve">
Includes NC investments in financial instruments</t>
        </r>
      </text>
    </comment>
    <comment ref="AU169" authorId="0" shapeId="0" xr:uid="{5C795B5A-359B-418B-99D1-03FB9A693A63}">
      <text>
        <r>
          <rPr>
            <b/>
            <sz val="9"/>
            <color indexed="81"/>
            <rFont val="Tahoma"/>
            <family val="2"/>
          </rPr>
          <t>Soomit Datta:</t>
        </r>
        <r>
          <rPr>
            <sz val="9"/>
            <color indexed="81"/>
            <rFont val="Tahoma"/>
            <family val="2"/>
          </rPr>
          <t xml:space="preserve">
IFRS16 adjusted for historics</t>
        </r>
      </text>
    </comment>
    <comment ref="AV169" authorId="0" shapeId="0" xr:uid="{AFE8618E-EC6D-48AD-830E-1ED09E687C34}">
      <text>
        <r>
          <rPr>
            <b/>
            <sz val="9"/>
            <color indexed="81"/>
            <rFont val="Tahoma"/>
            <family val="2"/>
          </rPr>
          <t>Soomit Datta:</t>
        </r>
        <r>
          <rPr>
            <sz val="9"/>
            <color indexed="81"/>
            <rFont val="Tahoma"/>
            <family val="2"/>
          </rPr>
          <t xml:space="preserve">
IFRS16 adjusted for historics</t>
        </r>
      </text>
    </comment>
    <comment ref="AW169" authorId="0" shapeId="0" xr:uid="{AA029715-DFE8-4D9F-80E7-CC63BC1DBBF4}">
      <text>
        <r>
          <rPr>
            <b/>
            <sz val="9"/>
            <color indexed="81"/>
            <rFont val="Tahoma"/>
            <family val="2"/>
          </rPr>
          <t>Soomit Datta:</t>
        </r>
        <r>
          <rPr>
            <sz val="9"/>
            <color indexed="81"/>
            <rFont val="Tahoma"/>
            <family val="2"/>
          </rPr>
          <t xml:space="preserve">
IFRS16 adjusted for historics</t>
        </r>
      </text>
    </comment>
    <comment ref="S182" authorId="0" shapeId="0" xr:uid="{00000000-0006-0000-0200-00000B000000}">
      <text>
        <r>
          <rPr>
            <b/>
            <sz val="9"/>
            <color indexed="81"/>
            <rFont val="Tahoma"/>
            <family val="2"/>
          </rPr>
          <t>Soomit Datta:</t>
        </r>
        <r>
          <rPr>
            <sz val="9"/>
            <color indexed="81"/>
            <rFont val="Tahoma"/>
            <family val="2"/>
          </rPr>
          <t xml:space="preserve">
Adjusted to estimate revenue charge for Sep 15 charging</t>
        </r>
      </text>
    </comment>
    <comment ref="AS186" authorId="0" shapeId="0" xr:uid="{ABD41C12-8803-4CF7-BC56-15A0E1DEDB94}">
      <text>
        <r>
          <rPr>
            <b/>
            <sz val="9"/>
            <color indexed="81"/>
            <rFont val="Tahoma"/>
            <family val="2"/>
          </rPr>
          <t>Soomit Datta:</t>
        </r>
        <r>
          <rPr>
            <sz val="9"/>
            <color indexed="81"/>
            <rFont val="Tahoma"/>
            <family val="2"/>
          </rPr>
          <t xml:space="preserve">
one time negative $65m revenue adjustment at UNI. Works out at $10m of UNI royalties hit</t>
        </r>
      </text>
    </comment>
    <comment ref="AN187" authorId="0" shapeId="0" xr:uid="{00000000-0006-0000-0200-00000C000000}">
      <text>
        <r>
          <rPr>
            <b/>
            <sz val="9"/>
            <color indexed="81"/>
            <rFont val="Tahoma"/>
            <family val="2"/>
          </rPr>
          <t>Soomit Datta:</t>
        </r>
        <r>
          <rPr>
            <sz val="9"/>
            <color indexed="81"/>
            <rFont val="Tahoma"/>
            <family val="2"/>
          </rPr>
          <t xml:space="preserve">
Isaac trying to optimise use of library. </t>
        </r>
      </text>
    </comment>
    <comment ref="A240" authorId="1" shapeId="0" xr:uid="{A3B9B807-3F18-4A8D-9624-CC337E6D716F}">
      <text>
        <r>
          <rPr>
            <b/>
            <sz val="9"/>
            <color indexed="81"/>
            <rFont val="Tahoma"/>
            <family val="2"/>
          </rPr>
          <t>David:</t>
        </r>
        <r>
          <rPr>
            <sz val="9"/>
            <color indexed="81"/>
            <rFont val="Tahoma"/>
            <family val="2"/>
          </rPr>
          <t xml:space="preserve">
Using MEGA</t>
        </r>
      </text>
    </comment>
    <comment ref="AU240" authorId="0" shapeId="0" xr:uid="{7D923E4C-5681-46DF-8C83-515D6DD56A59}">
      <text>
        <r>
          <rPr>
            <b/>
            <sz val="9"/>
            <color indexed="81"/>
            <rFont val="Tahoma"/>
            <family val="2"/>
          </rPr>
          <t>Soomit Datta:</t>
        </r>
        <r>
          <rPr>
            <sz val="9"/>
            <color indexed="81"/>
            <rFont val="Tahoma"/>
            <family val="2"/>
          </rPr>
          <t xml:space="preserve">
use MEGA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Soomit Datta</author>
  </authors>
  <commentList>
    <comment ref="E4827" authorId="0" shapeId="0" xr:uid="{1906A786-0FBB-4552-B79D-3E20F67FC496}">
      <text>
        <r>
          <rPr>
            <b/>
            <sz val="9"/>
            <color indexed="81"/>
            <rFont val="Tahoma"/>
            <family val="2"/>
          </rPr>
          <t>Soomit Datta:</t>
        </r>
        <r>
          <rPr>
            <sz val="9"/>
            <color indexed="81"/>
            <rFont val="Tahoma"/>
            <family val="2"/>
          </rPr>
          <t xml:space="preserve">
2.5 billion streamed hours in 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Soomit Datta</author>
  </authors>
  <commentList>
    <comment ref="W22" authorId="0" shapeId="0" xr:uid="{00000000-0006-0000-0800-000001000000}">
      <text>
        <r>
          <rPr>
            <b/>
            <sz val="9"/>
            <color indexed="81"/>
            <rFont val="Tahoma"/>
            <family val="2"/>
          </rPr>
          <t>Soomit Datta:</t>
        </r>
        <r>
          <rPr>
            <sz val="9"/>
            <color indexed="81"/>
            <rFont val="Tahoma"/>
            <family val="2"/>
          </rPr>
          <t xml:space="preserve">
599 is naked BB</t>
        </r>
      </text>
    </comment>
    <comment ref="X22" authorId="0" shapeId="0" xr:uid="{00000000-0006-0000-0800-000002000000}">
      <text>
        <r>
          <rPr>
            <b/>
            <sz val="9"/>
            <color indexed="81"/>
            <rFont val="Tahoma"/>
            <family val="2"/>
          </rPr>
          <t>Soomit Datta:</t>
        </r>
        <r>
          <rPr>
            <sz val="9"/>
            <color indexed="81"/>
            <rFont val="Tahoma"/>
            <family val="2"/>
          </rPr>
          <t xml:space="preserve">
749 is the naked BB list price</t>
        </r>
      </text>
    </comment>
    <comment ref="AB25" authorId="0" shapeId="0" xr:uid="{00000000-0006-0000-0800-000003000000}">
      <text>
        <r>
          <rPr>
            <b/>
            <sz val="9"/>
            <color indexed="81"/>
            <rFont val="Tahoma"/>
            <family val="2"/>
          </rPr>
          <t>Soomit Datta:</t>
        </r>
        <r>
          <rPr>
            <sz val="9"/>
            <color indexed="81"/>
            <rFont val="Tahoma"/>
            <family val="2"/>
          </rPr>
          <t xml:space="preserve">
or LD</t>
        </r>
      </text>
    </comment>
    <comment ref="O42" authorId="0" shapeId="0" xr:uid="{00000000-0006-0000-0800-000004000000}">
      <text>
        <r>
          <rPr>
            <b/>
            <sz val="9"/>
            <color indexed="81"/>
            <rFont val="Tahoma"/>
            <family val="2"/>
          </rPr>
          <t>Soomit Datta:</t>
        </r>
        <r>
          <rPr>
            <sz val="9"/>
            <color indexed="81"/>
            <rFont val="Tahoma"/>
            <family val="2"/>
          </rPr>
          <t xml:space="preserve">
Include 17 HD</t>
        </r>
      </text>
    </comment>
    <comment ref="P42" authorId="0" shapeId="0" xr:uid="{00000000-0006-0000-0800-000005000000}">
      <text>
        <r>
          <rPr>
            <b/>
            <sz val="9"/>
            <color indexed="81"/>
            <rFont val="Tahoma"/>
            <family val="2"/>
          </rPr>
          <t>Soomit Datta:</t>
        </r>
        <r>
          <rPr>
            <sz val="9"/>
            <color indexed="81"/>
            <rFont val="Tahoma"/>
            <family val="2"/>
          </rPr>
          <t xml:space="preserve">
Include 43 HD</t>
        </r>
      </text>
    </comment>
    <comment ref="Q42" authorId="0" shapeId="0" xr:uid="{00000000-0006-0000-0800-000006000000}">
      <text>
        <r>
          <rPr>
            <b/>
            <sz val="9"/>
            <color indexed="81"/>
            <rFont val="Tahoma"/>
            <family val="2"/>
          </rPr>
          <t>Soomit Datta:</t>
        </r>
        <r>
          <rPr>
            <sz val="9"/>
            <color indexed="81"/>
            <rFont val="Tahoma"/>
            <family val="2"/>
          </rPr>
          <t xml:space="preserve">
Include 47 HD</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Soomit Datta</author>
  </authors>
  <commentList>
    <comment ref="O30" authorId="0" shapeId="0" xr:uid="{00000000-0006-0000-0E00-000001000000}">
      <text>
        <r>
          <rPr>
            <b/>
            <sz val="9"/>
            <color indexed="81"/>
            <rFont val="Tahoma"/>
            <family val="2"/>
          </rPr>
          <t>Soomit Datta:</t>
        </r>
        <r>
          <rPr>
            <sz val="9"/>
            <color indexed="81"/>
            <rFont val="Tahoma"/>
            <family val="2"/>
          </rPr>
          <t xml:space="preserve">
ARPU of P$299 end 2009 according to last reported numbers</t>
        </r>
      </text>
    </comment>
    <comment ref="T58" authorId="0" shapeId="0" xr:uid="{00000000-0006-0000-0E00-000002000000}">
      <text>
        <r>
          <rPr>
            <b/>
            <sz val="9"/>
            <color indexed="81"/>
            <rFont val="Tahoma"/>
            <family val="2"/>
          </rPr>
          <t>Soomit Datta:</t>
        </r>
        <r>
          <rPr>
            <sz val="9"/>
            <color indexed="81"/>
            <rFont val="Tahoma"/>
            <family val="2"/>
          </rPr>
          <t xml:space="preserve">
Televisa said MTR cut will save Ps200m</t>
        </r>
      </text>
    </comment>
    <comment ref="U59" authorId="0" shapeId="0" xr:uid="{00000000-0006-0000-0E00-000003000000}">
      <text>
        <r>
          <rPr>
            <b/>
            <sz val="9"/>
            <color indexed="81"/>
            <rFont val="Tahoma"/>
            <family val="2"/>
          </rPr>
          <t>Soomit Datta:</t>
        </r>
        <r>
          <rPr>
            <sz val="9"/>
            <color indexed="81"/>
            <rFont val="Tahoma"/>
            <family val="2"/>
          </rPr>
          <t xml:space="preserve">
to reflect outbound cost to TEF</t>
        </r>
      </text>
    </comment>
    <comment ref="O76" authorId="0" shapeId="0" xr:uid="{00000000-0006-0000-0E00-000004000000}">
      <text>
        <r>
          <rPr>
            <b/>
            <sz val="9"/>
            <color indexed="81"/>
            <rFont val="Tahoma"/>
            <family val="2"/>
          </rPr>
          <t>Soomit Datta:</t>
        </r>
        <r>
          <rPr>
            <sz val="9"/>
            <color indexed="81"/>
            <rFont val="Tahoma"/>
            <family val="2"/>
          </rPr>
          <t xml:space="preserve">
assume maintenance</t>
        </r>
      </text>
    </comment>
    <comment ref="P76" authorId="0" shapeId="0" xr:uid="{00000000-0006-0000-0E00-000005000000}">
      <text>
        <r>
          <rPr>
            <b/>
            <sz val="9"/>
            <color indexed="81"/>
            <rFont val="Tahoma"/>
            <family val="2"/>
          </rPr>
          <t>Soomit Datta:</t>
        </r>
        <r>
          <rPr>
            <sz val="9"/>
            <color indexed="81"/>
            <rFont val="Tahoma"/>
            <family val="2"/>
          </rPr>
          <t xml:space="preserve">
assume maintenance</t>
        </r>
      </text>
    </comment>
    <comment ref="Q81" authorId="0" shapeId="0" xr:uid="{00000000-0006-0000-0E00-000006000000}">
      <text>
        <r>
          <rPr>
            <b/>
            <sz val="9"/>
            <color indexed="81"/>
            <rFont val="Tahoma"/>
            <family val="2"/>
          </rPr>
          <t>Soomit Datta:</t>
        </r>
        <r>
          <rPr>
            <sz val="9"/>
            <color indexed="81"/>
            <rFont val="Tahoma"/>
            <family val="2"/>
          </rPr>
          <t xml:space="preserve">
from AMX model</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Soomit Datta</author>
  </authors>
  <commentList>
    <comment ref="G8" authorId="0" shapeId="0" xr:uid="{00000000-0006-0000-0F00-000001000000}">
      <text>
        <r>
          <rPr>
            <b/>
            <sz val="9"/>
            <color indexed="81"/>
            <rFont val="Tahoma"/>
            <family val="2"/>
          </rPr>
          <t>Soomit Datta:</t>
        </r>
        <r>
          <rPr>
            <sz val="9"/>
            <color indexed="81"/>
            <rFont val="Tahoma"/>
            <family val="2"/>
          </rPr>
          <t xml:space="preserve">
$600-$700m for 2014: IR (March 2015)</t>
        </r>
      </text>
    </comment>
    <comment ref="M8" authorId="0" shapeId="0" xr:uid="{00000000-0006-0000-0F00-000002000000}">
      <text>
        <r>
          <rPr>
            <b/>
            <sz val="9"/>
            <color indexed="81"/>
            <rFont val="Tahoma"/>
            <family val="2"/>
          </rPr>
          <t>Soomit Datta:</t>
        </r>
        <r>
          <rPr>
            <sz val="9"/>
            <color indexed="81"/>
            <rFont val="Tahoma"/>
            <family val="2"/>
          </rPr>
          <t xml:space="preserve">
Retrans could x2 by end of decade (CFO, March 2015)</t>
        </r>
      </text>
    </comment>
    <comment ref="H9" authorId="0" shapeId="0" xr:uid="{00000000-0006-0000-0F00-000003000000}">
      <text>
        <r>
          <rPr>
            <b/>
            <sz val="9"/>
            <color indexed="81"/>
            <rFont val="Tahoma"/>
            <family val="2"/>
          </rPr>
          <t>Soomit Datta:</t>
        </r>
        <r>
          <rPr>
            <sz val="9"/>
            <color indexed="81"/>
            <rFont val="Tahoma"/>
            <family val="2"/>
          </rPr>
          <t xml:space="preserve">
no resets in 2015</t>
        </r>
      </text>
    </comment>
    <comment ref="H16" authorId="0" shapeId="0" xr:uid="{00000000-0006-0000-0F00-000004000000}">
      <text>
        <r>
          <rPr>
            <b/>
            <sz val="9"/>
            <color indexed="81"/>
            <rFont val="Tahoma"/>
            <family val="2"/>
          </rPr>
          <t>Soomit Datta:</t>
        </r>
        <r>
          <rPr>
            <sz val="9"/>
            <color indexed="81"/>
            <rFont val="Tahoma"/>
            <family val="2"/>
          </rPr>
          <t xml:space="preserve">
 incremental impact of the
2014 FIFA World Cup, the estimated incremental impact of the 2015 Gold Cup, political/advocacy
advertising revenue, content licensing revenue and 2015 revenue associated with the concurrent use of
adjacent spectrum in one of our existing markets for comparability, revenue for the year ended
December 31, 2015, increased by 2.6% to $2,704.2 million from $2,636.7 million</t>
        </r>
      </text>
    </comment>
    <comment ref="K27" authorId="0" shapeId="0" xr:uid="{00000000-0006-0000-0F00-000005000000}">
      <text>
        <r>
          <rPr>
            <b/>
            <sz val="9"/>
            <color indexed="81"/>
            <rFont val="Tahoma"/>
            <family val="2"/>
          </rPr>
          <t>Soomit Datta:</t>
        </r>
        <r>
          <rPr>
            <sz val="9"/>
            <color indexed="81"/>
            <rFont val="Tahoma"/>
            <family val="2"/>
          </rPr>
          <t xml:space="preserve">
Stop paying 4% to Venevision</t>
        </r>
      </text>
    </comment>
    <comment ref="C32" authorId="0" shapeId="0" xr:uid="{00000000-0006-0000-0F00-000006000000}">
      <text>
        <r>
          <rPr>
            <b/>
            <sz val="9"/>
            <color indexed="81"/>
            <rFont val="Tahoma"/>
            <family val="2"/>
          </rPr>
          <t>Soomit Datta:</t>
        </r>
        <r>
          <rPr>
            <sz val="9"/>
            <color indexed="81"/>
            <rFont val="Tahoma"/>
            <family val="2"/>
          </rPr>
          <t xml:space="preserve">
Largely Televisa settlements</t>
        </r>
      </text>
    </comment>
    <comment ref="F32" authorId="0" shapeId="0" xr:uid="{00000000-0006-0000-0F00-000007000000}">
      <text>
        <r>
          <rPr>
            <b/>
            <sz val="9"/>
            <color indexed="81"/>
            <rFont val="Tahoma"/>
            <family val="2"/>
          </rPr>
          <t>Soomit Datta:</t>
        </r>
        <r>
          <rPr>
            <sz val="9"/>
            <color indexed="81"/>
            <rFont val="Tahoma"/>
            <family val="2"/>
          </rPr>
          <t xml:space="preserve">
Impairment loss of $439.4</t>
        </r>
      </text>
    </comment>
    <comment ref="G32" authorId="0" shapeId="0" xr:uid="{00000000-0006-0000-0F00-000008000000}">
      <text>
        <r>
          <rPr>
            <b/>
            <sz val="9"/>
            <color indexed="81"/>
            <rFont val="Tahoma"/>
            <family val="2"/>
          </rPr>
          <t>Soomit Datta:</t>
        </r>
        <r>
          <rPr>
            <sz val="9"/>
            <color indexed="81"/>
            <rFont val="Tahoma"/>
            <family val="2"/>
          </rPr>
          <t xml:space="preserve">
impairment loss of $340.5m</t>
        </r>
      </text>
    </comment>
    <comment ref="H32" authorId="0" shapeId="0" xr:uid="{00000000-0006-0000-0F00-000009000000}">
      <text>
        <r>
          <rPr>
            <b/>
            <sz val="9"/>
            <color indexed="81"/>
            <rFont val="Tahoma"/>
            <family val="2"/>
          </rPr>
          <t>Soomit Datta:</t>
        </r>
        <r>
          <rPr>
            <sz val="9"/>
            <color indexed="81"/>
            <rFont val="Tahoma"/>
            <family val="2"/>
          </rPr>
          <t xml:space="preserve">
impairment loss of $224.4m</t>
        </r>
      </text>
    </comment>
    <comment ref="I32" authorId="0" shapeId="0" xr:uid="{00000000-0006-0000-0F00-00000A000000}">
      <text>
        <r>
          <rPr>
            <b/>
            <sz val="9"/>
            <color indexed="81"/>
            <rFont val="Tahoma"/>
            <family val="2"/>
          </rPr>
          <t>Soomit Datta:</t>
        </r>
        <r>
          <rPr>
            <sz val="9"/>
            <color indexed="81"/>
            <rFont val="Tahoma"/>
            <family val="2"/>
          </rPr>
          <t xml:space="preserve">
impairment loss of $224.4m</t>
        </r>
      </text>
    </comment>
    <comment ref="F55" authorId="0" shapeId="0" xr:uid="{00000000-0006-0000-0F00-00000B000000}">
      <text>
        <r>
          <rPr>
            <b/>
            <sz val="9"/>
            <color indexed="81"/>
            <rFont val="Tahoma"/>
            <family val="2"/>
          </rPr>
          <t>Soomit Datta:</t>
        </r>
        <r>
          <rPr>
            <sz val="9"/>
            <color indexed="81"/>
            <rFont val="Tahoma"/>
            <family val="2"/>
          </rPr>
          <t xml:space="preserve">
includes US$125m on World Cup</t>
        </r>
      </text>
    </comment>
    <comment ref="E60" authorId="0" shapeId="0" xr:uid="{00000000-0006-0000-0F00-00000C000000}">
      <text>
        <r>
          <rPr>
            <b/>
            <sz val="9"/>
            <color indexed="81"/>
            <rFont val="Tahoma"/>
            <family val="2"/>
          </rPr>
          <t>Soomit Datta:</t>
        </r>
        <r>
          <rPr>
            <sz val="9"/>
            <color indexed="81"/>
            <rFont val="Tahoma"/>
            <family val="2"/>
          </rPr>
          <t xml:space="preserve">
Extra US$600m in Sept 12</t>
        </r>
      </text>
    </comment>
    <comment ref="H62" authorId="0" shapeId="0" xr:uid="{00000000-0006-0000-0F00-00000D000000}">
      <text>
        <r>
          <rPr>
            <b/>
            <sz val="9"/>
            <color indexed="81"/>
            <rFont val="Tahoma"/>
            <family val="2"/>
          </rPr>
          <t>Soomit Datta:</t>
        </r>
        <r>
          <rPr>
            <sz val="9"/>
            <color indexed="81"/>
            <rFont val="Tahoma"/>
            <family val="2"/>
          </rPr>
          <t xml:space="preserve">
Tendered in Fen 2015</t>
        </r>
      </text>
    </comment>
    <comment ref="D64" authorId="0" shapeId="0" xr:uid="{00000000-0006-0000-0F00-00000E000000}">
      <text>
        <r>
          <rPr>
            <b/>
            <sz val="9"/>
            <color indexed="81"/>
            <rFont val="Tahoma"/>
            <family val="2"/>
          </rPr>
          <t>Soomit Datta:</t>
        </r>
        <r>
          <rPr>
            <sz val="9"/>
            <color indexed="81"/>
            <rFont val="Tahoma"/>
            <family val="2"/>
          </rPr>
          <t xml:space="preserve">
May 2011</t>
        </r>
      </text>
    </comment>
    <comment ref="E65" authorId="0" shapeId="0" xr:uid="{00000000-0006-0000-0F00-00000F000000}">
      <text>
        <r>
          <rPr>
            <b/>
            <sz val="9"/>
            <color indexed="81"/>
            <rFont val="Tahoma"/>
            <family val="2"/>
          </rPr>
          <t>Soomit Datta:</t>
        </r>
        <r>
          <rPr>
            <sz val="9"/>
            <color indexed="81"/>
            <rFont val="Tahoma"/>
            <family val="2"/>
          </rPr>
          <t xml:space="preserve">
Feb 12</t>
        </r>
      </text>
    </comment>
    <comment ref="H70" authorId="0" shapeId="0" xr:uid="{00000000-0006-0000-0F00-000010000000}">
      <text>
        <r>
          <rPr>
            <b/>
            <sz val="9"/>
            <color indexed="81"/>
            <rFont val="Tahoma"/>
            <family val="2"/>
          </rPr>
          <t>Soomit Datta:</t>
        </r>
        <r>
          <rPr>
            <sz val="9"/>
            <color indexed="81"/>
            <rFont val="Tahoma"/>
            <family val="2"/>
          </rPr>
          <t xml:space="preserve">
Feb 15</t>
        </r>
      </text>
    </comment>
    <comment ref="H71" authorId="0" shapeId="0" xr:uid="{00000000-0006-0000-0F00-000011000000}">
      <text>
        <r>
          <rPr>
            <b/>
            <sz val="9"/>
            <color indexed="81"/>
            <rFont val="Tahoma"/>
            <family val="2"/>
          </rPr>
          <t>Soomit Datta:</t>
        </r>
        <r>
          <rPr>
            <sz val="9"/>
            <color indexed="81"/>
            <rFont val="Tahoma"/>
            <family val="2"/>
          </rPr>
          <t xml:space="preserve">
Feb 15</t>
        </r>
      </text>
    </comment>
    <comment ref="H79" authorId="0" shapeId="0" xr:uid="{00000000-0006-0000-0F00-000012000000}">
      <text>
        <r>
          <rPr>
            <b/>
            <sz val="9"/>
            <color indexed="81"/>
            <rFont val="Tahoma"/>
            <family val="2"/>
          </rPr>
          <t>Soomit Datta:</t>
        </r>
        <r>
          <rPr>
            <sz val="9"/>
            <color indexed="81"/>
            <rFont val="Tahoma"/>
            <family val="2"/>
          </rPr>
          <t xml:space="preserve">
tendered Feb 15</t>
        </r>
      </text>
    </comment>
    <comment ref="B133" authorId="0" shapeId="0" xr:uid="{00000000-0006-0000-0F00-000013000000}">
      <text>
        <r>
          <rPr>
            <b/>
            <sz val="9"/>
            <color indexed="81"/>
            <rFont val="Tahoma"/>
            <family val="2"/>
          </rPr>
          <t>Soomit Datta:</t>
        </r>
        <r>
          <rPr>
            <sz val="9"/>
            <color indexed="81"/>
            <rFont val="Tahoma"/>
            <family val="2"/>
          </rPr>
          <t xml:space="preserve">
Ex certain soccer games. Set to fit in with guidance for US$245m of royalty payments in 2012 (as of Q2 12)</t>
        </r>
      </text>
    </comment>
    <comment ref="B277" authorId="0" shapeId="0" xr:uid="{00000000-0006-0000-0F00-000014000000}">
      <text>
        <r>
          <rPr>
            <b/>
            <sz val="9"/>
            <color indexed="81"/>
            <rFont val="Tahoma"/>
            <family val="2"/>
          </rPr>
          <t>Soomit Datta:</t>
        </r>
        <r>
          <rPr>
            <sz val="9"/>
            <color indexed="81"/>
            <rFont val="Tahoma"/>
            <family val="2"/>
          </rPr>
          <t xml:space="preserve">
Top 10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jboorman</author>
    <author>James Ratzer</author>
    <author>Soomit Datta</author>
  </authors>
  <commentList>
    <comment ref="C1310" authorId="0" shapeId="0" xr:uid="{00000000-0006-0000-0B00-000001000000}">
      <text>
        <r>
          <rPr>
            <b/>
            <sz val="10"/>
            <color indexed="81"/>
            <rFont val="Tahoma"/>
            <family val="2"/>
          </rPr>
          <t>jboorman:</t>
        </r>
        <r>
          <rPr>
            <sz val="10"/>
            <color indexed="81"/>
            <rFont val="Tahoma"/>
            <family val="2"/>
          </rPr>
          <t xml:space="preserve">
2001 census number</t>
        </r>
        <r>
          <rPr>
            <sz val="8"/>
            <color indexed="81"/>
            <rFont val="Tahoma"/>
            <family val="2"/>
          </rPr>
          <t xml:space="preserve">
</t>
        </r>
      </text>
    </comment>
    <comment ref="I1316" authorId="0" shapeId="0" xr:uid="{00000000-0006-0000-0B00-000002000000}">
      <text>
        <r>
          <rPr>
            <b/>
            <sz val="8"/>
            <color indexed="81"/>
            <rFont val="Tahoma"/>
            <family val="2"/>
          </rPr>
          <t>jboorman:</t>
        </r>
        <r>
          <rPr>
            <sz val="8"/>
            <color indexed="81"/>
            <rFont val="Tahoma"/>
            <family val="2"/>
          </rPr>
          <t xml:space="preserve">
adjusted up by 75k for q1 not q4 from vmed
</t>
        </r>
      </text>
    </comment>
    <comment ref="J1316" authorId="0" shapeId="0" xr:uid="{00000000-0006-0000-0B00-000003000000}">
      <text>
        <r>
          <rPr>
            <b/>
            <sz val="8"/>
            <color indexed="81"/>
            <rFont val="Tahoma"/>
            <family val="2"/>
          </rPr>
          <t>jboorman:</t>
        </r>
        <r>
          <rPr>
            <sz val="8"/>
            <color indexed="81"/>
            <rFont val="Tahoma"/>
            <family val="2"/>
          </rPr>
          <t xml:space="preserve">
adjusted up by 75k for q1 not q4 from vmed
</t>
        </r>
      </text>
    </comment>
    <comment ref="K1316" authorId="0" shapeId="0" xr:uid="{00000000-0006-0000-0B00-000004000000}">
      <text>
        <r>
          <rPr>
            <b/>
            <sz val="8"/>
            <color indexed="81"/>
            <rFont val="Tahoma"/>
            <family val="2"/>
          </rPr>
          <t>jboorman:</t>
        </r>
        <r>
          <rPr>
            <sz val="8"/>
            <color indexed="81"/>
            <rFont val="Tahoma"/>
            <family val="2"/>
          </rPr>
          <t xml:space="preserve">
adjusted up by 75k for q1 not q4 from vmed
</t>
        </r>
      </text>
    </comment>
    <comment ref="L1316" authorId="0" shapeId="0" xr:uid="{00000000-0006-0000-0B00-000005000000}">
      <text>
        <r>
          <rPr>
            <b/>
            <sz val="8"/>
            <color indexed="81"/>
            <rFont val="Tahoma"/>
            <family val="2"/>
          </rPr>
          <t>jboorman:</t>
        </r>
        <r>
          <rPr>
            <sz val="8"/>
            <color indexed="81"/>
            <rFont val="Tahoma"/>
            <family val="2"/>
          </rPr>
          <t xml:space="preserve">
adjusted up by 75k for q1 not q4 from vmed
</t>
        </r>
      </text>
    </comment>
    <comment ref="M1316" authorId="0" shapeId="0" xr:uid="{00000000-0006-0000-0B00-000006000000}">
      <text>
        <r>
          <rPr>
            <b/>
            <sz val="8"/>
            <color indexed="81"/>
            <rFont val="Tahoma"/>
            <family val="2"/>
          </rPr>
          <t>jboorman:</t>
        </r>
        <r>
          <rPr>
            <sz val="8"/>
            <color indexed="81"/>
            <rFont val="Tahoma"/>
            <family val="2"/>
          </rPr>
          <t xml:space="preserve">
adjusted up by 75k for q1 not q4 from vmed
</t>
        </r>
      </text>
    </comment>
    <comment ref="N1316" authorId="0" shapeId="0" xr:uid="{00000000-0006-0000-0B00-000007000000}">
      <text>
        <r>
          <rPr>
            <b/>
            <sz val="8"/>
            <color indexed="81"/>
            <rFont val="Tahoma"/>
            <family val="2"/>
          </rPr>
          <t>jboorman:</t>
        </r>
        <r>
          <rPr>
            <sz val="8"/>
            <color indexed="81"/>
            <rFont val="Tahoma"/>
            <family val="2"/>
          </rPr>
          <t xml:space="preserve">
adjusted up by 75k for q1 not q4 from vmed
</t>
        </r>
      </text>
    </comment>
    <comment ref="O1316" authorId="0" shapeId="0" xr:uid="{00000000-0006-0000-0B00-000008000000}">
      <text>
        <r>
          <rPr>
            <b/>
            <sz val="8"/>
            <color indexed="81"/>
            <rFont val="Tahoma"/>
            <family val="2"/>
          </rPr>
          <t>jboorman:</t>
        </r>
        <r>
          <rPr>
            <sz val="8"/>
            <color indexed="81"/>
            <rFont val="Tahoma"/>
            <family val="2"/>
          </rPr>
          <t xml:space="preserve">
adjusted up by 75k for q1 not q4 from vmed
</t>
        </r>
      </text>
    </comment>
    <comment ref="P1316" authorId="0" shapeId="0" xr:uid="{00000000-0006-0000-0B00-000009000000}">
      <text>
        <r>
          <rPr>
            <b/>
            <sz val="8"/>
            <color indexed="81"/>
            <rFont val="Tahoma"/>
            <family val="2"/>
          </rPr>
          <t>jboorman:</t>
        </r>
        <r>
          <rPr>
            <sz val="8"/>
            <color indexed="81"/>
            <rFont val="Tahoma"/>
            <family val="2"/>
          </rPr>
          <t xml:space="preserve">
adjusted up by 75k for q1 not q4 from vmed
</t>
        </r>
      </text>
    </comment>
    <comment ref="P1330" authorId="1" shapeId="0" xr:uid="{00000000-0006-0000-0B00-00000A000000}">
      <text>
        <r>
          <rPr>
            <b/>
            <sz val="9"/>
            <color indexed="81"/>
            <rFont val="Tahoma"/>
            <family val="2"/>
          </rPr>
          <t>James Ratzer:</t>
        </r>
        <r>
          <rPr>
            <sz val="9"/>
            <color indexed="81"/>
            <rFont val="Tahoma"/>
            <family val="2"/>
          </rPr>
          <t xml:space="preserve">
Strips out EE</t>
        </r>
      </text>
    </comment>
    <comment ref="C1364" authorId="0" shapeId="0" xr:uid="{00000000-0006-0000-0B00-00000B000000}">
      <text>
        <r>
          <rPr>
            <b/>
            <sz val="10"/>
            <color indexed="81"/>
            <rFont val="Tahoma"/>
            <family val="2"/>
          </rPr>
          <t>jboorman:</t>
        </r>
        <r>
          <rPr>
            <sz val="10"/>
            <color indexed="81"/>
            <rFont val="Tahoma"/>
            <family val="2"/>
          </rPr>
          <t xml:space="preserve">
2001 census number</t>
        </r>
        <r>
          <rPr>
            <sz val="8"/>
            <color indexed="81"/>
            <rFont val="Tahoma"/>
            <family val="2"/>
          </rPr>
          <t xml:space="preserve">
</t>
        </r>
      </text>
    </comment>
    <comment ref="D1428" authorId="2" shapeId="0" xr:uid="{00000000-0006-0000-0B00-00000C000000}">
      <text>
        <r>
          <rPr>
            <b/>
            <sz val="9"/>
            <color indexed="81"/>
            <rFont val="Tahoma"/>
            <family val="2"/>
          </rPr>
          <t>Soomit Datta:</t>
        </r>
        <r>
          <rPr>
            <sz val="9"/>
            <color indexed="81"/>
            <rFont val="Tahoma"/>
            <family val="2"/>
          </rPr>
          <t xml:space="preserve">
From IR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Soomit Datta</author>
  </authors>
  <commentList>
    <comment ref="T28" authorId="0" shapeId="0" xr:uid="{03EE75A1-576B-4DDF-AFD5-20B181EDA354}">
      <text>
        <r>
          <rPr>
            <b/>
            <sz val="9"/>
            <color indexed="81"/>
            <rFont val="Tahoma"/>
            <family val="2"/>
          </rPr>
          <t>Soomit Datta:</t>
        </r>
        <r>
          <rPr>
            <sz val="9"/>
            <color indexed="81"/>
            <rFont val="Tahoma"/>
            <family val="2"/>
          </rPr>
          <t xml:space="preserve">
$150m recurring less ~$100m from TVUNI recovery. Oct-23/24/25</t>
        </r>
      </text>
    </comment>
    <comment ref="U28" authorId="0" shapeId="0" xr:uid="{AA7DC94B-3DE3-4B98-AE4B-16F1995869A8}">
      <text>
        <r>
          <rPr>
            <b/>
            <sz val="9"/>
            <color indexed="81"/>
            <rFont val="Tahoma"/>
            <family val="2"/>
          </rPr>
          <t>Soomit Datta:</t>
        </r>
        <r>
          <rPr>
            <sz val="9"/>
            <color indexed="81"/>
            <rFont val="Tahoma"/>
            <family val="2"/>
          </rPr>
          <t xml:space="preserve">
$150m recurring less ~$100m from TVUNI recovery. Oct-23/24/25</t>
        </r>
      </text>
    </comment>
    <comment ref="V28" authorId="0" shapeId="0" xr:uid="{D1FBF3B0-0F62-45E9-A86C-476C252A43F9}">
      <text>
        <r>
          <rPr>
            <b/>
            <sz val="9"/>
            <color indexed="81"/>
            <rFont val="Tahoma"/>
            <family val="2"/>
          </rPr>
          <t>Soomit Datta:</t>
        </r>
        <r>
          <rPr>
            <sz val="9"/>
            <color indexed="81"/>
            <rFont val="Tahoma"/>
            <family val="2"/>
          </rPr>
          <t xml:space="preserve">
$150m recurring less ~$100m from TVUNI recovery. Oct-23/24/25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author>
    <author>Soomit Datta</author>
  </authors>
  <commentList>
    <comment ref="T5" authorId="0" shapeId="0" xr:uid="{1D4478E5-5461-4458-A244-FA043911A977}">
      <text>
        <r>
          <rPr>
            <b/>
            <sz val="9"/>
            <color indexed="81"/>
            <rFont val="Tahoma"/>
            <family val="2"/>
          </rPr>
          <t>David:</t>
        </r>
        <r>
          <rPr>
            <sz val="9"/>
            <color indexed="81"/>
            <rFont val="Tahoma"/>
            <family val="2"/>
          </rPr>
          <t xml:space="preserve">
73,915 PF</t>
        </r>
      </text>
    </comment>
    <comment ref="T8" authorId="0" shapeId="0" xr:uid="{A4743B73-EDF6-4569-BEB1-2B4EC3CA51C8}">
      <text>
        <r>
          <rPr>
            <b/>
            <sz val="9"/>
            <color indexed="81"/>
            <rFont val="Tahoma"/>
            <family val="2"/>
          </rPr>
          <t>David:</t>
        </r>
        <r>
          <rPr>
            <sz val="9"/>
            <color indexed="81"/>
            <rFont val="Tahoma"/>
            <family val="2"/>
          </rPr>
          <t xml:space="preserve">
29,379 PF</t>
        </r>
      </text>
    </comment>
    <comment ref="M22" authorId="1" shapeId="0" xr:uid="{00000000-0006-0000-0000-000001000000}">
      <text>
        <r>
          <rPr>
            <b/>
            <sz val="9"/>
            <color indexed="81"/>
            <rFont val="Tahoma"/>
            <family val="2"/>
          </rPr>
          <t>Soomit Datta:</t>
        </r>
        <r>
          <rPr>
            <sz val="9"/>
            <color indexed="81"/>
            <rFont val="Tahoma"/>
            <family val="2"/>
          </rPr>
          <t xml:space="preserve">
Argentine publishing charge</t>
        </r>
      </text>
    </comment>
    <comment ref="B45" authorId="1" shapeId="0" xr:uid="{00000000-0006-0000-0000-000002000000}">
      <text>
        <r>
          <rPr>
            <b/>
            <sz val="9"/>
            <color indexed="81"/>
            <rFont val="Tahoma"/>
            <family val="2"/>
          </rPr>
          <t>Soomit Datta:</t>
        </r>
        <r>
          <rPr>
            <sz val="9"/>
            <color indexed="81"/>
            <rFont val="Tahoma"/>
            <family val="2"/>
          </rPr>
          <t xml:space="preserve">
Around 50% of this (Q2 12) comes from Univision. This is USD denominated. Also includes Netflix from late Q4 11</t>
        </r>
      </text>
    </comment>
    <comment ref="B46" authorId="1" shapeId="0" xr:uid="{00000000-0006-0000-0000-000003000000}">
      <text>
        <r>
          <rPr>
            <b/>
            <sz val="9"/>
            <color indexed="81"/>
            <rFont val="Tahoma"/>
            <family val="2"/>
          </rPr>
          <t>Soomit Datta:</t>
        </r>
        <r>
          <rPr>
            <sz val="9"/>
            <color indexed="81"/>
            <rFont val="Tahoma"/>
            <family val="2"/>
          </rPr>
          <t xml:space="preserve">
Around 50% of this (Q2 12) comes from Univision. This is USD denominated. Also includes Netflix from late Q4 11</t>
        </r>
      </text>
    </comment>
    <comment ref="M50" authorId="1" shapeId="0" xr:uid="{00000000-0006-0000-0000-000004000000}">
      <text>
        <r>
          <rPr>
            <b/>
            <sz val="9"/>
            <color indexed="81"/>
            <rFont val="Tahoma"/>
            <family val="2"/>
          </rPr>
          <t>Soomit Datta:</t>
        </r>
        <r>
          <rPr>
            <sz val="9"/>
            <color indexed="81"/>
            <rFont val="Tahoma"/>
            <family val="2"/>
          </rPr>
          <t xml:space="preserve">
Moved into Other</t>
        </r>
      </text>
    </comment>
    <comment ref="W57" authorId="0" shapeId="0" xr:uid="{9220A050-51F6-4CD0-9881-B7741476EBF8}">
      <text>
        <r>
          <rPr>
            <b/>
            <sz val="9"/>
            <color indexed="81"/>
            <rFont val="Tahoma"/>
            <family val="2"/>
          </rPr>
          <t>David:</t>
        </r>
        <r>
          <rPr>
            <sz val="9"/>
            <color indexed="81"/>
            <rFont val="Tahoma"/>
            <family val="2"/>
          </rPr>
          <t xml:space="preserve">
Ollamani spin off</t>
        </r>
      </text>
    </comment>
    <comment ref="M66" authorId="1" shapeId="0" xr:uid="{00000000-0006-0000-0000-000005000000}">
      <text>
        <r>
          <rPr>
            <b/>
            <sz val="9"/>
            <color indexed="81"/>
            <rFont val="Tahoma"/>
            <family val="2"/>
          </rPr>
          <t>Soomit Datta:</t>
        </r>
        <r>
          <rPr>
            <sz val="9"/>
            <color indexed="81"/>
            <rFont val="Tahoma"/>
            <family val="2"/>
          </rPr>
          <t xml:space="preserve">
Moved into Other</t>
        </r>
      </text>
    </comment>
    <comment ref="W72" authorId="0" shapeId="0" xr:uid="{80EC7878-85F9-4ECF-AEAF-137323F25FA5}">
      <text>
        <r>
          <rPr>
            <b/>
            <sz val="9"/>
            <color indexed="81"/>
            <rFont val="Tahoma"/>
            <family val="2"/>
          </rPr>
          <t>David:</t>
        </r>
        <r>
          <rPr>
            <sz val="9"/>
            <color indexed="81"/>
            <rFont val="Tahoma"/>
            <family val="2"/>
          </rPr>
          <t xml:space="preserve">
Gain on sale of property to certain companies in our
former Other Businesses segment that was recognized on January 31, 2024, in connection with
the spin-off that we carried out on that date
$30m from imsurance company (Otis hurricane)</t>
        </r>
      </text>
    </comment>
    <comment ref="I96" authorId="1" shapeId="0" xr:uid="{00000000-0006-0000-0000-000006000000}">
      <text>
        <r>
          <rPr>
            <b/>
            <sz val="9"/>
            <color indexed="81"/>
            <rFont val="Tahoma"/>
            <family val="2"/>
          </rPr>
          <t>Soomit Datta:</t>
        </r>
        <r>
          <rPr>
            <sz val="9"/>
            <color indexed="81"/>
            <rFont val="Tahoma"/>
            <family val="2"/>
          </rPr>
          <t xml:space="preserve">
US$36m relates to satellite launch of IS-16</t>
        </r>
      </text>
    </comment>
    <comment ref="J96" authorId="1" shapeId="0" xr:uid="{00000000-0006-0000-0000-000007000000}">
      <text>
        <r>
          <rPr>
            <b/>
            <sz val="9"/>
            <color indexed="81"/>
            <rFont val="Tahoma"/>
            <family val="2"/>
          </rPr>
          <t>Soomit Datta:</t>
        </r>
        <r>
          <rPr>
            <sz val="9"/>
            <color indexed="81"/>
            <rFont val="Tahoma"/>
            <family val="2"/>
          </rPr>
          <t xml:space="preserve">
US$111m relates to satellite launch of IS-16</t>
        </r>
      </text>
    </comment>
    <comment ref="I98" authorId="1" shapeId="0" xr:uid="{00000000-0006-0000-0000-000008000000}">
      <text>
        <r>
          <rPr>
            <b/>
            <sz val="9"/>
            <color indexed="81"/>
            <rFont val="Tahoma"/>
            <family val="2"/>
          </rPr>
          <t>Soomit Datta:</t>
        </r>
        <r>
          <rPr>
            <sz val="9"/>
            <color indexed="81"/>
            <rFont val="Tahoma"/>
            <family val="2"/>
          </rPr>
          <t xml:space="preserve">
$110m accrued for satellite launch but cash paid in 2011</t>
        </r>
      </text>
    </comment>
    <comment ref="J99" authorId="1" shapeId="0" xr:uid="{00000000-0006-0000-0000-000009000000}">
      <text>
        <r>
          <rPr>
            <b/>
            <sz val="9"/>
            <color indexed="81"/>
            <rFont val="Tahoma"/>
            <family val="2"/>
          </rPr>
          <t>Soomit Datta:</t>
        </r>
        <r>
          <rPr>
            <sz val="9"/>
            <color indexed="81"/>
            <rFont val="Tahoma"/>
            <family val="2"/>
          </rPr>
          <t xml:space="preserve">
Includes cash for satellite paid in 2011</t>
        </r>
      </text>
    </comment>
    <comment ref="W162" authorId="0" shapeId="0" xr:uid="{B4C5E689-A079-4B22-8AD4-3C31C5A35861}">
      <text>
        <r>
          <rPr>
            <b/>
            <sz val="9"/>
            <color indexed="81"/>
            <rFont val="Tahoma"/>
            <family val="2"/>
          </rPr>
          <t>David:</t>
        </r>
        <r>
          <rPr>
            <sz val="9"/>
            <color indexed="81"/>
            <rFont val="Tahoma"/>
            <family val="2"/>
          </rPr>
          <t xml:space="preserve">
Gain on sale of property is non cash</t>
        </r>
      </text>
    </comment>
    <comment ref="W190" authorId="0" shapeId="0" xr:uid="{B2AB8170-FFFA-4061-8E4C-81A7FA8E70E1}">
      <text>
        <r>
          <rPr>
            <b/>
            <sz val="9"/>
            <color indexed="81"/>
            <rFont val="Tahoma"/>
            <family val="2"/>
          </rPr>
          <t>David:</t>
        </r>
        <r>
          <rPr>
            <sz val="9"/>
            <color indexed="81"/>
            <rFont val="Tahoma"/>
            <family val="2"/>
          </rPr>
          <t xml:space="preserve">
Ollamani 6,506</t>
        </r>
      </text>
    </comment>
    <comment ref="W216" authorId="0" shapeId="0" xr:uid="{05A53875-2C27-4381-99BF-2E5D92385399}">
      <text>
        <r>
          <rPr>
            <b/>
            <sz val="9"/>
            <color indexed="81"/>
            <rFont val="Tahoma"/>
            <family val="2"/>
          </rPr>
          <t>David:</t>
        </r>
        <r>
          <rPr>
            <sz val="9"/>
            <color indexed="81"/>
            <rFont val="Tahoma"/>
            <family val="2"/>
          </rPr>
          <t xml:space="preserve">
Ollamani</t>
        </r>
      </text>
    </comment>
    <comment ref="L237" authorId="1" shapeId="0" xr:uid="{00000000-0006-0000-0000-00000A000000}">
      <text>
        <r>
          <rPr>
            <b/>
            <sz val="9"/>
            <color indexed="81"/>
            <rFont val="Tahoma"/>
            <family val="2"/>
          </rPr>
          <t>Soomit Datta:</t>
        </r>
        <r>
          <rPr>
            <sz val="9"/>
            <color indexed="81"/>
            <rFont val="Tahoma"/>
            <family val="2"/>
          </rPr>
          <t xml:space="preserve">
Option re-evaluation in Univision following 1.5% stake taken by undisclosed financial investor</t>
        </r>
      </text>
    </comment>
    <comment ref="M237" authorId="1" shapeId="0" xr:uid="{00000000-0006-0000-0000-00000B000000}">
      <text>
        <r>
          <rPr>
            <b/>
            <sz val="9"/>
            <color indexed="81"/>
            <rFont val="Tahoma"/>
            <family val="2"/>
          </rPr>
          <t>Soomit Datta:</t>
        </r>
        <r>
          <rPr>
            <sz val="9"/>
            <color indexed="81"/>
            <rFont val="Tahoma"/>
            <family val="2"/>
          </rPr>
          <t xml:space="preserve">
Includes option re-evaluation in Univision of c.Ps800m</t>
        </r>
      </text>
    </comment>
    <comment ref="N237" authorId="1" shapeId="0" xr:uid="{00000000-0006-0000-0000-00000C000000}">
      <text>
        <r>
          <rPr>
            <b/>
            <sz val="9"/>
            <color indexed="81"/>
            <rFont val="Tahoma"/>
            <family val="2"/>
          </rPr>
          <t>Soomit Datta:</t>
        </r>
        <r>
          <rPr>
            <sz val="9"/>
            <color indexed="81"/>
            <rFont val="Tahoma"/>
            <family val="2"/>
          </rPr>
          <t xml:space="preserve">
(i)  exchange in July 2015 of Convertible Debentures issued by Univision Holdings, Inc.
or “UHI” (formerly, Broadcasting Media Partners, Inc.), the controlling company of Univision, for Warrants
that are exercisable for UHI’s common stock, which included, as a consideration for such exchange, a
cash amount of US$135.1 million (Ps.2,195 million) received from UHI; and (ii) a Ps.4,718.2 million
reclassification from accumulated other comprehensive income in consolidated equity in connection with a
cumulative gain related to changes in fair value of such Convertible Debentures, which effect was partially
offset by the absence of a favorable change in fair value in 2014 resulting of an embedded derivative
related to our former option of converting such Debentures into an equity stake of UHI.</t>
        </r>
      </text>
    </comment>
    <comment ref="H275" authorId="1" shapeId="0" xr:uid="{00000000-0006-0000-0000-00000D000000}">
      <text>
        <r>
          <rPr>
            <b/>
            <sz val="9"/>
            <color indexed="81"/>
            <rFont val="Tahoma"/>
            <family val="2"/>
          </rPr>
          <t>Soomit Datta:</t>
        </r>
        <r>
          <rPr>
            <sz val="9"/>
            <color indexed="81"/>
            <rFont val="Tahoma"/>
            <family val="2"/>
          </rPr>
          <t xml:space="preserve">
Includes assets held for sale</t>
        </r>
      </text>
    </comment>
    <comment ref="I275" authorId="1" shapeId="0" xr:uid="{00000000-0006-0000-0000-00000E000000}">
      <text>
        <r>
          <rPr>
            <b/>
            <sz val="9"/>
            <color indexed="81"/>
            <rFont val="Tahoma"/>
            <family val="2"/>
          </rPr>
          <t>Soomit Datta:</t>
        </r>
        <r>
          <rPr>
            <sz val="9"/>
            <color indexed="81"/>
            <rFont val="Tahoma"/>
            <family val="2"/>
          </rPr>
          <t xml:space="preserve">
Includes assets held for sale</t>
        </r>
      </text>
    </comment>
    <comment ref="J275" authorId="1" shapeId="0" xr:uid="{00000000-0006-0000-0000-00000F000000}">
      <text>
        <r>
          <rPr>
            <b/>
            <sz val="9"/>
            <color indexed="81"/>
            <rFont val="Tahoma"/>
            <family val="2"/>
          </rPr>
          <t>Soomit Datta:</t>
        </r>
        <r>
          <rPr>
            <sz val="9"/>
            <color indexed="81"/>
            <rFont val="Tahoma"/>
            <family val="2"/>
          </rPr>
          <t xml:space="preserve">
Includes assets held for sale</t>
        </r>
      </text>
    </comment>
    <comment ref="K275" authorId="1" shapeId="0" xr:uid="{00000000-0006-0000-0000-000010000000}">
      <text>
        <r>
          <rPr>
            <b/>
            <sz val="9"/>
            <color indexed="81"/>
            <rFont val="Tahoma"/>
            <family val="2"/>
          </rPr>
          <t>Soomit Datta:</t>
        </r>
        <r>
          <rPr>
            <sz val="9"/>
            <color indexed="81"/>
            <rFont val="Tahoma"/>
            <family val="2"/>
          </rPr>
          <t xml:space="preserve">
Includes assets held for sale</t>
        </r>
      </text>
    </comment>
    <comment ref="L275" authorId="1" shapeId="0" xr:uid="{00000000-0006-0000-0000-000011000000}">
      <text>
        <r>
          <rPr>
            <b/>
            <sz val="9"/>
            <color indexed="81"/>
            <rFont val="Tahoma"/>
            <family val="2"/>
          </rPr>
          <t>Soomit Datta:</t>
        </r>
        <r>
          <rPr>
            <sz val="9"/>
            <color indexed="81"/>
            <rFont val="Tahoma"/>
            <family val="2"/>
          </rPr>
          <t xml:space="preserve">
includes non-current held-to-maturity and available-for-sale assets</t>
        </r>
      </text>
    </comment>
    <comment ref="M275" authorId="1" shapeId="0" xr:uid="{00000000-0006-0000-0000-000012000000}">
      <text>
        <r>
          <rPr>
            <b/>
            <sz val="9"/>
            <color indexed="81"/>
            <rFont val="Tahoma"/>
            <family val="2"/>
          </rPr>
          <t>Soomit Datta:</t>
        </r>
        <r>
          <rPr>
            <sz val="9"/>
            <color indexed="81"/>
            <rFont val="Tahoma"/>
            <family val="2"/>
          </rPr>
          <t xml:space="preserve">
includes non-current held-to-maturity and available-for-sale assets</t>
        </r>
      </text>
    </comment>
    <comment ref="U351" authorId="0" shapeId="0" xr:uid="{CD403D22-7FFC-49D5-ADF0-F5366CA0EC66}">
      <text>
        <r>
          <rPr>
            <b/>
            <sz val="9"/>
            <color indexed="81"/>
            <rFont val="Tahoma"/>
            <family val="2"/>
          </rPr>
          <t>David:</t>
        </r>
        <r>
          <rPr>
            <sz val="9"/>
            <color indexed="81"/>
            <rFont val="Tahoma"/>
            <family val="2"/>
          </rPr>
          <t xml:space="preserve">
Waiting for CF statement</t>
        </r>
      </text>
    </comment>
    <comment ref="V351" authorId="1" shapeId="0" xr:uid="{218B8653-9304-406D-AB09-0D1D2F9331A2}">
      <text>
        <r>
          <rPr>
            <b/>
            <sz val="9"/>
            <color indexed="81"/>
            <rFont val="Tahoma"/>
            <family val="2"/>
          </rPr>
          <t>Soomit Datta:</t>
        </r>
        <r>
          <rPr>
            <sz val="9"/>
            <color indexed="81"/>
            <rFont val="Tahoma"/>
            <family val="2"/>
          </rPr>
          <t xml:space="preserve">
Balance of TU tax to pay</t>
        </r>
      </text>
    </comment>
    <comment ref="K356" authorId="1" shapeId="0" xr:uid="{00000000-0006-0000-0000-000013000000}">
      <text>
        <r>
          <rPr>
            <b/>
            <sz val="9"/>
            <color indexed="81"/>
            <rFont val="Tahoma"/>
            <family val="2"/>
          </rPr>
          <t>Soomit Datta:</t>
        </r>
        <r>
          <rPr>
            <sz val="9"/>
            <color indexed="81"/>
            <rFont val="Tahoma"/>
            <family val="2"/>
          </rPr>
          <t xml:space="preserve">
Half a year</t>
        </r>
      </text>
    </comment>
    <comment ref="L377" authorId="1" shapeId="0" xr:uid="{00000000-0006-0000-0000-000014000000}">
      <text>
        <r>
          <rPr>
            <b/>
            <sz val="9"/>
            <color indexed="81"/>
            <rFont val="Tahoma"/>
            <family val="2"/>
          </rPr>
          <t>Soomit Datta:</t>
        </r>
        <r>
          <rPr>
            <sz val="9"/>
            <color indexed="81"/>
            <rFont val="Tahoma"/>
            <family val="2"/>
          </rPr>
          <t xml:space="preserve">
estimate for Iusacell write-down</t>
        </r>
      </text>
    </comment>
    <comment ref="M377" authorId="1" shapeId="0" xr:uid="{00000000-0006-0000-0000-000015000000}">
      <text>
        <r>
          <rPr>
            <b/>
            <sz val="9"/>
            <color indexed="81"/>
            <rFont val="Tahoma"/>
            <family val="2"/>
          </rPr>
          <t>Soomit Datta:</t>
        </r>
        <r>
          <rPr>
            <sz val="9"/>
            <color indexed="81"/>
            <rFont val="Tahoma"/>
            <family val="2"/>
          </rPr>
          <t xml:space="preserve">
Loss on sale of Iusacell</t>
        </r>
      </text>
    </comment>
    <comment ref="L388" authorId="1" shapeId="0" xr:uid="{00000000-0006-0000-0000-000016000000}">
      <text>
        <r>
          <rPr>
            <b/>
            <sz val="9"/>
            <color indexed="81"/>
            <rFont val="Tahoma"/>
            <family val="2"/>
          </rPr>
          <t>Soomit Datta:</t>
        </r>
        <r>
          <rPr>
            <sz val="9"/>
            <color indexed="81"/>
            <rFont val="Tahoma"/>
            <family val="2"/>
          </rPr>
          <t xml:space="preserve">
estimate for deferred tax asset recognition at Cable and SKY following 2014 tax reform</t>
        </r>
      </text>
    </comment>
    <comment ref="R413" authorId="1" shapeId="0" xr:uid="{A4D5DB9D-3A0B-44D2-BB5E-709AB201586C}">
      <text>
        <r>
          <rPr>
            <b/>
            <sz val="9"/>
            <color indexed="81"/>
            <rFont val="Tahoma"/>
            <family val="2"/>
          </rPr>
          <t>Soomit Datta:</t>
        </r>
        <r>
          <rPr>
            <sz val="9"/>
            <color indexed="81"/>
            <rFont val="Tahoma"/>
            <family val="2"/>
          </rPr>
          <t xml:space="preserve">
MXN1,386m from CF</t>
        </r>
      </text>
    </comment>
    <comment ref="S413" authorId="1" shapeId="0" xr:uid="{AD9688EE-42FD-4B36-858E-6AEA896D1868}">
      <text>
        <r>
          <rPr>
            <b/>
            <sz val="9"/>
            <color indexed="81"/>
            <rFont val="Tahoma"/>
            <family val="2"/>
          </rPr>
          <t>Soomit Datta:</t>
        </r>
        <r>
          <rPr>
            <sz val="9"/>
            <color indexed="81"/>
            <rFont val="Tahoma"/>
            <family val="2"/>
          </rPr>
          <t xml:space="preserve">
MXN392m from CF</t>
        </r>
      </text>
    </comment>
    <comment ref="M431" authorId="1" shapeId="0" xr:uid="{00000000-0006-0000-0000-000017000000}">
      <text>
        <r>
          <rPr>
            <b/>
            <sz val="9"/>
            <color indexed="81"/>
            <rFont val="Tahoma"/>
            <family val="2"/>
          </rPr>
          <t>Soomit Datta:</t>
        </r>
        <r>
          <rPr>
            <sz val="9"/>
            <color indexed="81"/>
            <rFont val="Tahoma"/>
            <family val="2"/>
          </rPr>
          <t xml:space="preserve">
Remaining 49% of Cablecom. Payment takes Televisa to 100% direct and indirect. Also reflects the consolidation of the cash lent to Cablecom by Televisa in 2013</t>
        </r>
      </text>
    </comment>
    <comment ref="N431" authorId="1" shapeId="0" xr:uid="{00000000-0006-0000-0000-000018000000}">
      <text>
        <r>
          <rPr>
            <b/>
            <sz val="9"/>
            <color indexed="81"/>
            <rFont val="Tahoma"/>
            <family val="2"/>
          </rPr>
          <t>Soomit Datta:</t>
        </r>
        <r>
          <rPr>
            <sz val="9"/>
            <color indexed="81"/>
            <rFont val="Tahoma"/>
            <family val="2"/>
          </rPr>
          <t xml:space="preserve">
Cabelvision Red, of which Ps3bn in equity and Ps7.2bn in debt</t>
        </r>
      </text>
    </comment>
    <comment ref="O431" authorId="1" shapeId="0" xr:uid="{00000000-0006-0000-0000-000019000000}">
      <text>
        <r>
          <rPr>
            <b/>
            <sz val="9"/>
            <color indexed="81"/>
            <rFont val="Tahoma"/>
            <family val="2"/>
          </rPr>
          <t>Soomit Datta:</t>
        </r>
        <r>
          <rPr>
            <sz val="9"/>
            <color indexed="81"/>
            <rFont val="Tahoma"/>
            <family val="2"/>
          </rPr>
          <t xml:space="preserve">
TVI, of which Ps1.258bn in equity and Ps5.492bn in debt</t>
        </r>
      </text>
    </comment>
    <comment ref="W431" authorId="0" shapeId="0" xr:uid="{5209CAD9-D24C-4BCB-B9D0-4575A0D82464}">
      <text>
        <r>
          <rPr>
            <b/>
            <sz val="9"/>
            <color indexed="81"/>
            <rFont val="Tahoma"/>
            <family val="2"/>
          </rPr>
          <t>David:</t>
        </r>
        <r>
          <rPr>
            <sz val="9"/>
            <color indexed="81"/>
            <rFont val="Tahoma"/>
            <family val="2"/>
          </rPr>
          <t xml:space="preserve">
Acquisition of ATT mino stake in Sky, assumed paid $50m</t>
        </r>
      </text>
    </comment>
    <comment ref="I432" authorId="1" shapeId="0" xr:uid="{00000000-0006-0000-0000-00001A000000}">
      <text>
        <r>
          <rPr>
            <b/>
            <sz val="9"/>
            <color indexed="81"/>
            <rFont val="Tahoma"/>
            <family val="2"/>
          </rPr>
          <t>Soomit Datta:</t>
        </r>
        <r>
          <rPr>
            <sz val="9"/>
            <color indexed="81"/>
            <rFont val="Tahoma"/>
            <family val="2"/>
          </rPr>
          <t xml:space="preserve">
Univision</t>
        </r>
      </text>
    </comment>
    <comment ref="J432" authorId="1" shapeId="0" xr:uid="{00000000-0006-0000-0000-00001B000000}">
      <text>
        <r>
          <rPr>
            <b/>
            <sz val="9"/>
            <color indexed="81"/>
            <rFont val="Tahoma"/>
            <family val="2"/>
          </rPr>
          <t>Soomit Datta:</t>
        </r>
        <r>
          <rPr>
            <sz val="9"/>
            <color indexed="81"/>
            <rFont val="Tahoma"/>
            <family val="2"/>
          </rPr>
          <t xml:space="preserve">
Iusacell</t>
        </r>
      </text>
    </comment>
    <comment ref="L432" authorId="1" shapeId="0" xr:uid="{00000000-0006-0000-0000-00001C000000}">
      <text>
        <r>
          <rPr>
            <b/>
            <sz val="9"/>
            <color indexed="81"/>
            <rFont val="Tahoma"/>
            <family val="2"/>
          </rPr>
          <t>Soomit Datta:</t>
        </r>
        <r>
          <rPr>
            <sz val="9"/>
            <color indexed="81"/>
            <rFont val="Tahoma"/>
            <family val="2"/>
          </rPr>
          <t xml:space="preserve">
Cablecom (95% of Tenedora Ares, which holds a 51% stake in Cablecom). The $195 is a Televisa loan to Cablecom</t>
        </r>
      </text>
    </comment>
    <comment ref="Q436" authorId="1" shapeId="0" xr:uid="{00000000-0006-0000-0000-00001D000000}">
      <text>
        <r>
          <rPr>
            <b/>
            <sz val="9"/>
            <color indexed="81"/>
            <rFont val="Tahoma"/>
            <family val="2"/>
          </rPr>
          <t>Soomit Datta:</t>
        </r>
        <r>
          <rPr>
            <sz val="9"/>
            <color indexed="81"/>
            <rFont val="Tahoma"/>
            <family val="2"/>
          </rPr>
          <t xml:space="preserve">
Imagine plus Argentina publishing</t>
        </r>
      </text>
    </comment>
    <comment ref="B505" authorId="1" shapeId="0" xr:uid="{00000000-0006-0000-0000-00001E000000}">
      <text>
        <r>
          <rPr>
            <b/>
            <sz val="9"/>
            <color indexed="81"/>
            <rFont val="Tahoma"/>
            <family val="2"/>
          </rPr>
          <t>Soomit Datta:</t>
        </r>
        <r>
          <rPr>
            <sz val="9"/>
            <color indexed="81"/>
            <rFont val="Tahoma"/>
            <family val="2"/>
          </rPr>
          <t xml:space="preserve">
Only have voting rights on the corresponding L shares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Eduardo</author>
    <author>Soomit Datta</author>
    <author>David</author>
  </authors>
  <commentList>
    <comment ref="O18" authorId="0" shapeId="0" xr:uid="{FCDE42AD-7E25-41D1-8FEC-9E29EC837E52}">
      <text>
        <r>
          <rPr>
            <b/>
            <sz val="9"/>
            <color indexed="81"/>
            <rFont val="Tahoma"/>
            <family val="2"/>
          </rPr>
          <t>Eduardo:</t>
        </r>
        <r>
          <rPr>
            <sz val="9"/>
            <color indexed="81"/>
            <rFont val="Tahoma"/>
            <family val="2"/>
          </rPr>
          <t xml:space="preserve">
From Inv Day Oct 21 - assume BB subs = unique subs</t>
        </r>
      </text>
    </comment>
    <comment ref="P18" authorId="0" shapeId="0" xr:uid="{090FCA69-0442-4B32-A5F5-544EC82B08EE}">
      <text>
        <r>
          <rPr>
            <b/>
            <sz val="9"/>
            <color indexed="81"/>
            <rFont val="Tahoma"/>
            <family val="2"/>
          </rPr>
          <t>Eduardo:</t>
        </r>
        <r>
          <rPr>
            <sz val="9"/>
            <color indexed="81"/>
            <rFont val="Tahoma"/>
            <family val="2"/>
          </rPr>
          <t xml:space="preserve">
From Inv Day Oct 21 - assume BB subs = unique subs</t>
        </r>
      </text>
    </comment>
    <comment ref="P46" authorId="0" shapeId="0" xr:uid="{00C06E06-53B5-4019-AD6E-5B8498635959}">
      <text>
        <r>
          <rPr>
            <b/>
            <sz val="9"/>
            <color indexed="81"/>
            <rFont val="Tahoma"/>
            <family val="2"/>
          </rPr>
          <t>Eduardo:</t>
        </r>
        <r>
          <rPr>
            <sz val="9"/>
            <color indexed="81"/>
            <rFont val="Tahoma"/>
            <family val="2"/>
          </rPr>
          <t xml:space="preserve">
7729 in Q2 21</t>
        </r>
      </text>
    </comment>
    <comment ref="I67" authorId="1" shapeId="0" xr:uid="{00000000-0006-0000-0D00-000001000000}">
      <text>
        <r>
          <rPr>
            <b/>
            <sz val="9"/>
            <color indexed="81"/>
            <rFont val="Tahoma"/>
            <family val="2"/>
          </rPr>
          <t>Soomit Datta:</t>
        </r>
        <r>
          <rPr>
            <sz val="9"/>
            <color indexed="81"/>
            <rFont val="Tahoma"/>
            <family val="2"/>
          </rPr>
          <t xml:space="preserve">
based on Cablecom RGU split</t>
        </r>
      </text>
    </comment>
    <comment ref="P68" authorId="0" shapeId="0" xr:uid="{8EC5B0D1-8474-4574-BF2C-D1539B870C91}">
      <text>
        <r>
          <rPr>
            <b/>
            <sz val="9"/>
            <color indexed="81"/>
            <rFont val="Tahoma"/>
            <family val="2"/>
          </rPr>
          <t>Eduardo:</t>
        </r>
        <r>
          <rPr>
            <sz val="9"/>
            <color indexed="81"/>
            <rFont val="Tahoma"/>
            <family val="2"/>
          </rPr>
          <t xml:space="preserve">
2866 in Q2 21</t>
        </r>
      </text>
    </comment>
    <comment ref="Q70" authorId="2" shapeId="0" xr:uid="{4501387D-4B8F-4A1F-9C11-A37B6796498D}">
      <text>
        <r>
          <rPr>
            <b/>
            <sz val="9"/>
            <color indexed="81"/>
            <rFont val="Tahoma"/>
            <family val="2"/>
          </rPr>
          <t>David:</t>
        </r>
        <r>
          <rPr>
            <sz val="9"/>
            <color indexed="81"/>
            <rFont val="Tahoma"/>
            <family val="2"/>
          </rPr>
          <t xml:space="preserve">
Sept-22</t>
        </r>
      </text>
    </comment>
    <comment ref="I110" authorId="1" shapeId="0" xr:uid="{00000000-0006-0000-0D00-000002000000}">
      <text>
        <r>
          <rPr>
            <b/>
            <sz val="9"/>
            <color indexed="81"/>
            <rFont val="Tahoma"/>
            <family val="2"/>
          </rPr>
          <t>Soomit Datta:</t>
        </r>
        <r>
          <rPr>
            <sz val="9"/>
            <color indexed="81"/>
            <rFont val="Tahoma"/>
            <family val="2"/>
          </rPr>
          <t xml:space="preserve">
based on Cablecom RGU split</t>
        </r>
      </text>
    </comment>
    <comment ref="H161" authorId="1" shapeId="0" xr:uid="{00000000-0006-0000-0D00-000003000000}">
      <text>
        <r>
          <rPr>
            <b/>
            <sz val="9"/>
            <color indexed="81"/>
            <rFont val="Tahoma"/>
            <family val="2"/>
          </rPr>
          <t>Soomit Datta:</t>
        </r>
        <r>
          <rPr>
            <sz val="9"/>
            <color indexed="81"/>
            <rFont val="Tahoma"/>
            <family val="2"/>
          </rPr>
          <t xml:space="preserve">
estimate</t>
        </r>
      </text>
    </comment>
    <comment ref="I176" authorId="1" shapeId="0" xr:uid="{00000000-0006-0000-0D00-000004000000}">
      <text>
        <r>
          <rPr>
            <b/>
            <sz val="9"/>
            <color indexed="81"/>
            <rFont val="Tahoma"/>
            <family val="2"/>
          </rPr>
          <t>Soomit Datta:</t>
        </r>
        <r>
          <rPr>
            <sz val="9"/>
            <color indexed="81"/>
            <rFont val="Tahoma"/>
            <family val="2"/>
          </rPr>
          <t xml:space="preserve">
In-line with guidance given at the time of the deal (August 2013), consolidation from 1 Sept </t>
        </r>
      </text>
    </comment>
    <comment ref="J204" authorId="1" shapeId="0" xr:uid="{00000000-0006-0000-0D00-000005000000}">
      <text>
        <r>
          <rPr>
            <b/>
            <sz val="9"/>
            <color indexed="81"/>
            <rFont val="Tahoma"/>
            <family val="2"/>
          </rPr>
          <t>Soomit Datta:</t>
        </r>
        <r>
          <rPr>
            <sz val="9"/>
            <color indexed="81"/>
            <rFont val="Tahoma"/>
            <family val="2"/>
          </rPr>
          <t xml:space="preserve">
Assume consolidation from 1 April, and 5% discount to potential 15 expectations</t>
        </r>
      </text>
    </comment>
    <comment ref="G245" authorId="1" shapeId="0" xr:uid="{00000000-0006-0000-0D00-000006000000}">
      <text>
        <r>
          <rPr>
            <b/>
            <sz val="9"/>
            <color indexed="81"/>
            <rFont val="Tahoma"/>
            <family val="2"/>
          </rPr>
          <t>Soomit Datta:</t>
        </r>
        <r>
          <rPr>
            <sz val="9"/>
            <color indexed="81"/>
            <rFont val="Tahoma"/>
            <family val="2"/>
          </rPr>
          <t xml:space="preserve">
Maturities in 2012 and 2013</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author>
    <author>Soomit Datta</author>
    <author>Eduardo</author>
  </authors>
  <commentList>
    <comment ref="P16" authorId="0" shapeId="0" xr:uid="{CD63D820-72DD-43C8-868F-9FC1A1744258}">
      <text>
        <r>
          <rPr>
            <b/>
            <sz val="9"/>
            <color indexed="81"/>
            <rFont val="Tahoma"/>
            <family val="2"/>
          </rPr>
          <t>David:</t>
        </r>
        <r>
          <rPr>
            <sz val="9"/>
            <color indexed="81"/>
            <rFont val="Tahoma"/>
            <family val="2"/>
          </rPr>
          <t xml:space="preserve">
169.692 video RGUs in Central America and the Dominican Republic</t>
        </r>
      </text>
    </comment>
    <comment ref="Q16" authorId="1" shapeId="0" xr:uid="{CBE64977-15F9-46E5-AF37-2E1F81887377}">
      <text>
        <r>
          <rPr>
            <b/>
            <sz val="9"/>
            <color indexed="81"/>
            <rFont val="Tahoma"/>
            <family val="2"/>
          </rPr>
          <t>Soomit Datta:</t>
        </r>
        <r>
          <rPr>
            <sz val="9"/>
            <color indexed="81"/>
            <rFont val="Tahoma"/>
            <family val="2"/>
          </rPr>
          <t xml:space="preserve">
estimate</t>
        </r>
      </text>
    </comment>
    <comment ref="R16" authorId="1" shapeId="0" xr:uid="{F2E3FD33-1DEB-4C74-9BC3-4DDF38117F8D}">
      <text>
        <r>
          <rPr>
            <b/>
            <sz val="9"/>
            <color indexed="81"/>
            <rFont val="Tahoma"/>
            <family val="2"/>
          </rPr>
          <t>Soomit Datta:</t>
        </r>
        <r>
          <rPr>
            <sz val="9"/>
            <color indexed="81"/>
            <rFont val="Tahoma"/>
            <family val="2"/>
          </rPr>
          <t xml:space="preserve">
estimate</t>
        </r>
      </text>
    </comment>
    <comment ref="S16" authorId="1" shapeId="0" xr:uid="{69455BC7-F709-4A01-AC9B-F3FAFC376ACC}">
      <text>
        <r>
          <rPr>
            <b/>
            <sz val="9"/>
            <color indexed="81"/>
            <rFont val="Tahoma"/>
            <family val="2"/>
          </rPr>
          <t>Soomit Datta:</t>
        </r>
        <r>
          <rPr>
            <sz val="9"/>
            <color indexed="81"/>
            <rFont val="Tahoma"/>
            <family val="2"/>
          </rPr>
          <t xml:space="preserve">
estimate</t>
        </r>
      </text>
    </comment>
    <comment ref="T16" authorId="1" shapeId="0" xr:uid="{D7C4B54C-382B-44C4-B0E1-5C813945F7B8}">
      <text>
        <r>
          <rPr>
            <b/>
            <sz val="9"/>
            <color indexed="81"/>
            <rFont val="Tahoma"/>
            <family val="2"/>
          </rPr>
          <t>Soomit Datta:</t>
        </r>
        <r>
          <rPr>
            <sz val="9"/>
            <color indexed="81"/>
            <rFont val="Tahoma"/>
            <family val="2"/>
          </rPr>
          <t xml:space="preserve">
estimate</t>
        </r>
      </text>
    </comment>
    <comment ref="M17" authorId="1" shapeId="0" xr:uid="{00000000-0006-0000-0500-000001000000}">
      <text>
        <r>
          <rPr>
            <b/>
            <sz val="9"/>
            <color indexed="81"/>
            <rFont val="Tahoma"/>
            <family val="2"/>
          </rPr>
          <t>Soomit Datta:</t>
        </r>
        <r>
          <rPr>
            <sz val="9"/>
            <color indexed="81"/>
            <rFont val="Tahoma"/>
            <family val="2"/>
          </rPr>
          <t xml:space="preserve">
4275 back out from IFT. Looks odd.</t>
        </r>
      </text>
    </comment>
    <comment ref="R25" authorId="2" shapeId="0" xr:uid="{015732CB-F2A3-4E30-96F8-190337E01CA4}">
      <text>
        <r>
          <rPr>
            <b/>
            <sz val="9"/>
            <color indexed="81"/>
            <rFont val="Tahoma"/>
            <family val="2"/>
          </rPr>
          <t>Eduardo:</t>
        </r>
        <r>
          <rPr>
            <sz val="9"/>
            <color indexed="81"/>
            <rFont val="Tahoma"/>
            <family val="2"/>
          </rPr>
          <t xml:space="preserve">
1933 in Q2 21</t>
        </r>
      </text>
    </comment>
    <comment ref="N97" authorId="1" shapeId="0" xr:uid="{00000000-0006-0000-0500-000002000000}">
      <text>
        <r>
          <rPr>
            <b/>
            <sz val="9"/>
            <color indexed="81"/>
            <rFont val="Tahoma"/>
            <family val="2"/>
          </rPr>
          <t>Soomit Datta:</t>
        </r>
        <r>
          <rPr>
            <sz val="9"/>
            <color indexed="81"/>
            <rFont val="Tahoma"/>
            <family val="2"/>
          </rPr>
          <t xml:space="preserve">
23-28% according to the CFO</t>
        </r>
      </text>
    </comment>
    <comment ref="N98" authorId="1" shapeId="0" xr:uid="{00000000-0006-0000-0500-000003000000}">
      <text>
        <r>
          <rPr>
            <b/>
            <sz val="9"/>
            <color indexed="81"/>
            <rFont val="Tahoma"/>
            <family val="2"/>
          </rPr>
          <t>Soomit Datta:</t>
        </r>
        <r>
          <rPr>
            <sz val="9"/>
            <color indexed="81"/>
            <rFont val="Tahoma"/>
            <family val="2"/>
          </rPr>
          <t xml:space="preserve">
Telmex voice line, ex-VAT</t>
        </r>
      </text>
    </comment>
    <comment ref="N103" authorId="1" shapeId="0" xr:uid="{00000000-0006-0000-0500-000004000000}">
      <text>
        <r>
          <rPr>
            <b/>
            <sz val="9"/>
            <color indexed="81"/>
            <rFont val="Tahoma"/>
            <family val="2"/>
          </rPr>
          <t>Soomit Datta:</t>
        </r>
        <r>
          <rPr>
            <sz val="9"/>
            <color indexed="81"/>
            <rFont val="Tahoma"/>
            <family val="2"/>
          </rPr>
          <t xml:space="preserve">
&gt;40% according to the CFO</t>
        </r>
      </text>
    </comment>
    <comment ref="N112" authorId="1" shapeId="0" xr:uid="{00000000-0006-0000-0500-000005000000}">
      <text>
        <r>
          <rPr>
            <b/>
            <sz val="9"/>
            <color indexed="81"/>
            <rFont val="Tahoma"/>
            <family val="2"/>
          </rPr>
          <t>Soomit Datta:</t>
        </r>
        <r>
          <rPr>
            <sz val="9"/>
            <color indexed="81"/>
            <rFont val="Tahoma"/>
            <family val="2"/>
          </rPr>
          <t xml:space="preserve">
from AMX</t>
        </r>
      </text>
    </comment>
    <comment ref="I130" authorId="1" shapeId="0" xr:uid="{00000000-0006-0000-0500-000006000000}">
      <text>
        <r>
          <rPr>
            <b/>
            <sz val="9"/>
            <color indexed="81"/>
            <rFont val="Tahoma"/>
            <family val="2"/>
          </rPr>
          <t>Soomit Datta:</t>
        </r>
        <r>
          <rPr>
            <sz val="9"/>
            <color indexed="81"/>
            <rFont val="Tahoma"/>
            <family val="2"/>
          </rPr>
          <t xml:space="preserve">
capitalised transponder lease agreement</t>
        </r>
      </text>
    </comment>
    <comment ref="M158" authorId="1" shapeId="0" xr:uid="{00000000-0006-0000-0500-000007000000}">
      <text>
        <r>
          <rPr>
            <b/>
            <sz val="9"/>
            <color indexed="81"/>
            <rFont val="Tahoma"/>
            <family val="2"/>
          </rPr>
          <t>Soomit Datta:</t>
        </r>
        <r>
          <rPr>
            <sz val="9"/>
            <color indexed="81"/>
            <rFont val="Tahoma"/>
            <family val="2"/>
          </rPr>
          <t xml:space="preserve">
Current loan matures</t>
        </r>
      </text>
    </comment>
    <comment ref="J168" authorId="1" shapeId="0" xr:uid="{00000000-0006-0000-0500-000008000000}">
      <text>
        <r>
          <rPr>
            <b/>
            <sz val="9"/>
            <color indexed="81"/>
            <rFont val="Tahoma"/>
            <family val="2"/>
          </rPr>
          <t>Soomit Datta:</t>
        </r>
        <r>
          <rPr>
            <sz val="9"/>
            <color indexed="81"/>
            <rFont val="Tahoma"/>
            <family val="2"/>
          </rPr>
          <t xml:space="preserve">
Adjusted for an estimate of deferred tax gain of MXN1,150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Soomit Datta</author>
  </authors>
  <commentList>
    <comment ref="H158" authorId="0" shapeId="0" xr:uid="{FF2B43C7-3391-4A4A-AD2D-33CCAE4FF95C}">
      <text>
        <r>
          <rPr>
            <b/>
            <sz val="9"/>
            <color indexed="81"/>
            <rFont val="Tahoma"/>
            <family val="2"/>
          </rPr>
          <t>Soomit Datta:</t>
        </r>
        <r>
          <rPr>
            <sz val="9"/>
            <color indexed="81"/>
            <rFont val="Tahoma"/>
            <family val="2"/>
          </rPr>
          <t xml:space="preserve">
Refi of $400m</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author>
  </authors>
  <commentList>
    <comment ref="K47" authorId="0" shapeId="0" xr:uid="{EC7337F1-780E-438C-8123-A54159AE9771}">
      <text>
        <r>
          <rPr>
            <b/>
            <sz val="9"/>
            <color indexed="81"/>
            <rFont val="Tahoma"/>
            <family val="2"/>
          </rPr>
          <t>David:</t>
        </r>
        <r>
          <rPr>
            <sz val="9"/>
            <color indexed="81"/>
            <rFont val="Tahoma"/>
            <family val="2"/>
          </rPr>
          <t xml:space="preserve">
Last year did not have the ViX costs</t>
        </r>
      </text>
    </comment>
    <comment ref="N47" authorId="0" shapeId="0" xr:uid="{89CBF5B7-DD73-462F-A13F-9B14936A8200}">
      <text>
        <r>
          <rPr>
            <b/>
            <sz val="9"/>
            <color indexed="81"/>
            <rFont val="Tahoma"/>
            <family val="2"/>
          </rPr>
          <t>David:</t>
        </r>
        <r>
          <rPr>
            <sz val="9"/>
            <color indexed="81"/>
            <rFont val="Tahoma"/>
            <family val="2"/>
          </rPr>
          <t xml:space="preserve">
Tougher comp, WC last year, ex non-recurring rev growth 3% FY23, 22% in Q4</t>
        </r>
      </text>
    </comment>
    <comment ref="O47" authorId="0" shapeId="0" xr:uid="{A7EE716D-1BAF-40F3-84C3-5540ACA2AF20}">
      <text>
        <r>
          <rPr>
            <b/>
            <sz val="9"/>
            <color indexed="81"/>
            <rFont val="Tahoma"/>
            <family val="2"/>
          </rPr>
          <t>David:</t>
        </r>
        <r>
          <rPr>
            <sz val="9"/>
            <color indexed="81"/>
            <rFont val="Tahoma"/>
            <family val="2"/>
          </rPr>
          <t xml:space="preserve">
-5% when adjusted for a one-time accounting-related benefit in the prior year</t>
        </r>
      </text>
    </comment>
    <comment ref="N99" authorId="0" shapeId="0" xr:uid="{79C26CC4-77F4-43DD-8530-6EBDBFE92B8D}">
      <text>
        <r>
          <rPr>
            <b/>
            <sz val="9"/>
            <color indexed="81"/>
            <rFont val="Tahoma"/>
            <family val="2"/>
          </rPr>
          <t>David:</t>
        </r>
        <r>
          <rPr>
            <sz val="9"/>
            <color indexed="81"/>
            <rFont val="Tahoma"/>
            <family val="2"/>
          </rPr>
          <t xml:space="preserve">
Tougher comp, WC last year, ex non-recurring rev growth 9% FY23, 7.6% in Q4</t>
        </r>
      </text>
    </comment>
    <comment ref="M103" authorId="0" shapeId="0" xr:uid="{11D60786-D665-4B4D-B4BD-8EAB4CEBA682}">
      <text>
        <r>
          <rPr>
            <b/>
            <sz val="9"/>
            <color indexed="81"/>
            <rFont val="Tahoma"/>
            <family val="2"/>
          </rPr>
          <t>David:</t>
        </r>
        <r>
          <rPr>
            <sz val="9"/>
            <color indexed="81"/>
            <rFont val="Tahoma"/>
            <family val="2"/>
          </rPr>
          <t xml:space="preserve">
+3% ex political and advocacy</t>
        </r>
      </text>
    </comment>
    <comment ref="N103" authorId="0" shapeId="0" xr:uid="{C6FC684F-EDEF-47F5-8F6F-1394E0DA1C3B}">
      <text>
        <r>
          <rPr>
            <b/>
            <sz val="9"/>
            <color indexed="81"/>
            <rFont val="Tahoma"/>
            <family val="2"/>
          </rPr>
          <t>David:</t>
        </r>
        <r>
          <rPr>
            <sz val="9"/>
            <color indexed="81"/>
            <rFont val="Tahoma"/>
            <family val="2"/>
          </rPr>
          <t xml:space="preserve">
Excluding political and advocacy and the impact of divested radio stations, U.S. advertising
revenue increased 4%</t>
        </r>
      </text>
    </comment>
    <comment ref="O103" authorId="0" shapeId="0" xr:uid="{E5F42977-3E1E-4E8B-BE5F-72EDE0AAA0ED}">
      <text>
        <r>
          <rPr>
            <b/>
            <sz val="9"/>
            <color indexed="81"/>
            <rFont val="Tahoma"/>
            <family val="2"/>
          </rPr>
          <t>David:</t>
        </r>
        <r>
          <rPr>
            <sz val="9"/>
            <color indexed="81"/>
            <rFont val="Tahoma"/>
            <family val="2"/>
          </rPr>
          <t xml:space="preserve">
Growth in DTC offset by some weakness in linear</t>
        </r>
      </text>
    </comment>
    <comment ref="O106" authorId="0" shapeId="0" xr:uid="{C9803C34-DAC1-46DF-8E70-0C66BA0AFCD9}">
      <text>
        <r>
          <rPr>
            <b/>
            <sz val="9"/>
            <color indexed="81"/>
            <rFont val="Tahoma"/>
            <family val="2"/>
          </rPr>
          <t>David:</t>
        </r>
        <r>
          <rPr>
            <sz val="9"/>
            <color indexed="81"/>
            <rFont val="Tahoma"/>
            <family val="2"/>
          </rPr>
          <t xml:space="preserve">
13% ex FX</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Soomit Datta</author>
  </authors>
  <commentList>
    <comment ref="L20" authorId="0" shapeId="0" xr:uid="{00000000-0006-0000-0100-000001000000}">
      <text>
        <r>
          <rPr>
            <b/>
            <sz val="9"/>
            <color indexed="81"/>
            <rFont val="Tahoma"/>
            <family val="2"/>
          </rPr>
          <t>Soomit Datta:</t>
        </r>
        <r>
          <rPr>
            <sz val="9"/>
            <color indexed="81"/>
            <rFont val="Tahoma"/>
            <family val="2"/>
          </rPr>
          <t xml:space="preserve">
re-selling of World Cup digital rights</t>
        </r>
      </text>
    </comment>
    <comment ref="L32" authorId="0" shapeId="0" xr:uid="{1D28F149-6B8B-41D6-98F7-E92638888AA1}">
      <text>
        <r>
          <rPr>
            <b/>
            <sz val="9"/>
            <color indexed="81"/>
            <rFont val="Tahoma"/>
            <family val="2"/>
          </rPr>
          <t>Soomit Datta:</t>
        </r>
        <r>
          <rPr>
            <sz val="9"/>
            <color indexed="81"/>
            <rFont val="Tahoma"/>
            <family val="2"/>
          </rPr>
          <t xml:space="preserve">
re-selling of World Cup digital rights</t>
        </r>
      </text>
    </comment>
    <comment ref="B47" authorId="0" shapeId="0" xr:uid="{00000000-0006-0000-0100-000003000000}">
      <text>
        <r>
          <rPr>
            <b/>
            <sz val="9"/>
            <color indexed="81"/>
            <rFont val="Tahoma"/>
            <family val="2"/>
          </rPr>
          <t>Soomit Datta:</t>
        </r>
        <r>
          <rPr>
            <sz val="9"/>
            <color indexed="81"/>
            <rFont val="Tahoma"/>
            <family val="2"/>
          </rPr>
          <t xml:space="preserve">
50/50 in USD/MXN</t>
        </r>
      </text>
    </comment>
    <comment ref="B59" authorId="0" shapeId="0" xr:uid="{00000000-0006-0000-0100-000004000000}">
      <text>
        <r>
          <rPr>
            <b/>
            <sz val="9"/>
            <color indexed="81"/>
            <rFont val="Tahoma"/>
            <family val="2"/>
          </rPr>
          <t>Soomit Datta:</t>
        </r>
        <r>
          <rPr>
            <sz val="9"/>
            <color indexed="81"/>
            <rFont val="Tahoma"/>
            <family val="2"/>
          </rPr>
          <t xml:space="preserve">
Netflix and exports to other 88 countries</t>
        </r>
      </text>
    </comment>
    <comment ref="E60" authorId="0" shapeId="0" xr:uid="{00000000-0006-0000-0100-000005000000}">
      <text>
        <r>
          <rPr>
            <b/>
            <sz val="9"/>
            <color indexed="81"/>
            <rFont val="Tahoma"/>
            <family val="2"/>
          </rPr>
          <t>Soomit Datta:</t>
        </r>
        <r>
          <rPr>
            <sz val="9"/>
            <color indexed="81"/>
            <rFont val="Tahoma"/>
            <family val="2"/>
          </rPr>
          <t xml:space="preserve">
Netflix included from Q3 2011</t>
        </r>
      </text>
    </comment>
    <comment ref="M71" authorId="0" shapeId="0" xr:uid="{00000000-0006-0000-0100-000006000000}">
      <text>
        <r>
          <rPr>
            <b/>
            <sz val="9"/>
            <color indexed="81"/>
            <rFont val="Tahoma"/>
            <family val="2"/>
          </rPr>
          <t>Soomit Datta:</t>
        </r>
        <r>
          <rPr>
            <sz val="9"/>
            <color indexed="81"/>
            <rFont val="Tahoma"/>
            <family val="2"/>
          </rPr>
          <t xml:space="preserve">
step up in univision payment</t>
        </r>
      </text>
    </comment>
  </commentList>
</comments>
</file>

<file path=xl/sharedStrings.xml><?xml version="1.0" encoding="utf-8"?>
<sst xmlns="http://schemas.openxmlformats.org/spreadsheetml/2006/main" count="11463" uniqueCount="7734">
  <si>
    <t>Pay TV channels, magasines</t>
  </si>
  <si>
    <t>Global audience</t>
  </si>
  <si>
    <t>50% of TVI</t>
  </si>
  <si>
    <t>Acquisition, investments a theme here..</t>
  </si>
  <si>
    <t>Programming</t>
  </si>
  <si>
    <t>Distribute Telemundo content (incs Telenovelas)</t>
  </si>
  <si>
    <t>Very high margin (46% in 2011 operating income margin)</t>
  </si>
  <si>
    <t>18 minutes per day of mandatory public service announcements, and 30 mins for public programming (Offical Television Broadcast Time)</t>
  </si>
  <si>
    <t>51% shareholder in Cablevision (Mexico City)</t>
  </si>
  <si>
    <t>Ownership</t>
  </si>
  <si>
    <t>Political links</t>
  </si>
  <si>
    <t>58.7% of Innova (SKY), which owns ops in Mexico, Central America and Dom Republic</t>
  </si>
  <si>
    <t>SKY and SKY Brasil uses Intelsat. Latest satellite launch was Q1 2010 with 24 transponders, exclusive for SKY</t>
  </si>
  <si>
    <t>(1 transponder equates to 3 HD channels)</t>
  </si>
  <si>
    <t>21 Pay TV brands (three music, four movie, seven variety and entertainment channels, and two sports channels, Televisa Deportes
Network, or TDN, and TDN 2.0 (launched in January 2012)</t>
  </si>
  <si>
    <t>DTH</t>
  </si>
  <si>
    <t>Cable</t>
  </si>
  <si>
    <t>Approval to launch IP voice in May 2007</t>
  </si>
  <si>
    <t>Cablemas has been merged into this</t>
  </si>
  <si>
    <t>Cablemas operates in 50 cities</t>
  </si>
  <si>
    <t>Bought in the 41.7% of equity not owned by Televisa in April 2011</t>
  </si>
  <si>
    <t>Now own 100%</t>
  </si>
  <si>
    <t>Operates in Monterrey and Northern Mexico</t>
  </si>
  <si>
    <t>Acquired in March 2006</t>
  </si>
  <si>
    <t xml:space="preserve">Consolidation a theme here…Televisa explicitly interested </t>
  </si>
  <si>
    <t>Publishing</t>
  </si>
  <si>
    <t>132 million magasines during 2011</t>
  </si>
  <si>
    <t>172 titles, of which 104 are wholly owned</t>
  </si>
  <si>
    <t>68 are licenced from others, often Spanish language versions of others</t>
  </si>
  <si>
    <t>Own 14.5% of Imagina, a Spanish content provider (Imagina was formed from a merger of Grupo Arbol and Mediapro in 2006)</t>
  </si>
  <si>
    <t>Culture</t>
  </si>
  <si>
    <t>Hispanics make up 16% of US POP according to March 2011 census</t>
  </si>
  <si>
    <t>Set to be 21% by 2025</t>
  </si>
  <si>
    <t>Set to represent 10.5% of US disposable income by 2015 ($1.5 tr)</t>
  </si>
  <si>
    <t>Targeting this market</t>
  </si>
  <si>
    <t>US</t>
  </si>
  <si>
    <t>Supply TV content through Univision</t>
  </si>
  <si>
    <t>Televisa receive royalty payments:</t>
  </si>
  <si>
    <t>$143m</t>
  </si>
  <si>
    <t>$156m</t>
  </si>
  <si>
    <t>$225m</t>
  </si>
  <si>
    <t>Capital injection of $1.2bn into Univision in Dec 2010</t>
  </si>
  <si>
    <t>A further $49m in cash and common stock, taking stake in BMP (parent of Univision) from 5% to 7.1%</t>
  </si>
  <si>
    <t>Deal to supply content to Netflix</t>
  </si>
  <si>
    <t>Other</t>
  </si>
  <si>
    <t>Arrangement with Genomma Lab - sell pharmaceuticals/cosmetic (extend Televisa brand), provide Genomma Lab with advertising</t>
  </si>
  <si>
    <t>Through 100% Editora Factum, bid for a pair of dark fibres in an equal consortium with TEF and Megacable</t>
  </si>
  <si>
    <t>20 year lease on 19,457km of dark-fibre optic capacity</t>
  </si>
  <si>
    <t>Aims to target business and households</t>
  </si>
  <si>
    <t>Total GTAC investment of Ps1.3bn in 2010 and Ps290m in 2011`</t>
  </si>
  <si>
    <t>Iusacell</t>
  </si>
  <si>
    <t>Bought 1% in cash</t>
  </si>
  <si>
    <t>Via GSF (100% owners)</t>
  </si>
  <si>
    <t>Converts:</t>
  </si>
  <si>
    <t>1/ $365m of Series 1</t>
  </si>
  <si>
    <t>2/ $1200m of Series 2</t>
  </si>
  <si>
    <t>Further $400m payment if cumulative EBITDA from 1 Jan 2011 to 31  Dec 2015 (5 years) reaches $3,742m</t>
  </si>
  <si>
    <t>EBITDA</t>
  </si>
  <si>
    <t>$</t>
  </si>
  <si>
    <t>2011-15</t>
  </si>
  <si>
    <t>EUR</t>
  </si>
  <si>
    <t>TEF EBITDA</t>
  </si>
  <si>
    <t>Nextel EBITDA</t>
  </si>
  <si>
    <t>50% ownership of conversion</t>
  </si>
  <si>
    <t>Equal corporate governance rights with Salinas, the remaining 50% shareholder</t>
  </si>
  <si>
    <t>5,406,000 wireless subs as of end-2011</t>
  </si>
  <si>
    <t>Grupo Salinas</t>
  </si>
  <si>
    <t>Ricardo B. Salinas</t>
  </si>
  <si>
    <t>TV Azteca, 2nd largest provider of Spanish content</t>
  </si>
  <si>
    <t>10 TV channels in Mexico City and 467 outside of the Capital, largely repeater channels</t>
  </si>
  <si>
    <t>Operate 4 of the 10 TV channels in Mexico City (2,4,5 and 9), linked with 220 repeater channels</t>
  </si>
  <si>
    <t>TV Azteca 2 channels in Mexico City (7 and 13) with 176 (84 + 92) outside of Capital</t>
  </si>
  <si>
    <t>Government owns 2 channels (11 and 22)</t>
  </si>
  <si>
    <t>Televisora del Valle de Mexico owns 1 channel (40)</t>
  </si>
  <si>
    <t>TV</t>
  </si>
  <si>
    <t>26.5m households with TV in Mexico, 91.0% of all households. 95.5% penetration in Mexico City</t>
  </si>
  <si>
    <t>2012 London Olympic Games. We have also acquired the rights to broadcast the 2014 FIFA</t>
  </si>
  <si>
    <t>World Cup Brasil for the territory of Mexico and the rights to broadcast the 2018 FIFA World Cup Russia and the 2022 FIFA World</t>
  </si>
  <si>
    <t>Cup Qatar for Mexico and other territories in Latin America.</t>
  </si>
  <si>
    <t>Telenovelas, newscasts etc etc</t>
  </si>
  <si>
    <t>Sports</t>
  </si>
  <si>
    <t>Gaming business, inc bingo parlours, 50% of a radio co, film production, soccer teams and the Azteca Stadium</t>
  </si>
  <si>
    <t>Pay TV in Mexico</t>
  </si>
  <si>
    <t>Dish and AMX (Telmex) are closely affilicated</t>
  </si>
  <si>
    <t xml:space="preserve"> </t>
  </si>
  <si>
    <t>Holds a commercial alliance with Telmex, which renders billing and logistic services given Telmex restrictions on offering TV</t>
  </si>
  <si>
    <t>Echostar (49%) owns Dish Mexico with MVS (51%)</t>
  </si>
  <si>
    <t>SKY</t>
  </si>
  <si>
    <t>Dish</t>
  </si>
  <si>
    <t>Megacable</t>
  </si>
  <si>
    <t>Cablemas</t>
  </si>
  <si>
    <t>Cablevision</t>
  </si>
  <si>
    <t>Bestel - double check this</t>
  </si>
  <si>
    <t>Azcarraga</t>
  </si>
  <si>
    <t>A</t>
  </si>
  <si>
    <t>B</t>
  </si>
  <si>
    <t>D</t>
  </si>
  <si>
    <t>L</t>
  </si>
  <si>
    <t>Total</t>
  </si>
  <si>
    <t>CPO's trade in Mexico</t>
  </si>
  <si>
    <t>GDS trade in the US</t>
  </si>
  <si>
    <t>5 CDO to 1 GDR</t>
  </si>
  <si>
    <t>Bloomy</t>
  </si>
  <si>
    <t>Bestel provides voice, data, and managed services to domestic and international</t>
  </si>
  <si>
    <t>carriers and to the enterprise, corporate, and government segments in Mexico. Through Bestel (USA), Inc., Bestel provides crossborder</t>
  </si>
  <si>
    <t>services to U.S. carriers including internet protocol, or IP, transit, collocation, international private lines, virtual private</t>
  </si>
  <si>
    <t>networks, or VPNs, and voice services, as well as access to the Internet backbone via TIER 1 and TIER 2. Bestel owns a fiber-optic</t>
  </si>
  <si>
    <t>network of approximately 8,000 kilometers that covers several important cities and economic regions in Mexico and has direct</t>
  </si>
  <si>
    <t>crossing of its network into Dallas, Texas, Nogales, Arizona, and San Diego, California in the United States. This enables the</t>
  </si>
  <si>
    <t>company to provide high capacity connectivity between the United States and Mexico.</t>
  </si>
  <si>
    <t>Bestel</t>
  </si>
  <si>
    <t>Check ownership</t>
  </si>
  <si>
    <t>Millions of Mexican Pesos</t>
  </si>
  <si>
    <t>2005</t>
  </si>
  <si>
    <t>2006</t>
  </si>
  <si>
    <t>2007</t>
  </si>
  <si>
    <t>2008</t>
  </si>
  <si>
    <t>2009</t>
  </si>
  <si>
    <t>2010</t>
  </si>
  <si>
    <t>FY</t>
  </si>
  <si>
    <t>1Q</t>
  </si>
  <si>
    <t>2Q</t>
  </si>
  <si>
    <t>3Q</t>
  </si>
  <si>
    <t>4Q</t>
  </si>
  <si>
    <t>Net Sales</t>
  </si>
  <si>
    <t>Television Broadcasting</t>
  </si>
  <si>
    <t>Pay Television Networks</t>
  </si>
  <si>
    <t>Programming Exports</t>
  </si>
  <si>
    <t>Sky</t>
  </si>
  <si>
    <t>Cable and Telecom</t>
  </si>
  <si>
    <t>Other Businesses</t>
  </si>
  <si>
    <t>Segment Net Sales</t>
  </si>
  <si>
    <t>Intersegment Operations</t>
  </si>
  <si>
    <t>Disposed Operations</t>
  </si>
  <si>
    <t>Consolidated Net Sales</t>
  </si>
  <si>
    <t>Operating Segment Income (Loss)</t>
  </si>
  <si>
    <t>Operating Segment Income</t>
  </si>
  <si>
    <t>Corporate Expenses</t>
  </si>
  <si>
    <t>Depreciation and Amortization</t>
  </si>
  <si>
    <t>Consolidated Operating Income</t>
  </si>
  <si>
    <t>(1) Information from the period of 2005 to December 2007 has been prepared in accordance with Mexican Financial Reporting Standards and is adjusted in millions of Mexican pesos in purchasing power as of December 31, 2007.</t>
  </si>
  <si>
    <t>(2) Information for the year 2008 and forward has been prepared in accordance with Mexican Financial Reporting Standards and is expressed in nominal Mexican pesos.</t>
  </si>
  <si>
    <t>(3) All information is presented in millions of Mexican pesos.</t>
  </si>
  <si>
    <t>(4) Revenue and Operating Segment Income results take into account certain reclassifications in order to be comparable through all periods.</t>
  </si>
  <si>
    <t>(5) Some non-material differences may exist between the information here presented and the information included in our press releases.</t>
  </si>
  <si>
    <t>Content</t>
  </si>
  <si>
    <t>Advertising</t>
  </si>
  <si>
    <t>Network Subscription Revenue</t>
  </si>
  <si>
    <t>Licensing and Syndication</t>
  </si>
  <si>
    <t>Other Expense, net</t>
  </si>
  <si>
    <t>Operating Income</t>
  </si>
  <si>
    <t>(1) Information for the year 2011 and forward has been prepared in accordance with International Financial Reporting Standards and is expressed in nominal Mexican pesos.</t>
  </si>
  <si>
    <t>(2) All information is presented in millions of Mexican pesos.</t>
  </si>
  <si>
    <t>(3) Some non-material differences may exist between the information here presented and the information included in our press releases.</t>
  </si>
  <si>
    <t>YOY</t>
  </si>
  <si>
    <t>TVI</t>
  </si>
  <si>
    <t>Total (gross)</t>
  </si>
  <si>
    <t>Sales</t>
  </si>
  <si>
    <t>% margin</t>
  </si>
  <si>
    <t>Emilio Azcárraga Jean took over in 1997</t>
  </si>
  <si>
    <t>Founded by Emilio Azcárraga Vidaurreta in 1930 as a radio station</t>
  </si>
  <si>
    <t>Piena Nieto married Angélica Rivera, a Televisa soap star</t>
  </si>
  <si>
    <t xml:space="preserve">In July 12 elections, accusation of PRI's excessive promotion on Televisa </t>
  </si>
  <si>
    <t>http://www.guardian.co.uk/world/2012/jun/26/spotlight-televisa-mexico-tv-station</t>
  </si>
  <si>
    <t>Emilio Azcárraga Milmo, 1972-1997 (El Tigre)</t>
  </si>
  <si>
    <t>"Televisa has long had a close and symbiotic relationship with the party that has ruled Mexico since the 1920s, the Partido Revolucionario Institucional (PRI)"</t>
  </si>
  <si>
    <t>http://home.millsaps.edu/paxmaa/eltigre/id5.htm</t>
  </si>
  <si>
    <t>Carlos Madrazo</t>
  </si>
  <si>
    <t>Investor Relations Officer</t>
  </si>
  <si>
    <t>María José Cevallos</t>
  </si>
  <si>
    <t>Investor Relations Manager</t>
  </si>
  <si>
    <t>Grupo Televisa S.A.B.</t>
  </si>
  <si>
    <t>Investor Relations</t>
  </si>
  <si>
    <t>Av. Vasco de Quiroga No. 2000, </t>
  </si>
  <si>
    <t>Edif. A, Piso 4</t>
  </si>
  <si>
    <t>Delegación Álvaro Obregón</t>
  </si>
  <si>
    <t>Col. Santa Fe, Mexico, D.F. 01210</t>
  </si>
  <si>
    <t>Tel +52 (55) 5261 2445</t>
  </si>
  <si>
    <t>Fax +52 (55) 5261 2494</t>
  </si>
  <si>
    <t>ir@televisa.com.mx</t>
  </si>
  <si>
    <t>Reported revenues</t>
  </si>
  <si>
    <t>% change</t>
  </si>
  <si>
    <t>Clean EBITDA</t>
  </si>
  <si>
    <t>Reported EBITDA</t>
  </si>
  <si>
    <t>Depreciation</t>
  </si>
  <si>
    <t>Amortisation</t>
  </si>
  <si>
    <t>EBIT</t>
  </si>
  <si>
    <t>Financial income and expense</t>
  </si>
  <si>
    <t>FX gains/losses</t>
  </si>
  <si>
    <t>Other expenses</t>
  </si>
  <si>
    <t>Income from affiliates/other</t>
  </si>
  <si>
    <t>PBT</t>
  </si>
  <si>
    <t>Tax</t>
  </si>
  <si>
    <t>Minority interest</t>
  </si>
  <si>
    <t>Net income</t>
  </si>
  <si>
    <t>Reported EPS</t>
  </si>
  <si>
    <t>Clean EPS</t>
  </si>
  <si>
    <t>DPS</t>
  </si>
  <si>
    <t>EFCF/ share</t>
  </si>
  <si>
    <t>Breakdown</t>
  </si>
  <si>
    <t>Revenue</t>
  </si>
  <si>
    <t>Capex</t>
  </si>
  <si>
    <t>as % sales</t>
  </si>
  <si>
    <t>OpFCF</t>
  </si>
  <si>
    <t>Balance sheet</t>
  </si>
  <si>
    <t>Cash/ marketable securities</t>
  </si>
  <si>
    <t>Inventory</t>
  </si>
  <si>
    <t>Receivables</t>
  </si>
  <si>
    <t>Prepayments</t>
  </si>
  <si>
    <t>Current assets</t>
  </si>
  <si>
    <t>Net PP&amp;E</t>
  </si>
  <si>
    <t>Net intangible assets</t>
  </si>
  <si>
    <t>Non-current other assets</t>
  </si>
  <si>
    <t>Total assets</t>
  </si>
  <si>
    <t>Other current liabilities</t>
  </si>
  <si>
    <t>Accounts payable</t>
  </si>
  <si>
    <t>ST interest-bearing debt</t>
  </si>
  <si>
    <t>Current liabilites</t>
  </si>
  <si>
    <t>LT interest-bearing debt</t>
  </si>
  <si>
    <t>Other long-term liabilities</t>
  </si>
  <si>
    <t>Minority interests</t>
  </si>
  <si>
    <t>Book equity</t>
  </si>
  <si>
    <t>Total liabilities and book equity</t>
  </si>
  <si>
    <t>Check</t>
  </si>
  <si>
    <t>Net debt</t>
  </si>
  <si>
    <t>Change in net debt</t>
  </si>
  <si>
    <t>Cash flow statement</t>
  </si>
  <si>
    <t>Less: Interest payments</t>
  </si>
  <si>
    <t>Less: Tax</t>
  </si>
  <si>
    <t>Less: Working capital movements</t>
  </si>
  <si>
    <t>Less: Restructuring payments</t>
  </si>
  <si>
    <t>Less: Dividends paid</t>
  </si>
  <si>
    <t>Less: Share buyback/ special dividend</t>
  </si>
  <si>
    <t>Less: licence payments</t>
  </si>
  <si>
    <t>Plus: M&amp;A/ other</t>
  </si>
  <si>
    <t>Difference</t>
  </si>
  <si>
    <t>as % of Net PP&amp;E</t>
  </si>
  <si>
    <t>Less: extraordinary depreciation</t>
  </si>
  <si>
    <t>Clean depreciation</t>
  </si>
  <si>
    <t>Av. asset life</t>
  </si>
  <si>
    <t>Gross PP&amp;E</t>
  </si>
  <si>
    <t>Acc. Depreciation</t>
  </si>
  <si>
    <t>Capex/ depreciation</t>
  </si>
  <si>
    <t>Less: extraordinary amortisation</t>
  </si>
  <si>
    <t>Clean amortisation</t>
  </si>
  <si>
    <t>as % of net intangibles</t>
  </si>
  <si>
    <t>Gross intangible assets</t>
  </si>
  <si>
    <t>Accumulated amortisation</t>
  </si>
  <si>
    <t>Acquisition of intangibles</t>
  </si>
  <si>
    <t>Gross goodwill</t>
  </si>
  <si>
    <t>Accumulated goodwill amort</t>
  </si>
  <si>
    <t>Net goodwill</t>
  </si>
  <si>
    <t>Acquisition of goodwill</t>
  </si>
  <si>
    <t>Write-down of goodwill</t>
  </si>
  <si>
    <t>Asset breakdown</t>
  </si>
  <si>
    <t>NFA</t>
  </si>
  <si>
    <t>Intangible assets</t>
  </si>
  <si>
    <t>Interest/ debt</t>
  </si>
  <si>
    <t>Interest payments</t>
  </si>
  <si>
    <t>Exceptional interest charges</t>
  </si>
  <si>
    <t>Clean interest payments</t>
  </si>
  <si>
    <t>Interest income</t>
  </si>
  <si>
    <t>Other financial income</t>
  </si>
  <si>
    <t>Average interest rate on cash</t>
  </si>
  <si>
    <t>Change</t>
  </si>
  <si>
    <t>Interest expense</t>
  </si>
  <si>
    <t>Other financial expenses</t>
  </si>
  <si>
    <t>Average interest rate on debt</t>
  </si>
  <si>
    <t>Average interest rate</t>
  </si>
  <si>
    <t>Average debt</t>
  </si>
  <si>
    <t>Gross debt</t>
  </si>
  <si>
    <t>Cash as % of sales</t>
  </si>
  <si>
    <t xml:space="preserve"> - of which short-term debt</t>
  </si>
  <si>
    <t xml:space="preserve"> - of which long-term debt</t>
  </si>
  <si>
    <t>Net cash</t>
  </si>
  <si>
    <t>Non-current financial assets</t>
  </si>
  <si>
    <t>Deferred tax assets</t>
  </si>
  <si>
    <t>Working capital analysis</t>
  </si>
  <si>
    <t>% of sales</t>
  </si>
  <si>
    <t>Change in inventory</t>
  </si>
  <si>
    <t>Change in receivables</t>
  </si>
  <si>
    <t>Other current assets</t>
  </si>
  <si>
    <t>Change in other assets</t>
  </si>
  <si>
    <t>Change in payables</t>
  </si>
  <si>
    <t>Change in other liabilities</t>
  </si>
  <si>
    <t>Change in working capital</t>
  </si>
  <si>
    <t>Pension provisions</t>
  </si>
  <si>
    <t>Release</t>
  </si>
  <si>
    <t>Pension and post-employment benefits</t>
  </si>
  <si>
    <t>Cash outflow</t>
  </si>
  <si>
    <t>Provisions</t>
  </si>
  <si>
    <t>Restructuring release</t>
  </si>
  <si>
    <t>Exceptional items</t>
  </si>
  <si>
    <t>Clean tax</t>
  </si>
  <si>
    <t>Less: clean depreciation</t>
  </si>
  <si>
    <t>Less: amortisation</t>
  </si>
  <si>
    <t>Less: interest</t>
  </si>
  <si>
    <t>Adjustments</t>
  </si>
  <si>
    <t>Clean PBT</t>
  </si>
  <si>
    <t>Effective tax rate</t>
  </si>
  <si>
    <t>Group PBT</t>
  </si>
  <si>
    <t xml:space="preserve">Tax loss carryforwards </t>
  </si>
  <si>
    <t>Amount used in year</t>
  </si>
  <si>
    <t>Taxable PBT</t>
  </si>
  <si>
    <t>Cash tax paid</t>
  </si>
  <si>
    <t>Tax credit remaining</t>
  </si>
  <si>
    <t>Difference with normalised tax</t>
  </si>
  <si>
    <t>NPV</t>
  </si>
  <si>
    <t>Cash tax</t>
  </si>
  <si>
    <t xml:space="preserve">Cash tax </t>
  </si>
  <si>
    <t>Total cash tax</t>
  </si>
  <si>
    <t>Income from affiliates</t>
  </si>
  <si>
    <t>Clean income from affiliates</t>
  </si>
  <si>
    <t>Financial investments</t>
  </si>
  <si>
    <t>Clean minority interests</t>
  </si>
  <si>
    <t>Share buyback</t>
  </si>
  <si>
    <t>change</t>
  </si>
  <si>
    <t>Exceptional cash-flow items</t>
  </si>
  <si>
    <t>Minority disposal</t>
  </si>
  <si>
    <t>Licences</t>
  </si>
  <si>
    <t>Special dividend</t>
  </si>
  <si>
    <t>Pension top-up</t>
  </si>
  <si>
    <t>Acquisitions</t>
  </si>
  <si>
    <t>Exceptional cash flow items</t>
  </si>
  <si>
    <t>Per share analysis</t>
  </si>
  <si>
    <t>Less: depreciation</t>
  </si>
  <si>
    <t>Less: clean interest</t>
  </si>
  <si>
    <t>Less: clean tax</t>
  </si>
  <si>
    <t>Less: minority interests</t>
  </si>
  <si>
    <t>Clean earnings</t>
  </si>
  <si>
    <t>Change in common shares in issue</t>
  </si>
  <si>
    <t>Average shares in issue</t>
  </si>
  <si>
    <t>Common treasury shares</t>
  </si>
  <si>
    <t>shares in treasury</t>
  </si>
  <si>
    <t>Common shares outstanding</t>
  </si>
  <si>
    <t>Dividend payments</t>
  </si>
  <si>
    <t>as % of clean EPS</t>
  </si>
  <si>
    <t>as % of reported EPS</t>
  </si>
  <si>
    <t>as % of EFCF</t>
  </si>
  <si>
    <t>Add: depreciation</t>
  </si>
  <si>
    <t>Add: amortisation</t>
  </si>
  <si>
    <t>Less: capex</t>
  </si>
  <si>
    <t>Clean EFCF</t>
  </si>
  <si>
    <t>Clean EFCF/ share</t>
  </si>
  <si>
    <t xml:space="preserve">Debt </t>
  </si>
  <si>
    <t>xx</t>
  </si>
  <si>
    <t>New borrowings</t>
  </si>
  <si>
    <t>Repayments</t>
  </si>
  <si>
    <t>Interest rates</t>
  </si>
  <si>
    <t>P&amp;L, P$</t>
  </si>
  <si>
    <t>Corporate expenses</t>
  </si>
  <si>
    <t>BMP (Univision)</t>
  </si>
  <si>
    <t>La Sexta</t>
  </si>
  <si>
    <t>GTAC</t>
  </si>
  <si>
    <t>Ocesa</t>
  </si>
  <si>
    <t>%</t>
  </si>
  <si>
    <t>Imagina</t>
  </si>
  <si>
    <t>MXN/$</t>
  </si>
  <si>
    <t>Group capex</t>
  </si>
  <si>
    <t>Content/other</t>
  </si>
  <si>
    <t>Capex/sales</t>
  </si>
  <si>
    <t>% EBITDA margin</t>
  </si>
  <si>
    <t>Group OpFCF</t>
  </si>
  <si>
    <t>Average</t>
  </si>
  <si>
    <t>Total outstanding</t>
  </si>
  <si>
    <t>Market Cap (fully diluted)</t>
  </si>
  <si>
    <t>Plus: NPV of future licence costs</t>
  </si>
  <si>
    <t>Plus: Value of minorities</t>
  </si>
  <si>
    <t>Plus: Other liabilities</t>
  </si>
  <si>
    <t xml:space="preserve">Plus: Net debt </t>
  </si>
  <si>
    <t>Less: Accumulated dividend</t>
  </si>
  <si>
    <t>Enterprise value</t>
  </si>
  <si>
    <t>EFCF</t>
  </si>
  <si>
    <t>Adjusted EBITDA</t>
  </si>
  <si>
    <t xml:space="preserve">Less Capex </t>
  </si>
  <si>
    <t>Market Cap</t>
  </si>
  <si>
    <t>Less: Value of associates</t>
  </si>
  <si>
    <t>Plus liabilities</t>
  </si>
  <si>
    <t>Adjusted Market Cap</t>
  </si>
  <si>
    <t>Adjusted EPS</t>
  </si>
  <si>
    <t>EV/EBITDA</t>
  </si>
  <si>
    <t>EV/OpFCF</t>
  </si>
  <si>
    <t>EV/FCF</t>
  </si>
  <si>
    <t>P/EFCF</t>
  </si>
  <si>
    <t>Equity FCF yield</t>
  </si>
  <si>
    <t>Dividend yield</t>
  </si>
  <si>
    <t>P/E adj</t>
  </si>
  <si>
    <t>Debt/EBITDA</t>
  </si>
  <si>
    <t>TV US</t>
  </si>
  <si>
    <t>Fully diluted shares in the form of CPO's</t>
  </si>
  <si>
    <t>A (common) shares</t>
  </si>
  <si>
    <t>B (common) shares</t>
  </si>
  <si>
    <t>D (preferred) shares</t>
  </si>
  <si>
    <t>L (limited voting) shares</t>
  </si>
  <si>
    <t>Total ex-Treasury</t>
  </si>
  <si>
    <t>Fully diluted shares not part of CPO's</t>
  </si>
  <si>
    <t>Mkt cap, MXN</t>
  </si>
  <si>
    <t>how much DTH and 3-play is Telmex selling?</t>
  </si>
  <si>
    <t>Mexican economy as a guide for content sales? 7-8% vs nominal GDP growth of about the same?</t>
  </si>
  <si>
    <t xml:space="preserve">how much is Dish actually helping Telmex </t>
  </si>
  <si>
    <t>prospect for Telmex offering TV in the near future?</t>
  </si>
  <si>
    <t>$1.5bn for 50% - how does this compare to fair value?</t>
  </si>
  <si>
    <t>Deal with TEF Mexico. Potential for an acquisition of TEF Mexico?</t>
  </si>
  <si>
    <t>SKY Mexico</t>
  </si>
  <si>
    <t>growth v strong</t>
  </si>
  <si>
    <t>EV calculation, US$</t>
  </si>
  <si>
    <t>Cash return profile?</t>
  </si>
  <si>
    <t>Other 50% of Iusacell</t>
  </si>
  <si>
    <t>What were the anti-trust requirements exactly for the Iusacell deal to go through?</t>
  </si>
  <si>
    <t>Ownership can be dissolved if 3rd TV licence not awarded?</t>
  </si>
  <si>
    <t>Televisa and Azteca will need to sell channels to other cable cos</t>
  </si>
  <si>
    <t>Future success for cable?</t>
  </si>
  <si>
    <t>Also, Dish prevented from selling broadcast channels over network? What's it got to do with Dish</t>
  </si>
  <si>
    <t>Where see penetration going to?</t>
  </si>
  <si>
    <t>Pay TV generally</t>
  </si>
  <si>
    <t>Plus associates:</t>
  </si>
  <si>
    <t>Deal in the US</t>
  </si>
  <si>
    <t>Univision</t>
  </si>
  <si>
    <t>Run through of the $1.2bn capital injection. Did all partners put equity in?</t>
  </si>
  <si>
    <t>How to value Broadcasting Media Partners (BMP)</t>
  </si>
  <si>
    <t>how are margins so high (50% at EBITDA) compared to SKY Brasil. Direction of margins going forward?</t>
  </si>
  <si>
    <t>what's happening with 2.3 GHz spectrum?</t>
  </si>
  <si>
    <t>why are ARPUs so low? (US$20, compared to US$50 in Brazil…halved in 4 years)</t>
  </si>
  <si>
    <t>what's the status of MMDS? When let go of 2.6 GHz?</t>
  </si>
  <si>
    <t>Is MMDS reasonably active in Mexico?</t>
  </si>
  <si>
    <t>Iusacell equity accounted from 1 July?</t>
  </si>
  <si>
    <t>Potential for regulatory change on interconnect</t>
  </si>
  <si>
    <t>Cash investment of $1.255bn (Dec 10)</t>
  </si>
  <si>
    <t>2.1% acquired in Dec 11 for $49m</t>
  </si>
  <si>
    <t>Implied 100%</t>
  </si>
  <si>
    <t>Check ownership levels of all cable cos</t>
  </si>
  <si>
    <t>Investments</t>
  </si>
  <si>
    <t>Televisa Interactive Media: on-line, wireless content</t>
  </si>
  <si>
    <t>Publishing distribution. 40,000 POS. Use this to sell Iusacell?</t>
  </si>
  <si>
    <t>What is the ownership of these businesses?</t>
  </si>
  <si>
    <t>Football - clubs and stadium</t>
  </si>
  <si>
    <t>Film production</t>
  </si>
  <si>
    <t>Sports/show business promotion</t>
  </si>
  <si>
    <t>Gaming</t>
  </si>
  <si>
    <t>Radio stations</t>
  </si>
  <si>
    <t>Spanish language content in US</t>
  </si>
  <si>
    <t>Why is 'Other' loss making at EBITDA?</t>
  </si>
  <si>
    <t>Room to streamline the assets?</t>
  </si>
  <si>
    <t>Buy out minorities and merge assets. Any synergies here?</t>
  </si>
  <si>
    <t>Comfortable with spectrum? Need to bid in AWS extension?</t>
  </si>
  <si>
    <t>Is there any geographic overlap?</t>
  </si>
  <si>
    <t>Any differences in terms of network upgrades, DOCSIS 3.0 etc</t>
  </si>
  <si>
    <t>Current capex cycle..what's it being spent on? Ease capex into 2011?</t>
  </si>
  <si>
    <t>Consolidation potential i.e. Megacable up for sale? Megacable is Guadalajara and anywhere else?</t>
  </si>
  <si>
    <t>Combined share of TV is &gt;50% through SKY (35%) and Cable (20%). Is there a cap to where market share can go from a Reg perspective?</t>
  </si>
  <si>
    <t>Media</t>
  </si>
  <si>
    <t>Prospect and timing of a 3rd broadcast licence (Televisa and Azteca currently)</t>
  </si>
  <si>
    <t>Why are margins so high at Bestel. 30% a sustainable margin…seems high?</t>
  </si>
  <si>
    <t>How much of capex is set-top boxes - almost all? Why was capex so high in 2010. Satellite launch, anything more planned here?</t>
  </si>
  <si>
    <t>Where are the royalty payments booked to?</t>
  </si>
  <si>
    <t>Mexican mobile</t>
  </si>
  <si>
    <t>EV</t>
  </si>
  <si>
    <t>WACC</t>
  </si>
  <si>
    <t>Rf</t>
  </si>
  <si>
    <t>Spread</t>
  </si>
  <si>
    <t>Cd</t>
  </si>
  <si>
    <t>Post-tax Cd</t>
  </si>
  <si>
    <t>ERP</t>
  </si>
  <si>
    <t>Beta</t>
  </si>
  <si>
    <t>CoE</t>
  </si>
  <si>
    <t>D/E</t>
  </si>
  <si>
    <t>PV FCF</t>
  </si>
  <si>
    <t>g</t>
  </si>
  <si>
    <t>PV TV</t>
  </si>
  <si>
    <t>FCF</t>
  </si>
  <si>
    <t>Media/other</t>
  </si>
  <si>
    <t>100% equity</t>
  </si>
  <si>
    <t>Debt</t>
  </si>
  <si>
    <t>100% EV</t>
  </si>
  <si>
    <t>How much net debt is there in SKY Mexico and the cable cos?</t>
  </si>
  <si>
    <t>Financial/other</t>
  </si>
  <si>
    <t>IPO of Univision?</t>
  </si>
  <si>
    <t>Less minorities</t>
  </si>
  <si>
    <t>Total value</t>
  </si>
  <si>
    <t>Equity value</t>
  </si>
  <si>
    <t>Number of shares</t>
  </si>
  <si>
    <t>Value per share</t>
  </si>
  <si>
    <t>Current price</t>
  </si>
  <si>
    <t>Upside</t>
  </si>
  <si>
    <t>Methodology</t>
  </si>
  <si>
    <t>DCF</t>
  </si>
  <si>
    <t>What's happened since takeover?</t>
  </si>
  <si>
    <t>Guide to financials</t>
  </si>
  <si>
    <t>5.7% share of subs as of 2011. More or less of revenue?</t>
  </si>
  <si>
    <t>Any agreement with Salinas - call, put options?</t>
  </si>
  <si>
    <t>Iusacell vs Unefon brand?</t>
  </si>
  <si>
    <t>Running 3 networks..CDMA (3G), GSM (2G) and W-CDMA (3G)</t>
  </si>
  <si>
    <t>How did this arise?</t>
  </si>
  <si>
    <t>Most handsets on website are GSM or HSPA+ (flavour of W-CDMA). What's happening to CDMA network?</t>
  </si>
  <si>
    <t>Cellular band: GSM, PCS is HSPA+</t>
  </si>
  <si>
    <t>Direct TV sold down out of SKY Brasil. Potential to raise stake here?</t>
  </si>
  <si>
    <t>How successful is VETV. How does pre paid satellite work? Who pays for the kit?</t>
  </si>
  <si>
    <t>DTT is gaining traction through HiTV. Includes Televisa's over-the-air content. What does this include, is this compelling?</t>
  </si>
  <si>
    <t>Total Play, a FTTH provifer from Salinas Group. How much investment is happening here?</t>
  </si>
  <si>
    <t>Either value the royalty payments, and strip these out of Univision, or vice versa</t>
  </si>
  <si>
    <t>How much cash?</t>
  </si>
  <si>
    <t>SKY gross debt - all guaranteed by Televisa?</t>
  </si>
  <si>
    <t>2012, 2013 and 2016</t>
  </si>
  <si>
    <t xml:space="preserve">Total cable </t>
  </si>
  <si>
    <t>Elims</t>
  </si>
  <si>
    <t>Net cable</t>
  </si>
  <si>
    <t>EBITDA margin</t>
  </si>
  <si>
    <t>ARPU</t>
  </si>
  <si>
    <t>Subs</t>
  </si>
  <si>
    <t>When are you going to see cash generation come through i.e. when will capex start to fall (actually going up in 2012) to 42% of sales</t>
  </si>
  <si>
    <t>Subscriber model</t>
  </si>
  <si>
    <t>Population</t>
  </si>
  <si>
    <t>Market subs</t>
  </si>
  <si>
    <t>Penetration</t>
  </si>
  <si>
    <t>Penetration added</t>
  </si>
  <si>
    <t>Telcel (AMX)</t>
  </si>
  <si>
    <t>TEM</t>
  </si>
  <si>
    <t>Unefon</t>
  </si>
  <si>
    <t>Nextel Int'l</t>
  </si>
  <si>
    <t>Net adds</t>
  </si>
  <si>
    <t>Market share</t>
  </si>
  <si>
    <t>AMX ARPU</t>
  </si>
  <si>
    <t>vs AMX</t>
  </si>
  <si>
    <t>Average Iusacell subs</t>
  </si>
  <si>
    <t>% sales</t>
  </si>
  <si>
    <t>EBITDA in US$</t>
  </si>
  <si>
    <t>AMX ARPU in US$</t>
  </si>
  <si>
    <t>ARPU in US$</t>
  </si>
  <si>
    <t>Cable cos</t>
  </si>
  <si>
    <t>Is any of the 1.5bn staying in the business? What is the net debt?</t>
  </si>
  <si>
    <t>Equity</t>
  </si>
  <si>
    <t>Interest</t>
  </si>
  <si>
    <t>Rate</t>
  </si>
  <si>
    <t>D&amp;A</t>
  </si>
  <si>
    <t>Net debt, US$</t>
  </si>
  <si>
    <t>Net debt, MXN</t>
  </si>
  <si>
    <t>rate</t>
  </si>
  <si>
    <t>Gross debt, US$</t>
  </si>
  <si>
    <t>Cash, US$</t>
  </si>
  <si>
    <t>Equity/converts injection, US$</t>
  </si>
  <si>
    <t>Equity/converts injection, MXN</t>
  </si>
  <si>
    <t>Capex in US$</t>
  </si>
  <si>
    <t>Capex/depreciation</t>
  </si>
  <si>
    <t>NPV of FCF</t>
  </si>
  <si>
    <t>Terminal multiple</t>
  </si>
  <si>
    <t>PV of TV</t>
  </si>
  <si>
    <t>DCF, in US$</t>
  </si>
  <si>
    <t>OpFCF in US$</t>
  </si>
  <si>
    <t>Televisa paid</t>
  </si>
  <si>
    <t>50% of equity</t>
  </si>
  <si>
    <t>Net debt pre equity</t>
  </si>
  <si>
    <t>post equity</t>
  </si>
  <si>
    <t>EV paid</t>
  </si>
  <si>
    <t>Material increase in the royalty payments, and into perpetuity</t>
  </si>
  <si>
    <t>Q2 12</t>
  </si>
  <si>
    <t>Q1 12</t>
  </si>
  <si>
    <t>Q2 11</t>
  </si>
  <si>
    <t>Q1 11</t>
  </si>
  <si>
    <t>Q3 11</t>
  </si>
  <si>
    <t>Q4 11</t>
  </si>
  <si>
    <t>Radio</t>
  </si>
  <si>
    <t>Interactive</t>
  </si>
  <si>
    <t>Cash</t>
  </si>
  <si>
    <t>(to Televisa?)</t>
  </si>
  <si>
    <t>y/y</t>
  </si>
  <si>
    <t>18-34</t>
  </si>
  <si>
    <t>18-49</t>
  </si>
  <si>
    <t>000's</t>
  </si>
  <si>
    <t>Q4 10</t>
  </si>
  <si>
    <t>LT Debt inc. capital lease</t>
  </si>
  <si>
    <t>Current portion of LT debt and lease obligs</t>
  </si>
  <si>
    <t>Q3 10</t>
  </si>
  <si>
    <t>Q2 10</t>
  </si>
  <si>
    <t>Q1 10</t>
  </si>
  <si>
    <t>US$ m</t>
  </si>
  <si>
    <t>Televisa put US$1.2bn into Univision</t>
  </si>
  <si>
    <t>Foreign broadcasters can't own more than 25% of US ones</t>
  </si>
  <si>
    <t>Right to buy another 5% at the time of the deal…2.1% in Dec 11 is part of this?</t>
  </si>
  <si>
    <t>Televisa tried to take it over in 2006. Lost out to Haim Saban + PE</t>
  </si>
  <si>
    <t>Can use Televisa content through to 2025</t>
  </si>
  <si>
    <t>Saban paid US$13.7bn for Univision…US$10bn of debt</t>
  </si>
  <si>
    <t>Pre-tax profit</t>
  </si>
  <si>
    <t>Other items</t>
  </si>
  <si>
    <t>% rate</t>
  </si>
  <si>
    <t>Rates</t>
  </si>
  <si>
    <t>After tax</t>
  </si>
  <si>
    <t>Round 2 of questions</t>
  </si>
  <si>
    <t>Are Univision loyalty fees taxed? At what rate?</t>
  </si>
  <si>
    <t>Content revs</t>
  </si>
  <si>
    <t>Network subscription revs up 30%. What's driving this?</t>
  </si>
  <si>
    <t>Margins</t>
  </si>
  <si>
    <t>Check Volaris has been sold</t>
  </si>
  <si>
    <t>Equity accounted for 40.% stake in La Sexta. Imagina still equity accounted for?</t>
  </si>
  <si>
    <t>Valuation</t>
  </si>
  <si>
    <t>What is consensus valuing the content business at vs cable, SKY Mexico, Iusacell and Univision?</t>
  </si>
  <si>
    <t>Other cable</t>
  </si>
  <si>
    <t>Total cable</t>
  </si>
  <si>
    <t>Televisa % of cable</t>
  </si>
  <si>
    <t>Other DTH (Dish)</t>
  </si>
  <si>
    <t>Total DTH</t>
  </si>
  <si>
    <t>No of households</t>
  </si>
  <si>
    <t>Pay TV pen</t>
  </si>
  <si>
    <t>Pen added</t>
  </si>
  <si>
    <t>SKY as % DTH</t>
  </si>
  <si>
    <t>Pay TV model</t>
  </si>
  <si>
    <t>VeTV (Pre-pay)</t>
  </si>
  <si>
    <t>HD</t>
  </si>
  <si>
    <t>Mid-level</t>
  </si>
  <si>
    <t>ARPU, MXN</t>
  </si>
  <si>
    <t>ARPU, US$</t>
  </si>
  <si>
    <t>Homes passed</t>
  </si>
  <si>
    <t>Internet</t>
  </si>
  <si>
    <t>Voice</t>
  </si>
  <si>
    <t>TVI (Cablevision de Monterey)</t>
  </si>
  <si>
    <t xml:space="preserve">Total Televisa </t>
  </si>
  <si>
    <t>Double check all the cash from Televisa is on the Iusacell balance sheet. It should be considered as net cash, no?</t>
  </si>
  <si>
    <t>Round 1 of questions</t>
  </si>
  <si>
    <t xml:space="preserve">Longer-term capex/sales at SKY Mex </t>
  </si>
  <si>
    <t>US$ denominated (booked)</t>
  </si>
  <si>
    <t>Inc satellite</t>
  </si>
  <si>
    <t>% own</t>
  </si>
  <si>
    <t>Carso Globo</t>
  </si>
  <si>
    <t>Monterrey family</t>
  </si>
  <si>
    <t>Why network subcription revenue so strong in Q4 11 but fell in Q1 12?</t>
  </si>
  <si>
    <t>Univision, US$m</t>
  </si>
  <si>
    <t>Royalty proceeds, US$m</t>
  </si>
  <si>
    <t>Royalty proceeds in MXN</t>
  </si>
  <si>
    <t>Network and syndication</t>
  </si>
  <si>
    <t>Univision as %</t>
  </si>
  <si>
    <t>underlying growth</t>
  </si>
  <si>
    <t>Revs/EBITDA step up, in US$</t>
  </si>
  <si>
    <t>as % content/other margin</t>
  </si>
  <si>
    <t>Total content</t>
  </si>
  <si>
    <t>Clean OIBDA</t>
  </si>
  <si>
    <t>Consolidation adjustments</t>
  </si>
  <si>
    <t>"Other businesses"</t>
  </si>
  <si>
    <t>Why are these profitable at EBITDA in 2012 relative to loss making in 2011</t>
  </si>
  <si>
    <t>Capex set to fall in cable cos from 2014 once digitisation completed?</t>
  </si>
  <si>
    <t>Typically, how cyclical is the content business? Grow in-line with nominal GDP?</t>
  </si>
  <si>
    <t>What's the seasonality in Content in Q1? Why low and typically higher in the remainder of the year?</t>
  </si>
  <si>
    <t>Check royalty payments from Univision continue after 2025? - I think assuming equity participation remains</t>
  </si>
  <si>
    <t>If can't own &gt;25% of US media business, what happens when converts?</t>
  </si>
  <si>
    <t>1.5% (2025) convert of $1.125bn and a 5% equity stake. Converts into 30% of the equity</t>
  </si>
  <si>
    <t>OpFCF margin</t>
  </si>
  <si>
    <t>How are satellites booked and paid for (cash)</t>
  </si>
  <si>
    <t>Any one-offs in Q1 or Q2?</t>
  </si>
  <si>
    <t>MXN/USD</t>
  </si>
  <si>
    <t>Licensing and synd, in USD</t>
  </si>
  <si>
    <t>% change in constant FX</t>
  </si>
  <si>
    <t>USD revs as % total content</t>
  </si>
  <si>
    <t>USD revs as % total group</t>
  </si>
  <si>
    <t>MXN</t>
  </si>
  <si>
    <t>Univision royalties</t>
  </si>
  <si>
    <t>Revs</t>
  </si>
  <si>
    <t>Ex royalty change in 2018</t>
  </si>
  <si>
    <t>% growth</t>
  </si>
  <si>
    <t>USD revs</t>
  </si>
  <si>
    <t>Check where advertising revs from SKY and cable cos are booked</t>
  </si>
  <si>
    <t>USD I think</t>
  </si>
  <si>
    <t>Why the slowdown in H2 implied by guidance? (8% growth after 14% in Q1 and 10% in Q2). FX doesn't quite get there</t>
  </si>
  <si>
    <t>Televisa market share</t>
  </si>
  <si>
    <t>Total adds</t>
  </si>
  <si>
    <t>Total RGU's</t>
  </si>
  <si>
    <t>Why did RGU's slow so much in Q2?</t>
  </si>
  <si>
    <t>Voice lines</t>
  </si>
  <si>
    <t>Telmex</t>
  </si>
  <si>
    <t>Axtel</t>
  </si>
  <si>
    <t>Maxcom</t>
  </si>
  <si>
    <t>Total voice (from Cofetel)</t>
  </si>
  <si>
    <t>Total ex-others</t>
  </si>
  <si>
    <t>Voice share of lines</t>
  </si>
  <si>
    <t>Televisa total fixed voice share</t>
  </si>
  <si>
    <t>Market line loss (Cofetel)</t>
  </si>
  <si>
    <t>According to Cofetel numbers, where do all the 'other' fixed voice lines come from?</t>
  </si>
  <si>
    <t>fx?</t>
  </si>
  <si>
    <t>Other non-cable BB</t>
  </si>
  <si>
    <t>Cofetel broadband numbers</t>
  </si>
  <si>
    <t>Broadband lines</t>
  </si>
  <si>
    <t>Televisa total share</t>
  </si>
  <si>
    <t>Market adds</t>
  </si>
  <si>
    <t>Why Cofetel reporting a strong step up in market-wide corporate voice lines in June..definitional issue?</t>
  </si>
  <si>
    <t>Residential lines</t>
  </si>
  <si>
    <t>Corporate lines</t>
  </si>
  <si>
    <t>Households</t>
  </si>
  <si>
    <t>Voice pen of HH</t>
  </si>
  <si>
    <t>Estimate for corporate</t>
  </si>
  <si>
    <t>Implied residential</t>
  </si>
  <si>
    <t>Residential penetration</t>
  </si>
  <si>
    <t>pen added</t>
  </si>
  <si>
    <t>Corporate adds</t>
  </si>
  <si>
    <t>Thoughts on a further equity injection into Iusacell?</t>
  </si>
  <si>
    <t>Other fin charges</t>
  </si>
  <si>
    <t>Associates</t>
  </si>
  <si>
    <t>Mins</t>
  </si>
  <si>
    <t>Net fin expense</t>
  </si>
  <si>
    <t>Clean net</t>
  </si>
  <si>
    <t>To do</t>
  </si>
  <si>
    <t>Balance balance sheet</t>
  </si>
  <si>
    <t>Why tax rate so low?</t>
  </si>
  <si>
    <t>Finish off P&amp;L and sort out mins, associates and net</t>
  </si>
  <si>
    <t>3rd broadcaster</t>
  </si>
  <si>
    <t>What's the latest on this? Who is rumoured to be interested..?</t>
  </si>
  <si>
    <t>Football</t>
  </si>
  <si>
    <t>Slim has now bought into 30% of Grupo Pachuca (Pachuca and Club Leon)</t>
  </si>
  <si>
    <t>Football rights historically sold individually by club, to Televisa or TV Azteca (Salinas)</t>
  </si>
  <si>
    <t>Both companies owned clubs (or stakes in) teams</t>
  </si>
  <si>
    <t>Club Leon have since sold their rights to Fox Sports</t>
  </si>
  <si>
    <t>Slim appears to be breaking the hegemony over football rights</t>
  </si>
  <si>
    <t>What are consensus SOP's valuing Televisa at?</t>
  </si>
  <si>
    <t>Implies low/mid-single digit for 2013. How should we grow this going forward?</t>
  </si>
  <si>
    <t>Fees paid by distributors/operators for content</t>
  </si>
  <si>
    <t>Affiliate fees:</t>
  </si>
  <si>
    <t>Networks need content, but content providers need the distributors..</t>
  </si>
  <si>
    <t>Reporting structure</t>
  </si>
  <si>
    <t>Old</t>
  </si>
  <si>
    <t>New</t>
  </si>
  <si>
    <t>Business make-up</t>
  </si>
  <si>
    <t>Mostly advertising on national networks 2, 4, 5 and 9 and local channels. No regulation of advertising rates. Paid either upfront on a scatter basis</t>
  </si>
  <si>
    <t>Providing TV channels to pay TV networks in Mexico and abroad. Includes advertising sold on these cable channels in Mexico and internationally</t>
  </si>
  <si>
    <t>Licencing agreements on content, mainly telenovelas and variety shows</t>
  </si>
  <si>
    <t>Equity in losses of affiliates? Why not profits?</t>
  </si>
  <si>
    <t>Implies growth of  4-5% for H2 12?</t>
  </si>
  <si>
    <t>Advertising includes national networks and that coming from pay TV? Assume the step change following re-statement is from pay TV but the bulk coming from national networks?</t>
  </si>
  <si>
    <t>Licensing and syndication?</t>
  </si>
  <si>
    <t>Network subscription - sale of channels to pay TV?</t>
  </si>
  <si>
    <t>Pay TV advertising</t>
  </si>
  <si>
    <t>Total advertising</t>
  </si>
  <si>
    <t>National networks</t>
  </si>
  <si>
    <t>Produces and distributes 16 pay TV networks in over 50 countries</t>
  </si>
  <si>
    <t>Advertising, mainly made up of national networks. Two thirds share of the national audience</t>
  </si>
  <si>
    <t>Pay TV exposure</t>
  </si>
  <si>
    <t xml:space="preserve">Cable </t>
  </si>
  <si>
    <t>pay TV as % total</t>
  </si>
  <si>
    <t>Total revenue</t>
  </si>
  <si>
    <t>pay TV as % total advertising</t>
  </si>
  <si>
    <t>Any more on Iusacell?</t>
  </si>
  <si>
    <t>Dish being aggressive?</t>
  </si>
  <si>
    <t>Basic</t>
  </si>
  <si>
    <t>Yoo</t>
  </si>
  <si>
    <t>Mini Basico</t>
  </si>
  <si>
    <t>Digital</t>
  </si>
  <si>
    <t>Yoo Digital</t>
  </si>
  <si>
    <t>Yoo Phone</t>
  </si>
  <si>
    <t>Mexico City</t>
  </si>
  <si>
    <t>3-play</t>
  </si>
  <si>
    <t>Yoo Basic</t>
  </si>
  <si>
    <t>Basic Digital</t>
  </si>
  <si>
    <t>unlimited</t>
  </si>
  <si>
    <t>Monterrey</t>
  </si>
  <si>
    <t>Yoo 1MB</t>
  </si>
  <si>
    <t>Yoo 2MB</t>
  </si>
  <si>
    <t>Yoo +</t>
  </si>
  <si>
    <t>Yoo + illimitado</t>
  </si>
  <si>
    <t>Yoo 2</t>
  </si>
  <si>
    <t>Yoo 2 +</t>
  </si>
  <si>
    <t>F-M</t>
  </si>
  <si>
    <t>BB</t>
  </si>
  <si>
    <t>Channels</t>
  </si>
  <si>
    <t>&gt;40</t>
  </si>
  <si>
    <t>Price</t>
  </si>
  <si>
    <t xml:space="preserve">&gt;70 </t>
  </si>
  <si>
    <t xml:space="preserve">&gt;165 </t>
  </si>
  <si>
    <t>&gt;150</t>
  </si>
  <si>
    <t>Yoo 4MB</t>
  </si>
  <si>
    <t>P$</t>
  </si>
  <si>
    <t>BasicoMAS</t>
  </si>
  <si>
    <t>&gt; 40</t>
  </si>
  <si>
    <t>&gt; 60</t>
  </si>
  <si>
    <t>Top</t>
  </si>
  <si>
    <t>&gt;70</t>
  </si>
  <si>
    <t>&gt;35</t>
  </si>
  <si>
    <t>Basico</t>
  </si>
  <si>
    <t>Fun</t>
  </si>
  <si>
    <t>Universe</t>
  </si>
  <si>
    <t>Is there an entry level SKY package to compete with Dish?</t>
  </si>
  <si>
    <t>Is P$229 the cheapest deal? Looks so on the website?</t>
  </si>
  <si>
    <t>Does it matter if can't get TV content as should be available over terrestrial TV no?</t>
  </si>
  <si>
    <t>Double check regulation in terms of Dish being able to show TV content?</t>
  </si>
  <si>
    <t>What's missing from the Dish package i.e. what is the TV content over pay TV?</t>
  </si>
  <si>
    <t>Yes</t>
  </si>
  <si>
    <t>This relationship will grow</t>
  </si>
  <si>
    <t>Univision will stop paying fees to Venevision, 25 yr agreement signed in 1992/3. 50% of what paying TV (9.36%), paying Venevision 4% or so</t>
  </si>
  <si>
    <t>2018: US$5-600m is the target for revenue from Univision</t>
  </si>
  <si>
    <t>Will lose Venezuelan content</t>
  </si>
  <si>
    <t>5 private equity investments</t>
  </si>
  <si>
    <t>Some efforts being pushed for to eliminate the 25% ownership rule. General change in law. Signed in 1934</t>
  </si>
  <si>
    <t>Pay TV is not regulated, for instance</t>
  </si>
  <si>
    <t>PE made US$4bn of equity, with US$10bn of debt. Sold US$1.2bn (25%) at 44% discount of their in-price</t>
  </si>
  <si>
    <t>Not likely see anything in next couple of years</t>
  </si>
  <si>
    <t>Same underlying growth in H2 as in H1 (7.7%)</t>
  </si>
  <si>
    <t>Election in December…spend ahead of leaving the govt</t>
  </si>
  <si>
    <t>Low single digits if not spend ahead of December</t>
  </si>
  <si>
    <t>Advertising revenues. Before 2008, apply revenue growth to GDP. 1.4x</t>
  </si>
  <si>
    <t>Relationship has broken down</t>
  </si>
  <si>
    <t>Limited pricing power, even with dominant share</t>
  </si>
  <si>
    <t>Low single digit…therefore</t>
  </si>
  <si>
    <t>Double digits. Link to pay TV penetration</t>
  </si>
  <si>
    <t>60-65%...another 2-3 years</t>
  </si>
  <si>
    <t>32m subscriptions…average of 3 channels</t>
  </si>
  <si>
    <t>9m in Mexico get 14 channels</t>
  </si>
  <si>
    <t>70% is Univision royalties</t>
  </si>
  <si>
    <t>Rest doesn't really grow</t>
  </si>
  <si>
    <t>Includes Netflix…US$10-20m. From Q3 2012 will lose the benefit of this comp</t>
  </si>
  <si>
    <t>Payment..Netflix relies on a monthly payment via credit cards</t>
  </si>
  <si>
    <t>600,000 Cablevision.. Only 10% use a credit card. Only half give over the phone/internet</t>
  </si>
  <si>
    <t>Netflix is a solution to high priced pay TV. Therefore more of a high-end solution. Targeting a higher market</t>
  </si>
  <si>
    <t>Only 30% PC penetration, BB penetration is low</t>
  </si>
  <si>
    <t>Selling entire channels</t>
  </si>
  <si>
    <t>Some affiliate fees</t>
  </si>
  <si>
    <t>Pay TV enables segmentation of advertising revenues..</t>
  </si>
  <si>
    <t>6 mins per hour max on pay TV</t>
  </si>
  <si>
    <t>12 mins on regular</t>
  </si>
  <si>
    <t>Tend to make larger content investments in Q1</t>
  </si>
  <si>
    <t>47% is the content margin guidance</t>
  </si>
  <si>
    <t>US$450m capital lease. Launched earlier this month</t>
  </si>
  <si>
    <t>15 years, accounted for over the life</t>
  </si>
  <si>
    <t>Cash payment on a monthly basis, US$3m per month. Partly as an operating expense, partly interest expense</t>
  </si>
  <si>
    <t>Capex is mainly the boxes and equipment sales. Potential for US$250 to trend down</t>
  </si>
  <si>
    <t>40% of US$475m is subs driven</t>
  </si>
  <si>
    <t>30% is regular/maintenance capex</t>
  </si>
  <si>
    <t>30% is updating Cablemas to fibre from co-ax. City by city</t>
  </si>
  <si>
    <t>Cablevision…residential and corporate side. Corporate speeds up to 100 Mbps</t>
  </si>
  <si>
    <t>Rising churn, particularly in TVI (North). Due to shortages in the service, problems with the grid (hot Spring, early Summer)</t>
  </si>
  <si>
    <t>Went through the same process with Cablevision in 2009. Had a lot of piracy</t>
  </si>
  <si>
    <t>Cablemas is going through digitalisation process. Changing the boxes in several homes. Customers cancelled</t>
  </si>
  <si>
    <t>Q1 should be more reflective of trends going forward</t>
  </si>
  <si>
    <t>DISH</t>
  </si>
  <si>
    <t>get an incremental</t>
  </si>
  <si>
    <t>4 channels from TV, but not with Digital quality</t>
  </si>
  <si>
    <t>A lot of growth comes from low-end. Branded under Ve-TV. Priced at a similar level to Dish</t>
  </si>
  <si>
    <t>Can disconnect for a month or so</t>
  </si>
  <si>
    <t>Need to say something to the market</t>
  </si>
  <si>
    <t>Cannot compete on pricing. Have an edge on spectrum per sub</t>
  </si>
  <si>
    <t>Compete on quality</t>
  </si>
  <si>
    <t>Leverage on cable, arms length agreement</t>
  </si>
  <si>
    <t>Will not put good money after bad</t>
  </si>
  <si>
    <t>Subsidising handsets…subs growth is good</t>
  </si>
  <si>
    <t>A lot wealthy residential customers today</t>
  </si>
  <si>
    <t>Unefon goes for low-end</t>
  </si>
  <si>
    <t xml:space="preserve">Iusacell goes for </t>
  </si>
  <si>
    <t>ARPU in 2010, half of Nextel. P$255 end 2009</t>
  </si>
  <si>
    <t>No big threat from a 3rd network. Barriers to entry is high. Need to produce content</t>
  </si>
  <si>
    <t>TV has contracts in place with the Spanish content providers (Telemundo from Spain)</t>
  </si>
  <si>
    <t>Carlos Slim too smart to enter. Unlikely to enter..</t>
  </si>
  <si>
    <t>If had content, would start to sell it already</t>
  </si>
  <si>
    <t>No obligation to wholesale Televisa content</t>
  </si>
  <si>
    <t>Azteca entered at a very different time. Televisa was more disorganised</t>
  </si>
  <si>
    <t>Real GDP</t>
  </si>
  <si>
    <t>Inflation</t>
  </si>
  <si>
    <t>Nominal GDP</t>
  </si>
  <si>
    <t>Implied multiplier</t>
  </si>
  <si>
    <t>Content in local FX</t>
  </si>
  <si>
    <t>Net debt to EBITDA</t>
  </si>
  <si>
    <t>VeTV</t>
  </si>
  <si>
    <t>Debt in Univision</t>
  </si>
  <si>
    <t xml:space="preserve"> of which:</t>
  </si>
  <si>
    <t>Interest charge</t>
  </si>
  <si>
    <t>Book value</t>
  </si>
  <si>
    <t>Incremental EBITDA from higher royalty fees, P$m</t>
  </si>
  <si>
    <t>in USD</t>
  </si>
  <si>
    <t>Post-tax CF</t>
  </si>
  <si>
    <t>Term multiple</t>
  </si>
  <si>
    <t>Value</t>
  </si>
  <si>
    <t>as multiple of EBITDA</t>
  </si>
  <si>
    <t>Network subs in USD (50/50)</t>
  </si>
  <si>
    <t>Premium</t>
  </si>
  <si>
    <t>Total Play</t>
  </si>
  <si>
    <t>F-F (local)</t>
  </si>
  <si>
    <t>Total Play (fibre)</t>
  </si>
  <si>
    <t>owned by Iusacell</t>
  </si>
  <si>
    <t>Move to 100 MB for an extra P$2999</t>
  </si>
  <si>
    <t>Mbps</t>
  </si>
  <si>
    <t>Naked BB</t>
  </si>
  <si>
    <t>Yoo More All in 1</t>
  </si>
  <si>
    <t>2-play (voice + BB)</t>
  </si>
  <si>
    <t>Naked voice</t>
  </si>
  <si>
    <t>3-play deals</t>
  </si>
  <si>
    <t>Naked BB deals</t>
  </si>
  <si>
    <t>Telmex dual-play</t>
  </si>
  <si>
    <t>inc</t>
  </si>
  <si>
    <t>Average Televisa price</t>
  </si>
  <si>
    <t>Voice value, P$</t>
  </si>
  <si>
    <t>Televisa discount to dual-play</t>
  </si>
  <si>
    <t>F-F (national)</t>
  </si>
  <si>
    <t>pay TV as % total (prop)</t>
  </si>
  <si>
    <t>Prop pay TV revs</t>
  </si>
  <si>
    <t>Prop group revs</t>
  </si>
  <si>
    <t>DOCSIS 3.0</t>
  </si>
  <si>
    <t>TVI Cablevision*</t>
  </si>
  <si>
    <t>Televisa adj for voice value</t>
  </si>
  <si>
    <t>Prop SKY</t>
  </si>
  <si>
    <t>Prop cable</t>
  </si>
  <si>
    <t>Total prop pay TV revs</t>
  </si>
  <si>
    <t>Total prop group revenue</t>
  </si>
  <si>
    <t>2012e</t>
  </si>
  <si>
    <t>Round 3 of questions</t>
  </si>
  <si>
    <t>SKY has exclusive content but more so than Televisa cable cos. Is this right?</t>
  </si>
  <si>
    <t>Check number of shares in issue</t>
  </si>
  <si>
    <t>US Pay TV homes</t>
  </si>
  <si>
    <t>TV subs</t>
  </si>
  <si>
    <t>Subs added</t>
  </si>
  <si>
    <t>Quart GDP growth</t>
  </si>
  <si>
    <t>GDP growth (RHS)</t>
  </si>
  <si>
    <t>Video revs</t>
  </si>
  <si>
    <t>% Video revs growth</t>
  </si>
  <si>
    <t>Results date?</t>
  </si>
  <si>
    <t>Cablemas upgrade</t>
  </si>
  <si>
    <t>Subs driven capex</t>
  </si>
  <si>
    <t>Maintenance capex</t>
  </si>
  <si>
    <t>Consolidation</t>
  </si>
  <si>
    <t>Dividend policy?</t>
  </si>
  <si>
    <t>Trades on 5.9x 2013e EBITDA</t>
  </si>
  <si>
    <t>New net debt</t>
  </si>
  <si>
    <t>New EBITDA</t>
  </si>
  <si>
    <t>Financial charges</t>
  </si>
  <si>
    <t>Post tax financing  rate (USD)</t>
  </si>
  <si>
    <t>US$m</t>
  </si>
  <si>
    <t>Pay TV subs</t>
  </si>
  <si>
    <t>Revenue, P$m</t>
  </si>
  <si>
    <t>TotalPlay fibre offering from Iusacell?</t>
  </si>
  <si>
    <t>Telcel</t>
  </si>
  <si>
    <t>TEF</t>
  </si>
  <si>
    <t>Nextel</t>
  </si>
  <si>
    <t>Total market</t>
  </si>
  <si>
    <t>As % sales</t>
  </si>
  <si>
    <t>Capex in USD</t>
  </si>
  <si>
    <t>Revenue share</t>
  </si>
  <si>
    <t>Equity injection</t>
  </si>
  <si>
    <t>Gross debt, in USD</t>
  </si>
  <si>
    <t>Cash in USD</t>
  </si>
  <si>
    <t>P$m</t>
  </si>
  <si>
    <t>Share price weakness early 2009?</t>
  </si>
  <si>
    <t>Anna sheet</t>
  </si>
  <si>
    <t>Licence spend</t>
  </si>
  <si>
    <t>Licence spend, USD</t>
  </si>
  <si>
    <t>EFCF inc licences</t>
  </si>
  <si>
    <t>Net debt in USD</t>
  </si>
  <si>
    <t>Cumulative 11-14, in USD</t>
  </si>
  <si>
    <t>Licence liability</t>
  </si>
  <si>
    <t>OpFCF (pre licences)</t>
  </si>
  <si>
    <t>TV broadcasting</t>
  </si>
  <si>
    <t>Nominal GDP growth</t>
  </si>
  <si>
    <t>TV broadcasting revs growth</t>
  </si>
  <si>
    <t>Real GDP growth</t>
  </si>
  <si>
    <t>CPI</t>
  </si>
  <si>
    <t>Advertising revenue</t>
  </si>
  <si>
    <t>NSR</t>
  </si>
  <si>
    <t>Consensus, P$m</t>
  </si>
  <si>
    <t>NSR vs consensus</t>
  </si>
  <si>
    <t>Consensus numbers look low. Are these reliable?</t>
  </si>
  <si>
    <t>GDS (US) from CPO's</t>
  </si>
  <si>
    <t>Less: associates</t>
  </si>
  <si>
    <t>Total ex-Treasury COP equivalents</t>
  </si>
  <si>
    <t>Actual CPO (trade in Mexico)</t>
  </si>
  <si>
    <t>CPO component of shares</t>
  </si>
  <si>
    <t>DPS on CPO, P$</t>
  </si>
  <si>
    <t>Round 4</t>
  </si>
  <si>
    <t>Dividends paid by SKY, cable?</t>
  </si>
  <si>
    <t>% ownership</t>
  </si>
  <si>
    <t>Interest rate</t>
  </si>
  <si>
    <t>Interest expenses</t>
  </si>
  <si>
    <t>PTP</t>
  </si>
  <si>
    <t>Dividend</t>
  </si>
  <si>
    <t>Less: minority dividends</t>
  </si>
  <si>
    <t>Number of shares, ords</t>
  </si>
  <si>
    <t>Average number of shares, ords</t>
  </si>
  <si>
    <t>Number of shares, Savs</t>
  </si>
  <si>
    <t>Average number of shares, Savs</t>
  </si>
  <si>
    <t>Consolidated Net debt</t>
  </si>
  <si>
    <t>Other financial liabilities</t>
  </si>
  <si>
    <t>Associates (for EV calc)</t>
  </si>
  <si>
    <t>Minorities (for EV calc)</t>
  </si>
  <si>
    <t>Cumulative dividends</t>
  </si>
  <si>
    <t>Tax credit</t>
  </si>
  <si>
    <t>Group forecasts</t>
  </si>
  <si>
    <t>Consolidated Revenues</t>
  </si>
  <si>
    <t>Consolidated EBITDA</t>
  </si>
  <si>
    <t>Consolidated Depreciation</t>
  </si>
  <si>
    <t>Consolidated Amortisation</t>
  </si>
  <si>
    <t>Consolidated Capex</t>
  </si>
  <si>
    <t>Consolidated OpFCF</t>
  </si>
  <si>
    <t>Consolidated FCF (OpFCF * (1-tax rate))</t>
  </si>
  <si>
    <t>Minority interests (b/s)</t>
  </si>
  <si>
    <t>Net interest</t>
  </si>
  <si>
    <t>Reported earnings</t>
  </si>
  <si>
    <t>Equity free cash flow</t>
  </si>
  <si>
    <t>Employees</t>
  </si>
  <si>
    <t>Net fixed assets</t>
  </si>
  <si>
    <t>Group Consolidated SACs</t>
  </si>
  <si>
    <t>Group consolidated SRCs</t>
  </si>
  <si>
    <t>Group Prop. SACs</t>
  </si>
  <si>
    <t>Group Prop. SRCs</t>
  </si>
  <si>
    <t>Prop. Revenues</t>
  </si>
  <si>
    <t>Prop. EBITDA</t>
  </si>
  <si>
    <t>Prop. Depreciation</t>
  </si>
  <si>
    <t>Prop. Amortisation</t>
  </si>
  <si>
    <t>Prop. Capex</t>
  </si>
  <si>
    <t>Prop. OpFCF</t>
  </si>
  <si>
    <t>Prop. FCF (OpFCF * (1-tax rate))</t>
  </si>
  <si>
    <t>Prop. Net debt</t>
  </si>
  <si>
    <t>Consolidated service revenue</t>
  </si>
  <si>
    <t>Prop. Service revenue</t>
  </si>
  <si>
    <t>Prop. Subscribers</t>
  </si>
  <si>
    <t>Prop. Pre-pay subs</t>
  </si>
  <si>
    <t>Prop. Contract subs</t>
  </si>
  <si>
    <t>Consolidated subscribers</t>
  </si>
  <si>
    <t>Consolidated Contract subs</t>
  </si>
  <si>
    <t>Consolidated pre-pay subs</t>
  </si>
  <si>
    <t>Prop. Pops</t>
  </si>
  <si>
    <t>Consolidated Pops</t>
  </si>
  <si>
    <t>Domestic Pops</t>
  </si>
  <si>
    <t>Domestic prepay subs</t>
  </si>
  <si>
    <t>Domestic contract subs</t>
  </si>
  <si>
    <t>Domestic mkt share</t>
  </si>
  <si>
    <t>Domestic voice ARPU</t>
  </si>
  <si>
    <t>Domestic data ARPU</t>
  </si>
  <si>
    <t>Domestic MOU</t>
  </si>
  <si>
    <t>Domestic revenue</t>
  </si>
  <si>
    <t>Domestic service revenue</t>
  </si>
  <si>
    <t>Domestic EBITDA</t>
  </si>
  <si>
    <t>Domestic capex</t>
  </si>
  <si>
    <t>Domestic FCF</t>
  </si>
  <si>
    <t>Cumulative Gp consolidated capex</t>
  </si>
  <si>
    <t>Cumulative Gp prop. capex</t>
  </si>
  <si>
    <t>Debt analysis</t>
  </si>
  <si>
    <t>Cash flow</t>
  </si>
  <si>
    <t>Less: Tax paid</t>
  </si>
  <si>
    <t>Less: Change in WC</t>
  </si>
  <si>
    <t>Less: Other</t>
  </si>
  <si>
    <t>Less: Disposals/acquis.</t>
  </si>
  <si>
    <t>EFCF adjustments</t>
  </si>
  <si>
    <t>Adj 1</t>
  </si>
  <si>
    <t>Adj 2</t>
  </si>
  <si>
    <t>Adj 3</t>
  </si>
  <si>
    <t>Adj 4</t>
  </si>
  <si>
    <t>Adj 5</t>
  </si>
  <si>
    <t>Adj 6</t>
  </si>
  <si>
    <t>Divisional (from 2009 onwards)</t>
  </si>
  <si>
    <t>Revenues</t>
  </si>
  <si>
    <t>Sum of the parts</t>
  </si>
  <si>
    <t>Average GDP</t>
  </si>
  <si>
    <t>Less: Minority dividends</t>
  </si>
  <si>
    <t>Televisa</t>
  </si>
  <si>
    <t>Share of broadcast audience</t>
  </si>
  <si>
    <t>EBITDA pre payments to TV</t>
  </si>
  <si>
    <t>Other items (ext of debt)</t>
  </si>
  <si>
    <t>EBITDA % pre TV/Venevisión</t>
  </si>
  <si>
    <t>Royalty payments to TV</t>
  </si>
  <si>
    <t>2022, 6.75%</t>
  </si>
  <si>
    <t>2021, 8.5%</t>
  </si>
  <si>
    <t>2019, 6.875%</t>
  </si>
  <si>
    <t>2020, 7.785%</t>
  </si>
  <si>
    <t>Revenue, P$ m</t>
  </si>
  <si>
    <t>Univision (equity)</t>
  </si>
  <si>
    <t>Pay TV penetration</t>
  </si>
  <si>
    <t>Televisa share of distribution</t>
  </si>
  <si>
    <t xml:space="preserve">Total booked </t>
  </si>
  <si>
    <t>OpFCF, pre corp exp</t>
  </si>
  <si>
    <t>Approximately 45.6% of the outstanding A Shares, 2.7% of the outstanding B Shares, 2.8% of the outstanding D Shares and</t>
  </si>
  <si>
    <t>2.8% of the outstanding L Shares of the Company were held through the Stockholder Trust, including shares in the form of CPOs. On</t>
  </si>
  <si>
    <t>June 17, 2009, the Stockholder Trust was terminated and the shares and CPOs which were formerly held through such trust were</t>
  </si>
  <si>
    <t>delivered to the corresponding beneficiaries. The largest beneficiary of the Stockholder Trust was a trust for the benefit of Emilio</t>
  </si>
  <si>
    <t>Azcárraga Jean. Such trust currently holds 43.0% of the outstanding A shares, 0.1% of the outstanding B shares, 0.1% of the</t>
  </si>
  <si>
    <t>outstanding D shares and 0.1% of the outstanding L shares of the Company. As a result, Emilio Azcárraga Jean controlled until</t>
  </si>
  <si>
    <t>June 17, 2009, the voting of the shares held through the Stockholder Trust, and currently controls the vote of such shares through the</t>
  </si>
  <si>
    <t>Azcárraga Trust. The A Shares held through the Azcárraga Trust constitute a majority of the A Shares whose holders are entitled to</t>
  </si>
  <si>
    <t>vote because non-Mexican holders of CPOs and GDSs are not permitted by law to vote the underlying A Shares. Accordingly, and so</t>
  </si>
  <si>
    <t>long as non-Mexicans own more than a minimal number of A Shares, Emilio Azcárraga Jean will have the ability to direct the</t>
  </si>
  <si>
    <t>election of 11 out of 20 members of our Board of Directors, as well as prevent certain actions by the stockholders, including dividend</t>
  </si>
  <si>
    <t>payments, mergers, spin-offs, changes in corporate purpose, changes of nationality and amendments to the anti-takeover provisions of</t>
  </si>
  <si>
    <t>our bylaws.</t>
  </si>
  <si>
    <t>Economic interest</t>
  </si>
  <si>
    <t>DPS, US$</t>
  </si>
  <si>
    <t>Total COP equivalents</t>
  </si>
  <si>
    <t>COPs in Treasury</t>
  </si>
  <si>
    <t>GDS outstanding</t>
  </si>
  <si>
    <t>GDS in Treasury</t>
  </si>
  <si>
    <t>GDS (US), ex Treasury</t>
  </si>
  <si>
    <t>Converts</t>
  </si>
  <si>
    <t xml:space="preserve">Cash </t>
  </si>
  <si>
    <t>Buy-back</t>
  </si>
  <si>
    <t>pro-forma constant FX growth</t>
  </si>
  <si>
    <t>Total subs, 000's</t>
  </si>
  <si>
    <t>Growth rates</t>
  </si>
  <si>
    <t>Group</t>
  </si>
  <si>
    <t>Content pro-forma constant FX</t>
  </si>
  <si>
    <t>constant FX revs ex-other</t>
  </si>
  <si>
    <t>Group adj (pro forma, constant FX, ex Other</t>
  </si>
  <si>
    <t>Group adj inc prop Iusacell</t>
  </si>
  <si>
    <t>Box costs</t>
  </si>
  <si>
    <t>Churn per month</t>
  </si>
  <si>
    <t>Gross adds</t>
  </si>
  <si>
    <t xml:space="preserve">Churn </t>
  </si>
  <si>
    <t>Costs per gross add</t>
  </si>
  <si>
    <t>Costs per gross add, US$</t>
  </si>
  <si>
    <t>Contribution to growth</t>
  </si>
  <si>
    <t>2013e</t>
  </si>
  <si>
    <t>2014e</t>
  </si>
  <si>
    <t>Pen of CATV housholds</t>
  </si>
  <si>
    <t xml:space="preserve"> of which Univision</t>
  </si>
  <si>
    <t xml:space="preserve"> of which other</t>
  </si>
  <si>
    <t>Q3 12</t>
  </si>
  <si>
    <t>OIBDA post corp expenses</t>
  </si>
  <si>
    <t>FOR SNAPS</t>
  </si>
  <si>
    <t xml:space="preserve"> - of which</t>
  </si>
  <si>
    <t>Local FX</t>
  </si>
  <si>
    <t>Operating income</t>
  </si>
  <si>
    <t>Rep net income</t>
  </si>
  <si>
    <t>Clean net income</t>
  </si>
  <si>
    <t>Rep EBITDA</t>
  </si>
  <si>
    <t>Sky Mexico &amp; Central America</t>
  </si>
  <si>
    <t>block for 'copy, paste values' into DirecTV model</t>
  </si>
  <si>
    <t>Subscribers 000</t>
  </si>
  <si>
    <t xml:space="preserve">    Sky Mexico subscribers 000</t>
  </si>
  <si>
    <t xml:space="preserve">    Sky CAm subscribers 000</t>
  </si>
  <si>
    <t>Revenue MXN m</t>
  </si>
  <si>
    <t>ARPU MXP/month</t>
  </si>
  <si>
    <t>Operating profit (EBITDA) MXNm</t>
  </si>
  <si>
    <t>USD per MXN</t>
  </si>
  <si>
    <t>Mexico clean corporate tax rate</t>
  </si>
  <si>
    <t>Mexico HH m</t>
  </si>
  <si>
    <t>Mexico pay TV HH m</t>
  </si>
  <si>
    <t>CAm&amp;C HH m</t>
  </si>
  <si>
    <t>CAm&amp;C pay TV HH m</t>
  </si>
  <si>
    <t>Sky WACC</t>
  </si>
  <si>
    <t>Sky terminal growth rate</t>
  </si>
  <si>
    <t>Sky EV USDm</t>
  </si>
  <si>
    <t>Sky Net Debt USDm</t>
  </si>
  <si>
    <t>Capex inc. satellites MXN m</t>
  </si>
  <si>
    <t>D&amp;A MXN m</t>
  </si>
  <si>
    <t>not modelled</t>
  </si>
  <si>
    <t>Revenue in US$</t>
  </si>
  <si>
    <t>Other expenses net</t>
  </si>
  <si>
    <t>Dec-12 chat</t>
  </si>
  <si>
    <t>Pact signed</t>
  </si>
  <si>
    <t>More competition on telecoms but non-specific. Regulate the dominant operator</t>
  </si>
  <si>
    <t>Opposition parties now have a checklist</t>
  </si>
  <si>
    <t>Group Carso have not said they have an interest in broadcasting</t>
  </si>
  <si>
    <t xml:space="preserve">Important to show there is </t>
  </si>
  <si>
    <t>Former government - had opposition in the Congress</t>
  </si>
  <si>
    <t>Number of commitments made by the President. Which other parties signed, which is surprising</t>
  </si>
  <si>
    <t>Becoming increasingly competitive</t>
  </si>
  <si>
    <t>Pricing is becoming a key element</t>
  </si>
  <si>
    <t>won't see the sort of margins we have seen in the past. 50% margin in mexico are gone</t>
  </si>
  <si>
    <t>If govt doesn't make changes…it won't work</t>
  </si>
  <si>
    <t>80% of Content negotiated at the moment. Concluded by YE 2012.</t>
  </si>
  <si>
    <t>When report Q4 results…</t>
  </si>
  <si>
    <t>30% is paid as cash, balance is short-term notes (3-4 months)</t>
  </si>
  <si>
    <t>Volatility in 2012 leads to strange growth rates in 2013</t>
  </si>
  <si>
    <t>Carlos meets investors..exec VIP, CFO also..</t>
  </si>
  <si>
    <t>Alfonso - top 5/7 investors</t>
  </si>
  <si>
    <t>Want to be re-appointed in 2018</t>
  </si>
  <si>
    <t>3 parts to the Pact</t>
  </si>
  <si>
    <t>level playing field in mobile</t>
  </si>
  <si>
    <t>auctioning 2 over the air broadcast licences</t>
  </si>
  <si>
    <t>offering pay TV channels at competitive prices</t>
  </si>
  <si>
    <t>risk was these could go for free</t>
  </si>
  <si>
    <t>TV believe they offer this today (Dish has not taken up)</t>
  </si>
  <si>
    <t>Telmex and IPTV offer is not specifically part of this Pact</t>
  </si>
  <si>
    <t>US$400m capital injection likely to be issued in increments</t>
  </si>
  <si>
    <t>nothing really new on timing of mobile regulation at this stage</t>
  </si>
  <si>
    <t>if anything, sounded a bit more cautious</t>
  </si>
  <si>
    <t>PRI are good deal makers but could take some time</t>
  </si>
  <si>
    <t>there will be opposition to this</t>
  </si>
  <si>
    <t>new competitors (Fox) not really a concern</t>
  </si>
  <si>
    <t>if anything raises awareness of the Hispanic community to this add buying</t>
  </si>
  <si>
    <t>Guidance</t>
  </si>
  <si>
    <t>will give on Content revs</t>
  </si>
  <si>
    <t>SKY adds</t>
  </si>
  <si>
    <t>capex</t>
  </si>
  <si>
    <t>Content margin</t>
  </si>
  <si>
    <t>Share price</t>
  </si>
  <si>
    <t>3 good Q's</t>
  </si>
  <si>
    <t>Large liquid Mexican company, good play on consumer</t>
  </si>
  <si>
    <t>Pact for Mexico</t>
  </si>
  <si>
    <t>Acquisition of TEF Mexico</t>
  </si>
  <si>
    <t>TEF Mexico EV, €</t>
  </si>
  <si>
    <t>eur/$</t>
  </si>
  <si>
    <t>premium</t>
  </si>
  <si>
    <t>US$</t>
  </si>
  <si>
    <t>Implied 2013e EBITDA, x</t>
  </si>
  <si>
    <t>Implied 2013e OpFCF, x</t>
  </si>
  <si>
    <t>EBITDA (consolidated)</t>
  </si>
  <si>
    <t xml:space="preserve">Net debt </t>
  </si>
  <si>
    <t>Net debt to EBITDA pre-deal</t>
  </si>
  <si>
    <t>Interest charge post-tax</t>
  </si>
  <si>
    <t>50% funding of TEF Mexico in cash</t>
  </si>
  <si>
    <t>Proportionate debt</t>
  </si>
  <si>
    <t xml:space="preserve">Proportionate EBITDA </t>
  </si>
  <si>
    <t>Prop debt to EBITDA</t>
  </si>
  <si>
    <t>Pre-deal</t>
  </si>
  <si>
    <t>Post-deal</t>
  </si>
  <si>
    <t>TEF Mexico fair value</t>
  </si>
  <si>
    <t>TEF Mexico take-out EV</t>
  </si>
  <si>
    <t>Future Iusacell capital injections</t>
  </si>
  <si>
    <t>% change on old ests</t>
  </si>
  <si>
    <t>Q4 12</t>
  </si>
  <si>
    <t>to annualised rolling 12m EBITDA</t>
  </si>
  <si>
    <t>Calculated Univision</t>
  </si>
  <si>
    <t>Revenue/RGU</t>
  </si>
  <si>
    <t>US$ capex</t>
  </si>
  <si>
    <t xml:space="preserve">Post Q4 12 </t>
  </si>
  <si>
    <t>What's happening to growth</t>
  </si>
  <si>
    <t>Why the increase in capex</t>
  </si>
  <si>
    <t>ARPU down in Cablemas?</t>
  </si>
  <si>
    <t>Margin very strong at TVI?</t>
  </si>
  <si>
    <t>Check Q4 growth rate in local fx…?</t>
  </si>
  <si>
    <t>Run through the 0.7pp increase in pricing. What does this mean exactly?</t>
  </si>
  <si>
    <t>The margin weakness…higher subsidies/set top boxes?</t>
  </si>
  <si>
    <t>FY 13</t>
  </si>
  <si>
    <t>Thoughts on Univision for 2013?</t>
  </si>
  <si>
    <t>D&amp;A charge in Q4 should be annualised for 2013?</t>
  </si>
  <si>
    <t>Check the contribution to Q4 associates</t>
  </si>
  <si>
    <t>Capital injections from Q1 or H1</t>
  </si>
  <si>
    <t>Economy</t>
  </si>
  <si>
    <t>AMX talking about weakness</t>
  </si>
  <si>
    <t>Have you seen anything?</t>
  </si>
  <si>
    <t>How does this translate into mid single-digit growth</t>
  </si>
  <si>
    <t>Does this imply anything for the allocation?</t>
  </si>
  <si>
    <t>Subs growth is tremendous</t>
  </si>
  <si>
    <t>TVI is disappointing</t>
  </si>
  <si>
    <t>Quality issues, partly due to acquisitions</t>
  </si>
  <si>
    <t>Still has original management team, CFO changed. Founder still running the business</t>
  </si>
  <si>
    <t>Cablemas - seasonality. 2 consecutive quarters. Promotions at start of year, paying revs up front for one month free (12m)</t>
  </si>
  <si>
    <t>FY 2012 a decent guide for 2013</t>
  </si>
  <si>
    <t>Capex, want to stop being dependent on Telmex. Building therefore</t>
  </si>
  <si>
    <t xml:space="preserve">Higher share of network for dual- or triple-play. Picking </t>
  </si>
  <si>
    <t>Telmex launched a naked DSL service</t>
  </si>
  <si>
    <t xml:space="preserve">Up front 0.7pp. </t>
  </si>
  <si>
    <t>If confident on 2013, buy a lot in the up front.</t>
  </si>
  <si>
    <t>Scatter markets makes up the difference</t>
  </si>
  <si>
    <t>Small amount of govt revs not contributed</t>
  </si>
  <si>
    <t>FX - bear in mind</t>
  </si>
  <si>
    <t>Forecasts are based on prudent forecasts</t>
  </si>
  <si>
    <t>Biggest cost is royalty</t>
  </si>
  <si>
    <t>Concern on 2013  expectations is the key issue</t>
  </si>
  <si>
    <t>Iusacell growth impacted Telcel. AMX have to say something</t>
  </si>
  <si>
    <t>loss of OTA revenue</t>
  </si>
  <si>
    <t>cut to group revenue</t>
  </si>
  <si>
    <t>OpEx saving for pay TV platforms</t>
  </si>
  <si>
    <t>EBITDA impact</t>
  </si>
  <si>
    <t>cut to group EBITDA</t>
  </si>
  <si>
    <t>Televisa prop subs</t>
  </si>
  <si>
    <t>Q1 13</t>
  </si>
  <si>
    <t>elims</t>
  </si>
  <si>
    <t>Post Q1 13</t>
  </si>
  <si>
    <t>OpFCf</t>
  </si>
  <si>
    <t>NEW</t>
  </si>
  <si>
    <t>OLD</t>
  </si>
  <si>
    <t>Q2 13</t>
  </si>
  <si>
    <t>Ps m</t>
  </si>
  <si>
    <t>Q2 13 results</t>
  </si>
  <si>
    <t>Comment on the Mexican mobile market, any changes in Q2 of note</t>
  </si>
  <si>
    <t>What was the size of the FX charge in associates?</t>
  </si>
  <si>
    <t>What is the size of the debt at Iusacell. Net debt position today? Vendor financing?</t>
  </si>
  <si>
    <t xml:space="preserve">SKY growth rates: H1 running below the level of 2012. </t>
  </si>
  <si>
    <t>Economic growth slow for so many companies</t>
  </si>
  <si>
    <t>Must offer revs will fall from September. Can't guide on this</t>
  </si>
  <si>
    <t>Government ad spend?</t>
  </si>
  <si>
    <t>Q&amp;A</t>
  </si>
  <si>
    <t>New and revampled Channel 5 to be launched</t>
  </si>
  <si>
    <t>Most private sector clients increased spend</t>
  </si>
  <si>
    <t>18 Pay TV network offered by Televisa</t>
  </si>
  <si>
    <t>Licencing and syndication: Sales from around the World strong, but offset by US$ (all sales in US$)</t>
  </si>
  <si>
    <t>Weaker ad spend from the government. Is this a timing issue?</t>
  </si>
  <si>
    <t>Is economic easing having an impact?</t>
  </si>
  <si>
    <t>How much will PRI advertise with us. Not advertising today</t>
  </si>
  <si>
    <t>When must offer becomes effective</t>
  </si>
  <si>
    <t>only the OTA will be free of charge, and only in certain markets</t>
  </si>
  <si>
    <t>Advertising sales have been extremely strong, partly offsetting government</t>
  </si>
  <si>
    <t>Budget will not be fully allocated in H2</t>
  </si>
  <si>
    <t>Several quarters before profitability at Iusacell</t>
  </si>
  <si>
    <t>Advertising spend running below inflaton and nominal GDP?</t>
  </si>
  <si>
    <t>cable</t>
  </si>
  <si>
    <t>sky</t>
  </si>
  <si>
    <t>content</t>
  </si>
  <si>
    <t>Capex guidance at $1bn, US$ denominated</t>
  </si>
  <si>
    <t>$400m capital is for over a 3 year period. Will be front end loaded. Company is performing better. Cash needs more in the first year</t>
  </si>
  <si>
    <t>Network, coverage and other…</t>
  </si>
  <si>
    <t>Bestel margin sustainable at 37%?</t>
  </si>
  <si>
    <t>In the 30%s is sustainable</t>
  </si>
  <si>
    <t>Positive on Iusacell</t>
  </si>
  <si>
    <t>TEF roaming deal is helping</t>
  </si>
  <si>
    <t>Data service is superior to competitors</t>
  </si>
  <si>
    <t>Univision…coming in ahead of guidance for the FY</t>
  </si>
  <si>
    <t>Guidance remains, even though it implies a slight slowdown</t>
  </si>
  <si>
    <t>Is "Other" EBITDA more sustainable?</t>
  </si>
  <si>
    <t>Post Q2 13</t>
  </si>
  <si>
    <t>Across a number of sectors</t>
  </si>
  <si>
    <t>Similar issue 12 years ago, PRI to the PAN (2000). 9% drop in govt spending</t>
  </si>
  <si>
    <t>Government spend</t>
  </si>
  <si>
    <t>Energy and tax reforms are more dodgy. Will spend here</t>
  </si>
  <si>
    <t>Will not say what govt spend as % advertising is</t>
  </si>
  <si>
    <t>Only give guidance on Content, with 80% of advertising on upfront</t>
  </si>
  <si>
    <t>"must be lower due to must offer"</t>
  </si>
  <si>
    <t xml:space="preserve">private sector has been strong </t>
  </si>
  <si>
    <t>selling more to make up for lost sales?</t>
  </si>
  <si>
    <t>expecting a dynamic H2</t>
  </si>
  <si>
    <t>expect govt rev spend to pick up going forward..</t>
  </si>
  <si>
    <t>Q2 long distance had a good quarter this time. Signed some contracts, terminating some calls</t>
  </si>
  <si>
    <t>Shut down publishing in Chile, sold a football team</t>
  </si>
  <si>
    <t xml:space="preserve">Bestel? </t>
  </si>
  <si>
    <t>Difficult to predict</t>
  </si>
  <si>
    <t>Gaming business (28 bingo halls, lottery business) doing well. and radio</t>
  </si>
  <si>
    <t>Won't give the FX hit</t>
  </si>
  <si>
    <t>Q2 13 follow up</t>
  </si>
  <si>
    <t>1.70/month for the over the air channels, as part of the Iusacell transaction</t>
  </si>
  <si>
    <t>1.96/month</t>
  </si>
  <si>
    <t xml:space="preserve">The eight article indicates that Pay-TV concessionaires via satellite will have to rebroadcast channels </t>
  </si>
  <si>
    <t xml:space="preserve">broadcasted on 50% or more of the national territory (must carry), one Ifetel is established (Gabriel Oswaldo </t>
  </si>
  <si>
    <t>Contreras Saldívar was recently named President Commissioner). In turn, Free-To-Air TV channels must be available to Pay-TV operators free of charge (must offer)</t>
  </si>
  <si>
    <t>Pre Q3 2013</t>
  </si>
  <si>
    <t xml:space="preserve">Reform says when IFETEL </t>
  </si>
  <si>
    <t xml:space="preserve">Secondary law is needed. Reform is not specific enough. Dec 12, 2013. </t>
  </si>
  <si>
    <t>DISH does not have this. Taken a mexico city and using it nationally. Copyright is being infringed for content providers</t>
  </si>
  <si>
    <t>spot beam satellites should be utilised</t>
  </si>
  <si>
    <t>Take the feed from the air</t>
  </si>
  <si>
    <t>Televisa is not going to lose anything from DISH</t>
  </si>
  <si>
    <t>DISH without reform was already including channels (on an analogue feed, so poorer quality)</t>
  </si>
  <si>
    <t>20 channels in basic DISH vs 20 channels from SKY. Exclude OTA air channels. Agg rating points for SKY is x2 the level of DISH</t>
  </si>
  <si>
    <t>this is why SKY is growing faster</t>
  </si>
  <si>
    <t>Still negotiating with the operators. Megacable is the major one.</t>
  </si>
  <si>
    <t>Likely to be some time in September, but could be December</t>
  </si>
  <si>
    <t>Won't know what the new rates are</t>
  </si>
  <si>
    <t>Will differ from operator to operator</t>
  </si>
  <si>
    <t>Commercial rates</t>
  </si>
  <si>
    <t>Pay TV</t>
  </si>
  <si>
    <t>Not practical to talk about dominance on pay TV</t>
  </si>
  <si>
    <t>Must offer/carry</t>
  </si>
  <si>
    <t>Doesn't say anything in the Reform documentation</t>
  </si>
  <si>
    <t>Not expensive (unlike telephony) and doesn't support growth</t>
  </si>
  <si>
    <t>Q3 13</t>
  </si>
  <si>
    <t>Q4 13</t>
  </si>
  <si>
    <t>Other cash</t>
  </si>
  <si>
    <t>2014e net debt</t>
  </si>
  <si>
    <t>per share upside</t>
  </si>
  <si>
    <t>47% pay tv pen today</t>
  </si>
  <si>
    <t>$12m equity injection.. $100m in total of $400m</t>
  </si>
  <si>
    <t>Q3 13 conference call</t>
  </si>
  <si>
    <t>Invest heavily in cable over the next couple of years. Then will fall..</t>
  </si>
  <si>
    <t>BB subs in particular will be strong</t>
  </si>
  <si>
    <t>Cablecom - capex spend here. Convert debentures. Subject to IFETEL, will convert to capital</t>
  </si>
  <si>
    <t>Cable needs scale and needs to be a national platform</t>
  </si>
  <si>
    <t>Univision IPO</t>
  </si>
  <si>
    <t>no decision on Univision going public</t>
  </si>
  <si>
    <t>Subs adds on pay TV?</t>
  </si>
  <si>
    <t>SKY 1m subs per year for last 4 years</t>
  </si>
  <si>
    <t>World Cup is important for SKY. Upbeat for next few years</t>
  </si>
  <si>
    <t>Cable margins</t>
  </si>
  <si>
    <t xml:space="preserve">Remain at 35% </t>
  </si>
  <si>
    <t>Secondary laws…need to be approved within 180 days. June 11, so approved mid Dec</t>
  </si>
  <si>
    <t>$380m of capex at SKY</t>
  </si>
  <si>
    <t>growth related</t>
  </si>
  <si>
    <t>recognise $70m this year</t>
  </si>
  <si>
    <t>Soccer had a good result, and sold a couple of players</t>
  </si>
  <si>
    <t>how much?</t>
  </si>
  <si>
    <t>Gaming. P$2bn pesos here</t>
  </si>
  <si>
    <t>Movies very cyclical, depends on the movies</t>
  </si>
  <si>
    <t>Radio better - and should be maintained</t>
  </si>
  <si>
    <t>Magasine distribution…a headache for Televisa. Results terrible. Migrating to digital.</t>
  </si>
  <si>
    <t>lost 50% of EBITDA in the quarter</t>
  </si>
  <si>
    <t>only own the distribution as own the mags</t>
  </si>
  <si>
    <t>low single digit growth</t>
  </si>
  <si>
    <t>Netflix relationship</t>
  </si>
  <si>
    <t>Making progress. Signed deals with Netflix, others</t>
  </si>
  <si>
    <t>Plans to launch an aggregator…based on Televisa libararies</t>
  </si>
  <si>
    <t>next few months</t>
  </si>
  <si>
    <t>"Live in a challenging environment"</t>
  </si>
  <si>
    <t>Continues to outgrow the market</t>
  </si>
  <si>
    <t>Timeline here - no decision on when to convert the debentures. Within a 10 year period</t>
  </si>
  <si>
    <t>very attractive and appealing for an IPO</t>
  </si>
  <si>
    <t>banks proposing IPO</t>
  </si>
  <si>
    <t>foreign ownership cap (25%) potentially being discussed at the FCC. Case by case basis on broadcasting licences</t>
  </si>
  <si>
    <t>voted next month</t>
  </si>
  <si>
    <t>in essence would be able to buy 100% of equity or convert debentures into equity</t>
  </si>
  <si>
    <t>will explore the possibility of both</t>
  </si>
  <si>
    <t>reciprocity? Potentially FOX/NBC to enter Mexico?</t>
  </si>
  <si>
    <t>In Mexico…embodied in the constitution?</t>
  </si>
  <si>
    <t>Comments</t>
  </si>
  <si>
    <t>Revenue, US$m</t>
  </si>
  <si>
    <t>Televisa stake (37%)</t>
  </si>
  <si>
    <t>NSR fair value today</t>
  </si>
  <si>
    <t>Multiple of 2014 EBITDA</t>
  </si>
  <si>
    <t>2014e EBITDA</t>
  </si>
  <si>
    <t>Must offer, must carry</t>
  </si>
  <si>
    <t>What's happening to Licensing and Syndication "other" i.e. ex Univision?</t>
  </si>
  <si>
    <t>who is paying for the channels today, aside from owned networks</t>
  </si>
  <si>
    <t>Cable consolidation theme. When might Cablecom be consolidated?</t>
  </si>
  <si>
    <t>latest on Cablevision deal?</t>
  </si>
  <si>
    <t>Run through moving parts in Cable</t>
  </si>
  <si>
    <t>What's the latest with SKY, capex etc?</t>
  </si>
  <si>
    <t>How to think about Advertising moving into Q4</t>
  </si>
  <si>
    <t>Government spending…?</t>
  </si>
  <si>
    <t>Private spending had been strong as of Q2..where are we now?</t>
  </si>
  <si>
    <t>Spending on energy and fiscal reforms?</t>
  </si>
  <si>
    <t>Post Q3 2013 questions</t>
  </si>
  <si>
    <t>What's the bigger picture here with AMX</t>
  </si>
  <si>
    <t>took a small provision for the last couple of weeks of the quarter?</t>
  </si>
  <si>
    <t xml:space="preserve">Revamped Channel 5 </t>
  </si>
  <si>
    <t>why?</t>
  </si>
  <si>
    <t>Channel 22 (state owned) getting winter olympics</t>
  </si>
  <si>
    <t>Netflix</t>
  </si>
  <si>
    <t>Televisa to launch its own aggregator</t>
  </si>
  <si>
    <t>will be applied from a certain date, retroactively</t>
  </si>
  <si>
    <t xml:space="preserve">Updated thoughts on must offer and must carry. </t>
  </si>
  <si>
    <t>what's the delay?</t>
  </si>
  <si>
    <t>Govt spending partially back</t>
  </si>
  <si>
    <t>A small increase in Q3 vs Q2</t>
  </si>
  <si>
    <t>Sept 15 - new deals started</t>
  </si>
  <si>
    <t>No growth in Netflix. The rest is typical volatility in international. Revs booked on a cash basis</t>
  </si>
  <si>
    <t>3000 hours out of 50000 hours available. Non-exclusive</t>
  </si>
  <si>
    <t>Private sector strong H1, OK since. Not overly dynamic</t>
  </si>
  <si>
    <t>Ad spend is only partly cyclical</t>
  </si>
  <si>
    <t>Televisa is seen as being a defensive play. Ad spend for Televisa is lower</t>
  </si>
  <si>
    <t>2009 - Televisa saw growing ad spend when Mexican economy fell 6%</t>
  </si>
  <si>
    <t>not getting to excited about this just yet. Not enough BB coverage in Mexico. Making sure not reliant on others</t>
  </si>
  <si>
    <t>must offer: Sept 15. constitutional requirement. Billing on a new basis</t>
  </si>
  <si>
    <t>customers paying based on their interpretation. Discrepancy here which will be resolved</t>
  </si>
  <si>
    <t>megacable is the main issue, as the main customer</t>
  </si>
  <si>
    <t>Not a provision, but a deduction from revenue for 15 days</t>
  </si>
  <si>
    <t>Not disclosing the size</t>
  </si>
  <si>
    <t>Reflects Televisa's new lower price</t>
  </si>
  <si>
    <t>$380m in total. $70m in 2013, 2014 for rest and small 2015 spill over possible.</t>
  </si>
  <si>
    <t>Normalised revs added</t>
  </si>
  <si>
    <t>Incremental network subs revs added</t>
  </si>
  <si>
    <t>Normalised Net and Subs revs</t>
  </si>
  <si>
    <t>Estimated revenue deduction</t>
  </si>
  <si>
    <t>Full quarter lost revs</t>
  </si>
  <si>
    <t>Estimate for Q4 revs</t>
  </si>
  <si>
    <t>Other (content acqs/WC)</t>
  </si>
  <si>
    <t>Comcast still coming</t>
  </si>
  <si>
    <t>Call with Univision</t>
  </si>
  <si>
    <t>Renegotiation</t>
  </si>
  <si>
    <t>affiliate fees and renewals</t>
  </si>
  <si>
    <t>EBITDA CAGR could be mid-teens for some time</t>
  </si>
  <si>
    <t>Discovery style channel proliferation</t>
  </si>
  <si>
    <t>Deal with ABC</t>
  </si>
  <si>
    <t>Q4 2013</t>
  </si>
  <si>
    <t>grows in-line with GDP, difficult year for the economy</t>
  </si>
  <si>
    <t>other analysts are a little lower</t>
  </si>
  <si>
    <t>consumer sector a little bit weak in Q4</t>
  </si>
  <si>
    <t>small government advertising in Q4. energy reform required a push</t>
  </si>
  <si>
    <t>still below 2011 level</t>
  </si>
  <si>
    <t>Network subscription</t>
  </si>
  <si>
    <t>75 cents to $1.25 per month</t>
  </si>
  <si>
    <t>all the revs that are lost, directly go down to margin</t>
  </si>
  <si>
    <t>will lose Ps1-2bn in 2014</t>
  </si>
  <si>
    <t>60% of revs represented by the SKY, cable companies</t>
  </si>
  <si>
    <t>most of the subs were on the 1.96/month</t>
  </si>
  <si>
    <t>part of the margin will be reinvested</t>
  </si>
  <si>
    <t>OK</t>
  </si>
  <si>
    <t>Cable and telecom</t>
  </si>
  <si>
    <t>been investing in marketing and larger installation fleet</t>
  </si>
  <si>
    <t>Content, all the lost revs impact margin</t>
  </si>
  <si>
    <t>So need to move numbers down</t>
  </si>
  <si>
    <t>Publishing…mid to high single digit</t>
  </si>
  <si>
    <t>SKY, should be a little benefit from network subscription</t>
  </si>
  <si>
    <t>Cable at 33%, captures higher marketing. Buy maybe some benefit from must offer</t>
  </si>
  <si>
    <t>Overall margin looks sensible</t>
  </si>
  <si>
    <t>Advertising mid to high single digit growth. Could be a little optimistic</t>
  </si>
  <si>
    <t>A lot of optimism for GDP… central bank at 3-3.5%. They were at 4% for 2013, came in at 1%</t>
  </si>
  <si>
    <t>Network subscription at R$1.5bn loss. Important impact on margins. 46% looks ambitious</t>
  </si>
  <si>
    <t>univision etc looks fine</t>
  </si>
  <si>
    <t>SKY. Might be a little optimistic. Slowdown in growth</t>
  </si>
  <si>
    <t>Cable and telco looks ok</t>
  </si>
  <si>
    <t>Content the key thing</t>
  </si>
  <si>
    <t>SKY slowdown in RGUs given where TV penetration is.</t>
  </si>
  <si>
    <t>Will not add another 1m subs</t>
  </si>
  <si>
    <t>Stage 2, is to raise prices</t>
  </si>
  <si>
    <t>Increase the recharge rate</t>
  </si>
  <si>
    <t>25-30% RGU increase</t>
  </si>
  <si>
    <t>more risk to the customer on RGU price upside</t>
  </si>
  <si>
    <t>Sell out of SKY Mexico</t>
  </si>
  <si>
    <t>concern of dominance on pay TV. So sell SKY</t>
  </si>
  <si>
    <t>reality is that reform talks about preponderance in terms of telecom</t>
  </si>
  <si>
    <t>more confidence that this view will be respected</t>
  </si>
  <si>
    <t>broadcasting will be assessed for preponderance. But implicitly not TV</t>
  </si>
  <si>
    <t>unlikely to see a sale therefore</t>
  </si>
  <si>
    <t>Reform schedule. Signed through Feb now</t>
  </si>
  <si>
    <t xml:space="preserve">6m after formation of IFETEL. March 11 </t>
  </si>
  <si>
    <t>Secondary laws. Dec 12/13</t>
  </si>
  <si>
    <t>how will reform be implemented</t>
  </si>
  <si>
    <t>ULL</t>
  </si>
  <si>
    <t>assymmetry</t>
  </si>
  <si>
    <t>auctioning of broadcast spexctrum</t>
  </si>
  <si>
    <t>Q1 2014</t>
  </si>
  <si>
    <t>IPO at Univision?</t>
  </si>
  <si>
    <t>PE owners want to divest, sooner rather than later</t>
  </si>
  <si>
    <t>Leverage is high, need to grow EBITDA</t>
  </si>
  <si>
    <t>13-15x EBITDA is the target</t>
  </si>
  <si>
    <t>5-6x is the sort of level</t>
  </si>
  <si>
    <t>primary offering to lower leverage</t>
  </si>
  <si>
    <t>organically about x1 deleveraging per year</t>
  </si>
  <si>
    <t xml:space="preserve"> Subs (assume 90% @ $1.96/m)</t>
  </si>
  <si>
    <t>check</t>
  </si>
  <si>
    <t>Assumed price per pckage</t>
  </si>
  <si>
    <t>No of subs on package, m</t>
  </si>
  <si>
    <t>Associate</t>
  </si>
  <si>
    <t xml:space="preserve">poison pill…any acquirer has to pay a 30% premium on highest equity for last 10 years </t>
  </si>
  <si>
    <t>20-22% of sales</t>
  </si>
  <si>
    <t>digitalise everything by end of the year</t>
  </si>
  <si>
    <t>some margin progression</t>
  </si>
  <si>
    <t>peso through 13, 50% of the lost absorbed by the programmer</t>
  </si>
  <si>
    <t>100 MB for 65% of network, 100% by end of year</t>
  </si>
  <si>
    <t>foreign ownership</t>
  </si>
  <si>
    <t>net cash for</t>
  </si>
  <si>
    <t>JVs with wifi with televisa. $550m or so</t>
  </si>
  <si>
    <t>50% of content is Televisa</t>
  </si>
  <si>
    <t>Renewal phase for a lot of content in 2016</t>
  </si>
  <si>
    <t>Grupo Hevi asset - find out next month. Both megacable and televisa looking</t>
  </si>
  <si>
    <t>Cablecom</t>
  </si>
  <si>
    <t>Cablecom (Grupo Cable) deal</t>
  </si>
  <si>
    <t>RGUs</t>
  </si>
  <si>
    <t xml:space="preserve"> of which TV</t>
  </si>
  <si>
    <t xml:space="preserve"> of which broadband</t>
  </si>
  <si>
    <t xml:space="preserve"> of which voice</t>
  </si>
  <si>
    <t>Revs, 2014e</t>
  </si>
  <si>
    <t>EBITDA, 2014e</t>
  </si>
  <si>
    <t>TV stake in Tenedora Ares</t>
  </si>
  <si>
    <t>Tenedora Ares stake in Cablecom</t>
  </si>
  <si>
    <t>Implied 100% Cablecom</t>
  </si>
  <si>
    <t>2014e EV/EBITDA</t>
  </si>
  <si>
    <t>Option to buy remaining 49% at 9.3 previous 12m EBITDA</t>
  </si>
  <si>
    <t>Existing TV net debt, $</t>
  </si>
  <si>
    <t>FX</t>
  </si>
  <si>
    <t>Cablecom convert, $</t>
  </si>
  <si>
    <t>Existing consol EBITDA</t>
  </si>
  <si>
    <t>Cablecom EBITDA</t>
  </si>
  <si>
    <t>Current debt to EBITDA</t>
  </si>
  <si>
    <t>Assume Ares moves to 100%</t>
  </si>
  <si>
    <t>@ 9.3x EBITDA</t>
  </si>
  <si>
    <t>Grupo Hevi</t>
  </si>
  <si>
    <t>EV, $</t>
  </si>
  <si>
    <t>, 000s</t>
  </si>
  <si>
    <t>Estimated EBITDA</t>
  </si>
  <si>
    <t>Net debt with 100% Hevi</t>
  </si>
  <si>
    <t>Today</t>
  </si>
  <si>
    <t>Hevi</t>
  </si>
  <si>
    <t>Shares</t>
  </si>
  <si>
    <t>Market cap, Ps</t>
  </si>
  <si>
    <t>Cap, $</t>
  </si>
  <si>
    <t>Take out price</t>
  </si>
  <si>
    <t>2014e EV</t>
  </si>
  <si>
    <t>New Televisa net debt</t>
  </si>
  <si>
    <t>Implied 2014e EBITDA</t>
  </si>
  <si>
    <t>CPO</t>
  </si>
  <si>
    <t>Series A (2 As for each CPO)</t>
  </si>
  <si>
    <t>Megacable, $m</t>
  </si>
  <si>
    <t>Incremental consolidated EBITDA</t>
  </si>
  <si>
    <t>(includes debt but no Cablecom EBITDA)</t>
  </si>
  <si>
    <t>Televisa 2014 net debt to EBITDA</t>
  </si>
  <si>
    <t xml:space="preserve">(49% Ares) </t>
  </si>
  <si>
    <t xml:space="preserve">% of rev applies to </t>
  </si>
  <si>
    <t>Proceeds as % Univision revs</t>
  </si>
  <si>
    <t>Less: clean associates charges</t>
  </si>
  <si>
    <t>Must offer impact</t>
  </si>
  <si>
    <t>Underlying</t>
  </si>
  <si>
    <t>FY 14</t>
  </si>
  <si>
    <t>underlying network subs</t>
  </si>
  <si>
    <t>political advertising</t>
  </si>
  <si>
    <t>timing of revs recognition</t>
  </si>
  <si>
    <t>non-cash contractual revs</t>
  </si>
  <si>
    <t>Clean revenue</t>
  </si>
  <si>
    <t>Q4 13 follow-up</t>
  </si>
  <si>
    <t xml:space="preserve">Ifetel has ruled TV and Azteca must continue to allow pay-TV companies, including Dish, to retransmit broadcast channels that cover more than 50% of the Mexican population. </t>
  </si>
  <si>
    <t>Includes TV's channels 2 and 5, and Azteca's channels 7 and 13 - they key channels.</t>
  </si>
  <si>
    <t xml:space="preserve">Pay-TV providers to stop free retransmission of other broadcast channels such as channels 9 and 40, as POPs&lt; 50%. </t>
  </si>
  <si>
    <t>Handset sales</t>
  </si>
  <si>
    <t>Total revs</t>
  </si>
  <si>
    <t>David Goel</t>
  </si>
  <si>
    <t>Tiger Hedge Fund</t>
  </si>
  <si>
    <t>Matrix Capital</t>
  </si>
  <si>
    <t>1.5% stake in Univision</t>
  </si>
  <si>
    <t>Venevision</t>
  </si>
  <si>
    <t>25 year deal in 1992</t>
  </si>
  <si>
    <t>2017 Venevision gets cut out</t>
  </si>
  <si>
    <t xml:space="preserve">Underlying </t>
  </si>
  <si>
    <t>Content EBITDA split</t>
  </si>
  <si>
    <t>Content EBITDA margin</t>
  </si>
  <si>
    <t>Content capex split</t>
  </si>
  <si>
    <t>Content OpFCF split</t>
  </si>
  <si>
    <t>Content FCF split</t>
  </si>
  <si>
    <t>Content FCF, US$</t>
  </si>
  <si>
    <t>discounted</t>
  </si>
  <si>
    <t>Univision as % total content</t>
  </si>
  <si>
    <t>Content revenue split , Ps m</t>
  </si>
  <si>
    <t>Ownership %</t>
  </si>
  <si>
    <t xml:space="preserve">Total Univision </t>
  </si>
  <si>
    <t>Equity share</t>
  </si>
  <si>
    <t>% Gp equity</t>
  </si>
  <si>
    <t>TV's ownership</t>
  </si>
  <si>
    <t>TV's value</t>
  </si>
  <si>
    <t>What happens in 2025?</t>
  </si>
  <si>
    <t>Royalties cut to TV?</t>
  </si>
  <si>
    <t>Univision EBITDA saving</t>
  </si>
  <si>
    <t>Tax (US)</t>
  </si>
  <si>
    <t>Post-tax  FCF</t>
  </si>
  <si>
    <t>NBC</t>
  </si>
  <si>
    <t>FOX</t>
  </si>
  <si>
    <t>ABC</t>
  </si>
  <si>
    <t>CBS</t>
  </si>
  <si>
    <t>ESPN</t>
  </si>
  <si>
    <t>CW</t>
  </si>
  <si>
    <t>TBS</t>
  </si>
  <si>
    <t>USA</t>
  </si>
  <si>
    <t>AMC</t>
  </si>
  <si>
    <t>Total market (18-34s)</t>
  </si>
  <si>
    <t>Rank (LHS)</t>
  </si>
  <si>
    <t>Pre-royalties</t>
  </si>
  <si>
    <t xml:space="preserve">Content </t>
  </si>
  <si>
    <t>Content (ex-royalties)</t>
  </si>
  <si>
    <t>Payment on audiovisual</t>
  </si>
  <si>
    <t>Assumed audiovisual revs</t>
  </si>
  <si>
    <t>as % total</t>
  </si>
  <si>
    <t>Revs royalties payable on</t>
  </si>
  <si>
    <t>Total royalty payments</t>
  </si>
  <si>
    <t>Revenue-ex World Cup</t>
  </si>
  <si>
    <t>New underlying margin</t>
  </si>
  <si>
    <t>Old underlying margin</t>
  </si>
  <si>
    <t>Q1 14</t>
  </si>
  <si>
    <t>Margin for Content in Q1.</t>
  </si>
  <si>
    <t>SKY, started marketing World Cup in Q4</t>
  </si>
  <si>
    <t>Advertising - costs amortised in Q2, World Cup</t>
  </si>
  <si>
    <t>2010 World Cup</t>
  </si>
  <si>
    <t>$25-30m for the rights</t>
  </si>
  <si>
    <t xml:space="preserve"> of which telecoms</t>
  </si>
  <si>
    <t xml:space="preserve"> of which SKY</t>
  </si>
  <si>
    <t>Network Subs</t>
  </si>
  <si>
    <t>Higher churn from competitors, also the sale of tablets last summer</t>
  </si>
  <si>
    <t>Mexico city in particular is strong</t>
  </si>
  <si>
    <t>not losing market share</t>
  </si>
  <si>
    <t>Dominance</t>
  </si>
  <si>
    <t>Yes complying with rulings</t>
  </si>
  <si>
    <t>Some need further clarification</t>
  </si>
  <si>
    <t xml:space="preserve">difficult to </t>
  </si>
  <si>
    <t>Performing better</t>
  </si>
  <si>
    <t>Ps200m savings from MTR cut</t>
  </si>
  <si>
    <t>Almost impossible to compete today</t>
  </si>
  <si>
    <t>Net neutrality</t>
  </si>
  <si>
    <t>Ability in the US for pipes to charge content providers for prioritised access</t>
  </si>
  <si>
    <t>potentially being amended in the US</t>
  </si>
  <si>
    <t>If invest in networks, should pay for this</t>
  </si>
  <si>
    <t>can benefit on the Content side</t>
  </si>
  <si>
    <t>Iusacell (GSF Holding), from 20F</t>
  </si>
  <si>
    <t>Balance sheet value, Ps m</t>
  </si>
  <si>
    <t>Balance sheet value, $m</t>
  </si>
  <si>
    <t>MXN/$ (average)</t>
  </si>
  <si>
    <t>MXN/$ (YE)</t>
  </si>
  <si>
    <t>Service revenue</t>
  </si>
  <si>
    <t>implied rate</t>
  </si>
  <si>
    <t>Gross debt, MXN</t>
  </si>
  <si>
    <t>Cash, MXN</t>
  </si>
  <si>
    <t>Net interest expense</t>
  </si>
  <si>
    <t>Q1 14 follow up</t>
  </si>
  <si>
    <t>OpEx</t>
  </si>
  <si>
    <t>as % service</t>
  </si>
  <si>
    <t>- assume inbound revs</t>
  </si>
  <si>
    <t>inbound mins</t>
  </si>
  <si>
    <t>inbound MOU/sub</t>
  </si>
  <si>
    <t>Interconnect costs</t>
  </si>
  <si>
    <t>Inbound MTR rate, Ps/ min</t>
  </si>
  <si>
    <t>Outbound MTR rate, Ps/ min</t>
  </si>
  <si>
    <t>Outbound MOU</t>
  </si>
  <si>
    <t>Outbound mins</t>
  </si>
  <si>
    <t>Net termination</t>
  </si>
  <si>
    <t>as % revenue</t>
  </si>
  <si>
    <t>Other licence and syndication - trends here?</t>
  </si>
  <si>
    <t>tax rate low in Q1?</t>
  </si>
  <si>
    <t>Remaining $300m projected is sufficient (equity injection)</t>
  </si>
  <si>
    <t>as %  total</t>
  </si>
  <si>
    <t>check:</t>
  </si>
  <si>
    <t>Acquisition of SKY minority</t>
  </si>
  <si>
    <t>Stake</t>
  </si>
  <si>
    <t>Post-tax interest</t>
  </si>
  <si>
    <t>Fair value equity (100%), US$m</t>
  </si>
  <si>
    <t>Cumulative</t>
  </si>
  <si>
    <t>Implied 2015 PE</t>
  </si>
  <si>
    <t>40% of post-tax SKY income</t>
  </si>
  <si>
    <t>less interest</t>
  </si>
  <si>
    <t>Uplift to net income</t>
  </si>
  <si>
    <t>% net income</t>
  </si>
  <si>
    <t>2015 EV/EBITDA</t>
  </si>
  <si>
    <t>New consolidated debt/EBITDA</t>
  </si>
  <si>
    <t>Prop net debt</t>
  </si>
  <si>
    <t>Prop EBITDA</t>
  </si>
  <si>
    <t>Prop debt/EBITDA</t>
  </si>
  <si>
    <t xml:space="preserve"> of which inbound</t>
  </si>
  <si>
    <t xml:space="preserve"> of which outbound/handsets</t>
  </si>
  <si>
    <t xml:space="preserve"> of which IC costs</t>
  </si>
  <si>
    <t>2010e</t>
  </si>
  <si>
    <t xml:space="preserve"> as % total</t>
  </si>
  <si>
    <t>as % total opex</t>
  </si>
  <si>
    <t>Iusacell, MXN m</t>
  </si>
  <si>
    <t>Capex (or WC/other cash)</t>
  </si>
  <si>
    <t>Tax (assume zero)</t>
  </si>
  <si>
    <t>2011e</t>
  </si>
  <si>
    <t>2012a</t>
  </si>
  <si>
    <t>2013a</t>
  </si>
  <si>
    <t>as % revs</t>
  </si>
  <si>
    <t>C3 vs C7</t>
  </si>
  <si>
    <t>Retrans side remains good</t>
  </si>
  <si>
    <t>CBS over $1bn</t>
  </si>
  <si>
    <t xml:space="preserve">Comcast </t>
  </si>
  <si>
    <t>Pre Q2 14</t>
  </si>
  <si>
    <t>Negative Easter effect in Q2. So advertising growth will be mid-single digit</t>
  </si>
  <si>
    <t>World Cup has some relevance but not so much</t>
  </si>
  <si>
    <t xml:space="preserve"> - Mexico - ratings are very high, but elsewhere less so. Broadcast the same matches as Azteca</t>
  </si>
  <si>
    <t>only a few hours</t>
  </si>
  <si>
    <t>2010 - 1st to second Q. Ps440m incremental costs (total)</t>
  </si>
  <si>
    <t>Q4 and Q1 - unsuccessful shows. Telenovelas not working</t>
  </si>
  <si>
    <t>May numbers were stronger</t>
  </si>
  <si>
    <t>Main network, ratings down. Unimas (FTA TV channel - beating Telemundo certain nights) and cable, ratings were better</t>
  </si>
  <si>
    <t>Unimas</t>
  </si>
  <si>
    <t>a little more edgy</t>
  </si>
  <si>
    <t>La Tempesta</t>
  </si>
  <si>
    <t>Secondary Laws</t>
  </si>
  <si>
    <t>Likely to be ready in July</t>
  </si>
  <si>
    <t>FY, World Cup a wash at EBITDA. A little worse in Q2, a little better in Q3</t>
  </si>
  <si>
    <t>Nominal costs (not disclosed) as bidding with Azteca</t>
  </si>
  <si>
    <t>Q2 14</t>
  </si>
  <si>
    <t xml:space="preserve">y/y  </t>
  </si>
  <si>
    <t>Plans for Iusacell over the next 6 months</t>
  </si>
  <si>
    <t>MVNO, small cells, macro network?</t>
  </si>
  <si>
    <t xml:space="preserve"> - of which Cablemas</t>
  </si>
  <si>
    <t xml:space="preserve"> - of which Cablevision</t>
  </si>
  <si>
    <t xml:space="preserve"> - of which TVI</t>
  </si>
  <si>
    <t xml:space="preserve"> - of which Bestel</t>
  </si>
  <si>
    <t xml:space="preserve"> - Gross debt</t>
  </si>
  <si>
    <t>Pick up in KPIs at SKY and Cable, notably on TV. Market growth, or share gains?</t>
  </si>
  <si>
    <t>Improvement in associate income? How much due to Iusacell (GSF), how much Univision (BMP)</t>
  </si>
  <si>
    <t>How much of the Iusacell contribution came from MTRs?</t>
  </si>
  <si>
    <t>national roaming also supportive..by how much?</t>
  </si>
  <si>
    <t>where are we with Univision sale?</t>
  </si>
  <si>
    <t>Content margins in Q3 to bounce back following lower World Cup costs. Happy with the 44% guidance?</t>
  </si>
  <si>
    <t>Difficult Q2 comp, due to Easter. Despite support from World Cup</t>
  </si>
  <si>
    <t>$315m royalties for FY guidance confirmed</t>
  </si>
  <si>
    <t>Conf call</t>
  </si>
  <si>
    <t>Maintain 44% guidance for margins, despite Q2 weakness from World Cup costs</t>
  </si>
  <si>
    <t>World Cup drove KPIs on SKY, cable</t>
  </si>
  <si>
    <t>On the content side, how much was Easter affect and how much World Cup?</t>
  </si>
  <si>
    <t>World Cup - Televisa delivered better viewing figures than competition with the same games. Two thirds of the audience</t>
  </si>
  <si>
    <t>new shows, not traditionally covered by Channel 2. (didn't catch names)</t>
  </si>
  <si>
    <t>content developing</t>
  </si>
  <si>
    <t>on-line viewers important, even though viewers were limited. Capture an important part of Mexican on-line market</t>
  </si>
  <si>
    <t>looking for deals with 3rd party providers</t>
  </si>
  <si>
    <t>Some content budgets moved from H2 into Q2</t>
  </si>
  <si>
    <t>UFC network and xxx premiere launched. A la carte channels</t>
  </si>
  <si>
    <t>No 1 provider in the last 2 weeks of Q2</t>
  </si>
  <si>
    <t>Mexico vs Neths</t>
  </si>
  <si>
    <t>Unimas - prime time audience growth of 17% vs comparable weeks</t>
  </si>
  <si>
    <t>Remain cautious for the remainder of the year</t>
  </si>
  <si>
    <t>Iusacell - where next?</t>
  </si>
  <si>
    <t>royalties coming through from extra Univision World Cup revenues</t>
  </si>
  <si>
    <t>yes, as part of the agreement. Even though televisa did not provide the content</t>
  </si>
  <si>
    <t>secondary laws still being discussed in House of Representatives. So no comment</t>
  </si>
  <si>
    <t>Q2 change at Iusacell?</t>
  </si>
  <si>
    <t>no decision had been made</t>
  </si>
  <si>
    <t>Univision sale</t>
  </si>
  <si>
    <t>8m subs in 2013. 9% in 2013</t>
  </si>
  <si>
    <t>operating challenges remain…supressing growth</t>
  </si>
  <si>
    <t>positive EBITDA in Q2</t>
  </si>
  <si>
    <t>Ps200m savings on a FY basis</t>
  </si>
  <si>
    <t>Macro</t>
  </si>
  <si>
    <t>Signs from spot sales, or subs - turning point possible</t>
  </si>
  <si>
    <t>DirecTV</t>
  </si>
  <si>
    <t>discussions with AT&amp;T? Yes, we're in touch</t>
  </si>
  <si>
    <t>good relationship with Mike White and his team</t>
  </si>
  <si>
    <t>largest shareholder on a full diluted basis</t>
  </si>
  <si>
    <t>Cash injections into Iusacell</t>
  </si>
  <si>
    <t>draft in Senate points to a good solution for Iusacell</t>
  </si>
  <si>
    <t>no money into Iusacell this year. Would do if there was an opportunity</t>
  </si>
  <si>
    <t>Regulation</t>
  </si>
  <si>
    <t>Senate - by sector, not by service. Relevant for pay TV</t>
  </si>
  <si>
    <t>Subs at SKY</t>
  </si>
  <si>
    <t>boosted from non-exclusive soccer in Q2? Will they cancel</t>
  </si>
  <si>
    <t>continue to see very good profitability</t>
  </si>
  <si>
    <t>revs up 25% but down on the Q1 trends</t>
  </si>
  <si>
    <t>mid to high 40%s</t>
  </si>
  <si>
    <t>Ps45m this quarter</t>
  </si>
  <si>
    <t>2015 net debt</t>
  </si>
  <si>
    <t>Iusacell exit</t>
  </si>
  <si>
    <t>Q3 2014</t>
  </si>
  <si>
    <t>Numbers broadly in-line with consensus</t>
  </si>
  <si>
    <t>Most businesses are pretty steady</t>
  </si>
  <si>
    <t>Advertising very volatile - need to look on a LTM basis</t>
  </si>
  <si>
    <t>Q2: some of the budgets from Q3 moved to Q2</t>
  </si>
  <si>
    <t xml:space="preserve">Macro environment hasn't picked yet. </t>
  </si>
  <si>
    <t>Fiscal reform was very dramatic, take time for lower household income to take on board</t>
  </si>
  <si>
    <t>Investment delayed due to delays over constitutional reforms</t>
  </si>
  <si>
    <t>US economy improving, better into 2015</t>
  </si>
  <si>
    <t>secondary laws. Telecom/energy in Q3</t>
  </si>
  <si>
    <t>taxes for population up materially. Middle classes generally</t>
  </si>
  <si>
    <t>not yet signed off</t>
  </si>
  <si>
    <t>Iusacell - right off will be in q3</t>
  </si>
  <si>
    <t>better in the last few months in terms of ratings</t>
  </si>
  <si>
    <t>focus on revenue, but re-transmission revenue will be key</t>
  </si>
  <si>
    <t>Board members</t>
  </si>
  <si>
    <t>large board - 16 on the board remaining</t>
  </si>
  <si>
    <t>Gonzalez's son joined Committee AMX created for strategic alternatives</t>
  </si>
  <si>
    <t>German - learnt from Mex media he had decided to bid. Unprofessional</t>
  </si>
  <si>
    <t>he is trying to resolve issues with the government. Environmental disaster</t>
  </si>
  <si>
    <t>sulphuric acid leak from one of his companies</t>
  </si>
  <si>
    <t>grupo mexico - 3rd largest copper producer in the world</t>
  </si>
  <si>
    <t>Televisa—Reporting Cheatsheet</t>
  </si>
  <si>
    <t>Metric</t>
  </si>
  <si>
    <t>Last Q</t>
  </si>
  <si>
    <t>Network Sub</t>
  </si>
  <si>
    <t>Licensing</t>
  </si>
  <si>
    <t xml:space="preserve">Other </t>
  </si>
  <si>
    <t>Intersegment Ops</t>
  </si>
  <si>
    <t>EBITDA Magin</t>
  </si>
  <si>
    <t xml:space="preserve">Capex </t>
  </si>
  <si>
    <t>Telecom</t>
  </si>
  <si>
    <t>Capex  % of Sales</t>
  </si>
  <si>
    <t>Net Income</t>
  </si>
  <si>
    <t>Free Cash Flow</t>
  </si>
  <si>
    <t>KPIs</t>
  </si>
  <si>
    <t>Cable Subs</t>
  </si>
  <si>
    <t>Video</t>
  </si>
  <si>
    <t>DSL</t>
  </si>
  <si>
    <t>Phone</t>
  </si>
  <si>
    <t>One month of cable</t>
  </si>
  <si>
    <t>New Street</t>
  </si>
  <si>
    <t>Q3 14</t>
  </si>
  <si>
    <t xml:space="preserve"> - of which Cablecom</t>
  </si>
  <si>
    <t>Capex, US$m</t>
  </si>
  <si>
    <t>Capex, MXN m</t>
  </si>
  <si>
    <t>Post Q3 2014</t>
  </si>
  <si>
    <t>Cost cutting?</t>
  </si>
  <si>
    <t>Why such a big revs change?</t>
  </si>
  <si>
    <t>Other licensing and syndication improvement?</t>
  </si>
  <si>
    <t>Size of option re-evaluation</t>
  </si>
  <si>
    <t>Taxes low</t>
  </si>
  <si>
    <t>Settlement issues with Nielsen</t>
  </si>
  <si>
    <t>Capex booked so far includes satellite?</t>
  </si>
  <si>
    <t>Other expense, net</t>
  </si>
  <si>
    <t>split of up front and spot? Can spot make such an impact?</t>
  </si>
  <si>
    <t>stripping out the Iusacell write-down</t>
  </si>
  <si>
    <t>Plans for mobile</t>
  </si>
  <si>
    <t>Auction expectations</t>
  </si>
  <si>
    <t>Check foreign ownership restrictions on Mexican media</t>
  </si>
  <si>
    <t>Cablecom EV</t>
  </si>
  <si>
    <t>Part I</t>
  </si>
  <si>
    <t>Part II</t>
  </si>
  <si>
    <t>Total paid</t>
  </si>
  <si>
    <t>Check Cablecom coverage</t>
  </si>
  <si>
    <t>Capex spend…confirm what's spent, rest for Q4?</t>
  </si>
  <si>
    <t>Televisa group (pro forma)</t>
  </si>
  <si>
    <t>Cable homes covered</t>
  </si>
  <si>
    <t>How many homes passed at Cablecom?</t>
  </si>
  <si>
    <t>Homes passed as % HH</t>
  </si>
  <si>
    <t xml:space="preserve">Is there any cable overlap between any of the Televisa companies, inc. Cablecom, and Megacable? </t>
  </si>
  <si>
    <t>Incremental homes passed</t>
  </si>
  <si>
    <t>calorific</t>
  </si>
  <si>
    <t>also a new tax imposed on them. 10-15% passed onto customers</t>
  </si>
  <si>
    <t>therefore a general impact on consumer demand</t>
  </si>
  <si>
    <t>q2 should have been negatively impacted by easter week, and it wasn't. which tells you how much Q3 revs were brought forward</t>
  </si>
  <si>
    <t>should look at it on a LTM basis. Plus 3.7% or so y/y</t>
  </si>
  <si>
    <t xml:space="preserve">a lot of flexibility on costs. </t>
  </si>
  <si>
    <t>2011 - grupo carso walked away: 4% loss of revenue overnight. Maintained margins</t>
  </si>
  <si>
    <t>$40,000 per episode to produced a cooking program. $5000 to buy at the trade fairs</t>
  </si>
  <si>
    <t>Azteca</t>
  </si>
  <si>
    <t>exports - Azteca America</t>
  </si>
  <si>
    <t>colombian fibre</t>
  </si>
  <si>
    <t>soccer team they accounted for</t>
  </si>
  <si>
    <t>3% underlying growth</t>
  </si>
  <si>
    <t>down to 7%</t>
  </si>
  <si>
    <t>growth of 9%</t>
  </si>
  <si>
    <t>had a very easy comp with Q3 last year?</t>
  </si>
  <si>
    <t>upfront</t>
  </si>
  <si>
    <t>commitment from Day 1</t>
  </si>
  <si>
    <t>Q4 - more buys comes from spot</t>
  </si>
  <si>
    <t xml:space="preserve">Q2 - slips slighly to more spot </t>
  </si>
  <si>
    <t>Q1 - mostly upfront (20% pricing discount), with complement</t>
  </si>
  <si>
    <t>use it or lose it</t>
  </si>
  <si>
    <t>upfront trends and Ad revs - not highly correlated. Upfront often more to do with cash management</t>
  </si>
  <si>
    <t>80% upfront, 20% spot</t>
  </si>
  <si>
    <t>very spread out</t>
  </si>
  <si>
    <t>not yet confirmed for 2015</t>
  </si>
  <si>
    <t>smallish number for Q4</t>
  </si>
  <si>
    <t>Cablecom EBITDA margins are high</t>
  </si>
  <si>
    <t>some investments needed</t>
  </si>
  <si>
    <t>High single digit growth</t>
  </si>
  <si>
    <t>2011 issue. Ratings were not trusted</t>
  </si>
  <si>
    <t>$70m in 2013, $100m in 2014 and 2015. balance in 2016</t>
  </si>
  <si>
    <t>iusacell write down</t>
  </si>
  <si>
    <t>macro key</t>
  </si>
  <si>
    <t>Intersegment</t>
  </si>
  <si>
    <t>Changes</t>
  </si>
  <si>
    <t>MXN m</t>
  </si>
  <si>
    <t>Discount to AMX</t>
  </si>
  <si>
    <t>Traffic on MVNO</t>
  </si>
  <si>
    <t>% MVNO EBITDA margin</t>
  </si>
  <si>
    <t>WiFi margin</t>
  </si>
  <si>
    <t>Blended EBITDA margin</t>
  </si>
  <si>
    <t>TV ARPU</t>
  </si>
  <si>
    <t>Televisa RGUs</t>
  </si>
  <si>
    <t>Unique users</t>
  </si>
  <si>
    <t>Total RGUs</t>
  </si>
  <si>
    <t>RGU/unique user (from MEGA)</t>
  </si>
  <si>
    <t>Mobile, MXN m</t>
  </si>
  <si>
    <t>NPV cash flows</t>
  </si>
  <si>
    <t>Growth</t>
  </si>
  <si>
    <t>Terminal value</t>
  </si>
  <si>
    <t>PV of terminal value</t>
  </si>
  <si>
    <t>EV mobile</t>
  </si>
  <si>
    <t>per share</t>
  </si>
  <si>
    <t>Claro</t>
  </si>
  <si>
    <t xml:space="preserve">Others </t>
  </si>
  <si>
    <t>Izzy</t>
  </si>
  <si>
    <t>Market subs, m</t>
  </si>
  <si>
    <t>POPs, m</t>
  </si>
  <si>
    <t>Subs, 000s</t>
  </si>
  <si>
    <t>Unique TV subs, 000s</t>
  </si>
  <si>
    <t>As % unique users (TV)</t>
  </si>
  <si>
    <t>Debt exposire</t>
  </si>
  <si>
    <t xml:space="preserve"> of which $</t>
  </si>
  <si>
    <t xml:space="preserve"> of which peso/other</t>
  </si>
  <si>
    <t>Issuance</t>
  </si>
  <si>
    <t xml:space="preserve"> of which peso</t>
  </si>
  <si>
    <t>Pre Q4 2014</t>
  </si>
  <si>
    <t>Happy with Q4 ad revenue, of -0.5%</t>
  </si>
  <si>
    <t>economy continues to be weak</t>
  </si>
  <si>
    <t>expansion with AT&amp;T</t>
  </si>
  <si>
    <t>mobile?</t>
  </si>
  <si>
    <t>not in a capital intensive way</t>
  </si>
  <si>
    <t>pay TV</t>
  </si>
  <si>
    <t>official view - an investigation from AMX.</t>
  </si>
  <si>
    <t>ongoing</t>
  </si>
  <si>
    <t>no timetable</t>
  </si>
  <si>
    <t>stake in univision?</t>
  </si>
  <si>
    <t>Mobile</t>
  </si>
  <si>
    <t>Mobile capex</t>
  </si>
  <si>
    <t>Total capex</t>
  </si>
  <si>
    <t>vs gross sales underlying</t>
  </si>
  <si>
    <t>mobile capex/sales</t>
  </si>
  <si>
    <t>Total capex/sales</t>
  </si>
  <si>
    <t>10x 2015e EBITDA</t>
  </si>
  <si>
    <t>NSR MEGA, MXN m</t>
  </si>
  <si>
    <t>EBITDA, $m</t>
  </si>
  <si>
    <t>MEGA EV at 10x 2015e EBITDA</t>
  </si>
  <si>
    <t>Clean EBITDA, US$m</t>
  </si>
  <si>
    <t>OpFCF, $m</t>
  </si>
  <si>
    <t>Jan 2015 pricing</t>
  </si>
  <si>
    <t>Local calls</t>
  </si>
  <si>
    <t>Mobile (44)</t>
  </si>
  <si>
    <t>Mobile (45)</t>
  </si>
  <si>
    <t>LD national</t>
  </si>
  <si>
    <t>Canada, South America</t>
  </si>
  <si>
    <t>Europe</t>
  </si>
  <si>
    <t>Speed</t>
  </si>
  <si>
    <t>Old Telmex</t>
  </si>
  <si>
    <t>New Telmex</t>
  </si>
  <si>
    <t>Ps2.0/min</t>
  </si>
  <si>
    <t>100 (Ps1.19/min)</t>
  </si>
  <si>
    <t>Ps1.19/min</t>
  </si>
  <si>
    <t>Ps9.55/min</t>
  </si>
  <si>
    <t>&lt;3Mbps</t>
  </si>
  <si>
    <t>100 (Ps1.55/min)</t>
  </si>
  <si>
    <t>200 (Ps1.55/min)</t>
  </si>
  <si>
    <t>100 (Ps0.81/min)</t>
  </si>
  <si>
    <t>200 (Ps1.19/min)</t>
  </si>
  <si>
    <t>&lt;5Mbps</t>
  </si>
  <si>
    <t>5-20 Mbps*</t>
  </si>
  <si>
    <t>* customers get max available</t>
  </si>
  <si>
    <t>10 Mbps</t>
  </si>
  <si>
    <t>5 Mbps</t>
  </si>
  <si>
    <t>Televisa inc. Cablevision Red</t>
  </si>
  <si>
    <t>Jan 15 conf call</t>
  </si>
  <si>
    <t>LLU</t>
  </si>
  <si>
    <t>Interconnect</t>
  </si>
  <si>
    <t>AMX split</t>
  </si>
  <si>
    <t>Wholesale of telecom services</t>
  </si>
  <si>
    <t>Access prices (terms and conditions of infrastructure)</t>
  </si>
  <si>
    <t>700 MHz band and launch wholesaler</t>
  </si>
  <si>
    <t>Deloitte consulting to develop a business plan</t>
  </si>
  <si>
    <t>Q3 15 - we will know who this is</t>
  </si>
  <si>
    <t>Govt - $10bn project, $2bn from govt, $8bn from others</t>
  </si>
  <si>
    <t>Includes dark fibre infrastructureq</t>
  </si>
  <si>
    <t>need 8000 points of connection</t>
  </si>
  <si>
    <t>have 2000 federal buildings</t>
  </si>
  <si>
    <t>dedicated local connections for LD</t>
  </si>
  <si>
    <t>shared use of passive infrastructure</t>
  </si>
  <si>
    <t>MVNO</t>
  </si>
  <si>
    <t>Telecel</t>
  </si>
  <si>
    <t xml:space="preserve">roaming </t>
  </si>
  <si>
    <t>interconnection</t>
  </si>
  <si>
    <t>Due for renewal in June 2015</t>
  </si>
  <si>
    <t>effective competition - herfendahl index</t>
  </si>
  <si>
    <t>in each of the relevant markets - mobile, fixed, data</t>
  </si>
  <si>
    <t>will take time before AMX can offer TV</t>
  </si>
  <si>
    <t>Nov 6th</t>
  </si>
  <si>
    <t>conditions were published</t>
  </si>
  <si>
    <t>effective 90 days after notice. Feb 4th</t>
  </si>
  <si>
    <t>Has to happen within 24 hours</t>
  </si>
  <si>
    <t>No portability - from 3 days to 24 hours</t>
  </si>
  <si>
    <t>A will of the regulator to things right</t>
  </si>
  <si>
    <t>zero MTR to Telcel</t>
  </si>
  <si>
    <t>Dec 29 2014 - IFT Telcel/Telmex pay 0.2505</t>
  </si>
  <si>
    <t>Pay fixed ops - 0.004179</t>
  </si>
  <si>
    <t>Paying 0.3 previously</t>
  </si>
  <si>
    <t>operators met to determine ULL</t>
  </si>
  <si>
    <t>no agreement reached. Has gone to IFT</t>
  </si>
  <si>
    <t>Dec 23rd - launched public consultation</t>
  </si>
  <si>
    <t>opportunity for everyone to present views</t>
  </si>
  <si>
    <t>terms (inc rates) should be set H1 2015</t>
  </si>
  <si>
    <t>2-3 years for anyone to truly benefit</t>
  </si>
  <si>
    <t>Q4 14</t>
  </si>
  <si>
    <t>Ex-Cablecom EBITDA</t>
  </si>
  <si>
    <t>Ex-Cablecom margin</t>
  </si>
  <si>
    <t xml:space="preserve">Other expenses up </t>
  </si>
  <si>
    <t>Retransmission at 20% of Univision total</t>
  </si>
  <si>
    <t>mid-teens through to 2020 but nearer 10% for 2015</t>
  </si>
  <si>
    <t>$45m EBITDA swing (negative) in 2015</t>
  </si>
  <si>
    <t>FTA auction in Mexico - winners announced March 19th</t>
  </si>
  <si>
    <t>Univision royalties growth?</t>
  </si>
  <si>
    <t>Change of control news at Univision (&lt;35%)</t>
  </si>
  <si>
    <t>other (soccer inc. world cup)</t>
  </si>
  <si>
    <t>$ impact on the business</t>
  </si>
  <si>
    <t>Thoughts on SKY, growth slowing. Willing to sell?</t>
  </si>
  <si>
    <t>Discussions with Telefonica</t>
  </si>
  <si>
    <t>Who's in the running for a broadcast licence in Mexico?</t>
  </si>
  <si>
    <t>D&amp;A charge high in Q4</t>
  </si>
  <si>
    <t>Thoughts on the Incentive Auction…how thinking about this?</t>
  </si>
  <si>
    <t>**</t>
  </si>
  <si>
    <t>Univision royalties?</t>
  </si>
  <si>
    <t>Cable RGUs strong. What's happening?</t>
  </si>
  <si>
    <t>Izzy performance…plan for further roll out?</t>
  </si>
  <si>
    <t>Growth continues to slow at SKY..more willing to exit?</t>
  </si>
  <si>
    <t>% of ad sales from Genoma Web (consumer bellweather)</t>
  </si>
  <si>
    <t>Q4 was a recuperation over the uncertainty in Q3</t>
  </si>
  <si>
    <t>important client</t>
  </si>
  <si>
    <t>soccer, rates in Q4</t>
  </si>
  <si>
    <t>running at high levels for capex in 2014</t>
  </si>
  <si>
    <t>owners bought in 2006</t>
  </si>
  <si>
    <t>sale most likely through a public offering</t>
  </si>
  <si>
    <t>probable over the next 12-18 months</t>
  </si>
  <si>
    <t>nothing</t>
  </si>
  <si>
    <t>Up front</t>
  </si>
  <si>
    <t>down about 10%...due to uncertainty</t>
  </si>
  <si>
    <t>scatter market will therefore be a bigger share</t>
  </si>
  <si>
    <t>Izzy launched in November</t>
  </si>
  <si>
    <t xml:space="preserve">response very good…but time to assess. </t>
  </si>
  <si>
    <t>further roll out in 2015/2016</t>
  </si>
  <si>
    <t>all the finals of the soccer leagues (semi finals, finals)</t>
  </si>
  <si>
    <t>a key part of the y/y growth</t>
  </si>
  <si>
    <t>Further cable consolidation?</t>
  </si>
  <si>
    <t>short to medium-term, capex will be higher in 2015 (acquisitions)</t>
  </si>
  <si>
    <t>1st Telenovela launched in the states, on Univision, ahead of Mexico</t>
  </si>
  <si>
    <t>improving a slot in the US</t>
  </si>
  <si>
    <t>"Other expenses"</t>
  </si>
  <si>
    <t>Pay TV investigation</t>
  </si>
  <si>
    <t>Ongoing at IFETEL</t>
  </si>
  <si>
    <t>There intensive competition. always +1 alternative competition</t>
  </si>
  <si>
    <t>Ps290m when compared to Q4 to do with impairment charge on publishing in Argentina</t>
  </si>
  <si>
    <t>Capex light, have learned their lesson</t>
  </si>
  <si>
    <t>10m subs, makes sense to offer mobile. right partner is key</t>
  </si>
  <si>
    <t>Follow up questions</t>
  </si>
  <si>
    <t>D&amp;A high?</t>
  </si>
  <si>
    <t>Subs numbers at other cable cos</t>
  </si>
  <si>
    <t>When might close Grupo Hevi?</t>
  </si>
  <si>
    <t>Any more to say on cellular?</t>
  </si>
  <si>
    <t>Capex spend on cable</t>
  </si>
  <si>
    <t>thoughts on MEGA</t>
  </si>
  <si>
    <t>Cablevision Red</t>
  </si>
  <si>
    <t>Capex at SKY - how much satellite?</t>
  </si>
  <si>
    <t>General thoughts on SKY growth</t>
  </si>
  <si>
    <t>Working capital very negative in 2014?</t>
  </si>
  <si>
    <t>or, how much did FX impact net debt from 2013 YE</t>
  </si>
  <si>
    <t>Univision outlook</t>
  </si>
  <si>
    <t>Plus 600 MHz spectrum value</t>
  </si>
  <si>
    <t>acquired another cable company</t>
  </si>
  <si>
    <t>Q4 decent run rate therefore</t>
  </si>
  <si>
    <t>not disclosed going forward</t>
  </si>
  <si>
    <t xml:space="preserve"> Jan 1</t>
  </si>
  <si>
    <t>checking on net debt</t>
  </si>
  <si>
    <t>Guidance made sense when TV was an Ad company</t>
  </si>
  <si>
    <t>Variability not very significant</t>
  </si>
  <si>
    <t>Up front used to be 80% and is now nearer 70%</t>
  </si>
  <si>
    <t>Slightly burnt by what happened in 2014</t>
  </si>
  <si>
    <t>Weakness in Ad market is not new competition, Netflix, Ad budgets moving on-line</t>
  </si>
  <si>
    <t>Look at Ad on a 12 month basis</t>
  </si>
  <si>
    <t>Netflix is high-end. Pay TV is $11, don't need data/credit. People pay in banks etc.</t>
  </si>
  <si>
    <t>Latam subs are 5m. One quarter is in Mexico perhaps</t>
  </si>
  <si>
    <t>add on to pay TV</t>
  </si>
  <si>
    <t>Netflix has no price advantage</t>
  </si>
  <si>
    <t>Capex - group level, same amount as before</t>
  </si>
  <si>
    <t>plus some more due to cable</t>
  </si>
  <si>
    <t>$100m satellite</t>
  </si>
  <si>
    <t>$350m in total from 2013 to 2016. $100m in 2014</t>
  </si>
  <si>
    <t>in better macro, SKY will do much better. Due to sheer size of customer base, and very low price of TV offering.</t>
  </si>
  <si>
    <t xml:space="preserve">price for low-end offering is the same as 5 years ago. </t>
  </si>
  <si>
    <t>more cyclical than cable business</t>
  </si>
  <si>
    <t>low-end offering subs 4.5 subs. Pre-pay, recharge 75% of the time</t>
  </si>
  <si>
    <t>royalties</t>
  </si>
  <si>
    <t>Ad revs side (bulk of TV) they have a tough comp from World Cup. Retrans - CFO insisted could x2 by end of decade, or double digit growth</t>
  </si>
  <si>
    <t>no resets in 2015</t>
  </si>
  <si>
    <t>royalties at 5%</t>
  </si>
  <si>
    <t>2015 EBITDA could be slightly depressed</t>
  </si>
  <si>
    <t>Univision had no retrans when PE bought them. Didn't believe in charging cable cos</t>
  </si>
  <si>
    <t>signed 3, 5, 10 year deals</t>
  </si>
  <si>
    <t>some of the prices have been renegotiated</t>
  </si>
  <si>
    <t>segment leader so should trade at a premium</t>
  </si>
  <si>
    <t>40% are retrans (20% or so today)</t>
  </si>
  <si>
    <t>$600-700m retrans for 2014</t>
  </si>
  <si>
    <t>CFO - personal issues, meltdown</t>
  </si>
  <si>
    <t>got a big payout at time of PE buy-in. and good contract as CFO</t>
  </si>
  <si>
    <t>2023, 5.125%</t>
  </si>
  <si>
    <t>2025, 5.125%</t>
  </si>
  <si>
    <t xml:space="preserve"> - of which retrans</t>
  </si>
  <si>
    <t xml:space="preserve"> - of which Ad</t>
  </si>
  <si>
    <t>Quarterlies</t>
  </si>
  <si>
    <t>Annual</t>
  </si>
  <si>
    <t>stake</t>
  </si>
  <si>
    <t>Total equity</t>
  </si>
  <si>
    <t>Debt, 15e</t>
  </si>
  <si>
    <t>Implied 15e EBITDA x</t>
  </si>
  <si>
    <t>Tiger/Goel in-price</t>
  </si>
  <si>
    <t>Q1 15</t>
  </si>
  <si>
    <t>John Malone link with 3 new board members</t>
  </si>
  <si>
    <t>Pay TV growth in the quarter</t>
  </si>
  <si>
    <t>Pay TV regulation</t>
  </si>
  <si>
    <t xml:space="preserve">SKY will suffer in 2015 from not having the World Cup, so Q2 and Q3 </t>
  </si>
  <si>
    <t>have replied to IFETEL that does not have SMP</t>
  </si>
  <si>
    <t>expect to be completed in the next month</t>
  </si>
  <si>
    <t>Good Ad spend</t>
  </si>
  <si>
    <t>will remain cautious due to macro</t>
  </si>
  <si>
    <t>Launched Izzy in three new cities</t>
  </si>
  <si>
    <t>All in Cablemas</t>
  </si>
  <si>
    <t>Is going well</t>
  </si>
  <si>
    <t>Grupo Carso and AT&amp;T using Televisa's Ad network</t>
  </si>
  <si>
    <t>PCTV use</t>
  </si>
  <si>
    <t>underlying</t>
  </si>
  <si>
    <t>Post Q1 15</t>
  </si>
  <si>
    <t>Carso Globo and AT&amp;T to use Televisa</t>
  </si>
  <si>
    <t>Has this started yet, for either company. What implications?</t>
  </si>
  <si>
    <t>Associate loss of MXN-300m? To continue?</t>
  </si>
  <si>
    <t>needs substantial market power</t>
  </si>
  <si>
    <t>"Dominance"</t>
  </si>
  <si>
    <t>ability to displace competition and set prices</t>
  </si>
  <si>
    <t>Dish is in every household</t>
  </si>
  <si>
    <t>not ruled dominant</t>
  </si>
  <si>
    <t>Chat with Carlos, May-15</t>
  </si>
  <si>
    <t>Q2 15</t>
  </si>
  <si>
    <t>Advertising has a tough comp</t>
  </si>
  <si>
    <t>Elections during Q2..can't sell to a government entity</t>
  </si>
  <si>
    <t>state, whole Congress mid-term</t>
  </si>
  <si>
    <t>60 days where can't sell, up to 7 June</t>
  </si>
  <si>
    <t>all fine, grow in-line with pay TV pen</t>
  </si>
  <si>
    <t>Licensing and syndication</t>
  </si>
  <si>
    <t>difficult World Cup</t>
  </si>
  <si>
    <t>no resets also</t>
  </si>
  <si>
    <t>nothing to mention, similar to Q3</t>
  </si>
  <si>
    <t>Izzy being rolled out slowly</t>
  </si>
  <si>
    <t>8 markets</t>
  </si>
  <si>
    <t>Everyone with Cablevision can access</t>
  </si>
  <si>
    <t xml:space="preserve">July pay TV </t>
  </si>
  <si>
    <t>middle of July</t>
  </si>
  <si>
    <t>Can extend to September</t>
  </si>
  <si>
    <t>Univision PLA</t>
  </si>
  <si>
    <t>5 year extension to PLA. Helps in their IPO. Board members for Television</t>
  </si>
  <si>
    <t>More voting rights</t>
  </si>
  <si>
    <t>10% equity, 22% vote</t>
  </si>
  <si>
    <t>8% has been diluted over time. Shares to management, plus dilution when Goel in</t>
  </si>
  <si>
    <t>fully diluted of 38%. Down to 36.2%</t>
  </si>
  <si>
    <t>Convert of the 30%...26% in warrants and 4% in equity</t>
  </si>
  <si>
    <t>TV wanted a higher share of equity</t>
  </si>
  <si>
    <t>Dentures into warrants</t>
  </si>
  <si>
    <t>rating agencies previously reflected the convert rather than the debt</t>
  </si>
  <si>
    <t>Changes to numbers (post Q2 15)</t>
  </si>
  <si>
    <t>outside top 10</t>
  </si>
  <si>
    <t xml:space="preserve">Univision share </t>
  </si>
  <si>
    <t>Azteca America, Estrella TV, and MundoFox</t>
  </si>
  <si>
    <t>Corporate</t>
  </si>
  <si>
    <t>Chat with Carlos, Sept-15</t>
  </si>
  <si>
    <t>Pricing</t>
  </si>
  <si>
    <t>what's happened, any traction</t>
  </si>
  <si>
    <t>Ad market - remain as challenging. 8.8% y/y down in H1, so same again in H2</t>
  </si>
  <si>
    <t>H2 challenges different</t>
  </si>
  <si>
    <t>H1</t>
  </si>
  <si>
    <t>projects moving from Q3 to Q2</t>
  </si>
  <si>
    <t>starting to raise prices in scatter market</t>
  </si>
  <si>
    <t>happy to lose customers</t>
  </si>
  <si>
    <t>Common throughout the year</t>
  </si>
  <si>
    <t>11.5% down</t>
  </si>
  <si>
    <t>Weak upfront</t>
  </si>
  <si>
    <t>pricing</t>
  </si>
  <si>
    <t>80% of total spend in H1</t>
  </si>
  <si>
    <t xml:space="preserve">H2 is 70% </t>
  </si>
  <si>
    <t>scatter prices rise to make up for it</t>
  </si>
  <si>
    <t>should have raised prices in upfront</t>
  </si>
  <si>
    <t>Previously lacked discipline and consistency</t>
  </si>
  <si>
    <t>commit a specific amount, have to pay/short-term promisory note</t>
  </si>
  <si>
    <t>70-80% allocated</t>
  </si>
  <si>
    <t>September through to Dec 31st</t>
  </si>
  <si>
    <t>Beginning of the year</t>
  </si>
  <si>
    <t>Price increases</t>
  </si>
  <si>
    <t>not saying how much</t>
  </si>
  <si>
    <t>20-25% premium in scatter, historically</t>
  </si>
  <si>
    <t>Televisa - "we will not be soft"</t>
  </si>
  <si>
    <t>US networks…pricing power.</t>
  </si>
  <si>
    <t>CPM</t>
  </si>
  <si>
    <t>mid single digit CPM growth for last few years</t>
  </si>
  <si>
    <t>mexico down</t>
  </si>
  <si>
    <t>total reported spots vs Content revs</t>
  </si>
  <si>
    <t>an argument</t>
  </si>
  <si>
    <t>including product placements/branded entertainment, pay TV, cheap vs expensive</t>
  </si>
  <si>
    <t>branded shows pay revs</t>
  </si>
  <si>
    <t>Head of sales left, replaced</t>
  </si>
  <si>
    <t>Alternatives for</t>
  </si>
  <si>
    <t>Ernst &amp; Young</t>
  </si>
  <si>
    <t>Consensus…only 4/5 have published</t>
  </si>
  <si>
    <t>130/140 investors have been told H2 will be rocky</t>
  </si>
  <si>
    <t>70% of FTA audience on Channel 2, 35 spots</t>
  </si>
  <si>
    <t>70% of pay TV audience, which has half the reach, 550 spots</t>
  </si>
  <si>
    <t>Time Warner</t>
  </si>
  <si>
    <t>Disney</t>
  </si>
  <si>
    <t>Discovery</t>
  </si>
  <si>
    <t>HBO</t>
  </si>
  <si>
    <t>Warner Bros</t>
  </si>
  <si>
    <t>Turner</t>
  </si>
  <si>
    <t>CNN, TNT, TBS, Adult Swim, Cartoon Network, Boomerang</t>
  </si>
  <si>
    <t>Game of Thrones</t>
  </si>
  <si>
    <t>Revs split</t>
  </si>
  <si>
    <t>ESPN (80%)</t>
  </si>
  <si>
    <t>Disney channels</t>
  </si>
  <si>
    <t>ABC Family</t>
  </si>
  <si>
    <t>ABC, broadcast TV</t>
  </si>
  <si>
    <t>Ad driven revs</t>
  </si>
  <si>
    <t>Parks, resorts</t>
  </si>
  <si>
    <t>disne</t>
  </si>
  <si>
    <t>Implied EV/12m T</t>
  </si>
  <si>
    <t>Q3 15</t>
  </si>
  <si>
    <t>Initial push back from clients</t>
  </si>
  <si>
    <t xml:space="preserve">Had been volume driven, this has changed. Pricing of spots </t>
  </si>
  <si>
    <t>one third that of chile, 20% of US</t>
  </si>
  <si>
    <t>turkey has a lower CPM</t>
  </si>
  <si>
    <t>ad as a % GDP</t>
  </si>
  <si>
    <t>Mexico</t>
  </si>
  <si>
    <t>Argentina</t>
  </si>
  <si>
    <t>end of month/end quarter promotions have been cut</t>
  </si>
  <si>
    <t>reaction varied</t>
  </si>
  <si>
    <t>some accepted for 2016 upfront</t>
  </si>
  <si>
    <t>some accepted but with lower volumes</t>
  </si>
  <si>
    <t>some not using</t>
  </si>
  <si>
    <t>not a short term move</t>
  </si>
  <si>
    <t>FTA viewers declining, mainly due to pay TV</t>
  </si>
  <si>
    <t>15 pay TV networks</t>
  </si>
  <si>
    <t>10 are amongst top 30 networks</t>
  </si>
  <si>
    <t>10% of content revs is affiliate fees</t>
  </si>
  <si>
    <t>Channel 2</t>
  </si>
  <si>
    <t>Difficult comparison, given 2014 prime time (telenovelas). Certain shows have disappointed</t>
  </si>
  <si>
    <t>In house content</t>
  </si>
  <si>
    <t>high share of broadcast revenue..basis for much of the exported content</t>
  </si>
  <si>
    <t>43m homes, 31m are outside of Mexico</t>
  </si>
  <si>
    <t>AMX expect to receive a pay TV licence in the near future</t>
  </si>
  <si>
    <t>Affiliate fees. Trend has been to go up historically in the US, but this is now falling in the US</t>
  </si>
  <si>
    <t>Telmex, 1991 privatisation, prohibited since then</t>
  </si>
  <si>
    <t>new concession, or change, if in compliance for 18 months (current concession, unbundling, asymmetric regulations)</t>
  </si>
  <si>
    <t>only after this will AMX be able to apply for a licence</t>
  </si>
  <si>
    <t>been competing against a TV service in reality through Dish</t>
  </si>
  <si>
    <t>don't expect any time soon</t>
  </si>
  <si>
    <t>has been going up, due to pay TV increase. 53% pen, can get to 70% pen</t>
  </si>
  <si>
    <t>Q3 15 call</t>
  </si>
  <si>
    <t>price increases baked in? No</t>
  </si>
  <si>
    <t>$ denominated rates, so growth comes from volumes</t>
  </si>
  <si>
    <t>price increases?</t>
  </si>
  <si>
    <t>standardising packages</t>
  </si>
  <si>
    <t>where launching Izzy, getting rid of legacy packages. May have led to some price increases. Not across the board</t>
  </si>
  <si>
    <t>Costs</t>
  </si>
  <si>
    <t>laid of 700 people in 2014</t>
  </si>
  <si>
    <t>looking to get rid of 600 people</t>
  </si>
  <si>
    <t>margins are extraordinary</t>
  </si>
  <si>
    <t>mid-40%s sustainable</t>
  </si>
  <si>
    <t>low 40%s for some time should be sustainable</t>
  </si>
  <si>
    <t>Ad price increase</t>
  </si>
  <si>
    <t>vary from customer to customer</t>
  </si>
  <si>
    <t>may take 2 years to be fully applied</t>
  </si>
  <si>
    <t>most of capex is $ denominated</t>
  </si>
  <si>
    <t>2015 - capex higher than 2014, mainly due to 2 new cable cos</t>
  </si>
  <si>
    <t>upgrading cable plant</t>
  </si>
  <si>
    <t>what is leading growth…TV or BB?</t>
  </si>
  <si>
    <t>How is rethinking on digital, distribution fragmentation etc</t>
  </si>
  <si>
    <t>mainly coming from Izzy. November launch</t>
  </si>
  <si>
    <t>unlimited voice/BB</t>
  </si>
  <si>
    <t>incs 10 MB of speeds</t>
  </si>
  <si>
    <t>rolled out to 13 cities, will continue to roll out</t>
  </si>
  <si>
    <t>video also growing single digit, not as strong</t>
  </si>
  <si>
    <t>demand for sports, telenovelas</t>
  </si>
  <si>
    <t>social media there are opportunities</t>
  </si>
  <si>
    <t>hired for digital development</t>
  </si>
  <si>
    <t>Other expenses?</t>
  </si>
  <si>
    <t>severance to do with publishing.</t>
  </si>
  <si>
    <t>cable also, where operating as a single unit</t>
  </si>
  <si>
    <t>not sure what they're doing</t>
  </si>
  <si>
    <t>Clients</t>
  </si>
  <si>
    <t>31 of top 40 clients selling food, beverage, toiletries</t>
  </si>
  <si>
    <t>one of top 10 clients seeing revs down 35%. Genoma</t>
  </si>
  <si>
    <t>No comment on IPO timing</t>
  </si>
  <si>
    <t>Mobile plans</t>
  </si>
  <si>
    <t>don't want to distract cable with mobile at this stage</t>
  </si>
  <si>
    <t>maybe an MVNO</t>
  </si>
  <si>
    <t>definitely launching a disruptive package at some point</t>
  </si>
  <si>
    <t>not quad play at this stage</t>
  </si>
  <si>
    <t>Follow up call after Q3</t>
  </si>
  <si>
    <t>How keeping margins up in Content given revenue pressure?</t>
  </si>
  <si>
    <t>Corporate expenses and "Other" expenses trending high…?</t>
  </si>
  <si>
    <t>upper tier prices have been increased. Lower has been stable for years</t>
  </si>
  <si>
    <t>Thoughts on capex</t>
  </si>
  <si>
    <t>check the mega poison pill…at least highest price in last 3/6 months?</t>
  </si>
  <si>
    <t>why net debt going up over 2015?</t>
  </si>
  <si>
    <t>Megacable acquisition</t>
  </si>
  <si>
    <t>OpEX</t>
  </si>
  <si>
    <t>Bid price</t>
  </si>
  <si>
    <t>Stock</t>
  </si>
  <si>
    <t>Assumed rate</t>
  </si>
  <si>
    <t>Incremental interest</t>
  </si>
  <si>
    <t>New debt</t>
  </si>
  <si>
    <t>Televisa cable opex</t>
  </si>
  <si>
    <t>Televisa cable capex</t>
  </si>
  <si>
    <t>% saving</t>
  </si>
  <si>
    <t>NPV of synergies, 100%</t>
  </si>
  <si>
    <t>Value creation, MXN</t>
  </si>
  <si>
    <t>Value creation, $</t>
  </si>
  <si>
    <t>After tax saving</t>
  </si>
  <si>
    <t xml:space="preserve"> - Cash, US$m</t>
  </si>
  <si>
    <t>Debt raising</t>
  </si>
  <si>
    <t>30 year raising, preferred.</t>
  </si>
  <si>
    <t>10 year to keep the market happy</t>
  </si>
  <si>
    <t>two thirds is USD denominated</t>
  </si>
  <si>
    <t>nothing for 2016…should assume it will remain high</t>
  </si>
  <si>
    <t>2015 will be &gt;2014 levels.</t>
  </si>
  <si>
    <t>window of opp. (reg, AMX wise, market wise)</t>
  </si>
  <si>
    <t>65% reg. not dominant</t>
  </si>
  <si>
    <t>very aggressive</t>
  </si>
  <si>
    <t>MEGA</t>
  </si>
  <si>
    <t>not a tranaction they're working on</t>
  </si>
  <si>
    <t>poison pill. Purchase price 30% premium on the highest price in last 365 days</t>
  </si>
  <si>
    <t>Content pricing</t>
  </si>
  <si>
    <t>5-35%</t>
  </si>
  <si>
    <t>Don't take this too literally</t>
  </si>
  <si>
    <t>some subsidiaries said yes</t>
  </si>
  <si>
    <t>upfront for 2016</t>
  </si>
  <si>
    <t>q4 scatter. Need to keep prices high</t>
  </si>
  <si>
    <t>100 customers</t>
  </si>
  <si>
    <t xml:space="preserve">75 agree to price increase. Very successful. </t>
  </si>
  <si>
    <t>need to accrue for LTC plan</t>
  </si>
  <si>
    <t>more cable, more contributing to personnel</t>
  </si>
  <si>
    <t>more senior management</t>
  </si>
  <si>
    <t>Pre Q4 15</t>
  </si>
  <si>
    <t>nothing on the upfronts until Q4 results</t>
  </si>
  <si>
    <t>long term transformation of the business</t>
  </si>
  <si>
    <t>expecting customers to pull back on volume in 2016</t>
  </si>
  <si>
    <t>2017 marginal price increases…so 2017 could be a year of growth</t>
  </si>
  <si>
    <t>zero growth….would be a successful first step</t>
  </si>
  <si>
    <t>on the cost side</t>
  </si>
  <si>
    <t>need to invest more in Content…more than in the past</t>
  </si>
  <si>
    <t>more capital to work in improving Content</t>
  </si>
  <si>
    <t>shorter novelas…150-200 episodes</t>
  </si>
  <si>
    <t>80 episodes..faster moving</t>
  </si>
  <si>
    <t>2 reality shows at the weekend, instead of 3</t>
  </si>
  <si>
    <t>less serialised channels on 2. one novella less on prime time…</t>
  </si>
  <si>
    <t>to reduce the ad load during Channel 2 prime time</t>
  </si>
  <si>
    <t>elasticity is high</t>
  </si>
  <si>
    <t>were not previously putting a value on prime time</t>
  </si>
  <si>
    <t>Channel 5 - importing less Content, more local</t>
  </si>
  <si>
    <t>increasing serialised shows on Channel 5</t>
  </si>
  <si>
    <t>need to fix rating weakness at Televisa</t>
  </si>
  <si>
    <t>need to play the cards well</t>
  </si>
  <si>
    <t>put as much capital today into the network</t>
  </si>
  <si>
    <t>land grab</t>
  </si>
  <si>
    <t>likely will be higher in 2016, in $ terms</t>
  </si>
  <si>
    <t>Valuation gap between themselves and US media</t>
  </si>
  <si>
    <t>opened significantly in Q3</t>
  </si>
  <si>
    <t>MEGA SHOUT</t>
  </si>
  <si>
    <t>MEGA, MXN m</t>
  </si>
  <si>
    <t>Synergies, MXN m</t>
  </si>
  <si>
    <t>per TV share, $</t>
  </si>
  <si>
    <t>Q4 15</t>
  </si>
  <si>
    <t>Acquiring content, $100m</t>
  </si>
  <si>
    <t>yes, stop selling to Netflix</t>
  </si>
  <si>
    <t>so, less revenues?</t>
  </si>
  <si>
    <t>Margin pressure on content</t>
  </si>
  <si>
    <t>Prices were up, vols down</t>
  </si>
  <si>
    <t>Upfronts</t>
  </si>
  <si>
    <t>Content costs going up, $100m</t>
  </si>
  <si>
    <t>Top line weakness</t>
  </si>
  <si>
    <t>most customers have signed up</t>
  </si>
  <si>
    <t>vs 2014 in the upfront</t>
  </si>
  <si>
    <t>1.6% up deposits/advances (incs from SKY and cable)</t>
  </si>
  <si>
    <t>Channel 2 was where it was focused</t>
  </si>
  <si>
    <t>OTT platform being re-branded and re-launched</t>
  </si>
  <si>
    <t>FY 2016 - expect growth to slow relative to current</t>
  </si>
  <si>
    <t>high existing base</t>
  </si>
  <si>
    <t>Telco advertising is increasing</t>
  </si>
  <si>
    <t>prices up since February</t>
  </si>
  <si>
    <t>looking to push up cable spend</t>
  </si>
  <si>
    <t>No plans on mobile</t>
  </si>
  <si>
    <t>how compare to Claro Video</t>
  </si>
  <si>
    <t>details here</t>
  </si>
  <si>
    <t>existing content plus developing new content</t>
  </si>
  <si>
    <t>MXN109/month for 2 devices</t>
  </si>
  <si>
    <t>discounts for existing pay TV subs</t>
  </si>
  <si>
    <t>foreign/Spanish mix?</t>
  </si>
  <si>
    <t>70% Spanish, 30% English</t>
  </si>
  <si>
    <t>also getting non-Televisa Spanish content</t>
  </si>
  <si>
    <t>30% targeted to kids</t>
  </si>
  <si>
    <t>13,000 titles, 20k by YE</t>
  </si>
  <si>
    <t>Cash on balance sheet, flexibility</t>
  </si>
  <si>
    <t>Q4 scatter?</t>
  </si>
  <si>
    <t>clients are absorbing new strategy at Televisa</t>
  </si>
  <si>
    <t>Capex same in $ terms</t>
  </si>
  <si>
    <t>Upfront explanation</t>
  </si>
  <si>
    <t>Questions following Q4 15</t>
  </si>
  <si>
    <t>check SKY capex - includes satellite in accrued number?</t>
  </si>
  <si>
    <t>Timing of extra $100m</t>
  </si>
  <si>
    <t>all incremental?</t>
  </si>
  <si>
    <t>what's a reasonable content margin? (US comp??)</t>
  </si>
  <si>
    <t>check - Q2 16 should be a very strong universe quarter (y/y) given the World Cup?</t>
  </si>
  <si>
    <t>will generate positive EFCF in 2016 (not on my numbers)</t>
  </si>
  <si>
    <t>stop supply Content to Netflix</t>
  </si>
  <si>
    <t>we should see that line item fall</t>
  </si>
  <si>
    <t>SKY margins down in the 4th quarter…expect in 2016?</t>
  </si>
  <si>
    <t>check tax for 2016</t>
  </si>
  <si>
    <t>Q3 the only quarter with one off tax impact?</t>
  </si>
  <si>
    <t>on foreign content or enhancing Televisa content?</t>
  </si>
  <si>
    <t>TVI deal</t>
  </si>
  <si>
    <t>debt</t>
  </si>
  <si>
    <t>net debt to ebitda</t>
  </si>
  <si>
    <t>2015 ebitda (NSR est)</t>
  </si>
  <si>
    <t>Equity for 50%</t>
  </si>
  <si>
    <t>Additional liabilities</t>
  </si>
  <si>
    <t>EBITDA MXN</t>
  </si>
  <si>
    <t>EV $</t>
  </si>
  <si>
    <t>debt, $</t>
  </si>
  <si>
    <t>equity</t>
  </si>
  <si>
    <t>mins</t>
  </si>
  <si>
    <t>Minority calculation for cable</t>
  </si>
  <si>
    <t>leverage, x</t>
  </si>
  <si>
    <t>Existing net debt (est)</t>
  </si>
  <si>
    <t>upfronts</t>
  </si>
  <si>
    <t>flat y/y</t>
  </si>
  <si>
    <t>tv is the key</t>
  </si>
  <si>
    <t>price increase "significant"</t>
  </si>
  <si>
    <t>sacrifice volume</t>
  </si>
  <si>
    <t>complement in the scatter</t>
  </si>
  <si>
    <t>so far seems strong, but only 2 months in</t>
  </si>
  <si>
    <t>flat for 2016 is credible. Hopefully</t>
  </si>
  <si>
    <t>2012/13/14</t>
  </si>
  <si>
    <t>q1, q2, q3</t>
  </si>
  <si>
    <t>q4</t>
  </si>
  <si>
    <t>remaining 35-40%</t>
  </si>
  <si>
    <t>15-20% of the total each</t>
  </si>
  <si>
    <t>80-85% upfronts</t>
  </si>
  <si>
    <t>from q1</t>
  </si>
  <si>
    <t>scatter</t>
  </si>
  <si>
    <t>split</t>
  </si>
  <si>
    <t>$100m</t>
  </si>
  <si>
    <t>absolutely extra</t>
  </si>
  <si>
    <t>4 components</t>
  </si>
  <si>
    <t>some buying from 3rd parties</t>
  </si>
  <si>
    <t>one ott platform initially</t>
  </si>
  <si>
    <t>existing content</t>
  </si>
  <si>
    <t>Netflix?</t>
  </si>
  <si>
    <t>developing excusively on Blim initially</t>
  </si>
  <si>
    <t>expires in H2</t>
  </si>
  <si>
    <t>Blim as the local provider</t>
  </si>
  <si>
    <t>$20m for netflix</t>
  </si>
  <si>
    <t>why ott now?</t>
  </si>
  <si>
    <t>investors asking what ott strategy televisa has</t>
  </si>
  <si>
    <t>ott usage in mexico</t>
  </si>
  <si>
    <t xml:space="preserve">netflix </t>
  </si>
  <si>
    <t>2-3m perhaps</t>
  </si>
  <si>
    <t>claro video</t>
  </si>
  <si>
    <t>10m</t>
  </si>
  <si>
    <t>given away free</t>
  </si>
  <si>
    <t>150,000 users televisa believes</t>
  </si>
  <si>
    <t>user interface, ott</t>
  </si>
  <si>
    <t>has potential to come down</t>
  </si>
  <si>
    <t>user interface, could be a couple of years</t>
  </si>
  <si>
    <t>cable capex</t>
  </si>
  <si>
    <t>may come down in 2017</t>
  </si>
  <si>
    <t>same in 2016</t>
  </si>
  <si>
    <t>us cable companies</t>
  </si>
  <si>
    <t>one third rebuilding networks</t>
  </si>
  <si>
    <t>start the year with a lot of cash</t>
  </si>
  <si>
    <t>ye bs reflects upfronts</t>
  </si>
  <si>
    <t>3 years of capex</t>
  </si>
  <si>
    <t>Pre Q1 16</t>
  </si>
  <si>
    <t>network/synd</t>
  </si>
  <si>
    <t>5% up univision</t>
  </si>
  <si>
    <t>$175m for 16, $165m for 17</t>
  </si>
  <si>
    <t>cost of content</t>
  </si>
  <si>
    <t>+$100m</t>
  </si>
  <si>
    <t>(we're at $120m currently)</t>
  </si>
  <si>
    <t>royalties of $500m in 2018</t>
  </si>
  <si>
    <t>when they do the IPO, will give guidance on growth for mid-term</t>
  </si>
  <si>
    <t>window in april, or in H2</t>
  </si>
  <si>
    <t>negotiation with AT&amp;T</t>
  </si>
  <si>
    <t>re-transmission</t>
  </si>
  <si>
    <t>ad</t>
  </si>
  <si>
    <t>deal up for renewal</t>
  </si>
  <si>
    <t>direct tv, and u-verse (fibre)</t>
  </si>
  <si>
    <t>date?</t>
  </si>
  <si>
    <t xml:space="preserve"> - 1 Jan 18</t>
  </si>
  <si>
    <t xml:space="preserve"> - 1 July 18</t>
  </si>
  <si>
    <t>assuming $80m in 2017, $60m in 2018 and going forward</t>
  </si>
  <si>
    <t>margins back up to 41% by 2018</t>
  </si>
  <si>
    <t>EBITDA 2016</t>
  </si>
  <si>
    <t>EBITDA 2017</t>
  </si>
  <si>
    <t>EBITDA 2018</t>
  </si>
  <si>
    <t>OpFCF 2016</t>
  </si>
  <si>
    <t>OpFCF 2017</t>
  </si>
  <si>
    <t>OpFCF 2018</t>
  </si>
  <si>
    <t>Minorities</t>
  </si>
  <si>
    <t>Q1 16</t>
  </si>
  <si>
    <t>OpEx, USD</t>
  </si>
  <si>
    <t>increase</t>
  </si>
  <si>
    <t>Easter affect on TV in the first quarter</t>
  </si>
  <si>
    <t>how much has been spent in Q1…flow through the year</t>
  </si>
  <si>
    <t>what was the cable dispostion in Q1 in other expenses</t>
  </si>
  <si>
    <t>split by speeds</t>
  </si>
  <si>
    <t>9% pre-pay increase on DTH</t>
  </si>
  <si>
    <t>MXN185 per month still cheap</t>
  </si>
  <si>
    <t>RGUs slowdown</t>
  </si>
  <si>
    <t>challenge in operations</t>
  </si>
  <si>
    <t>transitioned from old to new , for izzi</t>
  </si>
  <si>
    <t>temporary disconnects</t>
  </si>
  <si>
    <t>other markets remained strong</t>
  </si>
  <si>
    <t>Easter affect also impacted cable</t>
  </si>
  <si>
    <t>harder to collect revenue</t>
  </si>
  <si>
    <t>Difficult in other operations</t>
  </si>
  <si>
    <t>50% acquisition of TVI</t>
  </si>
  <si>
    <t>Divi of 35c per CPO</t>
  </si>
  <si>
    <t>scatter going forward</t>
  </si>
  <si>
    <t>expenses in other from cable</t>
  </si>
  <si>
    <t>400k due to analogue</t>
  </si>
  <si>
    <t>$100m split</t>
  </si>
  <si>
    <t>25% was felt in Q1</t>
  </si>
  <si>
    <t>look at net adds prior to switch off for more normal</t>
  </si>
  <si>
    <t>Blim</t>
  </si>
  <si>
    <t>content to other providers</t>
  </si>
  <si>
    <t>Cable upgrades</t>
  </si>
  <si>
    <t>no regulation</t>
  </si>
  <si>
    <t>ott market today</t>
  </si>
  <si>
    <t>Capex in cable</t>
  </si>
  <si>
    <t>how much is acquisition costs</t>
  </si>
  <si>
    <t>synergies from other cable operations being consolidated?</t>
  </si>
  <si>
    <t>yes, advantages coming through</t>
  </si>
  <si>
    <t>40% of capex is acquisition related</t>
  </si>
  <si>
    <t>multiple paid…?</t>
  </si>
  <si>
    <t>growth rates…</t>
  </si>
  <si>
    <t xml:space="preserve">&gt;100k km </t>
  </si>
  <si>
    <t>25k are fibre</t>
  </si>
  <si>
    <t>30k from bestel, with GTAC</t>
  </si>
  <si>
    <t>&gt;95% bidirectional</t>
  </si>
  <si>
    <t>&gt;50% with 1GB</t>
  </si>
  <si>
    <t xml:space="preserve">cablevision, </t>
  </si>
  <si>
    <t>opportunity for SKY. National brand and presence</t>
  </si>
  <si>
    <t>makes sense if regulations are right</t>
  </si>
  <si>
    <t>cost efficiency plans</t>
  </si>
  <si>
    <t>launched at the end of Feb</t>
  </si>
  <si>
    <t>to Blim first, but then other platform also if right to do so</t>
  </si>
  <si>
    <t>2 months</t>
  </si>
  <si>
    <t>subs so far is in-line, plans on track, brand awareness good</t>
  </si>
  <si>
    <t>Ps2bn this year</t>
  </si>
  <si>
    <t>3 equal over the next years, peso denominated</t>
  </si>
  <si>
    <t>upfronts down 6% vs Q4 15</t>
  </si>
  <si>
    <t>Q2 could be a good quarter</t>
  </si>
  <si>
    <t>Q1 ad spend was 18%. 2009 was 18.7%, lowest was 16.9%</t>
  </si>
  <si>
    <t>Ad revenue was 20.1% of spend, rest were very weak</t>
  </si>
  <si>
    <t xml:space="preserve">If go back to previous, then </t>
  </si>
  <si>
    <t>Success is poss, would be low single digits</t>
  </si>
  <si>
    <t>Street: -0.3% for Ad spend</t>
  </si>
  <si>
    <t>-3% at the low end</t>
  </si>
  <si>
    <t>+3% at UBS</t>
  </si>
  <si>
    <t>Less than $25m of costs in Q1</t>
  </si>
  <si>
    <t>2019/20 capex at maintenance levels</t>
  </si>
  <si>
    <t>$300m until subs slow</t>
  </si>
  <si>
    <t>to $200m</t>
  </si>
  <si>
    <t>20-25% by 2019</t>
  </si>
  <si>
    <t>fall in 2017, 2018, 2019</t>
  </si>
  <si>
    <t>different time table</t>
  </si>
  <si>
    <t>TV to stay in cable long-term</t>
  </si>
  <si>
    <t>capex per home passed, or RGUs</t>
  </si>
  <si>
    <t>50% of the US cable co for years 2002-2006</t>
  </si>
  <si>
    <t>TV cable</t>
  </si>
  <si>
    <t>programming agreements with US content providers can't be changed overnight</t>
  </si>
  <si>
    <t>2m decoders….why change overnight</t>
  </si>
  <si>
    <t>in terms of new deals</t>
  </si>
  <si>
    <t>margins can be pushed up to 42-44% is possible without price increases</t>
  </si>
  <si>
    <t>price increases can be layered on top</t>
  </si>
  <si>
    <t>Highest rated show on Blim is a Televisa sitcom, called 40-20</t>
  </si>
  <si>
    <t>exclusive to Blim</t>
  </si>
  <si>
    <t>will end up on a pay TV channel</t>
  </si>
  <si>
    <t>Net debt/EBITDA</t>
  </si>
  <si>
    <t>Q2 16</t>
  </si>
  <si>
    <t>Q2 16 conf call</t>
  </si>
  <si>
    <t>SKY - margin from US$ denominated sports content costs</t>
  </si>
  <si>
    <t>upgrading infrastructure, will lead to some disconnects</t>
  </si>
  <si>
    <t>June better than May better than April</t>
  </si>
  <si>
    <t>pen is just 58%</t>
  </si>
  <si>
    <t>On cable 27% have voice, 38% have data</t>
  </si>
  <si>
    <t>Publishing in South and Central America weak</t>
  </si>
  <si>
    <t>FY 2017 the same for capex as in 2016</t>
  </si>
  <si>
    <t>Investigation</t>
  </si>
  <si>
    <t>no investigation in Mexico, or in the US</t>
  </si>
  <si>
    <t>cable margins…especially this Q due to cost reduction plans in cable</t>
  </si>
  <si>
    <t>half of "Other" is severrance payments</t>
  </si>
  <si>
    <t>changes to terms necessary to make it more competitive</t>
  </si>
  <si>
    <t>working with authorities and AMX</t>
  </si>
  <si>
    <t>there has been an offering from AMX. Last year, terms were pubished by telmex. Tv has given comments on how this could be viable</t>
  </si>
  <si>
    <t>Pricing analyis</t>
  </si>
  <si>
    <t>VeTV Plus</t>
  </si>
  <si>
    <t>Fox+</t>
  </si>
  <si>
    <t>HBO Max</t>
  </si>
  <si>
    <t>Ex-Cablevision</t>
  </si>
  <si>
    <t>margin</t>
  </si>
  <si>
    <t>Cablevision revenue per RGU</t>
  </si>
  <si>
    <t>Network upgrade</t>
  </si>
  <si>
    <t>Maintenance/other</t>
  </si>
  <si>
    <t>Growth/CPE</t>
  </si>
  <si>
    <t>SKY growth</t>
  </si>
  <si>
    <t>SKY maintenance</t>
  </si>
  <si>
    <t>Cable network upgrade</t>
  </si>
  <si>
    <t>Cable CPE/growth</t>
  </si>
  <si>
    <t>Cable maintenance</t>
  </si>
  <si>
    <t>Cable EBITDA</t>
  </si>
  <si>
    <t xml:space="preserve">New </t>
  </si>
  <si>
    <t>How many customers on VeTV?</t>
  </si>
  <si>
    <t>How do synergies get allocated as regards Cablevision…and why is this asset releasing  financials</t>
  </si>
  <si>
    <t>66% coverage for Izzi - guarantee speeds &gt;10 Mbps. What % need to get to?</t>
  </si>
  <si>
    <t>1000 headcount cut in cable..what % of total, when will benefits feed through</t>
  </si>
  <si>
    <t>MXN350m</t>
  </si>
  <si>
    <t>more headcount to come?</t>
  </si>
  <si>
    <t>Latest thinking on AMX offering TV?</t>
  </si>
  <si>
    <t>How much was pricing up on average (or pricing down)</t>
  </si>
  <si>
    <t>US$m, NEW</t>
  </si>
  <si>
    <t>Core service revs</t>
  </si>
  <si>
    <t>1st Oct 15</t>
  </si>
  <si>
    <t>TV bundles</t>
  </si>
  <si>
    <t>Before</t>
  </si>
  <si>
    <t>Increase of 14-40</t>
  </si>
  <si>
    <t>Average increase</t>
  </si>
  <si>
    <t>Acquistions</t>
  </si>
  <si>
    <t>100% Cablecom</t>
  </si>
  <si>
    <t xml:space="preserve">100% Cablevision Red </t>
  </si>
  <si>
    <t>Cablemas (100%)</t>
  </si>
  <si>
    <t>(1 Jan 2015)</t>
  </si>
  <si>
    <t>(Q3 2014)</t>
  </si>
  <si>
    <t>TVI (50%)</t>
  </si>
  <si>
    <t xml:space="preserve">Cablevision (50%) </t>
  </si>
  <si>
    <t>(6 March 2016)</t>
  </si>
  <si>
    <t>Original assets*</t>
  </si>
  <si>
    <t>Com Hem €</t>
  </si>
  <si>
    <t>NOS €</t>
  </si>
  <si>
    <t>LBTY-BEL (Telenet) €</t>
  </si>
  <si>
    <t>LBTY-GER (Unity Media) €</t>
  </si>
  <si>
    <t>LBTY-UK (Virgin Media) €</t>
  </si>
  <si>
    <t>LBTY-ZIGGO €</t>
  </si>
  <si>
    <t>Charter €</t>
  </si>
  <si>
    <t>Comcast €</t>
  </si>
  <si>
    <t>Cablevision €</t>
  </si>
  <si>
    <t>TWC €</t>
  </si>
  <si>
    <t>VTR</t>
  </si>
  <si>
    <t>Capex, %</t>
  </si>
  <si>
    <t>homes passed</t>
  </si>
  <si>
    <t>OpFCF as % sales (RHS)</t>
  </si>
  <si>
    <t>OpFCF (MXN m)</t>
  </si>
  <si>
    <t>One-off items</t>
  </si>
  <si>
    <t>Clean revs adj for one-offs (reported)</t>
  </si>
  <si>
    <t>EBITDA (rep)</t>
  </si>
  <si>
    <t>EBITDA growth</t>
  </si>
  <si>
    <t>% Gp EBITDA</t>
  </si>
  <si>
    <t>Per share, $</t>
  </si>
  <si>
    <t>Rev uplift, MXN</t>
  </si>
  <si>
    <t>Increase in 2017 volumes</t>
  </si>
  <si>
    <t>DTH (SkY)</t>
  </si>
  <si>
    <t>Millicom</t>
  </si>
  <si>
    <t>Mobile +  cable</t>
  </si>
  <si>
    <t>Parent</t>
  </si>
  <si>
    <t>Asset</t>
  </si>
  <si>
    <t>Country</t>
  </si>
  <si>
    <t xml:space="preserve">LatAm </t>
  </si>
  <si>
    <t>LiLAC</t>
  </si>
  <si>
    <t>Chile/PR</t>
  </si>
  <si>
    <t>Cable + mobile</t>
  </si>
  <si>
    <t>Caribbean</t>
  </si>
  <si>
    <t>Unique subs</t>
  </si>
  <si>
    <t>RGUs/sub*</t>
  </si>
  <si>
    <t>Q2 revs</t>
  </si>
  <si>
    <t>Rev/RGU</t>
  </si>
  <si>
    <t>Q2 EBITDA</t>
  </si>
  <si>
    <t>TV vs MEGA</t>
  </si>
  <si>
    <t>MEGA core</t>
  </si>
  <si>
    <t>Cable revenue growth</t>
  </si>
  <si>
    <t>PE</t>
  </si>
  <si>
    <t>ev</t>
  </si>
  <si>
    <t>Exit</t>
  </si>
  <si>
    <t>Mar 29, 2007</t>
  </si>
  <si>
    <t>Previously, TV owned 11.3% equity interest</t>
  </si>
  <si>
    <t>Cancelled when PE bought  the asset. TV's equity stake zero</t>
  </si>
  <si>
    <t>Univision history</t>
  </si>
  <si>
    <t>Dec 20, 2010</t>
  </si>
  <si>
    <t>Cash investment of $1.255bn in return for 5% equity and convert for 30%</t>
  </si>
  <si>
    <t>5% to 7.1% stake increase, $49.1m</t>
  </si>
  <si>
    <t>7.1% to 8.0% increase, $22.5m</t>
  </si>
  <si>
    <t xml:space="preserve">David Goel: </t>
  </si>
  <si>
    <t>$125m for 5%</t>
  </si>
  <si>
    <t>TV stake diluted down from 8.0% to 7.8%</t>
  </si>
  <si>
    <t>Excercised warrants, taking stake from 7.8% to 10.0%</t>
  </si>
  <si>
    <t>TV paid $135.1</t>
  </si>
  <si>
    <t>Total out</t>
  </si>
  <si>
    <t>PE stake</t>
  </si>
  <si>
    <t>In</t>
  </si>
  <si>
    <t>Out</t>
  </si>
  <si>
    <t xml:space="preserve">EV </t>
  </si>
  <si>
    <t>Value needed to PE to be in the money</t>
  </si>
  <si>
    <t>Multiple</t>
  </si>
  <si>
    <t>Cash flows</t>
  </si>
  <si>
    <t>Exits</t>
  </si>
  <si>
    <t>PE share of</t>
  </si>
  <si>
    <t>PE share</t>
  </si>
  <si>
    <t>FCF/acquisition</t>
  </si>
  <si>
    <t>In (2007), US$m</t>
  </si>
  <si>
    <t>2017 EBITDA</t>
  </si>
  <si>
    <t>RGU adds</t>
  </si>
  <si>
    <t>Buenos Aires-based consultancy and market research company Business Bureau (BB)</t>
  </si>
  <si>
    <t>ClaroVideo</t>
  </si>
  <si>
    <t>not all paying</t>
  </si>
  <si>
    <t>Pre Q3 16</t>
  </si>
  <si>
    <t>consensus at 0% or 1% growth for Q3 domestic Ad business</t>
  </si>
  <si>
    <t>q4 will be growthier quarter</t>
  </si>
  <si>
    <t>sell based on success of last year's show</t>
  </si>
  <si>
    <t>Nielsen ratings</t>
  </si>
  <si>
    <t>ratings of FTA are coming down. Not just selling ratings, selling scarcity</t>
  </si>
  <si>
    <t>Lamac.org</t>
  </si>
  <si>
    <t>latin american association of pay TV channels. Based in Miami for those looking to sell into Mexico</t>
  </si>
  <si>
    <t>different sample to nielsen</t>
  </si>
  <si>
    <t>don't pay for</t>
  </si>
  <si>
    <t>1m viewers on CBS</t>
  </si>
  <si>
    <t>100k leave</t>
  </si>
  <si>
    <t>fragments</t>
  </si>
  <si>
    <t>value in concentration is increasing over time</t>
  </si>
  <si>
    <t>viewers and ad budgets are not 1-1</t>
  </si>
  <si>
    <t>power ratios was not happening</t>
  </si>
  <si>
    <t>When volumes go down…advert numbers literally fall</t>
  </si>
  <si>
    <t>Networks</t>
  </si>
  <si>
    <t>revs from MEGA: MXN600-MXN1bn per year. MXN800m / 12 per month</t>
  </si>
  <si>
    <t>channels lost represent 18-20% of a typical pay TV household</t>
  </si>
  <si>
    <t>1 month of September</t>
  </si>
  <si>
    <t>licencing and syndication</t>
  </si>
  <si>
    <t>3 things:</t>
  </si>
  <si>
    <t>1/ media revs are pacing mid single digit negative in Q3</t>
  </si>
  <si>
    <t>2/ gave up netflix revs in Q3. $5m per Q</t>
  </si>
  <si>
    <t>domestic ad</t>
  </si>
  <si>
    <t>net adds in Q3 and Q4</t>
  </si>
  <si>
    <t>17% looks a little high. Without conversions from analogue to digital, low teens</t>
  </si>
  <si>
    <t>% increase</t>
  </si>
  <si>
    <t>Q3 16</t>
  </si>
  <si>
    <t>EBITDA after corp/other</t>
  </si>
  <si>
    <t>RGUs in cable trending slightly lower</t>
  </si>
  <si>
    <t>SKY ARPU stepped down in Q3</t>
  </si>
  <si>
    <t>Quantify one-offs in EBITDA "other expenses"</t>
  </si>
  <si>
    <t>Advertising down slightly in Q3, up in Q4?</t>
  </si>
  <si>
    <t>Comment on upfront discussions?</t>
  </si>
  <si>
    <t xml:space="preserve">Net debt stepped up </t>
  </si>
  <si>
    <t>MXN56bn to MXN74bn</t>
  </si>
  <si>
    <t>GDP trending down to 2% y/y</t>
  </si>
  <si>
    <t>Call</t>
  </si>
  <si>
    <t>Capex being impacted by peso weakness</t>
  </si>
  <si>
    <t>Headcount arriving to support media</t>
  </si>
  <si>
    <t>proctor and gamble</t>
  </si>
  <si>
    <t>media and ratings expert</t>
  </si>
  <si>
    <t>15 yrs at univision, 15 at telemundo</t>
  </si>
  <si>
    <t>20% of MEGA content</t>
  </si>
  <si>
    <t>Olympics carried by other channels</t>
  </si>
  <si>
    <t>3000 hours of TV over last 5 years</t>
  </si>
  <si>
    <t>Now, making content exclusive to Blim</t>
  </si>
  <si>
    <t>Oct 5th - Telemundo also not on Netflix but will now be on Bim</t>
  </si>
  <si>
    <t>How is the $100m of spending trending</t>
  </si>
  <si>
    <t>2% of consolidated revs (or EBITDA??)</t>
  </si>
  <si>
    <t>further potential to increase prices in 2017?</t>
  </si>
  <si>
    <t>cost reduction continues</t>
  </si>
  <si>
    <t>two thirds of systems upgraded - this is disrupting the pace of growth</t>
  </si>
  <si>
    <t>2017 - capex will come in lower than previously anticipated</t>
  </si>
  <si>
    <t>greater focus on ROI</t>
  </si>
  <si>
    <t>pace of networks upgrades will slow</t>
  </si>
  <si>
    <t>peso weakness - will explore increases in prices in 2017</t>
  </si>
  <si>
    <t>may impact on growth</t>
  </si>
  <si>
    <t>quantify</t>
  </si>
  <si>
    <t>what exactly is being deferred?</t>
  </si>
  <si>
    <t>$1.1bn on capex in 2016</t>
  </si>
  <si>
    <t>AT&amp;T</t>
  </si>
  <si>
    <t>Time Warner, integration of distribution and content</t>
  </si>
  <si>
    <t>Same as Televisa, happy with the deal</t>
  </si>
  <si>
    <t>Great relationship with AT&amp;T, on the board of SKY, contributing a lot</t>
  </si>
  <si>
    <t>In the process of reinventing Content</t>
  </si>
  <si>
    <t>Extra $100m is an extra 10% of spend, which supports Univision</t>
  </si>
  <si>
    <t>Subs trends</t>
  </si>
  <si>
    <t>Positive signs where Izzi competes against MEGA; also with SKY (in terms of winning MEGA subs)</t>
  </si>
  <si>
    <t>*</t>
  </si>
  <si>
    <t>Churn impacted by upgrades</t>
  </si>
  <si>
    <t>will focus on lowering this</t>
  </si>
  <si>
    <t>no figure yet. 100% focus on returns</t>
  </si>
  <si>
    <t>in light of peso depreciation. A whole new plan for 2017</t>
  </si>
  <si>
    <t>More synergies to run?</t>
  </si>
  <si>
    <t>Margins will remain around 42%</t>
  </si>
  <si>
    <t>Laid off 1200 people this year, exploited a lot of synergies</t>
  </si>
  <si>
    <t>But, depreciation of peso is impacting programming</t>
  </si>
  <si>
    <t>Internet, dollar denominated payments</t>
  </si>
  <si>
    <t>Sustainable at these kinds of level</t>
  </si>
  <si>
    <t>Current level is the "right level"</t>
  </si>
  <si>
    <t>this has gone up therefore over Q3</t>
  </si>
  <si>
    <t>slowing down the pace of deployment of network upgrades</t>
  </si>
  <si>
    <t>Close to one third is cancellation of satellite</t>
  </si>
  <si>
    <t>FX depreciation: AT&amp;T/TV to cancel the impact</t>
  </si>
  <si>
    <t>One third is legal expenses</t>
  </si>
  <si>
    <t>mostly not recurrent</t>
  </si>
  <si>
    <t>Remaining third</t>
  </si>
  <si>
    <t>mostly disposition of capex</t>
  </si>
  <si>
    <t>75-80% of the $100m this year</t>
  </si>
  <si>
    <t>Pricing has been raised</t>
  </si>
  <si>
    <t>Lower tier from 169 to 185 on SKY. Cable has put up prices by around 4%</t>
  </si>
  <si>
    <t>SKY and cable being considered for further price increases</t>
  </si>
  <si>
    <t>Govt budget cuts</t>
  </si>
  <si>
    <t>Bestel has term agreements with govt and therefore are not impacted</t>
  </si>
  <si>
    <t>Ad revenues in the Q</t>
  </si>
  <si>
    <t>85-15 upfronts vs scatter mix in q2</t>
  </si>
  <si>
    <t>deposits down 2% but Ad down more??</t>
  </si>
  <si>
    <t>can't share the results yet with concluded upfronts</t>
  </si>
  <si>
    <t>Open TV channel in Mexico?</t>
  </si>
  <si>
    <t>Target returns for cable?</t>
  </si>
  <si>
    <t>3rd network running for 2 weeks. So will take some share eventually</t>
  </si>
  <si>
    <t>timeline for 2nd TV channel? - not much info on this</t>
  </si>
  <si>
    <t>detail not being shared at this stage</t>
  </si>
  <si>
    <t>LLU change in regulation?</t>
  </si>
  <si>
    <t xml:space="preserve">a great opportunity for SKY </t>
  </si>
  <si>
    <t>offer triple player services using Telmex; BSkyB in the UK</t>
  </si>
  <si>
    <t>continuing to evaluate the offer</t>
  </si>
  <si>
    <t>conditions at this stage do not make LLU viable at this stage</t>
  </si>
  <si>
    <t>Telmex published terms and conditions</t>
  </si>
  <si>
    <t>TV has made many comments</t>
  </si>
  <si>
    <t>Peso</t>
  </si>
  <si>
    <t>using market estimates for 2017</t>
  </si>
  <si>
    <t>agreements were signed at much lower rates with programmers</t>
  </si>
  <si>
    <t>FX being shared with programmers today</t>
  </si>
  <si>
    <t>negotiations going forward</t>
  </si>
  <si>
    <t>Televisa net voice adds</t>
  </si>
  <si>
    <t>Televisa BB adds</t>
  </si>
  <si>
    <t>Televisa voice</t>
  </si>
  <si>
    <t>Total Televisa RGUs</t>
  </si>
  <si>
    <t>Implied ARPU</t>
  </si>
  <si>
    <t>Total RGU adds</t>
  </si>
  <si>
    <t>Description of Debt</t>
  </si>
  <si>
    <t>December 31,</t>
  </si>
  <si>
    <t>2015 Actual</t>
  </si>
  <si>
    <t>Interest Rate(2)</t>
  </si>
  <si>
    <t>Denomination</t>
  </si>
  <si>
    <t>Maturity of Debt</t>
  </si>
  <si>
    <t>6% Senior Notes(2)</t>
  </si>
  <si>
    <t>Ps.</t>
  </si>
  <si>
    <t>U.S. Dollars</t>
  </si>
  <si>
    <t>8.5% Senior Notes(2)</t>
  </si>
  <si>
    <t>6.625% Senior Notes(2)</t>
  </si>
  <si>
    <t>8.49% Senior Notes(2)</t>
  </si>
  <si>
    <t>Pesos</t>
  </si>
  <si>
    <t>7.25% Senior Notes(2)</t>
  </si>
  <si>
    <t>5.000% Senior Notes (2)</t>
  </si>
  <si>
    <t>4.625% Senior Notes (2)</t>
  </si>
  <si>
    <t>6.125% Senior Notes (2)</t>
  </si>
  <si>
    <t>7.38% Notes(3)</t>
  </si>
  <si>
    <t>TIIE+ 0.35% Notes (3)</t>
  </si>
  <si>
    <t>Santander loan (4)</t>
  </si>
  <si>
    <t>HSBC loan(4)</t>
  </si>
  <si>
    <t>Santander loan (5)</t>
  </si>
  <si>
    <t>Banco Mercantil del Norte loan (“Banorte”) (5)</t>
  </si>
  <si>
    <t>HSBC loan (5)</t>
  </si>
  <si>
    <t>Other debt (5)</t>
  </si>
  <si>
    <t>Total debt</t>
  </si>
  <si>
    <t>16.9 years</t>
  </si>
  <si>
    <t>Less: Current maturities of long-term debt</t>
  </si>
  <si>
    <t>Total long-term debt</t>
  </si>
  <si>
    <t>Finance lease obligations:</t>
  </si>
  <si>
    <t>Satellite transponder lease obligations (7)</t>
  </si>
  <si>
    <t>Other (8)</t>
  </si>
  <si>
    <t>Various</t>
  </si>
  <si>
    <t>2016 to 2022</t>
  </si>
  <si>
    <t>Total finance lease obligations</t>
  </si>
  <si>
    <t>Less: Current portion</t>
  </si>
  <si>
    <t>Finance lease obligations, net of current portion</t>
  </si>
  <si>
    <t>US dollar denominated debt</t>
  </si>
  <si>
    <t xml:space="preserve"> - Finance leases</t>
  </si>
  <si>
    <t xml:space="preserve"> - Other liabilities (TVI)</t>
  </si>
  <si>
    <t xml:space="preserve"> - Cash/equivs/</t>
  </si>
  <si>
    <t>Follow up call</t>
  </si>
  <si>
    <t>Cable OK</t>
  </si>
  <si>
    <t>Advertising a question mark</t>
  </si>
  <si>
    <t>Changes to estimates (Nov 16)</t>
  </si>
  <si>
    <t>Dom Ad</t>
  </si>
  <si>
    <t>Other Content</t>
  </si>
  <si>
    <t>CHANGE</t>
  </si>
  <si>
    <t>NEW, MXN m</t>
  </si>
  <si>
    <t>Ratings</t>
  </si>
  <si>
    <t>7pm spot in 2015, will play based on this for 2016</t>
  </si>
  <si>
    <t>if deliver 90, then make up for it</t>
  </si>
  <si>
    <t>TV maybe delivers more rating points, or underdeliver</t>
  </si>
  <si>
    <t>Expectation that trend will not change much</t>
  </si>
  <si>
    <t>Ratings for US broadcasters down since 1980, and CPM down</t>
  </si>
  <si>
    <t>Likewise for 9pm</t>
  </si>
  <si>
    <t>US - deliver set rating points</t>
  </si>
  <si>
    <t>Scatter, will buy 3/4 weeks in advance</t>
  </si>
  <si>
    <t>If Coke says will invest $100m, and so additional inventory</t>
  </si>
  <si>
    <t>Inventory has been available at Univision</t>
  </si>
  <si>
    <t>Affiliate fees $800m</t>
  </si>
  <si>
    <t>When approached Ad guys 10 years ago, more aggressively. Wanted to compare to US networks</t>
  </si>
  <si>
    <t>hence unsold inventory</t>
  </si>
  <si>
    <t>in Mexico the opposite is true</t>
  </si>
  <si>
    <t xml:space="preserve"> - of which Uni</t>
  </si>
  <si>
    <t xml:space="preserve"> - of which USD content</t>
  </si>
  <si>
    <t xml:space="preserve"> - of which other</t>
  </si>
  <si>
    <t xml:space="preserve"> - of which USD </t>
  </si>
  <si>
    <t>Ad revs</t>
  </si>
  <si>
    <t>Licencing, syndication</t>
  </si>
  <si>
    <t xml:space="preserve"> - of which 50% USD</t>
  </si>
  <si>
    <t xml:space="preserve"> - of which 50% MXN</t>
  </si>
  <si>
    <t>Deval</t>
  </si>
  <si>
    <t>USD opex as % total</t>
  </si>
  <si>
    <t xml:space="preserve"> - of which Netflix/other (USD)</t>
  </si>
  <si>
    <t xml:space="preserve"> - of which Netflix/other (MXN)</t>
  </si>
  <si>
    <t xml:space="preserve"> - of which Univision (USD)</t>
  </si>
  <si>
    <t>Total USD revs (MXN)</t>
  </si>
  <si>
    <t xml:space="preserve"> - of which 10% USD</t>
  </si>
  <si>
    <t xml:space="preserve"> - of which 90% MXN</t>
  </si>
  <si>
    <t>Total Content USD revs (USD)</t>
  </si>
  <si>
    <t>Implied Cable/SKY/Other USD</t>
  </si>
  <si>
    <t>Total USD revs</t>
  </si>
  <si>
    <t>Content OpEx</t>
  </si>
  <si>
    <t>Total content opex (USD)</t>
  </si>
  <si>
    <t>Other USD opex</t>
  </si>
  <si>
    <t>Total USD opex</t>
  </si>
  <si>
    <t>Content EBITDA</t>
  </si>
  <si>
    <t>USD</t>
  </si>
  <si>
    <t>Non content USD opex (MXN)</t>
  </si>
  <si>
    <t>as % non content opex</t>
  </si>
  <si>
    <t>Univision Q3 call</t>
  </si>
  <si>
    <t>Fusion</t>
  </si>
  <si>
    <t>The Root</t>
  </si>
  <si>
    <t>The Onion</t>
  </si>
  <si>
    <t>Gizmodo</t>
  </si>
  <si>
    <t>Digital acquisitions</t>
  </si>
  <si>
    <t>Help with young pops</t>
  </si>
  <si>
    <t>89m first 9 months audience reach</t>
  </si>
  <si>
    <t>Some English language site translations</t>
  </si>
  <si>
    <t>Diversified revs stream</t>
  </si>
  <si>
    <t>Ad to re-trans, new networks</t>
  </si>
  <si>
    <t>Deportes</t>
  </si>
  <si>
    <t>Univision now</t>
  </si>
  <si>
    <t>English language brands</t>
  </si>
  <si>
    <t>Portfolio now more dynamic</t>
  </si>
  <si>
    <t>Oct - AT&amp;T, Uverse/DTV (and DTV now)</t>
  </si>
  <si>
    <t>Deal with Lionsgate in Sept</t>
  </si>
  <si>
    <t>provide Lionsgate for Spanish language movies</t>
  </si>
  <si>
    <t>Univision Now will have exclusive content, launching in December</t>
  </si>
  <si>
    <t>UNiMas, Deportes, Galavision saw seasonal growth (year to Sept 16)</t>
  </si>
  <si>
    <t xml:space="preserve">Futbolero franchise, ratings up 20% </t>
  </si>
  <si>
    <t>ratings up</t>
  </si>
  <si>
    <t>Univision Network</t>
  </si>
  <si>
    <t>declines on ratings</t>
  </si>
  <si>
    <t>will be innovative</t>
  </si>
  <si>
    <t>2 new programming execs. Track record of curating new stuff</t>
  </si>
  <si>
    <t>local</t>
  </si>
  <si>
    <t>Local news 1/2 in 8 major markets</t>
  </si>
  <si>
    <t>Univision was no 1/2 broadcaster in 6 major markets</t>
  </si>
  <si>
    <t>Frank, CFO</t>
  </si>
  <si>
    <t>US$200m, writing down radio broadcast licences</t>
  </si>
  <si>
    <t>3% YTD clean, EBITDA up 1.5% YTD (clean)</t>
  </si>
  <si>
    <t>Q3 Ad</t>
  </si>
  <si>
    <t>Shift to upfronts for 2017</t>
  </si>
  <si>
    <t>8% subs fee revenue increase</t>
  </si>
  <si>
    <t>Weaker scatter, impact of Olympics</t>
  </si>
  <si>
    <t>Shift around major soccer touraments not helping</t>
  </si>
  <si>
    <t>Ratings weakness</t>
  </si>
  <si>
    <t>Complete flexibility on primetime</t>
  </si>
  <si>
    <t>Fewer PLA novelas, and seek to do more live programming</t>
  </si>
  <si>
    <t xml:space="preserve">TV expected to make changes to type. </t>
  </si>
  <si>
    <t>Next few months expect a turnaround</t>
  </si>
  <si>
    <t>"Not impacting financial results". This was a tough Q4 for comps</t>
  </si>
  <si>
    <t>Pacing into Q4</t>
  </si>
  <si>
    <t>Media Networks: flat to + low single</t>
  </si>
  <si>
    <t>Radio: pacing low double digits (down). National vs local</t>
  </si>
  <si>
    <t>Total core, therefore looks flat to down slightly</t>
  </si>
  <si>
    <t>Non Ad is 33% of revs</t>
  </si>
  <si>
    <t>FX sensitivity</t>
  </si>
  <si>
    <t>Other opex</t>
  </si>
  <si>
    <t>Total opex</t>
  </si>
  <si>
    <t xml:space="preserve">USD Content opex </t>
  </si>
  <si>
    <t>MXN Content opex</t>
  </si>
  <si>
    <t xml:space="preserve"> of which USD</t>
  </si>
  <si>
    <t xml:space="preserve"> of which MXN</t>
  </si>
  <si>
    <t>Total other EBITDA</t>
  </si>
  <si>
    <t>Group EBITDA</t>
  </si>
  <si>
    <t>Total other (USD)</t>
  </si>
  <si>
    <t>Total other (MXN)</t>
  </si>
  <si>
    <t xml:space="preserve"> of which USD (assume 60%)</t>
  </si>
  <si>
    <t>Group revenue</t>
  </si>
  <si>
    <t>Total Content revs</t>
  </si>
  <si>
    <t xml:space="preserve"> of which financial exp MXN</t>
  </si>
  <si>
    <t>Clean financial expenses</t>
  </si>
  <si>
    <t>Other items/one-offs</t>
  </si>
  <si>
    <t>as % PBT</t>
  </si>
  <si>
    <t>Income from associates</t>
  </si>
  <si>
    <t>of which other</t>
  </si>
  <si>
    <t>of which Univision (assume 75%)</t>
  </si>
  <si>
    <t>Minorities (assume all MXN)</t>
  </si>
  <si>
    <t xml:space="preserve"> of which USD (assume 60% )</t>
  </si>
  <si>
    <t xml:space="preserve"> of which financial exp USD (50% vs 65% reported)*</t>
  </si>
  <si>
    <t>Trump implications - call on Nov 18th</t>
  </si>
  <si>
    <t>Customers plans are on hold</t>
  </si>
  <si>
    <t>Capex on hold</t>
  </si>
  <si>
    <t>net liability position</t>
  </si>
  <si>
    <t>Gross debt (USD) less cash (USD) less Unvision</t>
  </si>
  <si>
    <t>$2.3bn</t>
  </si>
  <si>
    <t>USD $535m</t>
  </si>
  <si>
    <t>Meetings with Salvi</t>
  </si>
  <si>
    <t>2018 OpFCF</t>
  </si>
  <si>
    <t>2018 EBITDA, MXN</t>
  </si>
  <si>
    <t>2018 capex, MXN</t>
  </si>
  <si>
    <t>EV, MXN</t>
  </si>
  <si>
    <t>Equity, MXN</t>
  </si>
  <si>
    <t>assumed USD capex exposure</t>
  </si>
  <si>
    <t>USD/peso</t>
  </si>
  <si>
    <t>Peso exposure for equity</t>
  </si>
  <si>
    <t>per ADR</t>
  </si>
  <si>
    <t>Equity, USD (spot translation)</t>
  </si>
  <si>
    <t>USD opex  (content, other) = USD revs (royalties, other)</t>
  </si>
  <si>
    <t>FX hit will be shared with vendors, renegotiated</t>
  </si>
  <si>
    <t>OpFCF cut by capex increase</t>
  </si>
  <si>
    <t>Assume same multiple on business, ex-Uni</t>
  </si>
  <si>
    <t>Univision revalued in MXN terms</t>
  </si>
  <si>
    <t>Limited impact on MXN EV</t>
  </si>
  <si>
    <t>65% is USD denominated. Limited hedging in place</t>
  </si>
  <si>
    <t>MXN equity has a modest impact</t>
  </si>
  <si>
    <t>Main driver to ADR cut is MXN spot translation</t>
  </si>
  <si>
    <t>Now</t>
  </si>
  <si>
    <t>USD strength vs MXN</t>
  </si>
  <si>
    <t>EV/OpFCF ex-Univision</t>
  </si>
  <si>
    <t>EV ex Univision</t>
  </si>
  <si>
    <t>Univision (36% equity/convert)</t>
  </si>
  <si>
    <t>Debt, MXN</t>
  </si>
  <si>
    <t xml:space="preserve"> of which US denominated</t>
  </si>
  <si>
    <t xml:space="preserve"> of which MXN denominated</t>
  </si>
  <si>
    <t>Over 50% of capex is USD denominated. However,</t>
  </si>
  <si>
    <t>OPFCF</t>
  </si>
  <si>
    <t>Summary table</t>
  </si>
  <si>
    <t>Other USD revs</t>
  </si>
  <si>
    <t>Other MXN revs</t>
  </si>
  <si>
    <t>USD content revs</t>
  </si>
  <si>
    <t>MXN content revs</t>
  </si>
  <si>
    <t>USD content opex</t>
  </si>
  <si>
    <t>MXN content opex</t>
  </si>
  <si>
    <t>Other MXN opex</t>
  </si>
  <si>
    <t>Total Other revs (Cable, SKY, etc)</t>
  </si>
  <si>
    <t>Target price, ADR</t>
  </si>
  <si>
    <t>SKY TV breakdown</t>
  </si>
  <si>
    <t>Middle class</t>
  </si>
  <si>
    <t>Total HH</t>
  </si>
  <si>
    <t>Upper class</t>
  </si>
  <si>
    <t>Lower class</t>
  </si>
  <si>
    <t>Average income</t>
  </si>
  <si>
    <t xml:space="preserve"> - of which VeTV/pre-pay</t>
  </si>
  <si>
    <t xml:space="preserve"> - of which Other</t>
  </si>
  <si>
    <t>ARPU ex VAT</t>
  </si>
  <si>
    <t xml:space="preserve">Total </t>
  </si>
  <si>
    <t>Average subs</t>
  </si>
  <si>
    <t>2016e revenue</t>
  </si>
  <si>
    <t>Upfronts/ Ad spend</t>
  </si>
  <si>
    <t>TV Broadcasting/Advertising</t>
  </si>
  <si>
    <t>Upfront Deposits For Television Advertising</t>
  </si>
  <si>
    <t>Source for Upfront deposits growth</t>
  </si>
  <si>
    <t>PR 4Q'01</t>
  </si>
  <si>
    <t>PR 4Q'02</t>
  </si>
  <si>
    <t>PR 4Q'03</t>
  </si>
  <si>
    <t>PR 4Q'04</t>
  </si>
  <si>
    <t>PR 4Q'05</t>
  </si>
  <si>
    <t>PR 4Q'06</t>
  </si>
  <si>
    <t>PR 4Q'07</t>
  </si>
  <si>
    <t>PR 4Q'08</t>
  </si>
  <si>
    <t>PR 4Q'09</t>
  </si>
  <si>
    <t>2010 20-F</t>
  </si>
  <si>
    <t>2011 20-F</t>
  </si>
  <si>
    <t>2012 20-F</t>
  </si>
  <si>
    <t>2013 20-F</t>
  </si>
  <si>
    <t>2014 20-F</t>
  </si>
  <si>
    <t>Estimate</t>
  </si>
  <si>
    <t>Customer deposits</t>
  </si>
  <si>
    <t>Q4 16</t>
  </si>
  <si>
    <t>2017 guidance</t>
  </si>
  <si>
    <t>Total Content</t>
  </si>
  <si>
    <t>New Capex</t>
  </si>
  <si>
    <t>New OpFCF</t>
  </si>
  <si>
    <t>Revenue, MXN m</t>
  </si>
  <si>
    <t>Retail</t>
  </si>
  <si>
    <t>Wholesale</t>
  </si>
  <si>
    <t>Total cable (gross)</t>
  </si>
  <si>
    <t>y/y revenue</t>
  </si>
  <si>
    <t>FTA</t>
  </si>
  <si>
    <t>MEGA/other</t>
  </si>
  <si>
    <t>receives</t>
  </si>
  <si>
    <t>pays</t>
  </si>
  <si>
    <t>share</t>
  </si>
  <si>
    <t>Originally</t>
  </si>
  <si>
    <t>Must offer/carry (TV FTA can't charge)</t>
  </si>
  <si>
    <t>TV  revs</t>
  </si>
  <si>
    <t>TV  cost</t>
  </si>
  <si>
    <t>TV  EBITDA</t>
  </si>
  <si>
    <t>Pay TV dominance (TV pay TV has to pay for FTA)</t>
  </si>
  <si>
    <t>40% revs pre-pay</t>
  </si>
  <si>
    <t>Pre-pay v strong in H1 16, due to higher recharge rates, analogue to digital</t>
  </si>
  <si>
    <t>H2 16</t>
  </si>
  <si>
    <t>3 TV sets, SKY in one of those. If didn't recharge, can go to the other</t>
  </si>
  <si>
    <t>if no digital box, then lots of recharge</t>
  </si>
  <si>
    <t>ARPU of SKY was high in Q1 and Q2</t>
  </si>
  <si>
    <t>SKY will be mid to low single digit growth</t>
  </si>
  <si>
    <t>Cable - high single digits</t>
  </si>
  <si>
    <t>SKY, possible ULL launch</t>
  </si>
  <si>
    <t>SKY have run tests in 50 families</t>
  </si>
  <si>
    <t>Telmex following playbook to make tough</t>
  </si>
  <si>
    <t>Filed over 100 complaints</t>
  </si>
  <si>
    <t>Will try for a few months</t>
  </si>
  <si>
    <t>Potential to deliver a 20% margin</t>
  </si>
  <si>
    <t>re-selling</t>
  </si>
  <si>
    <t>bitstream access</t>
  </si>
  <si>
    <t>copper cables</t>
  </si>
  <si>
    <t>Came across a lot of gaps in the regulation</t>
  </si>
  <si>
    <t>One opportunity - for those who want triple play</t>
  </si>
  <si>
    <t>Not target cable areas</t>
  </si>
  <si>
    <t>Scatter market</t>
  </si>
  <si>
    <t>will be volatile, around GDP</t>
  </si>
  <si>
    <t>Upfronts - right to buy at a certain price for a certain time in the future</t>
  </si>
  <si>
    <t>Chat with Carlos (End-Feb 17)</t>
  </si>
  <si>
    <t>TV revenue</t>
  </si>
  <si>
    <t>as % TV</t>
  </si>
  <si>
    <t>Share of adds</t>
  </si>
  <si>
    <t>Total Televisa BB</t>
  </si>
  <si>
    <t>Non cable</t>
  </si>
  <si>
    <t>Region split, HH</t>
  </si>
  <si>
    <t>BB share in MEGA region</t>
  </si>
  <si>
    <t>BB share in TV region</t>
  </si>
  <si>
    <t>BB subs in MEGA region</t>
  </si>
  <si>
    <t>BB pen in MEGA region</t>
  </si>
  <si>
    <t>Res subs</t>
  </si>
  <si>
    <t>Corp subs</t>
  </si>
  <si>
    <t>Total Mexican HH</t>
  </si>
  <si>
    <t>discount</t>
  </si>
  <si>
    <t>EBITDA on TV</t>
  </si>
  <si>
    <t>SKY BB / voice revenue</t>
  </si>
  <si>
    <t>EBITDA margin on ULL</t>
  </si>
  <si>
    <t>EBITDA from ULL</t>
  </si>
  <si>
    <t>Total SKY revenue</t>
  </si>
  <si>
    <t>Total SKY EBITDA</t>
  </si>
  <si>
    <t>SKY UK comparisons</t>
  </si>
  <si>
    <t>Launched in 2006/07 following Easy Jet acquisition</t>
  </si>
  <si>
    <t>UK Broadband model</t>
  </si>
  <si>
    <t>Bitstream</t>
  </si>
  <si>
    <t>BT Retail</t>
  </si>
  <si>
    <t>Market broadband</t>
  </si>
  <si>
    <t>UK homes (000s)</t>
  </si>
  <si>
    <t>UK business sites (000s)</t>
  </si>
  <si>
    <t>UK Telco sites</t>
  </si>
  <si>
    <t>DSL based connections</t>
  </si>
  <si>
    <t>Cable (updated 14 may 2010)</t>
  </si>
  <si>
    <t>Total UK Broadband accesses</t>
  </si>
  <si>
    <t>a</t>
  </si>
  <si>
    <t>Business site penetration</t>
  </si>
  <si>
    <t>Business connections</t>
  </si>
  <si>
    <t>Residential connections</t>
  </si>
  <si>
    <t>DSL share of broadband</t>
  </si>
  <si>
    <t>BT Retail connections</t>
  </si>
  <si>
    <t>Wholesale connections</t>
  </si>
  <si>
    <t>Market broadband model</t>
  </si>
  <si>
    <t>BT Retail DSL connections (ex-EE)</t>
  </si>
  <si>
    <t>Full ULL connections (MPF)</t>
  </si>
  <si>
    <t>Partial ULL connections (SMPF)</t>
  </si>
  <si>
    <t>Total LLU connections</t>
  </si>
  <si>
    <t>Bitstream DSL connections</t>
  </si>
  <si>
    <t>DSL-based broadband connections</t>
  </si>
  <si>
    <t>Virgin Media broadband subs</t>
  </si>
  <si>
    <t>Total broadband market</t>
  </si>
  <si>
    <t>as % of channels</t>
  </si>
  <si>
    <t>Cable as % of broadband net adds</t>
  </si>
  <si>
    <t>As % of DSL net adds</t>
  </si>
  <si>
    <t>Full ULL</t>
  </si>
  <si>
    <t>Partial ULL</t>
  </si>
  <si>
    <t>Broadband market share</t>
  </si>
  <si>
    <t>BT broadband as % of BT lines</t>
  </si>
  <si>
    <t>BT market share gain</t>
  </si>
  <si>
    <t>Residential households</t>
  </si>
  <si>
    <t>Business sites</t>
  </si>
  <si>
    <t>UK telecoms sites</t>
  </si>
  <si>
    <t>Partial ULL (SMPF)</t>
  </si>
  <si>
    <t>Full ULL (MPF)</t>
  </si>
  <si>
    <t>Implied allowed return on ULL</t>
  </si>
  <si>
    <t>FULL costs (MXNm)</t>
  </si>
  <si>
    <t>FULL wholesale price per line per month (MXN)</t>
  </si>
  <si>
    <t>FULL other costs (MXNm)</t>
  </si>
  <si>
    <t>Other ULL costs (backhaul, ancillaries etc.) MXN per line/month</t>
  </si>
  <si>
    <t>WLR fees/line/month</t>
  </si>
  <si>
    <t>Bitstream return</t>
  </si>
  <si>
    <t>Bitstream fees/line/month</t>
  </si>
  <si>
    <t>FULL revenue</t>
  </si>
  <si>
    <t>SKY BB / voice EBITDA</t>
  </si>
  <si>
    <t>BB / ULL margin</t>
  </si>
  <si>
    <t>US - UNEP</t>
  </si>
  <si>
    <t>VZ and AT&amp;T said we can't offer BB as our lines are too long</t>
  </si>
  <si>
    <t>If you cancel it, we'll build fibre</t>
  </si>
  <si>
    <t>AT&amp;T not much fibre, some to the cabinet. Promised FTTH as remedy for Direct TV</t>
  </si>
  <si>
    <t>VZ sold off a lot of fixed, built fibre to one third</t>
  </si>
  <si>
    <t>Germany</t>
  </si>
  <si>
    <t>UK</t>
  </si>
  <si>
    <t>France</t>
  </si>
  <si>
    <t>Italy</t>
  </si>
  <si>
    <t>Spain</t>
  </si>
  <si>
    <t>Austria</t>
  </si>
  <si>
    <t>Sweden</t>
  </si>
  <si>
    <t>Greece</t>
  </si>
  <si>
    <t>Belgium</t>
  </si>
  <si>
    <t>FULL</t>
  </si>
  <si>
    <t>Dual-play ARPU</t>
  </si>
  <si>
    <t>EUR/month</t>
  </si>
  <si>
    <t>Mexico (EUR)</t>
  </si>
  <si>
    <t>Mexico (MXN)</t>
  </si>
  <si>
    <t>Return on ULL</t>
  </si>
  <si>
    <t>&gt;3 Mbps</t>
  </si>
  <si>
    <t>&gt;10 Mbps</t>
  </si>
  <si>
    <t>c.10 Mbps</t>
  </si>
  <si>
    <t>Population coverage</t>
  </si>
  <si>
    <t>upside to TV revenue</t>
  </si>
  <si>
    <t>upside to TV EBITDA</t>
  </si>
  <si>
    <t>TV Capex</t>
  </si>
  <si>
    <t>Net FULL add</t>
  </si>
  <si>
    <t>as % voice/BB revs</t>
  </si>
  <si>
    <t>Total SKY capex</t>
  </si>
  <si>
    <t>SKY BB / ULL OpFCF</t>
  </si>
  <si>
    <t>Total SKY margin</t>
  </si>
  <si>
    <t>upside to TV capex</t>
  </si>
  <si>
    <t xml:space="preserve">TV OpFCF </t>
  </si>
  <si>
    <t>Total SKY OpFCF</t>
  </si>
  <si>
    <t>upside to TV OpFCF</t>
  </si>
  <si>
    <t>MXN mn</t>
  </si>
  <si>
    <t>870 MHz</t>
  </si>
  <si>
    <t>1 GHz</t>
  </si>
  <si>
    <t>750 MHz</t>
  </si>
  <si>
    <t>550 MHz</t>
  </si>
  <si>
    <t>Gpon</t>
  </si>
  <si>
    <t>&lt; 870 MHz</t>
  </si>
  <si>
    <t>Q1 17</t>
  </si>
  <si>
    <t>Q2 17</t>
  </si>
  <si>
    <t>Q3 17</t>
  </si>
  <si>
    <t>Q4 17</t>
  </si>
  <si>
    <t>NEW (March 17, after trip)</t>
  </si>
  <si>
    <t>FT</t>
  </si>
  <si>
    <t>Iliad</t>
  </si>
  <si>
    <t>Other, inc cable</t>
  </si>
  <si>
    <t>Wholesale/bitstream</t>
  </si>
  <si>
    <t>upside to Group</t>
  </si>
  <si>
    <t>upside to group revenue</t>
  </si>
  <si>
    <t>upside to group OpFCF</t>
  </si>
  <si>
    <t>For publishing</t>
  </si>
  <si>
    <t>Bitstream capex/add</t>
  </si>
  <si>
    <t>ULL capex/add</t>
  </si>
  <si>
    <t>Bistream add</t>
  </si>
  <si>
    <t>Bitstream capex</t>
  </si>
  <si>
    <t>as % total BB</t>
  </si>
  <si>
    <t>WLR regulated return</t>
  </si>
  <si>
    <t>BB subs, 000s</t>
  </si>
  <si>
    <t>Voice subs, 000s</t>
  </si>
  <si>
    <t>Est dual-play ARPU of Telmex, MXN / m</t>
  </si>
  <si>
    <t>SKY dual-play price, MXN / m</t>
  </si>
  <si>
    <t>Retail voice compenent off monthly fee, MXN</t>
  </si>
  <si>
    <t>Retail data compenent, MXN</t>
  </si>
  <si>
    <t>Total bitstream cost, MXN mn</t>
  </si>
  <si>
    <t>Total WLR cost, MXN mn</t>
  </si>
  <si>
    <t>Bitstream / re-selling revenue</t>
  </si>
  <si>
    <t>EBITDA from Bitstream / re-selling</t>
  </si>
  <si>
    <t>SKY BB / voice capex</t>
  </si>
  <si>
    <t>ULL capex</t>
  </si>
  <si>
    <t>Bitstream / re-selling subs, 000s</t>
  </si>
  <si>
    <t>ULL subs, 000s</t>
  </si>
  <si>
    <t>Televisa DTH subs</t>
  </si>
  <si>
    <t>Total broadband subs</t>
  </si>
  <si>
    <t>SKY BB subs</t>
  </si>
  <si>
    <t>BB market share</t>
  </si>
  <si>
    <t xml:space="preserve">SKY </t>
  </si>
  <si>
    <t>Cable/other</t>
  </si>
  <si>
    <t>Televisa MXN mn</t>
  </si>
  <si>
    <t>2016A</t>
  </si>
  <si>
    <t>2017E</t>
  </si>
  <si>
    <t>2018E</t>
  </si>
  <si>
    <t>2019E</t>
  </si>
  <si>
    <t>2020E</t>
  </si>
  <si>
    <t>2021E</t>
  </si>
  <si>
    <t>2022E</t>
  </si>
  <si>
    <t>2023E</t>
  </si>
  <si>
    <t>2024E</t>
  </si>
  <si>
    <t>2025E</t>
  </si>
  <si>
    <t>HP</t>
  </si>
  <si>
    <t>Customers</t>
  </si>
  <si>
    <t>Broadband</t>
  </si>
  <si>
    <t>Fixed Tel</t>
  </si>
  <si>
    <t>Revenues:</t>
  </si>
  <si>
    <t>Telephony</t>
  </si>
  <si>
    <t>Cable fixed service</t>
  </si>
  <si>
    <t>Total service</t>
  </si>
  <si>
    <t>B2B</t>
  </si>
  <si>
    <t xml:space="preserve">Total  </t>
  </si>
  <si>
    <t>Programming % video revenues</t>
  </si>
  <si>
    <t>Franchise fees % revenues</t>
  </si>
  <si>
    <t>Assume Megcable RGU/Customer to estimate customer</t>
  </si>
  <si>
    <t>RGU/customer</t>
  </si>
  <si>
    <t>Min dividends</t>
  </si>
  <si>
    <t>Total cash flow</t>
  </si>
  <si>
    <t>Dividends paid</t>
  </si>
  <si>
    <t>for comparison</t>
  </si>
  <si>
    <t>Ad</t>
  </si>
  <si>
    <t>2 customers, took business to competitors</t>
  </si>
  <si>
    <t>Believes Q1 not representative</t>
  </si>
  <si>
    <t>Segment loss (telcos, banks, other)</t>
  </si>
  <si>
    <t>40% reiterated</t>
  </si>
  <si>
    <t>Revamp to Content</t>
  </si>
  <si>
    <t>Solid operational progress</t>
  </si>
  <si>
    <t>1/ Work on improving management</t>
  </si>
  <si>
    <t>prog &amp; marketing</t>
  </si>
  <si>
    <t>strat $ ops</t>
  </si>
  <si>
    <t>content $ production</t>
  </si>
  <si>
    <t>2/ Optimise and energise</t>
  </si>
  <si>
    <t>rethinking operations</t>
  </si>
  <si>
    <t>reengineeing, done by June</t>
  </si>
  <si>
    <t>More efficient, save money to reinvest</t>
  </si>
  <si>
    <t>First 3 months:</t>
  </si>
  <si>
    <t>Ratings growth coming through</t>
  </si>
  <si>
    <t>3/ Las Estellas - good progress</t>
  </si>
  <si>
    <t>Fixing Prime Time was the main priority</t>
  </si>
  <si>
    <t>QoQ growth on 4-10pm</t>
  </si>
  <si>
    <t>Data driven approach, launched research products</t>
  </si>
  <si>
    <t>Cancel some productions</t>
  </si>
  <si>
    <t>Green lighted others</t>
  </si>
  <si>
    <t>Collaborate with Univision</t>
  </si>
  <si>
    <t>RGUs down, due to video</t>
  </si>
  <si>
    <t>Declining disposable income</t>
  </si>
  <si>
    <t>launched video/internet at 5Mbps/10Mbps - good traction</t>
  </si>
  <si>
    <t>stricter credit filters, with lower risk of attrition</t>
  </si>
  <si>
    <t>this will be evident in H2</t>
  </si>
  <si>
    <t>Q2 will be poor</t>
  </si>
  <si>
    <t>Churn is at the lowest level in 5 quarters</t>
  </si>
  <si>
    <t>Number of service calls has dropped materially</t>
  </si>
  <si>
    <t>Alex</t>
  </si>
  <si>
    <t>Recharge rate at bottom end of historic range</t>
  </si>
  <si>
    <t>Changes in this rate have a big impact</t>
  </si>
  <si>
    <t>Q2 will be poor also</t>
  </si>
  <si>
    <t>Launching a number of initiatives</t>
  </si>
  <si>
    <t>ULL, could be up to 2 years</t>
  </si>
  <si>
    <t>get closer every day</t>
  </si>
  <si>
    <t>New regulation, SKY can benefit like nobody else</t>
  </si>
  <si>
    <t xml:space="preserve">$100m </t>
  </si>
  <si>
    <t>32k of fibre</t>
  </si>
  <si>
    <t>8km of co-ax</t>
  </si>
  <si>
    <t>Smallest Q of the year for Ad business, 50% of scatter?</t>
  </si>
  <si>
    <t>New video subs?</t>
  </si>
  <si>
    <t>Izzy needed to focus first on fixed voice/BB</t>
  </si>
  <si>
    <t>now focusing more on video market</t>
  </si>
  <si>
    <t>double-play video…where subs coming from?</t>
  </si>
  <si>
    <t>yes, scatter was softer</t>
  </si>
  <si>
    <t>customer deposits are flat for broadcasting</t>
  </si>
  <si>
    <t>high frequency/volume, did not get discounts. Went to competitors</t>
  </si>
  <si>
    <t>Pay TV saturation?</t>
  </si>
  <si>
    <t>70% is a ceiling?</t>
  </si>
  <si>
    <t>think can get to 75%</t>
  </si>
  <si>
    <t>Dual-play offering 5 Mbps</t>
  </si>
  <si>
    <t>Economy adjustment</t>
  </si>
  <si>
    <t>Friends and family packages on voice and data</t>
  </si>
  <si>
    <t>Things are working somewhat smoothly</t>
  </si>
  <si>
    <t>Possibly in 2nd semester of this year, in one area of Mexico City. Launch a product</t>
  </si>
  <si>
    <t>Very difficult for Ad sales for balance of the year</t>
  </si>
  <si>
    <t>Limited visibility</t>
  </si>
  <si>
    <t>Good thing: prime time up +20% q/q</t>
  </si>
  <si>
    <t>Chat following Q1s (2 May)</t>
  </si>
  <si>
    <t>Ad business:</t>
  </si>
  <si>
    <t>Tough to predict</t>
  </si>
  <si>
    <t>Didn't expect a 7% decline in Q1</t>
  </si>
  <si>
    <t>self inflicted</t>
  </si>
  <si>
    <t>would have been less if flexible on pricing</t>
  </si>
  <si>
    <t>Certain sectors invested less in broadcast, should return in Q2. perhaps a blip</t>
  </si>
  <si>
    <t>broadcasting being moved to something else?</t>
  </si>
  <si>
    <t>didn't see it going into pay TV</t>
  </si>
  <si>
    <t>on-line not yet developed</t>
  </si>
  <si>
    <t>Couple of customers "direct response"</t>
  </si>
  <si>
    <t>selling 800 stuff, unsold inventory, bits and bobs</t>
  </si>
  <si>
    <t>Ad is 30% of top line, rather than 2-3%</t>
  </si>
  <si>
    <t>Were big customers of TV volume wise, getting spots at night</t>
  </si>
  <si>
    <t>they were the most impacted by the rate card change</t>
  </si>
  <si>
    <t>prime time was sold to them at a discount</t>
  </si>
  <si>
    <t>they have gone to Azteca</t>
  </si>
  <si>
    <t>Q1 - inventory is more available, can do without TV</t>
  </si>
  <si>
    <t>when inventory tightens up toward YE, will have to come back</t>
  </si>
  <si>
    <t>Ad ratings</t>
  </si>
  <si>
    <t>up 20% across a lot of different day parts</t>
  </si>
  <si>
    <t>beginning of turnaround in Content</t>
  </si>
  <si>
    <t>best show on Azteca was the Simpsons</t>
  </si>
  <si>
    <t>$100m, step up from $1.1bn to $1.2bn. A 2015 decision</t>
  </si>
  <si>
    <t>2017 - take the $1.2bn</t>
  </si>
  <si>
    <t>cut in investment on Content</t>
  </si>
  <si>
    <t xml:space="preserve">old guys leaving, helped the 4% </t>
  </si>
  <si>
    <t>cancelling shows with limited chance of success</t>
  </si>
  <si>
    <t>Turkish novellas</t>
  </si>
  <si>
    <t>GRPs</t>
  </si>
  <si>
    <t>Time slots</t>
  </si>
  <si>
    <t>Q2 17 call</t>
  </si>
  <si>
    <t>Audiences rather than spots at a fixed price</t>
  </si>
  <si>
    <t>Family and friends today</t>
  </si>
  <si>
    <t>Ad model</t>
  </si>
  <si>
    <t>have pursued both fronts</t>
  </si>
  <si>
    <t>filed over 100 complaints so far</t>
  </si>
  <si>
    <t>ULL launch in Mexico City and Taluca by end September</t>
  </si>
  <si>
    <t>process through family and friends until then</t>
  </si>
  <si>
    <t>difficult to talk about H2</t>
  </si>
  <si>
    <t>inventories normally tighten up in h2</t>
  </si>
  <si>
    <t>should be better</t>
  </si>
  <si>
    <t>deposits still at two thirds of YE number</t>
  </si>
  <si>
    <t>Subs trends were stable over Q2, in terms of adds, churn etc</t>
  </si>
  <si>
    <t>Ad advances are up 7.4%</t>
  </si>
  <si>
    <t>larger due to slower consumption particularly in Q2</t>
  </si>
  <si>
    <t>all need to be used during calendar year, no commitment between 3rd and 4th quarter</t>
  </si>
  <si>
    <t>New model</t>
  </si>
  <si>
    <t>Clients can get to GRP goals through buying slots which are now better on day parts than on prime time</t>
  </si>
  <si>
    <t>For H2, and next year, talking about guaranteeing GRPs</t>
  </si>
  <si>
    <t>In place for the scatter now</t>
  </si>
  <si>
    <t>new dual products have been gaining traction</t>
  </si>
  <si>
    <t>video-BB was not available before, flexibility was favoured. Very popular, and with skinny bundles.</t>
  </si>
  <si>
    <t>No change to $1bn capex guidance for FY</t>
  </si>
  <si>
    <t>Stronger sales in H2?</t>
  </si>
  <si>
    <t>1/ less uncertainty re Mexico - US relationship</t>
  </si>
  <si>
    <t>2/ ratings to be very strong</t>
  </si>
  <si>
    <t>3/ inventory tends to tighten up in H2.</t>
  </si>
  <si>
    <t>Content cost budget of $1.2bn</t>
  </si>
  <si>
    <t>Margin of ~40% committed to</t>
  </si>
  <si>
    <t>Post Q2 17 call</t>
  </si>
  <si>
    <t>Other licensing and syndication v strong</t>
  </si>
  <si>
    <t>FX support for cable and SKY margins. MXN at 17.6?</t>
  </si>
  <si>
    <t>which shows?</t>
  </si>
  <si>
    <t>CFO meet after AMX day</t>
  </si>
  <si>
    <t>both in Mexico and US</t>
  </si>
  <si>
    <t>H2 - 80% of the business already secured</t>
  </si>
  <si>
    <t>prices higher, arbitrage allowing clients to compensate</t>
  </si>
  <si>
    <t>2018 at the earliest</t>
  </si>
  <si>
    <t>Worst case</t>
  </si>
  <si>
    <t>FY down 10%</t>
  </si>
  <si>
    <t>don’t come back to scatter at all</t>
  </si>
  <si>
    <t>Some do not participate in the upfronts</t>
  </si>
  <si>
    <t>Down 5/7% would be worst case</t>
  </si>
  <si>
    <t>smaller companies, local ad sales</t>
  </si>
  <si>
    <t>those who can't afford to participate in upfronts</t>
  </si>
  <si>
    <t>government</t>
  </si>
  <si>
    <t>Best - zero, or -3%</t>
  </si>
  <si>
    <t>Scatter…old framework still in place for H2</t>
  </si>
  <si>
    <t>1st version of new pricing model</t>
  </si>
  <si>
    <t>optional for the customer</t>
  </si>
  <si>
    <t>won't rescue</t>
  </si>
  <si>
    <t>Genoma Lab, others, are using Azteca</t>
  </si>
  <si>
    <t>toiletries etc, high frequency</t>
  </si>
  <si>
    <t>most affected…ad spend a large % of total cost</t>
  </si>
  <si>
    <t>demand very favourable credit terms</t>
  </si>
  <si>
    <t>Gualamex</t>
  </si>
  <si>
    <t>1/ Still staying away?</t>
  </si>
  <si>
    <t>2/ Others staying away</t>
  </si>
  <si>
    <t>3/ Eyeballs cheaper</t>
  </si>
  <si>
    <t>Telecoms, banking, high calorific</t>
  </si>
  <si>
    <t>4/ On-line taking a bigger level of share</t>
  </si>
  <si>
    <t>although in the US CPM has compensated</t>
  </si>
  <si>
    <t>Ratings…</t>
  </si>
  <si>
    <t>all double digit growth</t>
  </si>
  <si>
    <t>Jan 1st turnaround started</t>
  </si>
  <si>
    <t>not a "hit show"</t>
  </si>
  <si>
    <t>10pm to 10:30</t>
  </si>
  <si>
    <t>extra 30 mins of prime time</t>
  </si>
  <si>
    <t>shows not produced by TV</t>
  </si>
  <si>
    <t>top 4 shows, 3 are by televisa</t>
  </si>
  <si>
    <t>Univision in partnership: La Piloto - Narcos</t>
  </si>
  <si>
    <t xml:space="preserve">Rose of Guadeloupe - unitary show, single contained story in a single episode. </t>
  </si>
  <si>
    <t>right time, right promos, marketing</t>
  </si>
  <si>
    <t>content is as dependent on marketing as the movies</t>
  </si>
  <si>
    <t>not about the new content</t>
  </si>
  <si>
    <t>700 novellas in the life of TV (50 years)</t>
  </si>
  <si>
    <t>created a policy of identifying key elements of a novella.</t>
  </si>
  <si>
    <t>female, start poor finish rich, child out of wedlock, sun-sun, and 143 episodes</t>
  </si>
  <si>
    <t>do exactly the same thing</t>
  </si>
  <si>
    <t>everything was the same</t>
  </si>
  <si>
    <t>Going forward</t>
  </si>
  <si>
    <t>will be up and down, going forward</t>
  </si>
  <si>
    <t>trend is very positive</t>
  </si>
  <si>
    <t>Up on 2016, down on 2014</t>
  </si>
  <si>
    <t>2018 discussions..</t>
  </si>
  <si>
    <t>October…prices start to be set</t>
  </si>
  <si>
    <t>a lot of uncertainty</t>
  </si>
  <si>
    <t>2018?</t>
  </si>
  <si>
    <t>Sales team…2 years into the transformation</t>
  </si>
  <si>
    <t>OTT</t>
  </si>
  <si>
    <t>Pay TV market didn't shrink…stopped growing at the same pace</t>
  </si>
  <si>
    <t>Q1 17…200k out of 20m - irrelevant</t>
  </si>
  <si>
    <t>June - Channel 2 delivered ratings &gt; pay TV (ex TV pay TV channels)</t>
  </si>
  <si>
    <t xml:space="preserve">Isaac </t>
  </si>
  <si>
    <t>$1.2bn - healthy budget to be spent in a better way</t>
  </si>
  <si>
    <t>Won’t jeopardise the business just to hit margins</t>
  </si>
  <si>
    <t>Disconnect between buy side and sell side</t>
  </si>
  <si>
    <t xml:space="preserve">SKY…JH2 to be better? </t>
  </si>
  <si>
    <t>not too positive..growth will be quite low</t>
  </si>
  <si>
    <t>2018 will be a better year</t>
  </si>
  <si>
    <t>2018 Ad spend</t>
  </si>
  <si>
    <t>24 hours</t>
  </si>
  <si>
    <t>Ad on TV…18 minutes per hour</t>
  </si>
  <si>
    <t>48 minutes per day…distribute free</t>
  </si>
  <si>
    <t>60 days before elections…nothing</t>
  </si>
  <si>
    <t>all the time this is given away</t>
  </si>
  <si>
    <t xml:space="preserve">used more intensely in prime time </t>
  </si>
  <si>
    <t>June 3rd for election</t>
  </si>
  <si>
    <t>July 1 2016</t>
  </si>
  <si>
    <t>av of last 12 Qs</t>
  </si>
  <si>
    <t>netflix $20m / annum</t>
  </si>
  <si>
    <t>pro-forma adjs</t>
  </si>
  <si>
    <t>After Q2</t>
  </si>
  <si>
    <t>launch quietly</t>
  </si>
  <si>
    <t>could be 2018</t>
  </si>
  <si>
    <t>2 years…not counting on this. Doesn't rely on functional separation</t>
  </si>
  <si>
    <t>in Mexico City and Taluca…plan on launching by end September. Family &amp; friends</t>
  </si>
  <si>
    <t>bigger trial therefore</t>
  </si>
  <si>
    <t>Domestic advertising</t>
  </si>
  <si>
    <t>ratings…</t>
  </si>
  <si>
    <t>continue to do great</t>
  </si>
  <si>
    <t>better than when issued  Q2 release</t>
  </si>
  <si>
    <t>discussions with clients</t>
  </si>
  <si>
    <t>today customers can use inventory whenever they want</t>
  </si>
  <si>
    <t>can have overcrowding</t>
  </si>
  <si>
    <t>or very little interest</t>
  </si>
  <si>
    <t>spot market today</t>
  </si>
  <si>
    <t>intro alternatives</t>
  </si>
  <si>
    <t>great time to change the ratings</t>
  </si>
  <si>
    <t>Ratings, 2010-14 - ratings flat, to up slightly</t>
  </si>
  <si>
    <t>steady business</t>
  </si>
  <si>
    <t>Target price…neutrals and the bears…very wide target</t>
  </si>
  <si>
    <t>last 2 years of ratings disappointment</t>
  </si>
  <si>
    <t>world doesn't change overnight</t>
  </si>
  <si>
    <t>UNI started to struggle…UNI own programming perhaps, competitive environment changed in the US. Narcos shows from Telemundo started</t>
  </si>
  <si>
    <t>didn't support core business</t>
  </si>
  <si>
    <t>over elaborated traditional novellas</t>
  </si>
  <si>
    <t>Televisa tried to focus efforts more to the US</t>
  </si>
  <si>
    <t>Isaacs went back to basics</t>
  </si>
  <si>
    <t xml:space="preserve">Malone rumour….2/3 weeks ago. </t>
  </si>
  <si>
    <t>shares below since then?</t>
  </si>
  <si>
    <t>market likes the underlying trends</t>
  </si>
  <si>
    <t>q2 - better trends in cable has been key…continued better trends into q3</t>
  </si>
  <si>
    <t>benefits from the credit filters</t>
  </si>
  <si>
    <t>&gt;500 homes under test</t>
  </si>
  <si>
    <t>Complaints</t>
  </si>
  <si>
    <t>Not compliant…dragging their feet</t>
  </si>
  <si>
    <t>Retail minus to cost plus, prices would be higher than today</t>
  </si>
  <si>
    <t>Less and less government contracts</t>
  </si>
  <si>
    <t>Pricing pressure on enterprise also</t>
  </si>
  <si>
    <t>restructuring…hope to turn it around</t>
  </si>
  <si>
    <t>18-24 month contracts</t>
  </si>
  <si>
    <t>top 10 are 50% of revenue</t>
  </si>
  <si>
    <t>government, large universities, AT&amp;T</t>
  </si>
  <si>
    <t xml:space="preserve"> Oct-17 chat following AMX investor day/Mexico trip</t>
  </si>
  <si>
    <t>Q3 17 chat</t>
  </si>
  <si>
    <t>Management change</t>
  </si>
  <si>
    <t>Alfonso and Bernardo</t>
  </si>
  <si>
    <t>Emilio had been more focused on the content side</t>
  </si>
  <si>
    <t>Univision, cable, SKY</t>
  </si>
  <si>
    <t>No change in direction</t>
  </si>
  <si>
    <t>Change in speed of implementation</t>
  </si>
  <si>
    <t>Was involved in all key decisions previously</t>
  </si>
  <si>
    <t>Bernardo camera shy</t>
  </si>
  <si>
    <t>As important as Alfonso</t>
  </si>
  <si>
    <t>Was in charge of news, govt relationship</t>
  </si>
  <si>
    <t>Been there for 20 years, worked alongside Emilio</t>
  </si>
  <si>
    <t>Salvi move to Strategic planning</t>
  </si>
  <si>
    <t>VP of Finance &amp; Admin</t>
  </si>
  <si>
    <t>Admin is HR, systems</t>
  </si>
  <si>
    <t xml:space="preserve">Carlos (cable) is Finance, </t>
  </si>
  <si>
    <t>Salvi will be more in M&amp;A and advising senior management</t>
  </si>
  <si>
    <t>less work</t>
  </si>
  <si>
    <t>Other was a surprise</t>
  </si>
  <si>
    <t>Earthquake was an issue, to some extent</t>
  </si>
  <si>
    <t>Had to cancel 2 soccer games</t>
  </si>
  <si>
    <t>Central America</t>
  </si>
  <si>
    <t>USD denominated. Post paid subs</t>
  </si>
  <si>
    <t>Sales policy changed</t>
  </si>
  <si>
    <t>Megacable, 000s</t>
  </si>
  <si>
    <t>Latest thinking on ULL</t>
  </si>
  <si>
    <t>Some update on new pricing model, has been trialled in the scatter. How's it going?</t>
  </si>
  <si>
    <t>why is the analogue switch off still working through numbers now</t>
  </si>
  <si>
    <t>Strong adds. What speeds are BB coming on at 5/10/20</t>
  </si>
  <si>
    <t>Pricing moved up across most segments, might have expected more of a sequential step change?</t>
  </si>
  <si>
    <t>Outlook for wholesale cable moving into election year?</t>
  </si>
  <si>
    <t>Why now? Does this say anything about the content negotiations?</t>
  </si>
  <si>
    <t>Likely to wait until functional separation is applied before commercial deployment</t>
  </si>
  <si>
    <t>How will this change things on a day to day basis?</t>
  </si>
  <si>
    <t>How should we think about election impact for 2018?</t>
  </si>
  <si>
    <t>Wholesale cable</t>
  </si>
  <si>
    <t>operational challenges</t>
  </si>
  <si>
    <t>restructuring</t>
  </si>
  <si>
    <t>on average, 26% up y/y</t>
  </si>
  <si>
    <t>Pricing mechanism</t>
  </si>
  <si>
    <t>pillar of upfronts discussions</t>
  </si>
  <si>
    <t>Isaac</t>
  </si>
  <si>
    <t>Channel 2 / Las Estrellas</t>
  </si>
  <si>
    <t>ratings up 50% up from Q4 2016</t>
  </si>
  <si>
    <t>last 13 weeks larger audience on primetime than all pay TV networks</t>
  </si>
  <si>
    <t>3 year strategic plan</t>
  </si>
  <si>
    <t>portfolio strategy.</t>
  </si>
  <si>
    <t>pay TV - focus on most successful networks, but will maintain 14 existing</t>
  </si>
  <si>
    <t>digital &amp; premium content</t>
  </si>
  <si>
    <t>some earthquake. Will lose 15-20k RGUs in the 4th Q</t>
  </si>
  <si>
    <t>wholesale</t>
  </si>
  <si>
    <t>cut in new government contracts</t>
  </si>
  <si>
    <t>taking steps to turn around</t>
  </si>
  <si>
    <t>13m homes passed</t>
  </si>
  <si>
    <t>Gross adds remains high</t>
  </si>
  <si>
    <t>Higher cancellations due to analogue switch off</t>
  </si>
  <si>
    <t>Earthquake impacted abiltity to sell for one week</t>
  </si>
  <si>
    <t>Analogue switch off will impact numbers in Q4. will get better from 2018, with the World Cup</t>
  </si>
  <si>
    <t>2 years later</t>
  </si>
  <si>
    <t>2018 - only platform carrying football World Cup (all 64 games), 40% exclusive</t>
  </si>
  <si>
    <t>Earthquake impact</t>
  </si>
  <si>
    <t>3 days. ~100m pesos</t>
  </si>
  <si>
    <t>Real SKY impact will spill into Q4</t>
  </si>
  <si>
    <t>Allocated more or less because of ratings?</t>
  </si>
  <si>
    <t>Severance expenses</t>
  </si>
  <si>
    <t>when will headcount reduction finish</t>
  </si>
  <si>
    <t>Questions</t>
  </si>
  <si>
    <t>mostly to do with Content</t>
  </si>
  <si>
    <t>will continue, a huge change</t>
  </si>
  <si>
    <t>things will be normalised</t>
  </si>
  <si>
    <t>World Cup</t>
  </si>
  <si>
    <t>will be positive for Ad in 2018</t>
  </si>
  <si>
    <t>Ad revenue outlook</t>
  </si>
  <si>
    <t>Aim for growth</t>
  </si>
  <si>
    <t>Differences between Mexico and US?</t>
  </si>
  <si>
    <t>New ratings</t>
  </si>
  <si>
    <t>Channel 2, more audiences than whole universe of pay TV</t>
  </si>
  <si>
    <t>reach is unreplicated</t>
  </si>
  <si>
    <t xml:space="preserve">Digital </t>
  </si>
  <si>
    <t>4 years behind the US</t>
  </si>
  <si>
    <t>Less flexibility to place spots whereever they want</t>
  </si>
  <si>
    <t xml:space="preserve">Ad </t>
  </si>
  <si>
    <t>More with international experience get it faster</t>
  </si>
  <si>
    <t>Deliver GRPs</t>
  </si>
  <si>
    <t>They're working with their agencies to see how they get to their targets</t>
  </si>
  <si>
    <t>Advertisers getting certainty</t>
  </si>
  <si>
    <t>finished family &amp; friends stage</t>
  </si>
  <si>
    <t>still facing a number of impediments</t>
  </si>
  <si>
    <t>commercial and operational impediments</t>
  </si>
  <si>
    <t>Content was not under new CEOs remit previously</t>
  </si>
  <si>
    <t>SKY ULL only</t>
  </si>
  <si>
    <t>SKY ULL</t>
  </si>
  <si>
    <t>TV Ad spend</t>
  </si>
  <si>
    <t>GDP</t>
  </si>
  <si>
    <t>as %</t>
  </si>
  <si>
    <t>Australia</t>
  </si>
  <si>
    <t>Japan</t>
  </si>
  <si>
    <t>Brazil</t>
  </si>
  <si>
    <t>Canada</t>
  </si>
  <si>
    <t>China</t>
  </si>
  <si>
    <t>India</t>
  </si>
  <si>
    <t>non digital</t>
  </si>
  <si>
    <t>tv</t>
  </si>
  <si>
    <t>other digital</t>
  </si>
  <si>
    <t>total</t>
  </si>
  <si>
    <t>12 top markets</t>
  </si>
  <si>
    <t>WARC</t>
  </si>
  <si>
    <t>USD estimate for 2017 from statista.com</t>
  </si>
  <si>
    <t>in MXN</t>
  </si>
  <si>
    <t>GDP, MXN m</t>
  </si>
  <si>
    <t>TV spend, 2013</t>
  </si>
  <si>
    <t>Ad spend, 2017e</t>
  </si>
  <si>
    <t xml:space="preserve">USD </t>
  </si>
  <si>
    <t>2013 - 60% of all Ad spend in Mexico is on TV</t>
  </si>
  <si>
    <t>As spend as % GDP</t>
  </si>
  <si>
    <t>TV spend as % GDP over time</t>
  </si>
  <si>
    <t>2018 additional business</t>
  </si>
  <si>
    <t>World Cup (4 years), invest in election coverage (6 years)</t>
  </si>
  <si>
    <t>not the time to stop spending on content</t>
  </si>
  <si>
    <t>1st 9 months has been down</t>
  </si>
  <si>
    <t>ties in with the step up in royalties</t>
  </si>
  <si>
    <t>500bp margin increase, will be less than that</t>
  </si>
  <si>
    <t xml:space="preserve">World Cup - not a lot </t>
  </si>
  <si>
    <t>&lt;10% of $600m Telemundo paid</t>
  </si>
  <si>
    <t>$25m 4 years ago - cost of rights up, peso terms weaker</t>
  </si>
  <si>
    <t>Election coverage…crew, news casts</t>
  </si>
  <si>
    <t>Shouldn't be more than the incremental royalties</t>
  </si>
  <si>
    <t>Sometimes regular content delivers better ratings than World Cup</t>
  </si>
  <si>
    <t>As TV ratings so big</t>
  </si>
  <si>
    <t>have to transmit it, even if don't get it recovered with revenue</t>
  </si>
  <si>
    <t>Companies redistribute Q1 revs to Q2…happened in 2014</t>
  </si>
  <si>
    <t>Sales mechanism shift</t>
  </si>
  <si>
    <t>use this rate going forward</t>
  </si>
  <si>
    <t>guarantees and the same price</t>
  </si>
  <si>
    <t>Macro shift…1 July 18 will be difficult</t>
  </si>
  <si>
    <t>Nobody knows PAN</t>
  </si>
  <si>
    <t>Key issues for 2018</t>
  </si>
  <si>
    <t>AMLO?</t>
  </si>
  <si>
    <t>Mayor of Mexico City - did quite well</t>
  </si>
  <si>
    <t>Never sell political, sell government adv</t>
  </si>
  <si>
    <t>vaccinations, back to school. On average, 5-8% of Ad revs</t>
  </si>
  <si>
    <t>normally through this year</t>
  </si>
  <si>
    <t>Federal electoral institute: political not disguised</t>
  </si>
  <si>
    <t>Q2 event. 5-8% less</t>
  </si>
  <si>
    <t>could be reallocated partly, but not all</t>
  </si>
  <si>
    <t>Santiago meeting with 4 analysts in Sao Paulo</t>
  </si>
  <si>
    <t>Numbers need to come down</t>
  </si>
  <si>
    <t>1 week - 8%</t>
  </si>
  <si>
    <t>distr, media in US down that week</t>
  </si>
  <si>
    <t>historically, traded more with Mexican companies</t>
  </si>
  <si>
    <t>2014/15 - more moved in line wit US media due to UNI</t>
  </si>
  <si>
    <t>cost cutting</t>
  </si>
  <si>
    <t>migration of budgets</t>
  </si>
  <si>
    <t>chord cutting</t>
  </si>
  <si>
    <t>Media - 70% share of audience, ratings are going up</t>
  </si>
  <si>
    <t>Cons EBITDA</t>
  </si>
  <si>
    <t>MXN bn</t>
  </si>
  <si>
    <t>MS</t>
  </si>
  <si>
    <t>before corp expenses</t>
  </si>
  <si>
    <t>before Q3</t>
  </si>
  <si>
    <t>Evercore</t>
  </si>
  <si>
    <t>post</t>
  </si>
  <si>
    <t>UBS</t>
  </si>
  <si>
    <t>BTG</t>
  </si>
  <si>
    <t>Citi</t>
  </si>
  <si>
    <t>Itau</t>
  </si>
  <si>
    <t>CS</t>
  </si>
  <si>
    <t>JPM</t>
  </si>
  <si>
    <t>BAML</t>
  </si>
  <si>
    <t>(from 40.6)</t>
  </si>
  <si>
    <t>Div split</t>
  </si>
  <si>
    <t>UNI - seems less likely</t>
  </si>
  <si>
    <t>M&amp;A optionality</t>
  </si>
  <si>
    <t>Ad revs 2018</t>
  </si>
  <si>
    <t>flat</t>
  </si>
  <si>
    <t>gut feel, not based on upfronts</t>
  </si>
  <si>
    <t>good base, with option on low to mid-single digits (3-4%)</t>
  </si>
  <si>
    <t>Network subs</t>
  </si>
  <si>
    <t>any growth should be entirely driven by cable, SKY growth</t>
  </si>
  <si>
    <t>150k in cable, is 4%</t>
  </si>
  <si>
    <t xml:space="preserve">SKY will struggle </t>
  </si>
  <si>
    <t>5% too high</t>
  </si>
  <si>
    <t>Q4</t>
  </si>
  <si>
    <t>6.5% down is ok</t>
  </si>
  <si>
    <t>4% down is fine</t>
  </si>
  <si>
    <t>UNI royalties</t>
  </si>
  <si>
    <t>$89.5m is fine</t>
  </si>
  <si>
    <t>affiliate fees up</t>
  </si>
  <si>
    <t>No World Cup</t>
  </si>
  <si>
    <t>Ad struggling</t>
  </si>
  <si>
    <t>$440m or so UNI royalties</t>
  </si>
  <si>
    <t>Incremental Content invests</t>
  </si>
  <si>
    <t>not all being invested, and not maintained beyond 2018</t>
  </si>
  <si>
    <t>$115m</t>
  </si>
  <si>
    <t>cost of content up by 2.2% in 2015, 11% increase in 2016, 2017 down by 3%</t>
  </si>
  <si>
    <t>3.5-4% perhaps underlying</t>
  </si>
  <si>
    <t>EBITDA, USD m</t>
  </si>
  <si>
    <t>OLD, MXN m</t>
  </si>
  <si>
    <t>300-400k is very unlikely</t>
  </si>
  <si>
    <t>lost 4k this year</t>
  </si>
  <si>
    <t>recharges - 70-75% every month. 50% at some level - have to let them go</t>
  </si>
  <si>
    <t>q3 - lowest in history</t>
  </si>
  <si>
    <t>disconnect - economy</t>
  </si>
  <si>
    <t>12 out of 18 months</t>
  </si>
  <si>
    <t>World Cup helps</t>
  </si>
  <si>
    <t>120-160k per Q</t>
  </si>
  <si>
    <t>200 in Q2</t>
  </si>
  <si>
    <t xml:space="preserve">24 exclusive </t>
  </si>
  <si>
    <t>pay TV sports network</t>
  </si>
  <si>
    <t>SKY exclusive</t>
  </si>
  <si>
    <t>&gt;50% fta</t>
  </si>
  <si>
    <t>Some incremental expense</t>
  </si>
  <si>
    <t>profit making?? Hard to say, faster growth in net adds</t>
  </si>
  <si>
    <t>Some price increase poss. Last one was December 1st</t>
  </si>
  <si>
    <t>take adds down</t>
  </si>
  <si>
    <t>1-3% of revs growth</t>
  </si>
  <si>
    <t>peso weakness</t>
  </si>
  <si>
    <t>will be up due to world cup</t>
  </si>
  <si>
    <t>So could be down at EBITDA</t>
  </si>
  <si>
    <t>RGU trends for Q3 - broadly should continue</t>
  </si>
  <si>
    <t>RGUs higher than 400k, prices up</t>
  </si>
  <si>
    <t>Network down in Q4, perhaps identical to Q3. flat in 18</t>
  </si>
  <si>
    <t>up in 2019</t>
  </si>
  <si>
    <t>relaunching business</t>
  </si>
  <si>
    <t>MXN1.7bn…non cash item</t>
  </si>
  <si>
    <t>cancellation of SKY satellite</t>
  </si>
  <si>
    <t>lay offs</t>
  </si>
  <si>
    <t>rebuild the network…</t>
  </si>
  <si>
    <t>run a disposal…helps from a tax</t>
  </si>
  <si>
    <t>should come down</t>
  </si>
  <si>
    <t>TV chat - Nov 2017</t>
  </si>
  <si>
    <t>"$175m in Ad Spend from last FIFA World Cup"</t>
  </si>
  <si>
    <t>78-79% in analogue switch off. Currently 70% (Q3) -  lowest level for some time</t>
  </si>
  <si>
    <t>Q1 18</t>
  </si>
  <si>
    <t>Q2 18</t>
  </si>
  <si>
    <t>Q3 18</t>
  </si>
  <si>
    <t>Q4 18</t>
  </si>
  <si>
    <t>Content opex</t>
  </si>
  <si>
    <t>Content opex, USD</t>
  </si>
  <si>
    <t>Cable as % group</t>
  </si>
  <si>
    <t>EFCF yield</t>
  </si>
  <si>
    <t>Charter</t>
  </si>
  <si>
    <t>Comcast</t>
  </si>
  <si>
    <t xml:space="preserve">Disney </t>
  </si>
  <si>
    <t>Fox</t>
  </si>
  <si>
    <t>Change as % group</t>
  </si>
  <si>
    <t>Total gross</t>
  </si>
  <si>
    <t>Total net</t>
  </si>
  <si>
    <t>Content costs - new</t>
  </si>
  <si>
    <t>Content costs - old</t>
  </si>
  <si>
    <t>The PE guys have to get out</t>
  </si>
  <si>
    <t>Funds are passed their expiration dates</t>
  </si>
  <si>
    <t>Filed S1, stopped getting management fees</t>
  </si>
  <si>
    <t>LPs not giving them extensions</t>
  </si>
  <si>
    <t>Selling and leavnig Haim behind</t>
  </si>
  <si>
    <t>Sept 17 - specific in saying PE not going to get</t>
  </si>
  <si>
    <t>Discovery - Scrips deal. High multiple</t>
  </si>
  <si>
    <t>Saban (Chairman) has supposedly been running the process. Had ridiculous expectations</t>
  </si>
  <si>
    <t>Can't IPO it - definitely not happening</t>
  </si>
  <si>
    <t>IR who they hired, Lorraine Mancine. No2 IR at TWC. Just left recently</t>
  </si>
  <si>
    <t>Was thinking something would happen quickly</t>
  </si>
  <si>
    <t>Bernado v close to Azcarraga</t>
  </si>
  <si>
    <t>Alfonso more aggressive</t>
  </si>
  <si>
    <t>Q3 18e</t>
  </si>
  <si>
    <t>Q4 18e</t>
  </si>
  <si>
    <t>Forecasts, US$m</t>
  </si>
  <si>
    <t>EFCF/Share</t>
  </si>
  <si>
    <t>Multiples</t>
  </si>
  <si>
    <t>P/E</t>
  </si>
  <si>
    <t>Div Yield</t>
  </si>
  <si>
    <t>Scatter</t>
  </si>
  <si>
    <t>Index = 2016</t>
  </si>
  <si>
    <t xml:space="preserve"> 80/20 mix</t>
  </si>
  <si>
    <t>as % stock</t>
  </si>
  <si>
    <t>YE change in GDS</t>
  </si>
  <si>
    <t>as % Content EBITDA</t>
  </si>
  <si>
    <t>as % Group EBITDA</t>
  </si>
  <si>
    <t>Change vs NSR</t>
  </si>
  <si>
    <t>2018 growth in Ad</t>
  </si>
  <si>
    <t>Additional 2018 Ad revs, MXN m</t>
  </si>
  <si>
    <t>Cable RGUs</t>
  </si>
  <si>
    <t>Cable revenue</t>
  </si>
  <si>
    <t>Q4 spot market is normally 40% of total spot</t>
  </si>
  <si>
    <t>Sell side is closer to 8/9% down</t>
  </si>
  <si>
    <t>Ad growth  in 2018</t>
  </si>
  <si>
    <t>Amount of royalties saved</t>
  </si>
  <si>
    <t>50%??</t>
  </si>
  <si>
    <t>range of -1.6% and +4%</t>
  </si>
  <si>
    <t xml:space="preserve">EBITDA </t>
  </si>
  <si>
    <t>Consensus - Nov 28th</t>
  </si>
  <si>
    <t>3.8-4.2</t>
  </si>
  <si>
    <t>9.5-10.5</t>
  </si>
  <si>
    <t>Op income</t>
  </si>
  <si>
    <t>8.5-9.5</t>
  </si>
  <si>
    <t>Non-Ad (retrans)</t>
  </si>
  <si>
    <t>Fair value  of MEGA</t>
  </si>
  <si>
    <t>Premium to MEGA price</t>
  </si>
  <si>
    <t>MEGA EV at bid</t>
  </si>
  <si>
    <t>New EFCF</t>
  </si>
  <si>
    <t>dilution</t>
  </si>
  <si>
    <t>EFCF/share today, $</t>
  </si>
  <si>
    <t>SHOUT issued</t>
  </si>
  <si>
    <t>Stock issue price (ADR)</t>
  </si>
  <si>
    <t>New SHOUT</t>
  </si>
  <si>
    <t>NewCo EBITDA</t>
  </si>
  <si>
    <t>NewCo debt/EBITDA</t>
  </si>
  <si>
    <t>New EFCF/share, $</t>
  </si>
  <si>
    <t>MEGA stake in TV</t>
  </si>
  <si>
    <t>FTA TV</t>
  </si>
  <si>
    <t>Press</t>
  </si>
  <si>
    <t>Journals</t>
  </si>
  <si>
    <t>Outdoor ads</t>
  </si>
  <si>
    <t>Cinema</t>
  </si>
  <si>
    <t>Upside not downside</t>
  </si>
  <si>
    <t>Resolution of dominance…back and forth with courts</t>
  </si>
  <si>
    <t>Outcomes</t>
  </si>
  <si>
    <t>1/ status quo. Dominant but no additional implications. Paying Azteca the only issue</t>
  </si>
  <si>
    <t>2/ courts force IFT to do analysis again</t>
  </si>
  <si>
    <t>3/ court determinaes that IFT resolution of dominance is compliant and IFT implements additional measures</t>
  </si>
  <si>
    <t>Court will decide manner of method NOT whether dominant or not</t>
  </si>
  <si>
    <t>IFT chooses measures and timing, irregardless</t>
  </si>
  <si>
    <t>Timely</t>
  </si>
  <si>
    <t>Relevant</t>
  </si>
  <si>
    <t>specific behaviour</t>
  </si>
  <si>
    <t>when it occurred. Pay TV has been coming down in real terms. Flat for 4 years, before last year. FTA channels are free.</t>
  </si>
  <si>
    <t>Split SKY..would take time to get to the point of needing to split SKY</t>
  </si>
  <si>
    <t>Dominant today</t>
  </si>
  <si>
    <t>Questioning whether method for determining this was correct</t>
  </si>
  <si>
    <t>if yes, then stay dominant</t>
  </si>
  <si>
    <t>Conclusion</t>
  </si>
  <si>
    <t>if no, IFT goes away and does another assessment</t>
  </si>
  <si>
    <t>Chat - Dec 8th 2017</t>
  </si>
  <si>
    <t>IFT could at any point have chosen to add additional measures</t>
  </si>
  <si>
    <t>Measures need to be timely and relevant</t>
  </si>
  <si>
    <t>so, pricing issues in 2014 shouldn't determine changes in 2018</t>
  </si>
  <si>
    <t>need to consider specific behaviour</t>
  </si>
  <si>
    <t>negative MEGA comp goes ok. Limited growth</t>
  </si>
  <si>
    <t>Licence</t>
  </si>
  <si>
    <t>1 Jan royalty increase</t>
  </si>
  <si>
    <t>depends on UNI affiliate fees ok, Ad less good</t>
  </si>
  <si>
    <t>Consensus at $320m, underlying revs +/- 5%</t>
  </si>
  <si>
    <t>Q4 good for RGUs</t>
  </si>
  <si>
    <t>Hope to guide on Content margins</t>
  </si>
  <si>
    <t>Chat - Jan 8th 2017</t>
  </si>
  <si>
    <t>Hope for growth returning</t>
  </si>
  <si>
    <t>Price changes</t>
  </si>
  <si>
    <t>5% in Q4..most packages</t>
  </si>
  <si>
    <t>VETV</t>
  </si>
  <si>
    <t>Dish has not yet followed</t>
  </si>
  <si>
    <t>new packages</t>
  </si>
  <si>
    <t>legacy</t>
  </si>
  <si>
    <t>Cost and expenses going up every year in SKY</t>
  </si>
  <si>
    <t>So some level of margin squeeze?</t>
  </si>
  <si>
    <t>Low 40%s for 2018</t>
  </si>
  <si>
    <t>Cable:-</t>
  </si>
  <si>
    <t>Q4 - more RGUs than in Q3</t>
  </si>
  <si>
    <t>Annualise Q3 - 800k in 2018</t>
  </si>
  <si>
    <t>Volume growht of 8%</t>
  </si>
  <si>
    <t>Plus price</t>
  </si>
  <si>
    <t>Should be double digit revs growth</t>
  </si>
  <si>
    <t xml:space="preserve">Q4 release </t>
  </si>
  <si>
    <t>20th Feb</t>
  </si>
  <si>
    <t>Chat - Jan 23rd 2017</t>
  </si>
  <si>
    <t>Cable consolidation</t>
  </si>
  <si>
    <t>Content is free in Mexico.</t>
  </si>
  <si>
    <t>Taking a look at the portfolio</t>
  </si>
  <si>
    <t>Pro-active on convincing sell side of merits of cable spin</t>
  </si>
  <si>
    <t>Important for distribution and content to be in the same company</t>
  </si>
  <si>
    <t>if create and distribute, you capture all the value chain</t>
  </si>
  <si>
    <t>strategic..if didn't own distribution, then would be owned by AMX</t>
  </si>
  <si>
    <t>if didn't own, wouldn't be able to have consolidated cable market (financially)</t>
  </si>
  <si>
    <t>Gaming, publishing, radio - with bankers, one-on-one also</t>
  </si>
  <si>
    <t>Give as much guidance as they can at the FYs</t>
  </si>
  <si>
    <t>Q4 Ad sales, driven by scatter. Represents 20% of Ad in q1/q2/q3 and 40% in q4</t>
  </si>
  <si>
    <t>Market focus</t>
  </si>
  <si>
    <t>2 deals in Jan. Ignore Upfronts on BS, and ignores SKY and cable</t>
  </si>
  <si>
    <t>How many customers migrated to new pricing mechanism</t>
  </si>
  <si>
    <t>if ratings up, then revs not down. Excess inventory could be sold</t>
  </si>
  <si>
    <t>Ad revs…flat, 1/2% maybe in-line with GDP</t>
  </si>
  <si>
    <t>-0.5% to 2.5%</t>
  </si>
  <si>
    <t>Costs and expenses in Content</t>
  </si>
  <si>
    <t>guide here</t>
  </si>
  <si>
    <t>start amortising cost in Q4, Q1 , Q2 and Q3</t>
  </si>
  <si>
    <t>profitable long-term at SKY</t>
  </si>
  <si>
    <t>net adds grow more quickly</t>
  </si>
  <si>
    <t>longer payback than 12m</t>
  </si>
  <si>
    <t>strategic benefit to offering World Cup</t>
  </si>
  <si>
    <t>puts TV in a better position to negotiate</t>
  </si>
  <si>
    <t>Disposals</t>
  </si>
  <si>
    <t>FY 2017 results</t>
  </si>
  <si>
    <t>Thoughts on Ad growth?</t>
  </si>
  <si>
    <t>All 64 games of the World Cup</t>
  </si>
  <si>
    <t>Temp step down in op income margins</t>
  </si>
  <si>
    <t>will likely remain low-to-mid 40%</t>
  </si>
  <si>
    <t>Blue Telecomm</t>
  </si>
  <si>
    <t>Fixed wireless internet service</t>
  </si>
  <si>
    <t>Margin guidance</t>
  </si>
  <si>
    <t>relaunching wholesale?</t>
  </si>
  <si>
    <t>margins impacted, but will we see better revenue from World Cup</t>
  </si>
  <si>
    <t>Prime time</t>
  </si>
  <si>
    <t>22% up in Q4</t>
  </si>
  <si>
    <t>15% in 2017 FY</t>
  </si>
  <si>
    <t>Ratings to continue to grow</t>
  </si>
  <si>
    <t>Asset sales</t>
  </si>
  <si>
    <t>very difficult</t>
  </si>
  <si>
    <t>pricing mechanism and amount committed</t>
  </si>
  <si>
    <t>100% of customers on new model</t>
  </si>
  <si>
    <t>MXN16.4bn commited</t>
  </si>
  <si>
    <t>A few new clients, Amazon, Uber, Mercadolibre, Trivago</t>
  </si>
  <si>
    <t>Go back to growing with the economy</t>
  </si>
  <si>
    <t>Cut costs expenses by MXN800m</t>
  </si>
  <si>
    <t>% growth in costs will be low teens</t>
  </si>
  <si>
    <t>3 factors</t>
  </si>
  <si>
    <t>1/ investing in transformational initiatives</t>
  </si>
  <si>
    <t>2/ soccer, half on FTA</t>
  </si>
  <si>
    <t>3/ election, Presidential, both chambers of Congress</t>
  </si>
  <si>
    <t>Assets</t>
  </si>
  <si>
    <t>all under the same corporate structure - is this sensible</t>
  </si>
  <si>
    <t>Any scatter left unsold?</t>
  </si>
  <si>
    <t>Inventory usage?</t>
  </si>
  <si>
    <t>Low in the 3rd and 4th quarter</t>
  </si>
  <si>
    <t>How much is market growth, how much is market share?</t>
  </si>
  <si>
    <t>Both</t>
  </si>
  <si>
    <t>14m homes passed</t>
  </si>
  <si>
    <t>Ad revs should grow?? Is it a floor</t>
  </si>
  <si>
    <t>World Cup and elections - cost?</t>
  </si>
  <si>
    <t>$150m investment</t>
  </si>
  <si>
    <t>Partnerships with international content</t>
  </si>
  <si>
    <t>Supreme Court ruling in favour Televisa</t>
  </si>
  <si>
    <t>re dominance on pay TV</t>
  </si>
  <si>
    <t>long story, sept 15 - ifetel said not substantial power</t>
  </si>
  <si>
    <t>then Jan 17 - court ordered ifetel to review ruling</t>
  </si>
  <si>
    <t>mar 17 - ifetel reversed decision, declared dominance</t>
  </si>
  <si>
    <t>as of Aug-14</t>
  </si>
  <si>
    <t>filed motions in Supreme Court</t>
  </si>
  <si>
    <t>ifetel now likely to rule not dominant</t>
  </si>
  <si>
    <t>MXN800m sale of Argentina, redundancies and other</t>
  </si>
  <si>
    <t>Price rises for SKY</t>
  </si>
  <si>
    <t>70% of other is non-recurring</t>
  </si>
  <si>
    <t>30% is severance</t>
  </si>
  <si>
    <t>World Cup will support the price rises</t>
  </si>
  <si>
    <t>All scenarios, not sharing anything yet. Good for TV/shareholders, or create separate public vehicles</t>
  </si>
  <si>
    <t>media and telcos converge for consumers, doesn't seem to be a consensus on right mix</t>
  </si>
  <si>
    <t>AT&amp;T buying content</t>
  </si>
  <si>
    <t>Comcast integrated, cable and content</t>
  </si>
  <si>
    <t>Comcast similar to Televisa</t>
  </si>
  <si>
    <t>BUT</t>
  </si>
  <si>
    <t>Fox is selling a material part of its assets</t>
  </si>
  <si>
    <t>Recently launched voice and data</t>
  </si>
  <si>
    <t>Starting with focusing on re-sale of Telmex</t>
  </si>
  <si>
    <t>until ready with LLU</t>
  </si>
  <si>
    <t>continue to face obstacles with Telmex</t>
  </si>
  <si>
    <t>continue to file complaints</t>
  </si>
  <si>
    <t>Fixed wireless</t>
  </si>
  <si>
    <t>plan is to launch in April</t>
  </si>
  <si>
    <t>believe will be highly successful</t>
  </si>
  <si>
    <t>no requirement for installation</t>
  </si>
  <si>
    <t>conversations with Red Compartida</t>
  </si>
  <si>
    <t>Repackaged pay TV</t>
  </si>
  <si>
    <t>higher price charged to SKY, cable etc</t>
  </si>
  <si>
    <t>existing network of cellular company in Mexico</t>
  </si>
  <si>
    <t>With SKY</t>
  </si>
  <si>
    <t>reflected within the margin guidance</t>
  </si>
  <si>
    <t>Template</t>
  </si>
  <si>
    <t>toughest to forecast</t>
  </si>
  <si>
    <t>not charging more</t>
  </si>
  <si>
    <t>netwrork subs</t>
  </si>
  <si>
    <t>annuailse q4</t>
  </si>
  <si>
    <t>repackaged of the bundles, prices up</t>
  </si>
  <si>
    <t>q4 mxn100m</t>
  </si>
  <si>
    <t>1st oct</t>
  </si>
  <si>
    <t>uni</t>
  </si>
  <si>
    <t>no revenue growth</t>
  </si>
  <si>
    <t>q4 16 gained some political revs</t>
  </si>
  <si>
    <t>$427m</t>
  </si>
  <si>
    <t>everything else</t>
  </si>
  <si>
    <t>annualise q1-q3, $160m</t>
  </si>
  <si>
    <t>$590m</t>
  </si>
  <si>
    <t>8.6% growth in Content revs</t>
  </si>
  <si>
    <t>$150m</t>
  </si>
  <si>
    <t>salaries the bulk</t>
  </si>
  <si>
    <t>35% margin therefore on Content</t>
  </si>
  <si>
    <t>50,000 adds</t>
  </si>
  <si>
    <t>Price increase  of 5%, premium and other</t>
  </si>
  <si>
    <t>75% flows through, 3.5%</t>
  </si>
  <si>
    <t>costs, exp - up 10%</t>
  </si>
  <si>
    <t>Margins down in 2018….</t>
  </si>
  <si>
    <t>World Cup, different levels, 6 separate recharges</t>
  </si>
  <si>
    <t>70% recharge level</t>
  </si>
  <si>
    <t>Averaging q3 and q4 adds</t>
  </si>
  <si>
    <t>rgus of 750k, could be 900k</t>
  </si>
  <si>
    <t>mid year price increase</t>
  </si>
  <si>
    <t>11.5% revenue growth. Enterprise flat</t>
  </si>
  <si>
    <t>Salvi looking at enterprise</t>
  </si>
  <si>
    <t>first 2qs negative, h2 slightly positive</t>
  </si>
  <si>
    <t>MXN8bn</t>
  </si>
  <si>
    <t>EBITDA at MXN490m</t>
  </si>
  <si>
    <t>None exist by Q4…?</t>
  </si>
  <si>
    <t>Q4 take out MXN800m, FY ex 1.6, using this going forward</t>
  </si>
  <si>
    <t>previously loss making vs profitable</t>
  </si>
  <si>
    <t>suddenly need to pay</t>
  </si>
  <si>
    <t>agreement to pay over time</t>
  </si>
  <si>
    <t>2017: mxn1.2bn to meet retroactive taxes</t>
  </si>
  <si>
    <t>Post-Q4 17 chat, numbers run through</t>
  </si>
  <si>
    <t>Tax liability</t>
  </si>
  <si>
    <t>Income tax payables</t>
  </si>
  <si>
    <t>Cash taxes</t>
  </si>
  <si>
    <t>Spot</t>
  </si>
  <si>
    <t>Deposits</t>
  </si>
  <si>
    <t>April-2018 update</t>
  </si>
  <si>
    <t>unlim</t>
  </si>
  <si>
    <t>Claro Video inc</t>
  </si>
  <si>
    <t>Discount</t>
  </si>
  <si>
    <t>60 channels</t>
  </si>
  <si>
    <t>local calls</t>
  </si>
  <si>
    <t>12m contract</t>
  </si>
  <si>
    <t>No contract</t>
  </si>
  <si>
    <t>Notes</t>
  </si>
  <si>
    <t>Internet / voice</t>
  </si>
  <si>
    <t>150 channels</t>
  </si>
  <si>
    <t>200 channels</t>
  </si>
  <si>
    <t>x3 play</t>
  </si>
  <si>
    <t>Internet / TV</t>
  </si>
  <si>
    <t>349 (379)</t>
  </si>
  <si>
    <t>599 (629</t>
  </si>
  <si>
    <t>749 (779)</t>
  </si>
  <si>
    <t>799 (829)</t>
  </si>
  <si>
    <t>130 channels</t>
  </si>
  <si>
    <t>221 channels</t>
  </si>
  <si>
    <t>499 (529</t>
  </si>
  <si>
    <t>108 channels</t>
  </si>
  <si>
    <t>"Total XVIEW"</t>
  </si>
  <si>
    <t>259 channels</t>
  </si>
  <si>
    <t>Q1 18 conf call</t>
  </si>
  <si>
    <t>Cable ARPU slipped a little</t>
  </si>
  <si>
    <t>What subs are you adding?</t>
  </si>
  <si>
    <t>Strategic moves</t>
  </si>
  <si>
    <t>Pacing of Content growth during the year</t>
  </si>
  <si>
    <t>Other losses much lower</t>
  </si>
  <si>
    <t>new normal</t>
  </si>
  <si>
    <t>SKY margins bounced back/</t>
  </si>
  <si>
    <t>Salvi as permanent CEO of cable</t>
  </si>
  <si>
    <t>March = x3 play adoption of each the previous months</t>
  </si>
  <si>
    <t>New management team in Enterprise</t>
  </si>
  <si>
    <t>EBITDA margin of 42% is in-line with guidance</t>
  </si>
  <si>
    <t>Revs decline, Dom Rep and CA weak</t>
  </si>
  <si>
    <t>small but very weak here</t>
  </si>
  <si>
    <t>Mexico..SKY growing in revs and EBITDA</t>
  </si>
  <si>
    <t>SKY pushing exec 24</t>
  </si>
  <si>
    <t>blue - soft launch in March</t>
  </si>
  <si>
    <t>fixed plug in wireless, partnership with AT&amp;T</t>
  </si>
  <si>
    <t>5-10 Mbps</t>
  </si>
  <si>
    <t>remote areas of the country</t>
  </si>
  <si>
    <t>frame the target market for wireless BB through SKY</t>
  </si>
  <si>
    <t>how is wholesale product going?</t>
  </si>
  <si>
    <t>where are subs coming from?</t>
  </si>
  <si>
    <t>Q1</t>
  </si>
  <si>
    <t>9 of 10 top rated programs by Televisa</t>
  </si>
  <si>
    <t>2 main FTA networks most watched</t>
  </si>
  <si>
    <t>Ratings still</t>
  </si>
  <si>
    <t>4% up on Q4 17</t>
  </si>
  <si>
    <t>Prime Flagship</t>
  </si>
  <si>
    <t>$150m content costs</t>
  </si>
  <si>
    <t>aggressive cost reduction</t>
  </si>
  <si>
    <t>$50m throughout the year</t>
  </si>
  <si>
    <t>finance and admin…10% headcount down</t>
  </si>
  <si>
    <t>How to mitigate impact</t>
  </si>
  <si>
    <t>Very successful on monetising broadcast and digital rights</t>
  </si>
  <si>
    <t>Additional $50m in operating segment income</t>
  </si>
  <si>
    <t>$50m increase in Content / opex (only?) only therefore</t>
  </si>
  <si>
    <t>Feb</t>
  </si>
  <si>
    <t>agreement with Amazon</t>
  </si>
  <si>
    <t>strategy to produce and develop content</t>
  </si>
  <si>
    <t>Cancel 44m CPOs</t>
  </si>
  <si>
    <t>1.5% of shares</t>
  </si>
  <si>
    <t>Payment of reg dividend of 35 cent/CPO</t>
  </si>
  <si>
    <t xml:space="preserve">Q2/Q3 </t>
  </si>
  <si>
    <t>higher investment in Ad from World Cup</t>
  </si>
  <si>
    <t>But higher revenue</t>
  </si>
  <si>
    <t>Ad revenue mid to high single digit</t>
  </si>
  <si>
    <t>cautious, but optimistic on Ad</t>
  </si>
  <si>
    <t>new pricing adopted by all clients</t>
  </si>
  <si>
    <t>World Cup Q2/Q3 revs growth</t>
  </si>
  <si>
    <t>During Q1, 2 holidays and Holy Week</t>
  </si>
  <si>
    <t>Yet a great Q</t>
  </si>
  <si>
    <t>March - 50 Mbps offer and pushing triple play</t>
  </si>
  <si>
    <t>Other losses</t>
  </si>
  <si>
    <t>MXN240m losses</t>
  </si>
  <si>
    <t>2000 headcount cut, severance expense of MXN900m in 16</t>
  </si>
  <si>
    <t>lower  in 2017, expect lower in 2018</t>
  </si>
  <si>
    <t>disposition charge also</t>
  </si>
  <si>
    <t>UNI</t>
  </si>
  <si>
    <t>YTD, posting good subs</t>
  </si>
  <si>
    <t>But, UNI will be challenged in 2018 and Telemundo has the World Cup</t>
  </si>
  <si>
    <t>Blim?</t>
  </si>
  <si>
    <t>3 series produced for Amazon</t>
  </si>
  <si>
    <t>We want to be the partner of choice for Amazon</t>
  </si>
  <si>
    <t>Testing data to see what the audience want</t>
  </si>
  <si>
    <t>FTA viewing went up 8.5% in 2017</t>
  </si>
  <si>
    <t>Pay TV saturation in Mexico?</t>
  </si>
  <si>
    <t>No, can get to 75%</t>
  </si>
  <si>
    <t>Fell in SKY in Q1 due to new payment option from last May (2017)</t>
  </si>
  <si>
    <t>Recharge every 15 days, as well as 30 days</t>
  </si>
  <si>
    <t>Therefore retained subs which would have been lost</t>
  </si>
  <si>
    <t>However, it only kept the subs through Q1 over which time not recharging</t>
  </si>
  <si>
    <t>Election impact</t>
  </si>
  <si>
    <t>World Cup - cautiously optimistic</t>
  </si>
  <si>
    <t>Ratings particularly good this year</t>
  </si>
  <si>
    <t>Capex much lower in Q1</t>
  </si>
  <si>
    <t>Time being maintaining capex</t>
  </si>
  <si>
    <t>$900m for 2018, same as 2017. BUT finding ways to cut capex</t>
  </si>
  <si>
    <t>Cable cut this Q: most of network upgraded. BUT acquisition capex wil stay</t>
  </si>
  <si>
    <t>utilisation of prime time inventory up 10pp</t>
  </si>
  <si>
    <t>Pay TV dominance</t>
  </si>
  <si>
    <t>Govt spending 8% of Ad spend</t>
  </si>
  <si>
    <t>after election will recover</t>
  </si>
  <si>
    <t>up in Q1 18, will fall as closer to election (60 days)</t>
  </si>
  <si>
    <t>Feb 7th - Supreme Court overruled IFR</t>
  </si>
  <si>
    <t>Mar-20th - IFT revised its previous resolution, concluding doesn’t have the elements to conclude on pay TV</t>
  </si>
  <si>
    <t>IFT resolution complies with Supreme Court guidelines</t>
  </si>
  <si>
    <t>Closed that process</t>
  </si>
  <si>
    <t>Continue to explore</t>
  </si>
  <si>
    <t>TV has valuable assets, is market giving it the right valuation</t>
  </si>
  <si>
    <t>Conclude process this year</t>
  </si>
  <si>
    <t>Gain booked in Licencing and Syndication…$20m in Q4, repeated in Q1?</t>
  </si>
  <si>
    <t>Carlos</t>
  </si>
  <si>
    <t>$150m closer to $100m</t>
  </si>
  <si>
    <t>Embark on mission to monetise World Cup…significant additional revenue</t>
  </si>
  <si>
    <t>net contribution from World Cup of $50m</t>
  </si>
  <si>
    <t>revs</t>
  </si>
  <si>
    <t>content…possibly separate</t>
  </si>
  <si>
    <t>costs</t>
  </si>
  <si>
    <t>OTI</t>
  </si>
  <si>
    <t>This time, TV bought rights for all countries</t>
  </si>
  <si>
    <t>Change in the mandate the Content division has</t>
  </si>
  <si>
    <t>selling digital and broadcast rights…in Mexico also</t>
  </si>
  <si>
    <t>$50m - some of this has been saved already</t>
  </si>
  <si>
    <t>Election: 4-8% depending on the year..of total Ad revenue</t>
  </si>
  <si>
    <t>90 days, not 60</t>
  </si>
  <si>
    <t>30% of subs are on legacy packages</t>
  </si>
  <si>
    <t>ARPU per data sub</t>
  </si>
  <si>
    <t>forget about single, dual-play: sell x3 play</t>
  </si>
  <si>
    <t>in q1, x2 as much in the last 13 months</t>
  </si>
  <si>
    <t>Telmex replicating same packages</t>
  </si>
  <si>
    <t>More for more easier today</t>
  </si>
  <si>
    <t>Previously the macro was problematic</t>
  </si>
  <si>
    <t>Unique</t>
  </si>
  <si>
    <t>RGUs per subs</t>
  </si>
  <si>
    <t>Retail ARPU (per RGU)</t>
  </si>
  <si>
    <t>Retail ARPU (per sub)</t>
  </si>
  <si>
    <t>Other (MMDS, other fixed wireless)</t>
  </si>
  <si>
    <t>blue telecomm (wired)</t>
  </si>
  <si>
    <t>Internet only</t>
  </si>
  <si>
    <t>AT&amp;T wireless</t>
  </si>
  <si>
    <t>blue telecomm wireless</t>
  </si>
  <si>
    <t>One year on, broadband speed demands have moved on</t>
  </si>
  <si>
    <t>blue telecomm fixed (wholesale DSL)</t>
  </si>
  <si>
    <t>discount*</t>
  </si>
  <si>
    <t>200 cell, 100 local/int.</t>
  </si>
  <si>
    <t xml:space="preserve">Izzy </t>
  </si>
  <si>
    <t xml:space="preserve">Synergy adjusted bid EV </t>
  </si>
  <si>
    <t>Synergy adj. EV/EBITDA</t>
  </si>
  <si>
    <t>Internet / voice **</t>
  </si>
  <si>
    <t>Discount to</t>
  </si>
  <si>
    <t>Clean, USD</t>
  </si>
  <si>
    <t>Content ex-WC digital sales</t>
  </si>
  <si>
    <t>Content ex-UNI</t>
  </si>
  <si>
    <t>Content EBITDA underlying</t>
  </si>
  <si>
    <t>WC sales in USD</t>
  </si>
  <si>
    <t>WC sales EBITDA in MXN</t>
  </si>
  <si>
    <t>World Cup rights the same guidance…why is there a cost?</t>
  </si>
  <si>
    <t xml:space="preserve">Football impact huge…why is this? </t>
  </si>
  <si>
    <t>Election impact on Q3 and H2…significant uncertainty?</t>
  </si>
  <si>
    <t>SKY margins high again..guiding to low 40's</t>
  </si>
  <si>
    <t>Clean OIBDA ex WC</t>
  </si>
  <si>
    <t>Content costs..$70m in H1  y/y. Still happy with $100m for FY?</t>
  </si>
  <si>
    <t>Ad growth</t>
  </si>
  <si>
    <t>Political Ad impact</t>
  </si>
  <si>
    <t>Cable OTT App</t>
  </si>
  <si>
    <t>Live access to 60 linear</t>
  </si>
  <si>
    <t>Catch up</t>
  </si>
  <si>
    <t>Movies</t>
  </si>
  <si>
    <t>Gross</t>
  </si>
  <si>
    <t>Ongoing reduction in churn</t>
  </si>
  <si>
    <t>historically low</t>
  </si>
  <si>
    <t>Market dynamics favourable</t>
  </si>
  <si>
    <t>51% BB pen</t>
  </si>
  <si>
    <t>54% of BB subs complained about low speeds</t>
  </si>
  <si>
    <t>OECD - 34 members, Mexico has the lowest speeds</t>
  </si>
  <si>
    <t>Enterprise</t>
  </si>
  <si>
    <t>Expect better results in H2</t>
  </si>
  <si>
    <t>Benefit from World Cup</t>
  </si>
  <si>
    <t>Recharge rate is low…below normalised levels</t>
  </si>
  <si>
    <t>Margins impacted by WC amortisation costs</t>
  </si>
  <si>
    <t>10,000 members</t>
  </si>
  <si>
    <t xml:space="preserve">plug in AT&amp;T service </t>
  </si>
  <si>
    <t xml:space="preserve">WC contribution? </t>
  </si>
  <si>
    <t>Some shifted to Q2</t>
  </si>
  <si>
    <t>re-packaging and pricing from Q4 last year</t>
  </si>
  <si>
    <t>Digital sales</t>
  </si>
  <si>
    <t>$44m in EBITDA</t>
  </si>
  <si>
    <t>Q3 additional benefit</t>
  </si>
  <si>
    <t>Elections, World Cup accounted for 50% of the increase in underlying Content</t>
  </si>
  <si>
    <t>211% and 113% increase viewing figures</t>
  </si>
  <si>
    <t>Election, 3x more ratings</t>
  </si>
  <si>
    <t>19/25 matches beat Azteca (who also showed footy)</t>
  </si>
  <si>
    <t>Channel 5</t>
  </si>
  <si>
    <t xml:space="preserve">ratings </t>
  </si>
  <si>
    <t>FTA - first 6 months has gone up</t>
  </si>
  <si>
    <t>19-54</t>
  </si>
  <si>
    <t>+9% increase in 2017</t>
  </si>
  <si>
    <t>+7% increase in H1 18</t>
  </si>
  <si>
    <t>Imagine $341m</t>
  </si>
  <si>
    <t>Outcome from Election</t>
  </si>
  <si>
    <t>Autonomy of Central Bank</t>
  </si>
  <si>
    <t>Fiscal Discipline</t>
  </si>
  <si>
    <t>Freedom of speech</t>
  </si>
  <si>
    <t>So far from Amlo</t>
  </si>
  <si>
    <t xml:space="preserve">Thanked the Media for subjectivity of media in run up to the election </t>
  </si>
  <si>
    <t>Referenced Televisa specifically</t>
  </si>
  <si>
    <t>$20m in Q3 from digital sales</t>
  </si>
  <si>
    <t>UNI ratings</t>
  </si>
  <si>
    <t>Telemundo has World Cup in Spanish</t>
  </si>
  <si>
    <t>No tough for UNI</t>
  </si>
  <si>
    <t>Generally strong in sports</t>
  </si>
  <si>
    <t>Television Everywhere rights</t>
  </si>
  <si>
    <t>Also supported by exchange rate</t>
  </si>
  <si>
    <t>$100m - half is WC and Election, most booked in Q2</t>
  </si>
  <si>
    <t>SKY wireless + ULL - 10k subs, 8m subs at SKY</t>
  </si>
  <si>
    <t>results will be excellent</t>
  </si>
  <si>
    <t>mainly though AT&amp;T</t>
  </si>
  <si>
    <t>ULL continues to have many issues</t>
  </si>
  <si>
    <t>pricing is not right</t>
  </si>
  <si>
    <t>Review</t>
  </si>
  <si>
    <t>Ongoing</t>
  </si>
  <si>
    <t>Content &amp; distribution - looking closely</t>
  </si>
  <si>
    <t>Malone - keep Content and distro separate</t>
  </si>
  <si>
    <t>Trying to work out how more valuable</t>
  </si>
  <si>
    <t>Reality shows popular</t>
  </si>
  <si>
    <t>Traditional to contemporary</t>
  </si>
  <si>
    <t>faster paced, more action - than Telenovela (4 months)</t>
  </si>
  <si>
    <t>avoiding the traditional Cinderella story</t>
  </si>
  <si>
    <t>La Piloto - softer version of Narcos</t>
  </si>
  <si>
    <t>Better ratings</t>
  </si>
  <si>
    <t>Should lead to more money</t>
  </si>
  <si>
    <t>Digital Ad is in question, according to big advertisers</t>
  </si>
  <si>
    <t>TV remains very effective, OTA</t>
  </si>
  <si>
    <t>Audience share is larger than all pay TV channels put together</t>
  </si>
  <si>
    <t>Little by little convinving Advertisers to come back</t>
  </si>
  <si>
    <t>Globo</t>
  </si>
  <si>
    <t>Producing Content for You Tube</t>
  </si>
  <si>
    <t>Fixed</t>
  </si>
  <si>
    <t>Wireless not being bundled today</t>
  </si>
  <si>
    <t>Developing a package</t>
  </si>
  <si>
    <t>World Cup digital</t>
  </si>
  <si>
    <t>EBITDA, MXN m</t>
  </si>
  <si>
    <t>TV US (ADR)</t>
  </si>
  <si>
    <t>USD EBITDA</t>
  </si>
  <si>
    <t>USD revenue</t>
  </si>
  <si>
    <t>USD opex</t>
  </si>
  <si>
    <t>USD as %</t>
  </si>
  <si>
    <t>EBITDA in USD, USD</t>
  </si>
  <si>
    <t>EBITDA in USD, MXN</t>
  </si>
  <si>
    <t>Switz</t>
  </si>
  <si>
    <t>Ireland</t>
  </si>
  <si>
    <t>Wireless SIMs as % base</t>
  </si>
  <si>
    <t>Hungary</t>
  </si>
  <si>
    <t>LBTY Global</t>
  </si>
  <si>
    <t>Highfields</t>
  </si>
  <si>
    <t>returning cash to shareholders</t>
  </si>
  <si>
    <t>Artisan - took them 4 quarters</t>
  </si>
  <si>
    <t>higher than 3% reported on Bloomy, funds which don't disclose</t>
  </si>
  <si>
    <t>have started selling a while back</t>
  </si>
  <si>
    <t>Goldman's feedback</t>
  </si>
  <si>
    <t>Don't know what the company will look like in 1 year</t>
  </si>
  <si>
    <t>AMLO</t>
  </si>
  <si>
    <t>really benevolent</t>
  </si>
  <si>
    <t>Dec 1st</t>
  </si>
  <si>
    <t>"should be fine"..built a good relationship</t>
  </si>
  <si>
    <t>airports, oil and gas reform, other things</t>
  </si>
  <si>
    <t>cut down on Ad spend by 50%</t>
  </si>
  <si>
    <t>10% of Ad spend in 2017</t>
  </si>
  <si>
    <t>down to 5%</t>
  </si>
  <si>
    <t>Ad revenue</t>
  </si>
  <si>
    <t>Sell side: 1-3% for H2. would rather</t>
  </si>
  <si>
    <t>Buy side, flattish</t>
  </si>
  <si>
    <t>Carlos feeling more comfortable</t>
  </si>
  <si>
    <t>Q4  change of government</t>
  </si>
  <si>
    <t xml:space="preserve"> Dec 1st</t>
  </si>
  <si>
    <t>Will not be spending in December</t>
  </si>
  <si>
    <t>right pricing environment</t>
  </si>
  <si>
    <t>macro ok</t>
  </si>
  <si>
    <t>gdp style growth should be achievable</t>
  </si>
  <si>
    <t>Network and Subs</t>
  </si>
  <si>
    <t>Q3 - last Q from price hike. Q4, growth in subs the only driver</t>
  </si>
  <si>
    <t>36% rate, underlying down</t>
  </si>
  <si>
    <t>won’t change in Q3</t>
  </si>
  <si>
    <t>UNI has lost Dish carriage</t>
  </si>
  <si>
    <t>retrans fees and Ad revenue</t>
  </si>
  <si>
    <t>10-15%</t>
  </si>
  <si>
    <t>July 1st</t>
  </si>
  <si>
    <t>Dish also losing subs</t>
  </si>
  <si>
    <t>$100m more</t>
  </si>
  <si>
    <t>$61m in H1</t>
  </si>
  <si>
    <t>$20m in digital rights EBITDA in Q3</t>
  </si>
  <si>
    <t>EBITDA / Costs</t>
  </si>
  <si>
    <t>lose SKY subs in Q3…and those who didn't cancel in Q3</t>
  </si>
  <si>
    <t>last q of paying for the rights</t>
  </si>
  <si>
    <t>blue telecomm…no critical mass yet</t>
  </si>
  <si>
    <t>local loop remains tough</t>
  </si>
  <si>
    <t>fixed wireless better</t>
  </si>
  <si>
    <t>GS conference</t>
  </si>
  <si>
    <t>40,000 Blue customers.data, mainly fixed wireless</t>
  </si>
  <si>
    <t>RGUs reported in Q3</t>
  </si>
  <si>
    <t>firing on all cylinders</t>
  </si>
  <si>
    <t>some benefit from world cup</t>
  </si>
  <si>
    <t>temporary increase in churn in Q3</t>
  </si>
  <si>
    <t>42% margins…doing good</t>
  </si>
  <si>
    <t>minor price increases in q3 this year..</t>
  </si>
  <si>
    <t>Other costs</t>
  </si>
  <si>
    <t>nothing to be aware of</t>
  </si>
  <si>
    <t>Concession renewal</t>
  </si>
  <si>
    <t>Need to pay for a renewal</t>
  </si>
  <si>
    <t>"MXN6bn will be needed "</t>
  </si>
  <si>
    <t>end of 20 years</t>
  </si>
  <si>
    <t>will be charged</t>
  </si>
  <si>
    <t>2019 or 2020</t>
  </si>
  <si>
    <t>Post-Q3 18 call</t>
  </si>
  <si>
    <t>No compelling reason to do cable spin</t>
  </si>
  <si>
    <t>nothing likely to change by YE</t>
  </si>
  <si>
    <t>Not going to do something for the sake of it</t>
  </si>
  <si>
    <t>Transaction alone - not going to create value</t>
  </si>
  <si>
    <t>Not close to deal with MEGA</t>
  </si>
  <si>
    <t>we talk often</t>
  </si>
  <si>
    <t>valuation is a challenge</t>
  </si>
  <si>
    <t>Business is doing great</t>
  </si>
  <si>
    <t>World Cup…+9% in Q2, +2% in Q3</t>
  </si>
  <si>
    <t>Private sector should be healthy in Q4</t>
  </si>
  <si>
    <t>organically, +5%</t>
  </si>
  <si>
    <t>challenge..Q4 govt spend</t>
  </si>
  <si>
    <t>will drag in Q4</t>
  </si>
  <si>
    <t>Govt Ad is 6-8% Content</t>
  </si>
  <si>
    <t>2019…private will be healthy</t>
  </si>
  <si>
    <t>Govt is implementing austerity plan…on fed machinery</t>
  </si>
  <si>
    <t>Govt cutting by 50% on Ad spend</t>
  </si>
  <si>
    <t>2018 - Ad spend will be around 6%...none in Q2, very low in Q4</t>
  </si>
  <si>
    <t>Several hundred thousand - by YE 2019</t>
  </si>
  <si>
    <t>40,000 in Q2 alone</t>
  </si>
  <si>
    <t>Now launching with SKY</t>
  </si>
  <si>
    <t>Data</t>
  </si>
  <si>
    <t>SKY subs without BB today?</t>
  </si>
  <si>
    <t xml:space="preserve">there are many…a lot without </t>
  </si>
  <si>
    <t>Traditional wireless</t>
  </si>
  <si>
    <t>MXN200m last personnel…of the MXN500m</t>
  </si>
  <si>
    <t>y/y (clean for WC digital)</t>
  </si>
  <si>
    <t>Govt Ad spend to hit Q4 and take ~3% off 2019 revenue</t>
  </si>
  <si>
    <t>Price rises annualised from Q4 18</t>
  </si>
  <si>
    <t>One off Q4 17 library sales offsets last Q of UNI hike</t>
  </si>
  <si>
    <t>$110m extra FY content largely spent by Q3 18</t>
  </si>
  <si>
    <t>Net Subsc</t>
  </si>
  <si>
    <t>Lic, syndication</t>
  </si>
  <si>
    <t>Revenue (MXN m)</t>
  </si>
  <si>
    <t>Post-Q4 18 call</t>
  </si>
  <si>
    <t>No real government, so spend down</t>
  </si>
  <si>
    <t>Would cut by 50% govt spending</t>
  </si>
  <si>
    <t>So weak Q4 Ad spend</t>
  </si>
  <si>
    <t>Flat revs y/y would be successful</t>
  </si>
  <si>
    <t>Despite Q4 17 being an easy comp</t>
  </si>
  <si>
    <t>2019 - inflation to be passed on</t>
  </si>
  <si>
    <t>middle of upfront negotiations</t>
  </si>
  <si>
    <t>new model….should mean upfronts lead more directly to Ad business</t>
  </si>
  <si>
    <t>8% of Ad spend</t>
  </si>
  <si>
    <t>6-10% over last 3 years</t>
  </si>
  <si>
    <t>consensus; -2 % to +2%</t>
  </si>
  <si>
    <t>low end, government spending outlook tough</t>
  </si>
  <si>
    <t>some doubt on whether TV down also 50%</t>
  </si>
  <si>
    <t>flat to -1% for consensus y/y</t>
  </si>
  <si>
    <t>Dish have not reached an agreement with Dish</t>
  </si>
  <si>
    <t>UNI saying no agreement yet (2 weeks ago)</t>
  </si>
  <si>
    <t>Could be $250m per year</t>
  </si>
  <si>
    <t>$41m one off…</t>
  </si>
  <si>
    <t>was in UNI Q3 number but will be in TV Q4</t>
  </si>
  <si>
    <t>royalties…. of $8-10m for Q4</t>
  </si>
  <si>
    <t>UNI revenue down</t>
  </si>
  <si>
    <t>$115m extra spend</t>
  </si>
  <si>
    <t>$50m non recurrent</t>
  </si>
  <si>
    <t>take the $50m for base line, and then gross for inflation</t>
  </si>
  <si>
    <t>ratings up 30%</t>
  </si>
  <si>
    <t>regular dynamic</t>
  </si>
  <si>
    <t>FTA market in total quite stable</t>
  </si>
  <si>
    <t>8% FTA</t>
  </si>
  <si>
    <t>5% FTA</t>
  </si>
  <si>
    <t>13% FTA in total</t>
  </si>
  <si>
    <t>2019 content offering even stronger</t>
  </si>
  <si>
    <t>headwind of world cup</t>
  </si>
  <si>
    <t>pre pay - just stop paying…keep them for 200 days</t>
  </si>
  <si>
    <t>come through in q1 19</t>
  </si>
  <si>
    <t>q3 blue tel</t>
  </si>
  <si>
    <t>51,000 subs</t>
  </si>
  <si>
    <t>q4 blue tel + sky</t>
  </si>
  <si>
    <t>getting traction</t>
  </si>
  <si>
    <t>use at&amp;t and red somewhat equally</t>
  </si>
  <si>
    <t>some extra costs</t>
  </si>
  <si>
    <t>some margin pressure</t>
  </si>
  <si>
    <t>margin dilution</t>
  </si>
  <si>
    <t>Q4 18, H1 19 - expect results in H2 19</t>
  </si>
  <si>
    <t>Q4 18 margins look a little high</t>
  </si>
  <si>
    <t>Feb-13th</t>
  </si>
  <si>
    <t>2019</t>
  </si>
  <si>
    <t>cost cutting on Ad spend</t>
  </si>
  <si>
    <t xml:space="preserve">50%...Govt Ad is 8-10% </t>
  </si>
  <si>
    <t>always slows down after new Admin. So this happened</t>
  </si>
  <si>
    <t>Govt Ad spending from private spend</t>
  </si>
  <si>
    <t>Private</t>
  </si>
  <si>
    <t>GDP up &lt;2%...so this is a cap for private</t>
  </si>
  <si>
    <t>Consensus</t>
  </si>
  <si>
    <t>been talking to buy / sell side for some time</t>
  </si>
  <si>
    <t>those updated ….are at negative 3-4%</t>
  </si>
  <si>
    <t>No Dish. Q3 did not have Dish either</t>
  </si>
  <si>
    <t>$41m adj…plus another $20m in Q4</t>
  </si>
  <si>
    <t>$60m of revs in H2 - confidential</t>
  </si>
  <si>
    <t>revenue reversal</t>
  </si>
  <si>
    <t>for TV all will be felt in Q4</t>
  </si>
  <si>
    <t>below 2018…with the $10m hit</t>
  </si>
  <si>
    <t>Content margins</t>
  </si>
  <si>
    <t>slightly above &gt;$100m in 2018</t>
  </si>
  <si>
    <t>non recurring events…World Cup &amp; Elections</t>
  </si>
  <si>
    <t>growth to continue</t>
  </si>
  <si>
    <t>double digit …revs, single digit EBITDA</t>
  </si>
  <si>
    <t>15 days</t>
  </si>
  <si>
    <t>Booked within cable</t>
  </si>
  <si>
    <t>EBITDA MXN630m annual</t>
  </si>
  <si>
    <t>MXN1.9bn</t>
  </si>
  <si>
    <t>suffering from subs losses after the World Cup</t>
  </si>
  <si>
    <t>Blue Tel</t>
  </si>
  <si>
    <t>provide numbers</t>
  </si>
  <si>
    <t>50k in &lt;1 Q</t>
  </si>
  <si>
    <t>Continue subs run rate</t>
  </si>
  <si>
    <t>Booked within SKY numbers</t>
  </si>
  <si>
    <t>SKY to be flattish in 2019…margins remain low to mid 40%s</t>
  </si>
  <si>
    <t>guidance on the call</t>
  </si>
  <si>
    <t>broadly in-line</t>
  </si>
  <si>
    <t>Seller (top 10-20) - some pressure</t>
  </si>
  <si>
    <t>shifting investments to Brazil</t>
  </si>
  <si>
    <t>USD weak</t>
  </si>
  <si>
    <t>Thursday after close</t>
  </si>
  <si>
    <t>Axtel assets</t>
  </si>
  <si>
    <t>Upfronts - MXN16.4bn, stable - good considering macro and WC last year</t>
  </si>
  <si>
    <t>$50m lower Content cost spend in 2019</t>
  </si>
  <si>
    <t>Higher in 2018 due to World Cup and Election</t>
  </si>
  <si>
    <t>ULL still not possible</t>
  </si>
  <si>
    <t>53% BB pen</t>
  </si>
  <si>
    <t>very different and improved company to one year ago</t>
  </si>
  <si>
    <t>remain focused on improving FCF</t>
  </si>
  <si>
    <t>new CEO very experienced</t>
  </si>
  <si>
    <t>UNI in local grew y/y in Q4…only broadcast network to post ratings growth in Q4</t>
  </si>
  <si>
    <t>A mada muerte</t>
  </si>
  <si>
    <t>reaching more than fox and cw networks</t>
  </si>
  <si>
    <t>H1 19</t>
  </si>
  <si>
    <t>UNI will continue to struggle y/y due to Dish</t>
  </si>
  <si>
    <t>Dish Latino migrate to other platforms, stronger relationship with UNI and other platforms</t>
  </si>
  <si>
    <t>Around $1bn</t>
  </si>
  <si>
    <t>&gt;50% in cable</t>
  </si>
  <si>
    <t>Most in SKY</t>
  </si>
  <si>
    <t>driven by growth</t>
  </si>
  <si>
    <t>increase due to BB</t>
  </si>
  <si>
    <t>as % sales..will continue to fall</t>
  </si>
  <si>
    <t>Co TV CEO as president advisor</t>
  </si>
  <si>
    <t>Ratings and trends</t>
  </si>
  <si>
    <t>Amazing this year</t>
  </si>
  <si>
    <t>IFRS on SKY Capex</t>
  </si>
  <si>
    <t>Acquisition costs have to be amortised</t>
  </si>
  <si>
    <t>without this…EBITDA would be down 2% vs q4 17</t>
  </si>
  <si>
    <t>IFRS.. and margins on on SKY?</t>
  </si>
  <si>
    <t>some subs up by 5%, some by nothing</t>
  </si>
  <si>
    <t>ARPU to increase by 2.5% or so</t>
  </si>
  <si>
    <t>EBITDA from Other</t>
  </si>
  <si>
    <t>Underlying margin</t>
  </si>
  <si>
    <t>OpEx, USD ex WC rights</t>
  </si>
  <si>
    <t>Q1 19</t>
  </si>
  <si>
    <t>govt cut by half. 11% of Ad sales in 2018. 5.5% headwind</t>
  </si>
  <si>
    <t>most of the spending was in Q1 and Q3</t>
  </si>
  <si>
    <t>new governments spend slow…and then historically build up</t>
  </si>
  <si>
    <t>Q2</t>
  </si>
  <si>
    <t>Q3</t>
  </si>
  <si>
    <t>Partially compensated by private sector</t>
  </si>
  <si>
    <t>GDP is 1-2%...OK steer for private</t>
  </si>
  <si>
    <t>So, -4% in 2019</t>
  </si>
  <si>
    <t>normal growth returns</t>
  </si>
  <si>
    <t>inflation…video subs growth</t>
  </si>
  <si>
    <t>agreement reached</t>
  </si>
  <si>
    <t>Q1 19 y/y is ex Dish</t>
  </si>
  <si>
    <t>beginning of Q2</t>
  </si>
  <si>
    <t>fewer subs….lost 600,000 subs</t>
  </si>
  <si>
    <t>Without Dish agreement, 2019…royalties would be same level or below</t>
  </si>
  <si>
    <t>Might be able to hit same level as last year</t>
  </si>
  <si>
    <t>Inc Axtel, low to mid teens this year at revs and EBITDA</t>
  </si>
  <si>
    <t>No price increases….too much uncertainty this year</t>
  </si>
  <si>
    <t>likely to wait further into the year</t>
  </si>
  <si>
    <t>July-18 cable</t>
  </si>
  <si>
    <t>Start of 2018 for SKY</t>
  </si>
  <si>
    <t>several hundred thousand subs by YE</t>
  </si>
  <si>
    <t>H2…subs to grow</t>
  </si>
  <si>
    <t>Consensus to end year with -1% to flat revenue</t>
  </si>
  <si>
    <t>Margins….effort on Blue Tel - will be depressed</t>
  </si>
  <si>
    <t>better in H2</t>
  </si>
  <si>
    <t>guidance given</t>
  </si>
  <si>
    <t>Cable TV licence - IFT to allow TV</t>
  </si>
  <si>
    <t>Claro TV - evaluating it. Should reach decision in H2</t>
  </si>
  <si>
    <t>Through a subsidiary….so might get around AMX compliance issues</t>
  </si>
  <si>
    <t>"Competition not on pay TV but on BB"</t>
  </si>
  <si>
    <t>Stock weakness</t>
  </si>
  <si>
    <t>7-8 months</t>
  </si>
  <si>
    <t>Couple of big sellers</t>
  </si>
  <si>
    <t>Brazil preferred over Mexico…need a real motivation to invest</t>
  </si>
  <si>
    <t>AMX TV - risk to TV</t>
  </si>
  <si>
    <t>Total government</t>
  </si>
  <si>
    <t>Total non-govt</t>
  </si>
  <si>
    <t>Total Ad spend</t>
  </si>
  <si>
    <t>% Government split</t>
  </si>
  <si>
    <t>Government</t>
  </si>
  <si>
    <t>Non-government</t>
  </si>
  <si>
    <t>Q2 19</t>
  </si>
  <si>
    <t>Q3 19</t>
  </si>
  <si>
    <t>Q4 19</t>
  </si>
  <si>
    <t>FY 19</t>
  </si>
  <si>
    <t>Inorganic</t>
  </si>
  <si>
    <t>Ookla Speed Score</t>
  </si>
  <si>
    <t>TotalPlay</t>
  </si>
  <si>
    <t>Izzi (Televisa)</t>
  </si>
  <si>
    <t>90th pc</t>
  </si>
  <si>
    <t>50th pc</t>
  </si>
  <si>
    <t>10th pc</t>
  </si>
  <si>
    <t>Trimean*</t>
  </si>
  <si>
    <t>Q4 19e</t>
  </si>
  <si>
    <t>1/ Leases which were previously financial…now as an asset/liability</t>
  </si>
  <si>
    <t>2/ Leases not recognised</t>
  </si>
  <si>
    <t xml:space="preserve">MXN200m </t>
  </si>
  <si>
    <t>Mainly in cable</t>
  </si>
  <si>
    <t>Other businesses</t>
  </si>
  <si>
    <t>Mainly football…selling a player</t>
  </si>
  <si>
    <t>Gaming is steady</t>
  </si>
  <si>
    <t>Film distribution also volatile</t>
  </si>
  <si>
    <t>Ps4.7bn is the higher debt on the balance sheet</t>
  </si>
  <si>
    <t>IFRS 16</t>
  </si>
  <si>
    <t>Q4 18*</t>
  </si>
  <si>
    <t xml:space="preserve">Govt </t>
  </si>
  <si>
    <t>Costs/exp</t>
  </si>
  <si>
    <t>down 3% y/y, despite inflation</t>
  </si>
  <si>
    <t>Gaining revs market share</t>
  </si>
  <si>
    <t>Dish back on</t>
  </si>
  <si>
    <t>Absence had a dramatic impact on bix</t>
  </si>
  <si>
    <t>Can you restore stable UNI revs and royalties</t>
  </si>
  <si>
    <t>Royalties will be higher in 2019 then in 2018</t>
  </si>
  <si>
    <t>Exp to be down 50% y/y</t>
  </si>
  <si>
    <t>Down 19% though y/y</t>
  </si>
  <si>
    <t>Added 73k RGUs</t>
  </si>
  <si>
    <t>World Cup subs washed through??</t>
  </si>
  <si>
    <t>Still see BB costs?</t>
  </si>
  <si>
    <t>Netflix included in interface</t>
  </si>
  <si>
    <t>Izzy Go</t>
  </si>
  <si>
    <t>Real Madrid TV</t>
  </si>
  <si>
    <t>To improve sports content</t>
  </si>
  <si>
    <t>RGUs/sub continue to be low</t>
  </si>
  <si>
    <t>watch on all devices</t>
  </si>
  <si>
    <t>FTTH in select areas</t>
  </si>
  <si>
    <t>expand number of homes passed</t>
  </si>
  <si>
    <t>Keeping $1bn  guidance</t>
  </si>
  <si>
    <t xml:space="preserve">Extra World Cup revs </t>
  </si>
  <si>
    <t>Q2  will be tough comp</t>
  </si>
  <si>
    <t xml:space="preserve">Easter hold in April, not March…typically </t>
  </si>
  <si>
    <t>Trends should improve in H2</t>
  </si>
  <si>
    <t>Ad revs were strong in Q2 due to election?</t>
  </si>
  <si>
    <t>Losing low end video subs</t>
  </si>
  <si>
    <t>Axtel have higher ARPUs</t>
  </si>
  <si>
    <t>Video subs losses</t>
  </si>
  <si>
    <t>In q3 was due to world cup…and price rises in high</t>
  </si>
  <si>
    <t>Q1 losses</t>
  </si>
  <si>
    <t>Concentrated in the low end…</t>
  </si>
  <si>
    <t>In all pay TV offers, previously to higher end</t>
  </si>
  <si>
    <t>Blim in higher offers</t>
  </si>
  <si>
    <t>Higher than Q1 last year. FTTH strategy quicker</t>
  </si>
  <si>
    <t>Guidance?</t>
  </si>
  <si>
    <t>Govt spend should accelerate in order to meet 50% reduction</t>
  </si>
  <si>
    <t>Private…will depend on macro environment. Deposits reached flat on 2018</t>
  </si>
  <si>
    <t>Blue</t>
  </si>
  <si>
    <t>RGUs of several hundred thousand by YE</t>
  </si>
  <si>
    <t xml:space="preserve"> non recurring sales</t>
  </si>
  <si>
    <t>EBITDA strong</t>
  </si>
  <si>
    <t>Soccer dependent on the sale of players</t>
  </si>
  <si>
    <t>Film distro…depends on release of movies</t>
  </si>
  <si>
    <t>Private down due to consumer weakness.. Still assume real GDP growth</t>
  </si>
  <si>
    <t>Pay TV licence</t>
  </si>
  <si>
    <t>Unclear on whether will get concession</t>
  </si>
  <si>
    <t xml:space="preserve">** </t>
  </si>
  <si>
    <t>where subs from?</t>
  </si>
  <si>
    <t>100 bp of EBITDA margin in Q1</t>
  </si>
  <si>
    <t>if hit subs target, impact on margins could be ~300bp</t>
  </si>
  <si>
    <t>Capture some broadband from existing players, but the bulk of existing are from x2 play which didn't have BB before. Most from pre-paid services</t>
  </si>
  <si>
    <t>coming from existing customers?</t>
  </si>
  <si>
    <t>Follow up Q's</t>
  </si>
  <si>
    <t>UNI royalties really higher?</t>
  </si>
  <si>
    <t>Check Content cost guide for 2019</t>
  </si>
  <si>
    <t>down 3% underlying…stripping out WC sales, this sort of run-rate or better in Q2</t>
  </si>
  <si>
    <t>Follow up</t>
  </si>
  <si>
    <t>Content Q2</t>
  </si>
  <si>
    <t>Q3 more normal govt</t>
  </si>
  <si>
    <t>Q4 weak govt</t>
  </si>
  <si>
    <t>Content costs</t>
  </si>
  <si>
    <t>$50m drops out (World Cup and elections)</t>
  </si>
  <si>
    <t>Underlying flat</t>
  </si>
  <si>
    <t>royalties above a little</t>
  </si>
  <si>
    <t>&gt;600k less subs</t>
  </si>
  <si>
    <t>10m subs</t>
  </si>
  <si>
    <t>Mexican cable</t>
  </si>
  <si>
    <t>Board approved up to USD1bn</t>
  </si>
  <si>
    <t>Last week and a half</t>
  </si>
  <si>
    <t>at least one year ago</t>
  </si>
  <si>
    <t>USD1m / day for last 1.5 weeks</t>
  </si>
  <si>
    <t>Last bought back 2017</t>
  </si>
  <si>
    <t>not much</t>
  </si>
  <si>
    <t>3x net leverage soft  target</t>
  </si>
  <si>
    <t>Should do buy backs for a reasonable period, and frequently</t>
  </si>
  <si>
    <t>FPR Partners</t>
  </si>
  <si>
    <t>Bob Peck</t>
  </si>
  <si>
    <t>Andy Raab</t>
  </si>
  <si>
    <t>Renaissance</t>
  </si>
  <si>
    <t>Algo fund</t>
  </si>
  <si>
    <t>Dodge &amp; Cox</t>
  </si>
  <si>
    <t>Increased position</t>
  </si>
  <si>
    <t>losses should level out</t>
  </si>
  <si>
    <t>slight negative, perhaps flat</t>
  </si>
  <si>
    <t>yes, some inbound</t>
  </si>
  <si>
    <t>TV break up</t>
  </si>
  <si>
    <t>AMX pay TV</t>
  </si>
  <si>
    <t>Unlikely before functional separation</t>
  </si>
  <si>
    <t>This year</t>
  </si>
  <si>
    <t>just noise from AMX</t>
  </si>
  <si>
    <t>pay TV is within telecoms…where AMX is preponderant</t>
  </si>
  <si>
    <t>still have &gt;50% share on pulled basis</t>
  </si>
  <si>
    <t>HQ/other central</t>
  </si>
  <si>
    <t>Retail cable</t>
  </si>
  <si>
    <t>Fixed wholesale</t>
  </si>
  <si>
    <t xml:space="preserve"> - of which retail</t>
  </si>
  <si>
    <t xml:space="preserve"> - of which corporate/other</t>
  </si>
  <si>
    <t>In USD million</t>
  </si>
  <si>
    <t>Opex/Capex saving</t>
  </si>
  <si>
    <t>Pro-forma company post-synergies</t>
  </si>
  <si>
    <t>Combined (TV + MEGA) opex</t>
  </si>
  <si>
    <t>Combined (TV + MEGA) capex</t>
  </si>
  <si>
    <t>Combined (TV + MEGA) opex/capex</t>
  </si>
  <si>
    <t>No changes on macro side</t>
  </si>
  <si>
    <t>Government not spending money yet</t>
  </si>
  <si>
    <t>5% government headwind</t>
  </si>
  <si>
    <t>private declined 2pp in Q1</t>
  </si>
  <si>
    <t>should have been offset by private, in theory, but private not growing so much</t>
  </si>
  <si>
    <t>should be the same in q1</t>
  </si>
  <si>
    <t>Govt has easier comp in theory in Q2</t>
  </si>
  <si>
    <t>but not yet spending</t>
  </si>
  <si>
    <t>50% spend will come in Q2</t>
  </si>
  <si>
    <t>World Cup impact on private</t>
  </si>
  <si>
    <t>+9.1% y/y in Q2 18</t>
  </si>
  <si>
    <t>Low teens declines for Ad overall</t>
  </si>
  <si>
    <t>6-7% was perhaps coming from World Cup - reallocation from other Qs</t>
  </si>
  <si>
    <t>reduce by $50m in 2019</t>
  </si>
  <si>
    <t>was</t>
  </si>
  <si>
    <t>now</t>
  </si>
  <si>
    <t>-6/7%</t>
  </si>
  <si>
    <t>flattish licensing, syndicatiom</t>
  </si>
  <si>
    <t>-4.6% is optimistic</t>
  </si>
  <si>
    <t>37% or so</t>
  </si>
  <si>
    <t>SKY margins</t>
  </si>
  <si>
    <t>to get a little worse over the course of the year</t>
  </si>
  <si>
    <t>capitalise new equipment</t>
  </si>
  <si>
    <t>broadband is dilutive</t>
  </si>
  <si>
    <t>no surprises really</t>
  </si>
  <si>
    <t>Others</t>
  </si>
  <si>
    <t>no growth…hard to call</t>
  </si>
  <si>
    <t>Block seller of $200m</t>
  </si>
  <si>
    <t>Contribution to decline</t>
  </si>
  <si>
    <t>Changes to estimates - Jun-19</t>
  </si>
  <si>
    <t>Clean UNI</t>
  </si>
  <si>
    <t>Net debt / annualised Q EBITDA</t>
  </si>
  <si>
    <t>Net sales ex-one off World Cup sales</t>
  </si>
  <si>
    <t>IRR</t>
  </si>
  <si>
    <t>OIBDA (bank credit)</t>
  </si>
  <si>
    <t>adj EBITDA</t>
  </si>
  <si>
    <t>bank EBITDA</t>
  </si>
  <si>
    <t>clean revs</t>
  </si>
  <si>
    <t>Buy-in UNI</t>
  </si>
  <si>
    <t>PE stake (non TV) stake</t>
  </si>
  <si>
    <t>Cumulative interest</t>
  </si>
  <si>
    <t>Televisa, MXN m</t>
  </si>
  <si>
    <t>UNI, MXN m</t>
  </si>
  <si>
    <t>NewCo</t>
  </si>
  <si>
    <t>Stake acquired, USD</t>
  </si>
  <si>
    <t>Stake acquired, MXN</t>
  </si>
  <si>
    <t>annualised rolling 12m EBITDA</t>
  </si>
  <si>
    <t xml:space="preserve">Televisa </t>
  </si>
  <si>
    <t>Univision  (warrants)</t>
  </si>
  <si>
    <t>Underling</t>
  </si>
  <si>
    <t>Axtel support</t>
  </si>
  <si>
    <t>* Strips out Axtel acq</t>
  </si>
  <si>
    <t>Izzy (Televisa cable), 000s</t>
  </si>
  <si>
    <t>Revenue, y/y</t>
  </si>
  <si>
    <t>ARPU, y/y</t>
  </si>
  <si>
    <t>Net adds, 000s</t>
  </si>
  <si>
    <t>Broadband subs, 000s</t>
  </si>
  <si>
    <t>Broadband adds, 000s</t>
  </si>
  <si>
    <t>Q2 19 Earnings call</t>
  </si>
  <si>
    <t>Private sector spend for H2…down 5% in Q2…an allocation issue?</t>
  </si>
  <si>
    <t>reconcile with Upfronts</t>
  </si>
  <si>
    <t>should be up in H2?</t>
  </si>
  <si>
    <t>Cable EBITDA margins</t>
  </si>
  <si>
    <t>1pp ahead - sustainable, more to come?</t>
  </si>
  <si>
    <t>Pay TV licence for AMX?</t>
  </si>
  <si>
    <t>Confident in current content set up</t>
  </si>
  <si>
    <t>Economy continued to soften. During April, industry prod down 2% y/y</t>
  </si>
  <si>
    <t>May job creation down 88% y/y</t>
  </si>
  <si>
    <t>Auto sales in June down 11.4% y/y. Same as in May</t>
  </si>
  <si>
    <t>Central Bank - GDP growth to 1%, from 2% one year ago</t>
  </si>
  <si>
    <t>Govt</t>
  </si>
  <si>
    <t>Has been much steeper than 50% in H1. Was 11% in 2018</t>
  </si>
  <si>
    <t>UNI - stake</t>
  </si>
  <si>
    <t>Easter week holiday in Q2…Q1 last year</t>
  </si>
  <si>
    <t>fewer watch TV in q2</t>
  </si>
  <si>
    <t>clients cut Ad spend in Q2</t>
  </si>
  <si>
    <t>giving all video subs OTT app</t>
  </si>
  <si>
    <t>68 linear channels, plus VOD</t>
  </si>
  <si>
    <t>Aficionados…exclusive 12 matches this season</t>
  </si>
  <si>
    <t>Real Madrid also</t>
  </si>
  <si>
    <t>Netflix and Blim bundles</t>
  </si>
  <si>
    <t>leverage extensive network</t>
  </si>
  <si>
    <t>140,000 km</t>
  </si>
  <si>
    <t>15m homes passed</t>
  </si>
  <si>
    <t>only 40% so far get a service</t>
  </si>
  <si>
    <t>FY capex similar to last year</t>
  </si>
  <si>
    <t>resumed video subs growth</t>
  </si>
  <si>
    <t>last major independent provider</t>
  </si>
  <si>
    <t xml:space="preserve">UNI upfront up mid-single digit </t>
  </si>
  <si>
    <t>New channel launched - Sports JV…premium sports rights</t>
  </si>
  <si>
    <t>Final Mex-WC….30% higher ratings than soccer last year</t>
  </si>
  <si>
    <t>H2  19</t>
  </si>
  <si>
    <t>Govt is working on campaigns</t>
  </si>
  <si>
    <t>Q4 18 absent</t>
  </si>
  <si>
    <t>Don't feel comfortable giving guidance</t>
  </si>
  <si>
    <t>Should pick up in both public and private</t>
  </si>
  <si>
    <t>YTD Upfronts consumption in-line</t>
  </si>
  <si>
    <t>Enterprise margins</t>
  </si>
  <si>
    <t>Economies of scale from higher revenue</t>
  </si>
  <si>
    <t>Just started…so limited information</t>
  </si>
  <si>
    <t>Tag along rights…so option to sell if in best interest</t>
  </si>
  <si>
    <t>Selling group…no drag along…so can't sell</t>
  </si>
  <si>
    <t>Industry, Mexico, TV specific</t>
  </si>
  <si>
    <t>Industry</t>
  </si>
  <si>
    <t>re-pricing of media assets globally</t>
  </si>
  <si>
    <t>Will fall into Q3</t>
  </si>
  <si>
    <t>World Cup impact</t>
  </si>
  <si>
    <t>re-engineered and turned around</t>
  </si>
  <si>
    <t>1/ Sales model</t>
  </si>
  <si>
    <t>selling audiences for first time in history</t>
  </si>
  <si>
    <t>changing agencies relationships etc etc</t>
  </si>
  <si>
    <t>work in progress</t>
  </si>
  <si>
    <t>2/ Changed manner in which content produced</t>
  </si>
  <si>
    <t>previously resistance to this as regards telenovellas</t>
  </si>
  <si>
    <t>modernised</t>
  </si>
  <si>
    <t>co-production with Amazon / content</t>
  </si>
  <si>
    <t>passed high capex intensity will come down from 2020</t>
  </si>
  <si>
    <t>terminal year capex/sales</t>
  </si>
  <si>
    <t>world cup</t>
  </si>
  <si>
    <t>private sales better in H2</t>
  </si>
  <si>
    <t>upfront, ratings, advertisers?</t>
  </si>
  <si>
    <t>frustrating valuation, buying vack stock</t>
  </si>
  <si>
    <t>Target leverage range?</t>
  </si>
  <si>
    <t>future carriage discussions</t>
  </si>
  <si>
    <t>2 pending</t>
  </si>
  <si>
    <t>end-2019</t>
  </si>
  <si>
    <t>With one of the largest, closed according to plan</t>
  </si>
  <si>
    <t>pull back on upfronts?</t>
  </si>
  <si>
    <t>Cable capex</t>
  </si>
  <si>
    <t>50% of capex without any growth</t>
  </si>
  <si>
    <t xml:space="preserve">part of capex is on upgrade…faster speeds etc </t>
  </si>
  <si>
    <t>Private sector spend</t>
  </si>
  <si>
    <t>Advertising clients saying better</t>
  </si>
  <si>
    <t>Can now spend in H2</t>
  </si>
  <si>
    <t>AMX/Telmex</t>
  </si>
  <si>
    <t>only get a new concession if comply with new conditions</t>
  </si>
  <si>
    <t>18 months…compliance with regs</t>
  </si>
  <si>
    <t>if "effective competition"</t>
  </si>
  <si>
    <t>don’t think will get licence</t>
  </si>
  <si>
    <t>UNI royalties (16.5% of UNI revs)</t>
  </si>
  <si>
    <t>Sky (58.7%)</t>
  </si>
  <si>
    <t>Cable and Telecom (blended 84%)</t>
  </si>
  <si>
    <t>Split</t>
  </si>
  <si>
    <t>Content / other</t>
  </si>
  <si>
    <t>Proportionate revenue, USD m</t>
  </si>
  <si>
    <t>Prop EBITDA, USD m</t>
  </si>
  <si>
    <t>Prop capex, USD m</t>
  </si>
  <si>
    <t>Prop OpFCF, USD m</t>
  </si>
  <si>
    <t>Fixed pricing</t>
  </si>
  <si>
    <t>Headline</t>
  </si>
  <si>
    <t>Promo</t>
  </si>
  <si>
    <t>12m</t>
  </si>
  <si>
    <t>Conecta, Conecta HD (142 channels), XVIEW Conecta</t>
  </si>
  <si>
    <t>Basico (228 channels), XVIEW</t>
  </si>
  <si>
    <t>MEGA TOTAL XVIEW + HBO + FOX</t>
  </si>
  <si>
    <t>Dual-play (Voice, BB)</t>
  </si>
  <si>
    <t>3-play (Voice, BB, TV)</t>
  </si>
  <si>
    <t>Izzy (TV)</t>
  </si>
  <si>
    <t>80 channels, 21 HD</t>
  </si>
  <si>
    <t>promo based on early payment</t>
  </si>
  <si>
    <t>Izzy Unlimited 2</t>
  </si>
  <si>
    <t>Izzy Unlimited 3</t>
  </si>
  <si>
    <t>Izzy Unlimited 4</t>
  </si>
  <si>
    <t>Izzy TV (60 channels) + Netflix x1 sub</t>
  </si>
  <si>
    <t>Izzy TV (60 channels) + Netflix x2 sub</t>
  </si>
  <si>
    <t>Izzy TV (200 channels) + Netflix x2 sub</t>
  </si>
  <si>
    <t>Izzy TV (200 channels) + Netflix x4 sub</t>
  </si>
  <si>
    <t>Izzy Unlimited 1 (inc Netflix)</t>
  </si>
  <si>
    <t>Prices to move up 4-5% from 1st September 2019</t>
  </si>
  <si>
    <t>LBTY bid for TV</t>
  </si>
  <si>
    <t>Equity raise price</t>
  </si>
  <si>
    <t>Amount to raise, USD</t>
  </si>
  <si>
    <t>SHOUT</t>
  </si>
  <si>
    <t>as % TV SHOUT</t>
  </si>
  <si>
    <t>y/y EBITDA</t>
  </si>
  <si>
    <t>MEGA cable</t>
  </si>
  <si>
    <t>Televisa MSO</t>
  </si>
  <si>
    <t>Naked broadband</t>
  </si>
  <si>
    <t>DISH Mexico Basico</t>
  </si>
  <si>
    <t>DISH Mexico Basico Mas</t>
  </si>
  <si>
    <t>57 channels</t>
  </si>
  <si>
    <t>74 channels</t>
  </si>
  <si>
    <t>Telmex + DISH Basico</t>
  </si>
  <si>
    <t>Telmex + DISH Basico Mas</t>
  </si>
  <si>
    <t>TV  offering</t>
  </si>
  <si>
    <t>TV only</t>
  </si>
  <si>
    <t>DISH HD</t>
  </si>
  <si>
    <t>424-482</t>
  </si>
  <si>
    <t>All Access</t>
  </si>
  <si>
    <t>TV/Internet</t>
  </si>
  <si>
    <t>DISH Basico</t>
  </si>
  <si>
    <t>SKY HD Gold</t>
  </si>
  <si>
    <t>SKY HD Platinum</t>
  </si>
  <si>
    <t>SKY HD Black</t>
  </si>
  <si>
    <t>160 channels</t>
  </si>
  <si>
    <t>137 channels</t>
  </si>
  <si>
    <t>111 channels</t>
  </si>
  <si>
    <t xml:space="preserve">DTH / wireless </t>
  </si>
  <si>
    <t>Blue Telecom</t>
  </si>
  <si>
    <t>MXN849 up front for router</t>
  </si>
  <si>
    <t>103 channels</t>
  </si>
  <si>
    <t>94 channels</t>
  </si>
  <si>
    <t>Prices to move up 1st September 2019</t>
  </si>
  <si>
    <t>* Data originally taken from:</t>
  </si>
  <si>
    <t>* Updated Sept 20 2019</t>
  </si>
  <si>
    <t>Price up MXN20 since then on 40 Mbps and 80 Mbps offers</t>
  </si>
  <si>
    <t>C</t>
  </si>
  <si>
    <t>Treasury</t>
  </si>
  <si>
    <t>Class</t>
  </si>
  <si>
    <t>D (div pref)</t>
  </si>
  <si>
    <t>GDS</t>
  </si>
  <si>
    <t>1 CPO  rep</t>
  </si>
  <si>
    <t>GDS OUT</t>
  </si>
  <si>
    <t>Azcarraga Series A represent most of the shares not held in CPO</t>
  </si>
  <si>
    <t>Non-Mexican CPO holders cannot vote underlying shares</t>
  </si>
  <si>
    <t>Can prevent majority of corporate activity</t>
  </si>
  <si>
    <t>Total, million</t>
  </si>
  <si>
    <t>as % total Series A</t>
  </si>
  <si>
    <t>Status</t>
  </si>
  <si>
    <t>Full voting</t>
  </si>
  <si>
    <t>Vote 2 Board</t>
  </si>
  <si>
    <t>Part voting</t>
  </si>
  <si>
    <t>Azcarraga Series A as % voting</t>
  </si>
  <si>
    <t>Target as % total SHOUT (ex Treasury)</t>
  </si>
  <si>
    <t>Azcarraga Series A + B as % voting</t>
  </si>
  <si>
    <t>Max voting shares</t>
  </si>
  <si>
    <t>SHOUT analysis</t>
  </si>
  <si>
    <t>Held at US address, million (can't vote)</t>
  </si>
  <si>
    <t>Equity raise</t>
  </si>
  <si>
    <t>No of GDS equivalent</t>
  </si>
  <si>
    <t>No of CPO equivalent</t>
  </si>
  <si>
    <t>Shares to be issued</t>
  </si>
  <si>
    <t>US addess in SHOUT</t>
  </si>
  <si>
    <t>Total SHOUT</t>
  </si>
  <si>
    <t>New issue</t>
  </si>
  <si>
    <t>Equity raise, US$ bn</t>
  </si>
  <si>
    <t>US address in CPO, million</t>
  </si>
  <si>
    <t>US address in SHOUT, million</t>
  </si>
  <si>
    <t>Max voting shares (total ex-US)</t>
  </si>
  <si>
    <t>Capex split</t>
  </si>
  <si>
    <t>Construction/upgrades</t>
  </si>
  <si>
    <t>CPE</t>
  </si>
  <si>
    <t>CTC, tooling, IT</t>
  </si>
  <si>
    <t>Data network</t>
  </si>
  <si>
    <t>Transport, GTAC</t>
  </si>
  <si>
    <t>Corporate segment</t>
  </si>
  <si>
    <t>Other, special projects</t>
  </si>
  <si>
    <t xml:space="preserve">MEGA </t>
  </si>
  <si>
    <t>VTR - Chile</t>
  </si>
  <si>
    <t>Altice US</t>
  </si>
  <si>
    <t>NOS - Portugal</t>
  </si>
  <si>
    <t>Charter - US</t>
  </si>
  <si>
    <t>Telenet - Belgium</t>
  </si>
  <si>
    <t>UPC - Switz</t>
  </si>
  <si>
    <t>LCPR - Puerto Rico</t>
  </si>
  <si>
    <t>Capex, 2019e (MXN m)</t>
  </si>
  <si>
    <t>CPE/sub, MXN</t>
  </si>
  <si>
    <t>CPE/sub, US$</t>
  </si>
  <si>
    <t>EFCF, MXN m</t>
  </si>
  <si>
    <t>%  cut</t>
  </si>
  <si>
    <t>Target, MXN</t>
  </si>
  <si>
    <t>Televisa Base EFCF</t>
  </si>
  <si>
    <t xml:space="preserve">Televisa EFCF Flat Izzy Capex </t>
  </si>
  <si>
    <t>Izzy Base OpFCF</t>
  </si>
  <si>
    <t>Izzy OpFCF flat capex</t>
  </si>
  <si>
    <t>MEGA Base EFCF</t>
  </si>
  <si>
    <t>MEGA EFCF flat capex / sales</t>
  </si>
  <si>
    <t>Common</t>
  </si>
  <si>
    <t>OUT</t>
  </si>
  <si>
    <t>CPO equivs</t>
  </si>
  <si>
    <t xml:space="preserve">Azcarraga </t>
  </si>
  <si>
    <t>No of CPOs</t>
  </si>
  <si>
    <t>in CPOs</t>
  </si>
  <si>
    <t xml:space="preserve">Total not </t>
  </si>
  <si>
    <t>in CPO</t>
  </si>
  <si>
    <t>No  OUT</t>
  </si>
  <si>
    <t>Liquidity schedule</t>
  </si>
  <si>
    <t>Full liquidity schedule</t>
  </si>
  <si>
    <t>Double check IFRS16 impact - MXN200m per Q or per year</t>
  </si>
  <si>
    <t>Update on Q3 trading</t>
  </si>
  <si>
    <t>Less cash tax</t>
  </si>
  <si>
    <t>UNI equity</t>
  </si>
  <si>
    <t>Less 2020e net debt</t>
  </si>
  <si>
    <t>Other liability</t>
  </si>
  <si>
    <t>Total prop EV</t>
  </si>
  <si>
    <t>Current price (US$ GDS)</t>
  </si>
  <si>
    <t>Mandatory squeeze out rules</t>
  </si>
  <si>
    <t>Equity issuance</t>
  </si>
  <si>
    <t>Not company talking up</t>
  </si>
  <si>
    <t>Mexico a little better</t>
  </si>
  <si>
    <t xml:space="preserve">H1 government spend - below the 50% </t>
  </si>
  <si>
    <t>Still confident it will hit the 50%</t>
  </si>
  <si>
    <t>Better Q3</t>
  </si>
  <si>
    <t>Even better Q4</t>
  </si>
  <si>
    <t>-2% and -5%</t>
  </si>
  <si>
    <t xml:space="preserve">mid to high single digit Ad </t>
  </si>
  <si>
    <t xml:space="preserve">high single digit </t>
  </si>
  <si>
    <t>Still guiding to $50m cost out</t>
  </si>
  <si>
    <t>Will impact net adds</t>
  </si>
  <si>
    <t>Will support revs and EBITDA</t>
  </si>
  <si>
    <t>Price across the base</t>
  </si>
  <si>
    <t>phasing impact</t>
  </si>
  <si>
    <t>Follow up Q&amp;A - Sept 23rd</t>
  </si>
  <si>
    <t>Q2 EBITDA…</t>
  </si>
  <si>
    <t>ex-IFRS</t>
  </si>
  <si>
    <t>repaying the 2020</t>
  </si>
  <si>
    <t>announced, will be repaid in October</t>
  </si>
  <si>
    <t>&gt;10% approval from the Board</t>
  </si>
  <si>
    <t>IFRS 16 lease liabilities</t>
  </si>
  <si>
    <t>Cash lease costs</t>
  </si>
  <si>
    <t>In interest</t>
  </si>
  <si>
    <t>Amortisation of right of use asset</t>
  </si>
  <si>
    <t>Less: IFRS 16 leases in D&amp;A</t>
  </si>
  <si>
    <t>Azcarraga appoints 11 of 20 board members</t>
  </si>
  <si>
    <t>Ad spend (LHS)</t>
  </si>
  <si>
    <t>Content margins (RHS)</t>
  </si>
  <si>
    <t>2020</t>
  </si>
  <si>
    <t>2021</t>
  </si>
  <si>
    <t>2022</t>
  </si>
  <si>
    <t>2023</t>
  </si>
  <si>
    <t>2024</t>
  </si>
  <si>
    <t>2025</t>
  </si>
  <si>
    <t>2026</t>
  </si>
  <si>
    <t>2027</t>
  </si>
  <si>
    <t>..</t>
  </si>
  <si>
    <t>2032</t>
  </si>
  <si>
    <t>USD m</t>
  </si>
  <si>
    <t>Atresmedia</t>
  </si>
  <si>
    <t>ITV</t>
  </si>
  <si>
    <t>M6</t>
  </si>
  <si>
    <t>French</t>
  </si>
  <si>
    <t>ProSieben</t>
  </si>
  <si>
    <t>Germany, Austria, Switz</t>
  </si>
  <si>
    <t>RTL</t>
  </si>
  <si>
    <t>TF1</t>
  </si>
  <si>
    <t>Organic growth</t>
  </si>
  <si>
    <t>Entertainment One</t>
  </si>
  <si>
    <t>Vivendi</t>
  </si>
  <si>
    <t>EBITA margin</t>
  </si>
  <si>
    <t>Media Comps</t>
  </si>
  <si>
    <t>TV implied Content</t>
  </si>
  <si>
    <t>EOne (@ Hasbro bid)</t>
  </si>
  <si>
    <t>Less: leases amortised</t>
  </si>
  <si>
    <t>Net debt, $ billion</t>
  </si>
  <si>
    <t>Buy back</t>
  </si>
  <si>
    <t>value</t>
  </si>
  <si>
    <t xml:space="preserve">price </t>
  </si>
  <si>
    <t>shares</t>
  </si>
  <si>
    <t>Buy-back price (on CP)</t>
  </si>
  <si>
    <t>IFRS 16 / other</t>
  </si>
  <si>
    <t>Other intangibles</t>
  </si>
  <si>
    <t>Total intangible acquisitions</t>
  </si>
  <si>
    <t>In October 2008, we entered into license agreements to distribute Telemundo’s original content through digital and wireless platforms in Mexico.  As part of the agreements, Telemundo provides us with original content, including its highly popular telenovelas currently broadcast on our Channel 9, on all of our digital platforms. The agreements complement and are part of the strategic alliance to distribute Telemundo’s original content in Mexico across multiple platforms, including broadcast television, pay-TV and emerging digital platforms.</t>
  </si>
  <si>
    <t>Future licence / intangibles</t>
  </si>
  <si>
    <t>NPV of licence/intangibles</t>
  </si>
  <si>
    <t>Less Licences/other intangibles</t>
  </si>
  <si>
    <t>Intangibles</t>
  </si>
  <si>
    <t>Pre-Q4 19</t>
  </si>
  <si>
    <t>2020 should be a better year</t>
  </si>
  <si>
    <t>Good year to re-energise</t>
  </si>
  <si>
    <t>More focused on FCF</t>
  </si>
  <si>
    <t>CEO - 2 conferences per year</t>
  </si>
  <si>
    <t>CFO - 3 conferences</t>
  </si>
  <si>
    <t>March - main markets</t>
  </si>
  <si>
    <t>Apr - main</t>
  </si>
  <si>
    <t>CFO - to banks more actively</t>
  </si>
  <si>
    <t>Feb-20th</t>
  </si>
  <si>
    <t>Flattish Ad revenue for Q4</t>
  </si>
  <si>
    <t>Drop will end up being 50%</t>
  </si>
  <si>
    <t xml:space="preserve">Positive </t>
  </si>
  <si>
    <t>Private - offsetting weakness here</t>
  </si>
  <si>
    <t>a few deals which are pretty solid have been concluded</t>
  </si>
  <si>
    <t xml:space="preserve">Should be able to grow 1-3% </t>
  </si>
  <si>
    <t>Some price increases, which didn’t work last time</t>
  </si>
  <si>
    <t>Upfront shift to Q1</t>
  </si>
  <si>
    <t>Jan 7th - some still not concluded</t>
  </si>
  <si>
    <t>Balance sheet - end of year cash balance + receivables go up. Will be a large drop</t>
  </si>
  <si>
    <t>So will be able to comment on upfronts</t>
  </si>
  <si>
    <t>directionally</t>
  </si>
  <si>
    <t>Pre-purchase…80% - 10/20% wiggle room</t>
  </si>
  <si>
    <t>3 months negotiations</t>
  </si>
  <si>
    <t>q1</t>
  </si>
  <si>
    <t>q2</t>
  </si>
  <si>
    <t>q3</t>
  </si>
  <si>
    <t>+5</t>
  </si>
  <si>
    <t>Public</t>
  </si>
  <si>
    <t>single digit increase</t>
  </si>
  <si>
    <t>flattish</t>
  </si>
  <si>
    <t>Co CEOs - meeting with 40 CEOs in Mexico to sell advertising</t>
  </si>
  <si>
    <t>Very good</t>
  </si>
  <si>
    <t>Breaking 4 year records</t>
  </si>
  <si>
    <t>TV continues to be very popular in Mexico</t>
  </si>
  <si>
    <t>Linear</t>
  </si>
  <si>
    <t xml:space="preserve">no1 show </t>
  </si>
  <si>
    <t>Big Bang Theory</t>
  </si>
  <si>
    <t>Masked Singer</t>
  </si>
  <si>
    <t>Azteca doing very poorly</t>
  </si>
  <si>
    <t>Not producing content, bringing in from abroad</t>
  </si>
  <si>
    <t xml:space="preserve">Not producing drama, </t>
  </si>
  <si>
    <t>Az</t>
  </si>
  <si>
    <t>Ch 2 vs Ch 13</t>
  </si>
  <si>
    <t>Total FTA, Nielsen</t>
  </si>
  <si>
    <t>% of Ad revs</t>
  </si>
  <si>
    <t>% of viewship</t>
  </si>
  <si>
    <t>1.5x</t>
  </si>
  <si>
    <t>2.2x</t>
  </si>
  <si>
    <t>1.4x</t>
  </si>
  <si>
    <t>1.9x</t>
  </si>
  <si>
    <t>1.6x</t>
  </si>
  <si>
    <t>2x</t>
  </si>
  <si>
    <t>Key content, drama, sports, on FTA</t>
  </si>
  <si>
    <t>Pay TV allowed foreign content</t>
  </si>
  <si>
    <t>OTT - those watching HBO, Discovery etc, are watching OTT</t>
  </si>
  <si>
    <t>Taking advantage of self inflicted wounds at TV for 3 years….and gained share</t>
  </si>
  <si>
    <t>Done so at expense of profitability</t>
  </si>
  <si>
    <t>TV will raise price, and so will Azteca</t>
  </si>
  <si>
    <t>with inflation..or slightly more</t>
  </si>
  <si>
    <t>FCF focus</t>
  </si>
  <si>
    <t>capex would be similar to 2018 (660)</t>
  </si>
  <si>
    <t>550-60</t>
  </si>
  <si>
    <t>Guide on capex</t>
  </si>
  <si>
    <t xml:space="preserve">$355m </t>
  </si>
  <si>
    <t xml:space="preserve">$364m </t>
  </si>
  <si>
    <t>RGU</t>
  </si>
  <si>
    <t xml:space="preserve">Slight slowdown at cable </t>
  </si>
  <si>
    <t>More incentives to increase RGU</t>
  </si>
  <si>
    <t>Inflationary price increases</t>
  </si>
  <si>
    <t>Sept 1st</t>
  </si>
  <si>
    <t xml:space="preserve">Majority </t>
  </si>
  <si>
    <t>Outstanding</t>
  </si>
  <si>
    <t>Cash refund for taxes?</t>
  </si>
  <si>
    <t>Double check IFRS 16 cash cost</t>
  </si>
  <si>
    <t>2-3%</t>
  </si>
  <si>
    <t>MEGA thought were going to be acquired</t>
  </si>
  <si>
    <t>SKY unbundling</t>
  </si>
  <si>
    <t>Can offer 100 Mbps every customer (97%)</t>
  </si>
  <si>
    <t>Can now harvest cash</t>
  </si>
  <si>
    <t>Stopped spending in 2017</t>
  </si>
  <si>
    <t>some fibre, coax</t>
  </si>
  <si>
    <t>acquired cos with 5 Mbps</t>
  </si>
  <si>
    <t>2018 onwards</t>
  </si>
  <si>
    <t>all new network…</t>
  </si>
  <si>
    <t>Axtel 100% fibre to the home</t>
  </si>
  <si>
    <t>Have enormous unused capacity</t>
  </si>
  <si>
    <t>Don't buy the fibre perception argument</t>
  </si>
  <si>
    <t>Said had very little fibre (not clear)</t>
  </si>
  <si>
    <t>Fibre</t>
  </si>
  <si>
    <t>Coax</t>
  </si>
  <si>
    <t>&gt;100</t>
  </si>
  <si>
    <t>10-100</t>
  </si>
  <si>
    <t>&lt;2</t>
  </si>
  <si>
    <t>Mexican BB (IFT - Jun-19)</t>
  </si>
  <si>
    <t>of which Totalplay</t>
  </si>
  <si>
    <t>implied Telmex/other</t>
  </si>
  <si>
    <t>Total Telmex</t>
  </si>
  <si>
    <t>PPE / sales</t>
  </si>
  <si>
    <t>000s</t>
  </si>
  <si>
    <t>Q3 19 debt</t>
  </si>
  <si>
    <t>Saban, Madison Dearborn, Texas Pacific</t>
  </si>
  <si>
    <t>Call on Mar-25th</t>
  </si>
  <si>
    <t>Uncertainty..have in TV balance sheet</t>
  </si>
  <si>
    <t>$600m…87bp above LIBOR equivalent</t>
  </si>
  <si>
    <t>report at Q1</t>
  </si>
  <si>
    <t>some negotiations ongoing</t>
  </si>
  <si>
    <t>some prices up, some volumes up</t>
  </si>
  <si>
    <t>Higher demand for speeds, usage</t>
  </si>
  <si>
    <t>Peak hours</t>
  </si>
  <si>
    <t>Have the best network to face the situation</t>
  </si>
  <si>
    <t>no doubt better than incument</t>
  </si>
  <si>
    <t>can offer 100 Mbps across the network</t>
  </si>
  <si>
    <t>unclear on cash implications</t>
  </si>
  <si>
    <t>some of the payments are done - and cash is in</t>
  </si>
  <si>
    <t>don't pay on the day close..can take 2-3 months</t>
  </si>
  <si>
    <t>Advertising?</t>
  </si>
  <si>
    <t>stay at home, watch TV</t>
  </si>
  <si>
    <t>customers can choose when to use the upfront</t>
  </si>
  <si>
    <t>Q4 the strongest quarter normally for Q4</t>
  </si>
  <si>
    <t>Apr-8 2020</t>
  </si>
  <si>
    <t>Q1 timing for upfronts</t>
  </si>
  <si>
    <t>suspended some Q1 spending</t>
  </si>
  <si>
    <t>should have been replaced in Q2 or other quarters</t>
  </si>
  <si>
    <t>now less clear</t>
  </si>
  <si>
    <t>Last 2 weeks of Q1</t>
  </si>
  <si>
    <t>Covid-19</t>
  </si>
  <si>
    <t>all clients started reviewing budgets and reallocating</t>
  </si>
  <si>
    <t>Q1 starts slow in Jan…Feb…last 2 weeks are usually very strong</t>
  </si>
  <si>
    <t xml:space="preserve">16/17% of weeks </t>
  </si>
  <si>
    <t>Consensus on Ad</t>
  </si>
  <si>
    <t>Flat to single digits for 2020</t>
  </si>
  <si>
    <t>Covid-19 for rest of year</t>
  </si>
  <si>
    <t>no upfront…nothing</t>
  </si>
  <si>
    <t>upfronts signed</t>
  </si>
  <si>
    <t>very hard to say</t>
  </si>
  <si>
    <t>AIB report</t>
  </si>
  <si>
    <t>those still advertising…changed to mission type advertising</t>
  </si>
  <si>
    <t>equity brand, not specific products</t>
  </si>
  <si>
    <t>Network subs.</t>
  </si>
  <si>
    <t>40% is USD…rest is peso</t>
  </si>
  <si>
    <t>Licencing and synd</t>
  </si>
  <si>
    <t>US media reports</t>
  </si>
  <si>
    <t>Media down 20% in Q1</t>
  </si>
  <si>
    <t>Restaurants open, malls open, super markets beginning to limit numbers</t>
  </si>
  <si>
    <t>nice restaurants closed</t>
  </si>
  <si>
    <t>"fondas" open, local</t>
  </si>
  <si>
    <t>No support plan presented by the government</t>
  </si>
  <si>
    <t>some infra projects</t>
  </si>
  <si>
    <t>pushing some banks to offer credit</t>
  </si>
  <si>
    <t>left government, with right policies. Don't want to raise debt, don't want inflation</t>
  </si>
  <si>
    <t>don’t want to raise taxes</t>
  </si>
  <si>
    <t>Positive, people sitting at home..some upgrades</t>
  </si>
  <si>
    <t>Negative</t>
  </si>
  <si>
    <t>A lot of pre-paid packages, negative impact</t>
  </si>
  <si>
    <t>Q2, Q3</t>
  </si>
  <si>
    <t>already happening</t>
  </si>
  <si>
    <t>Gaming, soccer, stadiums</t>
  </si>
  <si>
    <t>No film distribution</t>
  </si>
  <si>
    <t>Very difficult</t>
  </si>
  <si>
    <t>Margin - plan to reduce opex</t>
  </si>
  <si>
    <t>Opex - same, or higher due to inflation</t>
  </si>
  <si>
    <t>Blim + Netflix</t>
  </si>
  <si>
    <t>Very small margin…small revenue</t>
  </si>
  <si>
    <t>150 bps</t>
  </si>
  <si>
    <t>$25 and up</t>
  </si>
  <si>
    <t xml:space="preserve"> of which in USD</t>
  </si>
  <si>
    <t xml:space="preserve"> of which in MXN (in USD)</t>
  </si>
  <si>
    <t xml:space="preserve"> of which in MXN (in MXN)</t>
  </si>
  <si>
    <t xml:space="preserve"> - of which USD debt</t>
  </si>
  <si>
    <t xml:space="preserve"> - of which MXN debt</t>
  </si>
  <si>
    <t xml:space="preserve"> - USD as %</t>
  </si>
  <si>
    <t>FX move on USD debt</t>
  </si>
  <si>
    <t>YE MXN/USD</t>
  </si>
  <si>
    <t>USD debt in USD</t>
  </si>
  <si>
    <t>Assumed hedge on debt</t>
  </si>
  <si>
    <t>Impact on BS</t>
  </si>
  <si>
    <t>Less: FX move on debt</t>
  </si>
  <si>
    <t>Post-tax intangibles</t>
  </si>
  <si>
    <t>Double check</t>
  </si>
  <si>
    <t>Previously…sometimes a few days late</t>
  </si>
  <si>
    <t>Gap between conclusion of prior year upfronts and the new one</t>
  </si>
  <si>
    <t>Some clients pushing back</t>
  </si>
  <si>
    <t>go for the spots</t>
  </si>
  <si>
    <t>or be absent from TV</t>
  </si>
  <si>
    <t>Upfronts "generally was good"</t>
  </si>
  <si>
    <t>Timing was always going to be an issue…Jan/Feb softer to be expected</t>
  </si>
  <si>
    <t>March also</t>
  </si>
  <si>
    <t>Q1 to be soft….but a better Q2, Q3 and Q4</t>
  </si>
  <si>
    <t>Mexico expected to be super tough</t>
  </si>
  <si>
    <t>Ad spend</t>
  </si>
  <si>
    <t>Big pull back in Ad spend in Mexico</t>
  </si>
  <si>
    <t>Drop of 20% in Q1…optimistic side of the range</t>
  </si>
  <si>
    <t>FY -10% too dramatic</t>
  </si>
  <si>
    <t>BC: FY -</t>
  </si>
  <si>
    <t>Q1 -20/-30%</t>
  </si>
  <si>
    <t>Content costs will remain the same</t>
  </si>
  <si>
    <t>Sports content, olympics</t>
  </si>
  <si>
    <t>A couple of shows shut also</t>
  </si>
  <si>
    <t>Have a few things running to keep through to May</t>
  </si>
  <si>
    <t>News casts</t>
  </si>
  <si>
    <t>Ratings for first 11 weeks</t>
  </si>
  <si>
    <t>+6% FTA ratings</t>
  </si>
  <si>
    <t>US more sports dependent. Mexico only missed football</t>
  </si>
  <si>
    <t>US ratings are collapsing</t>
  </si>
  <si>
    <t>Write it as our own conclusions</t>
  </si>
  <si>
    <t xml:space="preserve">supportive of </t>
  </si>
  <si>
    <t>churn is down</t>
  </si>
  <si>
    <t>net adds</t>
  </si>
  <si>
    <t>Q1 and Q2 will be strong</t>
  </si>
  <si>
    <t>cable strength</t>
  </si>
  <si>
    <t>so far can install in homes, may be a pause, backlog perhaps</t>
  </si>
  <si>
    <t>Wireless data down, fixed data up</t>
  </si>
  <si>
    <t>Hedge on cash flows</t>
  </si>
  <si>
    <t>80% of capex for 2020</t>
  </si>
  <si>
    <t>Liquidity analysis</t>
  </si>
  <si>
    <t>Mar-24th</t>
  </si>
  <si>
    <t>&gt;2029</t>
  </si>
  <si>
    <t>AMX</t>
  </si>
  <si>
    <t>Implied opex</t>
  </si>
  <si>
    <t>ARPU estimate for SKY BB</t>
  </si>
  <si>
    <t>as SKY</t>
  </si>
  <si>
    <t>Chile</t>
  </si>
  <si>
    <t>Colombia</t>
  </si>
  <si>
    <t>Peru</t>
  </si>
  <si>
    <t>Tourism dep Carib</t>
  </si>
  <si>
    <t>Comm exps Carib</t>
  </si>
  <si>
    <t>Q1 20</t>
  </si>
  <si>
    <t>Q2 20</t>
  </si>
  <si>
    <t>Q3 20</t>
  </si>
  <si>
    <t>Q4 20</t>
  </si>
  <si>
    <t>Cash/other</t>
  </si>
  <si>
    <t>Thailand</t>
  </si>
  <si>
    <t>20 vs 19</t>
  </si>
  <si>
    <t>Nigeria</t>
  </si>
  <si>
    <t>Sub-Saharan Africa</t>
  </si>
  <si>
    <t>Indonesia</t>
  </si>
  <si>
    <t>Malaysia</t>
  </si>
  <si>
    <t>Ability to lower costs in Content</t>
  </si>
  <si>
    <t>hold margins steady over rest of the year?</t>
  </si>
  <si>
    <t>Wireless BB</t>
  </si>
  <si>
    <t>Any covenants?</t>
  </si>
  <si>
    <t>UNI royalties…last 2 weeks, thoughts into Q2 and 2020</t>
  </si>
  <si>
    <t>Assume buy back program on hold?</t>
  </si>
  <si>
    <t>Changes of estimates (post Corona, post Q1)</t>
  </si>
  <si>
    <t>Leverage at 3.0x…should be nearer 3.3x by YE 2020 at current FX</t>
  </si>
  <si>
    <t>Aggressive cost reduction plan</t>
  </si>
  <si>
    <t>Earnings call</t>
  </si>
  <si>
    <t>Executive pay cut of</t>
  </si>
  <si>
    <t>`</t>
  </si>
  <si>
    <t>50% for CEOs</t>
  </si>
  <si>
    <t>Where will savings appear mainly..? Content and HQ?</t>
  </si>
  <si>
    <t>How much upfront, how much Covid - can you disentangle?</t>
  </si>
  <si>
    <t>Think about on USD terms or MXN only</t>
  </si>
  <si>
    <t>10-25% elsewhere for executives</t>
  </si>
  <si>
    <t>In MSO business in cable, how much is business?</t>
  </si>
  <si>
    <t>2 high volume clients were ditched</t>
  </si>
  <si>
    <t xml:space="preserve">replaced with </t>
  </si>
  <si>
    <t>Late Feb</t>
  </si>
  <si>
    <t>massive deterioration in growth expectations</t>
  </si>
  <si>
    <t>consumer goods and travel in particular</t>
  </si>
  <si>
    <t>multiple sports events</t>
  </si>
  <si>
    <t>Alfonso</t>
  </si>
  <si>
    <t>Salvi, on cable</t>
  </si>
  <si>
    <t>March and April resilient</t>
  </si>
  <si>
    <t>Single play BB offer</t>
  </si>
  <si>
    <t>5 to 100 Mbps</t>
  </si>
  <si>
    <t>210-530 pesos</t>
  </si>
  <si>
    <t>Good timing</t>
  </si>
  <si>
    <t>During March, ramping acceleration</t>
  </si>
  <si>
    <t>40% data traffic</t>
  </si>
  <si>
    <t>Average call duration +30%</t>
  </si>
  <si>
    <t>Some customers upgraded</t>
  </si>
  <si>
    <t>Highest gross adds ever in Q1</t>
  </si>
  <si>
    <t>Some customers will not be able to pay if problems persist</t>
  </si>
  <si>
    <t>Launching Lifeline package</t>
  </si>
  <si>
    <t>2 Mbps</t>
  </si>
  <si>
    <t>No video content, or games</t>
  </si>
  <si>
    <t>USD 80m lower spend</t>
  </si>
  <si>
    <t>Cable capex down $80m…? To check, now USD500m for cable? ($575m previously)</t>
  </si>
  <si>
    <t xml:space="preserve">Some upgrades, greater demand / some economic pressure on lower incomes…where will this net off, up or down? </t>
  </si>
  <si>
    <t>Wholesale growth looked to have slowed…is this a Covid issue?</t>
  </si>
  <si>
    <t>USD pressure on opex</t>
  </si>
  <si>
    <t>$200m will remain…most of its growth related…can come down if growth slows</t>
  </si>
  <si>
    <t>Former CFO of Viacom and Eric Zinterhof of Searchlight</t>
  </si>
  <si>
    <t>Q1…strong operating momentum</t>
  </si>
  <si>
    <t>8% to $660m revs estimates</t>
  </si>
  <si>
    <t>EBITDA $221m, of +23%</t>
  </si>
  <si>
    <t>US Ad to deteriorate</t>
  </si>
  <si>
    <t>$750-800m</t>
  </si>
  <si>
    <t>2020 capex</t>
  </si>
  <si>
    <t>What might you have expected Upfront timing to have impacted?</t>
  </si>
  <si>
    <t>Suspension of new productions</t>
  </si>
  <si>
    <t>$54m savings?</t>
  </si>
  <si>
    <t>Have productions to go through to July</t>
  </si>
  <si>
    <t>This is in content</t>
  </si>
  <si>
    <t>April trending looks bad</t>
  </si>
  <si>
    <t>Heavily affected in Q2</t>
  </si>
  <si>
    <t>April OK so far, collections OK also</t>
  </si>
  <si>
    <t>However, early to determine FY</t>
  </si>
  <si>
    <t>Demand for connectivity very strong</t>
  </si>
  <si>
    <t>How much??</t>
  </si>
  <si>
    <t>Freeze on new hires</t>
  </si>
  <si>
    <t>New agreement with all suppliers</t>
  </si>
  <si>
    <t>Also on consultancy</t>
  </si>
  <si>
    <t>VPs and directors to cut also</t>
  </si>
  <si>
    <t>Board cut comp by 50%</t>
  </si>
  <si>
    <t>Covenants</t>
  </si>
  <si>
    <t>UNI still on $1.1bn on books</t>
  </si>
  <si>
    <t>Transaction value not made public</t>
  </si>
  <si>
    <t>Worth more to TV than to the buyer</t>
  </si>
  <si>
    <t>4x net debt to EBITDA</t>
  </si>
  <si>
    <t>Compliant</t>
  </si>
  <si>
    <t>Public advertising cuts..?</t>
  </si>
  <si>
    <t>Upfronts basically run until YE and only cover 2020</t>
  </si>
  <si>
    <t>Ad will be cut, reduced substantially, perhaps to zero</t>
  </si>
  <si>
    <t>Federal spend…7% of Ad last year</t>
  </si>
  <si>
    <t>End of Q1 supported numbers</t>
  </si>
  <si>
    <t xml:space="preserve">Single-play…as lock down </t>
  </si>
  <si>
    <t>Enterprise segment</t>
  </si>
  <si>
    <t>Margins on cable</t>
  </si>
  <si>
    <t>Margin pressure</t>
  </si>
  <si>
    <t>SKY…margin at or below this level</t>
  </si>
  <si>
    <t>14% of sales</t>
  </si>
  <si>
    <t>mainly large clients</t>
  </si>
  <si>
    <t>Enterprise in cable</t>
  </si>
  <si>
    <t>&lt;5% of total enterprise from hotels or SMEs</t>
  </si>
  <si>
    <t>need…some asked for more capacity</t>
  </si>
  <si>
    <t>small…in residential offer</t>
  </si>
  <si>
    <t>8% of customers is non-residential</t>
  </si>
  <si>
    <t>small shops closed, or working from home</t>
  </si>
  <si>
    <t>those who cannot pay…migrating to smaller packages..</t>
  </si>
  <si>
    <t>Looking to maintain margin</t>
  </si>
  <si>
    <t>FY19 2020 guide</t>
  </si>
  <si>
    <t>New 2020 guide</t>
  </si>
  <si>
    <t>Bolivia</t>
  </si>
  <si>
    <t>Costa Rica</t>
  </si>
  <si>
    <t>Ecuador</t>
  </si>
  <si>
    <t>Guatemala</t>
  </si>
  <si>
    <t>Honduras</t>
  </si>
  <si>
    <t>Panama</t>
  </si>
  <si>
    <t>Paraguay</t>
  </si>
  <si>
    <t>Nicaragua</t>
  </si>
  <si>
    <t>El Salvador</t>
  </si>
  <si>
    <t>Philippines</t>
  </si>
  <si>
    <t>Sub-Sah Africa</t>
  </si>
  <si>
    <t>Mobile offer</t>
  </si>
  <si>
    <t>Bring your own device / SIM only</t>
  </si>
  <si>
    <t>can sell devices if necessary</t>
  </si>
  <si>
    <t>&gt;40% of customers have compatible devices</t>
  </si>
  <si>
    <t>New iPhones are compatible, some old ones not</t>
  </si>
  <si>
    <t>All new phones have to be compatible</t>
  </si>
  <si>
    <t>More aggressive than previously planned</t>
  </si>
  <si>
    <t>Really driven by Salvi Foch</t>
  </si>
  <si>
    <t>"Unlimited"</t>
  </si>
  <si>
    <t>25 GB, or speed capped to 512 kb</t>
  </si>
  <si>
    <t>Selling only where Red Compartida's network is</t>
  </si>
  <si>
    <t>Some roaming risk</t>
  </si>
  <si>
    <t>All payments through Red Compartida</t>
  </si>
  <si>
    <t>57m POPs covered (5 March)</t>
  </si>
  <si>
    <t>Samsung, Huawei, Motorola can be provided</t>
  </si>
  <si>
    <t>Some through Amazon</t>
  </si>
  <si>
    <t>Target</t>
  </si>
  <si>
    <t>4.8m broadband subs</t>
  </si>
  <si>
    <t>&gt;60% of BB subs are covered</t>
  </si>
  <si>
    <t>Devices limit also</t>
  </si>
  <si>
    <t>40% of target have compatible devices</t>
  </si>
  <si>
    <t>Telcel will sit and wait</t>
  </si>
  <si>
    <t>AMX used to operators trying to compete…won't overreact</t>
  </si>
  <si>
    <t>Is being done to not lose money</t>
  </si>
  <si>
    <t>Issues with handsets, coverage, launch a failure</t>
  </si>
  <si>
    <t>Tried again: Dec-19 had 4,000 subs</t>
  </si>
  <si>
    <t>500,000 SIMs free to its own subs</t>
  </si>
  <si>
    <t>If outside of MEGA footprint…don't have the same conditions</t>
  </si>
  <si>
    <t>Learnt from MEGA</t>
  </si>
  <si>
    <t>No plans to acquire C-band spectrum</t>
  </si>
  <si>
    <t>As % of BB</t>
  </si>
  <si>
    <t>Prompt payment promo</t>
  </si>
  <si>
    <t>promo based on early payment, 6m stay</t>
  </si>
  <si>
    <t>Claro Video, 3m promo</t>
  </si>
  <si>
    <t>Class action</t>
  </si>
  <si>
    <t>Tried to create a class action, following the share price collapse since 2018</t>
  </si>
  <si>
    <t>College of Applied Arts and Tech Pension Plan (Canadian)</t>
  </si>
  <si>
    <t>1. FIFA stuff from a while back</t>
  </si>
  <si>
    <t>2. 2018 - "internal control deficiencies" - press release</t>
  </si>
  <si>
    <t>Plus other funds</t>
  </si>
  <si>
    <t>Q2 20 preview</t>
  </si>
  <si>
    <t>Regulator</t>
  </si>
  <si>
    <t>Ad weak</t>
  </si>
  <si>
    <t>40-50% down, Discovery CEO</t>
  </si>
  <si>
    <t>40% USD denominated</t>
  </si>
  <si>
    <t>share peso depreciation</t>
  </si>
  <si>
    <t>60% peso</t>
  </si>
  <si>
    <t>LatAm buyers push to acquire in local</t>
  </si>
  <si>
    <t>Lice and Synd</t>
  </si>
  <si>
    <t>50% of UNI is Ad</t>
  </si>
  <si>
    <t>50% transmission</t>
  </si>
  <si>
    <t>Barely any revs, only publishing working</t>
  </si>
  <si>
    <t>Debt in USD</t>
  </si>
  <si>
    <t>Bank debt exposed to covenant</t>
  </si>
  <si>
    <t>22/23bn</t>
  </si>
  <si>
    <t>Merging regulator</t>
  </si>
  <si>
    <t>Retracted comments</t>
  </si>
  <si>
    <t>Stock volatility</t>
  </si>
  <si>
    <t>Q2 20 earnings call (July 8th)</t>
  </si>
  <si>
    <t>Covid- not at peak yet</t>
  </si>
  <si>
    <t>Economic impact dramatic</t>
  </si>
  <si>
    <t>8.8% contraction expected in 2020</t>
  </si>
  <si>
    <t>USD average life 20 years</t>
  </si>
  <si>
    <t>MXN average life 20 years</t>
  </si>
  <si>
    <t>Retrans strong</t>
  </si>
  <si>
    <t>Content focus</t>
  </si>
  <si>
    <t>MXN462m for Q2</t>
  </si>
  <si>
    <t>FY will save MXN2.1 to MXN2.4bn</t>
  </si>
  <si>
    <t>257 GB/month</t>
  </si>
  <si>
    <t>MSO 7.7%</t>
  </si>
  <si>
    <t>Enterprise 26.6%</t>
  </si>
  <si>
    <t>H2 household income risk</t>
  </si>
  <si>
    <t>$136m, 27% down y/y</t>
  </si>
  <si>
    <t>Capex to 27.4% in Q2, from 34% one year ago</t>
  </si>
  <si>
    <t>Oppo to leverage brand etc</t>
  </si>
  <si>
    <t>Similar to US offers</t>
  </si>
  <si>
    <t>unlimited post-paid in certain areas</t>
  </si>
  <si>
    <t>where Altan does not have network, roam with Telcel</t>
  </si>
  <si>
    <t>Ratings up 18%</t>
  </si>
  <si>
    <t>W/e up 30%</t>
  </si>
  <si>
    <t>Estrellas - key channel</t>
  </si>
  <si>
    <t>Drama</t>
  </si>
  <si>
    <t>3rd most watched drama since 2018</t>
  </si>
  <si>
    <t>24% of HHs</t>
  </si>
  <si>
    <t>Newscast</t>
  </si>
  <si>
    <t>Production</t>
  </si>
  <si>
    <t xml:space="preserve">Have resumed </t>
  </si>
  <si>
    <t>3 dramas, 9 daily shows</t>
  </si>
  <si>
    <t>Regular soccer back July 24th</t>
  </si>
  <si>
    <t>Main source of info, 2x more viewers than Azteca</t>
  </si>
  <si>
    <t>Growing double digits</t>
  </si>
  <si>
    <t>Comedy at 10pm</t>
  </si>
  <si>
    <t>x3 ratings for Telemundo</t>
  </si>
  <si>
    <t>recharge rate has not been impacted - gone up?</t>
  </si>
  <si>
    <t>Tok advantage of market and extended amortisation schedule</t>
  </si>
  <si>
    <t>$1.5bn 2027 to refi 2023</t>
  </si>
  <si>
    <t>Increased $2bn term loan for 2026 and revolver for 2025</t>
  </si>
  <si>
    <t>Ad deposits change</t>
  </si>
  <si>
    <t>$15bn as floor?</t>
  </si>
  <si>
    <t>Deposits gone up over time</t>
  </si>
  <si>
    <t>Some are not using, or being rescheduled (tourism etc)</t>
  </si>
  <si>
    <t>Certain projects</t>
  </si>
  <si>
    <t>BB infra for state governments</t>
  </si>
  <si>
    <t>See good growth oppo here</t>
  </si>
  <si>
    <t>Market share here is limited</t>
  </si>
  <si>
    <t>Sustainable for some quarters</t>
  </si>
  <si>
    <t>Pandemic has brought additional needs on all fronts</t>
  </si>
  <si>
    <t>Cost reduction</t>
  </si>
  <si>
    <t>Across the board</t>
  </si>
  <si>
    <t>Each and every single line item</t>
  </si>
  <si>
    <t xml:space="preserve">30-35% of savings will be kept in 2021 </t>
  </si>
  <si>
    <t>Produce certain live/reality shows if there is demand</t>
  </si>
  <si>
    <t>Q3 should be quicker than Q3 last year</t>
  </si>
  <si>
    <t>Set to gain share…market up, win from subs</t>
  </si>
  <si>
    <t>esp from DSL</t>
  </si>
  <si>
    <t>Capacity</t>
  </si>
  <si>
    <t>medium-term, feel very comfortable</t>
  </si>
  <si>
    <t>Docsis 3.0 better speed, 3.1 ready in bigger cities</t>
  </si>
  <si>
    <t>to go to GB speeds are on terminal devices</t>
  </si>
  <si>
    <t>New areas</t>
  </si>
  <si>
    <t>If prices of FTTH have come down then do FTTH</t>
  </si>
  <si>
    <t>April peak</t>
  </si>
  <si>
    <t xml:space="preserve">June demand came down a little </t>
  </si>
  <si>
    <t>June better than May</t>
  </si>
  <si>
    <t>Structural separation</t>
  </si>
  <si>
    <t>Across the board, telecoms ad less by 50%</t>
  </si>
  <si>
    <t>Foo/ down 30%</t>
  </si>
  <si>
    <t>Personal hygene down 18%</t>
  </si>
  <si>
    <t>This is 80% of total sales</t>
  </si>
  <si>
    <t>Colour here</t>
  </si>
  <si>
    <t>1 month in</t>
  </si>
  <si>
    <t xml:space="preserve">Where are the subs coming from </t>
  </si>
  <si>
    <t>Consider launching pre-pay</t>
  </si>
  <si>
    <t>0.5m - most is fixed wireless…(99%)</t>
  </si>
  <si>
    <t>Altan</t>
  </si>
  <si>
    <t>ULL has not evolved</t>
  </si>
  <si>
    <t>Post pay usage is ~4 GB/month</t>
  </si>
  <si>
    <t>MXN250/month</t>
  </si>
  <si>
    <t>14,000 subs in 1 month</t>
  </si>
  <si>
    <t>Challenge is devices</t>
  </si>
  <si>
    <t>Band 28….over time this will be solved</t>
  </si>
  <si>
    <t>No specific target</t>
  </si>
  <si>
    <t>Partly can offload data</t>
  </si>
  <si>
    <t>Comcast/Charter…</t>
  </si>
  <si>
    <t>Price with Altan is attractive</t>
  </si>
  <si>
    <t>Not pre-pay</t>
  </si>
  <si>
    <t>Change in OpEx in MXN</t>
  </si>
  <si>
    <t>OpEx, MXN</t>
  </si>
  <si>
    <t>H2 - still not clear on Ad revenue</t>
  </si>
  <si>
    <t>MXN15bn less the part spent already</t>
  </si>
  <si>
    <t>MXN13.3bn as of H1</t>
  </si>
  <si>
    <t>Project</t>
  </si>
  <si>
    <t>Supporting state project</t>
  </si>
  <si>
    <t>Will start paying VAT</t>
  </si>
  <si>
    <t>Izzy changing the way it will be reported</t>
  </si>
  <si>
    <t>used to be sales</t>
  </si>
  <si>
    <t>MXN100</t>
  </si>
  <si>
    <t>sales</t>
  </si>
  <si>
    <t>MXN95</t>
  </si>
  <si>
    <t>cost</t>
  </si>
  <si>
    <t>MXN5</t>
  </si>
  <si>
    <t>now, will report</t>
  </si>
  <si>
    <t>directly</t>
  </si>
  <si>
    <t>&gt;45% 3-play…and the majority have OTT (Blim)</t>
  </si>
  <si>
    <t>Started in June, v small impact in Q2</t>
  </si>
  <si>
    <t>Q2 - a lot of promotions</t>
  </si>
  <si>
    <t>Adds</t>
  </si>
  <si>
    <t>a lot related to Covid</t>
  </si>
  <si>
    <t>Lifeline</t>
  </si>
  <si>
    <t>not included in adds</t>
  </si>
  <si>
    <t>not in revenue…as don't pay for 2 months</t>
  </si>
  <si>
    <t>households</t>
  </si>
  <si>
    <t>lower packages</t>
  </si>
  <si>
    <t>Churn</t>
  </si>
  <si>
    <t>No increase in churn</t>
  </si>
  <si>
    <t>People saving money from certain places</t>
  </si>
  <si>
    <t>EBITDA FX impact</t>
  </si>
  <si>
    <t>delayed sports impact..will pay in Q3 that didn't pay in Q2</t>
  </si>
  <si>
    <t>Cost</t>
  </si>
  <si>
    <t>Small FX impact</t>
  </si>
  <si>
    <t>Sell side</t>
  </si>
  <si>
    <t>Q2 above exps for all</t>
  </si>
  <si>
    <t>$8.0 is the average</t>
  </si>
  <si>
    <t>Sell-side call</t>
  </si>
  <si>
    <t>Network fine - harvesting investments</t>
  </si>
  <si>
    <t>Gross and net additions strong as of mid Aug</t>
  </si>
  <si>
    <t>Aug 24th - schools to restart…connectivity needed</t>
  </si>
  <si>
    <t>Upgrades to faster speeds</t>
  </si>
  <si>
    <t>Migration from Telmex</t>
  </si>
  <si>
    <t>New to BB, been using mobile historically</t>
  </si>
  <si>
    <t>New customers:</t>
  </si>
  <si>
    <t>Continue to see demand for BB</t>
  </si>
  <si>
    <t>Pay TV outlook…?</t>
  </si>
  <si>
    <t>0.5m BB customers</t>
  </si>
  <si>
    <t>20k video subs in SKY</t>
  </si>
  <si>
    <t>Strong gross and net in BB and video</t>
  </si>
  <si>
    <t>bundling of BB and video popular, see lower churn</t>
  </si>
  <si>
    <t>Cheap entertainment still in demand</t>
  </si>
  <si>
    <t>Sport has come back…at SKY. UEFA Champions League, Spain, Mexico</t>
  </si>
  <si>
    <t>Netlfix VAT impact on cable</t>
  </si>
  <si>
    <t>upbeat</t>
  </si>
  <si>
    <t>As per US..</t>
  </si>
  <si>
    <t>Audiences growing</t>
  </si>
  <si>
    <t>Beating competitors in Mexico</t>
  </si>
  <si>
    <t>Getting eyeballs. Hitting targets clients want</t>
  </si>
  <si>
    <t>Cost cutting…aggressive program</t>
  </si>
  <si>
    <t>No visibility</t>
  </si>
  <si>
    <t>Last Friday results</t>
  </si>
  <si>
    <t>Big drop on Ad, offset by distribution - which is more resilient even with chord cutting</t>
  </si>
  <si>
    <t>things looking better…reopening in the US</t>
  </si>
  <si>
    <t>very good results…beating all broadcasters</t>
  </si>
  <si>
    <t>Need yellow or green lights for bingo parlours</t>
  </si>
  <si>
    <t>Football stadiums still empty…continue to impact</t>
  </si>
  <si>
    <t>Movie launches are delayed…cinemas starting to open in certain states</t>
  </si>
  <si>
    <t>100% related to good capex, growth in SAC on both cable and SKY</t>
  </si>
  <si>
    <t>High end of this range</t>
  </si>
  <si>
    <t>Very strong balance sheet</t>
  </si>
  <si>
    <t>Re-paid some SKY debt, with cash held here</t>
  </si>
  <si>
    <t>Ad business</t>
  </si>
  <si>
    <t>MXN15bn - a sense on low end of Ad revs for FY?</t>
  </si>
  <si>
    <t>Still low visibility on Ad</t>
  </si>
  <si>
    <t>Competition from FTTH</t>
  </si>
  <si>
    <t>MVNO business?</t>
  </si>
  <si>
    <t>Aggressive offer…work well with BB clients</t>
  </si>
  <si>
    <t>Netflix deal</t>
  </si>
  <si>
    <t>Accounting for profit…June 1 VAT…impact to top line, no impact on EBITDA</t>
  </si>
  <si>
    <t>Univision licensing Content to OTTs?</t>
  </si>
  <si>
    <t>Area of opportunity</t>
  </si>
  <si>
    <t>Would still get royalties on revenue</t>
  </si>
  <si>
    <t>Relationship with Wade at UNI</t>
  </si>
  <si>
    <t xml:space="preserve">Great to have Zinterhoffer </t>
  </si>
  <si>
    <t>Football / sports</t>
  </si>
  <si>
    <t>Mostly impact SKY - EPL, Spanish League</t>
  </si>
  <si>
    <t>Additional cost as content resumes</t>
  </si>
  <si>
    <t>SKY margins &gt; 40%</t>
  </si>
  <si>
    <t>around this level for H2</t>
  </si>
  <si>
    <t>Cost savings</t>
  </si>
  <si>
    <t>Any joint cost initiatives with UNI?</t>
  </si>
  <si>
    <t>JV of sports…cost savings most important</t>
  </si>
  <si>
    <t>Economics?</t>
  </si>
  <si>
    <t>Checking credit controls</t>
  </si>
  <si>
    <t>Monitoring collections obsessively</t>
  </si>
  <si>
    <t>Need for connectivity</t>
  </si>
  <si>
    <t>Pay TV and BB are very cheap</t>
  </si>
  <si>
    <t>Recent price increase</t>
  </si>
  <si>
    <t>Cable across the board, roughly in-line with inflation</t>
  </si>
  <si>
    <t>Not an easy decision</t>
  </si>
  <si>
    <t>Visiting White House..including co CEO of Televisa</t>
  </si>
  <si>
    <t>Saw a better July</t>
  </si>
  <si>
    <t>Education in schools</t>
  </si>
  <si>
    <t>BB pen is &lt;60%</t>
  </si>
  <si>
    <t>Multiplex on the Televisa channels</t>
  </si>
  <si>
    <t>TV pen is &gt;90%</t>
  </si>
  <si>
    <t>FTTH upgrade</t>
  </si>
  <si>
    <t>MEGA investments are similar to investments which TV started in 2014/15</t>
  </si>
  <si>
    <t>Acquired lousy networks…in 2015 BB pen was below 30%</t>
  </si>
  <si>
    <t>&gt; 100 Mbps to 90% + of customers</t>
  </si>
  <si>
    <t>Fibre being deployed on a niche basis….Monterrey for instance</t>
  </si>
  <si>
    <t>Most footprint increase is FTTH</t>
  </si>
  <si>
    <t>FTTH and HFC is pretty similar</t>
  </si>
  <si>
    <t>Docsis 3.0, 3.1 is coming</t>
  </si>
  <si>
    <t>2021e net debt</t>
  </si>
  <si>
    <t>No real changes since Sell side</t>
  </si>
  <si>
    <t>Q3 better than Q2 in terms of Ad</t>
  </si>
  <si>
    <t>y/y growth will not be down 30%</t>
  </si>
  <si>
    <t>-15-25%</t>
  </si>
  <si>
    <t>50/50 USD/MXN</t>
  </si>
  <si>
    <t>Licencing &amp; Syndication</t>
  </si>
  <si>
    <t>Election coming</t>
  </si>
  <si>
    <t>Some kind of benefit</t>
  </si>
  <si>
    <t>But</t>
  </si>
  <si>
    <t>All media companies trying to save money</t>
  </si>
  <si>
    <t>One way is not to import content</t>
  </si>
  <si>
    <t>use library</t>
  </si>
  <si>
    <t>Relevant portion is exports</t>
  </si>
  <si>
    <t>SKY should keep same trend</t>
  </si>
  <si>
    <t>OTT / Netflix</t>
  </si>
  <si>
    <t>200 bp off revenue</t>
  </si>
  <si>
    <t>Mid-single than high</t>
  </si>
  <si>
    <t>Sept 1st price increase. ~4%</t>
  </si>
  <si>
    <t>Price incease on cable</t>
  </si>
  <si>
    <t>July-19 price increase</t>
  </si>
  <si>
    <t>SKY price increases Dec-19 and Jan-20</t>
  </si>
  <si>
    <t>usually has some impact</t>
  </si>
  <si>
    <t>Hard to think Q3 will be as strong in terms of adds</t>
  </si>
  <si>
    <t>Totalplay</t>
  </si>
  <si>
    <t>Aggressive</t>
  </si>
  <si>
    <t>Promotions</t>
  </si>
  <si>
    <t>Marketing</t>
  </si>
  <si>
    <t>Not sure if Total Play increasing prices</t>
  </si>
  <si>
    <t>Cable is cheap</t>
  </si>
  <si>
    <t>Cable mobile</t>
  </si>
  <si>
    <t>Growing at a slow pace</t>
  </si>
  <si>
    <t>Arrow Street</t>
  </si>
  <si>
    <t>Alliance Bernstein</t>
  </si>
  <si>
    <t>New shareholders</t>
  </si>
  <si>
    <t>SKY amortisation comes through in Q3 and Q4</t>
  </si>
  <si>
    <t>more in Q4</t>
  </si>
  <si>
    <t>Need to show a few stable quarters…grow Ad for a couple of quarters</t>
  </si>
  <si>
    <t>Show some transparency on UNI</t>
  </si>
  <si>
    <t>Non-core sales not so relevant</t>
  </si>
  <si>
    <t xml:space="preserve">Capex/sales to low 20%s in 2021 and &lt;20% </t>
  </si>
  <si>
    <t>$750-800m for 2020 capex</t>
  </si>
  <si>
    <t>No cable capex</t>
  </si>
  <si>
    <t>SKY is always ~$250m, Content is $50-10m</t>
  </si>
  <si>
    <t>2021 capex</t>
  </si>
  <si>
    <t>consensus</t>
  </si>
  <si>
    <t>25% sales</t>
  </si>
  <si>
    <t>2021 Ad revenue</t>
  </si>
  <si>
    <t>FY 20</t>
  </si>
  <si>
    <t>-20% to -26%</t>
  </si>
  <si>
    <t>FY 21</t>
  </si>
  <si>
    <t>huge range</t>
  </si>
  <si>
    <t xml:space="preserve">7% growth…lowest -3% </t>
  </si>
  <si>
    <t>difference, y/y</t>
  </si>
  <si>
    <t>Q3 2020 earnings call</t>
  </si>
  <si>
    <t>Capex guide</t>
  </si>
  <si>
    <t>Disney + coming in Nov</t>
  </si>
  <si>
    <t>Important as a complementary service for Izzy</t>
  </si>
  <si>
    <t>Video consumption changing</t>
  </si>
  <si>
    <t>Izzy well positioned to be the place to watch OTT</t>
  </si>
  <si>
    <t>Key distributor for Netflix</t>
  </si>
  <si>
    <t>1st Sept price rise on cable</t>
  </si>
  <si>
    <t>same as last year</t>
  </si>
  <si>
    <t>Have a lot of content which customers want</t>
  </si>
  <si>
    <t>OTT threat</t>
  </si>
  <si>
    <t>Linear channels also key</t>
  </si>
  <si>
    <t>So OTT + linear is important</t>
  </si>
  <si>
    <t>Video costs are relatively low</t>
  </si>
  <si>
    <t>3.1 terminal equipment is ~80% more expensive</t>
  </si>
  <si>
    <t>3.0 gets to 200 Mbps</t>
  </si>
  <si>
    <t>10% of homes passed FTTH</t>
  </si>
  <si>
    <t>60% is fibre to the node….?</t>
  </si>
  <si>
    <t>Cable vs fibre</t>
  </si>
  <si>
    <t>Relaunch of online Content</t>
  </si>
  <si>
    <t>Opex</t>
  </si>
  <si>
    <t>Q4 2020</t>
  </si>
  <si>
    <t>Last year was closed in Q4 2019</t>
  </si>
  <si>
    <t>This time back to Q1 timing</t>
  </si>
  <si>
    <t>Cable and SKY</t>
  </si>
  <si>
    <t>some return to normal in Q4</t>
  </si>
  <si>
    <t>Network sub - looks a little high</t>
  </si>
  <si>
    <t>Not much guide</t>
  </si>
  <si>
    <t>Should be negative</t>
  </si>
  <si>
    <t>Q4 won’t be the worst year</t>
  </si>
  <si>
    <t>US election should support</t>
  </si>
  <si>
    <t>8.1% y/y</t>
  </si>
  <si>
    <t>Netflix, mid rather than high single digit</t>
  </si>
  <si>
    <t>Easing of lockdown….lower add on re activity, channels, platform speeds</t>
  </si>
  <si>
    <t>Weak disposible income</t>
  </si>
  <si>
    <t>A little cautious</t>
  </si>
  <si>
    <t>amortises extra sports in Q4</t>
  </si>
  <si>
    <t>might be a little low</t>
  </si>
  <si>
    <t>a little high</t>
  </si>
  <si>
    <t>made adjustments to avoid relevant losses</t>
  </si>
  <si>
    <t>Still quite a "few clients" outstanding</t>
  </si>
  <si>
    <t>2021 remains uncertain</t>
  </si>
  <si>
    <t>View end-2020 was there was some light at the end of tunnel previously</t>
  </si>
  <si>
    <t>Full lockdowns now</t>
  </si>
  <si>
    <t>Vaccines very uncertain</t>
  </si>
  <si>
    <t>Pfizer for doctors</t>
  </si>
  <si>
    <t>25m from Roche, start by March everyone &gt;60 vaccinated</t>
  </si>
  <si>
    <t>TV was hit by liquidity squeeze</t>
  </si>
  <si>
    <t>Upfronts up mid single digit</t>
  </si>
  <si>
    <t>Confident of an inflection</t>
  </si>
  <si>
    <t>FTA grew 3.6% in 2020</t>
  </si>
  <si>
    <t>Flagship channel up 20%, 5 year earnings record</t>
  </si>
  <si>
    <t>Video - tough economics….broadband is key, connectivity</t>
  </si>
  <si>
    <t>Netflix - top BB service provider, based on speeds</t>
  </si>
  <si>
    <t>Disruptive mobile</t>
  </si>
  <si>
    <t>Emilio, Alfonso on the board</t>
  </si>
  <si>
    <t>Bernado offered role in US but decided to decline</t>
  </si>
  <si>
    <t>Rotate and then Bernardo will take over</t>
  </si>
  <si>
    <t>TV and UNI collaboration</t>
  </si>
  <si>
    <t>Wade and TV relationship is the best ever</t>
  </si>
  <si>
    <t>UNI as a sleeping giant</t>
  </si>
  <si>
    <t>No steer yet. Tokyo Olympics a biggy</t>
  </si>
  <si>
    <t>LBTY Global invested in UNI</t>
  </si>
  <si>
    <t>Fries - strengthen relationship between LBTY and TV</t>
  </si>
  <si>
    <t>Want to do more things</t>
  </si>
  <si>
    <t>Some cancelled upfront plans</t>
  </si>
  <si>
    <t>others rolled into 2021</t>
  </si>
  <si>
    <t>airlines for example</t>
  </si>
  <si>
    <t>Slowdown in Q4, likely to be industry wide</t>
  </si>
  <si>
    <t>Telmex slowed also</t>
  </si>
  <si>
    <t>Economic environment challenging</t>
  </si>
  <si>
    <t>Fed Government</t>
  </si>
  <si>
    <t>State</t>
  </si>
  <si>
    <t>&gt;1.5%</t>
  </si>
  <si>
    <t>Chat with Rodrigo</t>
  </si>
  <si>
    <t>All Ad</t>
  </si>
  <si>
    <t>low double digits</t>
  </si>
  <si>
    <t>Should be possible for UNI also</t>
  </si>
  <si>
    <t>UNI outperforms</t>
  </si>
  <si>
    <t xml:space="preserve">2020 political Ad but should still grow </t>
  </si>
  <si>
    <t>VOD platform</t>
  </si>
  <si>
    <t>Should bring to Mexico also…</t>
  </si>
  <si>
    <t>mostly it's mid-low customers</t>
  </si>
  <si>
    <t>Prende TV</t>
  </si>
  <si>
    <t>Ad funded for basic</t>
  </si>
  <si>
    <t>$5-6 if subscription based</t>
  </si>
  <si>
    <t>Hulu</t>
  </si>
  <si>
    <t>$10</t>
  </si>
  <si>
    <t>Could cannibalise</t>
  </si>
  <si>
    <t>driven by new management</t>
  </si>
  <si>
    <t>EBITDA flattish at $1 billion</t>
  </si>
  <si>
    <t>NOLS of $600m</t>
  </si>
  <si>
    <t>7x net debt to EBITDA</t>
  </si>
  <si>
    <t>Head to 3x</t>
  </si>
  <si>
    <t>Integrated to AVOD</t>
  </si>
  <si>
    <t>Pay also</t>
  </si>
  <si>
    <t>Decent amount of subs, but not growing</t>
  </si>
  <si>
    <t>Jan and Feb v strong</t>
  </si>
  <si>
    <t>Telecoms advertising a lot</t>
  </si>
  <si>
    <t>Azteca debt restructuring</t>
  </si>
  <si>
    <t>Some extra support in 2020</t>
  </si>
  <si>
    <t>Growth in mid single digits</t>
  </si>
  <si>
    <t>Cable a touch higher</t>
  </si>
  <si>
    <t>x3 play subs, disconnect TV</t>
  </si>
  <si>
    <t>no real BB disconnect</t>
  </si>
  <si>
    <t>Cable RGUs a touch weaker in H1</t>
  </si>
  <si>
    <t>Price increases generally</t>
  </si>
  <si>
    <t>Raised $575m in H2</t>
  </si>
  <si>
    <t>Ended up with $80m</t>
  </si>
  <si>
    <t>Homes passed FTTH at Totalplay</t>
  </si>
  <si>
    <t>2.2m homes connected</t>
  </si>
  <si>
    <t xml:space="preserve">2.5m HPs from TotalPlay </t>
  </si>
  <si>
    <t>Capex for 2021</t>
  </si>
  <si>
    <t>slightly higher than 2020</t>
  </si>
  <si>
    <t xml:space="preserve">invest more </t>
  </si>
  <si>
    <t>FTTH is 15% of HFC</t>
  </si>
  <si>
    <t>FTTN to 45%</t>
  </si>
  <si>
    <t>UNI deal call (Apr 21)</t>
  </si>
  <si>
    <t>Cable Head</t>
  </si>
  <si>
    <t>José Antonio González</t>
  </si>
  <si>
    <t>Televisa Univision</t>
  </si>
  <si>
    <t>300,000 hours of programming</t>
  </si>
  <si>
    <t>Premium Spanish language sports rights</t>
  </si>
  <si>
    <t>Incs Univision and Unimas</t>
  </si>
  <si>
    <t>Prende TV…all Spanish language</t>
  </si>
  <si>
    <t>2. Geo expansion</t>
  </si>
  <si>
    <t>4. Improved fin profile</t>
  </si>
  <si>
    <t>1. Create compelling Spanish language Content</t>
  </si>
  <si>
    <t>Has evolved by modernising</t>
  </si>
  <si>
    <t>TV has 65% share in Mexico, 2.3x next largest</t>
  </si>
  <si>
    <t>UNI has 60% Spanish audience share, 2x next largest</t>
  </si>
  <si>
    <t>75% of library is digitised</t>
  </si>
  <si>
    <t>Leading positions in 2 largest Spanish language markets (econ, POPs)</t>
  </si>
  <si>
    <t>Target other countries, expand globally</t>
  </si>
  <si>
    <t>2nd largest POPs in the world (Spanish)</t>
  </si>
  <si>
    <t>Other content tend to ignore</t>
  </si>
  <si>
    <t>3. Leverage tech, new opps for consumers</t>
  </si>
  <si>
    <t>Combined IP and production allow accelerate streaming</t>
  </si>
  <si>
    <t>Streaming an oppo and imperative</t>
  </si>
  <si>
    <t>Differentiated Spanish language product</t>
  </si>
  <si>
    <t>Need to be global</t>
  </si>
  <si>
    <t>Wade driving</t>
  </si>
  <si>
    <t>$4bn EBITDA</t>
  </si>
  <si>
    <t>Equity of $6bn post transaction</t>
  </si>
  <si>
    <t xml:space="preserve">TV-Univision sees </t>
  </si>
  <si>
    <t>Most production will take place in Mexico</t>
  </si>
  <si>
    <t>Margin to be close to 45% inc synergies</t>
  </si>
  <si>
    <t>5x leverage inc synergies</t>
  </si>
  <si>
    <t>Combo</t>
  </si>
  <si>
    <t>Synergies</t>
  </si>
  <si>
    <t>Streaming</t>
  </si>
  <si>
    <t>Spain the last oppo</t>
  </si>
  <si>
    <t>Softbank, Google and Raine behind this</t>
  </si>
  <si>
    <t>Top markets</t>
  </si>
  <si>
    <t>Worth "billions of dollars"</t>
  </si>
  <si>
    <t>US Hispanics over index on mobile and digital</t>
  </si>
  <si>
    <t>Ad supported streaming experience</t>
  </si>
  <si>
    <t>Viacom moved first on this</t>
  </si>
  <si>
    <t>Acquisition of Pluto TV…largest free Ad TV platform in the year</t>
  </si>
  <si>
    <t>Pierre was President of Streaming</t>
  </si>
  <si>
    <t>In LatAm, Pluto was a start up…late 18 launch, 40% larger than next competitor</t>
  </si>
  <si>
    <t>Prende TV launched. Built from scratched, within 3 months of UNI close</t>
  </si>
  <si>
    <t>UNI core business doing super well</t>
  </si>
  <si>
    <t xml:space="preserve">Streaming - </t>
  </si>
  <si>
    <t>Q1 and Q2 will show recent success</t>
  </si>
  <si>
    <t>unifying rights</t>
  </si>
  <si>
    <t>global library</t>
  </si>
  <si>
    <t>$2-300m is more synergies, than revs</t>
  </si>
  <si>
    <t>20-30% due to headcount</t>
  </si>
  <si>
    <t>most coming from facilities footprint, licencing of content</t>
  </si>
  <si>
    <t>timing - should be on-line by end 22/beginning of 23</t>
  </si>
  <si>
    <t>TV value creation?</t>
  </si>
  <si>
    <t>$2.7bn equity stake</t>
  </si>
  <si>
    <t>$3 billion in cash</t>
  </si>
  <si>
    <t>Ramp up in contenti investment?</t>
  </si>
  <si>
    <t>Cash generation is very strong</t>
  </si>
  <si>
    <t>Even after OTT…$5-5.5bn of levered FCF over the next five years</t>
  </si>
  <si>
    <t>LBTY, Google and Soft, Raine through Series C</t>
  </si>
  <si>
    <t>Forgelight and Searchlight</t>
  </si>
  <si>
    <t>Stakes</t>
  </si>
  <si>
    <t>Focus on deleverage</t>
  </si>
  <si>
    <t>Will be one platform</t>
  </si>
  <si>
    <t>Third party licencing</t>
  </si>
  <si>
    <t>Some oppo to target 3rd parties</t>
  </si>
  <si>
    <t>No1 priority is supporting own platform OTT efforts</t>
  </si>
  <si>
    <t>Preferred partnership to acquire collectively when it makes sense</t>
  </si>
  <si>
    <t>SKY and Cable and distro will still have access to content</t>
  </si>
  <si>
    <t>late 22/early 23</t>
  </si>
  <si>
    <t>can be used to underwrite investments in content</t>
  </si>
  <si>
    <t>OTT cannibalise?</t>
  </si>
  <si>
    <t>Strategy will be inclusive of all distribution partners</t>
  </si>
  <si>
    <t>Non overlapping with content sold to partners</t>
  </si>
  <si>
    <t>MVPD content</t>
  </si>
  <si>
    <t>Izzy will be focused on BB pen and subs growth</t>
  </si>
  <si>
    <t>Supermarket of content</t>
  </si>
  <si>
    <t>An aggregator</t>
  </si>
  <si>
    <t>TV-UNI will be part of the offering, also for SKY</t>
  </si>
  <si>
    <t>Cash in for UNI</t>
  </si>
  <si>
    <t>45% Content</t>
  </si>
  <si>
    <t>45% UNI</t>
  </si>
  <si>
    <t>Mult</t>
  </si>
  <si>
    <t>UNI deal</t>
  </si>
  <si>
    <t>Call with Rodrigo</t>
  </si>
  <si>
    <t xml:space="preserve">200m </t>
  </si>
  <si>
    <t>US hispanics + Mexico</t>
  </si>
  <si>
    <t>600m</t>
  </si>
  <si>
    <t>TAM</t>
  </si>
  <si>
    <t>Google and Softbank</t>
  </si>
  <si>
    <t>here to make money</t>
  </si>
  <si>
    <t>Market has marked to market for the deal</t>
  </si>
  <si>
    <t>Spanish language SVOD market is ~$10bn</t>
  </si>
  <si>
    <t>Spanish language AVOD is $3 per year</t>
  </si>
  <si>
    <t>EBITDA is $1.6bn ex synergies</t>
  </si>
  <si>
    <t>10x multiple..theoretically</t>
  </si>
  <si>
    <t>EFCF of $300m</t>
  </si>
  <si>
    <t>UNI has NOLS</t>
  </si>
  <si>
    <t>$1 billion next couple of years/annum</t>
  </si>
  <si>
    <t>$6 billion equity</t>
  </si>
  <si>
    <t>$1 billion in Series B</t>
  </si>
  <si>
    <t>Common $750m</t>
  </si>
  <si>
    <t>Preferred $750m</t>
  </si>
  <si>
    <t>Down from 36% to 20%</t>
  </si>
  <si>
    <t>Back to 45%</t>
  </si>
  <si>
    <t>priority in event of liquidation</t>
  </si>
  <si>
    <t>if convert, then pay $100m</t>
  </si>
  <si>
    <t>Yes, pf 2021 pre-synergies</t>
  </si>
  <si>
    <t xml:space="preserve">Extra </t>
  </si>
  <si>
    <t>400m coming from rest of LatAm…licencing content already, not done aggressively</t>
  </si>
  <si>
    <t>includes Spain</t>
  </si>
  <si>
    <t>5x</t>
  </si>
  <si>
    <t>UNI acquired PIX, with ~800,000 subs</t>
  </si>
  <si>
    <t>May even licence from 3rd parties</t>
  </si>
  <si>
    <t>Netflix $200m on Spanish language</t>
  </si>
  <si>
    <t>Upfronts will be gradual, not overnight</t>
  </si>
  <si>
    <t>End-22, 23</t>
  </si>
  <si>
    <t>IPO quite likely</t>
  </si>
  <si>
    <t>Sold to Disney, Time Warner etc</t>
  </si>
  <si>
    <t>Success in new markets</t>
  </si>
  <si>
    <t>Streaming platform will be global</t>
  </si>
  <si>
    <t>New content</t>
  </si>
  <si>
    <t>Would have done everything differently</t>
  </si>
  <si>
    <t>1. no content differentiation</t>
  </si>
  <si>
    <t>2. svod targeting low and mid level of POPs</t>
  </si>
  <si>
    <t>avod is a big game changer</t>
  </si>
  <si>
    <t>20m people happy to use AVOD</t>
  </si>
  <si>
    <t>gross up to AVOD</t>
  </si>
  <si>
    <t>US svod likely to be more pops</t>
  </si>
  <si>
    <t>Launch both AVOD and SVOD</t>
  </si>
  <si>
    <t>2x for underlying</t>
  </si>
  <si>
    <t>no leverage at SKY</t>
  </si>
  <si>
    <t>Cable on 6-7x EBITDA, looking at MEGA</t>
  </si>
  <si>
    <t>SKY on 4-5x</t>
  </si>
  <si>
    <t>Head of cable</t>
  </si>
  <si>
    <t>engineer</t>
  </si>
  <si>
    <t>mandate to grow and streamline operations</t>
  </si>
  <si>
    <t>Interest in MEGA</t>
  </si>
  <si>
    <t>Want all cash</t>
  </si>
  <si>
    <t>Significant premium to MEGA and TV's own</t>
  </si>
  <si>
    <t>Will be cautious</t>
  </si>
  <si>
    <t>Happy with a merger of equals</t>
  </si>
  <si>
    <t>Some synergies from procurement…</t>
  </si>
  <si>
    <t>Hard to get many..been very lean from an opex stand point</t>
  </si>
  <si>
    <t>Shares in combined company…upside to them</t>
  </si>
  <si>
    <t>Addressable POPs</t>
  </si>
  <si>
    <t>Accumulated dividend</t>
  </si>
  <si>
    <t>4QE</t>
  </si>
  <si>
    <t>Q1 21</t>
  </si>
  <si>
    <t>IFRS 16 leases</t>
  </si>
  <si>
    <t>TV stake</t>
  </si>
  <si>
    <t>Stake after $1bn</t>
  </si>
  <si>
    <t>Dilution</t>
  </si>
  <si>
    <t>Searchlight</t>
  </si>
  <si>
    <t>UNI call</t>
  </si>
  <si>
    <t>EBITDA from residual parts of content</t>
  </si>
  <si>
    <t>UNI was down y/y in Q1…phasing</t>
  </si>
  <si>
    <t>Netflix invest a ton of money in Spanish language?</t>
  </si>
  <si>
    <t>How much differentiated Content should UNI-TV have, vs linear channels</t>
  </si>
  <si>
    <t>Thoughts on AVOD migration to SVOD</t>
  </si>
  <si>
    <t>How to think about investments in Content in 2021</t>
  </si>
  <si>
    <t>GDP exp at 5%</t>
  </si>
  <si>
    <t>Private consumption to be up 4.2%, having been down 10.5%</t>
  </si>
  <si>
    <t>Ad is up 28% y/y in Q1…how to think about this for FY 20</t>
  </si>
  <si>
    <t>Patricio (Content)</t>
  </si>
  <si>
    <t>UNI share well above main competitor</t>
  </si>
  <si>
    <t>Salvi (cable)</t>
  </si>
  <si>
    <t>Video losses, taking BB only</t>
  </si>
  <si>
    <t>2m homes passed…extra spend</t>
  </si>
  <si>
    <t>deploying FTTH</t>
  </si>
  <si>
    <t>Guadalajara</t>
  </si>
  <si>
    <t>Cable capex - $850m</t>
  </si>
  <si>
    <t>$200m increase by expansion</t>
  </si>
  <si>
    <t>per home passed</t>
  </si>
  <si>
    <t>Expansion - aside from Telmex, who is there?</t>
  </si>
  <si>
    <t>Blue Telecom Cell (wireless)</t>
  </si>
  <si>
    <t>Sports offer</t>
  </si>
  <si>
    <t>Thoughts on ability to consolidate cable market?</t>
  </si>
  <si>
    <t>Global streaming platform in early 2022</t>
  </si>
  <si>
    <t>$3.3 bn in cash</t>
  </si>
  <si>
    <t>30% content to be produced nationally?</t>
  </si>
  <si>
    <t>BB penetration continues to be low</t>
  </si>
  <si>
    <t>A lot of DSL</t>
  </si>
  <si>
    <t>Pen in some markets are relatively high</t>
  </si>
  <si>
    <t>Rejalisco….revs in 2020 and 2021</t>
  </si>
  <si>
    <t>what is this?</t>
  </si>
  <si>
    <t>Video…trends</t>
  </si>
  <si>
    <t>lower income groups</t>
  </si>
  <si>
    <t>Balance sheet, 2.0x</t>
  </si>
  <si>
    <t>Keeping some legacy assets, licences, spectrum, real estate - generate EBITDA</t>
  </si>
  <si>
    <t>pen in Mexico…people continue to watch</t>
  </si>
  <si>
    <t>EBITDA (post-synergies)</t>
  </si>
  <si>
    <t>5-600</t>
  </si>
  <si>
    <t>Capex/taxes</t>
  </si>
  <si>
    <t>2-300</t>
  </si>
  <si>
    <t>Equity FCF</t>
  </si>
  <si>
    <t>Deal construction Eq Value</t>
  </si>
  <si>
    <t>% Eq FCF Yield</t>
  </si>
  <si>
    <t>NPV FCFs</t>
  </si>
  <si>
    <t>Term value</t>
  </si>
  <si>
    <t>PV term value</t>
  </si>
  <si>
    <t>TV share</t>
  </si>
  <si>
    <t>TV upside</t>
  </si>
  <si>
    <t>as % debt</t>
  </si>
  <si>
    <t>Check:</t>
  </si>
  <si>
    <t>Theoretical tax</t>
  </si>
  <si>
    <t>Theoretical tax rate</t>
  </si>
  <si>
    <t>Tax saving</t>
  </si>
  <si>
    <t>Cumulative tax saving</t>
  </si>
  <si>
    <t>Vs SOP/deal construction value</t>
  </si>
  <si>
    <t>Mexico Content 2020</t>
  </si>
  <si>
    <t>UNIVISION 2020</t>
  </si>
  <si>
    <t>less royalties (2020)</t>
  </si>
  <si>
    <t>TV-UNI guide (2021 pf)</t>
  </si>
  <si>
    <t>Hispanic vs English language - looking more holistically</t>
  </si>
  <si>
    <t>Linear, vs digital less relevant</t>
  </si>
  <si>
    <t>Donna Speciale</t>
  </si>
  <si>
    <t>Wade Davis</t>
  </si>
  <si>
    <t>UNI is a "foundation" in the Hispanic comm</t>
  </si>
  <si>
    <t>There is no Spanish language streaming</t>
  </si>
  <si>
    <t>Launched Prende TV one month ago</t>
  </si>
  <si>
    <t>Acquired VIX…othre Spanish language on demand</t>
  </si>
  <si>
    <t>will be part of in next few months</t>
  </si>
  <si>
    <t>1m active users within 1 month</t>
  </si>
  <si>
    <t>5-5.5m active users</t>
  </si>
  <si>
    <t>TV deal</t>
  </si>
  <si>
    <t>Close this year</t>
  </si>
  <si>
    <t>Puts us on the map. A global powerhouse</t>
  </si>
  <si>
    <t>Streaming service</t>
  </si>
  <si>
    <t>Have own IP, sports</t>
  </si>
  <si>
    <t>Production studios, complete control - huge asset to Advertisers</t>
  </si>
  <si>
    <t>Clients and brands will see benefits of this up front</t>
  </si>
  <si>
    <t>45 channels</t>
  </si>
  <si>
    <t>30,000 hours of Content</t>
  </si>
  <si>
    <t>Across all genres</t>
  </si>
  <si>
    <t>24/7 Live news</t>
  </si>
  <si>
    <t>Kids channels</t>
  </si>
  <si>
    <t>AVOD and free</t>
  </si>
  <si>
    <t>Very important to Wade</t>
  </si>
  <si>
    <t>Feedback</t>
  </si>
  <si>
    <t>Spend time is 2 hours per day</t>
  </si>
  <si>
    <t>A lot of repeat visitors coming</t>
  </si>
  <si>
    <t>Launch partners came in, happy at this stage</t>
  </si>
  <si>
    <t>More of a linear experience</t>
  </si>
  <si>
    <t>Also a On-demand part as well</t>
  </si>
  <si>
    <t>Good for navigation also</t>
  </si>
  <si>
    <t>Live sport</t>
  </si>
  <si>
    <t>Everything in front of the paywall</t>
  </si>
  <si>
    <t>Commercial loads, Advertisers</t>
  </si>
  <si>
    <t>Consumer experience is key</t>
  </si>
  <si>
    <t xml:space="preserve">7.5-8 mins/hour </t>
  </si>
  <si>
    <t>Pods are only 90 secs</t>
  </si>
  <si>
    <t>Sponser a channel</t>
  </si>
  <si>
    <t>Buy by genre</t>
  </si>
  <si>
    <t>Audience targeting</t>
  </si>
  <si>
    <t>Looking at new Ad formats</t>
  </si>
  <si>
    <t>Testing pause Ads</t>
  </si>
  <si>
    <t>Service is broadening reach</t>
  </si>
  <si>
    <t>Younger, bi-lingual, second and third generation Hispanics</t>
  </si>
  <si>
    <t>Goal LT - resource for ALL US Hispanics</t>
  </si>
  <si>
    <t>Come to us</t>
  </si>
  <si>
    <t>Soccer appeals to e/one</t>
  </si>
  <si>
    <t>New also at the heart of the UNI community</t>
  </si>
  <si>
    <t>Fits with linear?</t>
  </si>
  <si>
    <t>See all as one, despite local stations</t>
  </si>
  <si>
    <t>Audience targeting is key….18-45 is the wrong approach</t>
  </si>
  <si>
    <t>1900 Advertisers, 400 in Spanish language</t>
  </si>
  <si>
    <t>Pharma and Tech have very low representation</t>
  </si>
  <si>
    <t>Education…a lot of Advertisers don’t watch the channels</t>
  </si>
  <si>
    <t>Learn about the product</t>
  </si>
  <si>
    <t>Biz dev team out doing this</t>
  </si>
  <si>
    <t>A lot more work to do</t>
  </si>
  <si>
    <t>This is marketing 101</t>
  </si>
  <si>
    <t>Find new users</t>
  </si>
  <si>
    <t>16m Hispanics and growing</t>
  </si>
  <si>
    <t>If you don't target this audience, it's not sticking</t>
  </si>
  <si>
    <t>When brands come to UNI they are hooked for life</t>
  </si>
  <si>
    <t>Hispanic was "segmented" historically</t>
  </si>
  <si>
    <t>Nice to have</t>
  </si>
  <si>
    <t>Clients now realising you're missing out unless you reach this audience</t>
  </si>
  <si>
    <t>Upfront begins in 2 weeks</t>
  </si>
  <si>
    <t>Market coming back, scatter is on fire</t>
  </si>
  <si>
    <t>Talked to advertisers ahead of this, and economy is coming back</t>
  </si>
  <si>
    <t>Losing eyeballs in English language, then pivot to Hispanic community</t>
  </si>
  <si>
    <t>grow your business</t>
  </si>
  <si>
    <t>UNI is a lot cheaper</t>
  </si>
  <si>
    <t>CPMs in prime are much cheaper than English language</t>
  </si>
  <si>
    <t>UNI is not losing a linear audience</t>
  </si>
  <si>
    <t>Built Prende not to replace linear, but to add on</t>
  </si>
  <si>
    <t>Marketing to clients today?</t>
  </si>
  <si>
    <t>Pushing $100m of marketing</t>
  </si>
  <si>
    <t>To own audience, but also outside. Talking to partners to help with marketing</t>
  </si>
  <si>
    <t>Client feedback</t>
  </si>
  <si>
    <t>What took you so long. UNI seen more traditionally, not investing in digital</t>
  </si>
  <si>
    <t>President of Sales and Marketing</t>
  </si>
  <si>
    <t>$5</t>
  </si>
  <si>
    <t>Discovery +</t>
  </si>
  <si>
    <t>LTE penetration</t>
  </si>
  <si>
    <t>Wireless usage…?</t>
  </si>
  <si>
    <t>Cannibalisation</t>
  </si>
  <si>
    <t xml:space="preserve">Linear- ratings down </t>
  </si>
  <si>
    <t>Monetisation to App</t>
  </si>
  <si>
    <t>if eyeballs move to App, revenue uplift</t>
  </si>
  <si>
    <t>Net positive on this basis</t>
  </si>
  <si>
    <t>If advertisers</t>
  </si>
  <si>
    <t>Advertisers today - large companies</t>
  </si>
  <si>
    <t>App can be more specific</t>
  </si>
  <si>
    <t>are they ready to target on individual level</t>
  </si>
  <si>
    <t>Pluto TV</t>
  </si>
  <si>
    <t>22 million  to 30 million</t>
  </si>
  <si>
    <t>not super differentiated</t>
  </si>
  <si>
    <t>TV sign Google deal</t>
  </si>
  <si>
    <t>Dynamic ad insertion engine</t>
  </si>
  <si>
    <t>Marcelo v good</t>
  </si>
  <si>
    <t>Masa's golden boy - Sprint, WeWork</t>
  </si>
  <si>
    <t>Running LatAm fund</t>
  </si>
  <si>
    <t>$5-6 billon fund, internally funded</t>
  </si>
  <si>
    <t>3-4 mins</t>
  </si>
  <si>
    <t>3 hours</t>
  </si>
  <si>
    <t>Pluto</t>
  </si>
  <si>
    <t>know streaming revs</t>
  </si>
  <si>
    <t>know MAU</t>
  </si>
  <si>
    <t>&gt;100%</t>
  </si>
  <si>
    <t>$1 billion run-rate</t>
  </si>
  <si>
    <t>$1.50</t>
  </si>
  <si>
    <t>Hulu Live TV</t>
  </si>
  <si>
    <t>$10 of Ad ARPU</t>
  </si>
  <si>
    <t>MT think nearer $2</t>
  </si>
  <si>
    <t>Full AVOD also</t>
  </si>
  <si>
    <t>Ad wanted access to Netflix subs</t>
  </si>
  <si>
    <t>UNI reporting on Friday</t>
  </si>
  <si>
    <t>$2-3 ARPU</t>
  </si>
  <si>
    <t>IPO</t>
  </si>
  <si>
    <t>12 months after deal close</t>
  </si>
  <si>
    <t>Upfronts smooth</t>
  </si>
  <si>
    <t>Pierre Luigi from Viacom</t>
  </si>
  <si>
    <t>Donna</t>
  </si>
  <si>
    <t>Google involvement is key</t>
  </si>
  <si>
    <t>No1 running streaming</t>
  </si>
  <si>
    <t>You Tube</t>
  </si>
  <si>
    <t>Cloud DVR, unlimited resources</t>
  </si>
  <si>
    <t>Prende launched quickly once Wade came in</t>
  </si>
  <si>
    <t>Viac streaming at Pluto</t>
  </si>
  <si>
    <t xml:space="preserve">Fubo </t>
  </si>
  <si>
    <t>AC (12 May 2021)</t>
  </si>
  <si>
    <t>Target Price</t>
  </si>
  <si>
    <t>Rating</t>
  </si>
  <si>
    <t>Quarter</t>
  </si>
  <si>
    <t>REVENUE</t>
  </si>
  <si>
    <t>2021 FY</t>
  </si>
  <si>
    <t>2022 FY</t>
  </si>
  <si>
    <t>2023 FY</t>
  </si>
  <si>
    <t xml:space="preserve">     Residential (w/o consolidation)</t>
  </si>
  <si>
    <t xml:space="preserve">     Enterprise (w/o consolidation)</t>
  </si>
  <si>
    <t>Total Other Businesses</t>
  </si>
  <si>
    <t>Other Expense, Net</t>
  </si>
  <si>
    <t>Cash Income Taxes</t>
  </si>
  <si>
    <t>Interest, net</t>
  </si>
  <si>
    <t>Free cash flow</t>
  </si>
  <si>
    <t>TOTAL CABLE RGUs ('000)</t>
  </si>
  <si>
    <t>CABLE - Video</t>
  </si>
  <si>
    <t xml:space="preserve">     CABLE - Video net-adds</t>
  </si>
  <si>
    <t>CABLE - Broadband</t>
  </si>
  <si>
    <t xml:space="preserve">     CABLE - Broadband net-adds</t>
  </si>
  <si>
    <t>CABLE - Voice</t>
  </si>
  <si>
    <t xml:space="preserve">     CABLE - Voice net-adds</t>
  </si>
  <si>
    <t>CABLE - Mobile</t>
  </si>
  <si>
    <t xml:space="preserve">     CABLE - Mobile net-adds</t>
  </si>
  <si>
    <t>TOTAL SKY RGUs ('000)</t>
  </si>
  <si>
    <t>SKY - Video</t>
  </si>
  <si>
    <t xml:space="preserve">     SKY - Video net-adds</t>
  </si>
  <si>
    <t>SKY - Broadband</t>
  </si>
  <si>
    <t xml:space="preserve">     SKY - Broadband net-adds</t>
  </si>
  <si>
    <t>SKY - Voice</t>
  </si>
  <si>
    <t xml:space="preserve">     SKY - Voice net-adds</t>
  </si>
  <si>
    <t>SKY - Mobile</t>
  </si>
  <si>
    <t xml:space="preserve">     SKY - Mobile net-adds</t>
  </si>
  <si>
    <t>SOTP Multiples</t>
  </si>
  <si>
    <t>Value USDmm</t>
  </si>
  <si>
    <t>Minorities &amp; Other Equity</t>
  </si>
  <si>
    <t>Net Debt</t>
  </si>
  <si>
    <t>Total Enterprise Value</t>
  </si>
  <si>
    <t>Soomit Datta</t>
  </si>
  <si>
    <t>Q2 21</t>
  </si>
  <si>
    <t>Q3 21</t>
  </si>
  <si>
    <t>Q4 21</t>
  </si>
  <si>
    <t>Pre Q2</t>
  </si>
  <si>
    <t>Q2 give some advertising for free, private sector pulls back</t>
  </si>
  <si>
    <t>Network/subsc</t>
  </si>
  <si>
    <t>Too optimistic</t>
  </si>
  <si>
    <t>Licencing</t>
  </si>
  <si>
    <t>UNI of $100m in Q2, not too much sequential increase</t>
  </si>
  <si>
    <t>A little high, also</t>
  </si>
  <si>
    <t>3% sequential FX move</t>
  </si>
  <si>
    <t>V strong econ recovery</t>
  </si>
  <si>
    <t>April unemployment rate 4.5%, from 4.2% in March</t>
  </si>
  <si>
    <t>Still well above 3% levels in 2017-19</t>
  </si>
  <si>
    <t>Been more cautious adding RGUs</t>
  </si>
  <si>
    <t>Softer RGUs</t>
  </si>
  <si>
    <t>gradually improve in Q3 and Q4</t>
  </si>
  <si>
    <t>Net adds better following 2m HPs in 2022 and 23</t>
  </si>
  <si>
    <t>Year 3: 30-35%</t>
  </si>
  <si>
    <t>Unemployment</t>
  </si>
  <si>
    <t>something of a lag</t>
  </si>
  <si>
    <t>Ad advertising strongly…</t>
  </si>
  <si>
    <t>Hire going forward</t>
  </si>
  <si>
    <t>some right sizing early 2021</t>
  </si>
  <si>
    <t>Softer net adds also</t>
  </si>
  <si>
    <t>Revs closer to Q1 levels</t>
  </si>
  <si>
    <t>Stronger than Q1…but not too much bigger</t>
  </si>
  <si>
    <t>25% capacity in Azteca Stadium, casinos. Q2 level perhaps by Q4</t>
  </si>
  <si>
    <t>High single digits</t>
  </si>
  <si>
    <t>Consolidated revenue</t>
  </si>
  <si>
    <t>FY 21 same as FY 19</t>
  </si>
  <si>
    <t>MXN22 billion</t>
  </si>
  <si>
    <t>sporting events in Q3 and Q4</t>
  </si>
  <si>
    <t>Euros</t>
  </si>
  <si>
    <t>Concaf Nations League</t>
  </si>
  <si>
    <t>Olympics</t>
  </si>
  <si>
    <t>Elections coverage</t>
  </si>
  <si>
    <t>low double digit growth makes sense</t>
  </si>
  <si>
    <t>footprint expansion…renting stores, hiring of people</t>
  </si>
  <si>
    <t>y/y down 50bps</t>
  </si>
  <si>
    <t>some improvement in margins</t>
  </si>
  <si>
    <t xml:space="preserve">Q2 uplift is too much </t>
  </si>
  <si>
    <t>slightly up on Q1</t>
  </si>
  <si>
    <t>FY 21 margin should be &lt;40%</t>
  </si>
  <si>
    <t>FY EBITDA</t>
  </si>
  <si>
    <t>We're slightly high</t>
  </si>
  <si>
    <t>We're a touch too high</t>
  </si>
  <si>
    <t>Similar to Q1</t>
  </si>
  <si>
    <t>Q3 21e</t>
  </si>
  <si>
    <t>Q4 21e</t>
  </si>
  <si>
    <t>Retail revs</t>
  </si>
  <si>
    <t>Enterprise revs</t>
  </si>
  <si>
    <t>SKY revenue</t>
  </si>
  <si>
    <t>SKY EBITDA</t>
  </si>
  <si>
    <t>Per year</t>
  </si>
  <si>
    <t>Subs, million</t>
  </si>
  <si>
    <t>Mexico and US</t>
  </si>
  <si>
    <t>Netflix LatAm</t>
  </si>
  <si>
    <t>ex-Brazil</t>
  </si>
  <si>
    <t>Subs today</t>
  </si>
  <si>
    <t>UNI thoughts (Jun 23)</t>
  </si>
  <si>
    <t>30 mins</t>
  </si>
  <si>
    <t>4 breaks, with 6 commercials of 20-30 sec</t>
  </si>
  <si>
    <t>Per hour</t>
  </si>
  <si>
    <t>Public channels</t>
  </si>
  <si>
    <t>8 mins, can go up to 12</t>
  </si>
  <si>
    <t>14-18 minutes</t>
  </si>
  <si>
    <t>Assumed ARPU, $</t>
  </si>
  <si>
    <t>Per minute</t>
  </si>
  <si>
    <t>Ad mins</t>
  </si>
  <si>
    <t>Hours / day</t>
  </si>
  <si>
    <t>&gt;1000</t>
  </si>
  <si>
    <t>Revs/MAU/month</t>
  </si>
  <si>
    <t>Ad mins per user / hour</t>
  </si>
  <si>
    <t>Ad mins per user / month</t>
  </si>
  <si>
    <t>Ad mins per user / day</t>
  </si>
  <si>
    <t>Total Ad mins / month, million</t>
  </si>
  <si>
    <t>$ per minute</t>
  </si>
  <si>
    <t>$ cents per Ad minute</t>
  </si>
  <si>
    <t>Hours streamed per week, million</t>
  </si>
  <si>
    <t>Mins per hour of Ad</t>
  </si>
  <si>
    <t>Mins per week</t>
  </si>
  <si>
    <t>Mins per month</t>
  </si>
  <si>
    <t>Implied revenue per month, USD million</t>
  </si>
  <si>
    <t>Average usage per user / day (hours)</t>
  </si>
  <si>
    <t>Average usage per user / month (hours)</t>
  </si>
  <si>
    <t>Total Ad mins / quarter, million</t>
  </si>
  <si>
    <t>2m homes passed, made any progress here?</t>
  </si>
  <si>
    <t>competitor response?</t>
  </si>
  <si>
    <t>when will you accelerate adds again?</t>
  </si>
  <si>
    <t>demand to service to grow</t>
  </si>
  <si>
    <t>don’t expect H2</t>
  </si>
  <si>
    <t>strengthening promotions</t>
  </si>
  <si>
    <t>on track</t>
  </si>
  <si>
    <t>help to gradually accelerate</t>
  </si>
  <si>
    <t>expect adoption to accelerate</t>
  </si>
  <si>
    <t>pre-paid, sports content</t>
  </si>
  <si>
    <t>Dedicate bulk of capacity to cellular service</t>
  </si>
  <si>
    <t>Q2 2021 results</t>
  </si>
  <si>
    <t>In short-term, 1/ demand is returning to lower levels… 2/ economy is bouncing back</t>
  </si>
  <si>
    <t>promoting more aggressively</t>
  </si>
  <si>
    <t>Cable expansion</t>
  </si>
  <si>
    <t>500,000 already</t>
  </si>
  <si>
    <t>sales process begun, started 2 weeks ago</t>
  </si>
  <si>
    <t>25% of FTTH</t>
  </si>
  <si>
    <t>Ratio of Ad $s relative to linear TV market. 15-18% in US at the moment, growing v quickly</t>
  </si>
  <si>
    <t>AVOD doesn’t really exist today</t>
  </si>
  <si>
    <t>Soft launch</t>
  </si>
  <si>
    <t>High numbers of those watching</t>
  </si>
  <si>
    <t>Will continue as is for time being</t>
  </si>
  <si>
    <t>Deal close by YE</t>
  </si>
  <si>
    <t xml:space="preserve">Already producing premium content </t>
  </si>
  <si>
    <t>New Street Research</t>
  </si>
  <si>
    <t xml:space="preserve">+44 20 7375 9128 </t>
  </si>
  <si>
    <t>soomit@newstreetresearch.com</t>
  </si>
  <si>
    <t>Ticker</t>
  </si>
  <si>
    <t>Televisa (TV US)</t>
  </si>
  <si>
    <t>Cons</t>
  </si>
  <si>
    <t>Set to lose out</t>
  </si>
  <si>
    <t>$400m in 2022</t>
  </si>
  <si>
    <t>Should fair better</t>
  </si>
  <si>
    <t>Targeting new cities</t>
  </si>
  <si>
    <t>AT&amp;T 3m FTTH next 5 years. 15m already, targeting 30m. Supply chain</t>
  </si>
  <si>
    <t>Under pressure from MEGA/TV also</t>
  </si>
  <si>
    <t>HFC to FTTH - some tech issues apparently</t>
  </si>
  <si>
    <t>Raised $600m, 3.7x oversubscribed</t>
  </si>
  <si>
    <t>6 years</t>
  </si>
  <si>
    <t>Q3 momentum</t>
  </si>
  <si>
    <t>Relatively stable</t>
  </si>
  <si>
    <t>Net adds slowdown continues….12m contract expires from Q2 20 adds</t>
  </si>
  <si>
    <t>Back to school</t>
  </si>
  <si>
    <t>Still add some subscribers</t>
  </si>
  <si>
    <t>Hangover effect</t>
  </si>
  <si>
    <t>Raised prices in August…churn pushed up a little</t>
  </si>
  <si>
    <t>2m homes passing</t>
  </si>
  <si>
    <t>More evidence in 2022/23</t>
  </si>
  <si>
    <t>500k/year before</t>
  </si>
  <si>
    <t>800k in 2019</t>
  </si>
  <si>
    <t>1.4m in 2020</t>
  </si>
  <si>
    <t>Pen of 40% on the cable</t>
  </si>
  <si>
    <t>Want to be largest high speed provider</t>
  </si>
  <si>
    <t>check elims</t>
  </si>
  <si>
    <t>lack of renewal of certain packages. 2nd homes for ex (3-play)</t>
  </si>
  <si>
    <t>RGUs softer</t>
  </si>
  <si>
    <t>mid-single digit revenue</t>
  </si>
  <si>
    <t>Unemployment rate of 4% remains high</t>
  </si>
  <si>
    <t>End-Q2, 500k HPs out of 2m</t>
  </si>
  <si>
    <t>70-75% by YE of this target</t>
  </si>
  <si>
    <t>Izzy appeal</t>
  </si>
  <si>
    <t>TV content, MEGA don’t carry pay TV of TV, have both the soccer for state of Jalisco</t>
  </si>
  <si>
    <t>FTTH…better quality, higher internet speeds</t>
  </si>
  <si>
    <t>2m homes passed by YE</t>
  </si>
  <si>
    <t>Thereafter, want to be the leading high speed BB provider. Nationwide where it makes sense</t>
  </si>
  <si>
    <t>MEGA at 50% with FTTH</t>
  </si>
  <si>
    <t>4.5m with FTTH</t>
  </si>
  <si>
    <t>chose because saw Totalplay enter the regions</t>
  </si>
  <si>
    <t>2m is TV target of remaining 4.5m homes</t>
  </si>
  <si>
    <t xml:space="preserve">Balance would be another 2.5m HPs of underinvested MEGA or </t>
  </si>
  <si>
    <t>2022 - range of 500k to 2m homes</t>
  </si>
  <si>
    <t>Revert to 500k per homes in 2023, in-line with HH formation</t>
  </si>
  <si>
    <t>$650-800m for cable capex for 2022</t>
  </si>
  <si>
    <t>$600-650m</t>
  </si>
  <si>
    <t>Through to 2025</t>
  </si>
  <si>
    <t>$600m in 24/25</t>
  </si>
  <si>
    <t>1.4-1.5m homes by Q3. 2m by YE</t>
  </si>
  <si>
    <t>Already knew there would be slowdown</t>
  </si>
  <si>
    <t>Pricing in new areas</t>
  </si>
  <si>
    <t>Some kind of promotions</t>
  </si>
  <si>
    <t>12m period they step down again</t>
  </si>
  <si>
    <t>remain stable y/y, EBITDA also mid-single digiti</t>
  </si>
  <si>
    <t>margin stability</t>
  </si>
  <si>
    <t>Year 1</t>
  </si>
  <si>
    <t>2m</t>
  </si>
  <si>
    <t>20-25%</t>
  </si>
  <si>
    <t>30-35%</t>
  </si>
  <si>
    <t>Not quite like Br where no other players</t>
  </si>
  <si>
    <t>Not a 4 player market?</t>
  </si>
  <si>
    <t>But weaker in Q3</t>
  </si>
  <si>
    <t>Revenue - low to mid single digit vs 2019</t>
  </si>
  <si>
    <t>Govt a factor</t>
  </si>
  <si>
    <t>Private &gt; low double digit</t>
  </si>
  <si>
    <t>Government will keep losing share</t>
  </si>
  <si>
    <t>No tourism Advertising just yet</t>
  </si>
  <si>
    <t>Potential tailwind in 2022</t>
  </si>
  <si>
    <t>FY: 13%</t>
  </si>
  <si>
    <t>Need to lift…2% too low</t>
  </si>
  <si>
    <t>World Cup again</t>
  </si>
  <si>
    <t>Media for equity</t>
  </si>
  <si>
    <t>Shareholders for startups</t>
  </si>
  <si>
    <t>Sells second hand cars</t>
  </si>
  <si>
    <t>$8 billion</t>
  </si>
  <si>
    <t>Rappi</t>
  </si>
  <si>
    <t>Helps with brand</t>
  </si>
  <si>
    <t>was 5%....not so material now</t>
  </si>
  <si>
    <t>Kavak</t>
  </si>
  <si>
    <t>Helped by Softbank</t>
  </si>
  <si>
    <t>Costs….MXN2 billion up for 2021</t>
  </si>
  <si>
    <t>Absolute EBITDA….down mid-single digit</t>
  </si>
  <si>
    <t>Decline too high for Q4…Q4 should grow low to mid single digits</t>
  </si>
  <si>
    <t>Keep stable sequentially in MXN</t>
  </si>
  <si>
    <t>so flat y/y</t>
  </si>
  <si>
    <t>Licensing &amp; synd</t>
  </si>
  <si>
    <t>UNI doing well</t>
  </si>
  <si>
    <t>No way 10%...$ / peso shift</t>
  </si>
  <si>
    <t>royalties - average of Q1 and Q2 (soccer up mainly in Q2)</t>
  </si>
  <si>
    <t>in Q2 21…number of companies advertising through 12%</t>
  </si>
  <si>
    <t>Donna Especiale driving this</t>
  </si>
  <si>
    <t>Telling former clients to be infront of US Hispanics</t>
  </si>
  <si>
    <t>Latest consensus: Hispanic POPs up 23%, 18% of total today. Ad revenue only 2/3%</t>
  </si>
  <si>
    <t>Low to mid single digits for traditional</t>
  </si>
  <si>
    <t>Will start producing</t>
  </si>
  <si>
    <t>Working on 30 exclusive SVOD products</t>
  </si>
  <si>
    <t>SVOD - need exclusive…</t>
  </si>
  <si>
    <t>AVOD</t>
  </si>
  <si>
    <t>Plus all AVOD</t>
  </si>
  <si>
    <t>exclusive for a period of time</t>
  </si>
  <si>
    <t>then to pay TV</t>
  </si>
  <si>
    <t>then to AVOD</t>
  </si>
  <si>
    <t>FTA TV also</t>
  </si>
  <si>
    <t>No hybrid model</t>
  </si>
  <si>
    <t>Similar trends, high unemployment rate</t>
  </si>
  <si>
    <t>Adds churning off somewhat</t>
  </si>
  <si>
    <t>similar, or softer adds</t>
  </si>
  <si>
    <t>prices up also</t>
  </si>
  <si>
    <t>Softer recharge rate</t>
  </si>
  <si>
    <t>sequential decline in Q2 will continue</t>
  </si>
  <si>
    <t>Margins…</t>
  </si>
  <si>
    <t>EBITDA should be down a little more</t>
  </si>
  <si>
    <t>Positive one-off selling radio business. MXN934 million</t>
  </si>
  <si>
    <t>EBITDA (Group less Content)</t>
  </si>
  <si>
    <t>EV (USD million)</t>
  </si>
  <si>
    <t>Q1 22</t>
  </si>
  <si>
    <t>Q2 22</t>
  </si>
  <si>
    <t>Q3 22</t>
  </si>
  <si>
    <t>Q4 22</t>
  </si>
  <si>
    <t>Cons net debt</t>
  </si>
  <si>
    <t>JV  EFCF</t>
  </si>
  <si>
    <t>Content revs as % group</t>
  </si>
  <si>
    <t>Base interest</t>
  </si>
  <si>
    <t>After-tax interest on cash</t>
  </si>
  <si>
    <t>Televisa post UNI</t>
  </si>
  <si>
    <t>Pro-forma</t>
  </si>
  <si>
    <t>Cash from UNI</t>
  </si>
  <si>
    <t>SVOD ARPU</t>
  </si>
  <si>
    <t>US streaming revenue</t>
  </si>
  <si>
    <t>USD million</t>
  </si>
  <si>
    <t>SVOD revenue</t>
  </si>
  <si>
    <t>US streaming market</t>
  </si>
  <si>
    <t>Amazon Prime</t>
  </si>
  <si>
    <t>Disney +</t>
  </si>
  <si>
    <t>Apple TV+</t>
  </si>
  <si>
    <t>NBC Universal Peacock</t>
  </si>
  <si>
    <t>You Tube premium</t>
  </si>
  <si>
    <t>ESPN +</t>
  </si>
  <si>
    <t>CBS All Access</t>
  </si>
  <si>
    <t>Britbox</t>
  </si>
  <si>
    <t>You Tube revenue</t>
  </si>
  <si>
    <t>Users</t>
  </si>
  <si>
    <t>SVOD subs, million</t>
  </si>
  <si>
    <t>https://www.businessofapps.com/data/video-streaming-app-market/</t>
  </si>
  <si>
    <t>Implied subscriptions / POP</t>
  </si>
  <si>
    <t>US Population</t>
  </si>
  <si>
    <t xml:space="preserve">Growth </t>
  </si>
  <si>
    <t>https://www.marketdataforecast.com/market-reports/latin-america-media-streaming-market</t>
  </si>
  <si>
    <t>US streaming revenue (cons)</t>
  </si>
  <si>
    <t>LatAm streaming revenue (incs audio)</t>
  </si>
  <si>
    <t>Video streaming revenue, ex-Brazil</t>
  </si>
  <si>
    <t>https://www.statista.com/statistics/867041/share-tv-streaming-subscribers-latin-america-platform/</t>
  </si>
  <si>
    <t>SVOD subs, ex Brazil</t>
  </si>
  <si>
    <t>discount to US</t>
  </si>
  <si>
    <t>as % Latin America</t>
  </si>
  <si>
    <t>POPs, ex-Br</t>
  </si>
  <si>
    <t>Subscriptions/POP</t>
  </si>
  <si>
    <t>SVOD subs LatAm (inc Br), million</t>
  </si>
  <si>
    <t>UNI / TV</t>
  </si>
  <si>
    <t>discount to market</t>
  </si>
  <si>
    <t>Subs, millions</t>
  </si>
  <si>
    <t>% share US streaming subs</t>
  </si>
  <si>
    <t>Implied subsriptions/HH</t>
  </si>
  <si>
    <t>Persons / HH</t>
  </si>
  <si>
    <t>% share LatAm (ex-Br) streaming subs</t>
  </si>
  <si>
    <t>SVOD</t>
  </si>
  <si>
    <t>Tubi</t>
  </si>
  <si>
    <t>Revenue / MAU</t>
  </si>
  <si>
    <t>https://www.spglobal.com/marketintelligence/en/news-insights/latest-news-headlines/univision-aims-to-offer-more-spanish-language-content-than-any-other-streamer-65180831</t>
  </si>
  <si>
    <t>UNI - TV subs</t>
  </si>
  <si>
    <t>Total hours Prende TV</t>
  </si>
  <si>
    <t>Viacomcbs</t>
  </si>
  <si>
    <t>Xumo</t>
  </si>
  <si>
    <t>MAUs</t>
  </si>
  <si>
    <t>Hours streamed, millions</t>
  </si>
  <si>
    <t>Hours streamed per day</t>
  </si>
  <si>
    <t>Mins streamed per day</t>
  </si>
  <si>
    <t>Hours streamed per MAU per Q</t>
  </si>
  <si>
    <t>MAUs, million (global)</t>
  </si>
  <si>
    <t>Crackle and PopcornFlix</t>
  </si>
  <si>
    <t>Large AVOD players</t>
  </si>
  <si>
    <t>Roku Channel</t>
  </si>
  <si>
    <t>US AVOD market</t>
  </si>
  <si>
    <t>UNI - TV</t>
  </si>
  <si>
    <t>as % AVOD</t>
  </si>
  <si>
    <t>As discount to Pluto TV</t>
  </si>
  <si>
    <t>UNI - TV AVOD US revenue</t>
  </si>
  <si>
    <t>US market, USD million</t>
  </si>
  <si>
    <t>LatAm , USD million</t>
  </si>
  <si>
    <t xml:space="preserve"> - of which Netflix</t>
  </si>
  <si>
    <t>UNI-TV subs</t>
  </si>
  <si>
    <t>US AVOD market (ex You Tube)</t>
  </si>
  <si>
    <t>As % ex-Br POPs</t>
  </si>
  <si>
    <t>UNI-TV AVOD ARPU</t>
  </si>
  <si>
    <t>ARPU discount to US</t>
  </si>
  <si>
    <t>UNI-TV AVOD revenue LatAm</t>
  </si>
  <si>
    <t>US SVOD</t>
  </si>
  <si>
    <t>LatAm SVOD</t>
  </si>
  <si>
    <t>US AVOD</t>
  </si>
  <si>
    <t>LatAm AVOD</t>
  </si>
  <si>
    <t>% split of revs</t>
  </si>
  <si>
    <t xml:space="preserve"> of which VOD</t>
  </si>
  <si>
    <t xml:space="preserve"> of which Mexico core</t>
  </si>
  <si>
    <t xml:space="preserve"> of which UNI  core</t>
  </si>
  <si>
    <t>Earnings</t>
  </si>
  <si>
    <t>earnings</t>
  </si>
  <si>
    <t>EARNINGS</t>
  </si>
  <si>
    <t>Chat 26 Jan-21</t>
  </si>
  <si>
    <t>Close during Q2</t>
  </si>
  <si>
    <t>Late-Nov from TV/UNI in Mexico sharing outlook for 2022</t>
  </si>
  <si>
    <t>Pf revs</t>
  </si>
  <si>
    <t>implied 8-9%</t>
  </si>
  <si>
    <t>12-13%</t>
  </si>
  <si>
    <t>could be replicated in 2022…high single digit/low double digit</t>
  </si>
  <si>
    <t>mostly traditional business</t>
  </si>
  <si>
    <t>Launch in H2, limited impact</t>
  </si>
  <si>
    <t>AVOD H1</t>
  </si>
  <si>
    <t>SVOD H2</t>
  </si>
  <si>
    <t>US traditional doing very well</t>
  </si>
  <si>
    <t>Some EBITDA streaming losses</t>
  </si>
  <si>
    <t>But there will be no split</t>
  </si>
  <si>
    <t>significant..?</t>
  </si>
  <si>
    <t>launch of new platform, an Android platform</t>
  </si>
  <si>
    <t>marketing, Content production</t>
  </si>
  <si>
    <t>Opex synergies in 2023, ~USD200m</t>
  </si>
  <si>
    <t>US - closed upfronts in Q3</t>
  </si>
  <si>
    <t>Ad deposits of 38%</t>
  </si>
  <si>
    <t>higher pricing and volume</t>
  </si>
  <si>
    <t>UNI - v positive trends…Q3 21 share of audience to 6.3%, 6.9% in Q3</t>
  </si>
  <si>
    <t>New execs at UNI</t>
  </si>
  <si>
    <t>Old management felt UNI should have a pricing discount</t>
  </si>
  <si>
    <t>narrowing this discount</t>
  </si>
  <si>
    <t>S&amp;M pitching to US Hispanics</t>
  </si>
  <si>
    <t xml:space="preserve"> 1600 + 200 + op leverage</t>
  </si>
  <si>
    <t>You Tube deal closed</t>
  </si>
  <si>
    <t>15 days for UNI</t>
  </si>
  <si>
    <t>Q4 21 full quarter … very positive</t>
  </si>
  <si>
    <t>Solid recovery in Ad revenue</t>
  </si>
  <si>
    <t>Govt not advertising</t>
  </si>
  <si>
    <t xml:space="preserve">Low double digit for FY 21 .. Only slightly below 2019 levels, </t>
  </si>
  <si>
    <t>Due to economy</t>
  </si>
  <si>
    <t>Pretty decent</t>
  </si>
  <si>
    <t>Not so much upside as US</t>
  </si>
  <si>
    <t>Healthier growth than in the past</t>
  </si>
  <si>
    <t xml:space="preserve">First </t>
  </si>
  <si>
    <t>Media for Equity</t>
  </si>
  <si>
    <t>VC business</t>
  </si>
  <si>
    <t>Ad space to companies where gain an equity stake</t>
  </si>
  <si>
    <t>IPO - $5 billion</t>
  </si>
  <si>
    <t>$ 8 billion</t>
  </si>
  <si>
    <t>Kavac</t>
  </si>
  <si>
    <t>8 investments…7 companies, 4 in Unicorns</t>
  </si>
  <si>
    <t>Still not big relative to TV market cap</t>
  </si>
  <si>
    <t>Shows relevance of FTA TV</t>
  </si>
  <si>
    <t>World Cup will help</t>
  </si>
  <si>
    <t>3pp of growth for the pf business, $150m in Mexico + LatAm ex Brazil</t>
  </si>
  <si>
    <t>Univision does not have US rights</t>
  </si>
  <si>
    <t>US elections favourable for UNI</t>
  </si>
  <si>
    <t>2021 Upfront +38% y/y</t>
  </si>
  <si>
    <t>50% margin</t>
  </si>
  <si>
    <t>Will start to come through</t>
  </si>
  <si>
    <t>$1.4 billion Content budget for TV is all new content, not including sports rights</t>
  </si>
  <si>
    <t>30-40 new series per year, which should allow attraction and retention of subs</t>
  </si>
  <si>
    <t>AVOD - mainly existing content library, same as FTA, SVOD exclusivity and then available to pay TV networks</t>
  </si>
  <si>
    <t>then AVOD</t>
  </si>
  <si>
    <t>then FTA</t>
  </si>
  <si>
    <t>2020 pro-forma</t>
  </si>
  <si>
    <t>Positive impact of footprint expansion</t>
  </si>
  <si>
    <t>150,000 adds in Q1 then slowed. Q4 - significant adds</t>
  </si>
  <si>
    <t>100k in Q1, Q4 will be half of this, x2 as much as Q3</t>
  </si>
  <si>
    <t>internet</t>
  </si>
  <si>
    <t>video</t>
  </si>
  <si>
    <t>no disconnections, slightly positive</t>
  </si>
  <si>
    <t>voice</t>
  </si>
  <si>
    <t>decent</t>
  </si>
  <si>
    <t>500k out of the 2m in H1</t>
  </si>
  <si>
    <t>800k by end Q3</t>
  </si>
  <si>
    <t>early Q3 launched in Guad</t>
  </si>
  <si>
    <t>Q4 remaining 700k passed</t>
  </si>
  <si>
    <t>end Q4, launched 2 more cities</t>
  </si>
  <si>
    <t>2 more cities</t>
  </si>
  <si>
    <t>need to pass in TV areas, takes planning network deployment</t>
  </si>
  <si>
    <t>more talk, starting in October - need to secure supplies</t>
  </si>
  <si>
    <t>2.5m homes per year, need huge amount of fibre</t>
  </si>
  <si>
    <t>Cost to connect</t>
  </si>
  <si>
    <t>USD 50 to pass</t>
  </si>
  <si>
    <t>USD 150 to connect</t>
  </si>
  <si>
    <t>25% pen</t>
  </si>
  <si>
    <t>"MEGA"</t>
  </si>
  <si>
    <t>60% homes</t>
  </si>
  <si>
    <t>Only 25% homes can be passed</t>
  </si>
  <si>
    <t>Would need additional invs</t>
  </si>
  <si>
    <t>might need to reduce this..</t>
  </si>
  <si>
    <t>USD75</t>
  </si>
  <si>
    <t>More focus on connecting homes</t>
  </si>
  <si>
    <t>End Q3 with 13m HPs, 17m HPs by Q1</t>
  </si>
  <si>
    <t>HPs</t>
  </si>
  <si>
    <t>Cable revs will slow, lag impact coming in 2022</t>
  </si>
  <si>
    <t>Adds will be good</t>
  </si>
  <si>
    <t>EBITDA - similar trends…but growth here than revs</t>
  </si>
  <si>
    <t>below mid single</t>
  </si>
  <si>
    <t>Grow</t>
  </si>
  <si>
    <t>Low to mid single</t>
  </si>
  <si>
    <t>44% margin in Q4 21</t>
  </si>
  <si>
    <t>FY - high single digit revs and EBITDA for FY 21</t>
  </si>
  <si>
    <t>Struggling a little, back to school</t>
  </si>
  <si>
    <t>Higher content costs, sports etc, more live events and more aggressive bidders</t>
  </si>
  <si>
    <t>revs decline low to mid single digit</t>
  </si>
  <si>
    <t>recharges stable through Q4</t>
  </si>
  <si>
    <t>FY declines mid to high single digit</t>
  </si>
  <si>
    <t>amortising sports rights from Q4</t>
  </si>
  <si>
    <t>2022 OpEx</t>
  </si>
  <si>
    <t>tougher to bring additional revs in WC, particularly as in Q4. Previously convince subs to take up one Q in advance</t>
  </si>
  <si>
    <t>recharge consistently, can watch the 16 matches</t>
  </si>
  <si>
    <t>very challenging…some sort of extra revs in Q4 22, in 2023 also</t>
  </si>
  <si>
    <t>not yet World Cup, coming through in 2022</t>
  </si>
  <si>
    <t>7% for FY declines</t>
  </si>
  <si>
    <t>AMX pay TV rights?</t>
  </si>
  <si>
    <t>AT&amp;T leaving Mexico</t>
  </si>
  <si>
    <t>Press conf from AMX yesterday</t>
  </si>
  <si>
    <t>EBITDA (pf for synergies)</t>
  </si>
  <si>
    <t>Rappi guy on TV Board</t>
  </si>
  <si>
    <t>VOD as %</t>
  </si>
  <si>
    <t>OCEN exit</t>
  </si>
  <si>
    <t>Cash in from UNI deal</t>
  </si>
  <si>
    <t>Prop Calculation</t>
  </si>
  <si>
    <t xml:space="preserve">Net debt, prop for UNI </t>
  </si>
  <si>
    <t>Dividend payout</t>
  </si>
  <si>
    <t>Plus: associate dividends</t>
  </si>
  <si>
    <t>Unique subs, m</t>
  </si>
  <si>
    <t>High speed HPs added, m</t>
  </si>
  <si>
    <t>High speed HPs, m</t>
  </si>
  <si>
    <t>RGU, m</t>
  </si>
  <si>
    <t>RGUs per unique sub</t>
  </si>
  <si>
    <t>% penetration</t>
  </si>
  <si>
    <t>Check: implied market copper/other</t>
  </si>
  <si>
    <t>Check: implied Telmex copper / VDSL</t>
  </si>
  <si>
    <t>High speed BB subs, m</t>
  </si>
  <si>
    <t>NewCo revenue</t>
  </si>
  <si>
    <t>21-26</t>
  </si>
  <si>
    <t>Telmex FTTH</t>
  </si>
  <si>
    <t>Telmex DSL</t>
  </si>
  <si>
    <t>Penetration of HPs</t>
  </si>
  <si>
    <t>Telmex (DSL/FTTH)</t>
  </si>
  <si>
    <t>Broadband adds</t>
  </si>
  <si>
    <t>Homes passed per household</t>
  </si>
  <si>
    <t>Penetration forecasts</t>
  </si>
  <si>
    <t>Total TelevisaUnivision VOD revenue</t>
  </si>
  <si>
    <t>TelevisaUnivision, USD million</t>
  </si>
  <si>
    <t>ARPU, USD</t>
  </si>
  <si>
    <t>Total subs</t>
  </si>
  <si>
    <t>TAM (POPs)</t>
  </si>
  <si>
    <t>TAM (HH)</t>
  </si>
  <si>
    <t>Subs / MAUs, millions</t>
  </si>
  <si>
    <t>Subs/MAUs as % TAM</t>
  </si>
  <si>
    <t>TelevisaUnivision</t>
  </si>
  <si>
    <t>2023e</t>
  </si>
  <si>
    <t>Price, USD</t>
  </si>
  <si>
    <t>EV/Revenue</t>
  </si>
  <si>
    <t>SHOUT, millions</t>
  </si>
  <si>
    <t>Cumulative dividend</t>
  </si>
  <si>
    <t>2024e</t>
  </si>
  <si>
    <t>2025e</t>
  </si>
  <si>
    <t>Net debt (cons)</t>
  </si>
  <si>
    <t>DPS, USD</t>
  </si>
  <si>
    <t>EPS, USD</t>
  </si>
  <si>
    <t>* We take proportionate TV-UNI contribution but not for Cable/SKY, in part as we don't have visiblity on the net debt position at the distribution businesses</t>
  </si>
  <si>
    <t>Proportionate EV</t>
  </si>
  <si>
    <t>22-25e CAGR</t>
  </si>
  <si>
    <t>Proportionate multiples</t>
  </si>
  <si>
    <t>HQ/other</t>
  </si>
  <si>
    <t>Group Prop</t>
  </si>
  <si>
    <t>** EBITDA split shown here is proportionate for all the business units</t>
  </si>
  <si>
    <t>Fully proportionate EBITDA split **</t>
  </si>
  <si>
    <t>Consolidated financials</t>
  </si>
  <si>
    <t>Proportionate financials *</t>
  </si>
  <si>
    <t>Fully proportionate Capex split **</t>
  </si>
  <si>
    <t>Fully proportionate OpFCF split **</t>
  </si>
  <si>
    <t>Cable net adds, 000s</t>
  </si>
  <si>
    <t>UNI quarterlies</t>
  </si>
  <si>
    <t xml:space="preserve">Revenue </t>
  </si>
  <si>
    <t>MXN million</t>
  </si>
  <si>
    <t>ROKU-US</t>
  </si>
  <si>
    <t>NFLX-US</t>
  </si>
  <si>
    <t>DIS-US</t>
  </si>
  <si>
    <t>LGF.A-US</t>
  </si>
  <si>
    <t>TelevisaUnivision at target</t>
  </si>
  <si>
    <t>CHTR-US</t>
  </si>
  <si>
    <t>CMCSA-US</t>
  </si>
  <si>
    <t>DISCA-US</t>
  </si>
  <si>
    <t>VIAC-US</t>
  </si>
  <si>
    <t>Televisa Group</t>
  </si>
  <si>
    <t>Feb 16th - TVUNI brand launch</t>
  </si>
  <si>
    <t>Pierluigi Gazzolo</t>
  </si>
  <si>
    <t>1000's of hours exclusively for streaming</t>
  </si>
  <si>
    <t>Strong promotional footprint</t>
  </si>
  <si>
    <t>investing to acquire other users</t>
  </si>
  <si>
    <t xml:space="preserve">Apr-21 Prende TV launched. A pilot. </t>
  </si>
  <si>
    <t>No 1 Spanish language ents App in all platforms in the US</t>
  </si>
  <si>
    <t>Originally produced Content in Spanish, reflecting different cultures of LatAm</t>
  </si>
  <si>
    <t>Vix</t>
  </si>
  <si>
    <t>Vix +</t>
  </si>
  <si>
    <t>US, Mexico, 19 countries in LatAm</t>
  </si>
  <si>
    <t>Mar 31st 2022 AVOD</t>
  </si>
  <si>
    <t>Linear, plus VOD</t>
  </si>
  <si>
    <t>H2 22 - SVOD</t>
  </si>
  <si>
    <t>Paid</t>
  </si>
  <si>
    <t>1 year, 50,000 hours in Year 1, free and paid</t>
  </si>
  <si>
    <t>Rafael Urbina</t>
  </si>
  <si>
    <t>Long form ents + Live sports and news</t>
  </si>
  <si>
    <t xml:space="preserve">Novelas </t>
  </si>
  <si>
    <t>300,000 hours to choose from</t>
  </si>
  <si>
    <t>Partnered with producers</t>
  </si>
  <si>
    <t>Lionsgate, MGM, Disney</t>
  </si>
  <si>
    <t>Lower Ad load than traditional TV</t>
  </si>
  <si>
    <t>EPG</t>
  </si>
  <si>
    <t>BEIN Sports Extra</t>
  </si>
  <si>
    <t>Kids TV channels</t>
  </si>
  <si>
    <t>News and sports also</t>
  </si>
  <si>
    <t>Spanish in US consumer a lot of news, more than non Hispanics</t>
  </si>
  <si>
    <t>Jorge Ramos - famous news anchor</t>
  </si>
  <si>
    <t>Brand new show</t>
  </si>
  <si>
    <t>News hub with top international channels</t>
  </si>
  <si>
    <t>Best live and exclusive soccer. Game of week</t>
  </si>
  <si>
    <t>Zona Tudn - 24 hours sports news</t>
  </si>
  <si>
    <t>100 linear channels also, branded channels</t>
  </si>
  <si>
    <t>Vix+</t>
  </si>
  <si>
    <t>Ridrigo Mazon</t>
  </si>
  <si>
    <t>Single Click</t>
  </si>
  <si>
    <t>10,000 hours of Content</t>
  </si>
  <si>
    <t>Year 1 - 50 premiers, 1 new per week</t>
  </si>
  <si>
    <t>Pinches Momias</t>
  </si>
  <si>
    <t xml:space="preserve">Travesuras de la nina </t>
  </si>
  <si>
    <t>Maria Duenas - Los Artistas</t>
  </si>
  <si>
    <t>3-Pas studios</t>
  </si>
  <si>
    <t>Eugenio Derbez</t>
  </si>
  <si>
    <t>Freedom and budget to try new things and take risks</t>
  </si>
  <si>
    <t>Salma Hayek</t>
  </si>
  <si>
    <t xml:space="preserve">Reboot 80s hit </t>
  </si>
  <si>
    <t>La Hora Marcada</t>
  </si>
  <si>
    <t>Nautilus</t>
  </si>
  <si>
    <t>las Pelotaris</t>
  </si>
  <si>
    <t>Own production studios also</t>
  </si>
  <si>
    <t>Partner studios</t>
  </si>
  <si>
    <t>Telenovelas also</t>
  </si>
  <si>
    <t>Senda Prohibida - 1st ever Telenovella</t>
  </si>
  <si>
    <t>Mas Alla de Ti</t>
  </si>
  <si>
    <t>La Mujer del Diablo</t>
  </si>
  <si>
    <t>VideoCine - will go straight to Vix +</t>
  </si>
  <si>
    <t>Worlds preminent soccer</t>
  </si>
  <si>
    <t>3000 live games  year</t>
  </si>
  <si>
    <t xml:space="preserve">US soccer </t>
  </si>
  <si>
    <t>UEFA CL</t>
  </si>
  <si>
    <t>Home of Mexico soccer, Mex national team</t>
  </si>
  <si>
    <t>2022 World Cup…best coverage in Mexico</t>
  </si>
  <si>
    <t>Docuseries (sports)</t>
  </si>
  <si>
    <t>Adj EBITDA</t>
  </si>
  <si>
    <t>Adj Revenue</t>
  </si>
  <si>
    <t>diff</t>
  </si>
  <si>
    <t xml:space="preserve">Rep EBITDA </t>
  </si>
  <si>
    <t>Q4 21 call</t>
  </si>
  <si>
    <t>Synergies coming through, $150-200m</t>
  </si>
  <si>
    <t>Any sort of targets or aspirations</t>
  </si>
  <si>
    <t>What seeing from competitors</t>
  </si>
  <si>
    <t>What is target penetration?</t>
  </si>
  <si>
    <t>Prende TV subs</t>
  </si>
  <si>
    <t>Other operating expenses (ex gain), Corporate expenses?</t>
  </si>
  <si>
    <t>Launch date early Q3?</t>
  </si>
  <si>
    <t>Streaming to cannibalise linear in LatAm?</t>
  </si>
  <si>
    <t>Capex for 2022 and beyond</t>
  </si>
  <si>
    <t>Revenues and EBITDA tough</t>
  </si>
  <si>
    <t>World Cup coming up, what to expect</t>
  </si>
  <si>
    <t>Additional partner content</t>
  </si>
  <si>
    <t>Monetisation World Cup</t>
  </si>
  <si>
    <t>EBITDA stable this year</t>
  </si>
  <si>
    <t>Revs growth strong in 2022 for TVUNI, Mex and US</t>
  </si>
  <si>
    <t>Upfronts. Ad deposits up 13% y/y. best performance in TV history</t>
  </si>
  <si>
    <t>Where in homes passed, where targeting for 2022. Another 2m?</t>
  </si>
  <si>
    <t>Video - 75% of sales are x3-play</t>
  </si>
  <si>
    <t>2022 - $855m capex, 2m HPs, 17.8m</t>
  </si>
  <si>
    <t>55% are FTTN, FTTH</t>
  </si>
  <si>
    <t>OpEx structure</t>
  </si>
  <si>
    <t>$50m due to transmission from World Cup, otherwise similar in real terms</t>
  </si>
  <si>
    <t>$860m</t>
  </si>
  <si>
    <t>620 for cable, for 700k homes passed</t>
  </si>
  <si>
    <t>200 for SKY</t>
  </si>
  <si>
    <t>40 for Content</t>
  </si>
  <si>
    <t>traditional media</t>
  </si>
  <si>
    <t>V different than what VIX will be. Blim is SVOD originally, AVOD, 1m subs transferred to VIX</t>
  </si>
  <si>
    <t>4m users</t>
  </si>
  <si>
    <t>yes, including AVOD platform on VIX</t>
  </si>
  <si>
    <t>How much offset with revenue?</t>
  </si>
  <si>
    <t>Capex in absolute terms in 2022 same as before</t>
  </si>
  <si>
    <t>Back to stable levels of capex</t>
  </si>
  <si>
    <t>Mid to high 20%s, low in the mid-term</t>
  </si>
  <si>
    <t>Competitive landscape changed over the years</t>
  </si>
  <si>
    <t>Opportunistic</t>
  </si>
  <si>
    <t>1m through to AVOD from Blim</t>
  </si>
  <si>
    <t>1/ better economics</t>
  </si>
  <si>
    <t>2/ great ratings</t>
  </si>
  <si>
    <t>3/ revamped sales team</t>
  </si>
  <si>
    <t>4/ focusing on selling unique reach</t>
  </si>
  <si>
    <t>5/ included AVOD within upfronts</t>
  </si>
  <si>
    <t>same in US</t>
  </si>
  <si>
    <t>45% linear on AVOD</t>
  </si>
  <si>
    <t>Prende TV huge benefit</t>
  </si>
  <si>
    <t>Net adds, sales, helped revenue</t>
  </si>
  <si>
    <t>Cost containment also helping, procurement gains</t>
  </si>
  <si>
    <t>Targeting flat in nominal, except salaries/energy etc.</t>
  </si>
  <si>
    <t>Old estimates</t>
  </si>
  <si>
    <t>New estimates</t>
  </si>
  <si>
    <t>Diff</t>
  </si>
  <si>
    <t>EFCF, USD</t>
  </si>
  <si>
    <t>Capex USD m</t>
  </si>
  <si>
    <t>EBITDA (pro-forma for synergies)</t>
  </si>
  <si>
    <t>Payout ratio</t>
  </si>
  <si>
    <t>% of FY</t>
  </si>
  <si>
    <t>EBITDA, y/y</t>
  </si>
  <si>
    <t>Grupo Televisa - MXN m</t>
  </si>
  <si>
    <t>Televisa Univision - USD m</t>
  </si>
  <si>
    <t>Total Revenue (ex content)</t>
  </si>
  <si>
    <t>Revenue (Cable)</t>
  </si>
  <si>
    <t>Revenue (SKY)</t>
  </si>
  <si>
    <t>Total EBITDA</t>
  </si>
  <si>
    <t>EBITDA (Cable)</t>
  </si>
  <si>
    <t>Mexican Ad revenues y/y growth</t>
  </si>
  <si>
    <t>Subscription &amp; Licensing</t>
  </si>
  <si>
    <t>Total Revenue</t>
  </si>
  <si>
    <t>Revenue (Other)</t>
  </si>
  <si>
    <t>Q2 22e</t>
  </si>
  <si>
    <t>Q1 22 call</t>
  </si>
  <si>
    <t>SVOD launch</t>
  </si>
  <si>
    <t>Competition - good BB subs from Telmex</t>
  </si>
  <si>
    <t>Growth back end loaded</t>
  </si>
  <si>
    <t>mid-term elections</t>
  </si>
  <si>
    <t>increased Ad spend in Mex</t>
  </si>
  <si>
    <t>RGUs in cable</t>
  </si>
  <si>
    <t>price increases at SKY</t>
  </si>
  <si>
    <t>Penetration in new areas?</t>
  </si>
  <si>
    <t>Growth outlook at TVUNI</t>
  </si>
  <si>
    <t>12% growth, back-end loaded…so on track hit nearer 15%?</t>
  </si>
  <si>
    <t>Acquisition cost much lower for streaming</t>
  </si>
  <si>
    <t>Mexico or US so far?</t>
  </si>
  <si>
    <t>Google Cloud</t>
  </si>
  <si>
    <t>Moved legacy subs to VIX</t>
  </si>
  <si>
    <t>Streaming Ad sales efforts</t>
  </si>
  <si>
    <t>TVUNI</t>
  </si>
  <si>
    <t>On track for 15% y/y, and flat of USD1.55 billion</t>
  </si>
  <si>
    <t>ease revs declines, stabilise by YE</t>
  </si>
  <si>
    <t>EBITDA of USD1.55 billion, can you confirm FY 21 pro-forma EBITDA</t>
  </si>
  <si>
    <t>remind me of scale and pacing in Mexico</t>
  </si>
  <si>
    <t>Revenue outlook for wholesale</t>
  </si>
  <si>
    <t>residential inflection…?</t>
  </si>
  <si>
    <t>price increases like SKY?</t>
  </si>
  <si>
    <t>one off from project, would have been up 7%</t>
  </si>
  <si>
    <t>was there any guide..?</t>
  </si>
  <si>
    <t>structural decline of DTV?</t>
  </si>
  <si>
    <t>MAUs…? How many were rolled in from existing platforms?</t>
  </si>
  <si>
    <t>are there any existing subscription customers?</t>
  </si>
  <si>
    <t>good so far</t>
  </si>
  <si>
    <t>delay in coverage expansion</t>
  </si>
  <si>
    <t>capacity issues</t>
  </si>
  <si>
    <t>price increases in Feb</t>
  </si>
  <si>
    <t>was there any guide?</t>
  </si>
  <si>
    <t>when do you think residential revenue will inflect?</t>
  </si>
  <si>
    <t>any changes to plans</t>
  </si>
  <si>
    <t>thoughts on selling the asset?</t>
  </si>
  <si>
    <t>core?</t>
  </si>
  <si>
    <t>accelerate revs growth over the coming quarters</t>
  </si>
  <si>
    <t>loss of subs…?</t>
  </si>
  <si>
    <t xml:space="preserve">pre-paid is 85% </t>
  </si>
  <si>
    <t>speeds?</t>
  </si>
  <si>
    <t xml:space="preserve">Netflix issues validate VIX </t>
  </si>
  <si>
    <t>hybrid product</t>
  </si>
  <si>
    <t>mexican soccer targeting market</t>
  </si>
  <si>
    <t>VIX+ launch in H2?</t>
  </si>
  <si>
    <t>inflation</t>
  </si>
  <si>
    <t>TVUNI margins to be ~40% like FY 21…??</t>
  </si>
  <si>
    <t>flat to slightly higher</t>
  </si>
  <si>
    <t>streaming…low to mid 30% margins</t>
  </si>
  <si>
    <t>??</t>
  </si>
  <si>
    <t>FY EBITDA $1.65 billion</t>
  </si>
  <si>
    <t>FY 22</t>
  </si>
  <si>
    <t>nothing on numbers yet</t>
  </si>
  <si>
    <t>very happy in progress across all regions</t>
  </si>
  <si>
    <t>Yes, will be happy to allow usage. CMCSA/CHTR JV</t>
  </si>
  <si>
    <t>VC arm stated in late 2019</t>
  </si>
  <si>
    <t xml:space="preserve">Streaming note out </t>
  </si>
  <si>
    <t>Cable will be better, growth accelerating</t>
  </si>
  <si>
    <t>SKY - Q2 better from first from revenue persective</t>
  </si>
  <si>
    <t>No usage data today.. Later this year, more numbers</t>
  </si>
  <si>
    <t>Should be able to scale…. 2023…allow neutral impact EBITDA</t>
  </si>
  <si>
    <t>$1.65 billion</t>
  </si>
  <si>
    <t>App downloads in Google - over 5 million since launch</t>
  </si>
  <si>
    <t>Previous subs from Prende, Blim turned into VIX</t>
  </si>
  <si>
    <t>US Upfronts - May, end Q3. Comes though from Q4</t>
  </si>
  <si>
    <t>May - Upfront, CMO, CEO, content planning on launching. Performance of Content</t>
  </si>
  <si>
    <t>yes</t>
  </si>
  <si>
    <t>Q1 declined by 6.2%</t>
  </si>
  <si>
    <t>prices up with inflation in March</t>
  </si>
  <si>
    <t>March x 12 + Jan/Feb, revs for FY down low to mid single digit</t>
  </si>
  <si>
    <t>4-5%</t>
  </si>
  <si>
    <t>3-4%</t>
  </si>
  <si>
    <t>relatively flat</t>
  </si>
  <si>
    <t>will lose some subs again</t>
  </si>
  <si>
    <t>won't lose so many in Q3 / Q4</t>
  </si>
  <si>
    <t>H1 21 - new subs joining SKY… second home</t>
  </si>
  <si>
    <t>Pre-paid since Aug/Sept - have not been recharging much… not much revenue therefore</t>
  </si>
  <si>
    <t>growth to accelerate through 2022</t>
  </si>
  <si>
    <t>haven't raised prices yet</t>
  </si>
  <si>
    <t>different with SKY as smaller disposable income</t>
  </si>
  <si>
    <t>TV has been a first mover on prices, Total Play benefitted</t>
  </si>
  <si>
    <t>resi - 3.4% decline. Should start to increase gradually. 50 bps per Q…</t>
  </si>
  <si>
    <t>new region ARPU, entering with promotions, but targeting mid/high-end (better service)</t>
  </si>
  <si>
    <t>underlying pricing is similar to rest of country</t>
  </si>
  <si>
    <t>revs / RGU a little lower, as voice arpu is much lower</t>
  </si>
  <si>
    <t> In the medium-term, our streaming platform should achieve low-to-mid 30s margin.</t>
  </si>
  <si>
    <t>Pantaya</t>
  </si>
  <si>
    <t>Annual revenue, USD m</t>
  </si>
  <si>
    <t>Revenue, USD million</t>
  </si>
  <si>
    <t>Total Subs</t>
  </si>
  <si>
    <t>Prop leverage</t>
  </si>
  <si>
    <t>10-12% ongoing</t>
  </si>
  <si>
    <t>No slowdown in demand for Ad in US</t>
  </si>
  <si>
    <t>Q4 should be the strongest monetising World Cup</t>
  </si>
  <si>
    <t>Mid-term elections</t>
  </si>
  <si>
    <t>15 for TVUNI</t>
  </si>
  <si>
    <t>EBITDA - Q1 was not in-line with FY</t>
  </si>
  <si>
    <t>50% margin on World Cup</t>
  </si>
  <si>
    <t>EBITDA growth in Q4, offsetting</t>
  </si>
  <si>
    <t>USD1.65 billion</t>
  </si>
  <si>
    <t>US Upfronts</t>
  </si>
  <si>
    <t>Strong demand</t>
  </si>
  <si>
    <t>Advertising in US - 37% of total revenue</t>
  </si>
  <si>
    <t>Low to mid teens</t>
  </si>
  <si>
    <t>Q4 through Q3 2023</t>
  </si>
  <si>
    <t>70% willing to buy through digital</t>
  </si>
  <si>
    <t>21% versus 2019</t>
  </si>
  <si>
    <t>38% vs 2020</t>
  </si>
  <si>
    <t>50% of total revenue</t>
  </si>
  <si>
    <t>less in the US, less willing to sell in the Upfronts</t>
  </si>
  <si>
    <t>spot has premium</t>
  </si>
  <si>
    <t>VIX+ July 21</t>
  </si>
  <si>
    <t>Advertising heavily</t>
  </si>
  <si>
    <t>Selling deals to re-sell</t>
  </si>
  <si>
    <t>Doing pretty well</t>
  </si>
  <si>
    <t>Daily active users</t>
  </si>
  <si>
    <t>900k to 1m daily active users</t>
  </si>
  <si>
    <t>UNI debt</t>
  </si>
  <si>
    <t>50% floating</t>
  </si>
  <si>
    <t>50% fixed</t>
  </si>
  <si>
    <t>Re-financed $300m recently for bond at &gt;9%</t>
  </si>
  <si>
    <t>$1.5 billion</t>
  </si>
  <si>
    <t>FCF profile is very good</t>
  </si>
  <si>
    <t>$550-600m</t>
  </si>
  <si>
    <t>Turnaround at residential cable</t>
  </si>
  <si>
    <t>250-300 RGUs in Q2</t>
  </si>
  <si>
    <t>Q3 and Q4 also</t>
  </si>
  <si>
    <t>Mix similar in Q1…50% voice, &gt;25% video, &lt;25% internet</t>
  </si>
  <si>
    <t>Residential revenue acceleration…</t>
  </si>
  <si>
    <t>50 bps pick every Q</t>
  </si>
  <si>
    <t>4%, 4.5%, 5.0%</t>
  </si>
  <si>
    <t>Enterprise, not signed up to make up for Refalisco….helped in 2021</t>
  </si>
  <si>
    <t>Government not signed up, interest up, oil subsidies</t>
  </si>
  <si>
    <t>Perhaps H2 better</t>
  </si>
  <si>
    <t>Not raising prices this year</t>
  </si>
  <si>
    <t>New homes helping</t>
  </si>
  <si>
    <t>Churn reduction more generally</t>
  </si>
  <si>
    <t>Improving speeds for subscribers</t>
  </si>
  <si>
    <t>25% is FTTH</t>
  </si>
  <si>
    <t>Need to have some sort of a discount</t>
  </si>
  <si>
    <t>Overall cable revenue may decline lightly…1% or so. EBITDA for cable residential up, stronger decline in EBITDA for Enterprise</t>
  </si>
  <si>
    <t>EBITDA for cable should be flat</t>
  </si>
  <si>
    <t>Revenue declined 6-6.5%  in Q1</t>
  </si>
  <si>
    <t>Disconnections stronger than expected</t>
  </si>
  <si>
    <t>175,000 RGU disconnections. Should be 150-200k in Q2 but closer to 250k</t>
  </si>
  <si>
    <t>Will lead to 6-7% revenue declines at SKY</t>
  </si>
  <si>
    <t>Amoritising some World Cup cost…larger maybe 20% declines in Q2</t>
  </si>
  <si>
    <t>Revs to decline now mid-single digits</t>
  </si>
  <si>
    <t>New CEO in Jan-22</t>
  </si>
  <si>
    <t>Focused on retaining subs….rather than adding new. Recycling the same base</t>
  </si>
  <si>
    <t>Commission to bring back</t>
  </si>
  <si>
    <t>60m people, 16m homes. 150-200k subs</t>
  </si>
  <si>
    <t>$50m of cost/transmission for WC in 2022</t>
  </si>
  <si>
    <t>MXN1.7 billion of revenue in Q2</t>
  </si>
  <si>
    <t>Q4 22e</t>
  </si>
  <si>
    <t>7 months policy, maybe change to 4 months</t>
  </si>
  <si>
    <t>Telefonica guy</t>
  </si>
  <si>
    <t>Q1 23</t>
  </si>
  <si>
    <t>Total Cable (gross)</t>
  </si>
  <si>
    <t>MEGA - MXN m</t>
  </si>
  <si>
    <t>EFCF Yield</t>
  </si>
  <si>
    <t>MX$ mm</t>
  </si>
  <si>
    <t>1Q 2022</t>
  </si>
  <si>
    <t>2Q 2022</t>
  </si>
  <si>
    <t>3Q 2022</t>
  </si>
  <si>
    <t>4Q 2022</t>
  </si>
  <si>
    <t>2024 FY</t>
  </si>
  <si>
    <t>2025 FY</t>
  </si>
  <si>
    <t>Operational Data</t>
  </si>
  <si>
    <t>Q2 22 call</t>
  </si>
  <si>
    <t>Red Jalisco</t>
  </si>
  <si>
    <t>1% growth rather than 18% declines y/y, ex this</t>
  </si>
  <si>
    <t>Adds to continue to be solid</t>
  </si>
  <si>
    <t>Turnaround plan at SKY. Approved 2 days ago</t>
  </si>
  <si>
    <t>3 elements</t>
  </si>
  <si>
    <t>1/ Core business</t>
  </si>
  <si>
    <t>2/ Evolve core to OTT</t>
  </si>
  <si>
    <t>3/ Beyond the core</t>
  </si>
  <si>
    <t>SKY pillars</t>
  </si>
  <si>
    <t>1/ Revenue growth -</t>
  </si>
  <si>
    <t>Central America , 60m POPs, large rural population</t>
  </si>
  <si>
    <t>&lt;150,000 subs in the market, &lt;3% share</t>
  </si>
  <si>
    <t>8% TV pen of POPs</t>
  </si>
  <si>
    <t>Sales channel in Mexico</t>
  </si>
  <si>
    <t>70/30 pre paid / post paid</t>
  </si>
  <si>
    <t>Launch a new mobile network</t>
  </si>
  <si>
    <t>addressable market will be SKY wholesale</t>
  </si>
  <si>
    <t xml:space="preserve">individual </t>
  </si>
  <si>
    <t>Altan relationship - new management team</t>
  </si>
  <si>
    <t>reverse negative trends in fixed wireless</t>
  </si>
  <si>
    <t>2/ Customer centric focus -</t>
  </si>
  <si>
    <t>Save MXN100 million</t>
  </si>
  <si>
    <t>3/ Content</t>
  </si>
  <si>
    <t>ultimate sports content</t>
  </si>
  <si>
    <t>la liga, copa del rey, bundesliga, all FIFA World Cup matches this year, offering 4K content also</t>
  </si>
  <si>
    <t>ott  platform</t>
  </si>
  <si>
    <t>blue to go</t>
  </si>
  <si>
    <t>linear to line up</t>
  </si>
  <si>
    <t>mobile app into full OTT operator</t>
  </si>
  <si>
    <t>all SKY exclusive ops</t>
  </si>
  <si>
    <t>4/ digital transformation</t>
  </si>
  <si>
    <t>end to end process review</t>
  </si>
  <si>
    <t>MSO in cable…good growth - sustainable</t>
  </si>
  <si>
    <t>Declines to continue in H2 and H1 2023</t>
  </si>
  <si>
    <t>Mobile next September</t>
  </si>
  <si>
    <t>Competitive market</t>
  </si>
  <si>
    <t>attractive initially to own post-paid customers</t>
  </si>
  <si>
    <t>Will be weak in 2022, benefits in 2023</t>
  </si>
  <si>
    <t>Associate income</t>
  </si>
  <si>
    <t>Normalised income</t>
  </si>
  <si>
    <t>Normalised - depends on TVUNI income…dividend is $41.25m per year</t>
  </si>
  <si>
    <t>Both Mexico and Central America</t>
  </si>
  <si>
    <t>MVNO platform in Sept</t>
  </si>
  <si>
    <t>Limited today by handsets</t>
  </si>
  <si>
    <t>FX gain</t>
  </si>
  <si>
    <t>Positive $ denominated cash and TVUNI, helped gain on BS</t>
  </si>
  <si>
    <t>Inflows and outflows</t>
  </si>
  <si>
    <t>Pricing environment in cable</t>
  </si>
  <si>
    <t>Performance in new areas</t>
  </si>
  <si>
    <t>600,000 new homes in 2022, in addition to 2 million</t>
  </si>
  <si>
    <t>Happy with initial results, taken longer in some places than expected</t>
  </si>
  <si>
    <t>competitors increased price in 2022. Izzy has not</t>
  </si>
  <si>
    <t>finding sweetspot where product should be : quality, product, price</t>
  </si>
  <si>
    <t>may adjust in the future</t>
  </si>
  <si>
    <t>before had national prices, now monitoring by package and by region</t>
  </si>
  <si>
    <t>where last in, ramp up process was slower</t>
  </si>
  <si>
    <t>where not last, better than expected</t>
  </si>
  <si>
    <t>Actually, 800,000 HPs</t>
  </si>
  <si>
    <t>Low single digit revs growth in H2, q/q</t>
  </si>
  <si>
    <t>EBITDA contribution a challenge for rest of year</t>
  </si>
  <si>
    <t>Post Q2 22</t>
  </si>
  <si>
    <t>Q3 22 company call</t>
  </si>
  <si>
    <t>Buying back some stock</t>
  </si>
  <si>
    <t>No funding issues, no short-term maturities</t>
  </si>
  <si>
    <t>Bond prices…deteriorated…buying back at or below par</t>
  </si>
  <si>
    <t>Steady macro</t>
  </si>
  <si>
    <t>Some uncertainty into 2023</t>
  </si>
  <si>
    <t>Possibility of recession, unlikely to match 2009 (5-6%) or Covid shock</t>
  </si>
  <si>
    <t>Q1 - rates to peak, and then decline</t>
  </si>
  <si>
    <t>$620-650m….subject to FX, seems a good run-rate</t>
  </si>
  <si>
    <t>On track for FY delivery</t>
  </si>
  <si>
    <t>Q3 shift of Ad business</t>
  </si>
  <si>
    <t>Q3 will look a little weaker: low to mid revs growth, EBITDA down like in Q2 (-1%)</t>
  </si>
  <si>
    <t>Q4 mid-terms</t>
  </si>
  <si>
    <t>Ad will lean toward Q4 due to mid-terms/WC</t>
  </si>
  <si>
    <t xml:space="preserve">$150m…3.5% of FY 2021 revs, or 12-13% of </t>
  </si>
  <si>
    <t>Wade saying x2 Ad revenue, $30m, now $60m which is strong</t>
  </si>
  <si>
    <t>Q4: 20-25% revs growth</t>
  </si>
  <si>
    <t>Q4 EBITDA should be positive, end year at "relatively flat"</t>
  </si>
  <si>
    <t>Not much detail</t>
  </si>
  <si>
    <t>Monthly active users…exceeding exps</t>
  </si>
  <si>
    <t>Sub VOD, partnerships with AMZ, TIGO, etc, working well. Keep scaling the business</t>
  </si>
  <si>
    <t>US, Q2 22: Ad commitments low to mid-teens</t>
  </si>
  <si>
    <t>Q3 can now say…</t>
  </si>
  <si>
    <t>AVOD - &gt;100% commitments for Ad, testament to adding monthly active users</t>
  </si>
  <si>
    <t>$70m in Q2</t>
  </si>
  <si>
    <t>Digital revenue of TVUNI - see filings on webpage</t>
  </si>
  <si>
    <t>Q1 also there</t>
  </si>
  <si>
    <t>Bulk of it is AVOD….</t>
  </si>
  <si>
    <t>Ad and Licencing/sub revenue</t>
  </si>
  <si>
    <t>Netflix AVOD</t>
  </si>
  <si>
    <t>Charging / hybrid platform. Netflix charge will be x3 CPM</t>
  </si>
  <si>
    <t>Delivering similar adds: 200k, similar mix</t>
  </si>
  <si>
    <t>25% video</t>
  </si>
  <si>
    <t>25% internet</t>
  </si>
  <si>
    <t>50% fixed telephony</t>
  </si>
  <si>
    <t>won’t be so relevant</t>
  </si>
  <si>
    <t>Feel comfortable…Q4 trends should continue to be positive</t>
  </si>
  <si>
    <t>250k RGUs in Q4</t>
  </si>
  <si>
    <t>1.2 million in FY 21</t>
  </si>
  <si>
    <t>Residential revenue</t>
  </si>
  <si>
    <t>Some slowdown in Q3</t>
  </si>
  <si>
    <t>Price increases in Q3 21</t>
  </si>
  <si>
    <t>slower</t>
  </si>
  <si>
    <t>6-7% without price increase</t>
  </si>
  <si>
    <t>Promotions in Q4 21</t>
  </si>
  <si>
    <t>Competition</t>
  </si>
  <si>
    <t>No price changes this year</t>
  </si>
  <si>
    <t>Monterrey for 1.5 years, 8-9% penetration</t>
  </si>
  <si>
    <t>Haven’t launched yet</t>
  </si>
  <si>
    <t>"15% of network with penetration after Year 1"</t>
  </si>
  <si>
    <t>Internal numbers</t>
  </si>
  <si>
    <t>TV holding up well in Monterrey</t>
  </si>
  <si>
    <t>TV taking share from MEGA, TotalPlay also</t>
  </si>
  <si>
    <t>TV is &gt;10% or so in new areas</t>
  </si>
  <si>
    <t>This is the ambition this year</t>
  </si>
  <si>
    <t>2.8m homes for FY, 0.5m in H1 - HPs</t>
  </si>
  <si>
    <t>Can't guarantee price raises</t>
  </si>
  <si>
    <t>8-9% inflation</t>
  </si>
  <si>
    <t>Revs growth not where they would like</t>
  </si>
  <si>
    <t>mid single digit revs growth in H2</t>
  </si>
  <si>
    <t>EBITDA unchanged…mid 30%s</t>
  </si>
  <si>
    <t>Disconnecting ~450k subs with no revs and EBITDA</t>
  </si>
  <si>
    <t>200k in Q3, 200k in Q4, 50k in Q1</t>
  </si>
  <si>
    <t>Also, others will be churning</t>
  </si>
  <si>
    <t>Average of last 3 Qs</t>
  </si>
  <si>
    <t>Amorting WC</t>
  </si>
  <si>
    <t>Charges</t>
  </si>
  <si>
    <t>Should have $1 billion of sustainable revs</t>
  </si>
  <si>
    <t>improvement of 5-10% sequentially</t>
  </si>
  <si>
    <t>MXN1.7 billion</t>
  </si>
  <si>
    <t>updated</t>
  </si>
  <si>
    <t>Q3 22 Investor Call</t>
  </si>
  <si>
    <t>Likelihood of M&amp;A in next 12 months</t>
  </si>
  <si>
    <t>When might you increase prices on cable?</t>
  </si>
  <si>
    <t>Cost base given inflation</t>
  </si>
  <si>
    <t>How thinking about capex into 2023</t>
  </si>
  <si>
    <t>TVUNI - 3rd of Advertisers in US don't do so in Spanish language</t>
  </si>
  <si>
    <t>client wins, how progressing?</t>
  </si>
  <si>
    <t>SKY - strong rebound plans expected</t>
  </si>
  <si>
    <t>Economy in US and Mexico healthy</t>
  </si>
  <si>
    <t>Cycle with rates peaking</t>
  </si>
  <si>
    <t>Paying down debt with cash in hand</t>
  </si>
  <si>
    <t>investment ramped up Mar 31, July 21st</t>
  </si>
  <si>
    <t>EBITDA down 2% first 9m y/y</t>
  </si>
  <si>
    <t>US - shift to Q4, softening in broader ad, lack of soccer</t>
  </si>
  <si>
    <t>Mexico slowed - pushed Ad into Q4, from World Cup</t>
  </si>
  <si>
    <t>2 Tiers - huge benefit</t>
  </si>
  <si>
    <t>users can access differentiated</t>
  </si>
  <si>
    <t>TV - lower costs, promotional capacity of churn management</t>
  </si>
  <si>
    <t>VIX+ - 50% coming from AVOD users</t>
  </si>
  <si>
    <t>A lot of users on VIX</t>
  </si>
  <si>
    <t>Behaviour of VIX+ users</t>
  </si>
  <si>
    <t>New Advertisers?</t>
  </si>
  <si>
    <t>Adjust prices on a more granular model</t>
  </si>
  <si>
    <t>More modular package</t>
  </si>
  <si>
    <t>700 to 850k homes passed by YE</t>
  </si>
  <si>
    <t>12% penetration in major city, 20% in medium one - aim by YE</t>
  </si>
  <si>
    <t>Mobile push</t>
  </si>
  <si>
    <t>offered to 6.5m subs base</t>
  </si>
  <si>
    <t>Residential cable has tough comparisons</t>
  </si>
  <si>
    <t>ARPU stable y/y</t>
  </si>
  <si>
    <t>Expect solid RGUs in coming quarters, ARPUs stable, revs to get better</t>
  </si>
  <si>
    <t>Other Spin</t>
  </si>
  <si>
    <t>9m 2022</t>
  </si>
  <si>
    <t>Other revs</t>
  </si>
  <si>
    <t>Group revs</t>
  </si>
  <si>
    <t>Guide</t>
  </si>
  <si>
    <t>Network upgrades</t>
  </si>
  <si>
    <t>High pen in new cities</t>
  </si>
  <si>
    <t>12% this year in large cities, 20% elsewhere</t>
  </si>
  <si>
    <t>New areas…going with fibre</t>
  </si>
  <si>
    <t>Competitor response</t>
  </si>
  <si>
    <t xml:space="preserve">Cable - not thinking about </t>
  </si>
  <si>
    <t>How much FTTH?</t>
  </si>
  <si>
    <t>18.5 million</t>
  </si>
  <si>
    <t>End of August start</t>
  </si>
  <si>
    <t xml:space="preserve">Modular </t>
  </si>
  <si>
    <t>Create products - intuitive, module for BB, video, can add and combine</t>
  </si>
  <si>
    <t>Flex on products and pricing</t>
  </si>
  <si>
    <t>Can change at hub level, rather than city level</t>
  </si>
  <si>
    <t>Not moved prices this year</t>
  </si>
  <si>
    <t>Continue to look at market dynamics</t>
  </si>
  <si>
    <t>Inflation ~9%</t>
  </si>
  <si>
    <t>Single App…AVOD service funnel…50% VIX+ from funnel</t>
  </si>
  <si>
    <t>Same App - churn management</t>
  </si>
  <si>
    <t>2023 capex</t>
  </si>
  <si>
    <t>double digit decline</t>
  </si>
  <si>
    <t>Spin</t>
  </si>
  <si>
    <t>Other except for concession/transmission business (tied to TVUNI)</t>
  </si>
  <si>
    <t>Gaming is the most important business</t>
  </si>
  <si>
    <t>not fully recovered yet from Covid</t>
  </si>
  <si>
    <t>Capex is stadium is only thing, commitments for World Cup - Azteca. Needs substantial spend</t>
  </si>
  <si>
    <t>Replaced with a smaller one, inc schools etc etc</t>
  </si>
  <si>
    <t>60m households in the 7 markets they are in</t>
  </si>
  <si>
    <t>3% share only</t>
  </si>
  <si>
    <t>Extended La Liga rights</t>
  </si>
  <si>
    <t>$190m capex</t>
  </si>
  <si>
    <t>Spin of "Other"</t>
  </si>
  <si>
    <t>Soccer team America</t>
  </si>
  <si>
    <t>Publishing / magasines</t>
  </si>
  <si>
    <t>New entity listed on Mexico</t>
  </si>
  <si>
    <t>By H1 2023</t>
  </si>
  <si>
    <t>YTD 7.4% of revenue, 3.4% of EBITDA</t>
  </si>
  <si>
    <t>Will not have debt</t>
  </si>
  <si>
    <t>Other EBITDA</t>
  </si>
  <si>
    <t>Annualised</t>
  </si>
  <si>
    <t>MEGA bid for Izzy (Nov-22)</t>
  </si>
  <si>
    <t xml:space="preserve">Group less "Other" less Izzy </t>
  </si>
  <si>
    <t>(mainly SKY)</t>
  </si>
  <si>
    <t>(assume no debt with Spin Co)</t>
  </si>
  <si>
    <t>Cash in from Sales (5x EBITDA)</t>
  </si>
  <si>
    <t>2023 debt</t>
  </si>
  <si>
    <t>2023e net debt</t>
  </si>
  <si>
    <t>Deal upside at 50%</t>
  </si>
  <si>
    <t>2023 dividend</t>
  </si>
  <si>
    <t>% of Eq</t>
  </si>
  <si>
    <t>Total OSI</t>
  </si>
  <si>
    <t>OSI (Cable)</t>
  </si>
  <si>
    <t>OSI (SKY)</t>
  </si>
  <si>
    <t>OSI (Other)</t>
  </si>
  <si>
    <t xml:space="preserve">FY 22 </t>
  </si>
  <si>
    <t>25m MAUs on AVOD across Mexico</t>
  </si>
  <si>
    <t>Qatar led to millions of users</t>
  </si>
  <si>
    <t>5m devices</t>
  </si>
  <si>
    <t>What sort of usage?</t>
  </si>
  <si>
    <t>US Upfront</t>
  </si>
  <si>
    <t>Double digit…best in  7 years</t>
  </si>
  <si>
    <t>Pricing in high single digit range</t>
  </si>
  <si>
    <t>Demand from existing linear advertisers plus new digital advertiser</t>
  </si>
  <si>
    <t>Mexico upfront</t>
  </si>
  <si>
    <t>Mid single digit</t>
  </si>
  <si>
    <t>Largest in history, tough comps with World Cup</t>
  </si>
  <si>
    <t>Ad growth for 3rd consecutive year</t>
  </si>
  <si>
    <t xml:space="preserve">Strong rebound </t>
  </si>
  <si>
    <t>TelevisaUnivsion</t>
  </si>
  <si>
    <t>Outlook for 2023 - Content spend</t>
  </si>
  <si>
    <t>Expect similar adds</t>
  </si>
  <si>
    <t>residential to expand</t>
  </si>
  <si>
    <t>issues in wholesale</t>
  </si>
  <si>
    <t>What definition of MAU…log on once?</t>
  </si>
  <si>
    <t>what sort of usage</t>
  </si>
  <si>
    <t>What % of homes passed are now FTTH</t>
  </si>
  <si>
    <t>Pricing by region…likelihood of price increases</t>
  </si>
  <si>
    <t>Residential slipping…how confident increase</t>
  </si>
  <si>
    <t>Intercompany</t>
  </si>
  <si>
    <t>Elevated B2B activity explains intercompany</t>
  </si>
  <si>
    <t>Seeing stability in prices</t>
  </si>
  <si>
    <t>"ARPU stable"</t>
  </si>
  <si>
    <t>Don't see prices stable</t>
  </si>
  <si>
    <t>All expansion is FTTH</t>
  </si>
  <si>
    <t>17% FTTH</t>
  </si>
  <si>
    <t>Close next year at &gt;20%</t>
  </si>
  <si>
    <t>10% DOCSIS 3.1</t>
  </si>
  <si>
    <t>Close to 1m homes</t>
  </si>
  <si>
    <t>Losing out to cable</t>
  </si>
  <si>
    <t>Bundle</t>
  </si>
  <si>
    <t>70% of postpaid passed by fibre or ultra BB</t>
  </si>
  <si>
    <t>MEGA deal</t>
  </si>
  <si>
    <t>Compelling offer</t>
  </si>
  <si>
    <t>MXN55 billion of synergies, MXN9 billion annually</t>
  </si>
  <si>
    <t>Rejected in its entirety</t>
  </si>
  <si>
    <t>Terms and conditions put forward from MEGA</t>
  </si>
  <si>
    <t>Turned a page</t>
  </si>
  <si>
    <t>not acceptable</t>
  </si>
  <si>
    <t>more than that - not good corporate governance practices</t>
  </si>
  <si>
    <t>TV proposal</t>
  </si>
  <si>
    <t>No more conversations with them</t>
  </si>
  <si>
    <t>2.5m homes passed in 2023</t>
  </si>
  <si>
    <t>50% of network GPON</t>
  </si>
  <si>
    <t>2023 will be 72% GPON</t>
  </si>
  <si>
    <t>40% capex/sales</t>
  </si>
  <si>
    <t>Cover north of Mexico City</t>
  </si>
  <si>
    <t>BUT a lot of coverage is overlapping 3 other players</t>
  </si>
  <si>
    <t>NI</t>
  </si>
  <si>
    <t>Diff.</t>
  </si>
  <si>
    <t>Netflix ~$300m of Spanish language spend</t>
  </si>
  <si>
    <t>2020 - $1.4 billion. If invested the same as Netflix, efficiencies lead to more content</t>
  </si>
  <si>
    <t>Sporting rights as well, exclusivity of SVOD</t>
  </si>
  <si>
    <t>Comparisons not reasonable</t>
  </si>
  <si>
    <t>Upfront (Q222 negotiated, closed end Q3) – low double digits, Ad VOD through platform up 100%</t>
  </si>
  <si>
    <t>SVOD ARPU - $6.99, certain promotions. Ps119 in Mexico. Trying to grow the business, promotion won’t be as aggressive</t>
  </si>
  <si>
    <t>AVOD per MAU – In the US $2-2.5 range, Mexico $0.5-1.0. Average of $1.0 MAU</t>
  </si>
  <si>
    <t>20 million subs in Mexico, 25-30m globally</t>
  </si>
  <si>
    <t>15% penetration of the Mexican population</t>
  </si>
  <si>
    <t>Pluto TV (Viacom) – 12m, 24m end 2019. 2020 at 44m, 2021, 64m MAUs, $1.1 billion annualised</t>
  </si>
  <si>
    <t>Operations in both US and LatAm, this is a blended ARPU number. $1.3</t>
  </si>
  <si>
    <t xml:space="preserve">(Pluto was a Viacom company also; CEO of VIX used to be an employee of Viacom)                                               </t>
  </si>
  <si>
    <t>TVUNI - mid single digit revs and EBITDA flat. Current macro environment, with non recurring of $150m from WC monetisation and US politics. Would be nearer to high.</t>
  </si>
  <si>
    <t>2022 – underlying high single digits</t>
  </si>
  <si>
    <t xml:space="preserve">2023 flat EBITDA. Everyone understands, seeing EBITDA contraction (US media peers). Had previously hoped EBITDA would be up in 2023, but recession as undone this </t>
  </si>
  <si>
    <t>Streaming profitable in &lt;2 years</t>
  </si>
  <si>
    <t>US upfronts low double digit</t>
  </si>
  <si>
    <t>Mexico upfronts high single digit</t>
  </si>
  <si>
    <t>End of 2023 streaming platform should turn profitable…December likely.</t>
  </si>
  <si>
    <t>Content costs – most of the content is amortised for AVOD (as older). For SVOD. UNI used to amortise 75% in Year 1, rest over 3 years. Would expect something similar in Mexico</t>
  </si>
  <si>
    <t>Telemundo – TVUNI holding their own vs Telemundo</t>
  </si>
  <si>
    <t>Azteca in Mexico – close to bankruptcy, not making bond payments. Traditional competition is very limited currently. Been losing share of audience, haven’t produced content for a long time.</t>
  </si>
  <si>
    <t>Also in the US peers not doing so well</t>
  </si>
  <si>
    <t xml:space="preserve">IPO of TVUNI not happening in 2023, need to show streaming success. Wade might say be end of 2023         </t>
  </si>
  <si>
    <t>Rodrigo catch up - Mar 2023</t>
  </si>
  <si>
    <t>Ex mobile</t>
  </si>
  <si>
    <t>3QE</t>
  </si>
  <si>
    <t>Neutral</t>
  </si>
  <si>
    <t>1Q 2023</t>
  </si>
  <si>
    <t>2Q 2023</t>
  </si>
  <si>
    <t>3Q 2023</t>
  </si>
  <si>
    <t>4Q 2023</t>
  </si>
  <si>
    <t>Jalisco project, pipeline needed</t>
  </si>
  <si>
    <t>One third of Enterprise revs in $, all cost in MXN</t>
  </si>
  <si>
    <t>Price increases from Jan-23 included in plan. Not carried out yet, urged team to do it as soon as possible</t>
  </si>
  <si>
    <t>only from April therefore</t>
  </si>
  <si>
    <t>need to let customers know in advance</t>
  </si>
  <si>
    <t>"Negotiations not good enough for private sector"</t>
  </si>
  <si>
    <t>Since 2022, hired advisors to streamline opex and capex. Will execute on proposals</t>
  </si>
  <si>
    <t>Had been push back from Izzy</t>
  </si>
  <si>
    <t>Opex and capex being run better at SKY</t>
  </si>
  <si>
    <t>Not helped to stabilise revenue</t>
  </si>
  <si>
    <t>Old Cable CEO problems</t>
  </si>
  <si>
    <t>Cluster by cluster</t>
  </si>
  <si>
    <t>Passing homes like crazy</t>
  </si>
  <si>
    <t>Fleets of cars</t>
  </si>
  <si>
    <t>Valim</t>
  </si>
  <si>
    <t>Oi for 16 months</t>
  </si>
  <si>
    <t>Nextel Brasil 18 months</t>
  </si>
  <si>
    <t>Raise salaries….most of Izzy are unionised. Inflation escalators kicking in on Content</t>
  </si>
  <si>
    <t>No restructuring benefit in 2023, will take through to 2024</t>
  </si>
  <si>
    <t>July</t>
  </si>
  <si>
    <t>Totalplay price increase of 10%</t>
  </si>
  <si>
    <t>No margin contraction</t>
  </si>
  <si>
    <t>600k adds for 2023</t>
  </si>
  <si>
    <t>More aggressive in new regions</t>
  </si>
  <si>
    <t>Leveraging up</t>
  </si>
  <si>
    <t>Spike into disconnects…Q4 21 accelerated through promotions, which have expired. Lasted 12 months</t>
  </si>
  <si>
    <t>From Q4 22 eliminated promotions</t>
  </si>
  <si>
    <t>Q2 raised prices..accelerated churn</t>
  </si>
  <si>
    <t>See some stabilisation going forward</t>
  </si>
  <si>
    <t>Valim - focused on managing churn, reducing churn</t>
  </si>
  <si>
    <t>MSO revs growth should be in-line with Q1</t>
  </si>
  <si>
    <t>other lines, advertising</t>
  </si>
  <si>
    <t>Margins will be down to 40% for MSO, contraction therefore</t>
  </si>
  <si>
    <t>Enterprise declines high single digit</t>
  </si>
  <si>
    <t>one third $...MXN appreciating</t>
  </si>
  <si>
    <t>intercompany revenue…total cable should accelerate a little</t>
  </si>
  <si>
    <t>profitability for enterprise v low, opex pressure (in MXN)</t>
  </si>
  <si>
    <t>Sequential decline in revenue. Had been expecting some stabilisation</t>
  </si>
  <si>
    <t>Better H2, Q2 pressure though</t>
  </si>
  <si>
    <t>MVNO launch but not offsetting decline in video revenue</t>
  </si>
  <si>
    <t>DTH pressures</t>
  </si>
  <si>
    <t>Ongoing video losses</t>
  </si>
  <si>
    <t>Pushing fixed wireless BB</t>
  </si>
  <si>
    <t>Launching pay TV video service</t>
  </si>
  <si>
    <t>SKY Mas</t>
  </si>
  <si>
    <t>Search engine</t>
  </si>
  <si>
    <t>Gradual substitute of DTH</t>
  </si>
  <si>
    <t>EBITDA flat in 2023….?</t>
  </si>
  <si>
    <t>Capex for $160m vs $190m in 2022</t>
  </si>
  <si>
    <t>Similar revs, EBITDA margin of 20-25%</t>
  </si>
  <si>
    <t>In US outperform market</t>
  </si>
  <si>
    <t>Q2/3/4 should be better</t>
  </si>
  <si>
    <t>&gt;$44 billion market, have a low share</t>
  </si>
  <si>
    <t>FTA peers lost 14% in the US, grew +2% on Ad</t>
  </si>
  <si>
    <t>Similar story in terms of share gains</t>
  </si>
  <si>
    <t>MXN strength should help</t>
  </si>
  <si>
    <t>Content cost in Mexico though hinders profitability</t>
  </si>
  <si>
    <t>Revs growth of mid-single….should be on track</t>
  </si>
  <si>
    <t>Consolidated</t>
  </si>
  <si>
    <t>US in general more sensitive</t>
  </si>
  <si>
    <t>Financials lower</t>
  </si>
  <si>
    <t>Upfronts - Q4 22 through to Q3, 50%. Double digit</t>
  </si>
  <si>
    <t>Haven't heard yet, will hear at Q2 call. Hasn't closed yet</t>
  </si>
  <si>
    <t>Commitments, not deposits</t>
  </si>
  <si>
    <t>Upfront - 85% of next year revenue</t>
  </si>
  <si>
    <t>Mid-single digit….closed in Jan-23…so for FY 23</t>
  </si>
  <si>
    <t>Holding up a little better</t>
  </si>
  <si>
    <t>EBITDA flat at start of year</t>
  </si>
  <si>
    <t>But, not such a strong peso…might be down a little</t>
  </si>
  <si>
    <t>Annualise Q1</t>
  </si>
  <si>
    <t>not shared split</t>
  </si>
  <si>
    <t>AVOD live for 1 year, SVOD for 6 months</t>
  </si>
  <si>
    <t>50/50</t>
  </si>
  <si>
    <t>Previously was connected devices</t>
  </si>
  <si>
    <t>Smartphone is 1, x2 or x3 for TV</t>
  </si>
  <si>
    <t>15-20% in Mexico</t>
  </si>
  <si>
    <t>By March, 30m MAUs in Mexico</t>
  </si>
  <si>
    <t>US - $2-2.5 per MAU</t>
  </si>
  <si>
    <t>Mexico - $0.5 per MAU</t>
  </si>
  <si>
    <t>Jan - Using revs for Dec, $500m annualised</t>
  </si>
  <si>
    <t>Also $500m</t>
  </si>
  <si>
    <t>Subscribers</t>
  </si>
  <si>
    <t>subs is higher than this</t>
  </si>
  <si>
    <t>CPM on AVOD is higher than FTA</t>
  </si>
  <si>
    <t>Upfront for AVOD x 2</t>
  </si>
  <si>
    <t>Client directs to AVOD or FTA</t>
  </si>
  <si>
    <t>Selling the deal</t>
  </si>
  <si>
    <t>EBITDA flat doesn’t help</t>
  </si>
  <si>
    <t>EBITDA breakeven for 2024 on streaming</t>
  </si>
  <si>
    <t>2024 IPO</t>
  </si>
  <si>
    <t>Rodrigo - July 23 chat</t>
  </si>
  <si>
    <t>24 EBITDA</t>
  </si>
  <si>
    <t>Local FCF</t>
  </si>
  <si>
    <t>Local WACC</t>
  </si>
  <si>
    <t>Local EV</t>
  </si>
  <si>
    <t>Prop net debt at TVUNI</t>
  </si>
  <si>
    <t>Q2 23</t>
  </si>
  <si>
    <t>Working capital</t>
  </si>
  <si>
    <t>Q4 24e</t>
  </si>
  <si>
    <t>USD / MXN</t>
  </si>
  <si>
    <t>Mexico in 12m prior FX</t>
  </si>
  <si>
    <t>Group in 12m prior FX</t>
  </si>
  <si>
    <t>Revenue (constant FX)</t>
  </si>
  <si>
    <t>Mexico (constant FX)</t>
  </si>
  <si>
    <t>Mexico (USD)</t>
  </si>
  <si>
    <t>Total US</t>
  </si>
  <si>
    <t>Total Mexico</t>
  </si>
  <si>
    <t>Total Group</t>
  </si>
  <si>
    <t>EBITDA (USD million)</t>
  </si>
  <si>
    <t>Rolling 12m</t>
  </si>
  <si>
    <t>Acquisitions / other invs (net)</t>
  </si>
  <si>
    <t>Other (incs Content prepay vs Amort)</t>
  </si>
  <si>
    <t>Ex-TVUNI</t>
  </si>
  <si>
    <t>Working Capital / other</t>
  </si>
  <si>
    <t>Q2 23 call</t>
  </si>
  <si>
    <t>Clean Net Interest (P&amp;L)</t>
  </si>
  <si>
    <t>Total dividend (to TV shareholders)</t>
  </si>
  <si>
    <t>Minority dividend</t>
  </si>
  <si>
    <t>as % net income</t>
  </si>
  <si>
    <t>Minority (Balance sheet)</t>
  </si>
  <si>
    <t>Other charges</t>
  </si>
  <si>
    <t>Share based compensation</t>
  </si>
  <si>
    <t xml:space="preserve"> of which Content/other</t>
  </si>
  <si>
    <t xml:space="preserve"> of which leasing paid to TV</t>
  </si>
  <si>
    <t>Series B pref equity payout (to TV)</t>
  </si>
  <si>
    <t>Plus TVUNI (pref equity + leasing)</t>
  </si>
  <si>
    <t>Associate dividends / leasing</t>
  </si>
  <si>
    <t>Less Minority dividend</t>
  </si>
  <si>
    <t>Will be higher than $820m</t>
  </si>
  <si>
    <t>Peso up 15%</t>
  </si>
  <si>
    <t>Budgeting 21</t>
  </si>
  <si>
    <t>USD620m - cable capex at 21/USD</t>
  </si>
  <si>
    <t>Had talked down into numbers</t>
  </si>
  <si>
    <t>Market concerned about TVUNI</t>
  </si>
  <si>
    <t>TVUNI issuing at 8%</t>
  </si>
  <si>
    <t>Cover 2024 maturities…paying some 2025 outstanding</t>
  </si>
  <si>
    <t>Weighted av cost of debt up only a touch</t>
  </si>
  <si>
    <t>$10m of stock</t>
  </si>
  <si>
    <t xml:space="preserve">$80m of buy back </t>
  </si>
  <si>
    <t xml:space="preserve">8 months could do another $80m </t>
  </si>
  <si>
    <t>Need to be careful about how increasing prices</t>
  </si>
  <si>
    <t>Will spread, divide into clusters (12)…some each month</t>
  </si>
  <si>
    <t>Could be as high as USD880m</t>
  </si>
  <si>
    <t>Laying off people in a meaningful way in Q3 in cable</t>
  </si>
  <si>
    <t>Some margin expansion from Q4 and into 2024</t>
  </si>
  <si>
    <t>Want to change sales channels, move digital. Will take some time</t>
  </si>
  <si>
    <t>Disconnects not good on cable</t>
  </si>
  <si>
    <t>July not a great month due to Summer…may continue to drag into Q3 and Q4</t>
  </si>
  <si>
    <t>Pricing was mishandled arguably..particularly low end of the POPs</t>
  </si>
  <si>
    <t>Added subs in Q4 21…then moved from promo to list price in Q4 21. Then another bunch saw promos expire and still OK. But then raised prices in April</t>
  </si>
  <si>
    <t>440,000 gross adds of internet. Similar to previous quarters</t>
  </si>
  <si>
    <t>HP savings</t>
  </si>
  <si>
    <t>Could be $50m or so</t>
  </si>
  <si>
    <t>2023 capex done..intend to be more efficient</t>
  </si>
  <si>
    <t>Post Q2 2023 call</t>
  </si>
  <si>
    <t>FTEs in Cable</t>
  </si>
  <si>
    <t>Considerably lower number of FTEs needed</t>
  </si>
  <si>
    <t>Good relationship with unions</t>
  </si>
  <si>
    <t>Severance - pay 3 months + 20 days/year. Will come below EBITDA</t>
  </si>
  <si>
    <t>in business for the long-run, buying back debt</t>
  </si>
  <si>
    <t>one third in Oct 23, 24, 25</t>
  </si>
  <si>
    <t>$100m recovery in 2023/4/5</t>
  </si>
  <si>
    <t>$150m recurring taxes</t>
  </si>
  <si>
    <t>Net taxes $50m</t>
  </si>
  <si>
    <t xml:space="preserve">TVUNI </t>
  </si>
  <si>
    <t>eq</t>
  </si>
  <si>
    <t>from 5.9x</t>
  </si>
  <si>
    <t>ADR vols have been low</t>
  </si>
  <si>
    <t>A seller through the CPOs, maybe a European; fiscal YE in Q3…?</t>
  </si>
  <si>
    <t>Higher for longer rates…no liquidity issues</t>
  </si>
  <si>
    <t>TVUNI refi of 2024 debt, some in 2025</t>
  </si>
  <si>
    <t>"TVUNI worth zero"</t>
  </si>
  <si>
    <t>Trends</t>
  </si>
  <si>
    <t>Challenging trends in H2</t>
  </si>
  <si>
    <t xml:space="preserve">Taking measures to streamline….reducing headcount </t>
  </si>
  <si>
    <t>severance expenses</t>
  </si>
  <si>
    <t>recoup some profitability from Q4 / 2024</t>
  </si>
  <si>
    <t>Valim - gradual improvements in margins over the coming quarters</t>
  </si>
  <si>
    <t>from 2025</t>
  </si>
  <si>
    <t>2024/5 renegotiate content contracts</t>
  </si>
  <si>
    <t>clean up subs base</t>
  </si>
  <si>
    <t>strong gross adds (2.5-3.0m) in recent times.. A portion are not very good, low end</t>
  </si>
  <si>
    <t>need to improve credit ratings</t>
  </si>
  <si>
    <t>Q2 negative adds not clean up related</t>
  </si>
  <si>
    <t>increased deliquency</t>
  </si>
  <si>
    <t>revenue impact should be relatively limited at MSO level</t>
  </si>
  <si>
    <t>inflation escalators have kicked in , salary increases in H2</t>
  </si>
  <si>
    <t>more EBITDA margin pressure, notably in Q3 (severance costs)</t>
  </si>
  <si>
    <t>report severance costs below EBITDA</t>
  </si>
  <si>
    <t>second half of September</t>
  </si>
  <si>
    <t>continue to be strong, similar to MEGA levels… 450,000 per Q</t>
  </si>
  <si>
    <t>promotion that ran for 12 months, confusion for subs, assumed it was the price</t>
  </si>
  <si>
    <t>3m promotions more sensible</t>
  </si>
  <si>
    <t>stricter credit controls also</t>
  </si>
  <si>
    <t>gross adds….despite this, seem to be holding up OK</t>
  </si>
  <si>
    <t>churn has increased due to pricing (legacy of this and 12m promotions)</t>
  </si>
  <si>
    <t>general competition in the market</t>
  </si>
  <si>
    <t>AMX continues to have aggressive plan… x2 play</t>
  </si>
  <si>
    <t>TPLAY not too aggressive</t>
  </si>
  <si>
    <t>MEGA somewhat aggressive</t>
  </si>
  <si>
    <t>H2 22 was much stronger in revenue</t>
  </si>
  <si>
    <t>Won't follow the path this year in H2</t>
  </si>
  <si>
    <t>Similar level of revs in H1 into H2</t>
  </si>
  <si>
    <t>Corporate / Enterprise (cable)</t>
  </si>
  <si>
    <t>New guy has joined to run Enterprise</t>
  </si>
  <si>
    <t>Alestra, Axtel - lots of experience</t>
  </si>
  <si>
    <t>EBITDA in H2 may also be under pressure. A little more opex in H2, profitability weaker than H1</t>
  </si>
  <si>
    <t>similar to 2022</t>
  </si>
  <si>
    <t>most of opex is in pesos, revs in $ (one third), two third $</t>
  </si>
  <si>
    <t>Similar trends at the top line</t>
  </si>
  <si>
    <t>Margin should be similar to Q1, rather than Q2. Should be a y/y improvement in EBITDA declines</t>
  </si>
  <si>
    <t>Rodrigo (IR)</t>
  </si>
  <si>
    <t>Assumed to be a secondary component</t>
  </si>
  <si>
    <t>JPM restricted end-Aug</t>
  </si>
  <si>
    <t>partner selling - not the case</t>
  </si>
  <si>
    <t>3 year lock up period…right of first refusal</t>
  </si>
  <si>
    <t>Primary offering to pay down debt</t>
  </si>
  <si>
    <t>help to pay down maturities in 2025</t>
  </si>
  <si>
    <t>take down 3-3.5x over next 2-3 years</t>
  </si>
  <si>
    <t>raise equity</t>
  </si>
  <si>
    <t>nobody selling</t>
  </si>
  <si>
    <t>private</t>
  </si>
  <si>
    <t>Jan 31 2022</t>
  </si>
  <si>
    <t>Less minorities:</t>
  </si>
  <si>
    <t>* Cable is weighted by 2015 EBITDA</t>
  </si>
  <si>
    <t>Q3 23</t>
  </si>
  <si>
    <t>NSR v</t>
  </si>
  <si>
    <t>Income from discontinued ops</t>
  </si>
  <si>
    <t>Not cash</t>
  </si>
  <si>
    <t>MAUs (m)</t>
  </si>
  <si>
    <t>2024e net debt</t>
  </si>
  <si>
    <t>2024 dividend</t>
  </si>
  <si>
    <t>less deconsolidated debt (into Cable NewCo)</t>
  </si>
  <si>
    <t>Stake in Cable New Co</t>
  </si>
  <si>
    <t>Q4 23 preview</t>
  </si>
  <si>
    <t>Value not volume</t>
  </si>
  <si>
    <t>Churn back to historical average, Q2/3 subs base clean up</t>
  </si>
  <si>
    <t>Zero homes connected….very low adds</t>
  </si>
  <si>
    <t>Gross adds taken lower..to 350-400k per quarter</t>
  </si>
  <si>
    <t>Churn ~ 2% per month * 6.3m</t>
  </si>
  <si>
    <t>Hurricane</t>
  </si>
  <si>
    <t>Acapulco - 1% of total homes</t>
  </si>
  <si>
    <t>1% of subs base, end October…Nov/Dec</t>
  </si>
  <si>
    <t>stopped charging for service</t>
  </si>
  <si>
    <t>Insurance recovery</t>
  </si>
  <si>
    <t>rebuilding infrastructure with FTTH</t>
  </si>
  <si>
    <t xml:space="preserve">For MSO - slight decline in revs, 0.5% y/y, would be +0% excluding </t>
  </si>
  <si>
    <t>200 bps improvement in margin in Q4 vs Q3…will be delivered…37.9% going to 40%</t>
  </si>
  <si>
    <t>Q4 23</t>
  </si>
  <si>
    <t>15-20% y/y decline in Wholesale…profitability low</t>
  </si>
  <si>
    <t>Back-end loaded opex</t>
  </si>
  <si>
    <t>Wholesale EBITDA similar to Q3</t>
  </si>
  <si>
    <t>Total cable - will be down, low single</t>
  </si>
  <si>
    <t>EBITDA margin to improve 200 bps…35.6% going to 37.5%</t>
  </si>
  <si>
    <t>disconnects of 213k</t>
  </si>
  <si>
    <t>Q4 pre-paid disconnects somewhat offset by SKY Mass</t>
  </si>
  <si>
    <t>180k losses</t>
  </si>
  <si>
    <t>Sequential decline has been slowing</t>
  </si>
  <si>
    <t>Q2 4.5%</t>
  </si>
  <si>
    <t>Q3 3.5%</t>
  </si>
  <si>
    <t>Q4 3.0%</t>
  </si>
  <si>
    <t>This should continue into Q1 2024…maybe stability by the end of 2024/25</t>
  </si>
  <si>
    <t xml:space="preserve">MXN12bn of opex </t>
  </si>
  <si>
    <t>EBITDA declining mid single digit y/y</t>
  </si>
  <si>
    <t>Of this, one third are fixed</t>
  </si>
  <si>
    <t>Two third are variable</t>
  </si>
  <si>
    <t>Mid single digit ok</t>
  </si>
  <si>
    <t>In-line</t>
  </si>
  <si>
    <t>MXN600m average over time</t>
  </si>
  <si>
    <t>Non recurring revs/EBITDA in Q4 22 - monetisation of World Cup</t>
  </si>
  <si>
    <t>$150m of revs, all in Q4 22</t>
  </si>
  <si>
    <t>$75m of EBITDA</t>
  </si>
  <si>
    <t>Mid-term elections also in US</t>
  </si>
  <si>
    <t>$50m in revs</t>
  </si>
  <si>
    <t>$25m in EBITDA or more</t>
  </si>
  <si>
    <t>$4.9 billion of revs</t>
  </si>
  <si>
    <t>FY declining mid-single</t>
  </si>
  <si>
    <t>adjusted, would be flat to up</t>
  </si>
  <si>
    <t>Solid Q4 underlying</t>
  </si>
  <si>
    <t>Higher than Q3…but not a lot more</t>
  </si>
  <si>
    <t>$700m business in revenue, 15% of consolidated revenue</t>
  </si>
  <si>
    <t>EBITDA neutral in Q3, positive in Q4</t>
  </si>
  <si>
    <t>Launched an ad-light version</t>
  </si>
  <si>
    <t>40m MAUs for AVOD</t>
  </si>
  <si>
    <t>25m end of 2022</t>
  </si>
  <si>
    <t>AVOD the higher component</t>
  </si>
  <si>
    <t>At the beginning SVOD two thirds … changing: probably the opposite</t>
  </si>
  <si>
    <t>Presidential elections</t>
  </si>
  <si>
    <t>Growing mid-single revs/EBITDA</t>
  </si>
  <si>
    <t>No real issue</t>
  </si>
  <si>
    <t>Near-shoreing</t>
  </si>
  <si>
    <t>Remittances at all time highs  - $60 billion</t>
  </si>
  <si>
    <t>Economy performing relatively well</t>
  </si>
  <si>
    <t>Waiting for rates cut</t>
  </si>
  <si>
    <t>Slow down in 2024…2023 was 3%</t>
  </si>
  <si>
    <t>Multiple to EBITDA</t>
  </si>
  <si>
    <t>per TV ADR</t>
  </si>
  <si>
    <t>Equity $</t>
  </si>
  <si>
    <t>Implied EV/OpFCF</t>
  </si>
  <si>
    <t>NSRe</t>
  </si>
  <si>
    <t>Ollamani</t>
  </si>
  <si>
    <t>9m 2023a</t>
  </si>
  <si>
    <t>FY 23e</t>
  </si>
  <si>
    <t>as % Group</t>
  </si>
  <si>
    <t>Operating profit</t>
  </si>
  <si>
    <t>nm</t>
  </si>
  <si>
    <t xml:space="preserve">OpFCF </t>
  </si>
  <si>
    <t>EFCF Q4e</t>
  </si>
  <si>
    <t>Cash/equivalents</t>
  </si>
  <si>
    <t>current lease</t>
  </si>
  <si>
    <t>LT lease</t>
  </si>
  <si>
    <t>Implied PE</t>
  </si>
  <si>
    <t>Spin Co (Ollamani)</t>
  </si>
  <si>
    <t>Totalplay Residential</t>
  </si>
  <si>
    <t>Ollamani spin off --&gt;</t>
  </si>
  <si>
    <t>Lease liabilities</t>
  </si>
  <si>
    <t>1Q 2024</t>
  </si>
  <si>
    <t>2Q 2024</t>
  </si>
  <si>
    <t>3Q 2024</t>
  </si>
  <si>
    <t>4Q 2024</t>
  </si>
  <si>
    <t>Q1 24</t>
  </si>
  <si>
    <t>EBITDA YoY</t>
  </si>
  <si>
    <t>Q1 24e</t>
  </si>
  <si>
    <t>$m</t>
  </si>
  <si>
    <t>Per share</t>
  </si>
  <si>
    <t>Opex + capex</t>
  </si>
  <si>
    <t>Tax @ 28%</t>
  </si>
  <si>
    <t>Post tax</t>
  </si>
  <si>
    <t>Sky opex</t>
  </si>
  <si>
    <t>Sky capex</t>
  </si>
  <si>
    <t>Intergration costs</t>
  </si>
  <si>
    <t>After-tax</t>
  </si>
  <si>
    <t>Total savings</t>
  </si>
  <si>
    <t>PV of term value</t>
  </si>
  <si>
    <t>NPV synergies</t>
  </si>
  <si>
    <t>in $</t>
  </si>
  <si>
    <t>Capex guide of 15% of SKY Capex discounted to 5%</t>
  </si>
  <si>
    <t>OpEx guide of MXN400m in Q3 / 15% of SKY OpEx discounted to 10% of Opex</t>
  </si>
  <si>
    <t>Synergies DCF</t>
  </si>
  <si>
    <t>Integration cost (severance)</t>
  </si>
  <si>
    <t>Synergies from cable/DTH deal</t>
  </si>
  <si>
    <t>Cash capex</t>
  </si>
  <si>
    <t>14%</t>
  </si>
  <si>
    <t>($145m initially)</t>
  </si>
  <si>
    <t>Low 20s longer term</t>
  </si>
  <si>
    <t>x 24 EBITDA</t>
  </si>
  <si>
    <t>Capex % sales</t>
  </si>
  <si>
    <t>Cable % sales</t>
  </si>
  <si>
    <t>IAS17</t>
  </si>
  <si>
    <t>New Televisa</t>
  </si>
  <si>
    <t>Cable Izzy</t>
  </si>
  <si>
    <t>Integration (severance)</t>
  </si>
  <si>
    <t>Izzy pre-synergies</t>
  </si>
  <si>
    <t>Other (inc gain / provisions)</t>
  </si>
  <si>
    <t>Izzy OSI (Operating Segment income)</t>
  </si>
  <si>
    <t>Group Capex</t>
  </si>
  <si>
    <t>New Izzy OSI</t>
  </si>
  <si>
    <t>New Izzy</t>
  </si>
  <si>
    <t>New Izzy pre-synergies</t>
  </si>
  <si>
    <t>24-28e CAGR</t>
  </si>
  <si>
    <t>EBITDA - ex-one offs</t>
  </si>
  <si>
    <t>Post synergies clean EBITDA</t>
  </si>
  <si>
    <t>24-27e CAGR</t>
  </si>
  <si>
    <t>TIM</t>
  </si>
  <si>
    <t>Vivo</t>
  </si>
  <si>
    <t>cash/year</t>
  </si>
  <si>
    <t>total amort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</si>
</sst>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4">
    <numFmt numFmtId="43" formatCode="_-* #,##0.00_-;\-* #,##0.00_-;_-* &quot;-&quot;??_-;_-@_-"/>
    <numFmt numFmtId="164" formatCode="0.0%"/>
    <numFmt numFmtId="165" formatCode="#,##0.0;\(#,##0.0\)"/>
    <numFmt numFmtId="166" formatCode="_-* #,##0_-;\-* #,##0_-;_-* &quot;-&quot;??_-;_-@_-"/>
    <numFmt numFmtId="167" formatCode="_-* #,##0.0_-;\-* #,##0.0_-;_-* &quot;-&quot;??_-;_-@_-"/>
    <numFmt numFmtId="168" formatCode="_-* #,##0_-;\-* #,##0_-;_-* &quot;-&quot;?_-;_-@_-"/>
    <numFmt numFmtId="169" formatCode="#,##0;\(#,##0\)"/>
    <numFmt numFmtId="170" formatCode="0.0"/>
    <numFmt numFmtId="171" formatCode="#,##0.0"/>
    <numFmt numFmtId="172" formatCode="#,##0.0_);\(#,##0.0\)"/>
    <numFmt numFmtId="173" formatCode="&quot;$&quot;_(#,##0.00_);&quot;$&quot;\(#,##0.00\)"/>
    <numFmt numFmtId="174" formatCode="#,##0.0_)\x;\(#,##0.0\)\x"/>
    <numFmt numFmtId="175" formatCode="#,##0.0_)_x;\(#,##0.0\)_x"/>
    <numFmt numFmtId="176" formatCode="0.0_)\%;\(0.0\)\%"/>
    <numFmt numFmtId="177" formatCode="#,##0.0_)_%;\(#,##0.0\)_%"/>
    <numFmt numFmtId="178" formatCode="0.000%"/>
    <numFmt numFmtId="179" formatCode="#,##0.00\ &quot;Kč&quot;;[Red]\-#,##0.00\ &quot;Kč&quot;"/>
    <numFmt numFmtId="180" formatCode="0_);\(0\)"/>
    <numFmt numFmtId="181" formatCode="0&quot;E&quot;;\(0\)&quot;E&quot;"/>
    <numFmt numFmtId="182" formatCode="_(* #,##0.00_);_(* \(#,##0.00\);_(* &quot;-&quot;??_);_(@_)"/>
    <numFmt numFmtId="183" formatCode="#,##0.000_);[Red]\(#,##0.000\)"/>
    <numFmt numFmtId="184" formatCode="#,##0.00_);[Red]\-#,##0.00_);0.00_);@_)"/>
    <numFmt numFmtId="185" formatCode="#,##0_);[Red]\-#,##0_);0_);@_)"/>
    <numFmt numFmtId="186" formatCode="0.00_);\(0.00\);0.00"/>
    <numFmt numFmtId="187" formatCode="_-\€* #,##0.00_-;\-\€* #,##0.00_-;_-\€* &quot;-&quot;??_-;_-@_-"/>
    <numFmt numFmtId="188" formatCode="* _(#,##0.00_);[Red]* \(#,##0.00\);* _(&quot;-&quot;?_);@_)"/>
    <numFmt numFmtId="189" formatCode="_-\€* #,##0_-;\-\€* #,##0_-;_-\€* &quot;-&quot;_-;_-@_-"/>
    <numFmt numFmtId="190" formatCode="0.0%_);\(0.0%\)_)"/>
    <numFmt numFmtId="191" formatCode="&quot;$&quot;#,##0.00_);[Red]\(&quot;$&quot;#,##0.00\)"/>
    <numFmt numFmtId="192" formatCode="\$\ * _(#,##0_);[Red]\$\ * \(#,##0\);\$\ * _(&quot;-&quot;?_);@_)"/>
    <numFmt numFmtId="193" formatCode="\$\ * _(#,##0.00_);[Red]\$\ * \(#,##0.00\);\$\ * _(&quot;-&quot;?_);@_)"/>
    <numFmt numFmtId="194" formatCode="[$EUR]\ * _(#,##0_);[Red][$EUR]\ * \(#,##0\);[$EUR]\ * _(&quot;-&quot;?_);@_)"/>
    <numFmt numFmtId="195" formatCode="[$EUR]\ * _(#,##0.00_);[Red][$EUR]\ * \(#,##0.00\);[$EUR]\ * _(&quot;-&quot;?_);@_)"/>
    <numFmt numFmtId="196" formatCode="\€\ * _(#,##0_);[Red]\€\ * \(#,##0\);\€\ * _(&quot;-&quot;?_);@_)"/>
    <numFmt numFmtId="197" formatCode="\€\ * _(#,##0.00_);[Red]\€\ * \(#,##0.00\);\€\ * _(&quot;-&quot;?_);@_)"/>
    <numFmt numFmtId="198" formatCode="[$GBP]\ * _(#,##0_);[Red][$GBP]\ * \(#,##0\);[$GBP]\ * _(&quot;-&quot;?_);@_)"/>
    <numFmt numFmtId="199" formatCode="[$GBP]\ * _(#,##0.00_);[Red][$GBP]\ * \(#,##0.00\);[$GBP]\ * _(&quot;-&quot;?_);@_)"/>
    <numFmt numFmtId="200" formatCode="\£\ * _(#,##0_);[Red]\£\ * \(#,##0\);\£\ * _(&quot;-&quot;?_);@_)"/>
    <numFmt numFmtId="201" formatCode="\£\ * _(#,##0.00_);[Red]\£\ * \(#,##0.00\);\£\ * _(&quot;-&quot;?_);@_)"/>
    <numFmt numFmtId="202" formatCode="[$USD]\ * _(#,##0_);[Red][$USD]\ * \(#,##0\);[$USD]\ * _(&quot;-&quot;?_);@_)"/>
    <numFmt numFmtId="203" formatCode="[$USD]\ * _(#,##0.00_);[Red][$USD]\ * \(#,##0.00\);[$USD]\ * _(&quot;-&quot;?_);@_)"/>
    <numFmt numFmtId="204" formatCode="&quot;$&quot;#,##0.00000000000000000000000000_);[Red]\(&quot;$&quot;#,##0.00000000000000000000000000\)"/>
    <numFmt numFmtId="205" formatCode="mmm\ yy_)"/>
    <numFmt numFmtId="206" formatCode="yyyy_)"/>
    <numFmt numFmtId="207" formatCode="#,##0.000;\(#,##0.000\)"/>
    <numFmt numFmtId="208" formatCode="#,##0.00;\(#,##0.00\)"/>
    <numFmt numFmtId="209" formatCode="yyyy"/>
    <numFmt numFmtId="210" formatCode="#,##0_);\(#,##0\);0_)"/>
    <numFmt numFmtId="211" formatCode="#,##0.0000_);[Red]\(#,##0.0000\);0.0000_)"/>
    <numFmt numFmtId="212" formatCode="&quot;$&quot;#,##0_);[Red]\(&quot;$&quot;#,##0\)"/>
    <numFmt numFmtId="213" formatCode="00000"/>
    <numFmt numFmtId="214" formatCode="&quot;$&quot;#,##0.00&quot;A&quot;;[Red]\(&quot;$&quot;#,##0.00\)&quot;A&quot;"/>
    <numFmt numFmtId="215" formatCode="&quot;$&quot;#,##0.00&quot;E&quot;;[Red]\(&quot;$&quot;#,##0.00\)&quot;E&quot;"/>
    <numFmt numFmtId="216" formatCode="_-[$€]* #,##0.00_-;\-[$€]* #,##0.00_-;_-[$€]* &quot;-&quot;??_-;_-@_-"/>
    <numFmt numFmtId="217" formatCode="#\ ##0.0"/>
    <numFmt numFmtId="218" formatCode="#,##0.0_);[Red]\(#,##0.0\)"/>
    <numFmt numFmtId="219" formatCode="0.0%_);[Red]\(0.0%\)"/>
    <numFmt numFmtId="220" formatCode="0.00%;\(0.00%\)"/>
    <numFmt numFmtId="221" formatCode="###0"/>
    <numFmt numFmtId="222" formatCode="General_)"/>
    <numFmt numFmtId="223" formatCode="0.00_);\(0.00\);0.00_)"/>
    <numFmt numFmtId="224" formatCode="#,##0\ ;\(#,##0\);\ \-\ "/>
    <numFmt numFmtId="225" formatCode="0.0%;0.0%;\-\ "/>
    <numFmt numFmtId="226" formatCode="0.0%_);\(0.0%\)"/>
    <numFmt numFmtId="227" formatCode="_-* #,##0_ _F_-;\-* #,##0_ _F_-;_-* &quot;-&quot;_ _F_-;_-@_-"/>
    <numFmt numFmtId="228" formatCode="#,##0.00_);[Red]\(#,##0.00\);0.00_)"/>
    <numFmt numFmtId="229" formatCode="_-* #,##0.00_ _F_-;\-* #,##0.00_ _F_-;_-* &quot;-&quot;??_ _F_-;_-@_-"/>
    <numFmt numFmtId="230" formatCode="_-* #,##0&quot; F&quot;_-;\-* #,##0&quot; F&quot;_-;_-* &quot;-&quot;&quot; F&quot;_-;_-@_-"/>
    <numFmt numFmtId="231" formatCode="#,##0.00_)&quot; F&quot;;[Red]\(#,##0.00\)&quot; F&quot;;0.00_)&quot; F&quot;"/>
    <numFmt numFmtId="232" formatCode="_-* #,##0.00&quot; F&quot;_-;\-* #,##0.00&quot; F&quot;_-;_-* &quot;-&quot;??&quot; F&quot;_-;_-@_-"/>
    <numFmt numFmtId="233" formatCode="_ * #,##0.00_ ;_ * \-#,##0.00_ ;_ * &quot;-&quot;??_ ;_ @_ "/>
    <numFmt numFmtId="234" formatCode="_-* #,##0.00\ _K_č_-;\-* #,##0.00\ _K_č_-;_-* &quot;-&quot;??\ _K_č_-;_-@_-"/>
    <numFmt numFmtId="235" formatCode="0.0000"/>
    <numFmt numFmtId="236" formatCode="#,##0_);\(#,##0\);;"/>
    <numFmt numFmtId="237" formatCode="#,##0.0000;\(#,##0.0000\)"/>
    <numFmt numFmtId="238" formatCode="#,##0%;[Red]\-#,##0%;0%;@_)"/>
    <numFmt numFmtId="239" formatCode="#,##0.00%;[Red]\-#,##0.00%;0.00%;@_)"/>
    <numFmt numFmtId="240" formatCode="0%;[Red]\-0%"/>
    <numFmt numFmtId="241" formatCode="0.00\%;\-0.00\%;0.00\%"/>
    <numFmt numFmtId="242" formatCode="0.00%_);\(0.00%\)"/>
    <numFmt numFmtId="243" formatCode="#.0"/>
    <numFmt numFmtId="244" formatCode="&quot;kr&quot;\ #,##0_);[Red]\(&quot;kr&quot;\ #,##0\)"/>
    <numFmt numFmtId="245" formatCode="0.00\x;\-0.00\x;0.00\x"/>
    <numFmt numFmtId="246" formatCode="##0.00000"/>
    <numFmt numFmtId="247" formatCode="0\.00%;[Red]\-0\.00%"/>
    <numFmt numFmtId="248" formatCode="0.0000%"/>
    <numFmt numFmtId="249" formatCode="#,##0.00_)\ \x;\(#,##0.00\)\ \x"/>
    <numFmt numFmtId="250" formatCode="&quot;kr&quot;\ #,##0.00_);[Red]\(&quot;kr&quot;\ #,##0.00\)"/>
    <numFmt numFmtId="251" formatCode="_(* #,##0_);_(* \(#,##0\);_(* &quot;-&quot;_);_(@_)"/>
    <numFmt numFmtId="252" formatCode="#,##0.0\ ;\(#,##0.0\)"/>
    <numFmt numFmtId="253" formatCode="_(&quot;$&quot;* #,##0_);_(&quot;$&quot;* \(#,##0\);_(&quot;$&quot;* &quot;-&quot;_);_(@_)"/>
    <numFmt numFmtId="254" formatCode="#,##0.00\ ;\(#,##0.00\)"/>
    <numFmt numFmtId="255" formatCode="_-* #,##0.000_-;\-* #,##0.000_-;_-* &quot;-&quot;??_-;_-@_-"/>
    <numFmt numFmtId="256" formatCode="_-* #,##0.0_-;\-* #,##0.0_-;_-* &quot;-&quot;?_-;_-@_-"/>
    <numFmt numFmtId="257" formatCode="0.0\x"/>
    <numFmt numFmtId="258" formatCode="0.00\x"/>
    <numFmt numFmtId="259" formatCode="#,##0_);\(#,##0\);#,##0_);@_)"/>
    <numFmt numFmtId="260" formatCode="_(* #,##0_);_(* \(#,##0\);_(* &quot;-&quot;??_);_(@_)"/>
    <numFmt numFmtId="261" formatCode="&quot;$&quot;#,##0.0_);[Red]\(&quot;$&quot;#,##0.0\)"/>
    <numFmt numFmtId="262" formatCode="#,##0;\(#,##0\);\-"/>
    <numFmt numFmtId="263" formatCode="#,##0.0;\(#,##0.0\);\-"/>
    <numFmt numFmtId="264" formatCode="#,##0.0_ ;[Red]\-#,##0.0\ "/>
    <numFmt numFmtId="265" formatCode="#,##0_ ;[Red]\-#,##0\ "/>
    <numFmt numFmtId="266" formatCode="#,##0_ ;\-#,##0\ "/>
  </numFmts>
  <fonts count="221">
    <font>
      <sz val="11"/>
      <color theme="1"/>
      <name val="Calibri"/>
      <family val="2"/>
      <scheme val="minor"/>
    </font>
    <font>
      <i/>
      <sz val="11"/>
      <color theme="1"/>
      <name val="Calibri"/>
      <family val="2"/>
      <scheme val="minor"/>
    </font>
    <font>
      <b/>
      <sz val="11"/>
      <color theme="1"/>
      <name val="Calibri"/>
      <family val="2"/>
      <scheme val="minor"/>
    </font>
    <font>
      <u/>
      <sz val="11"/>
      <color theme="1"/>
      <name val="Calibri"/>
      <family val="2"/>
      <scheme val="minor"/>
    </font>
    <font>
      <u/>
      <sz val="11"/>
      <color theme="10"/>
      <name val="Calibri"/>
      <family val="2"/>
      <scheme val="minor"/>
    </font>
    <font>
      <sz val="10"/>
      <name val="Arial"/>
      <family val="2"/>
    </font>
    <font>
      <b/>
      <sz val="10"/>
      <name val="Arial"/>
      <family val="2"/>
    </font>
    <font>
      <sz val="12"/>
      <name val="Arial"/>
      <family val="2"/>
    </font>
    <font>
      <b/>
      <sz val="9"/>
      <name val="Arial"/>
      <family val="2"/>
    </font>
    <font>
      <b/>
      <sz val="9"/>
      <color indexed="9"/>
      <name val="Arial"/>
      <family val="2"/>
    </font>
    <font>
      <sz val="9"/>
      <color indexed="63"/>
      <name val="Arial"/>
      <family val="2"/>
    </font>
    <font>
      <sz val="9"/>
      <color indexed="8"/>
      <name val="Arial"/>
      <family val="2"/>
    </font>
    <font>
      <b/>
      <sz val="9"/>
      <color indexed="63"/>
      <name val="Arial"/>
      <family val="2"/>
    </font>
    <font>
      <b/>
      <sz val="9"/>
      <color indexed="8"/>
      <name val="Arial"/>
      <family val="2"/>
    </font>
    <font>
      <sz val="9"/>
      <color indexed="10"/>
      <name val="Arial"/>
      <family val="2"/>
    </font>
    <font>
      <sz val="8"/>
      <name val="Arial"/>
      <family val="2"/>
    </font>
    <font>
      <sz val="9"/>
      <name val="Arial"/>
      <family val="2"/>
    </font>
    <font>
      <sz val="11"/>
      <color theme="1"/>
      <name val="Calibri"/>
      <family val="2"/>
      <scheme val="minor"/>
    </font>
    <font>
      <sz val="10"/>
      <name val="Arial"/>
      <family val="2"/>
    </font>
    <font>
      <b/>
      <sz val="10"/>
      <name val="Trebuchet MS"/>
      <family val="2"/>
    </font>
    <font>
      <sz val="10"/>
      <name val="Trebuchet MS"/>
      <family val="2"/>
    </font>
    <font>
      <b/>
      <sz val="9"/>
      <color indexed="81"/>
      <name val="Tahoma"/>
      <family val="2"/>
    </font>
    <font>
      <sz val="9"/>
      <color indexed="81"/>
      <name val="Tahoma"/>
      <family val="2"/>
    </font>
    <font>
      <sz val="10"/>
      <color indexed="63"/>
      <name val="Trebuchet MS"/>
      <family val="2"/>
    </font>
    <font>
      <b/>
      <sz val="10"/>
      <color indexed="63"/>
      <name val="Trebuchet MS"/>
      <family val="2"/>
    </font>
    <font>
      <b/>
      <sz val="10"/>
      <name val="MS Sans Serif"/>
      <family val="2"/>
    </font>
    <font>
      <sz val="10"/>
      <color indexed="8"/>
      <name val="MS Sans Serif"/>
      <family val="2"/>
    </font>
    <font>
      <sz val="12"/>
      <name val="·s²Ó©úÅé"/>
      <charset val="136"/>
    </font>
    <font>
      <sz val="8"/>
      <color indexed="8"/>
      <name val="MS Sans Serif"/>
      <family val="2"/>
    </font>
    <font>
      <sz val="10"/>
      <name val="Times New Roman"/>
      <family val="1"/>
    </font>
    <font>
      <b/>
      <sz val="12"/>
      <name val="Helv"/>
    </font>
    <font>
      <sz val="10"/>
      <color indexed="10"/>
      <name val="Times New Roman"/>
      <family val="1"/>
    </font>
    <font>
      <b/>
      <sz val="11"/>
      <color indexed="10"/>
      <name val="Times New Roman"/>
      <family val="1"/>
    </font>
    <font>
      <sz val="8"/>
      <name val="Times New Roman"/>
      <family val="1"/>
    </font>
    <font>
      <b/>
      <i/>
      <sz val="11"/>
      <color indexed="9"/>
      <name val="Times New Roman"/>
      <family val="1"/>
    </font>
    <font>
      <u val="singleAccounting"/>
      <sz val="10"/>
      <name val="Arial"/>
      <family val="2"/>
    </font>
    <font>
      <sz val="12"/>
      <color indexed="10"/>
      <name val="Times New Roman"/>
      <family val="1"/>
    </font>
    <font>
      <i/>
      <sz val="9"/>
      <color indexed="55"/>
      <name val="Arial"/>
      <family val="2"/>
    </font>
    <font>
      <sz val="10"/>
      <name val="MS Sans Serif"/>
      <family val="2"/>
    </font>
    <font>
      <b/>
      <sz val="10"/>
      <name val="Times New Roman"/>
      <family val="1"/>
    </font>
    <font>
      <sz val="8"/>
      <name val="Helvetica"/>
      <family val="2"/>
    </font>
    <font>
      <sz val="10"/>
      <name val="Frutiger 45 Light"/>
      <family val="2"/>
    </font>
    <font>
      <sz val="10"/>
      <name val="Geneva"/>
    </font>
    <font>
      <sz val="10"/>
      <color indexed="22"/>
      <name val="Arial"/>
      <family val="2"/>
    </font>
    <font>
      <sz val="24"/>
      <name val="MS Sans Serif"/>
      <family val="2"/>
    </font>
    <font>
      <sz val="12"/>
      <name val="Times New Roman"/>
      <family val="1"/>
    </font>
    <font>
      <b/>
      <sz val="8"/>
      <name val="Arial"/>
      <family val="2"/>
    </font>
    <font>
      <b/>
      <sz val="8"/>
      <name val="Times New Roman"/>
      <family val="1"/>
    </font>
    <font>
      <sz val="12"/>
      <color indexed="14"/>
      <name val="Times New Roman"/>
      <family val="1"/>
    </font>
    <font>
      <sz val="10"/>
      <name val="Arial Narrow"/>
      <family val="2"/>
    </font>
    <font>
      <u val="doubleAccounting"/>
      <sz val="10"/>
      <name val="Arial"/>
      <family val="2"/>
    </font>
    <font>
      <b/>
      <i/>
      <sz val="8"/>
      <color indexed="12"/>
      <name val="HelveticaNeue Condensed"/>
    </font>
    <font>
      <b/>
      <sz val="7"/>
      <color indexed="12"/>
      <name val="Arial"/>
      <family val="2"/>
    </font>
    <font>
      <u/>
      <sz val="10"/>
      <color indexed="36"/>
      <name val="Arial"/>
      <family val="2"/>
    </font>
    <font>
      <i/>
      <sz val="8"/>
      <color indexed="17"/>
      <name val="Times New Roman"/>
      <family val="1"/>
    </font>
    <font>
      <sz val="8"/>
      <color indexed="21"/>
      <name val="Arial"/>
      <family val="2"/>
    </font>
    <font>
      <b/>
      <sz val="22"/>
      <name val="Arial"/>
      <family val="2"/>
    </font>
    <font>
      <b/>
      <sz val="18"/>
      <name val="Arial"/>
      <family val="2"/>
    </font>
    <font>
      <b/>
      <sz val="14"/>
      <name val="Arial"/>
      <family val="2"/>
    </font>
    <font>
      <b/>
      <sz val="12"/>
      <name val="Arial"/>
      <family val="2"/>
    </font>
    <font>
      <sz val="8"/>
      <color indexed="12"/>
      <name val="Times New Roman"/>
      <family val="1"/>
    </font>
    <font>
      <sz val="10"/>
      <color indexed="12"/>
      <name val="Times New Roman"/>
      <family val="1"/>
    </font>
    <font>
      <b/>
      <sz val="12"/>
      <color indexed="10"/>
      <name val="Arial"/>
      <family val="2"/>
    </font>
    <font>
      <b/>
      <sz val="10"/>
      <color indexed="18"/>
      <name val="Times New Roman"/>
      <family val="1"/>
    </font>
    <font>
      <sz val="8"/>
      <color indexed="8"/>
      <name val="Helvetica"/>
      <family val="2"/>
    </font>
    <font>
      <u/>
      <sz val="6"/>
      <color indexed="12"/>
      <name val="Arial"/>
      <family val="2"/>
    </font>
    <font>
      <u/>
      <sz val="10"/>
      <color indexed="12"/>
      <name val="Arial"/>
      <family val="2"/>
    </font>
    <font>
      <sz val="8"/>
      <color indexed="39"/>
      <name val="Arial"/>
      <family val="2"/>
    </font>
    <font>
      <sz val="8"/>
      <color indexed="10"/>
      <name val="Helv"/>
    </font>
    <font>
      <b/>
      <sz val="10"/>
      <name val="Helv"/>
    </font>
    <font>
      <sz val="10"/>
      <color indexed="16"/>
      <name val="MS Sans Serif"/>
      <family val="2"/>
    </font>
    <font>
      <b/>
      <sz val="12"/>
      <color indexed="17"/>
      <name val="Wingdings"/>
      <charset val="2"/>
    </font>
    <font>
      <b/>
      <sz val="18"/>
      <name val="Times New Roman"/>
      <family val="1"/>
    </font>
    <font>
      <sz val="8"/>
      <color indexed="10"/>
      <name val="Times New Roman"/>
      <family val="1"/>
    </font>
    <font>
      <b/>
      <sz val="8"/>
      <color indexed="14"/>
      <name val="MS Sans Serif"/>
      <family val="2"/>
    </font>
    <font>
      <sz val="8"/>
      <color indexed="18"/>
      <name val="Times New Roman"/>
      <family val="1"/>
    </font>
    <font>
      <i/>
      <sz val="9"/>
      <color indexed="16"/>
      <name val="Arial"/>
      <family val="2"/>
    </font>
    <font>
      <sz val="7"/>
      <name val="Small Fonts"/>
      <family val="2"/>
    </font>
    <font>
      <b/>
      <u/>
      <sz val="12"/>
      <name val="L Serifa Light"/>
    </font>
    <font>
      <sz val="7"/>
      <color indexed="12"/>
      <name val="Arial"/>
      <family val="2"/>
    </font>
    <font>
      <i/>
      <sz val="10"/>
      <name val="Helv"/>
    </font>
    <font>
      <i/>
      <sz val="12"/>
      <color indexed="10"/>
      <name val="Times New Roman"/>
      <family val="1"/>
    </font>
    <font>
      <sz val="8"/>
      <color indexed="8"/>
      <name val="Arial"/>
      <family val="2"/>
    </font>
    <font>
      <i/>
      <sz val="10"/>
      <name val="Helvetica"/>
    </font>
    <font>
      <sz val="10"/>
      <name val="Helv"/>
    </font>
    <font>
      <b/>
      <sz val="8"/>
      <color indexed="18"/>
      <name val="Times New Roman"/>
      <family val="1"/>
    </font>
    <font>
      <sz val="8"/>
      <name val="Univers"/>
      <family val="2"/>
    </font>
    <font>
      <sz val="8"/>
      <color indexed="10"/>
      <name val="Arial"/>
      <family val="2"/>
    </font>
    <font>
      <sz val="10"/>
      <name val="GillSans Light"/>
    </font>
    <font>
      <sz val="8"/>
      <name val="COUR"/>
    </font>
    <font>
      <sz val="12"/>
      <color indexed="12"/>
      <name val="Times New Roman"/>
      <family val="1"/>
    </font>
    <font>
      <sz val="10"/>
      <color indexed="23"/>
      <name val="MS Sans Serif"/>
      <family val="2"/>
    </font>
    <font>
      <b/>
      <sz val="14"/>
      <name val="Times New Roman"/>
      <family val="1"/>
    </font>
    <font>
      <b/>
      <sz val="12"/>
      <name val="MS Sans Serif"/>
      <family val="2"/>
    </font>
    <font>
      <b/>
      <sz val="10"/>
      <name val="GillSans"/>
    </font>
    <font>
      <b/>
      <sz val="7"/>
      <name val="Arial"/>
      <family val="2"/>
    </font>
    <font>
      <b/>
      <sz val="16"/>
      <name val="Times New Roman"/>
      <family val="1"/>
    </font>
    <font>
      <b/>
      <sz val="10"/>
      <color indexed="16"/>
      <name val="Times New Roman"/>
      <family val="1"/>
    </font>
    <font>
      <sz val="8"/>
      <name val="MS Sans Serif"/>
      <family val="2"/>
    </font>
    <font>
      <i/>
      <sz val="9"/>
      <name val="Times New Roman"/>
      <family val="1"/>
    </font>
    <font>
      <b/>
      <i/>
      <sz val="10"/>
      <name val="Arial"/>
      <family val="2"/>
    </font>
    <font>
      <sz val="8"/>
      <color indexed="9"/>
      <name val="Arial"/>
      <family val="2"/>
    </font>
    <font>
      <sz val="14"/>
      <name val="뼻뮝"/>
      <family val="3"/>
      <charset val="129"/>
    </font>
    <font>
      <sz val="12"/>
      <name val="뼻뮝"/>
      <family val="1"/>
      <charset val="129"/>
    </font>
    <font>
      <sz val="11"/>
      <name val="돋움"/>
      <family val="3"/>
      <charset val="129"/>
    </font>
    <font>
      <sz val="11"/>
      <name val="돋움체"/>
      <family val="3"/>
      <charset val="129"/>
    </font>
    <font>
      <sz val="10"/>
      <color theme="1"/>
      <name val="Trebuchet MS"/>
      <family val="2"/>
    </font>
    <font>
      <u/>
      <sz val="10"/>
      <color theme="1"/>
      <name val="Trebuchet MS"/>
      <family val="2"/>
    </font>
    <font>
      <b/>
      <sz val="10"/>
      <color theme="1"/>
      <name val="Trebuchet MS"/>
      <family val="2"/>
    </font>
    <font>
      <sz val="10"/>
      <color theme="1"/>
      <name val="Calibri"/>
      <family val="2"/>
      <scheme val="minor"/>
    </font>
    <font>
      <sz val="11"/>
      <color theme="1"/>
      <name val="Trebuchet MS"/>
      <family val="2"/>
    </font>
    <font>
      <b/>
      <u/>
      <sz val="11"/>
      <color theme="1"/>
      <name val="Calibri"/>
      <family val="2"/>
      <scheme val="minor"/>
    </font>
    <font>
      <sz val="10"/>
      <color theme="3" tint="0.39997558519241921"/>
      <name val="Trebuchet MS"/>
      <family val="2"/>
    </font>
    <font>
      <b/>
      <sz val="9"/>
      <name val="Trebuchet MS"/>
      <family val="2"/>
    </font>
    <font>
      <sz val="9"/>
      <color theme="1"/>
      <name val="Trebuchet MS"/>
      <family val="2"/>
    </font>
    <font>
      <sz val="9"/>
      <name val="Trebuchet MS"/>
      <family val="2"/>
    </font>
    <font>
      <sz val="9"/>
      <color rgb="FFFF0000"/>
      <name val="Trebuchet MS"/>
      <family val="2"/>
    </font>
    <font>
      <sz val="9"/>
      <color rgb="FF555555"/>
      <name val="Arial"/>
      <family val="2"/>
    </font>
    <font>
      <sz val="10"/>
      <color theme="3" tint="0.59999389629810485"/>
      <name val="Trebuchet MS"/>
      <family val="2"/>
    </font>
    <font>
      <b/>
      <i/>
      <sz val="10"/>
      <name val="Trebuchet MS"/>
      <family val="2"/>
    </font>
    <font>
      <b/>
      <i/>
      <sz val="11"/>
      <color theme="1"/>
      <name val="Calibri"/>
      <family val="2"/>
      <scheme val="minor"/>
    </font>
    <font>
      <b/>
      <sz val="8"/>
      <color theme="1"/>
      <name val="Calibri"/>
      <family val="2"/>
      <scheme val="minor"/>
    </font>
    <font>
      <sz val="8"/>
      <color theme="1"/>
      <name val="Calibri"/>
      <family val="2"/>
      <scheme val="minor"/>
    </font>
    <font>
      <i/>
      <sz val="8"/>
      <color theme="1"/>
      <name val="Calibri"/>
      <family val="2"/>
      <scheme val="minor"/>
    </font>
    <font>
      <sz val="9"/>
      <color theme="1"/>
      <name val="Calibri"/>
      <family val="2"/>
      <scheme val="minor"/>
    </font>
    <font>
      <i/>
      <sz val="10"/>
      <color theme="1"/>
      <name val="Trebuchet MS"/>
      <family val="2"/>
    </font>
    <font>
      <b/>
      <sz val="10"/>
      <color theme="0"/>
      <name val="Trebuchet MS"/>
      <family val="2"/>
    </font>
    <font>
      <sz val="10"/>
      <color theme="0"/>
      <name val="Trebuchet MS"/>
      <family val="2"/>
    </font>
    <font>
      <b/>
      <sz val="11"/>
      <color theme="0"/>
      <name val="Calibri"/>
      <family val="2"/>
      <scheme val="minor"/>
    </font>
    <font>
      <b/>
      <u/>
      <sz val="11"/>
      <color theme="0"/>
      <name val="Calibri"/>
      <family val="2"/>
      <scheme val="minor"/>
    </font>
    <font>
      <sz val="11"/>
      <color theme="1"/>
      <name val="Times New Roman"/>
      <family val="1"/>
    </font>
    <font>
      <b/>
      <sz val="8"/>
      <color theme="1"/>
      <name val="Times New Roman"/>
      <family val="1"/>
    </font>
    <font>
      <b/>
      <sz val="1"/>
      <color theme="1"/>
      <name val="Times New Roman"/>
      <family val="1"/>
    </font>
    <font>
      <sz val="10"/>
      <color theme="1"/>
      <name val="Times New Roman"/>
      <family val="1"/>
    </font>
    <font>
      <sz val="1"/>
      <color theme="1"/>
      <name val="Times New Roman"/>
      <family val="1"/>
    </font>
    <font>
      <b/>
      <sz val="10"/>
      <color theme="1"/>
      <name val="Times New Roman"/>
      <family val="1"/>
    </font>
    <font>
      <b/>
      <sz val="11"/>
      <color theme="1"/>
      <name val="Trebuchet MS"/>
      <family val="2"/>
    </font>
    <font>
      <b/>
      <sz val="11"/>
      <color rgb="FFFFFFFF"/>
      <name val="Calibri"/>
      <family val="2"/>
    </font>
    <font>
      <sz val="11"/>
      <color rgb="FF000000"/>
      <name val="Calibri"/>
      <family val="2"/>
    </font>
    <font>
      <b/>
      <sz val="10"/>
      <color indexed="81"/>
      <name val="Tahoma"/>
      <family val="2"/>
    </font>
    <font>
      <sz val="10"/>
      <color indexed="81"/>
      <name val="Tahoma"/>
      <family val="2"/>
    </font>
    <font>
      <sz val="8"/>
      <color indexed="81"/>
      <name val="Tahoma"/>
      <family val="2"/>
    </font>
    <font>
      <b/>
      <sz val="8"/>
      <color indexed="81"/>
      <name val="Tahoma"/>
      <family val="2"/>
    </font>
    <font>
      <sz val="10"/>
      <color rgb="FF000000"/>
      <name val="Times New Roman"/>
      <family val="1"/>
    </font>
    <font>
      <sz val="11"/>
      <color theme="3" tint="0.39997558519241921"/>
      <name val="Calibri"/>
      <family val="2"/>
      <scheme val="minor"/>
    </font>
    <font>
      <b/>
      <u/>
      <sz val="10"/>
      <color theme="1"/>
      <name val="Trebuchet MS"/>
      <family val="2"/>
    </font>
    <font>
      <sz val="10"/>
      <color theme="4"/>
      <name val="Trebuchet MS"/>
      <family val="2"/>
    </font>
    <font>
      <sz val="11"/>
      <name val="Calibri"/>
      <family val="2"/>
      <scheme val="minor"/>
    </font>
    <font>
      <sz val="9"/>
      <color theme="1"/>
      <name val="Calibri"/>
      <family val="2"/>
    </font>
    <font>
      <sz val="10"/>
      <color indexed="8"/>
      <name val="Calibri"/>
      <family val="2"/>
    </font>
    <font>
      <sz val="8"/>
      <name val="Calibri"/>
      <family val="2"/>
    </font>
    <font>
      <sz val="18"/>
      <name val="Calibri"/>
      <family val="2"/>
    </font>
    <font>
      <sz val="9"/>
      <name val="Calibri"/>
      <family val="2"/>
    </font>
    <font>
      <sz val="10"/>
      <name val="Calibri"/>
      <family val="2"/>
    </font>
    <font>
      <b/>
      <sz val="10"/>
      <name val="Calibri"/>
      <family val="2"/>
    </font>
    <font>
      <i/>
      <sz val="10"/>
      <name val="Calibri"/>
      <family val="2"/>
    </font>
    <font>
      <b/>
      <i/>
      <sz val="9"/>
      <name val="Calibri"/>
      <family val="2"/>
    </font>
    <font>
      <sz val="8"/>
      <name val="Calibri"/>
      <family val="2"/>
      <scheme val="minor"/>
    </font>
    <font>
      <b/>
      <sz val="10"/>
      <name val="Roboto"/>
    </font>
    <font>
      <sz val="10"/>
      <name val="Roboto"/>
    </font>
    <font>
      <sz val="11"/>
      <color theme="1"/>
      <name val="Roboto"/>
    </font>
    <font>
      <b/>
      <sz val="10"/>
      <color indexed="63"/>
      <name val="Roboto"/>
    </font>
    <font>
      <sz val="10"/>
      <color indexed="63"/>
      <name val="Roboto"/>
    </font>
    <font>
      <sz val="9"/>
      <color theme="1"/>
      <name val="Arial"/>
      <family val="2"/>
    </font>
    <font>
      <b/>
      <sz val="9"/>
      <color theme="1"/>
      <name val="Arial"/>
      <family val="2"/>
    </font>
    <font>
      <sz val="12"/>
      <color theme="1"/>
      <name val="Roboto"/>
    </font>
    <font>
      <sz val="10"/>
      <color theme="1"/>
      <name val="Roboto"/>
    </font>
    <font>
      <b/>
      <sz val="10"/>
      <color theme="1"/>
      <name val="Roboto"/>
    </font>
    <font>
      <sz val="10"/>
      <color rgb="FF0000FF"/>
      <name val="Roboto"/>
    </font>
    <font>
      <sz val="12"/>
      <name val="Roboto"/>
    </font>
    <font>
      <b/>
      <sz val="12"/>
      <name val="Roboto"/>
    </font>
    <font>
      <b/>
      <u/>
      <sz val="11"/>
      <color theme="1"/>
      <name val="Roboto"/>
    </font>
    <font>
      <u/>
      <sz val="11"/>
      <color theme="1"/>
      <name val="Roboto"/>
    </font>
    <font>
      <sz val="11"/>
      <name val="Roboto"/>
    </font>
    <font>
      <b/>
      <sz val="11"/>
      <color theme="1"/>
      <name val="Roboto"/>
    </font>
    <font>
      <b/>
      <u/>
      <sz val="11"/>
      <name val="Roboto"/>
    </font>
    <font>
      <i/>
      <sz val="11"/>
      <color theme="1"/>
      <name val="Roboto"/>
    </font>
    <font>
      <sz val="11"/>
      <color theme="3" tint="0.39997558519241921"/>
      <name val="Roboto"/>
    </font>
    <font>
      <b/>
      <sz val="11"/>
      <name val="Roboto"/>
    </font>
    <font>
      <i/>
      <sz val="11"/>
      <name val="Roboto"/>
    </font>
    <font>
      <i/>
      <sz val="11"/>
      <color theme="3" tint="0.39997558519241921"/>
      <name val="Roboto"/>
    </font>
    <font>
      <sz val="11"/>
      <color rgb="FFFF0000"/>
      <name val="Roboto"/>
    </font>
    <font>
      <b/>
      <sz val="11"/>
      <color theme="3" tint="0.39997558519241921"/>
      <name val="Roboto"/>
    </font>
    <font>
      <sz val="10"/>
      <color rgb="FFFF0000"/>
      <name val="Roboto"/>
    </font>
    <font>
      <b/>
      <sz val="10"/>
      <color rgb="FFFF0000"/>
      <name val="Roboto"/>
    </font>
    <font>
      <b/>
      <sz val="11"/>
      <color rgb="FFFF0000"/>
      <name val="Roboto"/>
    </font>
    <font>
      <sz val="12"/>
      <color theme="1"/>
      <name val="Arial"/>
      <family val="2"/>
    </font>
    <font>
      <b/>
      <sz val="12"/>
      <color indexed="12"/>
      <name val="Arial"/>
      <family val="2"/>
    </font>
    <font>
      <b/>
      <sz val="12"/>
      <color theme="1"/>
      <name val="Arial"/>
      <family val="2"/>
    </font>
    <font>
      <sz val="12"/>
      <color indexed="12"/>
      <name val="Arial"/>
      <family val="2"/>
    </font>
    <font>
      <b/>
      <i/>
      <sz val="12"/>
      <color theme="8" tint="-0.499984740745262"/>
      <name val="Arial"/>
      <family val="2"/>
    </font>
    <font>
      <i/>
      <sz val="12"/>
      <color theme="8" tint="-0.499984740745262"/>
      <name val="Arial"/>
      <family val="2"/>
    </font>
    <font>
      <i/>
      <sz val="12"/>
      <color indexed="12"/>
      <name val="Arial"/>
      <family val="2"/>
    </font>
    <font>
      <b/>
      <i/>
      <sz val="12"/>
      <color indexed="12"/>
      <name val="Arial"/>
      <family val="2"/>
    </font>
    <font>
      <b/>
      <sz val="12"/>
      <color theme="8" tint="-0.499984740745262"/>
      <name val="Arial"/>
      <family val="2"/>
    </font>
    <font>
      <sz val="12"/>
      <color theme="8" tint="-0.499984740745262"/>
      <name val="Arial"/>
      <family val="2"/>
    </font>
    <font>
      <i/>
      <sz val="12"/>
      <color theme="1"/>
      <name val="Arial"/>
      <family val="2"/>
    </font>
    <font>
      <b/>
      <i/>
      <sz val="12"/>
      <color theme="1"/>
      <name val="Arial"/>
      <family val="2"/>
    </font>
    <font>
      <b/>
      <i/>
      <sz val="12"/>
      <color rgb="FF0070C0"/>
      <name val="Arial"/>
      <family val="2"/>
    </font>
    <font>
      <i/>
      <sz val="12"/>
      <color rgb="FF0070C0"/>
      <name val="Arial"/>
      <family val="2"/>
    </font>
    <font>
      <b/>
      <sz val="12"/>
      <color indexed="63"/>
      <name val="Arial"/>
      <family val="2"/>
    </font>
    <font>
      <sz val="12"/>
      <color theme="4"/>
      <name val="Arial"/>
      <family val="2"/>
    </font>
    <font>
      <b/>
      <i/>
      <sz val="12"/>
      <color theme="4"/>
      <name val="Arial"/>
      <family val="2"/>
    </font>
    <font>
      <i/>
      <sz val="12"/>
      <color theme="4"/>
      <name val="Arial"/>
      <family val="2"/>
    </font>
    <font>
      <sz val="11"/>
      <color indexed="48"/>
      <name val="Roboto"/>
    </font>
    <font>
      <b/>
      <sz val="11"/>
      <color indexed="12"/>
      <name val="Roboto"/>
    </font>
    <font>
      <sz val="11"/>
      <color indexed="63"/>
      <name val="Roboto"/>
    </font>
    <font>
      <b/>
      <sz val="11"/>
      <color indexed="63"/>
      <name val="Roboto"/>
    </font>
    <font>
      <b/>
      <sz val="11"/>
      <color theme="3"/>
      <name val="Roboto"/>
    </font>
    <font>
      <b/>
      <sz val="11"/>
      <color theme="5"/>
      <name val="Roboto"/>
    </font>
    <font>
      <b/>
      <sz val="11"/>
      <color indexed="9"/>
      <name val="Roboto"/>
    </font>
    <font>
      <sz val="11"/>
      <color theme="5"/>
      <name val="Roboto"/>
    </font>
    <font>
      <sz val="11"/>
      <color indexed="8"/>
      <name val="Roboto"/>
    </font>
    <font>
      <sz val="11"/>
      <color rgb="FF0000FF"/>
      <name val="Roboto"/>
    </font>
    <font>
      <b/>
      <sz val="11"/>
      <color indexed="8"/>
      <name val="Roboto"/>
    </font>
    <font>
      <sz val="11"/>
      <color indexed="10"/>
      <name val="Roboto"/>
    </font>
    <font>
      <b/>
      <u/>
      <sz val="11"/>
      <color indexed="63"/>
      <name val="Roboto"/>
    </font>
    <font>
      <sz val="11"/>
      <color theme="4"/>
      <name val="Roboto"/>
    </font>
    <font>
      <u/>
      <sz val="11"/>
      <name val="Roboto"/>
    </font>
    <font>
      <sz val="11"/>
      <color theme="9" tint="-0.249977111117893"/>
      <name val="Roboto"/>
    </font>
    <font>
      <b/>
      <sz val="11"/>
      <color rgb="FF0000FF"/>
      <name val="Roboto"/>
    </font>
  </fonts>
  <fills count="47">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indexed="26"/>
        <bgColor indexed="64"/>
      </patternFill>
    </fill>
    <fill>
      <patternFill patternType="solid">
        <fgColor indexed="9"/>
        <bgColor indexed="64"/>
      </patternFill>
    </fill>
    <fill>
      <patternFill patternType="solid">
        <fgColor indexed="8"/>
        <bgColor indexed="64"/>
      </patternFill>
    </fill>
    <fill>
      <patternFill patternType="solid">
        <fgColor indexed="18"/>
        <bgColor indexed="64"/>
      </patternFill>
    </fill>
    <fill>
      <patternFill patternType="gray0625">
        <fgColor indexed="15"/>
      </patternFill>
    </fill>
    <fill>
      <patternFill patternType="solid">
        <fgColor indexed="42"/>
        <bgColor indexed="64"/>
      </patternFill>
    </fill>
    <fill>
      <patternFill patternType="solid">
        <fgColor indexed="41"/>
        <bgColor indexed="64"/>
      </patternFill>
    </fill>
    <fill>
      <patternFill patternType="lightGray">
        <fgColor indexed="12"/>
      </patternFill>
    </fill>
    <fill>
      <patternFill patternType="solid">
        <fgColor indexed="43"/>
        <bgColor indexed="64"/>
      </patternFill>
    </fill>
    <fill>
      <patternFill patternType="solid">
        <fgColor indexed="22"/>
        <bgColor indexed="64"/>
      </patternFill>
    </fill>
    <fill>
      <patternFill patternType="gray0625"/>
    </fill>
    <fill>
      <patternFill patternType="solid">
        <fgColor indexed="15"/>
        <bgColor indexed="64"/>
      </patternFill>
    </fill>
    <fill>
      <patternFill patternType="solid">
        <fgColor indexed="22"/>
      </patternFill>
    </fill>
    <fill>
      <patternFill patternType="solid">
        <fgColor indexed="13"/>
        <bgColor indexed="15"/>
      </patternFill>
    </fill>
    <fill>
      <patternFill patternType="solid">
        <fgColor indexed="11"/>
        <bgColor indexed="64"/>
      </patternFill>
    </fill>
    <fill>
      <patternFill patternType="gray0625">
        <fgColor indexed="22"/>
      </patternFill>
    </fill>
    <fill>
      <patternFill patternType="solid">
        <fgColor indexed="13"/>
      </patternFill>
    </fill>
    <fill>
      <patternFill patternType="lightGray"/>
    </fill>
    <fill>
      <patternFill patternType="solid">
        <fgColor indexed="44"/>
        <bgColor indexed="64"/>
      </patternFill>
    </fill>
    <fill>
      <patternFill patternType="solid">
        <fgColor indexed="9"/>
      </patternFill>
    </fill>
    <fill>
      <patternFill patternType="solid">
        <fgColor indexed="16"/>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00B0F0"/>
        <bgColor indexed="64"/>
      </patternFill>
    </fill>
    <fill>
      <patternFill patternType="solid">
        <fgColor theme="3" tint="0.39997558519241921"/>
        <bgColor indexed="64"/>
      </patternFill>
    </fill>
    <fill>
      <patternFill patternType="solid">
        <fgColor rgb="FFCCEEFF"/>
        <bgColor indexed="64"/>
      </patternFill>
    </fill>
    <fill>
      <patternFill patternType="solid">
        <fgColor rgb="FF1F497D"/>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rgb="FF92D050"/>
        <bgColor indexed="64"/>
      </patternFill>
    </fill>
    <fill>
      <patternFill patternType="solid">
        <fgColor theme="6"/>
        <bgColor indexed="64"/>
      </patternFill>
    </fill>
    <fill>
      <patternFill patternType="solid">
        <fgColor indexed="65"/>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
      <patternFill patternType="solid">
        <fgColor theme="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2" tint="-9.9978637043366805E-2"/>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12"/>
      </left>
      <right style="medium">
        <color indexed="12"/>
      </right>
      <top style="medium">
        <color indexed="12"/>
      </top>
      <bottom style="medium">
        <color indexed="12"/>
      </bottom>
      <diagonal/>
    </border>
    <border>
      <left/>
      <right/>
      <top/>
      <bottom style="medium">
        <color indexed="64"/>
      </bottom>
      <diagonal/>
    </border>
    <border>
      <left/>
      <right/>
      <top/>
      <bottom style="thin">
        <color indexed="44"/>
      </bottom>
      <diagonal/>
    </border>
    <border>
      <left style="double">
        <color indexed="64"/>
      </left>
      <right/>
      <top/>
      <bottom/>
      <diagonal/>
    </border>
    <border>
      <left style="thin">
        <color indexed="64"/>
      </left>
      <right style="thin">
        <color indexed="64"/>
      </right>
      <top/>
      <bottom style="thin">
        <color indexed="64"/>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style="hair">
        <color indexed="64"/>
      </right>
      <top/>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64"/>
      </top>
      <bottom/>
      <diagonal/>
    </border>
    <border>
      <left style="double">
        <color indexed="64"/>
      </left>
      <right/>
      <top style="double">
        <color indexed="64"/>
      </top>
      <bottom/>
      <diagonal/>
    </border>
    <border>
      <left/>
      <right style="medium">
        <color indexed="64"/>
      </right>
      <top/>
      <bottom/>
      <diagonal/>
    </border>
    <border>
      <left/>
      <right/>
      <top style="medium">
        <color indexed="23"/>
      </top>
      <bottom style="medium">
        <color indexed="23"/>
      </bottom>
      <diagonal/>
    </border>
    <border>
      <left/>
      <right/>
      <top style="medium">
        <color indexed="41"/>
      </top>
      <bottom style="medium">
        <color indexed="41"/>
      </bottom>
      <diagonal/>
    </border>
    <border>
      <left/>
      <right/>
      <top style="medium">
        <color indexed="41"/>
      </top>
      <bottom/>
      <diagonal/>
    </border>
    <border>
      <left/>
      <right/>
      <top/>
      <bottom style="thin">
        <color indexed="23"/>
      </bottom>
      <diagonal/>
    </border>
    <border>
      <left/>
      <right/>
      <top style="thick">
        <color indexed="64"/>
      </top>
      <bottom/>
      <diagonal/>
    </border>
    <border>
      <left/>
      <right/>
      <top/>
      <bottom style="thick">
        <color indexed="18"/>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hair">
        <color indexed="64"/>
      </left>
      <right/>
      <top style="hair">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double">
        <color indexed="64"/>
      </bottom>
      <diagonal/>
    </border>
    <border>
      <left/>
      <right/>
      <top style="double">
        <color indexed="64"/>
      </top>
      <bottom/>
      <diagonal/>
    </border>
    <border>
      <left/>
      <right/>
      <top style="thin">
        <color indexed="64"/>
      </top>
      <bottom style="double">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16">
    <xf numFmtId="0" fontId="0" fillId="0" borderId="0"/>
    <xf numFmtId="0" fontId="4" fillId="0" borderId="0" applyNumberForma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8" fillId="0" borderId="0"/>
    <xf numFmtId="0" fontId="5" fillId="0" borderId="0"/>
    <xf numFmtId="0" fontId="5" fillId="0" borderId="0"/>
    <xf numFmtId="0" fontId="25" fillId="0" borderId="0" applyNumberFormat="0" applyFill="0" applyBorder="0" applyAlignment="0" applyProtection="0"/>
    <xf numFmtId="0" fontId="26" fillId="0" borderId="0" applyNumberFormat="0" applyFont="0" applyFill="0" applyBorder="0" applyAlignment="0" applyProtection="0"/>
    <xf numFmtId="0" fontId="5" fillId="0" borderId="0"/>
    <xf numFmtId="172" fontId="5" fillId="0" borderId="0" applyFont="0" applyFill="0" applyBorder="0" applyAlignment="0" applyProtection="0"/>
    <xf numFmtId="173" fontId="5" fillId="0" borderId="0" applyFont="0" applyFill="0" applyBorder="0" applyAlignment="0" applyProtection="0"/>
    <xf numFmtId="39" fontId="5" fillId="0" borderId="0" applyFont="0" applyFill="0" applyBorder="0" applyAlignment="0" applyProtection="0"/>
    <xf numFmtId="0" fontId="5" fillId="0" borderId="0" applyFont="0" applyFill="0" applyBorder="0" applyAlignment="0" applyProtection="0"/>
    <xf numFmtId="0" fontId="26" fillId="0" borderId="0" applyNumberForma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74" fontId="5" fillId="0" borderId="0" applyFont="0" applyFill="0" applyBorder="0" applyAlignment="0" applyProtection="0"/>
    <xf numFmtId="175" fontId="5" fillId="0" borderId="0" applyFont="0" applyFill="0" applyBorder="0" applyAlignment="0" applyProtection="0"/>
    <xf numFmtId="176" fontId="5" fillId="0" borderId="0" applyFont="0" applyFill="0" applyBorder="0" applyAlignment="0" applyProtection="0"/>
    <xf numFmtId="177" fontId="5" fillId="0" borderId="0" applyFont="0" applyFill="0" applyBorder="0" applyAlignment="0" applyProtection="0"/>
    <xf numFmtId="0" fontId="27" fillId="0" borderId="0"/>
    <xf numFmtId="0" fontId="5" fillId="0" borderId="0"/>
    <xf numFmtId="0" fontId="5" fillId="0" borderId="0"/>
    <xf numFmtId="0" fontId="5" fillId="0" borderId="0" applyFont="0" applyFill="0" applyBorder="0" applyAlignment="0" applyProtection="0"/>
    <xf numFmtId="178" fontId="5" fillId="0" borderId="0" applyFont="0" applyFill="0" applyBorder="0" applyAlignment="0" applyProtection="0"/>
    <xf numFmtId="170" fontId="5" fillId="0" borderId="0" applyNumberFormat="0" applyFill="0" applyBorder="0" applyAlignment="0"/>
    <xf numFmtId="179" fontId="5" fillId="0" borderId="0" applyFill="0" applyBorder="0" applyProtection="0">
      <alignment horizontal="right"/>
    </xf>
    <xf numFmtId="0" fontId="5" fillId="0" borderId="0" applyFont="0" applyFill="0" applyBorder="0" applyAlignment="0" applyProtection="0"/>
    <xf numFmtId="0" fontId="5" fillId="0" borderId="0" applyFont="0" applyFill="0" applyBorder="0" applyAlignment="0" applyProtection="0"/>
    <xf numFmtId="171" fontId="28" fillId="4" borderId="0">
      <alignment horizontal="left"/>
    </xf>
    <xf numFmtId="180" fontId="29" fillId="0" borderId="0" applyFont="0" applyFill="0" applyBorder="0" applyAlignment="0" applyProtection="0"/>
    <xf numFmtId="181" fontId="30" fillId="0" borderId="0" applyFon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31" fillId="0" borderId="14" applyNumberFormat="0" applyFill="0" applyAlignment="0" applyProtection="0"/>
    <xf numFmtId="169" fontId="32" fillId="5" borderId="0" applyNumberFormat="0" applyFill="0" applyBorder="0" applyAlignment="0" applyProtection="0">
      <alignment horizontal="right"/>
    </xf>
    <xf numFmtId="0" fontId="5" fillId="0" borderId="0" applyFont="0" applyFill="0" applyBorder="0" applyAlignment="0" applyProtection="0"/>
    <xf numFmtId="182" fontId="5" fillId="0" borderId="0" applyFont="0" applyFill="0" applyBorder="0" applyAlignment="0" applyProtection="0"/>
    <xf numFmtId="0" fontId="5" fillId="0" borderId="0"/>
    <xf numFmtId="183" fontId="33" fillId="0" borderId="0" applyFill="0" applyBorder="0" applyAlignment="0" applyProtection="0">
      <protection locked="0"/>
    </xf>
    <xf numFmtId="0" fontId="34" fillId="6" borderId="0"/>
    <xf numFmtId="172" fontId="29" fillId="0" borderId="0" applyNumberFormat="0" applyFont="0" applyAlignment="0" applyProtection="0"/>
    <xf numFmtId="0" fontId="9" fillId="7" borderId="0" applyNumberFormat="0" applyBorder="0">
      <alignment horizontal="center" vertical="center"/>
    </xf>
    <xf numFmtId="0" fontId="33" fillId="0" borderId="15" applyNumberFormat="0" applyFont="0" applyFill="0" applyAlignment="0" applyProtection="0"/>
    <xf numFmtId="0" fontId="33" fillId="0" borderId="16" applyNumberFormat="0" applyFont="0" applyFill="0" applyAlignment="0" applyProtection="0"/>
    <xf numFmtId="0" fontId="35" fillId="0" borderId="0" applyFont="0" applyFill="0" applyBorder="0" applyAlignment="0" applyProtection="0"/>
    <xf numFmtId="0" fontId="5" fillId="0" borderId="0"/>
    <xf numFmtId="39" fontId="36" fillId="0" borderId="3" applyNumberFormat="0" applyFill="0" applyBorder="0"/>
    <xf numFmtId="183" fontId="33" fillId="0" borderId="0" applyFont="0" applyFill="0" applyBorder="0" applyAlignment="0" applyProtection="0">
      <protection locked="0"/>
    </xf>
    <xf numFmtId="184" fontId="37" fillId="0" borderId="0" applyNumberFormat="0" applyAlignment="0">
      <alignment vertical="center"/>
    </xf>
    <xf numFmtId="0" fontId="38" fillId="0" borderId="0">
      <alignment horizontal="center" wrapText="1"/>
      <protection hidden="1"/>
    </xf>
    <xf numFmtId="0" fontId="39" fillId="8" borderId="15" applyNumberFormat="0" applyProtection="0">
      <alignment horizontal="center" vertical="center" wrapText="1"/>
    </xf>
    <xf numFmtId="0" fontId="39" fillId="8" borderId="0" applyNumberFormat="0" applyBorder="0" applyProtection="0">
      <alignment horizontal="centerContinuous" vertical="center"/>
    </xf>
    <xf numFmtId="0" fontId="39" fillId="8" borderId="1" applyNumberFormat="0" applyBorder="0" applyProtection="0">
      <alignment horizontal="center" vertical="center" wrapText="1"/>
    </xf>
    <xf numFmtId="0" fontId="8" fillId="9" borderId="0" applyNumberFormat="0">
      <alignment horizontal="center" vertical="top" wrapText="1"/>
    </xf>
    <xf numFmtId="0" fontId="8" fillId="9" borderId="0" applyNumberFormat="0">
      <alignment horizontal="left" vertical="top" wrapText="1"/>
    </xf>
    <xf numFmtId="0" fontId="8" fillId="9" borderId="0" applyNumberFormat="0">
      <alignment horizontal="centerContinuous" vertical="top"/>
    </xf>
    <xf numFmtId="0" fontId="16" fillId="9" borderId="0" applyNumberFormat="0">
      <alignment horizontal="center" vertical="top" wrapText="1"/>
    </xf>
    <xf numFmtId="0" fontId="8" fillId="10" borderId="0" applyNumberFormat="0">
      <alignment horizontal="center" vertical="top" wrapText="1"/>
    </xf>
    <xf numFmtId="0" fontId="29" fillId="0" borderId="17" applyNumberFormat="0" applyFont="0" applyFill="0" applyAlignment="0" applyProtection="0">
      <alignment horizontal="left"/>
    </xf>
    <xf numFmtId="171" fontId="40"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alignment horizontal="right"/>
    </xf>
    <xf numFmtId="182" fontId="5" fillId="0" borderId="0" applyFont="0" applyFill="0" applyBorder="0" applyAlignment="0" applyProtection="0"/>
    <xf numFmtId="182" fontId="5" fillId="0" borderId="0" applyFont="0" applyFill="0" applyBorder="0" applyAlignment="0" applyProtection="0"/>
    <xf numFmtId="0" fontId="42" fillId="0" borderId="0" applyFont="0" applyFill="0" applyBorder="0" applyAlignment="0" applyProtection="0"/>
    <xf numFmtId="172" fontId="15" fillId="0" borderId="0"/>
    <xf numFmtId="3" fontId="43" fillId="0" borderId="0" applyFont="0" applyFill="0" applyBorder="0" applyAlignment="0" applyProtection="0"/>
    <xf numFmtId="0" fontId="44" fillId="11" borderId="0">
      <alignment horizontal="center" vertical="center" wrapText="1"/>
    </xf>
    <xf numFmtId="0" fontId="5" fillId="0" borderId="0">
      <alignment horizontal="left"/>
    </xf>
    <xf numFmtId="0" fontId="5" fillId="0" borderId="0"/>
    <xf numFmtId="0" fontId="5" fillId="0" borderId="0">
      <alignment horizontal="left"/>
    </xf>
    <xf numFmtId="186" fontId="38" fillId="0" borderId="0" applyFill="0" applyBorder="0">
      <alignment horizontal="right"/>
      <protection locked="0"/>
    </xf>
    <xf numFmtId="187" fontId="45" fillId="0" borderId="0" applyFont="0"/>
    <xf numFmtId="188" fontId="16" fillId="0" borderId="0" applyFont="0" applyFill="0" applyBorder="0" applyAlignment="0" applyProtection="0">
      <alignment vertical="center"/>
    </xf>
    <xf numFmtId="189" fontId="45" fillId="0" borderId="0" applyFont="0"/>
    <xf numFmtId="190" fontId="5" fillId="0" borderId="0"/>
    <xf numFmtId="191" fontId="5" fillId="0" borderId="0" applyFont="0" applyFill="0" applyBorder="0" applyAlignment="0"/>
    <xf numFmtId="0" fontId="41" fillId="0" borderId="0" applyFont="0" applyFill="0" applyBorder="0" applyAlignment="0" applyProtection="0">
      <alignment horizontal="right"/>
    </xf>
    <xf numFmtId="0" fontId="41" fillId="0" borderId="0" applyFont="0" applyFill="0" applyBorder="0" applyAlignment="0" applyProtection="0">
      <alignment horizontal="right"/>
    </xf>
    <xf numFmtId="192" fontId="16" fillId="0" borderId="0" applyFont="0" applyFill="0" applyBorder="0" applyAlignment="0" applyProtection="0">
      <alignment vertical="center"/>
    </xf>
    <xf numFmtId="193" fontId="16" fillId="0" borderId="0" applyFont="0" applyFill="0" applyBorder="0" applyAlignment="0" applyProtection="0">
      <alignment vertical="center"/>
    </xf>
    <xf numFmtId="194" fontId="16" fillId="0" borderId="0" applyFont="0" applyFill="0" applyBorder="0" applyAlignment="0" applyProtection="0">
      <alignment vertical="center"/>
    </xf>
    <xf numFmtId="195" fontId="16" fillId="0" borderId="0" applyFont="0" applyFill="0" applyBorder="0" applyAlignment="0" applyProtection="0">
      <alignment vertical="center"/>
    </xf>
    <xf numFmtId="196" fontId="16" fillId="0" borderId="0" applyFont="0" applyFill="0" applyBorder="0" applyAlignment="0" applyProtection="0">
      <alignment vertical="center"/>
    </xf>
    <xf numFmtId="197" fontId="16" fillId="0" borderId="0" applyFont="0" applyFill="0" applyBorder="0" applyAlignment="0" applyProtection="0">
      <alignment vertical="center"/>
    </xf>
    <xf numFmtId="198" fontId="16" fillId="0" borderId="0" applyFont="0" applyFill="0" applyBorder="0" applyAlignment="0" applyProtection="0">
      <alignment vertical="center"/>
    </xf>
    <xf numFmtId="199" fontId="16" fillId="0" borderId="0" applyFont="0" applyFill="0" applyBorder="0" applyAlignment="0" applyProtection="0">
      <alignment vertical="center"/>
    </xf>
    <xf numFmtId="200" fontId="16" fillId="0" borderId="0" applyFont="0" applyFill="0" applyBorder="0" applyAlignment="0" applyProtection="0">
      <alignment vertical="center"/>
    </xf>
    <xf numFmtId="201" fontId="16" fillId="0" borderId="0" applyFont="0" applyFill="0" applyBorder="0" applyAlignment="0" applyProtection="0">
      <alignment vertical="center"/>
    </xf>
    <xf numFmtId="202" fontId="16" fillId="0" borderId="0" applyFont="0" applyFill="0" applyBorder="0" applyAlignment="0" applyProtection="0">
      <alignment vertical="center"/>
    </xf>
    <xf numFmtId="203" fontId="16" fillId="0" borderId="0" applyFont="0" applyFill="0" applyBorder="0" applyAlignment="0" applyProtection="0">
      <alignment vertical="center"/>
    </xf>
    <xf numFmtId="204" fontId="5" fillId="0" borderId="0" applyFont="0" applyFill="0" applyBorder="0" applyAlignment="0" applyProtection="0"/>
    <xf numFmtId="0" fontId="5" fillId="0" borderId="0">
      <alignment horizontal="right"/>
      <protection locked="0"/>
    </xf>
    <xf numFmtId="205" fontId="16" fillId="0" borderId="0" applyFont="0" applyFill="0" applyBorder="0" applyAlignment="0" applyProtection="0">
      <alignment vertical="center"/>
    </xf>
    <xf numFmtId="206" fontId="16" fillId="0" borderId="0" applyFont="0" applyFill="0" applyBorder="0" applyAlignment="0" applyProtection="0">
      <alignment vertical="center"/>
    </xf>
    <xf numFmtId="15" fontId="46" fillId="0" borderId="0" applyFill="0" applyBorder="0" applyAlignment="0"/>
    <xf numFmtId="0" fontId="46" fillId="4" borderId="0" applyFont="0" applyFill="0" applyBorder="0" applyAlignment="0" applyProtection="0"/>
    <xf numFmtId="207" fontId="5" fillId="4" borderId="18" applyFont="0" applyFill="0" applyBorder="0" applyAlignment="0" applyProtection="0"/>
    <xf numFmtId="208" fontId="5" fillId="4" borderId="0" applyFont="0" applyFill="0" applyBorder="0" applyAlignment="0" applyProtection="0"/>
    <xf numFmtId="17" fontId="46" fillId="0" borderId="0" applyFill="0" applyBorder="0">
      <alignment horizontal="right"/>
    </xf>
    <xf numFmtId="166" fontId="5" fillId="0" borderId="7" applyFont="0" applyFill="0" applyBorder="0" applyAlignment="0" applyProtection="0"/>
    <xf numFmtId="0" fontId="41" fillId="0" borderId="0" applyFont="0" applyFill="0" applyBorder="0" applyAlignment="0" applyProtection="0"/>
    <xf numFmtId="0" fontId="5" fillId="0" borderId="0">
      <alignment horizontal="right"/>
      <protection locked="0"/>
    </xf>
    <xf numFmtId="208" fontId="5" fillId="0" borderId="0" applyFill="0" applyBorder="0">
      <alignment horizontal="right"/>
    </xf>
    <xf numFmtId="14" fontId="47" fillId="0" borderId="0" applyFont="0" applyFill="0" applyBorder="0" applyAlignment="0" applyProtection="0">
      <alignment horizontal="center"/>
    </xf>
    <xf numFmtId="209" fontId="47" fillId="0" borderId="0" applyFont="0" applyFill="0" applyBorder="0" applyAlignment="0" applyProtection="0">
      <alignment horizontal="center"/>
    </xf>
    <xf numFmtId="210" fontId="48" fillId="0" borderId="3" applyNumberFormat="0" applyFill="0" applyBorder="0" applyAlignment="0">
      <alignment horizontal="left"/>
      <protection locked="0"/>
    </xf>
    <xf numFmtId="211" fontId="29" fillId="0" borderId="0" applyFont="0" applyFill="0" applyBorder="0" applyAlignment="0" applyProtection="0"/>
    <xf numFmtId="0" fontId="49" fillId="0" borderId="0">
      <protection locked="0"/>
    </xf>
    <xf numFmtId="191" fontId="33" fillId="0" borderId="0" applyFont="0" applyFill="0" applyBorder="0" applyAlignment="0" applyProtection="0"/>
    <xf numFmtId="0" fontId="15" fillId="0" borderId="0"/>
    <xf numFmtId="212" fontId="33" fillId="0" borderId="0" applyFont="0" applyFill="0" applyBorder="0" applyAlignment="0" applyProtection="0"/>
    <xf numFmtId="0" fontId="41" fillId="0" borderId="19" applyNumberFormat="0" applyFont="0" applyFill="0" applyAlignment="0" applyProtection="0"/>
    <xf numFmtId="0" fontId="50" fillId="0" borderId="0" applyFill="0" applyBorder="0" applyAlignment="0" applyProtection="0"/>
    <xf numFmtId="164" fontId="51" fillId="0" borderId="20" applyNumberFormat="0" applyAlignment="0" applyProtection="0">
      <alignment vertical="top"/>
    </xf>
    <xf numFmtId="0" fontId="15" fillId="12" borderId="0" applyNumberFormat="0" applyFont="0" applyBorder="0" applyAlignment="0" applyProtection="0"/>
    <xf numFmtId="213" fontId="29" fillId="0" borderId="0" applyFont="0" applyFill="0" applyBorder="0" applyAlignment="0"/>
    <xf numFmtId="191" fontId="33" fillId="0" borderId="0" applyFont="0" applyFill="0" applyBorder="0" applyAlignment="0" applyProtection="0">
      <alignment horizontal="right"/>
    </xf>
    <xf numFmtId="214" fontId="29" fillId="0" borderId="0" applyFont="0" applyFill="0" applyBorder="0" applyProtection="0">
      <alignment horizontal="left"/>
      <protection locked="0"/>
    </xf>
    <xf numFmtId="215" fontId="29" fillId="0" borderId="0" applyFont="0" applyFill="0" applyBorder="0" applyProtection="0">
      <alignment horizontal="left"/>
      <protection locked="0"/>
    </xf>
    <xf numFmtId="191" fontId="5" fillId="0" borderId="0"/>
    <xf numFmtId="164" fontId="5" fillId="0" borderId="0"/>
    <xf numFmtId="172" fontId="5" fillId="0" borderId="0"/>
    <xf numFmtId="216" fontId="5" fillId="0" borderId="0" applyFont="0" applyFill="0" applyBorder="0" applyAlignment="0" applyProtection="0"/>
    <xf numFmtId="217" fontId="29" fillId="5" borderId="0">
      <alignment horizontal="right"/>
    </xf>
    <xf numFmtId="3" fontId="52" fillId="0" borderId="0" applyNumberFormat="0" applyFont="0" applyFill="0" applyBorder="0" applyAlignment="0" applyProtection="0">
      <alignment horizontal="left"/>
    </xf>
    <xf numFmtId="2" fontId="43" fillId="0" borderId="0" applyFont="0" applyFill="0" applyBorder="0" applyAlignment="0" applyProtection="0"/>
    <xf numFmtId="0" fontId="5" fillId="4" borderId="0" applyFont="0" applyFill="0" applyBorder="0" applyAlignment="0"/>
    <xf numFmtId="0" fontId="15" fillId="0" borderId="0"/>
    <xf numFmtId="0" fontId="53" fillId="0" borderId="0" applyNumberFormat="0" applyFill="0" applyBorder="0" applyAlignment="0" applyProtection="0">
      <alignment vertical="top"/>
      <protection locked="0"/>
    </xf>
    <xf numFmtId="0" fontId="5" fillId="0" borderId="0">
      <alignment horizontal="left"/>
    </xf>
    <xf numFmtId="0" fontId="5" fillId="0" borderId="0">
      <alignment horizontal="left"/>
    </xf>
    <xf numFmtId="0" fontId="5" fillId="0" borderId="0" applyFill="0" applyBorder="0" applyProtection="0">
      <alignment horizontal="left"/>
    </xf>
    <xf numFmtId="0" fontId="5" fillId="0" borderId="0">
      <alignment horizontal="left"/>
    </xf>
    <xf numFmtId="0" fontId="5" fillId="0" borderId="0">
      <alignment horizontal="left"/>
    </xf>
    <xf numFmtId="0" fontId="15" fillId="0" borderId="0"/>
    <xf numFmtId="218" fontId="33" fillId="0" borderId="0" applyFill="0" applyBorder="0" applyAlignment="0" applyProtection="0">
      <protection locked="0"/>
    </xf>
    <xf numFmtId="38" fontId="15" fillId="13" borderId="0" applyNumberFormat="0" applyFont="0" applyBorder="0" applyAlignment="0">
      <protection hidden="1"/>
    </xf>
    <xf numFmtId="219" fontId="54" fillId="0" borderId="0" applyFill="0" applyBorder="0" applyAlignment="0" applyProtection="0"/>
    <xf numFmtId="219" fontId="55" fillId="0" borderId="0" applyAlignment="0">
      <alignment horizontal="left"/>
      <protection locked="0"/>
    </xf>
    <xf numFmtId="0" fontId="56" fillId="9" borderId="0" applyNumberFormat="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horizontal="left" vertical="center"/>
    </xf>
    <xf numFmtId="0" fontId="8" fillId="0" borderId="0" applyNumberFormat="0" applyFill="0" applyBorder="0" applyAlignment="0" applyProtection="0">
      <alignment vertical="center"/>
    </xf>
    <xf numFmtId="0" fontId="29" fillId="0" borderId="0"/>
    <xf numFmtId="165" fontId="60" fillId="0" borderId="0" applyNumberFormat="0" applyFill="0" applyBorder="0" applyAlignment="0" applyProtection="0"/>
    <xf numFmtId="2" fontId="61" fillId="14" borderId="0"/>
    <xf numFmtId="220" fontId="46" fillId="4" borderId="1" applyNumberFormat="0" applyFont="0" applyAlignment="0"/>
    <xf numFmtId="0" fontId="41" fillId="0" borderId="0" applyFont="0" applyFill="0" applyBorder="0" applyAlignment="0" applyProtection="0">
      <alignment horizontal="right"/>
    </xf>
    <xf numFmtId="0" fontId="5" fillId="1" borderId="0" applyNumberFormat="0" applyBorder="0" applyProtection="0">
      <alignment horizontal="left" vertical="center"/>
    </xf>
    <xf numFmtId="0" fontId="5" fillId="0" borderId="0" applyProtection="0">
      <alignment horizontal="right"/>
    </xf>
    <xf numFmtId="0" fontId="5" fillId="0" borderId="0">
      <alignment horizontal="left"/>
    </xf>
    <xf numFmtId="0" fontId="62" fillId="15" borderId="0">
      <alignment horizontal="left"/>
    </xf>
    <xf numFmtId="0" fontId="5" fillId="16" borderId="0"/>
    <xf numFmtId="0" fontId="5" fillId="0" borderId="0">
      <alignment horizontal="left"/>
    </xf>
    <xf numFmtId="0" fontId="5" fillId="0" borderId="3">
      <alignment horizontal="left" vertical="top"/>
    </xf>
    <xf numFmtId="0" fontId="5" fillId="0" borderId="0">
      <alignment horizontal="left"/>
    </xf>
    <xf numFmtId="0" fontId="5" fillId="0" borderId="3">
      <alignment horizontal="left" vertical="top"/>
    </xf>
    <xf numFmtId="0" fontId="5" fillId="0" borderId="0">
      <alignment horizontal="left"/>
    </xf>
    <xf numFmtId="0" fontId="63" fillId="0" borderId="0"/>
    <xf numFmtId="0" fontId="16" fillId="2" borderId="0" applyNumberFormat="0" applyFont="0" applyBorder="0" applyAlignment="0" applyProtection="0">
      <alignment vertical="center"/>
    </xf>
    <xf numFmtId="221" fontId="64" fillId="0" borderId="0" applyNumberFormat="0" applyFill="0" applyBorder="0" applyAlignment="0"/>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218" fontId="33" fillId="0" borderId="0" applyFill="0" applyBorder="0" applyAlignment="0" applyProtection="0">
      <alignment horizontal="right"/>
      <protection locked="0"/>
    </xf>
    <xf numFmtId="0" fontId="41" fillId="0" borderId="0" applyNumberFormat="0" applyFill="0" applyBorder="0" applyAlignment="0" applyProtection="0"/>
    <xf numFmtId="10" fontId="15" fillId="4" borderId="1" applyNumberFormat="0" applyBorder="0" applyAlignment="0" applyProtection="0"/>
    <xf numFmtId="0" fontId="16" fillId="0" borderId="21" applyNumberFormat="0" applyAlignment="0">
      <alignment vertical="center"/>
    </xf>
    <xf numFmtId="191" fontId="15" fillId="0" borderId="0"/>
    <xf numFmtId="0" fontId="16" fillId="0" borderId="22" applyNumberFormat="0" applyAlignment="0">
      <alignment vertical="center"/>
      <protection locked="0"/>
    </xf>
    <xf numFmtId="208" fontId="5" fillId="4" borderId="0" applyFont="0" applyBorder="0" applyAlignment="0" applyProtection="0">
      <protection locked="0"/>
    </xf>
    <xf numFmtId="185" fontId="16" fillId="17" borderId="22" applyNumberFormat="0" applyAlignment="0">
      <alignment vertical="center"/>
      <protection locked="0"/>
    </xf>
    <xf numFmtId="0" fontId="15" fillId="4" borderId="0" applyFont="0" applyBorder="0" applyAlignment="0">
      <protection locked="0"/>
    </xf>
    <xf numFmtId="0" fontId="16" fillId="9" borderId="0" applyNumberFormat="0" applyAlignment="0">
      <alignment vertical="center"/>
    </xf>
    <xf numFmtId="0" fontId="16" fillId="18" borderId="0" applyNumberFormat="0" applyAlignment="0">
      <alignment vertical="center"/>
    </xf>
    <xf numFmtId="0" fontId="61" fillId="0" borderId="0" applyNumberFormat="0" applyFill="0" applyBorder="0" applyAlignment="0" applyProtection="0"/>
    <xf numFmtId="218" fontId="15" fillId="4" borderId="0">
      <protection locked="0"/>
    </xf>
    <xf numFmtId="0" fontId="16" fillId="0" borderId="23" applyNumberFormat="0" applyAlignment="0">
      <alignment vertical="center"/>
      <protection locked="0"/>
    </xf>
    <xf numFmtId="222" fontId="5" fillId="4" borderId="0" applyFont="0" applyBorder="0" applyAlignment="0">
      <protection locked="0"/>
    </xf>
    <xf numFmtId="10" fontId="15" fillId="4" borderId="0">
      <protection locked="0"/>
    </xf>
    <xf numFmtId="0" fontId="15" fillId="4" borderId="0" applyFont="0" applyBorder="0" applyAlignment="0">
      <protection locked="0"/>
    </xf>
    <xf numFmtId="218" fontId="67" fillId="4" borderId="0" applyNumberFormat="0" applyBorder="0" applyAlignment="0">
      <protection locked="0"/>
    </xf>
    <xf numFmtId="10" fontId="5" fillId="0" borderId="0">
      <protection locked="0"/>
    </xf>
    <xf numFmtId="0" fontId="5" fillId="4" borderId="1"/>
    <xf numFmtId="0" fontId="5" fillId="4" borderId="1"/>
    <xf numFmtId="0" fontId="49" fillId="0" borderId="0" applyNumberFormat="0" applyFill="0" applyBorder="0" applyAlignment="0">
      <protection locked="0"/>
    </xf>
    <xf numFmtId="15" fontId="5" fillId="0" borderId="0">
      <protection locked="0"/>
    </xf>
    <xf numFmtId="2" fontId="5" fillId="0" borderId="24">
      <protection locked="0"/>
    </xf>
    <xf numFmtId="0" fontId="5" fillId="0" borderId="0">
      <protection locked="0"/>
    </xf>
    <xf numFmtId="0" fontId="38" fillId="0" borderId="0" applyFill="0" applyBorder="0">
      <alignment horizontal="right"/>
      <protection locked="0"/>
    </xf>
    <xf numFmtId="223" fontId="38" fillId="0" borderId="0" applyFill="0" applyBorder="0">
      <alignment horizontal="right"/>
      <protection locked="0"/>
    </xf>
    <xf numFmtId="224" fontId="49" fillId="19" borderId="0" applyBorder="0"/>
    <xf numFmtId="0" fontId="25" fillId="20" borderId="25">
      <alignment horizontal="left" vertical="center" wrapText="1"/>
    </xf>
    <xf numFmtId="4" fontId="61" fillId="14" borderId="0"/>
    <xf numFmtId="1" fontId="68" fillId="1" borderId="26">
      <protection locked="0"/>
    </xf>
    <xf numFmtId="169" fontId="69" fillId="0" borderId="7" applyNumberFormat="0" applyFill="0">
      <alignment vertical="center"/>
    </xf>
    <xf numFmtId="37" fontId="70" fillId="0" borderId="0" applyNumberFormat="0" applyFill="0" applyBorder="0" applyAlignment="0" applyProtection="0">
      <alignment horizontal="right"/>
    </xf>
    <xf numFmtId="172" fontId="71" fillId="0" borderId="0" applyNumberFormat="0" applyFont="0" applyFill="0" applyBorder="0" applyAlignment="0">
      <protection hidden="1"/>
    </xf>
    <xf numFmtId="0" fontId="72" fillId="0" borderId="0" applyNumberFormat="0" applyFill="0" applyBorder="0" applyProtection="0">
      <alignment horizontal="left" vertical="center"/>
    </xf>
    <xf numFmtId="1" fontId="73" fillId="0" borderId="0"/>
    <xf numFmtId="0" fontId="74" fillId="0" borderId="0"/>
    <xf numFmtId="225" fontId="5" fillId="19" borderId="0" applyBorder="0" applyAlignment="0">
      <alignment horizontal="right"/>
    </xf>
    <xf numFmtId="226" fontId="75" fillId="0" borderId="0" applyFill="0" applyBorder="0" applyAlignment="0" applyProtection="0"/>
    <xf numFmtId="40" fontId="38" fillId="0" borderId="0" applyFont="0" applyFill="0" applyBorder="0" applyAlignment="0" applyProtection="0"/>
    <xf numFmtId="227" fontId="42" fillId="0" borderId="0" applyFont="0" applyFill="0" applyBorder="0" applyAlignment="0" applyProtection="0"/>
    <xf numFmtId="228" fontId="29" fillId="0" borderId="0" applyFont="0" applyFill="0" applyBorder="0" applyAlignment="0" applyProtection="0"/>
    <xf numFmtId="229" fontId="42" fillId="0" borderId="0" applyFont="0" applyFill="0" applyBorder="0" applyAlignment="0" applyProtection="0"/>
    <xf numFmtId="164" fontId="5" fillId="0" borderId="0"/>
    <xf numFmtId="230" fontId="42" fillId="0" borderId="0" applyFont="0" applyFill="0" applyBorder="0" applyAlignment="0" applyProtection="0"/>
    <xf numFmtId="231" fontId="5" fillId="0" borderId="0" applyFont="0" applyFill="0" applyBorder="0" applyAlignment="0"/>
    <xf numFmtId="232" fontId="42" fillId="0" borderId="0" applyFont="0" applyFill="0" applyBorder="0" applyAlignment="0" applyProtection="0"/>
    <xf numFmtId="0" fontId="41" fillId="0" borderId="0" applyFont="0" applyFill="0" applyBorder="0" applyAlignment="0" applyProtection="0">
      <alignment horizontal="right"/>
    </xf>
    <xf numFmtId="170" fontId="5" fillId="13" borderId="0" applyFont="0" applyBorder="0" applyAlignment="0" applyProtection="0">
      <alignment horizontal="right"/>
      <protection hidden="1"/>
    </xf>
    <xf numFmtId="0" fontId="76" fillId="0" borderId="0" applyNumberFormat="0" applyAlignment="0">
      <alignment vertical="center"/>
    </xf>
    <xf numFmtId="0" fontId="49" fillId="0" borderId="27" applyBorder="0" applyAlignment="0" applyProtection="0">
      <alignment horizontal="center"/>
    </xf>
    <xf numFmtId="37" fontId="77" fillId="0" borderId="0"/>
    <xf numFmtId="0" fontId="5" fillId="0" borderId="0"/>
    <xf numFmtId="1" fontId="78" fillId="0" borderId="0" applyFill="0" applyBorder="0"/>
    <xf numFmtId="38" fontId="15" fillId="0" borderId="0" applyFont="0" applyFill="0" applyBorder="0" applyAlignment="0"/>
    <xf numFmtId="218" fontId="5" fillId="0" borderId="0" applyFont="0" applyFill="0" applyBorder="0" applyAlignment="0"/>
    <xf numFmtId="40" fontId="15" fillId="0" borderId="0" applyFont="0" applyFill="0" applyBorder="0" applyAlignment="0"/>
    <xf numFmtId="233" fontId="5" fillId="0" borderId="0" applyFont="0" applyFill="0" applyBorder="0" applyAlignment="0"/>
    <xf numFmtId="0" fontId="5" fillId="0" borderId="0"/>
    <xf numFmtId="0" fontId="5" fillId="0" borderId="0"/>
    <xf numFmtId="218" fontId="46" fillId="0" borderId="0" applyNumberFormat="0" applyFill="0" applyBorder="0" applyAlignment="0" applyProtection="0"/>
    <xf numFmtId="0" fontId="15" fillId="0" borderId="0" applyFont="0" applyFill="0" applyBorder="0" applyAlignment="0" applyProtection="0"/>
    <xf numFmtId="165" fontId="29" fillId="0" borderId="0" applyFill="0" applyBorder="0" applyAlignment="0" applyProtection="0"/>
    <xf numFmtId="0" fontId="5" fillId="0" borderId="0"/>
    <xf numFmtId="167" fontId="5" fillId="0" borderId="0"/>
    <xf numFmtId="37" fontId="79" fillId="0" borderId="0" applyNumberFormat="0" applyFont="0" applyFill="0" applyBorder="0" applyAlignment="0" applyProtection="0"/>
    <xf numFmtId="0" fontId="80" fillId="0" borderId="24"/>
    <xf numFmtId="234" fontId="5" fillId="0" borderId="0" applyFont="0" applyFill="0" applyBorder="0" applyAlignment="0" applyProtection="0"/>
    <xf numFmtId="185" fontId="16" fillId="0" borderId="0" applyFont="0" applyFill="0" applyBorder="0" applyAlignment="0" applyProtection="0">
      <alignment vertical="center"/>
    </xf>
    <xf numFmtId="184" fontId="16" fillId="0" borderId="0" applyFont="0" applyFill="0" applyBorder="0" applyAlignment="0" applyProtection="0">
      <alignment vertical="center"/>
    </xf>
    <xf numFmtId="38" fontId="29" fillId="0" borderId="2" applyFont="0" applyFill="0" applyBorder="0" applyAlignment="0" applyProtection="0"/>
    <xf numFmtId="235" fontId="5" fillId="0" borderId="0" applyFont="0" applyFill="0" applyBorder="0" applyAlignment="0" applyProtection="0"/>
    <xf numFmtId="236" fontId="81" fillId="21" borderId="3" applyFont="0" applyBorder="0"/>
    <xf numFmtId="170" fontId="82" fillId="0" borderId="0"/>
    <xf numFmtId="0" fontId="5" fillId="0" borderId="1">
      <alignment vertical="center" wrapText="1"/>
    </xf>
    <xf numFmtId="1" fontId="5" fillId="0" borderId="0" applyProtection="0">
      <alignment horizontal="right" vertical="center"/>
    </xf>
    <xf numFmtId="0" fontId="39" fillId="0" borderId="28" applyNumberFormat="0" applyAlignment="0" applyProtection="0"/>
    <xf numFmtId="0" fontId="29" fillId="9" borderId="0" applyNumberFormat="0" applyFont="0" applyBorder="0" applyAlignment="0" applyProtection="0"/>
    <xf numFmtId="0" fontId="15" fillId="10" borderId="24" applyNumberFormat="0" applyFont="0" applyBorder="0" applyAlignment="0" applyProtection="0">
      <alignment horizontal="center"/>
    </xf>
    <xf numFmtId="0" fontId="15" fillId="22" borderId="24" applyNumberFormat="0" applyFont="0" applyBorder="0" applyAlignment="0" applyProtection="0">
      <alignment horizontal="center"/>
    </xf>
    <xf numFmtId="0" fontId="29" fillId="0" borderId="29" applyNumberFormat="0" applyAlignment="0" applyProtection="0"/>
    <xf numFmtId="0" fontId="29" fillId="0" borderId="30" applyNumberFormat="0" applyAlignment="0" applyProtection="0"/>
    <xf numFmtId="0" fontId="39" fillId="0" borderId="31" applyNumberFormat="0" applyAlignment="0" applyProtection="0"/>
    <xf numFmtId="0" fontId="49" fillId="0" borderId="7">
      <alignment vertical="center"/>
    </xf>
    <xf numFmtId="0" fontId="15" fillId="0" borderId="0"/>
    <xf numFmtId="164" fontId="83" fillId="0" borderId="0" applyFill="0" applyBorder="0" applyProtection="0">
      <alignment vertical="top"/>
    </xf>
    <xf numFmtId="0" fontId="38" fillId="0" borderId="0" applyFont="0" applyFill="0" applyBorder="0" applyAlignment="0" applyProtection="0"/>
    <xf numFmtId="164" fontId="84" fillId="0" borderId="0" applyFont="0" applyFill="0" applyBorder="0" applyAlignment="0" applyProtection="0"/>
    <xf numFmtId="10" fontId="84" fillId="0" borderId="0" applyFont="0" applyFill="0" applyBorder="0" applyAlignment="0" applyProtection="0"/>
    <xf numFmtId="0" fontId="5" fillId="0" borderId="0" applyFont="0" applyFill="0" applyBorder="0" applyAlignment="0"/>
    <xf numFmtId="222" fontId="5" fillId="0" borderId="0" applyFont="0" applyFill="0" applyBorder="0" applyAlignment="0"/>
    <xf numFmtId="237" fontId="5" fillId="12" borderId="0" applyFont="0" applyFill="0" applyBorder="0" applyAlignment="0" applyProtection="0"/>
    <xf numFmtId="9" fontId="29" fillId="0" borderId="0"/>
    <xf numFmtId="10" fontId="29" fillId="0" borderId="0"/>
    <xf numFmtId="9" fontId="29" fillId="0" borderId="0"/>
    <xf numFmtId="9" fontId="5" fillId="0" borderId="0" applyFont="0" applyFill="0" applyBorder="0" applyAlignment="0" applyProtection="0"/>
    <xf numFmtId="238" fontId="16" fillId="0" borderId="0" applyFont="0" applyFill="0" applyBorder="0" applyAlignment="0" applyProtection="0">
      <alignment horizontal="right" vertical="center"/>
    </xf>
    <xf numFmtId="239" fontId="16" fillId="0" borderId="0" applyFont="0" applyFill="0" applyBorder="0" applyAlignment="0" applyProtection="0">
      <alignment vertical="center"/>
    </xf>
    <xf numFmtId="240" fontId="29" fillId="0" borderId="0" applyFont="0" applyFill="0" applyBorder="0" applyAlignment="0" applyProtection="0"/>
    <xf numFmtId="241" fontId="38" fillId="0" borderId="0" applyFill="0" applyBorder="0">
      <alignment horizontal="right"/>
      <protection locked="0"/>
    </xf>
    <xf numFmtId="219" fontId="33" fillId="0" borderId="0" applyFont="0" applyFill="0" applyBorder="0" applyAlignment="0" applyProtection="0"/>
    <xf numFmtId="178" fontId="5" fillId="0" borderId="0" applyFont="0" applyFill="0" applyBorder="0" applyAlignment="0" applyProtection="0"/>
    <xf numFmtId="191" fontId="33" fillId="0" borderId="0" applyFont="0" applyFill="0" applyBorder="0" applyAlignment="0" applyProtection="0"/>
    <xf numFmtId="218" fontId="33" fillId="0" borderId="0" applyFont="0" applyFill="0" applyBorder="0" applyAlignment="0" applyProtection="0">
      <protection locked="0"/>
    </xf>
    <xf numFmtId="226" fontId="80" fillId="0" borderId="0" applyFill="0" applyBorder="0" applyAlignment="0" applyProtection="0"/>
    <xf numFmtId="242" fontId="5" fillId="0" borderId="0" applyFont="0" applyFill="0" applyBorder="0" applyAlignment="0"/>
    <xf numFmtId="9" fontId="42" fillId="0" borderId="0" applyFont="0" applyFill="0" applyBorder="0" applyAlignment="0" applyProtection="0"/>
    <xf numFmtId="218" fontId="33" fillId="0" borderId="0" applyFill="0" applyBorder="0" applyAlignment="0" applyProtection="0"/>
    <xf numFmtId="38" fontId="33" fillId="0" borderId="0" applyFont="0" applyFill="0" applyBorder="0" applyAlignment="0" applyProtection="0"/>
    <xf numFmtId="191" fontId="85" fillId="0" borderId="32">
      <alignment horizontal="right"/>
    </xf>
    <xf numFmtId="10" fontId="33" fillId="0" borderId="0"/>
    <xf numFmtId="0" fontId="5" fillId="0" borderId="0">
      <alignment horizontal="right"/>
    </xf>
    <xf numFmtId="0" fontId="5" fillId="0" borderId="0"/>
    <xf numFmtId="243" fontId="5" fillId="0" borderId="0"/>
    <xf numFmtId="244" fontId="86" fillId="0" borderId="0"/>
    <xf numFmtId="243" fontId="5" fillId="0" borderId="0"/>
    <xf numFmtId="244" fontId="86" fillId="0" borderId="0"/>
    <xf numFmtId="244" fontId="86" fillId="0" borderId="0"/>
    <xf numFmtId="243" fontId="5" fillId="0" borderId="0"/>
    <xf numFmtId="244" fontId="86" fillId="0" borderId="0"/>
    <xf numFmtId="244" fontId="86" fillId="0" borderId="0"/>
    <xf numFmtId="244" fontId="86" fillId="0" borderId="0"/>
    <xf numFmtId="243" fontId="5" fillId="0" borderId="0"/>
    <xf numFmtId="244" fontId="86" fillId="0" borderId="0"/>
    <xf numFmtId="244" fontId="86" fillId="0" borderId="0"/>
    <xf numFmtId="243" fontId="5" fillId="0" borderId="0"/>
    <xf numFmtId="244" fontId="86" fillId="0" borderId="0"/>
    <xf numFmtId="244" fontId="86" fillId="0" borderId="0"/>
    <xf numFmtId="0" fontId="5" fillId="0" borderId="0"/>
    <xf numFmtId="0" fontId="5" fillId="0" borderId="0"/>
    <xf numFmtId="0" fontId="5" fillId="0" borderId="0"/>
    <xf numFmtId="245" fontId="38" fillId="0" borderId="0">
      <alignment horizontal="right"/>
      <protection locked="0"/>
    </xf>
    <xf numFmtId="218" fontId="87" fillId="0" borderId="0" applyNumberFormat="0" applyFill="0" applyBorder="0" applyAlignment="0" applyProtection="0">
      <alignment horizontal="left"/>
    </xf>
    <xf numFmtId="218" fontId="47" fillId="0" borderId="0" applyFont="0" applyFill="0" applyBorder="0" applyAlignment="0" applyProtection="0"/>
    <xf numFmtId="0" fontId="88" fillId="0" borderId="0" applyNumberFormat="0" applyFill="0" applyBorder="0" applyProtection="0">
      <alignment horizontal="right" vertical="center"/>
    </xf>
    <xf numFmtId="0" fontId="5" fillId="0" borderId="0">
      <alignment horizontal="right"/>
    </xf>
    <xf numFmtId="0" fontId="5" fillId="0" borderId="0">
      <alignment horizontal="right"/>
    </xf>
    <xf numFmtId="0" fontId="5" fillId="0" borderId="0" applyFill="0" applyBorder="0" applyProtection="0">
      <alignment horizontal="right"/>
    </xf>
    <xf numFmtId="0" fontId="5" fillId="0" borderId="0">
      <alignment horizontal="right"/>
    </xf>
    <xf numFmtId="0" fontId="29" fillId="0" borderId="33" applyNumberFormat="0" applyFont="0" applyFill="0" applyAlignment="0" applyProtection="0"/>
    <xf numFmtId="0" fontId="39" fillId="8" borderId="34" applyNumberFormat="0" applyBorder="0" applyProtection="0">
      <alignment horizontal="left" wrapText="1"/>
    </xf>
    <xf numFmtId="0" fontId="39" fillId="8" borderId="0" applyNumberFormat="0" applyBorder="0" applyProtection="0">
      <alignment horizontal="left"/>
    </xf>
    <xf numFmtId="0" fontId="89" fillId="23" borderId="0" applyFont="0" applyFill="0" applyAlignment="0"/>
    <xf numFmtId="0" fontId="8" fillId="0" borderId="0" applyNumberFormat="0" applyFill="0" applyBorder="0">
      <alignment horizontal="left" vertical="center" wrapText="1"/>
    </xf>
    <xf numFmtId="0" fontId="16" fillId="0" borderId="0" applyNumberFormat="0" applyFill="0" applyBorder="0">
      <alignment horizontal="left" vertical="center" wrapText="1" indent="1"/>
    </xf>
    <xf numFmtId="0" fontId="15"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210" fontId="90" fillId="0" borderId="3" applyNumberFormat="0" applyFill="0" applyBorder="0">
      <protection locked="0"/>
    </xf>
    <xf numFmtId="0" fontId="5" fillId="0" borderId="35">
      <alignment vertical="center"/>
    </xf>
    <xf numFmtId="246" fontId="91" fillId="0" borderId="0" applyFill="0" applyBorder="0">
      <alignment horizontal="right"/>
      <protection hidden="1"/>
    </xf>
    <xf numFmtId="0" fontId="92" fillId="0" borderId="0" applyNumberFormat="0" applyFill="0" applyBorder="0" applyProtection="0">
      <alignment horizontal="left" vertical="center"/>
    </xf>
    <xf numFmtId="0" fontId="93" fillId="11" borderId="1">
      <alignment horizontal="center" vertical="center" wrapText="1"/>
      <protection hidden="1"/>
    </xf>
    <xf numFmtId="40" fontId="38" fillId="0" borderId="0" applyFont="0" applyFill="0" applyBorder="0" applyAlignment="0" applyProtection="0"/>
    <xf numFmtId="183" fontId="33" fillId="0" borderId="0" applyFill="0" applyBorder="0" applyAlignment="0" applyProtection="0">
      <protection locked="0"/>
    </xf>
    <xf numFmtId="0" fontId="35" fillId="0" borderId="0" applyFill="0" applyBorder="0" applyAlignment="0" applyProtection="0"/>
    <xf numFmtId="40" fontId="29" fillId="0" borderId="0" applyFont="0" applyFill="0" applyBorder="0" applyAlignment="0" applyProtection="0"/>
    <xf numFmtId="247" fontId="29" fillId="0" borderId="0" applyFont="0" applyFill="0" applyBorder="0" applyAlignment="0" applyProtection="0"/>
    <xf numFmtId="169" fontId="69" fillId="0" borderId="0" applyNumberFormat="0" applyFill="0" applyBorder="0" applyAlignment="0"/>
    <xf numFmtId="0" fontId="38" fillId="0" borderId="0"/>
    <xf numFmtId="0" fontId="29" fillId="0" borderId="0" applyFont="0" applyFill="0" applyBorder="0" applyAlignment="0" applyProtection="0"/>
    <xf numFmtId="0" fontId="15" fillId="9" borderId="0" applyNumberFormat="0" applyFont="0" applyBorder="0" applyAlignment="0">
      <protection hidden="1"/>
    </xf>
    <xf numFmtId="0" fontId="84" fillId="0" borderId="0"/>
    <xf numFmtId="0" fontId="94" fillId="0" borderId="0" applyNumberFormat="0" applyFill="0" applyBorder="0" applyProtection="0">
      <alignment horizontal="left" vertical="center"/>
    </xf>
    <xf numFmtId="185" fontId="8" fillId="0" borderId="36" applyNumberFormat="0" applyFill="0" applyAlignment="0" applyProtection="0">
      <alignment vertical="center"/>
    </xf>
    <xf numFmtId="0" fontId="33" fillId="0" borderId="0"/>
    <xf numFmtId="185" fontId="16" fillId="0" borderId="37" applyNumberFormat="0" applyFont="0" applyFill="0" applyAlignment="0" applyProtection="0">
      <alignment vertical="center"/>
    </xf>
    <xf numFmtId="0" fontId="5" fillId="0" borderId="0" applyBorder="0" applyProtection="0">
      <alignment vertical="center"/>
    </xf>
    <xf numFmtId="0" fontId="41" fillId="0" borderId="7" applyBorder="0" applyProtection="0">
      <alignment horizontal="right" vertical="center"/>
    </xf>
    <xf numFmtId="0" fontId="5" fillId="24" borderId="0" applyBorder="0" applyProtection="0">
      <alignment horizontal="centerContinuous" vertical="center"/>
    </xf>
    <xf numFmtId="0" fontId="5" fillId="6" borderId="7" applyBorder="0" applyProtection="0">
      <alignment horizontal="centerContinuous" vertical="center"/>
    </xf>
    <xf numFmtId="0" fontId="5" fillId="0" borderId="0">
      <alignment horizontal="left"/>
    </xf>
    <xf numFmtId="165" fontId="15" fillId="0" borderId="0">
      <alignment horizontal="right"/>
    </xf>
    <xf numFmtId="3" fontId="15" fillId="0" borderId="0">
      <alignment horizontal="right"/>
    </xf>
    <xf numFmtId="0" fontId="16" fillId="13" borderId="0" applyNumberFormat="0" applyFont="0" applyBorder="0" applyAlignment="0" applyProtection="0">
      <alignment vertical="center"/>
    </xf>
    <xf numFmtId="0" fontId="5" fillId="0" borderId="0">
      <alignment horizontal="left"/>
    </xf>
    <xf numFmtId="0" fontId="95" fillId="0" borderId="0" applyFill="0" applyBorder="0" applyProtection="0"/>
    <xf numFmtId="0" fontId="5" fillId="0" borderId="0"/>
    <xf numFmtId="0" fontId="5" fillId="0" borderId="0" applyFill="0" applyBorder="0" applyProtection="0">
      <alignment horizontal="left"/>
    </xf>
    <xf numFmtId="0" fontId="16" fillId="0" borderId="0" applyNumberFormat="0" applyFont="0" applyFill="0" applyAlignment="0" applyProtection="0">
      <alignment vertical="center"/>
    </xf>
    <xf numFmtId="0" fontId="5" fillId="0" borderId="3" applyFill="0" applyBorder="0" applyProtection="0">
      <alignment horizontal="left" vertical="top"/>
    </xf>
    <xf numFmtId="185" fontId="16" fillId="0" borderId="0" applyNumberFormat="0" applyFont="0" applyBorder="0" applyAlignment="0" applyProtection="0">
      <alignment vertical="center"/>
    </xf>
    <xf numFmtId="0" fontId="5" fillId="23" borderId="38" applyNumberFormat="0" applyAlignment="0" applyProtection="0">
      <alignment vertical="center"/>
    </xf>
    <xf numFmtId="0" fontId="33" fillId="0" borderId="0"/>
    <xf numFmtId="0" fontId="96" fillId="0" borderId="0">
      <alignment horizontal="centerContinuous"/>
    </xf>
    <xf numFmtId="0" fontId="5" fillId="18" borderId="0" applyNumberFormat="0" applyFont="0" applyBorder="0" applyAlignment="0" applyProtection="0"/>
    <xf numFmtId="49" fontId="41" fillId="0" borderId="7">
      <alignment vertical="center"/>
    </xf>
    <xf numFmtId="49" fontId="16" fillId="0" borderId="0" applyFont="0" applyFill="0" applyBorder="0" applyAlignment="0" applyProtection="0">
      <alignment horizontal="center" vertical="center"/>
    </xf>
    <xf numFmtId="0" fontId="5" fillId="0" borderId="0"/>
    <xf numFmtId="0" fontId="5" fillId="0" borderId="0"/>
    <xf numFmtId="0" fontId="5" fillId="0" borderId="0"/>
    <xf numFmtId="0" fontId="5" fillId="0" borderId="0"/>
    <xf numFmtId="0" fontId="5" fillId="0" borderId="0"/>
    <xf numFmtId="0" fontId="5" fillId="0" borderId="0"/>
    <xf numFmtId="248" fontId="5" fillId="0" borderId="0" applyFill="0" applyBorder="0" applyAlignment="0" applyProtection="0">
      <alignment horizontal="right"/>
    </xf>
    <xf numFmtId="1" fontId="47" fillId="0" borderId="4" applyFill="0" applyBorder="0" applyProtection="0">
      <alignment horizontal="right"/>
    </xf>
    <xf numFmtId="249" fontId="5" fillId="0" borderId="0"/>
    <xf numFmtId="0" fontId="29" fillId="0" borderId="0" applyNumberFormat="0" applyFill="0" applyBorder="0" applyAlignment="0" applyProtection="0"/>
    <xf numFmtId="0" fontId="45" fillId="0" borderId="0" applyNumberFormat="0" applyFill="0" applyBorder="0" applyAlignment="0" applyProtection="0"/>
    <xf numFmtId="250" fontId="86" fillId="0" borderId="0"/>
    <xf numFmtId="0" fontId="39" fillId="8" borderId="15" applyNumberFormat="0" applyProtection="0">
      <alignment horizontal="left" vertical="center"/>
    </xf>
    <xf numFmtId="0" fontId="47" fillId="0" borderId="0" applyFill="0" applyBorder="0" applyProtection="0"/>
    <xf numFmtId="0" fontId="5" fillId="0" borderId="39"/>
    <xf numFmtId="218" fontId="97" fillId="0" borderId="40"/>
    <xf numFmtId="218" fontId="85" fillId="0" borderId="0" applyNumberFormat="0" applyFill="0" applyBorder="0" applyAlignment="0" applyProtection="0"/>
    <xf numFmtId="0" fontId="38" fillId="0" borderId="0" applyBorder="0"/>
    <xf numFmtId="210" fontId="30" fillId="0" borderId="0" applyNumberFormat="0" applyFill="0" applyBorder="0" applyAlignment="0"/>
    <xf numFmtId="0" fontId="5" fillId="0" borderId="0"/>
    <xf numFmtId="0" fontId="5" fillId="0" borderId="0"/>
    <xf numFmtId="0" fontId="5" fillId="0" borderId="0" applyNumberFormat="0" applyFont="0" applyFill="0" applyBorder="0" applyAlignment="0">
      <alignment horizontal="left" vertical="center"/>
    </xf>
    <xf numFmtId="172" fontId="5" fillId="0" borderId="10" applyNumberFormat="0" applyFont="0" applyFill="0" applyAlignment="0"/>
    <xf numFmtId="0" fontId="8" fillId="9" borderId="0" applyNumberFormat="0" applyAlignment="0" applyProtection="0">
      <alignment horizontal="left" vertical="center" wrapText="1"/>
    </xf>
    <xf numFmtId="233" fontId="5" fillId="0" borderId="0" applyFont="0" applyFill="0" applyBorder="0" applyAlignment="0" applyProtection="0"/>
    <xf numFmtId="251" fontId="5" fillId="0" borderId="0" applyFont="0" applyFill="0" applyBorder="0" applyAlignment="0" applyProtection="0"/>
    <xf numFmtId="182" fontId="5" fillId="0" borderId="0" applyFont="0" applyFill="0" applyBorder="0" applyAlignment="0" applyProtection="0"/>
    <xf numFmtId="171" fontId="98" fillId="0" borderId="7" applyAlignment="0">
      <alignment horizontal="left"/>
      <protection locked="0"/>
    </xf>
    <xf numFmtId="0" fontId="16" fillId="0" borderId="0" applyNumberFormat="0" applyFont="0" applyBorder="0" applyAlignment="0" applyProtection="0">
      <alignment vertical="center"/>
    </xf>
    <xf numFmtId="0" fontId="5" fillId="0" borderId="0"/>
    <xf numFmtId="0" fontId="99" fillId="0" borderId="0"/>
    <xf numFmtId="0" fontId="16" fillId="0" borderId="0" applyNumberFormat="0" applyFont="0" applyAlignment="0" applyProtection="0">
      <alignment vertical="center"/>
    </xf>
    <xf numFmtId="252" fontId="5" fillId="0" borderId="0" applyNumberFormat="0"/>
    <xf numFmtId="253" fontId="5" fillId="0" borderId="0" applyFont="0" applyFill="0" applyBorder="0" applyAlignment="0" applyProtection="0"/>
    <xf numFmtId="0" fontId="100" fillId="0" borderId="0" applyNumberFormat="0" applyFont="0" applyFill="0" applyBorder="0" applyAlignment="0" applyProtection="0">
      <alignment horizontal="left"/>
    </xf>
    <xf numFmtId="0" fontId="101" fillId="0" borderId="0" applyNumberFormat="0" applyFill="0" applyBorder="0" applyAlignment="0" applyProtection="0"/>
    <xf numFmtId="1" fontId="33" fillId="0" borderId="0" applyFont="0" applyFill="0" applyBorder="0" applyAlignment="0" applyProtection="0"/>
    <xf numFmtId="0" fontId="29" fillId="8" borderId="0" applyNumberFormat="0" applyBorder="0" applyProtection="0">
      <alignment horizontal="left"/>
    </xf>
    <xf numFmtId="222" fontId="33" fillId="0" borderId="0" applyFont="0" applyFill="0" applyBorder="0" applyProtection="0">
      <alignment horizontal="right"/>
    </xf>
    <xf numFmtId="0" fontId="35" fillId="0" borderId="0" applyFont="0" applyFill="0" applyBorder="0" applyAlignment="0" applyProtection="0"/>
    <xf numFmtId="40" fontId="102" fillId="0" borderId="0" applyFont="0" applyFill="0" applyBorder="0" applyAlignment="0" applyProtection="0"/>
    <xf numFmtId="38" fontId="102" fillId="0" borderId="0" applyFont="0" applyFill="0" applyBorder="0" applyAlignment="0" applyProtection="0"/>
    <xf numFmtId="0" fontId="102" fillId="0" borderId="0" applyFont="0" applyFill="0" applyBorder="0" applyAlignment="0" applyProtection="0"/>
    <xf numFmtId="0" fontId="102" fillId="0" borderId="0" applyFont="0" applyFill="0" applyBorder="0" applyAlignment="0" applyProtection="0"/>
    <xf numFmtId="0" fontId="103" fillId="0" borderId="0"/>
    <xf numFmtId="0" fontId="104" fillId="0" borderId="0" applyFont="0" applyFill="0" applyBorder="0" applyAlignment="0" applyProtection="0"/>
    <xf numFmtId="0" fontId="104" fillId="0" borderId="0" applyFont="0" applyFill="0" applyBorder="0" applyAlignment="0" applyProtection="0"/>
    <xf numFmtId="254" fontId="5" fillId="0" borderId="0" applyFont="0" applyFill="0" applyBorder="0" applyAlignment="0" applyProtection="0"/>
    <xf numFmtId="0" fontId="104" fillId="0" borderId="0" applyFont="0" applyFill="0" applyBorder="0" applyAlignment="0" applyProtection="0"/>
    <xf numFmtId="0" fontId="105" fillId="0" borderId="0"/>
    <xf numFmtId="0" fontId="20" fillId="0" borderId="0"/>
    <xf numFmtId="0" fontId="15" fillId="0" borderId="0"/>
    <xf numFmtId="43" fontId="5" fillId="0" borderId="0" applyFont="0" applyFill="0" applyBorder="0" applyAlignment="0" applyProtection="0"/>
    <xf numFmtId="0" fontId="5" fillId="0" borderId="0"/>
    <xf numFmtId="0" fontId="148" fillId="0" borderId="0"/>
    <xf numFmtId="182" fontId="148" fillId="0" borderId="0" applyFont="0" applyFill="0" applyBorder="0" applyAlignment="0" applyProtection="0"/>
  </cellStyleXfs>
  <cellXfs count="1727">
    <xf numFmtId="0" fontId="0" fillId="0" borderId="0" xfId="0"/>
    <xf numFmtId="0" fontId="1" fillId="0" borderId="0" xfId="0" applyFont="1"/>
    <xf numFmtId="0" fontId="3" fillId="0" borderId="0" xfId="0" applyFont="1"/>
    <xf numFmtId="0" fontId="0" fillId="0" borderId="0" xfId="0" applyAlignment="1">
      <alignment horizontal="right"/>
    </xf>
    <xf numFmtId="1" fontId="0" fillId="0" borderId="0" xfId="0" applyNumberFormat="1"/>
    <xf numFmtId="17" fontId="0" fillId="0" borderId="0" xfId="0" applyNumberFormat="1"/>
    <xf numFmtId="1" fontId="0" fillId="0" borderId="1" xfId="0" applyNumberFormat="1" applyBorder="1"/>
    <xf numFmtId="0" fontId="4" fillId="0" borderId="0" xfId="1"/>
    <xf numFmtId="9" fontId="0" fillId="0" borderId="0" xfId="0" applyNumberFormat="1"/>
    <xf numFmtId="10" fontId="0" fillId="0" borderId="0" xfId="0" applyNumberFormat="1"/>
    <xf numFmtId="164" fontId="0" fillId="0" borderId="0" xfId="0" applyNumberFormat="1"/>
    <xf numFmtId="0" fontId="6" fillId="0" borderId="0" xfId="2" applyFont="1"/>
    <xf numFmtId="165" fontId="7" fillId="0" borderId="2" xfId="2" applyNumberFormat="1" applyFont="1" applyBorder="1" applyAlignment="1">
      <alignment horizontal="center" vertical="center" wrapText="1"/>
    </xf>
    <xf numFmtId="0" fontId="5" fillId="0" borderId="0" xfId="2"/>
    <xf numFmtId="0" fontId="5" fillId="0" borderId="0" xfId="2" applyAlignment="1">
      <alignment wrapText="1"/>
    </xf>
    <xf numFmtId="165" fontId="8" fillId="0" borderId="2" xfId="2" applyNumberFormat="1" applyFont="1" applyBorder="1" applyAlignment="1">
      <alignment horizontal="center" vertical="top" wrapText="1"/>
    </xf>
    <xf numFmtId="165" fontId="8" fillId="0" borderId="3" xfId="2" applyNumberFormat="1" applyFont="1" applyBorder="1" applyAlignment="1">
      <alignment horizontal="center" vertical="top" wrapText="1"/>
    </xf>
    <xf numFmtId="165" fontId="8" fillId="0" borderId="0" xfId="2" applyNumberFormat="1" applyFont="1" applyAlignment="1">
      <alignment horizontal="center" vertical="top" wrapText="1"/>
    </xf>
    <xf numFmtId="165" fontId="9" fillId="0" borderId="2" xfId="2" applyNumberFormat="1" applyFont="1" applyBorder="1" applyAlignment="1">
      <alignment horizontal="center" vertical="top" wrapText="1"/>
    </xf>
    <xf numFmtId="165" fontId="9" fillId="0" borderId="3" xfId="2" applyNumberFormat="1" applyFont="1" applyBorder="1" applyAlignment="1">
      <alignment horizontal="center" vertical="top" wrapText="1"/>
    </xf>
    <xf numFmtId="165" fontId="9" fillId="0" borderId="0" xfId="2" applyNumberFormat="1" applyFont="1" applyAlignment="1">
      <alignment horizontal="center" vertical="top" wrapText="1"/>
    </xf>
    <xf numFmtId="0" fontId="6" fillId="0" borderId="0" xfId="2" applyFont="1" applyAlignment="1">
      <alignment horizontal="center" wrapText="1"/>
    </xf>
    <xf numFmtId="165" fontId="10" fillId="0" borderId="0" xfId="2" applyNumberFormat="1" applyFont="1" applyAlignment="1">
      <alignment vertical="top"/>
    </xf>
    <xf numFmtId="165" fontId="11" fillId="0" borderId="2" xfId="2" applyNumberFormat="1" applyFont="1" applyBorder="1" applyAlignment="1">
      <alignment horizontal="right" vertical="top" wrapText="1"/>
    </xf>
    <xf numFmtId="165" fontId="11" fillId="0" borderId="3" xfId="2" applyNumberFormat="1" applyFont="1" applyBorder="1" applyAlignment="1">
      <alignment horizontal="right" vertical="top" wrapText="1"/>
    </xf>
    <xf numFmtId="165" fontId="11" fillId="0" borderId="0" xfId="2" applyNumberFormat="1" applyFont="1" applyAlignment="1">
      <alignment horizontal="right" vertical="top" wrapText="1"/>
    </xf>
    <xf numFmtId="165" fontId="5" fillId="0" borderId="0" xfId="2" applyNumberFormat="1"/>
    <xf numFmtId="165" fontId="12" fillId="0" borderId="4" xfId="2" applyNumberFormat="1" applyFont="1" applyBorder="1" applyAlignment="1">
      <alignment vertical="top"/>
    </xf>
    <xf numFmtId="165" fontId="13" fillId="0" borderId="5" xfId="2" applyNumberFormat="1" applyFont="1" applyBorder="1" applyAlignment="1">
      <alignment horizontal="right" vertical="top" wrapText="1"/>
    </xf>
    <xf numFmtId="165" fontId="13" fillId="0" borderId="6" xfId="2" applyNumberFormat="1" applyFont="1" applyBorder="1" applyAlignment="1">
      <alignment horizontal="right" vertical="top" wrapText="1"/>
    </xf>
    <xf numFmtId="165" fontId="13" fillId="0" borderId="4" xfId="2" applyNumberFormat="1" applyFont="1" applyBorder="1" applyAlignment="1">
      <alignment horizontal="right" vertical="top" wrapText="1"/>
    </xf>
    <xf numFmtId="165" fontId="14" fillId="0" borderId="2" xfId="2" applyNumberFormat="1" applyFont="1" applyBorder="1" applyAlignment="1">
      <alignment horizontal="right" vertical="top" wrapText="1"/>
    </xf>
    <xf numFmtId="165" fontId="14" fillId="0" borderId="3" xfId="2" applyNumberFormat="1" applyFont="1" applyBorder="1" applyAlignment="1">
      <alignment horizontal="right" vertical="top" wrapText="1"/>
    </xf>
    <xf numFmtId="165" fontId="14" fillId="0" borderId="0" xfId="2" applyNumberFormat="1" applyFont="1" applyAlignment="1">
      <alignment horizontal="right" vertical="top" wrapText="1"/>
    </xf>
    <xf numFmtId="165" fontId="12" fillId="0" borderId="0" xfId="2" applyNumberFormat="1" applyFont="1" applyAlignment="1">
      <alignment vertical="top"/>
    </xf>
    <xf numFmtId="165" fontId="13" fillId="0" borderId="2" xfId="2" applyNumberFormat="1" applyFont="1" applyBorder="1" applyAlignment="1">
      <alignment horizontal="right" vertical="top" wrapText="1"/>
    </xf>
    <xf numFmtId="165" fontId="13" fillId="0" borderId="3" xfId="2" applyNumberFormat="1" applyFont="1" applyBorder="1" applyAlignment="1">
      <alignment horizontal="right" vertical="top" wrapText="1"/>
    </xf>
    <xf numFmtId="165" fontId="13" fillId="0" borderId="0" xfId="2" applyNumberFormat="1" applyFont="1" applyAlignment="1">
      <alignment horizontal="right" vertical="top" wrapText="1"/>
    </xf>
    <xf numFmtId="165" fontId="15" fillId="0" borderId="0" xfId="2" applyNumberFormat="1" applyFont="1" applyAlignment="1">
      <alignment vertical="top"/>
    </xf>
    <xf numFmtId="9" fontId="0" fillId="0" borderId="0" xfId="3" applyFont="1" applyFill="1" applyBorder="1"/>
    <xf numFmtId="9" fontId="5" fillId="0" borderId="0" xfId="2" applyNumberFormat="1"/>
    <xf numFmtId="9" fontId="6" fillId="0" borderId="4" xfId="2" applyNumberFormat="1" applyFont="1" applyBorder="1"/>
    <xf numFmtId="0" fontId="2" fillId="0" borderId="0" xfId="0" applyFont="1"/>
    <xf numFmtId="0" fontId="19" fillId="0" borderId="4" xfId="7" applyFont="1" applyBorder="1"/>
    <xf numFmtId="0" fontId="19" fillId="0" borderId="0" xfId="7" applyFont="1"/>
    <xf numFmtId="0" fontId="20" fillId="0" borderId="0" xfId="7" applyFont="1"/>
    <xf numFmtId="9" fontId="19" fillId="0" borderId="0" xfId="7" applyNumberFormat="1" applyFont="1"/>
    <xf numFmtId="9" fontId="20" fillId="0" borderId="0" xfId="7" applyNumberFormat="1" applyFont="1"/>
    <xf numFmtId="0" fontId="20" fillId="0" borderId="0" xfId="0" applyFont="1"/>
    <xf numFmtId="0" fontId="20" fillId="0" borderId="7" xfId="7" applyFont="1" applyBorder="1"/>
    <xf numFmtId="3" fontId="19" fillId="0" borderId="0" xfId="7" applyNumberFormat="1" applyFont="1"/>
    <xf numFmtId="3" fontId="20" fillId="0" borderId="0" xfId="7" applyNumberFormat="1" applyFont="1"/>
    <xf numFmtId="165" fontId="23" fillId="0" borderId="0" xfId="2" applyNumberFormat="1" applyFont="1" applyAlignment="1">
      <alignment vertical="top"/>
    </xf>
    <xf numFmtId="165" fontId="24" fillId="0" borderId="4" xfId="2" applyNumberFormat="1" applyFont="1" applyBorder="1" applyAlignment="1">
      <alignment vertical="top"/>
    </xf>
    <xf numFmtId="0" fontId="5" fillId="0" borderId="0" xfId="8"/>
    <xf numFmtId="0" fontId="20" fillId="0" borderId="0" xfId="9" applyFont="1"/>
    <xf numFmtId="9" fontId="20" fillId="0" borderId="0" xfId="9" applyNumberFormat="1" applyFont="1"/>
    <xf numFmtId="3" fontId="19" fillId="0" borderId="0" xfId="9" applyNumberFormat="1" applyFont="1"/>
    <xf numFmtId="171" fontId="20" fillId="0" borderId="0" xfId="9" applyNumberFormat="1" applyFont="1"/>
    <xf numFmtId="164" fontId="20" fillId="0" borderId="0" xfId="9" applyNumberFormat="1" applyFont="1"/>
    <xf numFmtId="171" fontId="19" fillId="0" borderId="0" xfId="9" applyNumberFormat="1" applyFont="1"/>
    <xf numFmtId="0" fontId="0" fillId="0" borderId="7" xfId="0" applyBorder="1"/>
    <xf numFmtId="0" fontId="19" fillId="0" borderId="0" xfId="9" applyFont="1"/>
    <xf numFmtId="164" fontId="20" fillId="2" borderId="0" xfId="9" applyNumberFormat="1" applyFont="1" applyFill="1"/>
    <xf numFmtId="166" fontId="20" fillId="0" borderId="0" xfId="4" applyNumberFormat="1" applyFont="1"/>
    <xf numFmtId="166" fontId="20" fillId="0" borderId="0" xfId="9" applyNumberFormat="1" applyFont="1"/>
    <xf numFmtId="0" fontId="106" fillId="0" borderId="0" xfId="0" applyFont="1"/>
    <xf numFmtId="0" fontId="106" fillId="0" borderId="7" xfId="0" applyFont="1" applyBorder="1"/>
    <xf numFmtId="0" fontId="106" fillId="0" borderId="7" xfId="0" applyFont="1" applyBorder="1" applyAlignment="1">
      <alignment horizontal="right"/>
    </xf>
    <xf numFmtId="9" fontId="106" fillId="0" borderId="0" xfId="0" applyNumberFormat="1" applyFont="1"/>
    <xf numFmtId="0" fontId="107" fillId="0" borderId="0" xfId="0" applyFont="1"/>
    <xf numFmtId="1" fontId="106" fillId="0" borderId="0" xfId="0" applyNumberFormat="1" applyFont="1"/>
    <xf numFmtId="166" fontId="106" fillId="0" borderId="0" xfId="0" applyNumberFormat="1" applyFont="1"/>
    <xf numFmtId="9" fontId="106" fillId="0" borderId="7" xfId="0" applyNumberFormat="1" applyFont="1" applyBorder="1"/>
    <xf numFmtId="0" fontId="108" fillId="0" borderId="0" xfId="0" applyFont="1"/>
    <xf numFmtId="9" fontId="106" fillId="3" borderId="0" xfId="0" applyNumberFormat="1" applyFont="1" applyFill="1"/>
    <xf numFmtId="1" fontId="106" fillId="0" borderId="7" xfId="0" applyNumberFormat="1" applyFont="1" applyBorder="1"/>
    <xf numFmtId="9" fontId="106" fillId="3" borderId="7" xfId="0" applyNumberFormat="1" applyFont="1" applyFill="1" applyBorder="1"/>
    <xf numFmtId="0" fontId="19" fillId="0" borderId="4" xfId="410" applyFont="1" applyBorder="1"/>
    <xf numFmtId="0" fontId="20" fillId="0" borderId="0" xfId="410"/>
    <xf numFmtId="167" fontId="20" fillId="0" borderId="0" xfId="4" applyNumberFormat="1" applyFont="1" applyFill="1"/>
    <xf numFmtId="167" fontId="20" fillId="2" borderId="0" xfId="4" applyNumberFormat="1" applyFont="1" applyFill="1"/>
    <xf numFmtId="167" fontId="20" fillId="0" borderId="0" xfId="4" applyNumberFormat="1" applyFont="1"/>
    <xf numFmtId="164" fontId="20" fillId="0" borderId="0" xfId="410" applyNumberFormat="1"/>
    <xf numFmtId="164" fontId="20" fillId="2" borderId="0" xfId="410" applyNumberFormat="1" applyFill="1"/>
    <xf numFmtId="166" fontId="20" fillId="2" borderId="0" xfId="4" applyNumberFormat="1" applyFont="1" applyFill="1"/>
    <xf numFmtId="166" fontId="20" fillId="2" borderId="0" xfId="410" applyNumberFormat="1" applyFill="1"/>
    <xf numFmtId="166" fontId="20" fillId="0" borderId="0" xfId="410" applyNumberFormat="1"/>
    <xf numFmtId="166" fontId="20" fillId="0" borderId="0" xfId="4" applyNumberFormat="1" applyFont="1" applyFill="1"/>
    <xf numFmtId="166" fontId="20" fillId="0" borderId="0" xfId="4" applyNumberFormat="1" applyFont="1" applyFill="1" applyBorder="1"/>
    <xf numFmtId="166" fontId="20" fillId="2" borderId="0" xfId="4" applyNumberFormat="1" applyFont="1" applyFill="1" applyBorder="1"/>
    <xf numFmtId="0" fontId="20" fillId="0" borderId="7" xfId="410" applyBorder="1"/>
    <xf numFmtId="166" fontId="20" fillId="0" borderId="7" xfId="4" applyNumberFormat="1" applyFont="1" applyFill="1" applyBorder="1"/>
    <xf numFmtId="166" fontId="20" fillId="2" borderId="7" xfId="4" applyNumberFormat="1" applyFont="1" applyFill="1" applyBorder="1"/>
    <xf numFmtId="166" fontId="20" fillId="2" borderId="7" xfId="410" applyNumberFormat="1" applyFill="1" applyBorder="1"/>
    <xf numFmtId="166" fontId="20" fillId="0" borderId="7" xfId="410" applyNumberFormat="1" applyBorder="1"/>
    <xf numFmtId="0" fontId="19" fillId="0" borderId="0" xfId="410" applyFont="1"/>
    <xf numFmtId="166" fontId="19" fillId="0" borderId="0" xfId="410" applyNumberFormat="1" applyFont="1"/>
    <xf numFmtId="9" fontId="20" fillId="0" borderId="0" xfId="410" applyNumberFormat="1"/>
    <xf numFmtId="9" fontId="20" fillId="0" borderId="7" xfId="410" applyNumberFormat="1" applyBorder="1"/>
    <xf numFmtId="164" fontId="20" fillId="0" borderId="7" xfId="410" applyNumberFormat="1" applyBorder="1"/>
    <xf numFmtId="164" fontId="20" fillId="3" borderId="0" xfId="410" applyNumberFormat="1" applyFill="1"/>
    <xf numFmtId="164" fontId="20" fillId="3" borderId="7" xfId="410" applyNumberFormat="1" applyFill="1" applyBorder="1"/>
    <xf numFmtId="9" fontId="20" fillId="3" borderId="0" xfId="410" applyNumberFormat="1" applyFill="1"/>
    <xf numFmtId="9" fontId="20" fillId="0" borderId="0" xfId="4" applyNumberFormat="1" applyFont="1"/>
    <xf numFmtId="0" fontId="109" fillId="0" borderId="7" xfId="0" applyFont="1" applyBorder="1"/>
    <xf numFmtId="0" fontId="109" fillId="0" borderId="0" xfId="0" applyFont="1"/>
    <xf numFmtId="166" fontId="109" fillId="0" borderId="0" xfId="0" applyNumberFormat="1" applyFont="1"/>
    <xf numFmtId="166" fontId="109" fillId="0" borderId="7" xfId="0" applyNumberFormat="1" applyFont="1" applyBorder="1"/>
    <xf numFmtId="170" fontId="109" fillId="0" borderId="0" xfId="0" applyNumberFormat="1" applyFont="1"/>
    <xf numFmtId="166" fontId="20" fillId="0" borderId="7" xfId="4" applyNumberFormat="1" applyFont="1" applyBorder="1"/>
    <xf numFmtId="0" fontId="106" fillId="0" borderId="0" xfId="0" applyFont="1" applyAlignment="1">
      <alignment horizontal="right"/>
    </xf>
    <xf numFmtId="170" fontId="106" fillId="0" borderId="0" xfId="0" applyNumberFormat="1" applyFont="1"/>
    <xf numFmtId="17" fontId="108" fillId="0" borderId="0" xfId="0" applyNumberFormat="1" applyFont="1" applyAlignment="1">
      <alignment horizontal="left"/>
    </xf>
    <xf numFmtId="1" fontId="106" fillId="3" borderId="0" xfId="0" applyNumberFormat="1" applyFont="1" applyFill="1"/>
    <xf numFmtId="0" fontId="110" fillId="0" borderId="0" xfId="0" applyFont="1"/>
    <xf numFmtId="164" fontId="106" fillId="0" borderId="0" xfId="0" applyNumberFormat="1" applyFont="1"/>
    <xf numFmtId="164" fontId="106" fillId="3" borderId="0" xfId="0" applyNumberFormat="1" applyFont="1" applyFill="1"/>
    <xf numFmtId="1" fontId="106" fillId="3" borderId="0" xfId="0" applyNumberFormat="1" applyFont="1" applyFill="1" applyAlignment="1">
      <alignment horizontal="right"/>
    </xf>
    <xf numFmtId="0" fontId="106" fillId="3" borderId="0" xfId="0" applyFont="1" applyFill="1"/>
    <xf numFmtId="10" fontId="106" fillId="3" borderId="0" xfId="0" applyNumberFormat="1" applyFont="1" applyFill="1"/>
    <xf numFmtId="0" fontId="111" fillId="0" borderId="0" xfId="0" applyFont="1"/>
    <xf numFmtId="3" fontId="0" fillId="0" borderId="0" xfId="0" applyNumberFormat="1"/>
    <xf numFmtId="164" fontId="106" fillId="0" borderId="7" xfId="0" applyNumberFormat="1" applyFont="1" applyBorder="1"/>
    <xf numFmtId="3" fontId="106" fillId="3" borderId="0" xfId="0" applyNumberFormat="1" applyFont="1" applyFill="1"/>
    <xf numFmtId="3" fontId="106" fillId="0" borderId="0" xfId="0" applyNumberFormat="1" applyFont="1"/>
    <xf numFmtId="0" fontId="106" fillId="0" borderId="7" xfId="0" applyFont="1" applyBorder="1" applyAlignment="1">
      <alignment horizontal="left"/>
    </xf>
    <xf numFmtId="164" fontId="108" fillId="0" borderId="0" xfId="0" applyNumberFormat="1" applyFont="1"/>
    <xf numFmtId="0" fontId="20" fillId="0" borderId="0" xfId="2" applyFont="1"/>
    <xf numFmtId="165" fontId="20" fillId="0" borderId="0" xfId="2" applyNumberFormat="1" applyFont="1" applyAlignment="1">
      <alignment vertical="top"/>
    </xf>
    <xf numFmtId="0" fontId="0" fillId="0" borderId="7" xfId="0" applyBorder="1" applyAlignment="1">
      <alignment horizontal="right"/>
    </xf>
    <xf numFmtId="0" fontId="0" fillId="0" borderId="8" xfId="0" applyBorder="1"/>
    <xf numFmtId="0" fontId="0" fillId="0" borderId="2" xfId="0" applyBorder="1"/>
    <xf numFmtId="0" fontId="0" fillId="0" borderId="2" xfId="0" applyBorder="1" applyAlignment="1">
      <alignment horizontal="right"/>
    </xf>
    <xf numFmtId="0" fontId="0" fillId="0" borderId="8" xfId="0" applyBorder="1" applyAlignment="1">
      <alignment horizontal="right"/>
    </xf>
    <xf numFmtId="0" fontId="0" fillId="0" borderId="11" xfId="0" applyBorder="1" applyAlignment="1">
      <alignment horizontal="right"/>
    </xf>
    <xf numFmtId="0" fontId="0" fillId="0" borderId="0" xfId="0" applyAlignment="1">
      <alignment horizontal="left"/>
    </xf>
    <xf numFmtId="0" fontId="0" fillId="0" borderId="7" xfId="0" applyBorder="1" applyAlignment="1">
      <alignment horizontal="left"/>
    </xf>
    <xf numFmtId="0" fontId="106" fillId="0" borderId="4" xfId="0" applyFont="1" applyBorder="1"/>
    <xf numFmtId="164" fontId="106" fillId="0" borderId="4" xfId="0" applyNumberFormat="1" applyFont="1" applyBorder="1"/>
    <xf numFmtId="0" fontId="0" fillId="0" borderId="0" xfId="0" applyAlignment="1">
      <alignment horizontal="center"/>
    </xf>
    <xf numFmtId="0" fontId="106" fillId="0" borderId="0" xfId="0" quotePrefix="1" applyFont="1"/>
    <xf numFmtId="0" fontId="106" fillId="0" borderId="0" xfId="0" applyFont="1" applyAlignment="1">
      <alignment horizontal="left"/>
    </xf>
    <xf numFmtId="10" fontId="106" fillId="0" borderId="0" xfId="0" applyNumberFormat="1" applyFont="1" applyAlignment="1">
      <alignment horizontal="left"/>
    </xf>
    <xf numFmtId="178" fontId="106" fillId="0" borderId="0" xfId="0" applyNumberFormat="1" applyFont="1" applyAlignment="1">
      <alignment horizontal="left"/>
    </xf>
    <xf numFmtId="0" fontId="0" fillId="0" borderId="11" xfId="0" applyBorder="1"/>
    <xf numFmtId="0" fontId="1" fillId="0" borderId="0" xfId="0" applyFont="1" applyAlignment="1">
      <alignment horizontal="right"/>
    </xf>
    <xf numFmtId="0" fontId="1" fillId="0" borderId="7" xfId="0" applyFont="1" applyBorder="1"/>
    <xf numFmtId="0" fontId="2" fillId="0" borderId="0" xfId="0" applyFont="1" applyAlignment="1">
      <alignment horizontal="left"/>
    </xf>
    <xf numFmtId="0" fontId="2" fillId="0" borderId="7" xfId="0" applyFont="1" applyBorder="1"/>
    <xf numFmtId="0" fontId="0" fillId="0" borderId="12" xfId="0" applyBorder="1"/>
    <xf numFmtId="2" fontId="0" fillId="0" borderId="0" xfId="0" applyNumberFormat="1"/>
    <xf numFmtId="9" fontId="108" fillId="0" borderId="0" xfId="0" applyNumberFormat="1" applyFont="1"/>
    <xf numFmtId="17" fontId="19" fillId="0" borderId="4" xfId="0" applyNumberFormat="1" applyFont="1" applyBorder="1"/>
    <xf numFmtId="3" fontId="106" fillId="0" borderId="7" xfId="0" applyNumberFormat="1" applyFont="1" applyBorder="1"/>
    <xf numFmtId="3" fontId="106" fillId="3" borderId="7" xfId="0" applyNumberFormat="1" applyFont="1" applyFill="1" applyBorder="1"/>
    <xf numFmtId="171" fontId="106" fillId="0" borderId="0" xfId="0" applyNumberFormat="1" applyFont="1"/>
    <xf numFmtId="16" fontId="2" fillId="0" borderId="0" xfId="0" applyNumberFormat="1" applyFont="1"/>
    <xf numFmtId="9" fontId="20" fillId="3" borderId="0" xfId="4" applyNumberFormat="1" applyFont="1" applyFill="1"/>
    <xf numFmtId="166" fontId="20" fillId="3" borderId="0" xfId="4" applyNumberFormat="1" applyFont="1" applyFill="1"/>
    <xf numFmtId="0" fontId="19" fillId="0" borderId="4" xfId="411" applyFont="1" applyBorder="1"/>
    <xf numFmtId="0" fontId="20" fillId="0" borderId="0" xfId="411" applyFont="1"/>
    <xf numFmtId="0" fontId="20" fillId="22" borderId="0" xfId="411" applyFont="1" applyFill="1"/>
    <xf numFmtId="1" fontId="20" fillId="22" borderId="0" xfId="411" applyNumberFormat="1" applyFont="1" applyFill="1"/>
    <xf numFmtId="1" fontId="20" fillId="0" borderId="0" xfId="411" applyNumberFormat="1" applyFont="1"/>
    <xf numFmtId="9" fontId="20" fillId="0" borderId="0" xfId="411" applyNumberFormat="1" applyFont="1"/>
    <xf numFmtId="1" fontId="19" fillId="0" borderId="4" xfId="411" applyNumberFormat="1" applyFont="1" applyBorder="1"/>
    <xf numFmtId="166" fontId="20" fillId="22" borderId="0" xfId="412" applyNumberFormat="1" applyFont="1" applyFill="1"/>
    <xf numFmtId="0" fontId="20" fillId="22" borderId="0" xfId="413" applyFont="1" applyFill="1"/>
    <xf numFmtId="0" fontId="19" fillId="0" borderId="0" xfId="413" applyFont="1" applyAlignment="1">
      <alignment horizontal="left"/>
    </xf>
    <xf numFmtId="166" fontId="20" fillId="0" borderId="0" xfId="411" applyNumberFormat="1" applyFont="1"/>
    <xf numFmtId="0" fontId="19" fillId="0" borderId="0" xfId="411" applyFont="1"/>
    <xf numFmtId="0" fontId="5" fillId="22" borderId="0" xfId="9" applyFill="1"/>
    <xf numFmtId="0" fontId="0" fillId="22" borderId="0" xfId="9" applyFont="1" applyFill="1"/>
    <xf numFmtId="0" fontId="20" fillId="0" borderId="0" xfId="9" applyFont="1" applyAlignment="1">
      <alignment horizontal="left"/>
    </xf>
    <xf numFmtId="3" fontId="20" fillId="22" borderId="0" xfId="411" applyNumberFormat="1" applyFont="1" applyFill="1"/>
    <xf numFmtId="3" fontId="20" fillId="22" borderId="0" xfId="412" applyNumberFormat="1" applyFont="1" applyFill="1"/>
    <xf numFmtId="0" fontId="20" fillId="0" borderId="0" xfId="413" applyFont="1"/>
    <xf numFmtId="0" fontId="0" fillId="0" borderId="0" xfId="9" applyFont="1"/>
    <xf numFmtId="3" fontId="19" fillId="22" borderId="0" xfId="411" applyNumberFormat="1" applyFont="1" applyFill="1"/>
    <xf numFmtId="171" fontId="20" fillId="22" borderId="0" xfId="411" applyNumberFormat="1" applyFont="1" applyFill="1"/>
    <xf numFmtId="43" fontId="20" fillId="0" borderId="0" xfId="9" applyNumberFormat="1" applyFont="1"/>
    <xf numFmtId="43" fontId="0" fillId="0" borderId="0" xfId="0" applyNumberFormat="1"/>
    <xf numFmtId="0" fontId="106" fillId="25" borderId="0" xfId="0" applyFont="1" applyFill="1"/>
    <xf numFmtId="3" fontId="106" fillId="25" borderId="0" xfId="0" applyNumberFormat="1" applyFont="1" applyFill="1"/>
    <xf numFmtId="0" fontId="106" fillId="25" borderId="7" xfId="0" applyFont="1" applyFill="1" applyBorder="1"/>
    <xf numFmtId="3" fontId="106" fillId="25" borderId="7" xfId="0" applyNumberFormat="1" applyFont="1" applyFill="1" applyBorder="1"/>
    <xf numFmtId="9" fontId="106" fillId="25" borderId="0" xfId="0" applyNumberFormat="1" applyFont="1" applyFill="1"/>
    <xf numFmtId="9" fontId="106" fillId="25" borderId="7" xfId="0" applyNumberFormat="1" applyFont="1" applyFill="1" applyBorder="1"/>
    <xf numFmtId="164" fontId="106" fillId="25" borderId="0" xfId="0" applyNumberFormat="1" applyFont="1" applyFill="1"/>
    <xf numFmtId="0" fontId="0" fillId="25" borderId="0" xfId="0" applyFill="1"/>
    <xf numFmtId="0" fontId="2" fillId="0" borderId="0" xfId="9" applyFont="1"/>
    <xf numFmtId="0" fontId="113" fillId="0" borderId="0" xfId="0" applyFont="1"/>
    <xf numFmtId="0" fontId="114" fillId="0" borderId="0" xfId="0" applyFont="1"/>
    <xf numFmtId="0" fontId="115" fillId="0" borderId="0" xfId="0" applyFont="1"/>
    <xf numFmtId="166" fontId="115" fillId="0" borderId="0" xfId="5" applyNumberFormat="1" applyFont="1" applyFill="1"/>
    <xf numFmtId="167" fontId="115" fillId="0" borderId="0" xfId="5" applyNumberFormat="1" applyFont="1" applyFill="1"/>
    <xf numFmtId="255" fontId="115" fillId="0" borderId="0" xfId="0" applyNumberFormat="1" applyFont="1"/>
    <xf numFmtId="164" fontId="115" fillId="0" borderId="0" xfId="6" applyNumberFormat="1" applyFont="1" applyFill="1"/>
    <xf numFmtId="0" fontId="114" fillId="0" borderId="7" xfId="0" applyFont="1" applyBorder="1"/>
    <xf numFmtId="166" fontId="115" fillId="27" borderId="0" xfId="5" applyNumberFormat="1" applyFont="1" applyFill="1"/>
    <xf numFmtId="164" fontId="115" fillId="27" borderId="0" xfId="6" applyNumberFormat="1" applyFont="1" applyFill="1"/>
    <xf numFmtId="167" fontId="115" fillId="27" borderId="0" xfId="5" applyNumberFormat="1" applyFont="1" applyFill="1"/>
    <xf numFmtId="166" fontId="115" fillId="28" borderId="0" xfId="5" applyNumberFormat="1" applyFont="1" applyFill="1"/>
    <xf numFmtId="0" fontId="115" fillId="28" borderId="0" xfId="0" applyFont="1" applyFill="1"/>
    <xf numFmtId="167" fontId="115" fillId="28" borderId="0" xfId="5" applyNumberFormat="1" applyFont="1" applyFill="1"/>
    <xf numFmtId="164" fontId="114" fillId="0" borderId="0" xfId="0" applyNumberFormat="1" applyFont="1"/>
    <xf numFmtId="3" fontId="114" fillId="0" borderId="0" xfId="0" applyNumberFormat="1" applyFont="1"/>
    <xf numFmtId="43" fontId="114" fillId="0" borderId="0" xfId="0" applyNumberFormat="1" applyFont="1"/>
    <xf numFmtId="43" fontId="115" fillId="0" borderId="0" xfId="0" applyNumberFormat="1" applyFont="1"/>
    <xf numFmtId="43" fontId="115" fillId="27" borderId="0" xfId="0" applyNumberFormat="1" applyFont="1" applyFill="1"/>
    <xf numFmtId="3" fontId="115" fillId="0" borderId="0" xfId="5" applyNumberFormat="1" applyFont="1" applyFill="1"/>
    <xf numFmtId="3" fontId="115" fillId="27" borderId="0" xfId="5" applyNumberFormat="1" applyFont="1" applyFill="1"/>
    <xf numFmtId="166" fontId="116" fillId="0" borderId="0" xfId="5" applyNumberFormat="1" applyFont="1" applyFill="1"/>
    <xf numFmtId="2" fontId="106" fillId="0" borderId="0" xfId="0" applyNumberFormat="1" applyFont="1"/>
    <xf numFmtId="3" fontId="106" fillId="0" borderId="7" xfId="0" applyNumberFormat="1" applyFont="1" applyBorder="1" applyAlignment="1">
      <alignment horizontal="right"/>
    </xf>
    <xf numFmtId="9" fontId="109" fillId="0" borderId="7" xfId="0" applyNumberFormat="1" applyFont="1" applyBorder="1"/>
    <xf numFmtId="0" fontId="108" fillId="0" borderId="7" xfId="0" applyFont="1" applyBorder="1"/>
    <xf numFmtId="0" fontId="117" fillId="0" borderId="0" xfId="0" applyFont="1"/>
    <xf numFmtId="9" fontId="106" fillId="0" borderId="0" xfId="0" applyNumberFormat="1" applyFont="1" applyAlignment="1">
      <alignment horizontal="left"/>
    </xf>
    <xf numFmtId="1" fontId="110" fillId="0" borderId="0" xfId="0" applyNumberFormat="1" applyFont="1"/>
    <xf numFmtId="2" fontId="109" fillId="0" borderId="0" xfId="0" applyNumberFormat="1" applyFont="1"/>
    <xf numFmtId="0" fontId="109" fillId="0" borderId="0" xfId="0" applyFont="1" applyAlignment="1">
      <alignment horizontal="right"/>
    </xf>
    <xf numFmtId="0" fontId="109" fillId="0" borderId="7" xfId="0" applyFont="1" applyBorder="1" applyAlignment="1">
      <alignment horizontal="right"/>
    </xf>
    <xf numFmtId="9" fontId="109" fillId="0" borderId="7" xfId="0" applyNumberFormat="1" applyFont="1" applyBorder="1" applyAlignment="1">
      <alignment horizontal="right"/>
    </xf>
    <xf numFmtId="3" fontId="109" fillId="0" borderId="0" xfId="0" applyNumberFormat="1" applyFont="1" applyAlignment="1">
      <alignment horizontal="right"/>
    </xf>
    <xf numFmtId="3" fontId="109" fillId="0" borderId="7" xfId="0" applyNumberFormat="1" applyFont="1" applyBorder="1" applyAlignment="1">
      <alignment horizontal="right"/>
    </xf>
    <xf numFmtId="0" fontId="109" fillId="0" borderId="7" xfId="0" quotePrefix="1" applyFont="1" applyBorder="1" applyAlignment="1">
      <alignment horizontal="right"/>
    </xf>
    <xf numFmtId="166" fontId="20" fillId="3" borderId="0" xfId="410" applyNumberFormat="1" applyFill="1"/>
    <xf numFmtId="166" fontId="20" fillId="3" borderId="7" xfId="410" applyNumberFormat="1" applyFill="1" applyBorder="1"/>
    <xf numFmtId="164" fontId="20" fillId="0" borderId="0" xfId="4" applyNumberFormat="1" applyFont="1"/>
    <xf numFmtId="0" fontId="118" fillId="0" borderId="0" xfId="0" applyFont="1"/>
    <xf numFmtId="0" fontId="118" fillId="0" borderId="7" xfId="0" applyFont="1" applyBorder="1"/>
    <xf numFmtId="9" fontId="20" fillId="0" borderId="7" xfId="4" applyNumberFormat="1" applyFont="1" applyBorder="1"/>
    <xf numFmtId="167" fontId="110" fillId="0" borderId="0" xfId="0" applyNumberFormat="1" applyFont="1"/>
    <xf numFmtId="0" fontId="108" fillId="25" borderId="0" xfId="0" applyFont="1" applyFill="1"/>
    <xf numFmtId="166" fontId="110" fillId="0" borderId="0" xfId="0" applyNumberFormat="1" applyFont="1"/>
    <xf numFmtId="166" fontId="20" fillId="0" borderId="0" xfId="4" applyNumberFormat="1" applyFont="1" applyBorder="1"/>
    <xf numFmtId="10" fontId="106" fillId="0" borderId="0" xfId="0" applyNumberFormat="1" applyFont="1"/>
    <xf numFmtId="1" fontId="106" fillId="0" borderId="4" xfId="0" applyNumberFormat="1" applyFont="1" applyBorder="1"/>
    <xf numFmtId="9" fontId="20" fillId="3" borderId="7" xfId="410" applyNumberFormat="1" applyFill="1" applyBorder="1"/>
    <xf numFmtId="9" fontId="107" fillId="0" borderId="0" xfId="0" applyNumberFormat="1" applyFont="1" applyAlignment="1">
      <alignment horizontal="left"/>
    </xf>
    <xf numFmtId="164" fontId="112" fillId="0" borderId="0" xfId="0" applyNumberFormat="1" applyFont="1"/>
    <xf numFmtId="0" fontId="20" fillId="0" borderId="0" xfId="410" quotePrefix="1"/>
    <xf numFmtId="43" fontId="20" fillId="2" borderId="0" xfId="9" applyNumberFormat="1" applyFont="1" applyFill="1"/>
    <xf numFmtId="43" fontId="20" fillId="3" borderId="0" xfId="4" applyFont="1" applyFill="1"/>
    <xf numFmtId="166" fontId="20" fillId="3" borderId="0" xfId="9" applyNumberFormat="1" applyFont="1" applyFill="1"/>
    <xf numFmtId="0" fontId="20" fillId="0" borderId="4" xfId="410" applyBorder="1"/>
    <xf numFmtId="0" fontId="0" fillId="0" borderId="4" xfId="0" applyBorder="1"/>
    <xf numFmtId="166" fontId="20" fillId="0" borderId="4" xfId="4" applyNumberFormat="1" applyFont="1" applyBorder="1"/>
    <xf numFmtId="166" fontId="19" fillId="0" borderId="0" xfId="4" applyNumberFormat="1" applyFont="1"/>
    <xf numFmtId="166" fontId="19" fillId="3" borderId="0" xfId="4" applyNumberFormat="1" applyFont="1" applyFill="1"/>
    <xf numFmtId="43" fontId="20" fillId="0" borderId="0" xfId="4" applyFont="1"/>
    <xf numFmtId="166" fontId="0" fillId="0" borderId="0" xfId="0" applyNumberFormat="1"/>
    <xf numFmtId="0" fontId="119" fillId="0" borderId="0" xfId="410" applyFont="1"/>
    <xf numFmtId="0" fontId="120" fillId="0" borderId="0" xfId="0" applyFont="1"/>
    <xf numFmtId="166" fontId="119" fillId="0" borderId="0" xfId="4" applyNumberFormat="1" applyFont="1"/>
    <xf numFmtId="166" fontId="20" fillId="2" borderId="26" xfId="4" applyNumberFormat="1" applyFont="1" applyFill="1" applyBorder="1"/>
    <xf numFmtId="170" fontId="106" fillId="3" borderId="0" xfId="0" applyNumberFormat="1" applyFont="1" applyFill="1"/>
    <xf numFmtId="0" fontId="106" fillId="0" borderId="6" xfId="0" applyFont="1" applyBorder="1"/>
    <xf numFmtId="9" fontId="106" fillId="0" borderId="4" xfId="0" applyNumberFormat="1" applyFont="1" applyBorder="1"/>
    <xf numFmtId="9" fontId="106" fillId="0" borderId="5" xfId="0" applyNumberFormat="1" applyFont="1" applyBorder="1"/>
    <xf numFmtId="3" fontId="106" fillId="0" borderId="6" xfId="0" applyNumberFormat="1" applyFont="1" applyBorder="1"/>
    <xf numFmtId="3" fontId="106" fillId="0" borderId="5" xfId="0" applyNumberFormat="1" applyFont="1" applyBorder="1"/>
    <xf numFmtId="0" fontId="0" fillId="0" borderId="0" xfId="0" quotePrefix="1"/>
    <xf numFmtId="0" fontId="121" fillId="29" borderId="6" xfId="0" applyFont="1" applyFill="1" applyBorder="1" applyAlignment="1">
      <alignment horizontal="centerContinuous" vertical="center"/>
    </xf>
    <xf numFmtId="0" fontId="121" fillId="29" borderId="4" xfId="0" applyFont="1" applyFill="1" applyBorder="1" applyAlignment="1">
      <alignment horizontal="centerContinuous" vertical="center"/>
    </xf>
    <xf numFmtId="0" fontId="122" fillId="29" borderId="4" xfId="0" applyFont="1" applyFill="1" applyBorder="1" applyAlignment="1">
      <alignment horizontal="centerContinuous"/>
    </xf>
    <xf numFmtId="0" fontId="122" fillId="29" borderId="5" xfId="0" applyFont="1" applyFill="1" applyBorder="1" applyAlignment="1">
      <alignment horizontal="centerContinuous"/>
    </xf>
    <xf numFmtId="0" fontId="122" fillId="0" borderId="6" xfId="0" applyFont="1" applyBorder="1" applyAlignment="1">
      <alignment horizontal="center"/>
    </xf>
    <xf numFmtId="0" fontId="122" fillId="0" borderId="1" xfId="0" applyFont="1" applyBorder="1" applyAlignment="1">
      <alignment horizontal="center"/>
    </xf>
    <xf numFmtId="0" fontId="122" fillId="0" borderId="5" xfId="0" applyFont="1" applyBorder="1" applyAlignment="1">
      <alignment horizontal="center"/>
    </xf>
    <xf numFmtId="0" fontId="121" fillId="0" borderId="9" xfId="0" applyFont="1" applyBorder="1" applyAlignment="1">
      <alignment horizontal="left"/>
    </xf>
    <xf numFmtId="0" fontId="121" fillId="0" borderId="10" xfId="0" applyFont="1" applyBorder="1" applyAlignment="1">
      <alignment horizontal="left"/>
    </xf>
    <xf numFmtId="0" fontId="122" fillId="0" borderId="10" xfId="0" applyFont="1" applyBorder="1" applyAlignment="1">
      <alignment horizontal="center"/>
    </xf>
    <xf numFmtId="37" fontId="122" fillId="0" borderId="10" xfId="0" applyNumberFormat="1" applyFont="1" applyBorder="1" applyAlignment="1">
      <alignment horizontal="center"/>
    </xf>
    <xf numFmtId="37" fontId="122" fillId="0" borderId="11" xfId="0" applyNumberFormat="1" applyFont="1" applyBorder="1" applyAlignment="1">
      <alignment horizontal="center"/>
    </xf>
    <xf numFmtId="3" fontId="122" fillId="0" borderId="11" xfId="0" applyNumberFormat="1" applyFont="1" applyBorder="1" applyAlignment="1">
      <alignment horizontal="center"/>
    </xf>
    <xf numFmtId="37" fontId="121" fillId="0" borderId="13" xfId="0" applyNumberFormat="1" applyFont="1" applyBorder="1" applyAlignment="1">
      <alignment horizontal="center"/>
    </xf>
    <xf numFmtId="0" fontId="123" fillId="0" borderId="41" xfId="0" applyFont="1" applyBorder="1" applyAlignment="1">
      <alignment horizontal="left"/>
    </xf>
    <xf numFmtId="0" fontId="122" fillId="0" borderId="42" xfId="0" applyFont="1" applyBorder="1" applyAlignment="1">
      <alignment horizontal="left"/>
    </xf>
    <xf numFmtId="0" fontId="123" fillId="0" borderId="42" xfId="0" applyFont="1" applyBorder="1" applyAlignment="1">
      <alignment horizontal="left"/>
    </xf>
    <xf numFmtId="37" fontId="123" fillId="0" borderId="41" xfId="0" applyNumberFormat="1" applyFont="1" applyBorder="1" applyAlignment="1">
      <alignment horizontal="center"/>
    </xf>
    <xf numFmtId="37" fontId="122" fillId="0" borderId="42" xfId="0" applyNumberFormat="1" applyFont="1" applyBorder="1" applyAlignment="1">
      <alignment horizontal="center"/>
    </xf>
    <xf numFmtId="37" fontId="122" fillId="0" borderId="43" xfId="0" applyNumberFormat="1" applyFont="1" applyBorder="1" applyAlignment="1">
      <alignment horizontal="center"/>
    </xf>
    <xf numFmtId="0" fontId="122" fillId="0" borderId="43" xfId="0" applyFont="1" applyBorder="1" applyAlignment="1">
      <alignment horizontal="center"/>
    </xf>
    <xf numFmtId="37" fontId="122" fillId="0" borderId="44" xfId="0" applyNumberFormat="1" applyFont="1" applyBorder="1" applyAlignment="1">
      <alignment horizontal="center"/>
    </xf>
    <xf numFmtId="0" fontId="123" fillId="0" borderId="3" xfId="0" applyFont="1" applyBorder="1" applyAlignment="1">
      <alignment horizontal="left"/>
    </xf>
    <xf numFmtId="0" fontId="122" fillId="0" borderId="0" xfId="0" applyFont="1" applyAlignment="1">
      <alignment horizontal="left"/>
    </xf>
    <xf numFmtId="0" fontId="123" fillId="0" borderId="0" xfId="0" applyFont="1" applyAlignment="1">
      <alignment horizontal="left"/>
    </xf>
    <xf numFmtId="37" fontId="123" fillId="0" borderId="3" xfId="0" applyNumberFormat="1" applyFont="1" applyBorder="1" applyAlignment="1">
      <alignment horizontal="center"/>
    </xf>
    <xf numFmtId="37" fontId="123" fillId="0" borderId="0" xfId="0" applyNumberFormat="1" applyFont="1" applyAlignment="1">
      <alignment horizontal="center"/>
    </xf>
    <xf numFmtId="37" fontId="123" fillId="0" borderId="2" xfId="0" applyNumberFormat="1" applyFont="1" applyBorder="1" applyAlignment="1">
      <alignment horizontal="center"/>
    </xf>
    <xf numFmtId="0" fontId="123" fillId="0" borderId="2" xfId="0" applyFont="1" applyBorder="1" applyAlignment="1">
      <alignment horizontal="center"/>
    </xf>
    <xf numFmtId="37" fontId="123" fillId="0" borderId="24" xfId="0" applyNumberFormat="1" applyFont="1" applyBorder="1" applyAlignment="1">
      <alignment horizontal="center"/>
    </xf>
    <xf numFmtId="0" fontId="123" fillId="0" borderId="45" xfId="0" applyFont="1" applyBorder="1" applyAlignment="1">
      <alignment horizontal="left"/>
    </xf>
    <xf numFmtId="0" fontId="122" fillId="0" borderId="46" xfId="0" applyFont="1" applyBorder="1" applyAlignment="1">
      <alignment horizontal="left"/>
    </xf>
    <xf numFmtId="0" fontId="123" fillId="0" borderId="46" xfId="0" applyFont="1" applyBorder="1" applyAlignment="1">
      <alignment horizontal="left"/>
    </xf>
    <xf numFmtId="37" fontId="123" fillId="0" borderId="46" xfId="0" applyNumberFormat="1" applyFont="1" applyBorder="1" applyAlignment="1">
      <alignment horizontal="center"/>
    </xf>
    <xf numFmtId="37" fontId="123" fillId="0" borderId="47" xfId="0" applyNumberFormat="1" applyFont="1" applyBorder="1" applyAlignment="1">
      <alignment horizontal="center"/>
    </xf>
    <xf numFmtId="0" fontId="123" fillId="0" borderId="47" xfId="0" applyFont="1" applyBorder="1" applyAlignment="1">
      <alignment horizontal="center"/>
    </xf>
    <xf numFmtId="37" fontId="123" fillId="0" borderId="48" xfId="0" applyNumberFormat="1" applyFont="1" applyBorder="1" applyAlignment="1">
      <alignment horizontal="center"/>
    </xf>
    <xf numFmtId="0" fontId="122" fillId="0" borderId="0" xfId="0" applyFont="1"/>
    <xf numFmtId="37" fontId="122" fillId="0" borderId="0" xfId="0" applyNumberFormat="1" applyFont="1" applyAlignment="1">
      <alignment horizontal="center"/>
    </xf>
    <xf numFmtId="37" fontId="122" fillId="0" borderId="2" xfId="0" applyNumberFormat="1" applyFont="1" applyBorder="1" applyAlignment="1">
      <alignment horizontal="center"/>
    </xf>
    <xf numFmtId="0" fontId="122" fillId="0" borderId="2" xfId="0" applyFont="1" applyBorder="1" applyAlignment="1">
      <alignment horizontal="center"/>
    </xf>
    <xf numFmtId="3" fontId="122" fillId="0" borderId="2" xfId="0" applyNumberFormat="1" applyFont="1" applyBorder="1" applyAlignment="1">
      <alignment horizontal="center"/>
    </xf>
    <xf numFmtId="37" fontId="122" fillId="0" borderId="24" xfId="0" applyNumberFormat="1" applyFont="1" applyBorder="1" applyAlignment="1">
      <alignment horizontal="center"/>
    </xf>
    <xf numFmtId="0" fontId="122" fillId="0" borderId="42" xfId="0" applyFont="1" applyBorder="1"/>
    <xf numFmtId="3" fontId="122" fillId="0" borderId="43" xfId="0" applyNumberFormat="1" applyFont="1" applyBorder="1" applyAlignment="1">
      <alignment horizontal="center"/>
    </xf>
    <xf numFmtId="37" fontId="123" fillId="0" borderId="44" xfId="0" applyNumberFormat="1" applyFont="1" applyBorder="1" applyAlignment="1">
      <alignment horizontal="center"/>
    </xf>
    <xf numFmtId="0" fontId="122" fillId="0" borderId="3" xfId="0" applyFont="1" applyBorder="1"/>
    <xf numFmtId="0" fontId="121" fillId="0" borderId="3" xfId="0" applyFont="1" applyBorder="1" applyAlignment="1">
      <alignment horizontal="left"/>
    </xf>
    <xf numFmtId="0" fontId="121" fillId="0" borderId="0" xfId="0" applyFont="1" applyAlignment="1">
      <alignment horizontal="left"/>
    </xf>
    <xf numFmtId="0" fontId="122" fillId="0" borderId="0" xfId="0" applyFont="1" applyAlignment="1">
      <alignment horizontal="center"/>
    </xf>
    <xf numFmtId="37" fontId="122" fillId="0" borderId="3" xfId="0" applyNumberFormat="1" applyFont="1" applyBorder="1" applyAlignment="1">
      <alignment horizontal="center"/>
    </xf>
    <xf numFmtId="0" fontId="121" fillId="0" borderId="41" xfId="0" applyFont="1" applyBorder="1" applyAlignment="1">
      <alignment horizontal="left"/>
    </xf>
    <xf numFmtId="0" fontId="122" fillId="0" borderId="42" xfId="0" applyFont="1" applyBorder="1" applyAlignment="1">
      <alignment horizontal="center"/>
    </xf>
    <xf numFmtId="3" fontId="122" fillId="0" borderId="41" xfId="0" applyNumberFormat="1" applyFont="1" applyBorder="1" applyAlignment="1">
      <alignment horizontal="center"/>
    </xf>
    <xf numFmtId="9" fontId="122" fillId="0" borderId="12" xfId="0" applyNumberFormat="1" applyFont="1" applyBorder="1" applyAlignment="1">
      <alignment horizontal="center"/>
    </xf>
    <xf numFmtId="9" fontId="122" fillId="0" borderId="0" xfId="0" applyNumberFormat="1" applyFont="1" applyAlignment="1">
      <alignment horizontal="center"/>
    </xf>
    <xf numFmtId="9" fontId="122" fillId="0" borderId="2" xfId="0" applyNumberFormat="1" applyFont="1" applyBorder="1" applyAlignment="1">
      <alignment horizontal="center"/>
    </xf>
    <xf numFmtId="9" fontId="122" fillId="0" borderId="24" xfId="0" applyNumberFormat="1" applyFont="1" applyBorder="1" applyAlignment="1">
      <alignment horizontal="center"/>
    </xf>
    <xf numFmtId="3" fontId="122" fillId="0" borderId="10" xfId="0" applyNumberFormat="1" applyFont="1" applyBorder="1" applyAlignment="1">
      <alignment horizontal="center"/>
    </xf>
    <xf numFmtId="3" fontId="122" fillId="0" borderId="13" xfId="0" applyNumberFormat="1" applyFont="1" applyBorder="1" applyAlignment="1">
      <alignment horizontal="center"/>
    </xf>
    <xf numFmtId="3" fontId="122" fillId="0" borderId="3" xfId="0" applyNumberFormat="1" applyFont="1" applyBorder="1" applyAlignment="1">
      <alignment horizontal="center"/>
    </xf>
    <xf numFmtId="3" fontId="122" fillId="0" borderId="0" xfId="0" applyNumberFormat="1" applyFont="1" applyAlignment="1">
      <alignment horizontal="center"/>
    </xf>
    <xf numFmtId="3" fontId="122" fillId="0" borderId="24" xfId="0" applyNumberFormat="1" applyFont="1" applyBorder="1" applyAlignment="1">
      <alignment horizontal="center"/>
    </xf>
    <xf numFmtId="0" fontId="121" fillId="0" borderId="49" xfId="0" applyFont="1" applyBorder="1" applyAlignment="1">
      <alignment horizontal="left"/>
    </xf>
    <xf numFmtId="0" fontId="121" fillId="0" borderId="42" xfId="0" applyFont="1" applyBorder="1" applyAlignment="1">
      <alignment horizontal="left"/>
    </xf>
    <xf numFmtId="164" fontId="122" fillId="0" borderId="42" xfId="0" applyNumberFormat="1" applyFont="1" applyBorder="1" applyAlignment="1">
      <alignment horizontal="center"/>
    </xf>
    <xf numFmtId="164" fontId="122" fillId="0" borderId="43" xfId="0" applyNumberFormat="1" applyFont="1" applyBorder="1" applyAlignment="1">
      <alignment horizontal="center"/>
    </xf>
    <xf numFmtId="9" fontId="122" fillId="0" borderId="43" xfId="0" applyNumberFormat="1" applyFont="1" applyBorder="1" applyAlignment="1">
      <alignment horizontal="center"/>
    </xf>
    <xf numFmtId="164" fontId="122" fillId="0" borderId="44" xfId="0" applyNumberFormat="1" applyFont="1" applyBorder="1" applyAlignment="1">
      <alignment horizontal="center"/>
    </xf>
    <xf numFmtId="164" fontId="122" fillId="0" borderId="0" xfId="0" applyNumberFormat="1" applyFont="1" applyAlignment="1">
      <alignment horizontal="center"/>
    </xf>
    <xf numFmtId="164" fontId="122" fillId="0" borderId="2" xfId="0" applyNumberFormat="1" applyFont="1" applyBorder="1" applyAlignment="1">
      <alignment horizontal="center"/>
    </xf>
    <xf numFmtId="164" fontId="122" fillId="0" borderId="24" xfId="0" applyNumberFormat="1" applyFont="1" applyBorder="1" applyAlignment="1">
      <alignment horizontal="center"/>
    </xf>
    <xf numFmtId="0" fontId="121" fillId="0" borderId="12" xfId="0" applyFont="1" applyBorder="1" applyAlignment="1">
      <alignment horizontal="left"/>
    </xf>
    <xf numFmtId="0" fontId="122" fillId="0" borderId="7" xfId="0" applyFont="1" applyBorder="1" applyAlignment="1">
      <alignment horizontal="left"/>
    </xf>
    <xf numFmtId="0" fontId="121" fillId="0" borderId="7" xfId="0" applyFont="1" applyBorder="1" applyAlignment="1">
      <alignment horizontal="left"/>
    </xf>
    <xf numFmtId="0" fontId="122" fillId="0" borderId="7" xfId="0" applyFont="1" applyBorder="1" applyAlignment="1">
      <alignment horizontal="center"/>
    </xf>
    <xf numFmtId="164" fontId="122" fillId="0" borderId="7" xfId="0" applyNumberFormat="1" applyFont="1" applyBorder="1" applyAlignment="1">
      <alignment horizontal="center"/>
    </xf>
    <xf numFmtId="164" fontId="122" fillId="0" borderId="8" xfId="0" applyNumberFormat="1" applyFont="1" applyBorder="1" applyAlignment="1">
      <alignment horizontal="center"/>
    </xf>
    <xf numFmtId="9" fontId="122" fillId="0" borderId="8" xfId="0" applyNumberFormat="1" applyFont="1" applyBorder="1" applyAlignment="1">
      <alignment horizontal="center"/>
    </xf>
    <xf numFmtId="164" fontId="122" fillId="0" borderId="18" xfId="0" applyNumberFormat="1" applyFont="1" applyBorder="1" applyAlignment="1">
      <alignment horizontal="center"/>
    </xf>
    <xf numFmtId="0" fontId="121" fillId="0" borderId="3" xfId="0" applyFont="1" applyBorder="1"/>
    <xf numFmtId="0" fontId="121" fillId="0" borderId="0" xfId="0" applyFont="1"/>
    <xf numFmtId="3" fontId="122" fillId="0" borderId="12" xfId="0" applyNumberFormat="1" applyFont="1" applyBorder="1" applyAlignment="1">
      <alignment horizontal="center"/>
    </xf>
    <xf numFmtId="3" fontId="122" fillId="0" borderId="7" xfId="0" applyNumberFormat="1" applyFont="1" applyBorder="1" applyAlignment="1">
      <alignment horizontal="center"/>
    </xf>
    <xf numFmtId="3" fontId="122" fillId="0" borderId="8" xfId="0" applyNumberFormat="1" applyFont="1" applyBorder="1" applyAlignment="1">
      <alignment horizontal="center"/>
    </xf>
    <xf numFmtId="3" fontId="122" fillId="0" borderId="18" xfId="0" applyNumberFormat="1" applyFont="1" applyBorder="1" applyAlignment="1">
      <alignment horizontal="center"/>
    </xf>
    <xf numFmtId="0" fontId="121" fillId="27" borderId="6" xfId="0" applyFont="1" applyFill="1" applyBorder="1"/>
    <xf numFmtId="0" fontId="121" fillId="27" borderId="4" xfId="0" applyFont="1" applyFill="1" applyBorder="1"/>
    <xf numFmtId="212" fontId="122" fillId="27" borderId="4" xfId="0" applyNumberFormat="1" applyFont="1" applyFill="1" applyBorder="1"/>
    <xf numFmtId="212" fontId="122" fillId="27" borderId="5" xfId="0" applyNumberFormat="1" applyFont="1" applyFill="1" applyBorder="1" applyAlignment="1">
      <alignment horizontal="center"/>
    </xf>
    <xf numFmtId="0" fontId="121" fillId="0" borderId="9" xfId="0" applyFont="1" applyBorder="1"/>
    <xf numFmtId="0" fontId="121" fillId="0" borderId="10" xfId="0" applyFont="1" applyBorder="1"/>
    <xf numFmtId="37" fontId="122" fillId="0" borderId="9" xfId="0" applyNumberFormat="1" applyFont="1" applyBorder="1"/>
    <xf numFmtId="37" fontId="122" fillId="0" borderId="10" xfId="0" applyNumberFormat="1" applyFont="1" applyBorder="1"/>
    <xf numFmtId="37" fontId="122" fillId="0" borderId="13" xfId="0" applyNumberFormat="1" applyFont="1" applyBorder="1"/>
    <xf numFmtId="37" fontId="122" fillId="0" borderId="11" xfId="0" applyNumberFormat="1" applyFont="1" applyBorder="1"/>
    <xf numFmtId="4" fontId="122" fillId="0" borderId="10" xfId="0" applyNumberFormat="1" applyFont="1" applyBorder="1"/>
    <xf numFmtId="4" fontId="122" fillId="0" borderId="11" xfId="0" applyNumberFormat="1" applyFont="1" applyBorder="1"/>
    <xf numFmtId="37" fontId="122" fillId="0" borderId="3" xfId="0" applyNumberFormat="1" applyFont="1" applyBorder="1"/>
    <xf numFmtId="37" fontId="122" fillId="0" borderId="0" xfId="0" applyNumberFormat="1" applyFont="1"/>
    <xf numFmtId="4" fontId="122" fillId="0" borderId="0" xfId="0" applyNumberFormat="1" applyFont="1"/>
    <xf numFmtId="37" fontId="122" fillId="0" borderId="24" xfId="0" applyNumberFormat="1" applyFont="1" applyBorder="1"/>
    <xf numFmtId="37" fontId="122" fillId="0" borderId="2" xfId="0" applyNumberFormat="1" applyFont="1" applyBorder="1"/>
    <xf numFmtId="4" fontId="123" fillId="0" borderId="2" xfId="0" applyNumberFormat="1" applyFont="1" applyBorder="1"/>
    <xf numFmtId="4" fontId="122" fillId="0" borderId="2" xfId="0" applyNumberFormat="1" applyFont="1" applyBorder="1"/>
    <xf numFmtId="4" fontId="121" fillId="0" borderId="0" xfId="0" applyNumberFormat="1" applyFont="1"/>
    <xf numFmtId="4" fontId="121" fillId="0" borderId="2" xfId="0" applyNumberFormat="1" applyFont="1" applyBorder="1"/>
    <xf numFmtId="0" fontId="121" fillId="0" borderId="12" xfId="0" applyFont="1" applyBorder="1"/>
    <xf numFmtId="0" fontId="121" fillId="0" borderId="7" xfId="0" applyFont="1" applyBorder="1"/>
    <xf numFmtId="37" fontId="122" fillId="0" borderId="12" xfId="0" applyNumberFormat="1" applyFont="1" applyBorder="1"/>
    <xf numFmtId="37" fontId="122" fillId="0" borderId="7" xfId="0" applyNumberFormat="1" applyFont="1" applyBorder="1"/>
    <xf numFmtId="4" fontId="122" fillId="0" borderId="7" xfId="0" applyNumberFormat="1" applyFont="1" applyBorder="1"/>
    <xf numFmtId="37" fontId="122" fillId="0" borderId="18" xfId="0" applyNumberFormat="1" applyFont="1" applyBorder="1"/>
    <xf numFmtId="37" fontId="122" fillId="0" borderId="8" xfId="0" applyNumberFormat="1" applyFont="1" applyBorder="1"/>
    <xf numFmtId="4" fontId="124" fillId="0" borderId="18" xfId="0" applyNumberFormat="1" applyFont="1" applyBorder="1"/>
    <xf numFmtId="37" fontId="121" fillId="0" borderId="9" xfId="0" applyNumberFormat="1" applyFont="1" applyBorder="1" applyAlignment="1">
      <alignment horizontal="center"/>
    </xf>
    <xf numFmtId="164" fontId="122" fillId="0" borderId="3" xfId="0" applyNumberFormat="1" applyFont="1" applyBorder="1" applyAlignment="1">
      <alignment horizontal="center"/>
    </xf>
    <xf numFmtId="164" fontId="122" fillId="0" borderId="12" xfId="0" applyNumberFormat="1" applyFont="1" applyBorder="1" applyAlignment="1">
      <alignment horizontal="center"/>
    </xf>
    <xf numFmtId="37" fontId="121" fillId="0" borderId="3" xfId="0" applyNumberFormat="1" applyFont="1" applyBorder="1" applyAlignment="1">
      <alignment horizontal="center"/>
    </xf>
    <xf numFmtId="3" fontId="121" fillId="0" borderId="42" xfId="0" applyNumberFormat="1" applyFont="1" applyBorder="1" applyAlignment="1">
      <alignment horizontal="center"/>
    </xf>
    <xf numFmtId="3" fontId="121" fillId="0" borderId="43" xfId="0" applyNumberFormat="1" applyFont="1" applyBorder="1" applyAlignment="1">
      <alignment horizontal="center"/>
    </xf>
    <xf numFmtId="3" fontId="121" fillId="0" borderId="44" xfId="0" applyNumberFormat="1" applyFont="1" applyBorder="1" applyAlignment="1">
      <alignment horizontal="center"/>
    </xf>
    <xf numFmtId="0" fontId="108" fillId="0" borderId="7" xfId="0" applyFont="1" applyBorder="1" applyAlignment="1">
      <alignment horizontal="left"/>
    </xf>
    <xf numFmtId="0" fontId="108" fillId="0" borderId="7" xfId="0" applyFont="1" applyBorder="1" applyAlignment="1">
      <alignment horizontal="right"/>
    </xf>
    <xf numFmtId="170" fontId="118" fillId="0" borderId="0" xfId="0" applyNumberFormat="1" applyFont="1"/>
    <xf numFmtId="43" fontId="20" fillId="0" borderId="0" xfId="410" applyNumberFormat="1"/>
    <xf numFmtId="0" fontId="108" fillId="0" borderId="0" xfId="0" applyFont="1" applyAlignment="1">
      <alignment horizontal="right"/>
    </xf>
    <xf numFmtId="0" fontId="106" fillId="25" borderId="0" xfId="0" applyFont="1" applyFill="1" applyAlignment="1">
      <alignment horizontal="right"/>
    </xf>
    <xf numFmtId="0" fontId="106" fillId="25" borderId="7" xfId="0" applyFont="1" applyFill="1" applyBorder="1" applyAlignment="1">
      <alignment horizontal="right"/>
    </xf>
    <xf numFmtId="0" fontId="108" fillId="0" borderId="6" xfId="0" applyFont="1" applyBorder="1" applyAlignment="1">
      <alignment horizontal="center"/>
    </xf>
    <xf numFmtId="0" fontId="108" fillId="0" borderId="5" xfId="0" applyFont="1" applyBorder="1" applyAlignment="1">
      <alignment horizontal="center"/>
    </xf>
    <xf numFmtId="0" fontId="0" fillId="25" borderId="7" xfId="0" applyFill="1" applyBorder="1"/>
    <xf numFmtId="0" fontId="0" fillId="3" borderId="0" xfId="0" applyFill="1"/>
    <xf numFmtId="0" fontId="106" fillId="3" borderId="7" xfId="0" applyFont="1" applyFill="1" applyBorder="1"/>
    <xf numFmtId="165" fontId="19" fillId="0" borderId="4" xfId="7" applyNumberFormat="1" applyFont="1" applyBorder="1"/>
    <xf numFmtId="166" fontId="20" fillId="3" borderId="7" xfId="4" applyNumberFormat="1" applyFont="1" applyFill="1" applyBorder="1"/>
    <xf numFmtId="17" fontId="0" fillId="0" borderId="0" xfId="0" quotePrefix="1" applyNumberFormat="1"/>
    <xf numFmtId="0" fontId="108" fillId="26" borderId="0" xfId="0" applyFont="1" applyFill="1"/>
    <xf numFmtId="10" fontId="106" fillId="0" borderId="7" xfId="0" applyNumberFormat="1" applyFont="1" applyBorder="1" applyAlignment="1">
      <alignment horizontal="left"/>
    </xf>
    <xf numFmtId="0" fontId="20" fillId="0" borderId="7" xfId="0" applyFont="1" applyBorder="1"/>
    <xf numFmtId="170" fontId="106" fillId="0" borderId="7" xfId="0" applyNumberFormat="1" applyFont="1" applyBorder="1"/>
    <xf numFmtId="0" fontId="112" fillId="0" borderId="0" xfId="0" applyFont="1"/>
    <xf numFmtId="0" fontId="125" fillId="0" borderId="0" xfId="0" applyFont="1"/>
    <xf numFmtId="0" fontId="110" fillId="0" borderId="7" xfId="0" applyFont="1" applyBorder="1"/>
    <xf numFmtId="0" fontId="126" fillId="30" borderId="0" xfId="0" applyFont="1" applyFill="1"/>
    <xf numFmtId="0" fontId="127" fillId="30" borderId="0" xfId="0" applyFont="1" applyFill="1"/>
    <xf numFmtId="3" fontId="106" fillId="0" borderId="0" xfId="0" applyNumberFormat="1" applyFont="1" applyProtection="1">
      <protection locked="0"/>
    </xf>
    <xf numFmtId="3" fontId="106" fillId="3" borderId="0" xfId="0" applyNumberFormat="1" applyFont="1" applyFill="1" applyProtection="1">
      <protection locked="0"/>
    </xf>
    <xf numFmtId="3" fontId="106" fillId="3" borderId="7" xfId="0" applyNumberFormat="1" applyFont="1" applyFill="1" applyBorder="1" applyProtection="1">
      <protection locked="0"/>
    </xf>
    <xf numFmtId="0" fontId="106" fillId="0" borderId="9" xfId="0" applyFont="1" applyBorder="1"/>
    <xf numFmtId="0" fontId="106" fillId="0" borderId="12" xfId="0" applyFont="1" applyBorder="1"/>
    <xf numFmtId="164" fontId="0" fillId="0" borderId="0" xfId="0" applyNumberFormat="1" applyAlignment="1">
      <alignment horizontal="left"/>
    </xf>
    <xf numFmtId="9" fontId="0" fillId="0" borderId="0" xfId="0" applyNumberFormat="1" applyAlignment="1">
      <alignment horizontal="left"/>
    </xf>
    <xf numFmtId="15" fontId="0" fillId="0" borderId="0" xfId="0" quotePrefix="1" applyNumberFormat="1"/>
    <xf numFmtId="170" fontId="0" fillId="0" borderId="0" xfId="0" applyNumberFormat="1"/>
    <xf numFmtId="1" fontId="0" fillId="0" borderId="7" xfId="0" applyNumberFormat="1" applyBorder="1"/>
    <xf numFmtId="0" fontId="0" fillId="0" borderId="1" xfId="0" applyBorder="1"/>
    <xf numFmtId="0" fontId="1" fillId="0" borderId="1" xfId="0" applyFont="1" applyBorder="1"/>
    <xf numFmtId="0" fontId="2" fillId="0" borderId="1" xfId="0" applyFont="1" applyBorder="1"/>
    <xf numFmtId="0" fontId="128" fillId="31" borderId="0" xfId="0" applyFont="1" applyFill="1"/>
    <xf numFmtId="17" fontId="3" fillId="0" borderId="0" xfId="0" applyNumberFormat="1" applyFont="1" applyAlignment="1">
      <alignment horizontal="left"/>
    </xf>
    <xf numFmtId="17" fontId="0" fillId="0" borderId="0" xfId="0" applyNumberFormat="1" applyAlignment="1">
      <alignment horizontal="left"/>
    </xf>
    <xf numFmtId="171" fontId="0" fillId="0" borderId="0" xfId="0" applyNumberFormat="1"/>
    <xf numFmtId="164" fontId="0" fillId="3" borderId="0" xfId="0" applyNumberFormat="1" applyFill="1"/>
    <xf numFmtId="164" fontId="0" fillId="3" borderId="0" xfId="0" applyNumberFormat="1" applyFill="1" applyAlignment="1">
      <alignment horizontal="left"/>
    </xf>
    <xf numFmtId="0" fontId="129" fillId="31" borderId="0" xfId="0" applyFont="1" applyFill="1"/>
    <xf numFmtId="0" fontId="3" fillId="0" borderId="0" xfId="0" applyFont="1" applyAlignment="1">
      <alignment horizontal="left"/>
    </xf>
    <xf numFmtId="0" fontId="133" fillId="32" borderId="0" xfId="0" applyFont="1" applyFill="1" applyAlignment="1">
      <alignment horizontal="left" vertical="center" wrapText="1" indent="1"/>
    </xf>
    <xf numFmtId="0" fontId="134" fillId="32" borderId="0" xfId="0" applyFont="1" applyFill="1" applyAlignment="1">
      <alignment vertical="center" wrapText="1"/>
    </xf>
    <xf numFmtId="0" fontId="133" fillId="32" borderId="0" xfId="0" applyFont="1" applyFill="1" applyAlignment="1">
      <alignment vertical="center" wrapText="1"/>
    </xf>
    <xf numFmtId="4" fontId="0" fillId="0" borderId="0" xfId="0" applyNumberFormat="1"/>
    <xf numFmtId="4" fontId="133" fillId="32" borderId="0" xfId="0" applyNumberFormat="1" applyFont="1" applyFill="1" applyAlignment="1">
      <alignment horizontal="right" vertical="center" wrapText="1"/>
    </xf>
    <xf numFmtId="0" fontId="133" fillId="32" borderId="0" xfId="0" applyFont="1" applyFill="1" applyAlignment="1">
      <alignment horizontal="right" vertical="center" wrapText="1"/>
    </xf>
    <xf numFmtId="0" fontId="133" fillId="0" borderId="0" xfId="0" applyFont="1" applyAlignment="1">
      <alignment horizontal="left" vertical="center" wrapText="1" indent="1"/>
    </xf>
    <xf numFmtId="0" fontId="134" fillId="0" borderId="0" xfId="0" applyFont="1" applyAlignment="1">
      <alignment vertical="center" wrapText="1"/>
    </xf>
    <xf numFmtId="4" fontId="133" fillId="0" borderId="0" xfId="0" applyNumberFormat="1" applyFont="1" applyAlignment="1">
      <alignment horizontal="right" vertical="center" wrapText="1"/>
    </xf>
    <xf numFmtId="0" fontId="133" fillId="0" borderId="0" xfId="0" applyFont="1" applyAlignment="1">
      <alignment horizontal="right" vertical="center" wrapText="1"/>
    </xf>
    <xf numFmtId="0" fontId="133" fillId="0" borderId="0" xfId="0" applyFont="1" applyAlignment="1">
      <alignment vertical="center" wrapText="1"/>
    </xf>
    <xf numFmtId="0" fontId="134" fillId="0" borderId="0" xfId="0" applyFont="1" applyAlignment="1">
      <alignment horizontal="right" vertical="center" wrapText="1"/>
    </xf>
    <xf numFmtId="0" fontId="134" fillId="32" borderId="0" xfId="0" applyFont="1" applyFill="1" applyAlignment="1">
      <alignment horizontal="right" vertical="center" wrapText="1"/>
    </xf>
    <xf numFmtId="0" fontId="133" fillId="0" borderId="57" xfId="0" applyFont="1" applyBorder="1" applyAlignment="1">
      <alignment vertical="center" wrapText="1"/>
    </xf>
    <xf numFmtId="4" fontId="133" fillId="0" borderId="57" xfId="0" applyNumberFormat="1" applyFont="1" applyBorder="1" applyAlignment="1">
      <alignment horizontal="right" vertical="center" wrapText="1"/>
    </xf>
    <xf numFmtId="0" fontId="135" fillId="32" borderId="0" xfId="0" applyFont="1" applyFill="1" applyAlignment="1">
      <alignment horizontal="left" vertical="center" wrapText="1" indent="1"/>
    </xf>
    <xf numFmtId="0" fontId="130" fillId="0" borderId="0" xfId="0" applyFont="1" applyAlignment="1">
      <alignment wrapText="1"/>
    </xf>
    <xf numFmtId="3" fontId="0" fillId="0" borderId="7" xfId="0" applyNumberFormat="1" applyBorder="1"/>
    <xf numFmtId="0" fontId="136" fillId="0" borderId="0" xfId="0" applyFont="1"/>
    <xf numFmtId="164" fontId="110" fillId="0" borderId="0" xfId="0" applyNumberFormat="1" applyFont="1"/>
    <xf numFmtId="164" fontId="110" fillId="0" borderId="7" xfId="0" applyNumberFormat="1" applyFont="1" applyBorder="1"/>
    <xf numFmtId="9" fontId="110" fillId="0" borderId="0" xfId="0" applyNumberFormat="1" applyFont="1"/>
    <xf numFmtId="3" fontId="110" fillId="0" borderId="0" xfId="0" applyNumberFormat="1" applyFont="1"/>
    <xf numFmtId="3" fontId="110" fillId="0" borderId="7" xfId="0" applyNumberFormat="1" applyFont="1" applyBorder="1"/>
    <xf numFmtId="9" fontId="0" fillId="3" borderId="0" xfId="0" applyNumberFormat="1" applyFill="1"/>
    <xf numFmtId="9" fontId="0" fillId="0" borderId="7" xfId="0" applyNumberFormat="1" applyBorder="1"/>
    <xf numFmtId="0" fontId="125" fillId="0" borderId="0" xfId="0" applyFont="1" applyAlignment="1">
      <alignment horizontal="right"/>
    </xf>
    <xf numFmtId="9" fontId="125" fillId="3" borderId="0" xfId="0" applyNumberFormat="1" applyFont="1" applyFill="1"/>
    <xf numFmtId="171" fontId="106" fillId="3" borderId="0" xfId="0" applyNumberFormat="1" applyFont="1" applyFill="1"/>
    <xf numFmtId="170" fontId="106" fillId="0" borderId="10" xfId="0" applyNumberFormat="1" applyFont="1" applyBorder="1"/>
    <xf numFmtId="170" fontId="106" fillId="0" borderId="11" xfId="0" applyNumberFormat="1" applyFont="1" applyBorder="1"/>
    <xf numFmtId="9" fontId="106" fillId="0" borderId="8" xfId="0" applyNumberFormat="1" applyFont="1" applyBorder="1"/>
    <xf numFmtId="0" fontId="106" fillId="0" borderId="7" xfId="0" quotePrefix="1" applyFont="1" applyBorder="1"/>
    <xf numFmtId="170" fontId="0" fillId="0" borderId="7" xfId="0" applyNumberFormat="1" applyBorder="1"/>
    <xf numFmtId="0" fontId="137" fillId="33" borderId="0" xfId="0" applyFont="1" applyFill="1" applyAlignment="1">
      <alignment horizontal="center" vertical="center" wrapText="1"/>
    </xf>
    <xf numFmtId="0" fontId="138" fillId="0" borderId="0" xfId="0" applyFont="1" applyAlignment="1">
      <alignment vertical="center"/>
    </xf>
    <xf numFmtId="10" fontId="138" fillId="0" borderId="0" xfId="0" applyNumberFormat="1" applyFont="1" applyAlignment="1">
      <alignment horizontal="center" vertical="center"/>
    </xf>
    <xf numFmtId="0" fontId="138" fillId="0" borderId="0" xfId="0" applyFont="1" applyAlignment="1">
      <alignment horizontal="center" vertical="center"/>
    </xf>
    <xf numFmtId="3" fontId="108" fillId="0" borderId="0" xfId="0" applyNumberFormat="1" applyFont="1"/>
    <xf numFmtId="165" fontId="20" fillId="0" borderId="7" xfId="2" applyNumberFormat="1" applyFont="1" applyBorder="1" applyAlignment="1">
      <alignment vertical="top"/>
    </xf>
    <xf numFmtId="165" fontId="19" fillId="0" borderId="0" xfId="2" applyNumberFormat="1" applyFont="1" applyAlignment="1">
      <alignment vertical="top"/>
    </xf>
    <xf numFmtId="0" fontId="0" fillId="0" borderId="59" xfId="0" applyBorder="1" applyAlignment="1">
      <alignment horizontal="left"/>
    </xf>
    <xf numFmtId="0" fontId="0" fillId="0" borderId="59" xfId="0" applyBorder="1"/>
    <xf numFmtId="3" fontId="19" fillId="0" borderId="4" xfId="7" applyNumberFormat="1" applyFont="1" applyBorder="1"/>
    <xf numFmtId="1" fontId="19" fillId="0" borderId="4" xfId="7" applyNumberFormat="1" applyFont="1" applyBorder="1"/>
    <xf numFmtId="3" fontId="20" fillId="2" borderId="0" xfId="7" applyNumberFormat="1" applyFont="1" applyFill="1"/>
    <xf numFmtId="3" fontId="106" fillId="0" borderId="0" xfId="7" applyNumberFormat="1" applyFont="1"/>
    <xf numFmtId="3" fontId="106" fillId="0" borderId="7" xfId="7" applyNumberFormat="1" applyFont="1" applyBorder="1"/>
    <xf numFmtId="9" fontId="106" fillId="0" borderId="0" xfId="7" applyNumberFormat="1" applyFont="1"/>
    <xf numFmtId="9" fontId="106" fillId="0" borderId="7" xfId="7" applyNumberFormat="1" applyFont="1" applyBorder="1"/>
    <xf numFmtId="3" fontId="106" fillId="2" borderId="0" xfId="7" applyNumberFormat="1" applyFont="1" applyFill="1"/>
    <xf numFmtId="3" fontId="106" fillId="2" borderId="7" xfId="7" applyNumberFormat="1" applyFont="1" applyFill="1" applyBorder="1"/>
    <xf numFmtId="9" fontId="106" fillId="2" borderId="0" xfId="7" applyNumberFormat="1" applyFont="1" applyFill="1"/>
    <xf numFmtId="9" fontId="106" fillId="2" borderId="0" xfId="6" applyFont="1" applyFill="1"/>
    <xf numFmtId="0" fontId="19" fillId="0" borderId="4" xfId="9" applyFont="1" applyBorder="1"/>
    <xf numFmtId="0" fontId="19" fillId="0" borderId="5" xfId="9" applyFont="1" applyBorder="1"/>
    <xf numFmtId="166" fontId="19" fillId="2" borderId="0" xfId="4" applyNumberFormat="1" applyFont="1" applyFill="1"/>
    <xf numFmtId="166" fontId="19" fillId="2" borderId="2" xfId="4" applyNumberFormat="1" applyFont="1" applyFill="1" applyBorder="1"/>
    <xf numFmtId="0" fontId="20" fillId="0" borderId="2" xfId="9" applyFont="1" applyBorder="1"/>
    <xf numFmtId="166" fontId="20" fillId="2" borderId="2" xfId="4" applyNumberFormat="1" applyFont="1" applyFill="1" applyBorder="1"/>
    <xf numFmtId="166" fontId="20" fillId="2" borderId="8" xfId="4" applyNumberFormat="1" applyFont="1" applyFill="1" applyBorder="1"/>
    <xf numFmtId="166" fontId="19" fillId="0" borderId="0" xfId="9" applyNumberFormat="1" applyFont="1"/>
    <xf numFmtId="166" fontId="19" fillId="0" borderId="2" xfId="9" applyNumberFormat="1" applyFont="1" applyBorder="1"/>
    <xf numFmtId="166" fontId="20" fillId="0" borderId="2" xfId="9" applyNumberFormat="1" applyFont="1" applyBorder="1"/>
    <xf numFmtId="166" fontId="19" fillId="3" borderId="0" xfId="9" applyNumberFormat="1" applyFont="1" applyFill="1"/>
    <xf numFmtId="9" fontId="19" fillId="0" borderId="0" xfId="9" applyNumberFormat="1" applyFont="1"/>
    <xf numFmtId="9" fontId="19" fillId="0" borderId="2" xfId="9" applyNumberFormat="1" applyFont="1" applyBorder="1"/>
    <xf numFmtId="164" fontId="19" fillId="0" borderId="0" xfId="9" applyNumberFormat="1" applyFont="1"/>
    <xf numFmtId="164" fontId="19" fillId="0" borderId="2" xfId="9" applyNumberFormat="1" applyFont="1" applyBorder="1"/>
    <xf numFmtId="9" fontId="20" fillId="0" borderId="2" xfId="9" applyNumberFormat="1" applyFont="1" applyBorder="1"/>
    <xf numFmtId="164" fontId="20" fillId="0" borderId="2" xfId="9" applyNumberFormat="1" applyFont="1" applyBorder="1"/>
    <xf numFmtId="166" fontId="0" fillId="2" borderId="0" xfId="4" applyNumberFormat="1" applyFont="1" applyFill="1"/>
    <xf numFmtId="166" fontId="0" fillId="2" borderId="2" xfId="4" applyNumberFormat="1" applyFont="1" applyFill="1" applyBorder="1"/>
    <xf numFmtId="166" fontId="5" fillId="2" borderId="7" xfId="4" applyNumberFormat="1" applyFill="1" applyBorder="1"/>
    <xf numFmtId="166" fontId="5" fillId="2" borderId="8" xfId="4" applyNumberFormat="1" applyFill="1" applyBorder="1"/>
    <xf numFmtId="166" fontId="19" fillId="0" borderId="2" xfId="4" applyNumberFormat="1" applyFont="1" applyBorder="1"/>
    <xf numFmtId="166" fontId="20" fillId="34" borderId="0" xfId="4" applyNumberFormat="1" applyFont="1" applyFill="1"/>
    <xf numFmtId="9" fontId="0" fillId="2" borderId="0" xfId="3" applyFont="1" applyFill="1"/>
    <xf numFmtId="3" fontId="5" fillId="0" borderId="0" xfId="9" applyNumberFormat="1"/>
    <xf numFmtId="9" fontId="0" fillId="2" borderId="2" xfId="3" applyFont="1" applyFill="1" applyBorder="1"/>
    <xf numFmtId="166" fontId="5" fillId="0" borderId="0" xfId="4" applyNumberFormat="1"/>
    <xf numFmtId="166" fontId="5" fillId="0" borderId="2" xfId="4" applyNumberFormat="1" applyBorder="1"/>
    <xf numFmtId="43" fontId="5" fillId="0" borderId="0" xfId="4"/>
    <xf numFmtId="164" fontId="106" fillId="0" borderId="0" xfId="0" applyNumberFormat="1" applyFont="1" applyAlignment="1">
      <alignment horizontal="right"/>
    </xf>
    <xf numFmtId="9" fontId="106" fillId="0" borderId="0" xfId="0" applyNumberFormat="1" applyFont="1" applyAlignment="1">
      <alignment horizontal="right"/>
    </xf>
    <xf numFmtId="0" fontId="126" fillId="31" borderId="0" xfId="0" applyFont="1" applyFill="1"/>
    <xf numFmtId="0" fontId="106" fillId="35" borderId="4" xfId="0" applyFont="1" applyFill="1" applyBorder="1"/>
    <xf numFmtId="0" fontId="106" fillId="35" borderId="4" xfId="0" applyFont="1" applyFill="1" applyBorder="1" applyAlignment="1">
      <alignment horizontal="right"/>
    </xf>
    <xf numFmtId="0" fontId="106" fillId="35" borderId="0" xfId="0" applyFont="1" applyFill="1"/>
    <xf numFmtId="171" fontId="106" fillId="35" borderId="0" xfId="0" applyNumberFormat="1" applyFont="1" applyFill="1" applyAlignment="1">
      <alignment horizontal="right"/>
    </xf>
    <xf numFmtId="171" fontId="106" fillId="35" borderId="10" xfId="0" applyNumberFormat="1" applyFont="1" applyFill="1" applyBorder="1" applyAlignment="1">
      <alignment horizontal="right"/>
    </xf>
    <xf numFmtId="9" fontId="106" fillId="35" borderId="0" xfId="6" applyFont="1" applyFill="1" applyAlignment="1">
      <alignment horizontal="right"/>
    </xf>
    <xf numFmtId="1" fontId="20" fillId="0" borderId="0" xfId="0" applyNumberFormat="1" applyFont="1"/>
    <xf numFmtId="17" fontId="129" fillId="31" borderId="0" xfId="0" quotePrefix="1" applyNumberFormat="1" applyFont="1" applyFill="1" applyAlignment="1">
      <alignment horizontal="left"/>
    </xf>
    <xf numFmtId="17" fontId="128" fillId="31" borderId="0" xfId="0" quotePrefix="1" applyNumberFormat="1" applyFont="1" applyFill="1" applyAlignment="1">
      <alignment horizontal="left"/>
    </xf>
    <xf numFmtId="9" fontId="0" fillId="0" borderId="0" xfId="0" applyNumberFormat="1" applyAlignment="1">
      <alignment horizontal="right"/>
    </xf>
    <xf numFmtId="164" fontId="106" fillId="0" borderId="0" xfId="6" applyNumberFormat="1" applyFont="1"/>
    <xf numFmtId="0" fontId="0" fillId="25" borderId="60" xfId="0" applyFill="1" applyBorder="1"/>
    <xf numFmtId="0" fontId="0" fillId="36" borderId="0" xfId="0" applyFill="1"/>
    <xf numFmtId="166" fontId="0" fillId="36" borderId="0" xfId="5" applyNumberFormat="1" applyFont="1" applyFill="1"/>
    <xf numFmtId="170" fontId="0" fillId="36" borderId="0" xfId="0" applyNumberFormat="1" applyFill="1" applyAlignment="1">
      <alignment horizontal="right" vertical="top"/>
    </xf>
    <xf numFmtId="0" fontId="0" fillId="36" borderId="15" xfId="0" applyFill="1" applyBorder="1"/>
    <xf numFmtId="164" fontId="0" fillId="36" borderId="15" xfId="0" applyNumberFormat="1" applyFill="1" applyBorder="1" applyAlignment="1">
      <alignment horizontal="right" vertical="top"/>
    </xf>
    <xf numFmtId="43" fontId="0" fillId="36" borderId="0" xfId="5" applyFont="1" applyFill="1"/>
    <xf numFmtId="0" fontId="106" fillId="0" borderId="6" xfId="0" applyFont="1" applyBorder="1" applyAlignment="1">
      <alignment horizontal="right"/>
    </xf>
    <xf numFmtId="0" fontId="106" fillId="0" borderId="4" xfId="0" applyFont="1" applyBorder="1" applyAlignment="1">
      <alignment horizontal="right"/>
    </xf>
    <xf numFmtId="0" fontId="106" fillId="0" borderId="5" xfId="0" applyFont="1" applyBorder="1" applyAlignment="1">
      <alignment horizontal="right"/>
    </xf>
    <xf numFmtId="1" fontId="106" fillId="0" borderId="3" xfId="0" applyNumberFormat="1" applyFont="1" applyBorder="1"/>
    <xf numFmtId="1" fontId="106" fillId="0" borderId="2" xfId="0" applyNumberFormat="1" applyFont="1" applyBorder="1"/>
    <xf numFmtId="1" fontId="106" fillId="0" borderId="12" xfId="0" applyNumberFormat="1" applyFont="1" applyBorder="1"/>
    <xf numFmtId="1" fontId="106" fillId="0" borderId="8" xfId="0" applyNumberFormat="1" applyFont="1" applyBorder="1"/>
    <xf numFmtId="0" fontId="106" fillId="0" borderId="3" xfId="0" applyFont="1" applyBorder="1"/>
    <xf numFmtId="0" fontId="106" fillId="0" borderId="2" xfId="0" applyFont="1" applyBorder="1"/>
    <xf numFmtId="3" fontId="106" fillId="0" borderId="3" xfId="0" applyNumberFormat="1" applyFont="1" applyBorder="1"/>
    <xf numFmtId="3" fontId="106" fillId="0" borderId="2" xfId="0" applyNumberFormat="1" applyFont="1" applyBorder="1"/>
    <xf numFmtId="164" fontId="106" fillId="0" borderId="12" xfId="0" applyNumberFormat="1" applyFont="1" applyBorder="1"/>
    <xf numFmtId="164" fontId="106" fillId="0" borderId="8" xfId="0" applyNumberFormat="1" applyFont="1" applyBorder="1"/>
    <xf numFmtId="170" fontId="0" fillId="3" borderId="0" xfId="0" applyNumberFormat="1" applyFill="1"/>
    <xf numFmtId="1" fontId="106" fillId="3" borderId="11" xfId="0" applyNumberFormat="1" applyFont="1" applyFill="1" applyBorder="1"/>
    <xf numFmtId="9" fontId="106" fillId="3" borderId="8" xfId="0" applyNumberFormat="1" applyFont="1" applyFill="1" applyBorder="1"/>
    <xf numFmtId="2" fontId="0" fillId="36" borderId="0" xfId="6" applyNumberFormat="1" applyFont="1" applyFill="1"/>
    <xf numFmtId="9" fontId="106" fillId="3" borderId="7" xfId="0" applyNumberFormat="1" applyFont="1" applyFill="1" applyBorder="1" applyAlignment="1">
      <alignment horizontal="right"/>
    </xf>
    <xf numFmtId="0" fontId="107" fillId="0" borderId="0" xfId="0" applyFont="1" applyAlignment="1">
      <alignment horizontal="left"/>
    </xf>
    <xf numFmtId="0" fontId="107" fillId="0" borderId="7" xfId="0" applyFont="1" applyBorder="1"/>
    <xf numFmtId="0" fontId="106" fillId="0" borderId="61" xfId="0" applyFont="1" applyBorder="1" applyAlignment="1">
      <alignment horizontal="left"/>
    </xf>
    <xf numFmtId="0" fontId="106" fillId="0" borderId="62" xfId="0" applyFont="1" applyBorder="1" applyAlignment="1">
      <alignment horizontal="right"/>
    </xf>
    <xf numFmtId="0" fontId="106" fillId="0" borderId="62" xfId="0" applyFont="1" applyBorder="1"/>
    <xf numFmtId="0" fontId="106" fillId="0" borderId="63" xfId="0" applyFont="1" applyBorder="1"/>
    <xf numFmtId="3" fontId="106" fillId="0" borderId="10" xfId="0" applyNumberFormat="1" applyFont="1" applyBorder="1"/>
    <xf numFmtId="3" fontId="106" fillId="0" borderId="11" xfId="0" applyNumberFormat="1" applyFont="1" applyBorder="1"/>
    <xf numFmtId="170" fontId="106" fillId="0" borderId="8" xfId="0" applyNumberFormat="1" applyFont="1" applyBorder="1"/>
    <xf numFmtId="0" fontId="2" fillId="25" borderId="60" xfId="0" applyFont="1" applyFill="1" applyBorder="1"/>
    <xf numFmtId="17" fontId="111" fillId="0" borderId="0" xfId="0" applyNumberFormat="1" applyFont="1" applyAlignment="1">
      <alignment horizontal="left"/>
    </xf>
    <xf numFmtId="17" fontId="111" fillId="0" borderId="0" xfId="0" quotePrefix="1" applyNumberFormat="1" applyFont="1" applyAlignment="1">
      <alignment horizontal="left"/>
    </xf>
    <xf numFmtId="164" fontId="106" fillId="3" borderId="1" xfId="0" applyNumberFormat="1" applyFont="1" applyFill="1" applyBorder="1"/>
    <xf numFmtId="9" fontId="106" fillId="3" borderId="1" xfId="0" applyNumberFormat="1" applyFont="1" applyFill="1" applyBorder="1"/>
    <xf numFmtId="0" fontId="0" fillId="0" borderId="0" xfId="0" quotePrefix="1" applyAlignment="1">
      <alignment horizontal="right"/>
    </xf>
    <xf numFmtId="170" fontId="106" fillId="37" borderId="0" xfId="0" applyNumberFormat="1" applyFont="1" applyFill="1"/>
    <xf numFmtId="257" fontId="106" fillId="0" borderId="0" xfId="0" applyNumberFormat="1" applyFont="1"/>
    <xf numFmtId="164" fontId="108" fillId="0" borderId="1" xfId="0" applyNumberFormat="1" applyFont="1" applyBorder="1"/>
    <xf numFmtId="257" fontId="106" fillId="3" borderId="0" xfId="0" applyNumberFormat="1" applyFont="1" applyFill="1"/>
    <xf numFmtId="257" fontId="0" fillId="0" borderId="0" xfId="0" applyNumberFormat="1"/>
    <xf numFmtId="0" fontId="2" fillId="0" borderId="7" xfId="0" applyFont="1" applyBorder="1" applyAlignment="1">
      <alignment horizontal="right"/>
    </xf>
    <xf numFmtId="1" fontId="0" fillId="3" borderId="0" xfId="0" applyNumberFormat="1" applyFill="1"/>
    <xf numFmtId="0" fontId="2" fillId="0" borderId="0" xfId="0" applyFont="1" applyAlignment="1">
      <alignment horizontal="right"/>
    </xf>
    <xf numFmtId="0" fontId="0" fillId="0" borderId="9" xfId="0" applyBorder="1"/>
    <xf numFmtId="0" fontId="0" fillId="0" borderId="10" xfId="0" applyBorder="1"/>
    <xf numFmtId="0" fontId="2" fillId="0" borderId="10" xfId="0" applyFont="1" applyBorder="1" applyAlignment="1">
      <alignment horizontal="right"/>
    </xf>
    <xf numFmtId="0" fontId="2" fillId="0" borderId="12" xfId="0" applyFont="1" applyBorder="1"/>
    <xf numFmtId="0" fontId="2" fillId="0" borderId="8" xfId="0" applyFont="1" applyBorder="1" applyAlignment="1">
      <alignment horizontal="right"/>
    </xf>
    <xf numFmtId="0" fontId="0" fillId="0" borderId="3" xfId="0" applyBorder="1"/>
    <xf numFmtId="0" fontId="111" fillId="0" borderId="3" xfId="0" applyFont="1" applyBorder="1"/>
    <xf numFmtId="0" fontId="2" fillId="0" borderId="3" xfId="0" applyFont="1" applyBorder="1"/>
    <xf numFmtId="0" fontId="2" fillId="0" borderId="9" xfId="0" applyFont="1" applyBorder="1"/>
    <xf numFmtId="0" fontId="2" fillId="0" borderId="10" xfId="0" applyFont="1" applyBorder="1"/>
    <xf numFmtId="0" fontId="2" fillId="0" borderId="11" xfId="0" applyFont="1" applyBorder="1"/>
    <xf numFmtId="0" fontId="3" fillId="0" borderId="3" xfId="0" applyFont="1" applyBorder="1"/>
    <xf numFmtId="1" fontId="0" fillId="0" borderId="7" xfId="0" applyNumberFormat="1" applyBorder="1" applyAlignment="1">
      <alignment horizontal="right"/>
    </xf>
    <xf numFmtId="0" fontId="0" fillId="0" borderId="61" xfId="0" applyBorder="1"/>
    <xf numFmtId="164" fontId="0" fillId="0" borderId="63" xfId="0" applyNumberFormat="1" applyBorder="1"/>
    <xf numFmtId="0" fontId="0" fillId="0" borderId="50" xfId="0" applyBorder="1" applyAlignment="1">
      <alignment horizontal="right"/>
    </xf>
    <xf numFmtId="0" fontId="0" fillId="0" borderId="51" xfId="0" applyBorder="1" applyAlignment="1">
      <alignment horizontal="right"/>
    </xf>
    <xf numFmtId="0" fontId="0" fillId="0" borderId="52" xfId="0" applyBorder="1" applyAlignment="1">
      <alignment horizontal="right"/>
    </xf>
    <xf numFmtId="0" fontId="0" fillId="0" borderId="53" xfId="0" applyBorder="1" applyAlignment="1">
      <alignment horizontal="right"/>
    </xf>
    <xf numFmtId="3" fontId="0" fillId="0" borderId="54" xfId="0" applyNumberFormat="1" applyBorder="1"/>
    <xf numFmtId="164" fontId="0" fillId="0" borderId="34" xfId="0" applyNumberFormat="1" applyBorder="1"/>
    <xf numFmtId="3" fontId="0" fillId="0" borderId="52" xfId="0" applyNumberFormat="1" applyBorder="1"/>
    <xf numFmtId="164" fontId="0" fillId="0" borderId="53" xfId="0" applyNumberFormat="1" applyBorder="1"/>
    <xf numFmtId="3" fontId="0" fillId="0" borderId="55" xfId="0" applyNumberFormat="1" applyBorder="1"/>
    <xf numFmtId="164" fontId="0" fillId="0" borderId="56" xfId="0" applyNumberFormat="1" applyBorder="1"/>
    <xf numFmtId="0" fontId="106" fillId="0" borderId="61" xfId="0" applyFont="1" applyBorder="1"/>
    <xf numFmtId="171" fontId="106" fillId="0" borderId="63" xfId="0" applyNumberFormat="1" applyFont="1" applyBorder="1"/>
    <xf numFmtId="171" fontId="106" fillId="3" borderId="26" xfId="0" applyNumberFormat="1" applyFont="1" applyFill="1" applyBorder="1"/>
    <xf numFmtId="10" fontId="0" fillId="0" borderId="0" xfId="0" quotePrefix="1" applyNumberFormat="1"/>
    <xf numFmtId="0" fontId="0" fillId="0" borderId="0" xfId="0" quotePrefix="1" applyAlignment="1">
      <alignment horizontal="left"/>
    </xf>
    <xf numFmtId="0" fontId="143" fillId="0" borderId="0" xfId="0" applyFont="1"/>
    <xf numFmtId="171" fontId="106" fillId="25" borderId="26" xfId="0" applyNumberFormat="1" applyFont="1" applyFill="1" applyBorder="1"/>
    <xf numFmtId="0" fontId="144" fillId="0" borderId="0" xfId="0" applyFont="1" applyAlignment="1">
      <alignment horizontal="right"/>
    </xf>
    <xf numFmtId="0" fontId="144" fillId="0" borderId="7" xfId="0" applyFont="1" applyBorder="1" applyAlignment="1">
      <alignment horizontal="right"/>
    </xf>
    <xf numFmtId="0" fontId="145" fillId="0" borderId="0" xfId="0" applyFont="1"/>
    <xf numFmtId="16" fontId="111" fillId="0" borderId="0" xfId="0" applyNumberFormat="1" applyFont="1" applyAlignment="1">
      <alignment horizontal="left"/>
    </xf>
    <xf numFmtId="0" fontId="2" fillId="0" borderId="59" xfId="0" applyFont="1" applyBorder="1"/>
    <xf numFmtId="3" fontId="2" fillId="0" borderId="59" xfId="0" applyNumberFormat="1" applyFont="1" applyBorder="1"/>
    <xf numFmtId="3" fontId="0" fillId="3" borderId="0" xfId="0" applyNumberFormat="1" applyFill="1"/>
    <xf numFmtId="0" fontId="114" fillId="0" borderId="7" xfId="0" applyFont="1" applyBorder="1" applyAlignment="1">
      <alignment horizontal="right"/>
    </xf>
    <xf numFmtId="0" fontId="114" fillId="0" borderId="0" xfId="0" applyFont="1" applyAlignment="1">
      <alignment horizontal="right"/>
    </xf>
    <xf numFmtId="3" fontId="114" fillId="0" borderId="0" xfId="0" applyNumberFormat="1" applyFont="1" applyAlignment="1">
      <alignment horizontal="right"/>
    </xf>
    <xf numFmtId="9" fontId="114" fillId="0" borderId="0" xfId="0" applyNumberFormat="1" applyFont="1" applyAlignment="1">
      <alignment horizontal="right"/>
    </xf>
    <xf numFmtId="17" fontId="108" fillId="0" borderId="7" xfId="0" applyNumberFormat="1" applyFont="1" applyBorder="1"/>
    <xf numFmtId="0" fontId="146" fillId="0" borderId="0" xfId="0" applyFont="1" applyAlignment="1">
      <alignment horizontal="right"/>
    </xf>
    <xf numFmtId="0" fontId="108" fillId="0" borderId="59" xfId="0" applyFont="1" applyBorder="1"/>
    <xf numFmtId="170" fontId="108" fillId="0" borderId="59" xfId="0" applyNumberFormat="1" applyFont="1" applyBorder="1"/>
    <xf numFmtId="0" fontId="149" fillId="39" borderId="15" xfId="414" applyFont="1" applyFill="1" applyBorder="1"/>
    <xf numFmtId="0" fontId="150" fillId="39" borderId="15" xfId="414" applyFont="1" applyFill="1" applyBorder="1"/>
    <xf numFmtId="0" fontId="148" fillId="0" borderId="0" xfId="414"/>
    <xf numFmtId="0" fontId="150" fillId="39" borderId="0" xfId="414" applyFont="1" applyFill="1"/>
    <xf numFmtId="0" fontId="151" fillId="39" borderId="0" xfId="414" applyFont="1" applyFill="1"/>
    <xf numFmtId="14" fontId="152" fillId="39" borderId="0" xfId="414" applyNumberFormat="1" applyFont="1" applyFill="1" applyAlignment="1">
      <alignment horizontal="left"/>
    </xf>
    <xf numFmtId="0" fontId="153" fillId="39" borderId="0" xfId="414" applyFont="1" applyFill="1"/>
    <xf numFmtId="259" fontId="150" fillId="39" borderId="0" xfId="414" applyNumberFormat="1" applyFont="1" applyFill="1"/>
    <xf numFmtId="0" fontId="154" fillId="39" borderId="0" xfId="414" applyFont="1" applyFill="1"/>
    <xf numFmtId="0" fontId="148" fillId="39" borderId="0" xfId="414" applyFill="1"/>
    <xf numFmtId="0" fontId="155" fillId="39" borderId="0" xfId="414" applyFont="1" applyFill="1"/>
    <xf numFmtId="0" fontId="153" fillId="39" borderId="0" xfId="414" quotePrefix="1" applyFont="1" applyFill="1"/>
    <xf numFmtId="0" fontId="152" fillId="39" borderId="0" xfId="414" applyFont="1" applyFill="1"/>
    <xf numFmtId="0" fontId="156" fillId="39" borderId="0" xfId="414" applyFont="1" applyFill="1"/>
    <xf numFmtId="260" fontId="150" fillId="39" borderId="0" xfId="415" applyNumberFormat="1" applyFont="1" applyFill="1"/>
    <xf numFmtId="0" fontId="152" fillId="39" borderId="0" xfId="414" applyFont="1" applyFill="1" applyAlignment="1">
      <alignment horizontal="right"/>
    </xf>
    <xf numFmtId="37" fontId="152" fillId="39" borderId="0" xfId="414" applyNumberFormat="1" applyFont="1" applyFill="1"/>
    <xf numFmtId="261" fontId="124" fillId="36" borderId="0" xfId="414" applyNumberFormat="1" applyFont="1" applyFill="1"/>
    <xf numFmtId="3" fontId="2" fillId="0" borderId="0" xfId="0" applyNumberFormat="1" applyFont="1"/>
    <xf numFmtId="3" fontId="1" fillId="0" borderId="0" xfId="0" applyNumberFormat="1" applyFont="1"/>
    <xf numFmtId="0" fontId="0" fillId="40" borderId="0" xfId="0" applyFill="1"/>
    <xf numFmtId="0" fontId="3" fillId="0" borderId="0" xfId="0" applyFont="1" applyAlignment="1">
      <alignment horizontal="right"/>
    </xf>
    <xf numFmtId="9" fontId="2" fillId="0" borderId="0" xfId="0" applyNumberFormat="1" applyFont="1"/>
    <xf numFmtId="3" fontId="0" fillId="0" borderId="0" xfId="0" applyNumberFormat="1" applyAlignment="1">
      <alignment horizontal="right"/>
    </xf>
    <xf numFmtId="3" fontId="0" fillId="0" borderId="7" xfId="0" applyNumberFormat="1" applyBorder="1" applyAlignment="1">
      <alignment horizontal="right"/>
    </xf>
    <xf numFmtId="3" fontId="0" fillId="25" borderId="0" xfId="0" applyNumberFormat="1" applyFill="1"/>
    <xf numFmtId="0" fontId="2" fillId="25" borderId="0" xfId="0" applyFont="1" applyFill="1"/>
    <xf numFmtId="3" fontId="2" fillId="25" borderId="0" xfId="0" applyNumberFormat="1" applyFont="1" applyFill="1"/>
    <xf numFmtId="0" fontId="2" fillId="25" borderId="7" xfId="0" applyFont="1" applyFill="1" applyBorder="1"/>
    <xf numFmtId="9" fontId="0" fillId="25" borderId="0" xfId="0" applyNumberFormat="1" applyFill="1"/>
    <xf numFmtId="170" fontId="0" fillId="25" borderId="0" xfId="0" applyNumberFormat="1" applyFill="1"/>
    <xf numFmtId="170" fontId="2" fillId="25" borderId="0" xfId="0" applyNumberFormat="1" applyFont="1" applyFill="1"/>
    <xf numFmtId="1" fontId="2" fillId="25" borderId="0" xfId="0" applyNumberFormat="1" applyFont="1" applyFill="1"/>
    <xf numFmtId="1" fontId="0" fillId="25" borderId="7" xfId="0" applyNumberFormat="1" applyFill="1" applyBorder="1"/>
    <xf numFmtId="170" fontId="2" fillId="0" borderId="0" xfId="0" applyNumberFormat="1" applyFont="1"/>
    <xf numFmtId="9" fontId="2" fillId="25" borderId="0" xfId="0" applyNumberFormat="1" applyFont="1" applyFill="1"/>
    <xf numFmtId="257" fontId="0" fillId="25" borderId="0" xfId="0" applyNumberFormat="1" applyFill="1"/>
    <xf numFmtId="0" fontId="5" fillId="0" borderId="0" xfId="229"/>
    <xf numFmtId="0" fontId="106" fillId="25" borderId="0" xfId="229" applyFont="1" applyFill="1"/>
    <xf numFmtId="0" fontId="106" fillId="0" borderId="0" xfId="229" applyFont="1"/>
    <xf numFmtId="3" fontId="106" fillId="25" borderId="0" xfId="229" applyNumberFormat="1" applyFont="1" applyFill="1"/>
    <xf numFmtId="3" fontId="106" fillId="25" borderId="7" xfId="229" applyNumberFormat="1" applyFont="1" applyFill="1" applyBorder="1"/>
    <xf numFmtId="164" fontId="106" fillId="0" borderId="0" xfId="229" applyNumberFormat="1" applyFont="1"/>
    <xf numFmtId="0" fontId="145" fillId="25" borderId="0" xfId="229" applyFont="1" applyFill="1"/>
    <xf numFmtId="164" fontId="106" fillId="25" borderId="0" xfId="229" applyNumberFormat="1" applyFont="1" applyFill="1"/>
    <xf numFmtId="0" fontId="20" fillId="0" borderId="0" xfId="229" applyFont="1"/>
    <xf numFmtId="3" fontId="106" fillId="0" borderId="0" xfId="229" applyNumberFormat="1" applyFont="1"/>
    <xf numFmtId="9" fontId="20" fillId="25" borderId="0" xfId="229" applyNumberFormat="1" applyFont="1" applyFill="1"/>
    <xf numFmtId="0" fontId="20" fillId="25" borderId="7" xfId="229" applyFont="1" applyFill="1" applyBorder="1"/>
    <xf numFmtId="3" fontId="2" fillId="0" borderId="7" xfId="0" applyNumberFormat="1" applyFont="1" applyBorder="1" applyAlignment="1">
      <alignment horizontal="right"/>
    </xf>
    <xf numFmtId="262" fontId="0" fillId="0" borderId="0" xfId="0" applyNumberFormat="1"/>
    <xf numFmtId="263" fontId="0" fillId="0" borderId="0" xfId="0" applyNumberFormat="1"/>
    <xf numFmtId="169" fontId="24" fillId="0" borderId="4" xfId="2" applyNumberFormat="1" applyFont="1" applyBorder="1" applyAlignment="1">
      <alignment vertical="top"/>
    </xf>
    <xf numFmtId="9" fontId="20" fillId="0" borderId="0" xfId="6" applyFont="1"/>
    <xf numFmtId="9" fontId="20" fillId="0" borderId="7" xfId="6" applyFont="1" applyBorder="1"/>
    <xf numFmtId="169" fontId="19" fillId="0" borderId="4" xfId="7" applyNumberFormat="1" applyFont="1" applyBorder="1"/>
    <xf numFmtId="0" fontId="108" fillId="25" borderId="7" xfId="0" applyFont="1" applyFill="1" applyBorder="1"/>
    <xf numFmtId="164" fontId="106" fillId="25" borderId="7" xfId="0" applyNumberFormat="1" applyFont="1" applyFill="1" applyBorder="1"/>
    <xf numFmtId="3" fontId="108" fillId="0" borderId="7" xfId="0" applyNumberFormat="1" applyFont="1" applyBorder="1"/>
    <xf numFmtId="0" fontId="158" fillId="26" borderId="0" xfId="2" applyFont="1" applyFill="1"/>
    <xf numFmtId="0" fontId="159" fillId="0" borderId="0" xfId="2" applyFont="1"/>
    <xf numFmtId="0" fontId="160" fillId="0" borderId="0" xfId="0" applyFont="1"/>
    <xf numFmtId="165" fontId="158" fillId="0" borderId="7" xfId="2" applyNumberFormat="1" applyFont="1" applyBorder="1" applyAlignment="1">
      <alignment horizontal="right"/>
    </xf>
    <xf numFmtId="2" fontId="159" fillId="0" borderId="0" xfId="2" applyNumberFormat="1" applyFont="1"/>
    <xf numFmtId="9" fontId="159" fillId="0" borderId="0" xfId="2" applyNumberFormat="1" applyFont="1"/>
    <xf numFmtId="0" fontId="160" fillId="40" borderId="0" xfId="0" applyFont="1" applyFill="1"/>
    <xf numFmtId="0" fontId="158" fillId="0" borderId="0" xfId="2" applyFont="1" applyAlignment="1">
      <alignment horizontal="right"/>
    </xf>
    <xf numFmtId="165" fontId="161" fillId="0" borderId="7" xfId="2" applyNumberFormat="1" applyFont="1" applyBorder="1" applyAlignment="1">
      <alignment vertical="top"/>
    </xf>
    <xf numFmtId="0" fontId="158" fillId="0" borderId="7" xfId="2" applyFont="1" applyBorder="1" applyAlignment="1">
      <alignment horizontal="right"/>
    </xf>
    <xf numFmtId="165" fontId="162" fillId="0" borderId="0" xfId="2" applyNumberFormat="1" applyFont="1" applyAlignment="1">
      <alignment vertical="top"/>
    </xf>
    <xf numFmtId="3" fontId="159" fillId="0" borderId="0" xfId="2" applyNumberFormat="1" applyFont="1"/>
    <xf numFmtId="0" fontId="158" fillId="0" borderId="6" xfId="2" applyFont="1" applyBorder="1"/>
    <xf numFmtId="0" fontId="158" fillId="0" borderId="4" xfId="2" applyFont="1" applyBorder="1" applyAlignment="1">
      <alignment horizontal="right"/>
    </xf>
    <xf numFmtId="164" fontId="159" fillId="0" borderId="0" xfId="2" applyNumberFormat="1" applyFont="1"/>
    <xf numFmtId="169" fontId="158" fillId="0" borderId="0" xfId="2" applyNumberFormat="1" applyFont="1"/>
    <xf numFmtId="164" fontId="158" fillId="0" borderId="0" xfId="2" applyNumberFormat="1" applyFont="1"/>
    <xf numFmtId="165" fontId="159" fillId="0" borderId="3" xfId="2" applyNumberFormat="1" applyFont="1" applyBorder="1" applyAlignment="1">
      <alignment horizontal="left" indent="1"/>
    </xf>
    <xf numFmtId="169" fontId="159" fillId="0" borderId="0" xfId="2" applyNumberFormat="1" applyFont="1"/>
    <xf numFmtId="165" fontId="158" fillId="0" borderId="3" xfId="2" applyNumberFormat="1" applyFont="1" applyBorder="1" applyAlignment="1">
      <alignment horizontal="left"/>
    </xf>
    <xf numFmtId="1" fontId="159" fillId="0" borderId="0" xfId="2" applyNumberFormat="1" applyFont="1"/>
    <xf numFmtId="0" fontId="158" fillId="0" borderId="0" xfId="2" applyFont="1"/>
    <xf numFmtId="164" fontId="159" fillId="0" borderId="7" xfId="2" applyNumberFormat="1" applyFont="1" applyBorder="1"/>
    <xf numFmtId="0" fontId="158" fillId="0" borderId="7" xfId="2" applyFont="1" applyBorder="1" applyAlignment="1">
      <alignment horizontal="left"/>
    </xf>
    <xf numFmtId="165" fontId="159" fillId="0" borderId="0" xfId="2" applyNumberFormat="1" applyFont="1"/>
    <xf numFmtId="165" fontId="159" fillId="0" borderId="0" xfId="2" quotePrefix="1" applyNumberFormat="1" applyFont="1"/>
    <xf numFmtId="169" fontId="159" fillId="0" borderId="7" xfId="2" applyNumberFormat="1" applyFont="1" applyBorder="1"/>
    <xf numFmtId="165" fontId="159" fillId="0" borderId="61" xfId="2" applyNumberFormat="1" applyFont="1" applyBorder="1"/>
    <xf numFmtId="164" fontId="159" fillId="0" borderId="62" xfId="2" applyNumberFormat="1" applyFont="1" applyBorder="1"/>
    <xf numFmtId="164" fontId="158" fillId="0" borderId="62" xfId="2" applyNumberFormat="1" applyFont="1" applyBorder="1"/>
    <xf numFmtId="165" fontId="159" fillId="0" borderId="4" xfId="2" applyNumberFormat="1" applyFont="1" applyBorder="1"/>
    <xf numFmtId="164" fontId="159" fillId="0" borderId="4" xfId="2" applyNumberFormat="1" applyFont="1" applyBorder="1"/>
    <xf numFmtId="165" fontId="158" fillId="0" borderId="6" xfId="2" applyNumberFormat="1" applyFont="1" applyBorder="1"/>
    <xf numFmtId="164" fontId="158" fillId="0" borderId="4" xfId="2" applyNumberFormat="1" applyFont="1" applyBorder="1"/>
    <xf numFmtId="0" fontId="159" fillId="40" borderId="0" xfId="2" applyFont="1" applyFill="1"/>
    <xf numFmtId="0" fontId="158" fillId="0" borderId="7" xfId="2" applyFont="1" applyBorder="1"/>
    <xf numFmtId="165" fontId="159" fillId="0" borderId="7" xfId="2" applyNumberFormat="1" applyFont="1" applyBorder="1"/>
    <xf numFmtId="165" fontId="158" fillId="0" borderId="0" xfId="2" applyNumberFormat="1" applyFont="1"/>
    <xf numFmtId="0" fontId="159" fillId="0" borderId="0" xfId="2" applyFont="1" applyAlignment="1">
      <alignment horizontal="right"/>
    </xf>
    <xf numFmtId="164" fontId="158" fillId="0" borderId="7" xfId="2" applyNumberFormat="1" applyFont="1" applyBorder="1" applyAlignment="1">
      <alignment horizontal="right"/>
    </xf>
    <xf numFmtId="1" fontId="159" fillId="0" borderId="7" xfId="2" applyNumberFormat="1" applyFont="1" applyBorder="1"/>
    <xf numFmtId="0" fontId="159" fillId="0" borderId="7" xfId="2" applyFont="1" applyBorder="1"/>
    <xf numFmtId="3" fontId="159" fillId="0" borderId="7" xfId="2" applyNumberFormat="1" applyFont="1" applyBorder="1"/>
    <xf numFmtId="1" fontId="159" fillId="3" borderId="0" xfId="2" applyNumberFormat="1" applyFont="1" applyFill="1"/>
    <xf numFmtId="164" fontId="159" fillId="0" borderId="7" xfId="2" applyNumberFormat="1" applyFont="1" applyBorder="1" applyAlignment="1">
      <alignment horizontal="right"/>
    </xf>
    <xf numFmtId="164" fontId="159" fillId="0" borderId="0" xfId="2" applyNumberFormat="1" applyFont="1" applyAlignment="1">
      <alignment horizontal="right"/>
    </xf>
    <xf numFmtId="165" fontId="158" fillId="27" borderId="3" xfId="2" applyNumberFormat="1" applyFont="1" applyFill="1" applyBorder="1"/>
    <xf numFmtId="169" fontId="158" fillId="27" borderId="0" xfId="2" applyNumberFormat="1" applyFont="1" applyFill="1"/>
    <xf numFmtId="165" fontId="159" fillId="27" borderId="3" xfId="2" applyNumberFormat="1" applyFont="1" applyFill="1" applyBorder="1" applyAlignment="1">
      <alignment horizontal="left" indent="1"/>
    </xf>
    <xf numFmtId="169" fontId="159" fillId="27" borderId="0" xfId="2" applyNumberFormat="1" applyFont="1" applyFill="1"/>
    <xf numFmtId="0" fontId="158" fillId="0" borderId="5" xfId="2" applyFont="1" applyBorder="1" applyAlignment="1">
      <alignment horizontal="right"/>
    </xf>
    <xf numFmtId="164" fontId="158" fillId="27" borderId="2" xfId="2" applyNumberFormat="1" applyFont="1" applyFill="1" applyBorder="1"/>
    <xf numFmtId="164" fontId="159" fillId="0" borderId="2" xfId="2" applyNumberFormat="1" applyFont="1" applyBorder="1"/>
    <xf numFmtId="164" fontId="159" fillId="27" borderId="2" xfId="2" applyNumberFormat="1" applyFont="1" applyFill="1" applyBorder="1"/>
    <xf numFmtId="164" fontId="158" fillId="0" borderId="2" xfId="2" applyNumberFormat="1" applyFont="1" applyBorder="1"/>
    <xf numFmtId="169" fontId="158" fillId="27" borderId="2" xfId="2" applyNumberFormat="1" applyFont="1" applyFill="1" applyBorder="1"/>
    <xf numFmtId="169" fontId="159" fillId="0" borderId="2" xfId="2" applyNumberFormat="1" applyFont="1" applyBorder="1"/>
    <xf numFmtId="169" fontId="159" fillId="27" borderId="2" xfId="2" applyNumberFormat="1" applyFont="1" applyFill="1" applyBorder="1"/>
    <xf numFmtId="169" fontId="158" fillId="0" borderId="2" xfId="2" applyNumberFormat="1" applyFont="1" applyBorder="1"/>
    <xf numFmtId="169" fontId="159" fillId="0" borderId="8" xfId="2" applyNumberFormat="1" applyFont="1" applyBorder="1"/>
    <xf numFmtId="0" fontId="160" fillId="0" borderId="7" xfId="0" applyFont="1" applyBorder="1"/>
    <xf numFmtId="0" fontId="158" fillId="0" borderId="3" xfId="2" applyFont="1" applyBorder="1"/>
    <xf numFmtId="0" fontId="158" fillId="0" borderId="2" xfId="2" applyFont="1" applyBorder="1" applyAlignment="1">
      <alignment horizontal="right"/>
    </xf>
    <xf numFmtId="1" fontId="159" fillId="27" borderId="0" xfId="6" applyNumberFormat="1" applyFont="1" applyFill="1" applyBorder="1"/>
    <xf numFmtId="165" fontId="159" fillId="0" borderId="12" xfId="2" applyNumberFormat="1" applyFont="1" applyBorder="1" applyAlignment="1">
      <alignment horizontal="left" indent="1"/>
    </xf>
    <xf numFmtId="164" fontId="159" fillId="0" borderId="8" xfId="2" applyNumberFormat="1" applyFont="1" applyBorder="1"/>
    <xf numFmtId="0" fontId="160" fillId="0" borderId="0" xfId="0" applyFont="1" applyAlignment="1">
      <alignment horizontal="left" indent="1"/>
    </xf>
    <xf numFmtId="164" fontId="160" fillId="0" borderId="0" xfId="6" applyNumberFormat="1" applyFont="1"/>
    <xf numFmtId="0" fontId="163" fillId="36" borderId="0" xfId="0" applyFont="1" applyFill="1"/>
    <xf numFmtId="0" fontId="164" fillId="36" borderId="0" xfId="0" applyFont="1" applyFill="1"/>
    <xf numFmtId="0" fontId="147" fillId="36" borderId="0" xfId="0" applyFont="1" applyFill="1"/>
    <xf numFmtId="0" fontId="106" fillId="27" borderId="0" xfId="0" applyFont="1" applyFill="1"/>
    <xf numFmtId="0" fontId="0" fillId="27" borderId="0" xfId="0" applyFill="1"/>
    <xf numFmtId="3" fontId="106" fillId="27" borderId="0" xfId="0" applyNumberFormat="1" applyFont="1" applyFill="1"/>
    <xf numFmtId="3" fontId="106" fillId="27" borderId="26" xfId="0" applyNumberFormat="1" applyFont="1" applyFill="1" applyBorder="1"/>
    <xf numFmtId="257" fontId="106" fillId="0" borderId="7" xfId="0" applyNumberFormat="1" applyFont="1" applyBorder="1"/>
    <xf numFmtId="0" fontId="165" fillId="0" borderId="0" xfId="0" applyFont="1"/>
    <xf numFmtId="164" fontId="160" fillId="0" borderId="7" xfId="6" applyNumberFormat="1" applyFont="1" applyBorder="1"/>
    <xf numFmtId="164" fontId="160" fillId="3" borderId="0" xfId="6" applyNumberFormat="1" applyFont="1" applyFill="1"/>
    <xf numFmtId="0" fontId="160" fillId="0" borderId="0" xfId="0" applyFont="1" applyAlignment="1">
      <alignment vertical="center"/>
    </xf>
    <xf numFmtId="0" fontId="166" fillId="0" borderId="0" xfId="0" applyFont="1"/>
    <xf numFmtId="0" fontId="167" fillId="0" borderId="0" xfId="0" applyFont="1" applyAlignment="1">
      <alignment horizontal="right"/>
    </xf>
    <xf numFmtId="0" fontId="166" fillId="0" borderId="0" xfId="0" applyFont="1" applyAlignment="1">
      <alignment horizontal="left" indent="1"/>
    </xf>
    <xf numFmtId="9" fontId="166" fillId="0" borderId="0" xfId="6" applyFont="1" applyFill="1"/>
    <xf numFmtId="0" fontId="166" fillId="0" borderId="7" xfId="0" applyFont="1" applyBorder="1"/>
    <xf numFmtId="164" fontId="166" fillId="0" borderId="0" xfId="0" applyNumberFormat="1" applyFont="1"/>
    <xf numFmtId="0" fontId="158" fillId="0" borderId="7" xfId="0" applyFont="1" applyBorder="1"/>
    <xf numFmtId="0" fontId="158" fillId="0" borderId="7" xfId="0" applyFont="1" applyBorder="1" applyAlignment="1">
      <alignment horizontal="right"/>
    </xf>
    <xf numFmtId="0" fontId="159" fillId="0" borderId="7" xfId="0" quotePrefix="1" applyFont="1" applyBorder="1"/>
    <xf numFmtId="164" fontId="159" fillId="0" borderId="7" xfId="6" applyNumberFormat="1" applyFont="1" applyBorder="1"/>
    <xf numFmtId="164" fontId="159" fillId="0" borderId="0" xfId="6" applyNumberFormat="1" applyFont="1" applyBorder="1"/>
    <xf numFmtId="0" fontId="159" fillId="0" borderId="0" xfId="0" quotePrefix="1" applyFont="1"/>
    <xf numFmtId="0" fontId="166" fillId="0" borderId="0" xfId="0" applyFont="1" applyAlignment="1">
      <alignment horizontal="right"/>
    </xf>
    <xf numFmtId="1" fontId="168" fillId="0" borderId="0" xfId="2" applyNumberFormat="1" applyFont="1"/>
    <xf numFmtId="1" fontId="168" fillId="0" borderId="7" xfId="2" applyNumberFormat="1" applyFont="1" applyBorder="1"/>
    <xf numFmtId="164" fontId="168" fillId="0" borderId="0" xfId="2" applyNumberFormat="1" applyFont="1"/>
    <xf numFmtId="3" fontId="168" fillId="0" borderId="0" xfId="2" applyNumberFormat="1" applyFont="1"/>
    <xf numFmtId="0" fontId="168" fillId="0" borderId="0" xfId="2" applyFont="1"/>
    <xf numFmtId="0" fontId="169" fillId="0" borderId="0" xfId="2" applyFont="1"/>
    <xf numFmtId="0" fontId="170" fillId="0" borderId="0" xfId="2" applyFont="1" applyAlignment="1">
      <alignment horizontal="right"/>
    </xf>
    <xf numFmtId="0" fontId="170" fillId="0" borderId="6" xfId="2" applyFont="1" applyBorder="1"/>
    <xf numFmtId="0" fontId="170" fillId="0" borderId="4" xfId="2" applyFont="1" applyBorder="1" applyAlignment="1">
      <alignment horizontal="right"/>
    </xf>
    <xf numFmtId="165" fontId="170" fillId="27" borderId="3" xfId="2" applyNumberFormat="1" applyFont="1" applyFill="1" applyBorder="1"/>
    <xf numFmtId="164" fontId="170" fillId="27" borderId="0" xfId="6" applyNumberFormat="1" applyFont="1" applyFill="1" applyBorder="1"/>
    <xf numFmtId="165" fontId="169" fillId="0" borderId="3" xfId="2" applyNumberFormat="1" applyFont="1" applyBorder="1" applyAlignment="1">
      <alignment horizontal="left" indent="1"/>
    </xf>
    <xf numFmtId="164" fontId="169" fillId="0" borderId="0" xfId="6" applyNumberFormat="1" applyFont="1" applyFill="1" applyBorder="1"/>
    <xf numFmtId="165" fontId="169" fillId="27" borderId="3" xfId="2" applyNumberFormat="1" applyFont="1" applyFill="1" applyBorder="1" applyAlignment="1">
      <alignment horizontal="left" indent="1"/>
    </xf>
    <xf numFmtId="169" fontId="169" fillId="27" borderId="0" xfId="2" applyNumberFormat="1" applyFont="1" applyFill="1"/>
    <xf numFmtId="164" fontId="169" fillId="27" borderId="0" xfId="6" applyNumberFormat="1" applyFont="1" applyFill="1" applyBorder="1"/>
    <xf numFmtId="165" fontId="170" fillId="0" borderId="3" xfId="2" applyNumberFormat="1" applyFont="1" applyBorder="1" applyAlignment="1">
      <alignment horizontal="left"/>
    </xf>
    <xf numFmtId="164" fontId="170" fillId="0" borderId="0" xfId="6" applyNumberFormat="1" applyFont="1" applyFill="1" applyBorder="1"/>
    <xf numFmtId="165" fontId="169" fillId="36" borderId="3" xfId="2" applyNumberFormat="1" applyFont="1" applyFill="1" applyBorder="1" applyAlignment="1">
      <alignment horizontal="left" indent="1"/>
    </xf>
    <xf numFmtId="164" fontId="169" fillId="36" borderId="0" xfId="6" applyNumberFormat="1" applyFont="1" applyFill="1" applyBorder="1"/>
    <xf numFmtId="0" fontId="169" fillId="27" borderId="3" xfId="2" applyFont="1" applyFill="1" applyBorder="1"/>
    <xf numFmtId="165" fontId="169" fillId="27" borderId="3" xfId="2" applyNumberFormat="1" applyFont="1" applyFill="1" applyBorder="1"/>
    <xf numFmtId="9" fontId="169" fillId="27" borderId="0" xfId="6" applyFont="1" applyFill="1" applyBorder="1" applyAlignment="1">
      <alignment horizontal="right"/>
    </xf>
    <xf numFmtId="0" fontId="170" fillId="27" borderId="0" xfId="2" applyFont="1" applyFill="1" applyAlignment="1">
      <alignment horizontal="right"/>
    </xf>
    <xf numFmtId="0" fontId="169" fillId="27" borderId="0" xfId="2" applyFont="1" applyFill="1" applyAlignment="1">
      <alignment horizontal="right"/>
    </xf>
    <xf numFmtId="9" fontId="169" fillId="27" borderId="2" xfId="6" applyFont="1" applyFill="1" applyBorder="1" applyAlignment="1">
      <alignment horizontal="right"/>
    </xf>
    <xf numFmtId="0" fontId="171" fillId="0" borderId="0" xfId="0" applyFont="1" applyAlignment="1">
      <alignment vertical="center"/>
    </xf>
    <xf numFmtId="0" fontId="172" fillId="0" borderId="0" xfId="0" applyFont="1" applyAlignment="1">
      <alignment vertical="center"/>
    </xf>
    <xf numFmtId="0" fontId="160" fillId="0" borderId="0" xfId="0" applyFont="1" applyAlignment="1">
      <alignment horizontal="left" vertical="center"/>
    </xf>
    <xf numFmtId="0" fontId="172" fillId="0" borderId="0" xfId="0" applyFont="1"/>
    <xf numFmtId="0" fontId="171" fillId="0" borderId="0" xfId="0" applyFont="1"/>
    <xf numFmtId="9" fontId="160" fillId="0" borderId="0" xfId="0" applyNumberFormat="1" applyFont="1"/>
    <xf numFmtId="170" fontId="160" fillId="0" borderId="0" xfId="0" applyNumberFormat="1" applyFont="1"/>
    <xf numFmtId="0" fontId="173" fillId="0" borderId="0" xfId="229" applyFont="1"/>
    <xf numFmtId="0" fontId="174" fillId="0" borderId="7" xfId="229" applyFont="1" applyBorder="1"/>
    <xf numFmtId="0" fontId="174" fillId="0" borderId="7" xfId="229" applyFont="1" applyBorder="1" applyAlignment="1">
      <alignment horizontal="right"/>
    </xf>
    <xf numFmtId="0" fontId="160" fillId="0" borderId="0" xfId="229" applyFont="1" applyAlignment="1">
      <alignment horizontal="right"/>
    </xf>
    <xf numFmtId="0" fontId="160" fillId="27" borderId="0" xfId="229" applyFont="1" applyFill="1"/>
    <xf numFmtId="171" fontId="160" fillId="27" borderId="0" xfId="229" applyNumberFormat="1" applyFont="1" applyFill="1"/>
    <xf numFmtId="0" fontId="160" fillId="0" borderId="0" xfId="229" applyFont="1"/>
    <xf numFmtId="0" fontId="175" fillId="27" borderId="0" xfId="229" applyFont="1" applyFill="1"/>
    <xf numFmtId="0" fontId="173" fillId="27" borderId="0" xfId="229" applyFont="1" applyFill="1"/>
    <xf numFmtId="3" fontId="160" fillId="0" borderId="0" xfId="229" applyNumberFormat="1" applyFont="1"/>
    <xf numFmtId="170" fontId="160" fillId="0" borderId="0" xfId="229" applyNumberFormat="1" applyFont="1"/>
    <xf numFmtId="3" fontId="160" fillId="27" borderId="0" xfId="229" applyNumberFormat="1" applyFont="1" applyFill="1"/>
    <xf numFmtId="170" fontId="160" fillId="27" borderId="0" xfId="229" applyNumberFormat="1" applyFont="1" applyFill="1"/>
    <xf numFmtId="164" fontId="160" fillId="27" borderId="0" xfId="229" applyNumberFormat="1" applyFont="1" applyFill="1"/>
    <xf numFmtId="0" fontId="160" fillId="0" borderId="7" xfId="229" applyFont="1" applyBorder="1"/>
    <xf numFmtId="3" fontId="160" fillId="0" borderId="7" xfId="229" applyNumberFormat="1" applyFont="1" applyBorder="1"/>
    <xf numFmtId="0" fontId="171" fillId="27" borderId="0" xfId="229" applyFont="1" applyFill="1"/>
    <xf numFmtId="9" fontId="173" fillId="27" borderId="0" xfId="229" applyNumberFormat="1" applyFont="1" applyFill="1"/>
    <xf numFmtId="0" fontId="172" fillId="0" borderId="0" xfId="229" applyFont="1"/>
    <xf numFmtId="9" fontId="160" fillId="0" borderId="0" xfId="229" applyNumberFormat="1" applyFont="1"/>
    <xf numFmtId="9" fontId="160" fillId="27" borderId="0" xfId="229" applyNumberFormat="1" applyFont="1" applyFill="1"/>
    <xf numFmtId="164" fontId="160" fillId="0" borderId="0" xfId="229" applyNumberFormat="1" applyFont="1"/>
    <xf numFmtId="0" fontId="173" fillId="27" borderId="7" xfId="229" applyFont="1" applyFill="1" applyBorder="1"/>
    <xf numFmtId="9" fontId="160" fillId="27" borderId="7" xfId="229" applyNumberFormat="1" applyFont="1" applyFill="1" applyBorder="1"/>
    <xf numFmtId="171" fontId="160" fillId="0" borderId="0" xfId="229" applyNumberFormat="1" applyFont="1"/>
    <xf numFmtId="257" fontId="160" fillId="27" borderId="0" xfId="229" applyNumberFormat="1" applyFont="1" applyFill="1"/>
    <xf numFmtId="0" fontId="160" fillId="27" borderId="7" xfId="229" applyFont="1" applyFill="1" applyBorder="1"/>
    <xf numFmtId="164" fontId="160" fillId="27" borderId="7" xfId="229" applyNumberFormat="1" applyFont="1" applyFill="1" applyBorder="1"/>
    <xf numFmtId="164" fontId="160" fillId="27" borderId="0" xfId="229" applyNumberFormat="1" applyFont="1" applyFill="1" applyAlignment="1">
      <alignment horizontal="right"/>
    </xf>
    <xf numFmtId="0" fontId="171" fillId="0" borderId="0" xfId="229" applyFont="1"/>
    <xf numFmtId="1" fontId="160" fillId="27" borderId="0" xfId="229" applyNumberFormat="1" applyFont="1" applyFill="1"/>
    <xf numFmtId="0" fontId="160" fillId="27" borderId="0" xfId="229" quotePrefix="1" applyFont="1" applyFill="1"/>
    <xf numFmtId="1" fontId="160" fillId="0" borderId="7" xfId="229" applyNumberFormat="1" applyFont="1" applyBorder="1"/>
    <xf numFmtId="164" fontId="160" fillId="0" borderId="7" xfId="229" applyNumberFormat="1" applyFont="1" applyBorder="1"/>
    <xf numFmtId="0" fontId="173" fillId="0" borderId="7" xfId="229" applyFont="1" applyBorder="1"/>
    <xf numFmtId="0" fontId="176" fillId="0" borderId="0" xfId="229" applyFont="1"/>
    <xf numFmtId="9" fontId="166" fillId="0" borderId="0" xfId="0" applyNumberFormat="1" applyFont="1"/>
    <xf numFmtId="0" fontId="160" fillId="27" borderId="0" xfId="0" applyFont="1" applyFill="1"/>
    <xf numFmtId="1" fontId="160" fillId="27" borderId="0" xfId="0" applyNumberFormat="1" applyFont="1" applyFill="1"/>
    <xf numFmtId="3" fontId="160" fillId="0" borderId="0" xfId="0" applyNumberFormat="1" applyFont="1"/>
    <xf numFmtId="1" fontId="160" fillId="0" borderId="0" xfId="0" applyNumberFormat="1" applyFont="1"/>
    <xf numFmtId="0" fontId="160" fillId="27" borderId="0" xfId="0" applyFont="1" applyFill="1" applyAlignment="1">
      <alignment horizontal="left" indent="1"/>
    </xf>
    <xf numFmtId="3" fontId="160" fillId="27" borderId="0" xfId="0" applyNumberFormat="1" applyFont="1" applyFill="1"/>
    <xf numFmtId="9" fontId="160" fillId="0" borderId="0" xfId="6" applyFont="1"/>
    <xf numFmtId="9" fontId="160" fillId="27" borderId="0" xfId="6" applyFont="1" applyFill="1"/>
    <xf numFmtId="9" fontId="160" fillId="0" borderId="7" xfId="6" applyFont="1" applyBorder="1"/>
    <xf numFmtId="0" fontId="160" fillId="27" borderId="7" xfId="0" applyFont="1" applyFill="1" applyBorder="1"/>
    <xf numFmtId="9" fontId="160" fillId="27" borderId="7" xfId="6" applyFont="1" applyFill="1" applyBorder="1"/>
    <xf numFmtId="0" fontId="174" fillId="0" borderId="7" xfId="0" applyFont="1" applyBorder="1"/>
    <xf numFmtId="0" fontId="174" fillId="0" borderId="7" xfId="0" applyFont="1" applyBorder="1" applyAlignment="1">
      <alignment horizontal="right"/>
    </xf>
    <xf numFmtId="0" fontId="174" fillId="27" borderId="0" xfId="0" applyFont="1" applyFill="1"/>
    <xf numFmtId="3" fontId="174" fillId="27" borderId="0" xfId="0" applyNumberFormat="1" applyFont="1" applyFill="1"/>
    <xf numFmtId="0" fontId="160" fillId="27" borderId="0" xfId="0" applyFont="1" applyFill="1" applyAlignment="1">
      <alignment horizontal="left" indent="2"/>
    </xf>
    <xf numFmtId="0" fontId="160" fillId="0" borderId="0" xfId="0" applyFont="1" applyAlignment="1">
      <alignment horizontal="left" indent="2"/>
    </xf>
    <xf numFmtId="9" fontId="160" fillId="0" borderId="0" xfId="6" applyFont="1" applyFill="1"/>
    <xf numFmtId="1" fontId="174" fillId="27" borderId="0" xfId="0" applyNumberFormat="1" applyFont="1" applyFill="1"/>
    <xf numFmtId="0" fontId="160" fillId="0" borderId="7" xfId="0" applyFont="1" applyBorder="1" applyAlignment="1">
      <alignment horizontal="left" indent="1"/>
    </xf>
    <xf numFmtId="164" fontId="160" fillId="0" borderId="7" xfId="6" applyNumberFormat="1" applyFont="1" applyFill="1" applyBorder="1"/>
    <xf numFmtId="4" fontId="160" fillId="0" borderId="0" xfId="0" applyNumberFormat="1" applyFont="1"/>
    <xf numFmtId="170" fontId="177" fillId="0" borderId="0" xfId="0" applyNumberFormat="1" applyFont="1"/>
    <xf numFmtId="164" fontId="160" fillId="0" borderId="0" xfId="0" applyNumberFormat="1" applyFont="1"/>
    <xf numFmtId="0" fontId="174" fillId="27" borderId="0" xfId="0" applyFont="1" applyFill="1" applyAlignment="1">
      <alignment horizontal="right"/>
    </xf>
    <xf numFmtId="164" fontId="160" fillId="27" borderId="0" xfId="0" applyNumberFormat="1" applyFont="1" applyFill="1"/>
    <xf numFmtId="1" fontId="166" fillId="0" borderId="0" xfId="0" applyNumberFormat="1" applyFont="1"/>
    <xf numFmtId="4" fontId="160" fillId="27" borderId="0" xfId="0" applyNumberFormat="1" applyFont="1" applyFill="1"/>
    <xf numFmtId="0" fontId="174" fillId="0" borderId="0" xfId="0" applyFont="1"/>
    <xf numFmtId="4" fontId="174" fillId="0" borderId="0" xfId="0" applyNumberFormat="1" applyFont="1"/>
    <xf numFmtId="3" fontId="174" fillId="0" borderId="0" xfId="0" applyNumberFormat="1" applyFont="1"/>
    <xf numFmtId="3" fontId="177" fillId="27" borderId="0" xfId="0" applyNumberFormat="1" applyFont="1" applyFill="1"/>
    <xf numFmtId="1" fontId="177" fillId="0" borderId="0" xfId="0" applyNumberFormat="1" applyFont="1"/>
    <xf numFmtId="9" fontId="169" fillId="27" borderId="0" xfId="6" applyFont="1" applyFill="1" applyBorder="1"/>
    <xf numFmtId="170" fontId="168" fillId="0" borderId="0" xfId="2" applyNumberFormat="1" applyFont="1"/>
    <xf numFmtId="0" fontId="169" fillId="36" borderId="3" xfId="2" applyFont="1" applyFill="1" applyBorder="1"/>
    <xf numFmtId="9" fontId="169" fillId="36" borderId="0" xfId="6" applyFont="1" applyFill="1" applyBorder="1"/>
    <xf numFmtId="0" fontId="169" fillId="36" borderId="12" xfId="2" applyFont="1" applyFill="1" applyBorder="1"/>
    <xf numFmtId="258" fontId="169" fillId="36" borderId="7" xfId="2" applyNumberFormat="1" applyFont="1" applyFill="1" applyBorder="1"/>
    <xf numFmtId="0" fontId="170" fillId="36" borderId="6" xfId="2" applyFont="1" applyFill="1" applyBorder="1"/>
    <xf numFmtId="0" fontId="170" fillId="36" borderId="4" xfId="2" applyFont="1" applyFill="1" applyBorder="1" applyAlignment="1">
      <alignment horizontal="right"/>
    </xf>
    <xf numFmtId="0" fontId="170" fillId="36" borderId="5" xfId="2" applyFont="1" applyFill="1" applyBorder="1" applyAlignment="1">
      <alignment horizontal="right"/>
    </xf>
    <xf numFmtId="169" fontId="169" fillId="36" borderId="7" xfId="2" applyNumberFormat="1" applyFont="1" applyFill="1" applyBorder="1"/>
    <xf numFmtId="9" fontId="169" fillId="36" borderId="7" xfId="6" applyFont="1" applyFill="1" applyBorder="1"/>
    <xf numFmtId="9" fontId="169" fillId="36" borderId="8" xfId="6" applyFont="1" applyFill="1" applyBorder="1"/>
    <xf numFmtId="0" fontId="170" fillId="0" borderId="9" xfId="2" applyFont="1" applyBorder="1"/>
    <xf numFmtId="0" fontId="170" fillId="0" borderId="10" xfId="2" applyFont="1" applyBorder="1" applyAlignment="1">
      <alignment horizontal="right"/>
    </xf>
    <xf numFmtId="169" fontId="170" fillId="27" borderId="0" xfId="2" applyNumberFormat="1" applyFont="1" applyFill="1"/>
    <xf numFmtId="169" fontId="169" fillId="0" borderId="0" xfId="2" applyNumberFormat="1" applyFont="1"/>
    <xf numFmtId="169" fontId="170" fillId="0" borderId="0" xfId="2" applyNumberFormat="1" applyFont="1"/>
    <xf numFmtId="169" fontId="169" fillId="36" borderId="0" xfId="2" applyNumberFormat="1" applyFont="1" applyFill="1"/>
    <xf numFmtId="0" fontId="160" fillId="0" borderId="3" xfId="0" applyFont="1" applyBorder="1"/>
    <xf numFmtId="165" fontId="170" fillId="27" borderId="3" xfId="2" applyNumberFormat="1" applyFont="1" applyFill="1" applyBorder="1" applyAlignment="1">
      <alignment horizontal="left"/>
    </xf>
    <xf numFmtId="258" fontId="169" fillId="27" borderId="0" xfId="2" applyNumberFormat="1" applyFont="1" applyFill="1"/>
    <xf numFmtId="9" fontId="169" fillId="0" borderId="0" xfId="6" applyFont="1" applyFill="1" applyBorder="1"/>
    <xf numFmtId="3" fontId="160" fillId="0" borderId="7" xfId="0" applyNumberFormat="1" applyFont="1" applyBorder="1"/>
    <xf numFmtId="3" fontId="177" fillId="0" borderId="0" xfId="0" applyNumberFormat="1" applyFont="1"/>
    <xf numFmtId="15" fontId="111" fillId="0" borderId="0" xfId="0" applyNumberFormat="1" applyFont="1" applyAlignment="1">
      <alignment horizontal="left"/>
    </xf>
    <xf numFmtId="43" fontId="160" fillId="0" borderId="0" xfId="0" applyNumberFormat="1" applyFont="1"/>
    <xf numFmtId="166" fontId="160" fillId="0" borderId="0" xfId="0" applyNumberFormat="1" applyFont="1"/>
    <xf numFmtId="167" fontId="160" fillId="0" borderId="0" xfId="0" applyNumberFormat="1" applyFont="1"/>
    <xf numFmtId="0" fontId="176" fillId="0" borderId="0" xfId="0" applyFont="1"/>
    <xf numFmtId="0" fontId="174" fillId="27" borderId="7" xfId="0" applyFont="1" applyFill="1" applyBorder="1" applyAlignment="1">
      <alignment horizontal="right"/>
    </xf>
    <xf numFmtId="166" fontId="160" fillId="0" borderId="7" xfId="0" applyNumberFormat="1" applyFont="1" applyBorder="1"/>
    <xf numFmtId="9" fontId="160" fillId="0" borderId="7" xfId="0" applyNumberFormat="1" applyFont="1" applyBorder="1"/>
    <xf numFmtId="0" fontId="174" fillId="0" borderId="61" xfId="0" applyFont="1" applyBorder="1"/>
    <xf numFmtId="0" fontId="178" fillId="0" borderId="7" xfId="9" applyFont="1" applyBorder="1"/>
    <xf numFmtId="0" fontId="178" fillId="0" borderId="7" xfId="9" applyFont="1" applyBorder="1" applyAlignment="1">
      <alignment horizontal="right"/>
    </xf>
    <xf numFmtId="166" fontId="173" fillId="0" borderId="0" xfId="4" applyNumberFormat="1" applyFont="1"/>
    <xf numFmtId="9" fontId="173" fillId="0" borderId="0" xfId="9" applyNumberFormat="1" applyFont="1"/>
    <xf numFmtId="166" fontId="173" fillId="0" borderId="0" xfId="9" applyNumberFormat="1" applyFont="1"/>
    <xf numFmtId="0" fontId="173" fillId="0" borderId="0" xfId="9" applyFont="1"/>
    <xf numFmtId="164" fontId="173" fillId="2" borderId="0" xfId="9" applyNumberFormat="1" applyFont="1" applyFill="1"/>
    <xf numFmtId="164" fontId="173" fillId="0" borderId="0" xfId="9" applyNumberFormat="1" applyFont="1"/>
    <xf numFmtId="164" fontId="173" fillId="0" borderId="0" xfId="3" applyNumberFormat="1" applyFont="1"/>
    <xf numFmtId="164" fontId="173" fillId="0" borderId="0" xfId="3" applyNumberFormat="1" applyFont="1" applyFill="1"/>
    <xf numFmtId="0" fontId="178" fillId="0" borderId="0" xfId="9" applyFont="1"/>
    <xf numFmtId="167" fontId="173" fillId="0" borderId="0" xfId="9" applyNumberFormat="1" applyFont="1"/>
    <xf numFmtId="167" fontId="160" fillId="0" borderId="7" xfId="0" applyNumberFormat="1" applyFont="1" applyBorder="1"/>
    <xf numFmtId="0" fontId="160" fillId="0" borderId="7" xfId="0" applyFont="1" applyBorder="1" applyAlignment="1">
      <alignment horizontal="right"/>
    </xf>
    <xf numFmtId="170" fontId="160" fillId="0" borderId="7" xfId="0" applyNumberFormat="1" applyFont="1" applyBorder="1"/>
    <xf numFmtId="0" fontId="173" fillId="0" borderId="0" xfId="8" applyFont="1"/>
    <xf numFmtId="0" fontId="173" fillId="0" borderId="0" xfId="2" applyFont="1"/>
    <xf numFmtId="171" fontId="173" fillId="2" borderId="1" xfId="9" applyNumberFormat="1" applyFont="1" applyFill="1" applyBorder="1"/>
    <xf numFmtId="3" fontId="173" fillId="0" borderId="0" xfId="9" applyNumberFormat="1" applyFont="1"/>
    <xf numFmtId="3" fontId="173" fillId="2" borderId="13" xfId="9" applyNumberFormat="1" applyFont="1" applyFill="1" applyBorder="1"/>
    <xf numFmtId="4" fontId="173" fillId="0" borderId="0" xfId="9" applyNumberFormat="1" applyFont="1"/>
    <xf numFmtId="171" fontId="173" fillId="3" borderId="1" xfId="9" applyNumberFormat="1" applyFont="1" applyFill="1" applyBorder="1"/>
    <xf numFmtId="0" fontId="173" fillId="0" borderId="7" xfId="9" applyFont="1" applyBorder="1" applyAlignment="1">
      <alignment horizontal="right"/>
    </xf>
    <xf numFmtId="3" fontId="178" fillId="0" borderId="0" xfId="9" applyNumberFormat="1" applyFont="1"/>
    <xf numFmtId="0" fontId="175" fillId="0" borderId="0" xfId="9" applyFont="1"/>
    <xf numFmtId="3" fontId="173" fillId="2" borderId="0" xfId="9" applyNumberFormat="1" applyFont="1" applyFill="1"/>
    <xf numFmtId="0" fontId="173" fillId="0" borderId="7" xfId="9" applyFont="1" applyBorder="1"/>
    <xf numFmtId="3" fontId="173" fillId="0" borderId="7" xfId="9" applyNumberFormat="1" applyFont="1" applyBorder="1"/>
    <xf numFmtId="43" fontId="173" fillId="0" borderId="0" xfId="9" applyNumberFormat="1" applyFont="1"/>
    <xf numFmtId="1" fontId="173" fillId="0" borderId="0" xfId="9" applyNumberFormat="1" applyFont="1"/>
    <xf numFmtId="3" fontId="173" fillId="3" borderId="0" xfId="9" applyNumberFormat="1" applyFont="1" applyFill="1"/>
    <xf numFmtId="171" fontId="173" fillId="0" borderId="0" xfId="9" applyNumberFormat="1" applyFont="1"/>
    <xf numFmtId="170" fontId="178" fillId="0" borderId="0" xfId="9" applyNumberFormat="1" applyFont="1"/>
    <xf numFmtId="171" fontId="178" fillId="0" borderId="0" xfId="9" applyNumberFormat="1" applyFont="1"/>
    <xf numFmtId="171" fontId="178" fillId="0" borderId="7" xfId="9" applyNumberFormat="1" applyFont="1" applyBorder="1"/>
    <xf numFmtId="171" fontId="173" fillId="0" borderId="7" xfId="9" applyNumberFormat="1" applyFont="1" applyBorder="1"/>
    <xf numFmtId="4" fontId="173" fillId="0" borderId="7" xfId="9" applyNumberFormat="1" applyFont="1" applyBorder="1"/>
    <xf numFmtId="9" fontId="173" fillId="3" borderId="0" xfId="9" applyNumberFormat="1" applyFont="1" applyFill="1"/>
    <xf numFmtId="164" fontId="173" fillId="3" borderId="0" xfId="9" applyNumberFormat="1" applyFont="1" applyFill="1"/>
    <xf numFmtId="164" fontId="173" fillId="3" borderId="0" xfId="3" applyNumberFormat="1" applyFont="1" applyFill="1"/>
    <xf numFmtId="0" fontId="173" fillId="3" borderId="0" xfId="9" applyFont="1" applyFill="1"/>
    <xf numFmtId="164" fontId="178" fillId="0" borderId="0" xfId="9" applyNumberFormat="1" applyFont="1"/>
    <xf numFmtId="166" fontId="178" fillId="0" borderId="0" xfId="9" applyNumberFormat="1" applyFont="1"/>
    <xf numFmtId="9" fontId="178" fillId="0" borderId="0" xfId="9" applyNumberFormat="1" applyFont="1"/>
    <xf numFmtId="9" fontId="160" fillId="0" borderId="0" xfId="0" applyNumberFormat="1" applyFont="1" applyAlignment="1">
      <alignment horizontal="right"/>
    </xf>
    <xf numFmtId="167" fontId="160" fillId="0" borderId="0" xfId="0" applyNumberFormat="1" applyFont="1" applyAlignment="1">
      <alignment horizontal="right"/>
    </xf>
    <xf numFmtId="166" fontId="160" fillId="0" borderId="0" xfId="0" applyNumberFormat="1" applyFont="1" applyAlignment="1">
      <alignment horizontal="right"/>
    </xf>
    <xf numFmtId="0" fontId="160" fillId="0" borderId="0" xfId="0" applyFont="1" applyAlignment="1">
      <alignment horizontal="right"/>
    </xf>
    <xf numFmtId="9" fontId="160" fillId="27" borderId="0" xfId="0" applyNumberFormat="1" applyFont="1" applyFill="1" applyAlignment="1">
      <alignment horizontal="right"/>
    </xf>
    <xf numFmtId="167" fontId="160" fillId="27" borderId="0" xfId="0" applyNumberFormat="1" applyFont="1" applyFill="1" applyAlignment="1">
      <alignment horizontal="right"/>
    </xf>
    <xf numFmtId="166" fontId="160" fillId="27" borderId="0" xfId="0" applyNumberFormat="1" applyFont="1" applyFill="1" applyAlignment="1">
      <alignment horizontal="right"/>
    </xf>
    <xf numFmtId="9" fontId="160" fillId="27" borderId="7" xfId="0" applyNumberFormat="1" applyFont="1" applyFill="1" applyBorder="1" applyAlignment="1">
      <alignment horizontal="right"/>
    </xf>
    <xf numFmtId="0" fontId="160" fillId="27" borderId="7" xfId="0" applyFont="1" applyFill="1" applyBorder="1" applyAlignment="1">
      <alignment horizontal="right"/>
    </xf>
    <xf numFmtId="166" fontId="160" fillId="27" borderId="7" xfId="0" applyNumberFormat="1" applyFont="1" applyFill="1" applyBorder="1" applyAlignment="1">
      <alignment horizontal="right"/>
    </xf>
    <xf numFmtId="0" fontId="160" fillId="27" borderId="0" xfId="0" applyFont="1" applyFill="1" applyAlignment="1">
      <alignment horizontal="right"/>
    </xf>
    <xf numFmtId="9" fontId="160" fillId="0" borderId="7" xfId="0" applyNumberFormat="1" applyFont="1" applyBorder="1" applyAlignment="1">
      <alignment horizontal="right"/>
    </xf>
    <xf numFmtId="166" fontId="174" fillId="27" borderId="0" xfId="0" applyNumberFormat="1" applyFont="1" applyFill="1" applyAlignment="1">
      <alignment horizontal="right"/>
    </xf>
    <xf numFmtId="167" fontId="174" fillId="27" borderId="0" xfId="0" applyNumberFormat="1" applyFont="1" applyFill="1" applyAlignment="1">
      <alignment horizontal="right"/>
    </xf>
    <xf numFmtId="43" fontId="160" fillId="27" borderId="0" xfId="0" applyNumberFormat="1" applyFont="1" applyFill="1" applyAlignment="1">
      <alignment horizontal="right"/>
    </xf>
    <xf numFmtId="0" fontId="174" fillId="0" borderId="0" xfId="0" applyFont="1" applyAlignment="1">
      <alignment horizontal="right"/>
    </xf>
    <xf numFmtId="0" fontId="174" fillId="0" borderId="62" xfId="0" applyFont="1" applyBorder="1" applyAlignment="1">
      <alignment horizontal="right"/>
    </xf>
    <xf numFmtId="0" fontId="174" fillId="27" borderId="7" xfId="0" applyFont="1" applyFill="1" applyBorder="1"/>
    <xf numFmtId="0" fontId="176" fillId="27" borderId="0" xfId="0" applyFont="1" applyFill="1"/>
    <xf numFmtId="0" fontId="174" fillId="27" borderId="61" xfId="0" applyFont="1" applyFill="1" applyBorder="1"/>
    <xf numFmtId="0" fontId="174" fillId="27" borderId="62" xfId="0" applyFont="1" applyFill="1" applyBorder="1" applyAlignment="1">
      <alignment horizontal="right"/>
    </xf>
    <xf numFmtId="167" fontId="174" fillId="27" borderId="62" xfId="0" applyNumberFormat="1" applyFont="1" applyFill="1" applyBorder="1" applyAlignment="1">
      <alignment horizontal="right"/>
    </xf>
    <xf numFmtId="3" fontId="160" fillId="3" borderId="0" xfId="0" applyNumberFormat="1" applyFont="1" applyFill="1"/>
    <xf numFmtId="3" fontId="179" fillId="0" borderId="0" xfId="0" applyNumberFormat="1" applyFont="1"/>
    <xf numFmtId="3" fontId="176" fillId="3" borderId="0" xfId="0" applyNumberFormat="1" applyFont="1" applyFill="1"/>
    <xf numFmtId="3" fontId="180" fillId="0" borderId="0" xfId="0" applyNumberFormat="1" applyFont="1"/>
    <xf numFmtId="164" fontId="177" fillId="0" borderId="0" xfId="0" applyNumberFormat="1" applyFont="1"/>
    <xf numFmtId="171" fontId="160" fillId="0" borderId="0" xfId="0" applyNumberFormat="1" applyFont="1"/>
    <xf numFmtId="171" fontId="177" fillId="0" borderId="0" xfId="0" applyNumberFormat="1" applyFont="1"/>
    <xf numFmtId="258" fontId="160" fillId="0" borderId="0" xfId="0" applyNumberFormat="1" applyFont="1"/>
    <xf numFmtId="9" fontId="177" fillId="0" borderId="0" xfId="0" applyNumberFormat="1" applyFont="1"/>
    <xf numFmtId="171" fontId="160" fillId="3" borderId="0" xfId="0" applyNumberFormat="1" applyFont="1" applyFill="1"/>
    <xf numFmtId="3" fontId="160" fillId="3" borderId="7" xfId="0" applyNumberFormat="1" applyFont="1" applyFill="1" applyBorder="1"/>
    <xf numFmtId="9" fontId="173" fillId="0" borderId="0" xfId="0" applyNumberFormat="1" applyFont="1"/>
    <xf numFmtId="3" fontId="176" fillId="0" borderId="0" xfId="0" applyNumberFormat="1" applyFont="1"/>
    <xf numFmtId="164" fontId="176" fillId="0" borderId="0" xfId="0" applyNumberFormat="1" applyFont="1"/>
    <xf numFmtId="0" fontId="160" fillId="0" borderId="0" xfId="0" quotePrefix="1" applyFont="1"/>
    <xf numFmtId="9" fontId="160" fillId="3" borderId="0" xfId="0" applyNumberFormat="1" applyFont="1" applyFill="1"/>
    <xf numFmtId="3" fontId="173" fillId="0" borderId="0" xfId="0" applyNumberFormat="1" applyFont="1"/>
    <xf numFmtId="1" fontId="160" fillId="0" borderId="7" xfId="0" applyNumberFormat="1" applyFont="1" applyBorder="1"/>
    <xf numFmtId="9" fontId="174" fillId="0" borderId="0" xfId="0" applyNumberFormat="1" applyFont="1"/>
    <xf numFmtId="0" fontId="174" fillId="0" borderId="4" xfId="0" applyFont="1" applyBorder="1"/>
    <xf numFmtId="0" fontId="173" fillId="25" borderId="0" xfId="0" applyFont="1" applyFill="1"/>
    <xf numFmtId="0" fontId="160" fillId="0" borderId="7" xfId="0" quotePrefix="1" applyFont="1" applyBorder="1"/>
    <xf numFmtId="0" fontId="174" fillId="0" borderId="0" xfId="0" quotePrefix="1" applyFont="1"/>
    <xf numFmtId="164" fontId="160" fillId="3" borderId="0" xfId="0" applyNumberFormat="1" applyFont="1" applyFill="1"/>
    <xf numFmtId="1" fontId="160" fillId="3" borderId="0" xfId="0" applyNumberFormat="1" applyFont="1" applyFill="1"/>
    <xf numFmtId="3" fontId="174" fillId="3" borderId="0" xfId="0" applyNumberFormat="1" applyFont="1" applyFill="1"/>
    <xf numFmtId="0" fontId="160" fillId="3" borderId="0" xfId="0" applyFont="1" applyFill="1"/>
    <xf numFmtId="1" fontId="174" fillId="0" borderId="0" xfId="0" applyNumberFormat="1" applyFont="1"/>
    <xf numFmtId="257" fontId="160" fillId="0" borderId="0" xfId="0" applyNumberFormat="1" applyFont="1"/>
    <xf numFmtId="0" fontId="174" fillId="0" borderId="6" xfId="0" applyFont="1" applyBorder="1"/>
    <xf numFmtId="170" fontId="174" fillId="0" borderId="5" xfId="0" applyNumberFormat="1" applyFont="1" applyBorder="1"/>
    <xf numFmtId="0" fontId="178" fillId="0" borderId="7" xfId="0" applyFont="1" applyBorder="1"/>
    <xf numFmtId="0" fontId="173" fillId="0" borderId="7" xfId="0" applyFont="1" applyBorder="1"/>
    <xf numFmtId="0" fontId="173" fillId="0" borderId="0" xfId="0" quotePrefix="1" applyFont="1"/>
    <xf numFmtId="0" fontId="173" fillId="0" borderId="0" xfId="0" applyFont="1"/>
    <xf numFmtId="0" fontId="173" fillId="25" borderId="0" xfId="0" quotePrefix="1" applyFont="1" applyFill="1"/>
    <xf numFmtId="3" fontId="173" fillId="25" borderId="0" xfId="0" applyNumberFormat="1" applyFont="1" applyFill="1"/>
    <xf numFmtId="0" fontId="173" fillId="0" borderId="7" xfId="0" quotePrefix="1" applyFont="1" applyBorder="1"/>
    <xf numFmtId="3" fontId="173" fillId="0" borderId="7" xfId="0" applyNumberFormat="1" applyFont="1" applyBorder="1"/>
    <xf numFmtId="164" fontId="173" fillId="0" borderId="0" xfId="0" applyNumberFormat="1" applyFont="1"/>
    <xf numFmtId="164" fontId="173" fillId="25" borderId="0" xfId="0" applyNumberFormat="1" applyFont="1" applyFill="1"/>
    <xf numFmtId="3" fontId="177" fillId="0" borderId="7" xfId="0" applyNumberFormat="1" applyFont="1" applyBorder="1"/>
    <xf numFmtId="258" fontId="177" fillId="0" borderId="0" xfId="0" applyNumberFormat="1" applyFont="1"/>
    <xf numFmtId="258" fontId="160" fillId="3" borderId="0" xfId="0" applyNumberFormat="1" applyFont="1" applyFill="1"/>
    <xf numFmtId="258" fontId="160" fillId="0" borderId="7" xfId="0" applyNumberFormat="1" applyFont="1" applyBorder="1"/>
    <xf numFmtId="258" fontId="160" fillId="3" borderId="7" xfId="0" applyNumberFormat="1" applyFont="1" applyFill="1" applyBorder="1"/>
    <xf numFmtId="258" fontId="177" fillId="0" borderId="7" xfId="0" applyNumberFormat="1" applyFont="1" applyBorder="1"/>
    <xf numFmtId="1" fontId="160" fillId="28" borderId="0" xfId="0" applyNumberFormat="1" applyFont="1" applyFill="1"/>
    <xf numFmtId="164" fontId="160" fillId="0" borderId="7" xfId="0" applyNumberFormat="1" applyFont="1" applyBorder="1"/>
    <xf numFmtId="164" fontId="174" fillId="0" borderId="0" xfId="0" applyNumberFormat="1" applyFont="1"/>
    <xf numFmtId="0" fontId="160" fillId="3" borderId="7" xfId="0" applyFont="1" applyFill="1" applyBorder="1"/>
    <xf numFmtId="1" fontId="160" fillId="3" borderId="7" xfId="0" applyNumberFormat="1" applyFont="1" applyFill="1" applyBorder="1"/>
    <xf numFmtId="164" fontId="177" fillId="41" borderId="0" xfId="0" applyNumberFormat="1" applyFont="1" applyFill="1"/>
    <xf numFmtId="2" fontId="160" fillId="3" borderId="0" xfId="0" applyNumberFormat="1" applyFont="1" applyFill="1"/>
    <xf numFmtId="2" fontId="160" fillId="0" borderId="0" xfId="0" applyNumberFormat="1" applyFont="1"/>
    <xf numFmtId="164" fontId="174" fillId="3" borderId="0" xfId="0" applyNumberFormat="1" applyFont="1" applyFill="1"/>
    <xf numFmtId="1" fontId="173" fillId="3" borderId="0" xfId="2" applyNumberFormat="1" applyFont="1" applyFill="1"/>
    <xf numFmtId="1" fontId="173" fillId="0" borderId="7" xfId="2" applyNumberFormat="1" applyFont="1" applyBorder="1"/>
    <xf numFmtId="164" fontId="160" fillId="3" borderId="7" xfId="0" applyNumberFormat="1" applyFont="1" applyFill="1" applyBorder="1"/>
    <xf numFmtId="3" fontId="173" fillId="3" borderId="0" xfId="0" applyNumberFormat="1" applyFont="1" applyFill="1"/>
    <xf numFmtId="0" fontId="177" fillId="0" borderId="0" xfId="0" applyFont="1"/>
    <xf numFmtId="3" fontId="174" fillId="0" borderId="4" xfId="0" applyNumberFormat="1" applyFont="1" applyBorder="1"/>
    <xf numFmtId="166" fontId="160" fillId="0" borderId="0" xfId="5" applyNumberFormat="1" applyFont="1" applyFill="1"/>
    <xf numFmtId="168" fontId="174" fillId="0" borderId="0" xfId="0" applyNumberFormat="1" applyFont="1"/>
    <xf numFmtId="256" fontId="160" fillId="0" borderId="0" xfId="0" applyNumberFormat="1" applyFont="1"/>
    <xf numFmtId="168" fontId="160" fillId="0" borderId="0" xfId="0" applyNumberFormat="1" applyFont="1"/>
    <xf numFmtId="256" fontId="174" fillId="0" borderId="0" xfId="0" applyNumberFormat="1" applyFont="1"/>
    <xf numFmtId="0" fontId="160" fillId="0" borderId="4" xfId="0" applyFont="1" applyBorder="1"/>
    <xf numFmtId="3" fontId="160" fillId="0" borderId="4" xfId="0" applyNumberFormat="1" applyFont="1" applyBorder="1"/>
    <xf numFmtId="0" fontId="160" fillId="0" borderId="6" xfId="0" applyFont="1" applyBorder="1"/>
    <xf numFmtId="3" fontId="160" fillId="0" borderId="5" xfId="0" applyNumberFormat="1" applyFont="1" applyBorder="1"/>
    <xf numFmtId="3" fontId="174" fillId="0" borderId="5" xfId="0" applyNumberFormat="1" applyFont="1" applyBorder="1"/>
    <xf numFmtId="258" fontId="169" fillId="27" borderId="7" xfId="2" applyNumberFormat="1" applyFont="1" applyFill="1" applyBorder="1"/>
    <xf numFmtId="0" fontId="170" fillId="0" borderId="10" xfId="2" applyFont="1" applyBorder="1"/>
    <xf numFmtId="165" fontId="170" fillId="27" borderId="0" xfId="2" applyNumberFormat="1" applyFont="1" applyFill="1"/>
    <xf numFmtId="165" fontId="169" fillId="0" borderId="0" xfId="2" applyNumberFormat="1" applyFont="1" applyAlignment="1">
      <alignment horizontal="left" indent="1"/>
    </xf>
    <xf numFmtId="165" fontId="169" fillId="27" borderId="0" xfId="2" applyNumberFormat="1" applyFont="1" applyFill="1" applyAlignment="1">
      <alignment horizontal="left" indent="1"/>
    </xf>
    <xf numFmtId="165" fontId="170" fillId="0" borderId="0" xfId="2" applyNumberFormat="1" applyFont="1" applyAlignment="1">
      <alignment horizontal="left"/>
    </xf>
    <xf numFmtId="165" fontId="170" fillId="27" borderId="0" xfId="2" applyNumberFormat="1" applyFont="1" applyFill="1" applyAlignment="1">
      <alignment horizontal="left"/>
    </xf>
    <xf numFmtId="165" fontId="169" fillId="36" borderId="0" xfId="2" applyNumberFormat="1" applyFont="1" applyFill="1" applyAlignment="1">
      <alignment horizontal="left" indent="1"/>
    </xf>
    <xf numFmtId="0" fontId="169" fillId="27" borderId="0" xfId="2" applyFont="1" applyFill="1"/>
    <xf numFmtId="0" fontId="169" fillId="36" borderId="0" xfId="2" applyFont="1" applyFill="1"/>
    <xf numFmtId="0" fontId="169" fillId="27" borderId="7" xfId="2" applyFont="1" applyFill="1" applyBorder="1"/>
    <xf numFmtId="0" fontId="170" fillId="0" borderId="7" xfId="2" applyFont="1" applyBorder="1"/>
    <xf numFmtId="0" fontId="170" fillId="0" borderId="7" xfId="2" applyFont="1" applyBorder="1" applyAlignment="1">
      <alignment horizontal="right"/>
    </xf>
    <xf numFmtId="3" fontId="166" fillId="0" borderId="0" xfId="0" applyNumberFormat="1" applyFont="1"/>
    <xf numFmtId="3" fontId="160" fillId="0" borderId="0" xfId="0" applyNumberFormat="1" applyFont="1" applyAlignment="1">
      <alignment horizontal="right"/>
    </xf>
    <xf numFmtId="3" fontId="160" fillId="0" borderId="7" xfId="0" applyNumberFormat="1" applyFont="1" applyBorder="1" applyAlignment="1">
      <alignment horizontal="right"/>
    </xf>
    <xf numFmtId="3" fontId="174" fillId="0" borderId="0" xfId="0" applyNumberFormat="1" applyFont="1" applyAlignment="1">
      <alignment horizontal="right"/>
    </xf>
    <xf numFmtId="171" fontId="174" fillId="0" borderId="0" xfId="0" applyNumberFormat="1" applyFont="1" applyAlignment="1">
      <alignment horizontal="right"/>
    </xf>
    <xf numFmtId="171" fontId="174" fillId="0" borderId="63" xfId="0" applyNumberFormat="1" applyFont="1" applyBorder="1" applyAlignment="1">
      <alignment horizontal="right"/>
    </xf>
    <xf numFmtId="3" fontId="160" fillId="27" borderId="0" xfId="0" applyNumberFormat="1" applyFont="1" applyFill="1" applyAlignment="1">
      <alignment horizontal="right"/>
    </xf>
    <xf numFmtId="167" fontId="160" fillId="27" borderId="7" xfId="0" applyNumberFormat="1" applyFont="1" applyFill="1" applyBorder="1" applyAlignment="1">
      <alignment horizontal="right"/>
    </xf>
    <xf numFmtId="3" fontId="160" fillId="27" borderId="7" xfId="0" applyNumberFormat="1" applyFont="1" applyFill="1" applyBorder="1" applyAlignment="1">
      <alignment horizontal="right"/>
    </xf>
    <xf numFmtId="3" fontId="174" fillId="27" borderId="0" xfId="0" applyNumberFormat="1" applyFont="1" applyFill="1" applyAlignment="1">
      <alignment horizontal="right"/>
    </xf>
    <xf numFmtId="171" fontId="160" fillId="27" borderId="0" xfId="0" applyNumberFormat="1" applyFont="1" applyFill="1" applyAlignment="1">
      <alignment horizontal="right"/>
    </xf>
    <xf numFmtId="2" fontId="160" fillId="0" borderId="0" xfId="0" applyNumberFormat="1" applyFont="1" applyAlignment="1">
      <alignment horizontal="right"/>
    </xf>
    <xf numFmtId="170" fontId="173" fillId="0" borderId="0" xfId="0" applyNumberFormat="1" applyFont="1"/>
    <xf numFmtId="9" fontId="183" fillId="0" borderId="0" xfId="0" applyNumberFormat="1" applyFont="1"/>
    <xf numFmtId="0" fontId="184" fillId="0" borderId="0" xfId="0" applyFont="1"/>
    <xf numFmtId="0" fontId="185" fillId="0" borderId="7" xfId="0" applyFont="1" applyBorder="1" applyAlignment="1">
      <alignment horizontal="right"/>
    </xf>
    <xf numFmtId="0" fontId="183" fillId="0" borderId="0" xfId="0" applyFont="1"/>
    <xf numFmtId="164" fontId="183" fillId="0" borderId="0" xfId="0" applyNumberFormat="1" applyFont="1"/>
    <xf numFmtId="3" fontId="0" fillId="27" borderId="0" xfId="0" applyNumberFormat="1" applyFill="1"/>
    <xf numFmtId="9" fontId="0" fillId="27" borderId="0" xfId="0" applyNumberFormat="1" applyFill="1"/>
    <xf numFmtId="1" fontId="0" fillId="27" borderId="0" xfId="0" applyNumberFormat="1" applyFill="1"/>
    <xf numFmtId="9" fontId="0" fillId="27" borderId="0" xfId="0" applyNumberFormat="1" applyFill="1" applyAlignment="1">
      <alignment horizontal="right"/>
    </xf>
    <xf numFmtId="164" fontId="0" fillId="27" borderId="0" xfId="0" applyNumberFormat="1" applyFill="1"/>
    <xf numFmtId="170" fontId="0" fillId="27" borderId="0" xfId="0" applyNumberFormat="1" applyFill="1"/>
    <xf numFmtId="0" fontId="2" fillId="27" borderId="61" xfId="0" applyFont="1" applyFill="1" applyBorder="1"/>
    <xf numFmtId="0" fontId="2" fillId="27" borderId="62" xfId="0" applyFont="1" applyFill="1" applyBorder="1"/>
    <xf numFmtId="170" fontId="2" fillId="27" borderId="63" xfId="0" applyNumberFormat="1" applyFont="1" applyFill="1" applyBorder="1"/>
    <xf numFmtId="164" fontId="174" fillId="27" borderId="63" xfId="0" applyNumberFormat="1" applyFont="1" applyFill="1" applyBorder="1" applyAlignment="1">
      <alignment horizontal="right"/>
    </xf>
    <xf numFmtId="43" fontId="160" fillId="0" borderId="0" xfId="0" applyNumberFormat="1" applyFont="1" applyAlignment="1">
      <alignment horizontal="right"/>
    </xf>
    <xf numFmtId="164" fontId="160" fillId="0" borderId="0" xfId="0" applyNumberFormat="1" applyFont="1" applyAlignment="1">
      <alignment horizontal="right"/>
    </xf>
    <xf numFmtId="266" fontId="160" fillId="27" borderId="0" xfId="0" applyNumberFormat="1" applyFont="1" applyFill="1" applyAlignment="1">
      <alignment horizontal="right"/>
    </xf>
    <xf numFmtId="266" fontId="160" fillId="0" borderId="0" xfId="0" applyNumberFormat="1" applyFont="1" applyAlignment="1">
      <alignment horizontal="right"/>
    </xf>
    <xf numFmtId="0" fontId="160" fillId="25" borderId="0" xfId="0" applyFont="1" applyFill="1"/>
    <xf numFmtId="0" fontId="160" fillId="0" borderId="50" xfId="0" applyFont="1" applyBorder="1"/>
    <xf numFmtId="0" fontId="160" fillId="0" borderId="32" xfId="0" applyFont="1" applyBorder="1"/>
    <xf numFmtId="0" fontId="160" fillId="0" borderId="51" xfId="0" applyFont="1" applyBorder="1"/>
    <xf numFmtId="0" fontId="160" fillId="25" borderId="7" xfId="0" applyFont="1" applyFill="1" applyBorder="1"/>
    <xf numFmtId="0" fontId="186" fillId="36" borderId="0" xfId="0" applyFont="1" applyFill="1"/>
    <xf numFmtId="0" fontId="188" fillId="36" borderId="0" xfId="0" applyFont="1" applyFill="1"/>
    <xf numFmtId="0" fontId="190" fillId="36" borderId="0" xfId="0" applyFont="1" applyFill="1" applyAlignment="1">
      <alignment horizontal="center" vertical="center"/>
    </xf>
    <xf numFmtId="0" fontId="191" fillId="36" borderId="0" xfId="0" applyFont="1" applyFill="1" applyAlignment="1">
      <alignment horizontal="center" vertical="center"/>
    </xf>
    <xf numFmtId="0" fontId="192" fillId="36" borderId="0" xfId="0" applyFont="1" applyFill="1" applyAlignment="1">
      <alignment horizontal="center" vertical="center"/>
    </xf>
    <xf numFmtId="0" fontId="193" fillId="36" borderId="0" xfId="0" applyFont="1" applyFill="1" applyAlignment="1">
      <alignment horizontal="center" vertical="center"/>
    </xf>
    <xf numFmtId="0" fontId="194" fillId="36" borderId="0" xfId="0" applyFont="1" applyFill="1" applyAlignment="1">
      <alignment horizontal="center" vertical="center"/>
    </xf>
    <xf numFmtId="0" fontId="195" fillId="36" borderId="0" xfId="0" applyFont="1" applyFill="1" applyAlignment="1">
      <alignment horizontal="center" vertical="center"/>
    </xf>
    <xf numFmtId="0" fontId="189" fillId="36" borderId="0" xfId="0" applyFont="1" applyFill="1" applyAlignment="1">
      <alignment horizontal="center" vertical="center"/>
    </xf>
    <xf numFmtId="0" fontId="187" fillId="36" borderId="0" xfId="0" applyFont="1" applyFill="1" applyAlignment="1">
      <alignment horizontal="center" vertical="center"/>
    </xf>
    <xf numFmtId="0" fontId="7" fillId="36" borderId="0" xfId="0" applyFont="1" applyFill="1"/>
    <xf numFmtId="264" fontId="186" fillId="36" borderId="0" xfId="0" applyNumberFormat="1" applyFont="1" applyFill="1"/>
    <xf numFmtId="264" fontId="188" fillId="36" borderId="0" xfId="0" applyNumberFormat="1" applyFont="1" applyFill="1"/>
    <xf numFmtId="265" fontId="186" fillId="42" borderId="0" xfId="0" applyNumberFormat="1" applyFont="1" applyFill="1"/>
    <xf numFmtId="265" fontId="188" fillId="42" borderId="0" xfId="0" applyNumberFormat="1" applyFont="1" applyFill="1"/>
    <xf numFmtId="264" fontId="196" fillId="36" borderId="0" xfId="0" applyNumberFormat="1" applyFont="1" applyFill="1"/>
    <xf numFmtId="264" fontId="197" fillId="36" borderId="0" xfId="0" applyNumberFormat="1" applyFont="1" applyFill="1"/>
    <xf numFmtId="265" fontId="186" fillId="36" borderId="0" xfId="0" applyNumberFormat="1" applyFont="1" applyFill="1"/>
    <xf numFmtId="265" fontId="188" fillId="36" borderId="0" xfId="0" applyNumberFormat="1" applyFont="1" applyFill="1"/>
    <xf numFmtId="0" fontId="59" fillId="36" borderId="0" xfId="0" applyFont="1" applyFill="1"/>
    <xf numFmtId="171" fontId="188" fillId="36" borderId="0" xfId="0" applyNumberFormat="1" applyFont="1" applyFill="1"/>
    <xf numFmtId="171" fontId="186" fillId="36" borderId="0" xfId="0" applyNumberFormat="1" applyFont="1" applyFill="1"/>
    <xf numFmtId="0" fontId="188" fillId="42" borderId="0" xfId="0" applyFont="1" applyFill="1"/>
    <xf numFmtId="264" fontId="188" fillId="42" borderId="0" xfId="0" applyNumberFormat="1" applyFont="1" applyFill="1"/>
    <xf numFmtId="0" fontId="196" fillId="36" borderId="0" xfId="0" applyFont="1" applyFill="1"/>
    <xf numFmtId="164" fontId="198" fillId="36" borderId="0" xfId="0" applyNumberFormat="1" applyFont="1" applyFill="1"/>
    <xf numFmtId="164" fontId="199" fillId="36" borderId="0" xfId="0" applyNumberFormat="1" applyFont="1" applyFill="1"/>
    <xf numFmtId="264" fontId="186" fillId="42" borderId="0" xfId="0" applyNumberFormat="1" applyFont="1" applyFill="1"/>
    <xf numFmtId="264" fontId="186" fillId="41" borderId="0" xfId="0" applyNumberFormat="1" applyFont="1" applyFill="1"/>
    <xf numFmtId="0" fontId="186" fillId="43" borderId="0" xfId="0" applyFont="1" applyFill="1"/>
    <xf numFmtId="0" fontId="188" fillId="43" borderId="0" xfId="0" applyFont="1" applyFill="1"/>
    <xf numFmtId="3" fontId="186" fillId="42" borderId="0" xfId="0" applyNumberFormat="1" applyFont="1" applyFill="1"/>
    <xf numFmtId="171" fontId="188" fillId="42" borderId="0" xfId="0" applyNumberFormat="1" applyFont="1" applyFill="1"/>
    <xf numFmtId="0" fontId="201" fillId="36" borderId="0" xfId="0" applyFont="1" applyFill="1"/>
    <xf numFmtId="3" fontId="202" fillId="36" borderId="0" xfId="0" applyNumberFormat="1" applyFont="1" applyFill="1"/>
    <xf numFmtId="3" fontId="203" fillId="36" borderId="0" xfId="0" applyNumberFormat="1" applyFont="1" applyFill="1"/>
    <xf numFmtId="3" fontId="188" fillId="36" borderId="0" xfId="0" applyNumberFormat="1" applyFont="1" applyFill="1"/>
    <xf numFmtId="3" fontId="186" fillId="36" borderId="0" xfId="0" applyNumberFormat="1" applyFont="1" applyFill="1"/>
    <xf numFmtId="0" fontId="193" fillId="36" borderId="0" xfId="0" applyFont="1" applyFill="1" applyAlignment="1">
      <alignment horizontal="center" vertical="center" wrapText="1"/>
    </xf>
    <xf numFmtId="170" fontId="188" fillId="42" borderId="0" xfId="0" applyNumberFormat="1" applyFont="1" applyFill="1"/>
    <xf numFmtId="1" fontId="188" fillId="42" borderId="0" xfId="0" applyNumberFormat="1" applyFont="1" applyFill="1"/>
    <xf numFmtId="1" fontId="186" fillId="42" borderId="0" xfId="0" applyNumberFormat="1" applyFont="1" applyFill="1"/>
    <xf numFmtId="0" fontId="187" fillId="36" borderId="0" xfId="0" applyFont="1" applyFill="1" applyAlignment="1">
      <alignment horizontal="left"/>
    </xf>
    <xf numFmtId="0" fontId="189" fillId="36" borderId="0" xfId="0" applyFont="1" applyFill="1" applyAlignment="1">
      <alignment horizontal="left"/>
    </xf>
    <xf numFmtId="0" fontId="7" fillId="36" borderId="0" xfId="0" applyFont="1" applyFill="1" applyAlignment="1">
      <alignment horizontal="left"/>
    </xf>
    <xf numFmtId="0" fontId="59" fillId="36" borderId="0" xfId="0" applyFont="1" applyFill="1" applyAlignment="1">
      <alignment horizontal="left"/>
    </xf>
    <xf numFmtId="0" fontId="187" fillId="43" borderId="0" xfId="0" applyFont="1" applyFill="1" applyAlignment="1">
      <alignment horizontal="left"/>
    </xf>
    <xf numFmtId="165" fontId="200" fillId="36" borderId="0" xfId="0" applyNumberFormat="1" applyFont="1" applyFill="1" applyAlignment="1">
      <alignment horizontal="left" vertical="top"/>
    </xf>
    <xf numFmtId="0" fontId="186" fillId="36" borderId="0" xfId="0" applyFont="1" applyFill="1" applyAlignment="1">
      <alignment horizontal="left"/>
    </xf>
    <xf numFmtId="0" fontId="201" fillId="36" borderId="0" xfId="0" applyFont="1" applyFill="1" applyAlignment="1">
      <alignment horizontal="left"/>
    </xf>
    <xf numFmtId="0" fontId="187" fillId="36" borderId="0" xfId="0" applyFont="1" applyFill="1" applyAlignment="1">
      <alignment horizontal="left" vertical="center"/>
    </xf>
    <xf numFmtId="0" fontId="178" fillId="0" borderId="0" xfId="8" applyFont="1" applyAlignment="1">
      <alignment horizontal="right"/>
    </xf>
    <xf numFmtId="0" fontId="174" fillId="0" borderId="10" xfId="0" applyFont="1" applyBorder="1"/>
    <xf numFmtId="3" fontId="174" fillId="0" borderId="10" xfId="0" applyNumberFormat="1" applyFont="1" applyBorder="1"/>
    <xf numFmtId="3" fontId="174" fillId="3" borderId="10" xfId="0" applyNumberFormat="1" applyFont="1" applyFill="1" applyBorder="1"/>
    <xf numFmtId="0" fontId="178" fillId="0" borderId="0" xfId="0" applyFont="1"/>
    <xf numFmtId="3" fontId="160" fillId="3" borderId="4" xfId="0" applyNumberFormat="1" applyFont="1" applyFill="1" applyBorder="1"/>
    <xf numFmtId="170" fontId="160" fillId="3" borderId="0" xfId="0" applyNumberFormat="1" applyFont="1" applyFill="1"/>
    <xf numFmtId="9" fontId="160" fillId="3" borderId="7" xfId="0" applyNumberFormat="1" applyFont="1" applyFill="1" applyBorder="1"/>
    <xf numFmtId="3" fontId="160" fillId="0" borderId="1" xfId="0" applyNumberFormat="1" applyFont="1" applyBorder="1"/>
    <xf numFmtId="3" fontId="160" fillId="25" borderId="0" xfId="0" applyNumberFormat="1" applyFont="1" applyFill="1"/>
    <xf numFmtId="0" fontId="160" fillId="25" borderId="52" xfId="0" applyFont="1" applyFill="1" applyBorder="1"/>
    <xf numFmtId="0" fontId="160" fillId="25" borderId="53" xfId="0" applyFont="1" applyFill="1" applyBorder="1"/>
    <xf numFmtId="0" fontId="160" fillId="0" borderId="54" xfId="0" applyFont="1" applyBorder="1"/>
    <xf numFmtId="164" fontId="160" fillId="0" borderId="34" xfId="0" applyNumberFormat="1" applyFont="1" applyBorder="1"/>
    <xf numFmtId="164" fontId="160" fillId="25" borderId="7" xfId="0" applyNumberFormat="1" applyFont="1" applyFill="1" applyBorder="1"/>
    <xf numFmtId="164" fontId="160" fillId="25" borderId="53" xfId="0" applyNumberFormat="1" applyFont="1" applyFill="1" applyBorder="1"/>
    <xf numFmtId="0" fontId="160" fillId="0" borderId="55" xfId="0" applyFont="1" applyBorder="1"/>
    <xf numFmtId="164" fontId="160" fillId="0" borderId="15" xfId="0" applyNumberFormat="1" applyFont="1" applyBorder="1"/>
    <xf numFmtId="164" fontId="160" fillId="0" borderId="56" xfId="0" applyNumberFormat="1" applyFont="1" applyBorder="1"/>
    <xf numFmtId="3" fontId="160" fillId="25" borderId="7" xfId="0" applyNumberFormat="1" applyFont="1" applyFill="1" applyBorder="1"/>
    <xf numFmtId="9" fontId="173" fillId="0" borderId="0" xfId="4" applyNumberFormat="1" applyFont="1"/>
    <xf numFmtId="164" fontId="173" fillId="2" borderId="7" xfId="9" applyNumberFormat="1" applyFont="1" applyFill="1" applyBorder="1"/>
    <xf numFmtId="166" fontId="173" fillId="0" borderId="7" xfId="4" applyNumberFormat="1" applyFont="1" applyBorder="1"/>
    <xf numFmtId="9" fontId="173" fillId="0" borderId="7" xfId="4" applyNumberFormat="1" applyFont="1" applyBorder="1"/>
    <xf numFmtId="166" fontId="173" fillId="0" borderId="7" xfId="9" applyNumberFormat="1" applyFont="1" applyBorder="1"/>
    <xf numFmtId="9" fontId="174" fillId="0" borderId="7" xfId="0" applyNumberFormat="1" applyFont="1" applyBorder="1"/>
    <xf numFmtId="164" fontId="160" fillId="0" borderId="26" xfId="0" applyNumberFormat="1" applyFont="1" applyBorder="1"/>
    <xf numFmtId="0" fontId="172" fillId="0" borderId="0" xfId="0" quotePrefix="1" applyFont="1"/>
    <xf numFmtId="0" fontId="174" fillId="0" borderId="9" xfId="0" applyFont="1" applyBorder="1"/>
    <xf numFmtId="3" fontId="174" fillId="0" borderId="11" xfId="0" applyNumberFormat="1" applyFont="1" applyBorder="1"/>
    <xf numFmtId="0" fontId="174" fillId="0" borderId="12" xfId="0" applyFont="1" applyBorder="1"/>
    <xf numFmtId="164" fontId="174" fillId="0" borderId="7" xfId="0" applyNumberFormat="1" applyFont="1" applyBorder="1"/>
    <xf numFmtId="164" fontId="174" fillId="0" borderId="8" xfId="0" applyNumberFormat="1" applyFont="1" applyBorder="1"/>
    <xf numFmtId="9" fontId="174" fillId="0" borderId="26" xfId="0" applyNumberFormat="1" applyFont="1" applyBorder="1"/>
    <xf numFmtId="9" fontId="174" fillId="0" borderId="7" xfId="0" applyNumberFormat="1" applyFont="1" applyBorder="1" applyAlignment="1">
      <alignment horizontal="right"/>
    </xf>
    <xf numFmtId="0" fontId="178" fillId="0" borderId="4" xfId="7" applyFont="1" applyBorder="1"/>
    <xf numFmtId="0" fontId="178" fillId="0" borderId="0" xfId="7" applyFont="1"/>
    <xf numFmtId="166" fontId="178" fillId="0" borderId="0" xfId="7" applyNumberFormat="1" applyFont="1"/>
    <xf numFmtId="0" fontId="173" fillId="0" borderId="0" xfId="7" applyFont="1"/>
    <xf numFmtId="9" fontId="178" fillId="0" borderId="0" xfId="7" applyNumberFormat="1" applyFont="1"/>
    <xf numFmtId="9" fontId="173" fillId="0" borderId="0" xfId="7" applyNumberFormat="1" applyFont="1"/>
    <xf numFmtId="164" fontId="173" fillId="0" borderId="0" xfId="7" applyNumberFormat="1" applyFont="1"/>
    <xf numFmtId="0" fontId="204" fillId="0" borderId="0" xfId="7" quotePrefix="1" applyFont="1" applyAlignment="1">
      <alignment horizontal="right"/>
    </xf>
    <xf numFmtId="166" fontId="205" fillId="0" borderId="0" xfId="7" applyNumberFormat="1" applyFont="1"/>
    <xf numFmtId="9" fontId="205" fillId="0" borderId="0" xfId="7" applyNumberFormat="1" applyFont="1"/>
    <xf numFmtId="0" fontId="205" fillId="0" borderId="0" xfId="7" applyFont="1"/>
    <xf numFmtId="166" fontId="173" fillId="0" borderId="0" xfId="7" applyNumberFormat="1" applyFont="1"/>
    <xf numFmtId="43" fontId="173" fillId="0" borderId="0" xfId="7" applyNumberFormat="1" applyFont="1"/>
    <xf numFmtId="166" fontId="173" fillId="2" borderId="0" xfId="7" applyNumberFormat="1" applyFont="1" applyFill="1"/>
    <xf numFmtId="166" fontId="177" fillId="0" borderId="0" xfId="7" applyNumberFormat="1" applyFont="1"/>
    <xf numFmtId="167" fontId="173" fillId="0" borderId="0" xfId="5" applyNumberFormat="1" applyFont="1" applyBorder="1"/>
    <xf numFmtId="43" fontId="173" fillId="0" borderId="0" xfId="5" applyFont="1" applyBorder="1"/>
    <xf numFmtId="167" fontId="173" fillId="0" borderId="0" xfId="7" applyNumberFormat="1" applyFont="1"/>
    <xf numFmtId="166" fontId="173" fillId="0" borderId="0" xfId="5" applyNumberFormat="1" applyFont="1" applyBorder="1"/>
    <xf numFmtId="9" fontId="173" fillId="0" borderId="0" xfId="5" applyNumberFormat="1" applyFont="1" applyBorder="1"/>
    <xf numFmtId="165" fontId="206" fillId="0" borderId="0" xfId="2" applyNumberFormat="1" applyFont="1" applyAlignment="1">
      <alignment vertical="top"/>
    </xf>
    <xf numFmtId="3" fontId="178" fillId="0" borderId="0" xfId="7" applyNumberFormat="1" applyFont="1"/>
    <xf numFmtId="3" fontId="173" fillId="0" borderId="0" xfId="7" applyNumberFormat="1" applyFont="1"/>
    <xf numFmtId="165" fontId="206" fillId="0" borderId="0" xfId="2" applyNumberFormat="1" applyFont="1" applyAlignment="1">
      <alignment horizontal="left" vertical="top" indent="1"/>
    </xf>
    <xf numFmtId="3" fontId="173" fillId="3" borderId="0" xfId="7" applyNumberFormat="1" applyFont="1" applyFill="1"/>
    <xf numFmtId="165" fontId="206" fillId="0" borderId="7" xfId="2" applyNumberFormat="1" applyFont="1" applyBorder="1" applyAlignment="1">
      <alignment horizontal="left" vertical="top" indent="1"/>
    </xf>
    <xf numFmtId="3" fontId="173" fillId="3" borderId="7" xfId="7" applyNumberFormat="1" applyFont="1" applyFill="1" applyBorder="1"/>
    <xf numFmtId="3" fontId="173" fillId="0" borderId="7" xfId="7" applyNumberFormat="1" applyFont="1" applyBorder="1"/>
    <xf numFmtId="3" fontId="173" fillId="0" borderId="0" xfId="5" applyNumberFormat="1" applyFont="1" applyBorder="1"/>
    <xf numFmtId="3" fontId="177" fillId="0" borderId="0" xfId="7" applyNumberFormat="1" applyFont="1"/>
    <xf numFmtId="165" fontId="207" fillId="0" borderId="4" xfId="2" applyNumberFormat="1" applyFont="1" applyBorder="1" applyAlignment="1">
      <alignment vertical="top"/>
    </xf>
    <xf numFmtId="43" fontId="173" fillId="0" borderId="4" xfId="5" applyFont="1" applyBorder="1"/>
    <xf numFmtId="3" fontId="173" fillId="0" borderId="4" xfId="5" applyNumberFormat="1" applyFont="1" applyBorder="1"/>
    <xf numFmtId="165" fontId="206" fillId="0" borderId="7" xfId="2" applyNumberFormat="1" applyFont="1" applyBorder="1" applyAlignment="1">
      <alignment vertical="top"/>
    </xf>
    <xf numFmtId="165" fontId="207" fillId="0" borderId="0" xfId="2" applyNumberFormat="1" applyFont="1" applyAlignment="1">
      <alignment vertical="top"/>
    </xf>
    <xf numFmtId="43" fontId="173" fillId="0" borderId="10" xfId="5" applyFont="1" applyBorder="1"/>
    <xf numFmtId="3" fontId="173" fillId="0" borderId="10" xfId="5" applyNumberFormat="1" applyFont="1" applyBorder="1"/>
    <xf numFmtId="3" fontId="173" fillId="3" borderId="10" xfId="7" applyNumberFormat="1" applyFont="1" applyFill="1" applyBorder="1"/>
    <xf numFmtId="3" fontId="173" fillId="0" borderId="10" xfId="7" applyNumberFormat="1" applyFont="1" applyBorder="1"/>
    <xf numFmtId="164" fontId="182" fillId="0" borderId="0" xfId="5" applyNumberFormat="1" applyFont="1" applyBorder="1"/>
    <xf numFmtId="1" fontId="173" fillId="0" borderId="0" xfId="7" applyNumberFormat="1" applyFont="1"/>
    <xf numFmtId="9" fontId="208" fillId="0" borderId="0" xfId="7" applyNumberFormat="1" applyFont="1" applyAlignment="1">
      <alignment horizontal="right"/>
    </xf>
    <xf numFmtId="166" fontId="208" fillId="0" borderId="0" xfId="7" applyNumberFormat="1" applyFont="1"/>
    <xf numFmtId="1" fontId="173" fillId="0" borderId="0" xfId="5" applyNumberFormat="1" applyFont="1" applyBorder="1"/>
    <xf numFmtId="165" fontId="206" fillId="0" borderId="4" xfId="2" applyNumberFormat="1" applyFont="1" applyBorder="1" applyAlignment="1">
      <alignment vertical="top"/>
    </xf>
    <xf numFmtId="3" fontId="173" fillId="3" borderId="4" xfId="7" applyNumberFormat="1" applyFont="1" applyFill="1" applyBorder="1"/>
    <xf numFmtId="3" fontId="173" fillId="0" borderId="4" xfId="7" applyNumberFormat="1" applyFont="1" applyBorder="1"/>
    <xf numFmtId="3" fontId="173" fillId="3" borderId="0" xfId="5" applyNumberFormat="1" applyFont="1" applyFill="1" applyBorder="1"/>
    <xf numFmtId="3" fontId="177" fillId="0" borderId="0" xfId="5" applyNumberFormat="1" applyFont="1" applyFill="1" applyBorder="1"/>
    <xf numFmtId="43" fontId="178" fillId="0" borderId="4" xfId="5" applyFont="1" applyBorder="1"/>
    <xf numFmtId="3" fontId="178" fillId="0" borderId="4" xfId="5" applyNumberFormat="1" applyFont="1" applyBorder="1"/>
    <xf numFmtId="164" fontId="178" fillId="0" borderId="0" xfId="5" applyNumberFormat="1" applyFont="1" applyFill="1" applyBorder="1"/>
    <xf numFmtId="9" fontId="182" fillId="0" borderId="0" xfId="5" applyNumberFormat="1" applyFont="1" applyBorder="1"/>
    <xf numFmtId="165" fontId="173" fillId="0" borderId="0" xfId="7" applyNumberFormat="1" applyFont="1"/>
    <xf numFmtId="164" fontId="173" fillId="0" borderId="0" xfId="5" applyNumberFormat="1" applyFont="1" applyBorder="1"/>
    <xf numFmtId="164" fontId="173" fillId="0" borderId="0" xfId="5" applyNumberFormat="1" applyFont="1" applyFill="1" applyBorder="1"/>
    <xf numFmtId="165" fontId="173" fillId="0" borderId="7" xfId="7" applyNumberFormat="1" applyFont="1" applyBorder="1"/>
    <xf numFmtId="43" fontId="173" fillId="0" borderId="7" xfId="5" applyFont="1" applyBorder="1"/>
    <xf numFmtId="164" fontId="173" fillId="0" borderId="7" xfId="5" applyNumberFormat="1" applyFont="1" applyBorder="1"/>
    <xf numFmtId="166" fontId="173" fillId="0" borderId="7" xfId="5" applyNumberFormat="1" applyFont="1" applyBorder="1"/>
    <xf numFmtId="166" fontId="173" fillId="0" borderId="7" xfId="7" applyNumberFormat="1" applyFont="1" applyBorder="1"/>
    <xf numFmtId="170" fontId="173" fillId="3" borderId="0" xfId="7" applyNumberFormat="1" applyFont="1" applyFill="1"/>
    <xf numFmtId="167" fontId="177" fillId="0" borderId="0" xfId="7" applyNumberFormat="1" applyFont="1"/>
    <xf numFmtId="1" fontId="173" fillId="3" borderId="0" xfId="7" applyNumberFormat="1" applyFont="1" applyFill="1"/>
    <xf numFmtId="166" fontId="177" fillId="0" borderId="0" xfId="9" applyNumberFormat="1" applyFont="1"/>
    <xf numFmtId="1" fontId="173" fillId="3" borderId="7" xfId="7" applyNumberFormat="1" applyFont="1" applyFill="1" applyBorder="1"/>
    <xf numFmtId="0" fontId="173" fillId="0" borderId="7" xfId="7" applyFont="1" applyBorder="1"/>
    <xf numFmtId="9" fontId="173" fillId="0" borderId="7" xfId="5" applyNumberFormat="1" applyFont="1" applyBorder="1"/>
    <xf numFmtId="9" fontId="173" fillId="0" borderId="0" xfId="2" applyNumberFormat="1" applyFont="1"/>
    <xf numFmtId="165" fontId="178" fillId="0" borderId="0" xfId="7" applyNumberFormat="1" applyFont="1"/>
    <xf numFmtId="9" fontId="173" fillId="0" borderId="7" xfId="7" applyNumberFormat="1" applyFont="1" applyBorder="1"/>
    <xf numFmtId="43" fontId="173" fillId="0" borderId="0" xfId="5" applyFont="1"/>
    <xf numFmtId="167" fontId="178" fillId="0" borderId="0" xfId="7" applyNumberFormat="1" applyFont="1"/>
    <xf numFmtId="166" fontId="173" fillId="0" borderId="0" xfId="5" applyNumberFormat="1" applyFont="1" applyFill="1"/>
    <xf numFmtId="166" fontId="173" fillId="2" borderId="0" xfId="5" applyNumberFormat="1" applyFont="1" applyFill="1"/>
    <xf numFmtId="166" fontId="173" fillId="0" borderId="0" xfId="5" applyNumberFormat="1" applyFont="1"/>
    <xf numFmtId="167" fontId="173" fillId="0" borderId="0" xfId="5" applyNumberFormat="1" applyFont="1"/>
    <xf numFmtId="9" fontId="173" fillId="0" borderId="0" xfId="5" applyNumberFormat="1" applyFont="1"/>
    <xf numFmtId="9" fontId="173" fillId="2" borderId="0" xfId="7" applyNumberFormat="1" applyFont="1" applyFill="1"/>
    <xf numFmtId="0" fontId="173" fillId="0" borderId="0" xfId="7" applyFont="1" applyAlignment="1">
      <alignment vertical="top"/>
    </xf>
    <xf numFmtId="166" fontId="178" fillId="2" borderId="0" xfId="5" applyNumberFormat="1" applyFont="1" applyFill="1"/>
    <xf numFmtId="166" fontId="173" fillId="3" borderId="0" xfId="7" applyNumberFormat="1" applyFont="1" applyFill="1"/>
    <xf numFmtId="166" fontId="178" fillId="0" borderId="0" xfId="5" applyNumberFormat="1" applyFont="1" applyFill="1"/>
    <xf numFmtId="166" fontId="177" fillId="46" borderId="0" xfId="7" applyNumberFormat="1" applyFont="1" applyFill="1"/>
    <xf numFmtId="166" fontId="177" fillId="0" borderId="0" xfId="5" applyNumberFormat="1" applyFont="1" applyFill="1"/>
    <xf numFmtId="1" fontId="181" fillId="0" borderId="0" xfId="7" applyNumberFormat="1" applyFont="1"/>
    <xf numFmtId="168" fontId="173" fillId="3" borderId="0" xfId="7" applyNumberFormat="1" applyFont="1" applyFill="1"/>
    <xf numFmtId="168" fontId="173" fillId="0" borderId="0" xfId="7" applyNumberFormat="1" applyFont="1"/>
    <xf numFmtId="164" fontId="173" fillId="3" borderId="0" xfId="6" applyNumberFormat="1" applyFont="1" applyFill="1"/>
    <xf numFmtId="164" fontId="173" fillId="2" borderId="0" xfId="6" applyNumberFormat="1" applyFont="1" applyFill="1"/>
    <xf numFmtId="166" fontId="173" fillId="0" borderId="7" xfId="5" applyNumberFormat="1" applyFont="1" applyFill="1" applyBorder="1"/>
    <xf numFmtId="0" fontId="173" fillId="0" borderId="0" xfId="7" quotePrefix="1" applyFont="1"/>
    <xf numFmtId="9" fontId="173" fillId="0" borderId="0" xfId="5" applyNumberFormat="1" applyFont="1" applyFill="1"/>
    <xf numFmtId="9" fontId="173" fillId="3" borderId="0" xfId="5" applyNumberFormat="1" applyFont="1" applyFill="1"/>
    <xf numFmtId="167" fontId="173" fillId="2" borderId="0" xfId="5" applyNumberFormat="1" applyFont="1" applyFill="1"/>
    <xf numFmtId="167" fontId="173" fillId="0" borderId="0" xfId="5" applyNumberFormat="1" applyFont="1" applyFill="1"/>
    <xf numFmtId="166" fontId="173" fillId="0" borderId="0" xfId="5" applyNumberFormat="1" applyFont="1" applyFill="1" applyBorder="1"/>
    <xf numFmtId="166" fontId="173" fillId="2" borderId="0" xfId="5" applyNumberFormat="1" applyFont="1" applyFill="1" applyBorder="1"/>
    <xf numFmtId="164" fontId="173" fillId="2" borderId="0" xfId="7" applyNumberFormat="1" applyFont="1" applyFill="1"/>
    <xf numFmtId="9" fontId="173" fillId="3" borderId="0" xfId="7" applyNumberFormat="1" applyFont="1" applyFill="1"/>
    <xf numFmtId="166" fontId="173" fillId="3" borderId="0" xfId="5" applyNumberFormat="1" applyFont="1" applyFill="1"/>
    <xf numFmtId="164" fontId="173" fillId="2" borderId="0" xfId="5" applyNumberFormat="1" applyFont="1" applyFill="1"/>
    <xf numFmtId="0" fontId="178" fillId="0" borderId="7" xfId="7" applyFont="1" applyBorder="1"/>
    <xf numFmtId="166" fontId="173" fillId="2" borderId="7" xfId="5" applyNumberFormat="1" applyFont="1" applyFill="1" applyBorder="1"/>
    <xf numFmtId="9" fontId="173" fillId="2" borderId="0" xfId="5" applyNumberFormat="1" applyFont="1" applyFill="1"/>
    <xf numFmtId="9" fontId="177" fillId="0" borderId="0" xfId="7" applyNumberFormat="1" applyFont="1"/>
    <xf numFmtId="0" fontId="173" fillId="3" borderId="0" xfId="7" applyFont="1" applyFill="1"/>
    <xf numFmtId="0" fontId="178" fillId="0" borderId="10" xfId="7" applyFont="1" applyBorder="1"/>
    <xf numFmtId="166" fontId="178" fillId="0" borderId="10" xfId="7" applyNumberFormat="1" applyFont="1" applyBorder="1"/>
    <xf numFmtId="164" fontId="173" fillId="0" borderId="0" xfId="5" applyNumberFormat="1" applyFont="1" applyFill="1"/>
    <xf numFmtId="0" fontId="173" fillId="0" borderId="9" xfId="7" applyFont="1" applyBorder="1"/>
    <xf numFmtId="166" fontId="173" fillId="0" borderId="10" xfId="5" applyNumberFormat="1" applyFont="1" applyBorder="1"/>
    <xf numFmtId="166" fontId="173" fillId="0" borderId="11" xfId="5" applyNumberFormat="1" applyFont="1" applyBorder="1"/>
    <xf numFmtId="0" fontId="173" fillId="0" borderId="3" xfId="7" applyFont="1" applyBorder="1"/>
    <xf numFmtId="166" fontId="173" fillId="0" borderId="2" xfId="5" applyNumberFormat="1" applyFont="1" applyBorder="1"/>
    <xf numFmtId="0" fontId="173" fillId="0" borderId="12" xfId="7" applyFont="1" applyBorder="1"/>
    <xf numFmtId="166" fontId="173" fillId="0" borderId="8" xfId="5" applyNumberFormat="1" applyFont="1" applyBorder="1"/>
    <xf numFmtId="166" fontId="173" fillId="0" borderId="10" xfId="7" applyNumberFormat="1" applyFont="1" applyBorder="1"/>
    <xf numFmtId="43" fontId="173" fillId="0" borderId="10" xfId="7" applyNumberFormat="1" applyFont="1" applyBorder="1"/>
    <xf numFmtId="166" fontId="173" fillId="0" borderId="11" xfId="7" applyNumberFormat="1" applyFont="1" applyBorder="1"/>
    <xf numFmtId="166" fontId="173" fillId="0" borderId="2" xfId="7" applyNumberFormat="1" applyFont="1" applyBorder="1"/>
    <xf numFmtId="166" fontId="173" fillId="0" borderId="8" xfId="7" applyNumberFormat="1" applyFont="1" applyBorder="1"/>
    <xf numFmtId="43" fontId="173" fillId="2" borderId="0" xfId="5" applyFont="1" applyFill="1"/>
    <xf numFmtId="43" fontId="173" fillId="0" borderId="0" xfId="5" applyFont="1" applyFill="1"/>
    <xf numFmtId="9" fontId="177" fillId="0" borderId="0" xfId="5" applyNumberFormat="1" applyFont="1" applyFill="1"/>
    <xf numFmtId="169" fontId="173" fillId="0" borderId="0" xfId="7" applyNumberFormat="1" applyFont="1"/>
    <xf numFmtId="169" fontId="173" fillId="0" borderId="7" xfId="7" applyNumberFormat="1" applyFont="1" applyBorder="1"/>
    <xf numFmtId="169" fontId="178" fillId="0" borderId="0" xfId="7" applyNumberFormat="1" applyFont="1"/>
    <xf numFmtId="169" fontId="178" fillId="0" borderId="7" xfId="7" applyNumberFormat="1" applyFont="1" applyBorder="1"/>
    <xf numFmtId="169" fontId="173" fillId="2" borderId="0" xfId="7" applyNumberFormat="1" applyFont="1" applyFill="1"/>
    <xf numFmtId="164" fontId="173" fillId="0" borderId="0" xfId="2" applyNumberFormat="1" applyFont="1"/>
    <xf numFmtId="0" fontId="173" fillId="44" borderId="0" xfId="2" applyFont="1" applyFill="1"/>
    <xf numFmtId="164" fontId="173" fillId="44" borderId="0" xfId="2" applyNumberFormat="1" applyFont="1" applyFill="1"/>
    <xf numFmtId="0" fontId="173" fillId="28" borderId="0" xfId="2" applyFont="1" applyFill="1"/>
    <xf numFmtId="0" fontId="178" fillId="0" borderId="2" xfId="2" applyFont="1" applyBorder="1"/>
    <xf numFmtId="0" fontId="173" fillId="0" borderId="0" xfId="2" applyFont="1" applyAlignment="1">
      <alignment horizontal="center" vertical="center" wrapText="1"/>
    </xf>
    <xf numFmtId="0" fontId="173" fillId="44" borderId="0" xfId="2" applyFont="1" applyFill="1" applyAlignment="1">
      <alignment vertical="center" wrapText="1"/>
    </xf>
    <xf numFmtId="0" fontId="178" fillId="28" borderId="4" xfId="2" applyFont="1" applyFill="1" applyBorder="1" applyAlignment="1">
      <alignment vertical="center" wrapText="1"/>
    </xf>
    <xf numFmtId="0" fontId="173" fillId="28" borderId="4" xfId="2" applyFont="1" applyFill="1" applyBorder="1" applyAlignment="1">
      <alignment vertical="center" wrapText="1"/>
    </xf>
    <xf numFmtId="0" fontId="173" fillId="0" borderId="2" xfId="2" applyFont="1" applyBorder="1" applyAlignment="1">
      <alignment wrapText="1"/>
    </xf>
    <xf numFmtId="165" fontId="178" fillId="0" borderId="0" xfId="2" applyNumberFormat="1" applyFont="1" applyAlignment="1">
      <alignment horizontal="center" vertical="top" wrapText="1"/>
    </xf>
    <xf numFmtId="165" fontId="178" fillId="0" borderId="3" xfId="2" applyNumberFormat="1" applyFont="1" applyBorder="1" applyAlignment="1">
      <alignment horizontal="center" vertical="top" wrapText="1"/>
    </xf>
    <xf numFmtId="165" fontId="178" fillId="0" borderId="2" xfId="2" applyNumberFormat="1" applyFont="1" applyBorder="1" applyAlignment="1">
      <alignment horizontal="center" vertical="top" wrapText="1"/>
    </xf>
    <xf numFmtId="165" fontId="178" fillId="0" borderId="12" xfId="2" applyNumberFormat="1" applyFont="1" applyBorder="1" applyAlignment="1">
      <alignment horizontal="center" vertical="top" wrapText="1"/>
    </xf>
    <xf numFmtId="165" fontId="178" fillId="0" borderId="7" xfId="2" applyNumberFormat="1" applyFont="1" applyBorder="1" applyAlignment="1">
      <alignment horizontal="center" vertical="top" wrapText="1"/>
    </xf>
    <xf numFmtId="165" fontId="178" fillId="0" borderId="8" xfId="2" applyNumberFormat="1" applyFont="1" applyBorder="1" applyAlignment="1">
      <alignment horizontal="center" vertical="top" wrapText="1"/>
    </xf>
    <xf numFmtId="165" fontId="209" fillId="44" borderId="0" xfId="2" applyNumberFormat="1" applyFont="1" applyFill="1" applyAlignment="1">
      <alignment horizontal="center" vertical="top" wrapText="1"/>
    </xf>
    <xf numFmtId="165" fontId="178" fillId="28" borderId="0" xfId="2" applyNumberFormat="1" applyFont="1" applyFill="1" applyAlignment="1">
      <alignment horizontal="center" vertical="top" wrapText="1"/>
    </xf>
    <xf numFmtId="165" fontId="178" fillId="28" borderId="7" xfId="2" applyNumberFormat="1" applyFont="1" applyFill="1" applyBorder="1" applyAlignment="1">
      <alignment horizontal="center" vertical="top" wrapText="1"/>
    </xf>
    <xf numFmtId="165" fontId="210" fillId="0" borderId="0" xfId="2" applyNumberFormat="1" applyFont="1" applyAlignment="1">
      <alignment horizontal="center" vertical="top" wrapText="1"/>
    </xf>
    <xf numFmtId="165" fontId="210" fillId="0" borderId="3" xfId="2" applyNumberFormat="1" applyFont="1" applyBorder="1" applyAlignment="1">
      <alignment horizontal="center" vertical="top" wrapText="1"/>
    </xf>
    <xf numFmtId="0" fontId="173" fillId="0" borderId="2" xfId="2" applyFont="1" applyBorder="1"/>
    <xf numFmtId="0" fontId="173" fillId="0" borderId="3" xfId="2" applyFont="1" applyBorder="1"/>
    <xf numFmtId="169" fontId="173" fillId="0" borderId="0" xfId="2" applyNumberFormat="1" applyFont="1"/>
    <xf numFmtId="0" fontId="211" fillId="0" borderId="0" xfId="2" applyFont="1"/>
    <xf numFmtId="0" fontId="178" fillId="0" borderId="2" xfId="2" applyFont="1" applyBorder="1" applyAlignment="1">
      <alignment horizontal="left" wrapText="1"/>
    </xf>
    <xf numFmtId="165" fontId="212" fillId="0" borderId="0" xfId="2" applyNumberFormat="1" applyFont="1" applyAlignment="1">
      <alignment horizontal="right" vertical="top" wrapText="1"/>
    </xf>
    <xf numFmtId="169" fontId="212" fillId="0" borderId="0" xfId="2" applyNumberFormat="1" applyFont="1" applyAlignment="1">
      <alignment horizontal="right" vertical="top" wrapText="1"/>
    </xf>
    <xf numFmtId="165" fontId="206" fillId="0" borderId="2" xfId="2" applyNumberFormat="1" applyFont="1" applyBorder="1" applyAlignment="1">
      <alignment vertical="top"/>
    </xf>
    <xf numFmtId="169" fontId="212" fillId="0" borderId="3" xfId="2" applyNumberFormat="1" applyFont="1" applyBorder="1" applyAlignment="1">
      <alignment horizontal="right" vertical="top" wrapText="1"/>
    </xf>
    <xf numFmtId="169" fontId="212" fillId="0" borderId="2" xfId="2" applyNumberFormat="1" applyFont="1" applyBorder="1" applyAlignment="1">
      <alignment horizontal="right" vertical="top" wrapText="1"/>
    </xf>
    <xf numFmtId="164" fontId="173" fillId="0" borderId="3" xfId="2" applyNumberFormat="1" applyFont="1" applyBorder="1"/>
    <xf numFmtId="0" fontId="173" fillId="0" borderId="0" xfId="2" applyFont="1" applyAlignment="1">
      <alignment horizontal="right"/>
    </xf>
    <xf numFmtId="169" fontId="211" fillId="0" borderId="0" xfId="2" applyNumberFormat="1" applyFont="1" applyAlignment="1">
      <alignment horizontal="right" vertical="top" wrapText="1"/>
    </xf>
    <xf numFmtId="169" fontId="212" fillId="28" borderId="0" xfId="2" applyNumberFormat="1" applyFont="1" applyFill="1" applyAlignment="1">
      <alignment horizontal="right" vertical="top" wrapText="1"/>
    </xf>
    <xf numFmtId="9" fontId="173" fillId="28" borderId="0" xfId="2" applyNumberFormat="1" applyFont="1" applyFill="1"/>
    <xf numFmtId="165" fontId="206" fillId="0" borderId="2" xfId="2" applyNumberFormat="1" applyFont="1" applyBorder="1" applyAlignment="1">
      <alignment horizontal="left" vertical="top" indent="1"/>
    </xf>
    <xf numFmtId="169" fontId="212" fillId="38" borderId="0" xfId="2" applyNumberFormat="1" applyFont="1" applyFill="1" applyAlignment="1">
      <alignment horizontal="right" vertical="top" wrapText="1"/>
    </xf>
    <xf numFmtId="169" fontId="212" fillId="3" borderId="0" xfId="2" applyNumberFormat="1" applyFont="1" applyFill="1" applyAlignment="1">
      <alignment horizontal="right" vertical="top" wrapText="1"/>
    </xf>
    <xf numFmtId="9" fontId="173" fillId="0" borderId="3" xfId="2" applyNumberFormat="1" applyFont="1" applyBorder="1"/>
    <xf numFmtId="9" fontId="212" fillId="0" borderId="0" xfId="2" applyNumberFormat="1" applyFont="1" applyAlignment="1">
      <alignment horizontal="right" vertical="top" wrapText="1"/>
    </xf>
    <xf numFmtId="0" fontId="178" fillId="0" borderId="7" xfId="2" applyFont="1" applyBorder="1"/>
    <xf numFmtId="0" fontId="178" fillId="0" borderId="7" xfId="2" applyFont="1" applyBorder="1" applyAlignment="1">
      <alignment horizontal="right"/>
    </xf>
    <xf numFmtId="169" fontId="213" fillId="0" borderId="0" xfId="2" applyNumberFormat="1" applyFont="1" applyAlignment="1">
      <alignment horizontal="right" vertical="top" wrapText="1"/>
    </xf>
    <xf numFmtId="164" fontId="211" fillId="0" borderId="0" xfId="2" applyNumberFormat="1" applyFont="1"/>
    <xf numFmtId="164" fontId="173" fillId="28" borderId="0" xfId="2" applyNumberFormat="1" applyFont="1" applyFill="1"/>
    <xf numFmtId="164" fontId="173" fillId="3" borderId="0" xfId="2" applyNumberFormat="1" applyFont="1" applyFill="1"/>
    <xf numFmtId="9" fontId="211" fillId="0" borderId="0" xfId="2" applyNumberFormat="1" applyFont="1"/>
    <xf numFmtId="169" fontId="214" fillId="0" borderId="0" xfId="2" applyNumberFormat="1" applyFont="1" applyAlignment="1">
      <alignment horizontal="right" vertical="top" wrapText="1"/>
    </xf>
    <xf numFmtId="164" fontId="178" fillId="0" borderId="4" xfId="2" applyNumberFormat="1" applyFont="1" applyBorder="1"/>
    <xf numFmtId="164" fontId="178" fillId="0" borderId="6" xfId="2" applyNumberFormat="1" applyFont="1" applyBorder="1"/>
    <xf numFmtId="164" fontId="209" fillId="0" borderId="4" xfId="2" applyNumberFormat="1" applyFont="1" applyBorder="1"/>
    <xf numFmtId="164" fontId="178" fillId="28" borderId="0" xfId="2" applyNumberFormat="1" applyFont="1" applyFill="1"/>
    <xf numFmtId="165" fontId="215" fillId="0" borderId="0" xfId="2" applyNumberFormat="1" applyFont="1" applyAlignment="1">
      <alignment horizontal="right" vertical="top" wrapText="1"/>
    </xf>
    <xf numFmtId="169" fontId="215" fillId="0" borderId="3" xfId="2" applyNumberFormat="1" applyFont="1" applyBorder="1" applyAlignment="1">
      <alignment horizontal="right" vertical="top" wrapText="1"/>
    </xf>
    <xf numFmtId="169" fontId="215" fillId="0" borderId="0" xfId="2" applyNumberFormat="1" applyFont="1" applyAlignment="1">
      <alignment horizontal="right" vertical="top" wrapText="1"/>
    </xf>
    <xf numFmtId="169" fontId="215" fillId="0" borderId="2" xfId="2" applyNumberFormat="1" applyFont="1" applyBorder="1" applyAlignment="1">
      <alignment horizontal="right" vertical="top" wrapText="1"/>
    </xf>
    <xf numFmtId="165" fontId="214" fillId="0" borderId="0" xfId="2" applyNumberFormat="1" applyFont="1" applyAlignment="1">
      <alignment horizontal="right" vertical="top" wrapText="1"/>
    </xf>
    <xf numFmtId="169" fontId="214" fillId="0" borderId="3" xfId="2" applyNumberFormat="1" applyFont="1" applyBorder="1" applyAlignment="1">
      <alignment horizontal="right" vertical="top" wrapText="1"/>
    </xf>
    <xf numFmtId="169" fontId="214" fillId="0" borderId="2" xfId="2" applyNumberFormat="1" applyFont="1" applyBorder="1" applyAlignment="1">
      <alignment horizontal="right" vertical="top" wrapText="1"/>
    </xf>
    <xf numFmtId="9" fontId="214" fillId="0" borderId="3" xfId="2" applyNumberFormat="1" applyFont="1" applyBorder="1" applyAlignment="1">
      <alignment horizontal="right" vertical="top" wrapText="1"/>
    </xf>
    <xf numFmtId="9" fontId="214" fillId="0" borderId="0" xfId="2" applyNumberFormat="1" applyFont="1" applyAlignment="1">
      <alignment horizontal="right" vertical="top" wrapText="1"/>
    </xf>
    <xf numFmtId="164" fontId="212" fillId="0" borderId="0" xfId="2" applyNumberFormat="1" applyFont="1" applyAlignment="1">
      <alignment horizontal="right" vertical="top" wrapText="1"/>
    </xf>
    <xf numFmtId="164" fontId="214" fillId="0" borderId="0" xfId="2" applyNumberFormat="1" applyFont="1" applyAlignment="1">
      <alignment horizontal="right" vertical="top" wrapText="1"/>
    </xf>
    <xf numFmtId="169" fontId="214" fillId="0" borderId="11" xfId="2" applyNumberFormat="1" applyFont="1" applyBorder="1" applyAlignment="1">
      <alignment horizontal="right" vertical="top" wrapText="1"/>
    </xf>
    <xf numFmtId="169" fontId="182" fillId="0" borderId="0" xfId="2" applyNumberFormat="1" applyFont="1" applyAlignment="1">
      <alignment horizontal="right" vertical="top" wrapText="1"/>
    </xf>
    <xf numFmtId="164" fontId="178" fillId="0" borderId="0" xfId="2" applyNumberFormat="1" applyFont="1"/>
    <xf numFmtId="169" fontId="209" fillId="0" borderId="0" xfId="2" applyNumberFormat="1" applyFont="1" applyAlignment="1">
      <alignment horizontal="right" vertical="top" wrapText="1"/>
    </xf>
    <xf numFmtId="169" fontId="214" fillId="28" borderId="0" xfId="2" applyNumberFormat="1" applyFont="1" applyFill="1" applyAlignment="1">
      <alignment horizontal="right" vertical="top" wrapText="1"/>
    </xf>
    <xf numFmtId="165" fontId="207" fillId="0" borderId="2" xfId="2" applyNumberFormat="1" applyFont="1" applyBorder="1" applyAlignment="1">
      <alignment vertical="top"/>
    </xf>
    <xf numFmtId="165" fontId="214" fillId="0" borderId="3" xfId="2" applyNumberFormat="1" applyFont="1" applyBorder="1" applyAlignment="1">
      <alignment horizontal="right" vertical="top" wrapText="1"/>
    </xf>
    <xf numFmtId="165" fontId="214" fillId="0" borderId="2" xfId="2" applyNumberFormat="1" applyFont="1" applyBorder="1" applyAlignment="1">
      <alignment horizontal="right" vertical="top" wrapText="1"/>
    </xf>
    <xf numFmtId="10" fontId="214" fillId="0" borderId="0" xfId="2" applyNumberFormat="1" applyFont="1" applyAlignment="1">
      <alignment horizontal="right" vertical="top" wrapText="1"/>
    </xf>
    <xf numFmtId="9" fontId="173" fillId="0" borderId="2" xfId="2" applyNumberFormat="1" applyFont="1" applyBorder="1"/>
    <xf numFmtId="164" fontId="182" fillId="0" borderId="0" xfId="2" applyNumberFormat="1" applyFont="1" applyAlignment="1">
      <alignment horizontal="right" vertical="top" wrapText="1"/>
    </xf>
    <xf numFmtId="165" fontId="173" fillId="0" borderId="0" xfId="2" applyNumberFormat="1" applyFont="1" applyAlignment="1">
      <alignment horizontal="right"/>
    </xf>
    <xf numFmtId="164" fontId="212" fillId="0" borderId="0" xfId="6" applyNumberFormat="1" applyFont="1" applyFill="1" applyBorder="1" applyAlignment="1">
      <alignment horizontal="right" vertical="top" wrapText="1"/>
    </xf>
    <xf numFmtId="0" fontId="178" fillId="0" borderId="0" xfId="2" applyFont="1"/>
    <xf numFmtId="9" fontId="178" fillId="28" borderId="0" xfId="2" applyNumberFormat="1" applyFont="1" applyFill="1"/>
    <xf numFmtId="9" fontId="178" fillId="0" borderId="0" xfId="2" applyNumberFormat="1" applyFont="1"/>
    <xf numFmtId="9" fontId="178" fillId="0" borderId="3" xfId="2" applyNumberFormat="1" applyFont="1" applyBorder="1"/>
    <xf numFmtId="9" fontId="209" fillId="0" borderId="0" xfId="2" applyNumberFormat="1" applyFont="1"/>
    <xf numFmtId="169" fontId="173" fillId="0" borderId="0" xfId="2" applyNumberFormat="1" applyFont="1" applyAlignment="1">
      <alignment horizontal="right" vertical="top" wrapText="1"/>
    </xf>
    <xf numFmtId="0" fontId="173" fillId="0" borderId="8" xfId="2" applyFont="1" applyBorder="1"/>
    <xf numFmtId="165" fontId="207" fillId="0" borderId="10" xfId="2" applyNumberFormat="1" applyFont="1" applyBorder="1" applyAlignment="1">
      <alignment vertical="top"/>
    </xf>
    <xf numFmtId="165" fontId="212" fillId="0" borderId="10" xfId="2" applyNumberFormat="1" applyFont="1" applyBorder="1" applyAlignment="1">
      <alignment horizontal="right" vertical="top" wrapText="1"/>
    </xf>
    <xf numFmtId="169" fontId="212" fillId="0" borderId="10" xfId="2" applyNumberFormat="1" applyFont="1" applyBorder="1" applyAlignment="1">
      <alignment horizontal="right" vertical="top" wrapText="1"/>
    </xf>
    <xf numFmtId="9" fontId="212" fillId="0" borderId="10" xfId="2" applyNumberFormat="1" applyFont="1" applyBorder="1" applyAlignment="1">
      <alignment horizontal="right" vertical="top" wrapText="1"/>
    </xf>
    <xf numFmtId="164" fontId="182" fillId="0" borderId="10" xfId="2" applyNumberFormat="1" applyFont="1" applyBorder="1" applyAlignment="1">
      <alignment horizontal="right" vertical="top" wrapText="1"/>
    </xf>
    <xf numFmtId="164" fontId="212" fillId="0" borderId="10" xfId="2" applyNumberFormat="1" applyFont="1" applyBorder="1" applyAlignment="1">
      <alignment horizontal="right" vertical="top" wrapText="1"/>
    </xf>
    <xf numFmtId="0" fontId="173" fillId="0" borderId="10" xfId="2" applyFont="1" applyBorder="1"/>
    <xf numFmtId="169" fontId="214" fillId="0" borderId="10" xfId="2" applyNumberFormat="1" applyFont="1" applyBorder="1" applyAlignment="1">
      <alignment horizontal="right" vertical="top" wrapText="1"/>
    </xf>
    <xf numFmtId="9" fontId="212" fillId="28" borderId="10" xfId="2" applyNumberFormat="1" applyFont="1" applyFill="1" applyBorder="1" applyAlignment="1">
      <alignment horizontal="right" vertical="top" wrapText="1"/>
    </xf>
    <xf numFmtId="9" fontId="212" fillId="28" borderId="0" xfId="2" applyNumberFormat="1" applyFont="1" applyFill="1" applyAlignment="1">
      <alignment horizontal="right" vertical="top" wrapText="1"/>
    </xf>
    <xf numFmtId="164" fontId="211" fillId="0" borderId="0" xfId="6" applyNumberFormat="1" applyFont="1" applyAlignment="1">
      <alignment horizontal="right" vertical="top" wrapText="1"/>
    </xf>
    <xf numFmtId="164" fontId="212" fillId="28" borderId="0" xfId="6" applyNumberFormat="1" applyFont="1" applyFill="1" applyAlignment="1">
      <alignment horizontal="right" vertical="top" wrapText="1"/>
    </xf>
    <xf numFmtId="9" fontId="173" fillId="0" borderId="0" xfId="5" applyNumberFormat="1" applyFont="1" applyFill="1" applyBorder="1"/>
    <xf numFmtId="1" fontId="173" fillId="0" borderId="0" xfId="2" applyNumberFormat="1" applyFont="1"/>
    <xf numFmtId="165" fontId="173" fillId="0" borderId="0" xfId="2" applyNumberFormat="1" applyFont="1"/>
    <xf numFmtId="164" fontId="173" fillId="0" borderId="2" xfId="2" applyNumberFormat="1" applyFont="1" applyBorder="1"/>
    <xf numFmtId="10" fontId="173" fillId="0" borderId="0" xfId="2" applyNumberFormat="1" applyFont="1"/>
    <xf numFmtId="165" fontId="178" fillId="0" borderId="4" xfId="2" applyNumberFormat="1" applyFont="1" applyBorder="1"/>
    <xf numFmtId="164" fontId="178" fillId="0" borderId="5" xfId="2" applyNumberFormat="1" applyFont="1" applyBorder="1"/>
    <xf numFmtId="164" fontId="178" fillId="28" borderId="4" xfId="2" applyNumberFormat="1" applyFont="1" applyFill="1" applyBorder="1"/>
    <xf numFmtId="165" fontId="173" fillId="0" borderId="4" xfId="2" applyNumberFormat="1" applyFont="1" applyBorder="1"/>
    <xf numFmtId="164" fontId="173" fillId="0" borderId="4" xfId="2" applyNumberFormat="1" applyFont="1" applyBorder="1"/>
    <xf numFmtId="164" fontId="173" fillId="0" borderId="5" xfId="2" applyNumberFormat="1" applyFont="1" applyBorder="1"/>
    <xf numFmtId="164" fontId="211" fillId="0" borderId="4" xfId="2" applyNumberFormat="1" applyFont="1" applyBorder="1"/>
    <xf numFmtId="164" fontId="173" fillId="28" borderId="4" xfId="2" applyNumberFormat="1" applyFont="1" applyFill="1" applyBorder="1"/>
    <xf numFmtId="1" fontId="173" fillId="28" borderId="0" xfId="2" applyNumberFormat="1" applyFont="1" applyFill="1"/>
    <xf numFmtId="1" fontId="178" fillId="0" borderId="0" xfId="2" applyNumberFormat="1" applyFont="1"/>
    <xf numFmtId="169" fontId="211" fillId="0" borderId="7" xfId="2" applyNumberFormat="1" applyFont="1" applyBorder="1" applyAlignment="1">
      <alignment horizontal="right" vertical="top" wrapText="1"/>
    </xf>
    <xf numFmtId="1" fontId="173" fillId="0" borderId="10" xfId="2" applyNumberFormat="1" applyFont="1" applyBorder="1"/>
    <xf numFmtId="1" fontId="211" fillId="0" borderId="0" xfId="2" applyNumberFormat="1" applyFont="1"/>
    <xf numFmtId="0" fontId="178" fillId="0" borderId="10" xfId="2" applyFont="1" applyBorder="1"/>
    <xf numFmtId="1" fontId="178" fillId="0" borderId="10" xfId="2" applyNumberFormat="1" applyFont="1" applyBorder="1"/>
    <xf numFmtId="1" fontId="209" fillId="0" borderId="0" xfId="2" applyNumberFormat="1" applyFont="1"/>
    <xf numFmtId="1" fontId="178" fillId="28" borderId="0" xfId="2" applyNumberFormat="1" applyFont="1" applyFill="1"/>
    <xf numFmtId="1" fontId="211" fillId="0" borderId="4" xfId="2" applyNumberFormat="1" applyFont="1" applyBorder="1"/>
    <xf numFmtId="170" fontId="173" fillId="0" borderId="0" xfId="2" applyNumberFormat="1" applyFont="1"/>
    <xf numFmtId="170" fontId="211" fillId="0" borderId="0" xfId="2" applyNumberFormat="1" applyFont="1"/>
    <xf numFmtId="170" fontId="173" fillId="28" borderId="0" xfId="2" applyNumberFormat="1" applyFont="1" applyFill="1"/>
    <xf numFmtId="0" fontId="173" fillId="0" borderId="0" xfId="2" quotePrefix="1" applyFont="1"/>
    <xf numFmtId="170" fontId="173" fillId="3" borderId="0" xfId="2" applyNumberFormat="1" applyFont="1" applyFill="1"/>
    <xf numFmtId="170" fontId="213" fillId="0" borderId="0" xfId="2" applyNumberFormat="1" applyFont="1"/>
    <xf numFmtId="165" fontId="173" fillId="0" borderId="0" xfId="2" applyNumberFormat="1" applyFont="1" applyAlignment="1">
      <alignment vertical="top"/>
    </xf>
    <xf numFmtId="3" fontId="173" fillId="0" borderId="0" xfId="2" applyNumberFormat="1" applyFont="1"/>
    <xf numFmtId="4" fontId="211" fillId="0" borderId="0" xfId="2" applyNumberFormat="1" applyFont="1"/>
    <xf numFmtId="165" fontId="178" fillId="0" borderId="0" xfId="2" applyNumberFormat="1" applyFont="1" applyAlignment="1">
      <alignment vertical="top"/>
    </xf>
    <xf numFmtId="165" fontId="178" fillId="0" borderId="7" xfId="2" applyNumberFormat="1" applyFont="1" applyBorder="1" applyAlignment="1">
      <alignment vertical="top"/>
    </xf>
    <xf numFmtId="0" fontId="173" fillId="0" borderId="7" xfId="2" applyFont="1" applyBorder="1"/>
    <xf numFmtId="9" fontId="173" fillId="0" borderId="7" xfId="2" applyNumberFormat="1" applyFont="1" applyBorder="1"/>
    <xf numFmtId="9" fontId="178" fillId="0" borderId="7" xfId="2" applyNumberFormat="1" applyFont="1" applyBorder="1" applyAlignment="1">
      <alignment horizontal="right"/>
    </xf>
    <xf numFmtId="9" fontId="209" fillId="0" borderId="7" xfId="2" applyNumberFormat="1" applyFont="1" applyBorder="1" applyAlignment="1">
      <alignment horizontal="right"/>
    </xf>
    <xf numFmtId="9" fontId="178" fillId="28" borderId="0" xfId="2" applyNumberFormat="1" applyFont="1" applyFill="1" applyAlignment="1">
      <alignment horizontal="right"/>
    </xf>
    <xf numFmtId="3" fontId="213" fillId="0" borderId="0" xfId="2" applyNumberFormat="1" applyFont="1"/>
    <xf numFmtId="3" fontId="211" fillId="0" borderId="0" xfId="2" applyNumberFormat="1" applyFont="1"/>
    <xf numFmtId="3" fontId="173" fillId="28" borderId="0" xfId="2" applyNumberFormat="1" applyFont="1" applyFill="1"/>
    <xf numFmtId="165" fontId="173" fillId="0" borderId="10" xfId="2" applyNumberFormat="1" applyFont="1" applyBorder="1" applyAlignment="1">
      <alignment vertical="top"/>
    </xf>
    <xf numFmtId="9" fontId="173" fillId="0" borderId="10" xfId="2" applyNumberFormat="1" applyFont="1" applyBorder="1"/>
    <xf numFmtId="3" fontId="173" fillId="0" borderId="10" xfId="2" applyNumberFormat="1" applyFont="1" applyBorder="1"/>
    <xf numFmtId="3" fontId="211" fillId="0" borderId="4" xfId="2" applyNumberFormat="1" applyFont="1" applyBorder="1"/>
    <xf numFmtId="164" fontId="177" fillId="28" borderId="0" xfId="2" applyNumberFormat="1" applyFont="1" applyFill="1"/>
    <xf numFmtId="164" fontId="211" fillId="0" borderId="7" xfId="2" applyNumberFormat="1" applyFont="1" applyBorder="1"/>
    <xf numFmtId="164" fontId="173" fillId="0" borderId="10" xfId="2" applyNumberFormat="1" applyFont="1" applyBorder="1"/>
    <xf numFmtId="171" fontId="173" fillId="0" borderId="0" xfId="2" applyNumberFormat="1" applyFont="1"/>
    <xf numFmtId="3" fontId="211" fillId="0" borderId="7" xfId="2" applyNumberFormat="1" applyFont="1" applyBorder="1"/>
    <xf numFmtId="0" fontId="175" fillId="0" borderId="0" xfId="2" applyFont="1"/>
    <xf numFmtId="1" fontId="177" fillId="0" borderId="0" xfId="2" applyNumberFormat="1" applyFont="1"/>
    <xf numFmtId="1" fontId="213" fillId="0" borderId="0" xfId="2" applyNumberFormat="1" applyFont="1"/>
    <xf numFmtId="0" fontId="173" fillId="0" borderId="7" xfId="2" applyFont="1" applyBorder="1" applyAlignment="1">
      <alignment horizontal="right"/>
    </xf>
    <xf numFmtId="1" fontId="211" fillId="0" borderId="7" xfId="2" applyNumberFormat="1" applyFont="1" applyBorder="1"/>
    <xf numFmtId="2" fontId="173" fillId="0" borderId="0" xfId="2" applyNumberFormat="1" applyFont="1"/>
    <xf numFmtId="2" fontId="211" fillId="0" borderId="0" xfId="2" applyNumberFormat="1" applyFont="1"/>
    <xf numFmtId="0" fontId="173" fillId="3" borderId="0" xfId="2" applyFont="1" applyFill="1"/>
    <xf numFmtId="165" fontId="173" fillId="0" borderId="0" xfId="2" quotePrefix="1" applyNumberFormat="1" applyFont="1" applyAlignment="1">
      <alignment vertical="top"/>
    </xf>
    <xf numFmtId="2" fontId="178" fillId="0" borderId="0" xfId="2" applyNumberFormat="1" applyFont="1"/>
    <xf numFmtId="2" fontId="178" fillId="28" borderId="0" xfId="2" applyNumberFormat="1" applyFont="1" applyFill="1"/>
    <xf numFmtId="2" fontId="173" fillId="28" borderId="0" xfId="2" applyNumberFormat="1" applyFont="1" applyFill="1"/>
    <xf numFmtId="0" fontId="173" fillId="28" borderId="0" xfId="2" applyFont="1" applyFill="1" applyAlignment="1">
      <alignment horizontal="right"/>
    </xf>
    <xf numFmtId="165" fontId="178" fillId="0" borderId="7" xfId="2" applyNumberFormat="1" applyFont="1" applyBorder="1" applyAlignment="1">
      <alignment horizontal="right"/>
    </xf>
    <xf numFmtId="165" fontId="178" fillId="0" borderId="0" xfId="2" applyNumberFormat="1" applyFont="1" applyAlignment="1">
      <alignment horizontal="right"/>
    </xf>
    <xf numFmtId="165" fontId="209" fillId="0" borderId="7" xfId="2" applyNumberFormat="1" applyFont="1" applyBorder="1" applyAlignment="1">
      <alignment horizontal="right"/>
    </xf>
    <xf numFmtId="165" fontId="178" fillId="28" borderId="0" xfId="2" applyNumberFormat="1" applyFont="1" applyFill="1" applyAlignment="1">
      <alignment horizontal="right"/>
    </xf>
    <xf numFmtId="165" fontId="216" fillId="0" borderId="2" xfId="2" applyNumberFormat="1" applyFont="1" applyBorder="1" applyAlignment="1">
      <alignment vertical="top"/>
    </xf>
    <xf numFmtId="170" fontId="213" fillId="28" borderId="0" xfId="2" applyNumberFormat="1" applyFont="1" applyFill="1"/>
    <xf numFmtId="165" fontId="173" fillId="0" borderId="0" xfId="2" quotePrefix="1" applyNumberFormat="1" applyFont="1"/>
    <xf numFmtId="170" fontId="177" fillId="28" borderId="0" xfId="2" applyNumberFormat="1" applyFont="1" applyFill="1"/>
    <xf numFmtId="165" fontId="206" fillId="0" borderId="8" xfId="2" applyNumberFormat="1" applyFont="1" applyBorder="1" applyAlignment="1">
      <alignment vertical="top"/>
    </xf>
    <xf numFmtId="165" fontId="206" fillId="0" borderId="11" xfId="2" applyNumberFormat="1" applyFont="1" applyBorder="1" applyAlignment="1">
      <alignment vertical="top"/>
    </xf>
    <xf numFmtId="2" fontId="213" fillId="0" borderId="0" xfId="0" applyNumberFormat="1" applyFont="1"/>
    <xf numFmtId="170" fontId="217" fillId="28" borderId="0" xfId="2" applyNumberFormat="1" applyFont="1" applyFill="1"/>
    <xf numFmtId="170" fontId="173" fillId="0" borderId="10" xfId="2" applyNumberFormat="1" applyFont="1" applyBorder="1"/>
    <xf numFmtId="165" fontId="207" fillId="0" borderId="8" xfId="2" applyNumberFormat="1" applyFont="1" applyBorder="1" applyAlignment="1">
      <alignment vertical="top"/>
    </xf>
    <xf numFmtId="164" fontId="173" fillId="0" borderId="7" xfId="2" applyNumberFormat="1" applyFont="1" applyBorder="1"/>
    <xf numFmtId="3" fontId="173" fillId="0" borderId="7" xfId="2" applyNumberFormat="1" applyFont="1" applyBorder="1"/>
    <xf numFmtId="0" fontId="218" fillId="0" borderId="0" xfId="2" applyFont="1"/>
    <xf numFmtId="165" fontId="173" fillId="0" borderId="7" xfId="2" applyNumberFormat="1" applyFont="1" applyBorder="1"/>
    <xf numFmtId="169" fontId="213" fillId="0" borderId="3" xfId="2" applyNumberFormat="1" applyFont="1" applyBorder="1" applyAlignment="1">
      <alignment horizontal="right" vertical="top" wrapText="1"/>
    </xf>
    <xf numFmtId="164" fontId="212" fillId="0" borderId="3" xfId="6" applyNumberFormat="1" applyFont="1" applyFill="1" applyBorder="1" applyAlignment="1">
      <alignment horizontal="right" vertical="top" wrapText="1"/>
    </xf>
    <xf numFmtId="169" fontId="212" fillId="0" borderId="9" xfId="2" applyNumberFormat="1" applyFont="1" applyBorder="1" applyAlignment="1">
      <alignment horizontal="right" vertical="top" wrapText="1"/>
    </xf>
    <xf numFmtId="169" fontId="212" fillId="0" borderId="11" xfId="2" applyNumberFormat="1" applyFont="1" applyBorder="1" applyAlignment="1">
      <alignment horizontal="right" vertical="top" wrapText="1"/>
    </xf>
    <xf numFmtId="164" fontId="173" fillId="0" borderId="6" xfId="2" applyNumberFormat="1" applyFont="1" applyBorder="1"/>
    <xf numFmtId="1" fontId="173" fillId="0" borderId="3" xfId="2" applyNumberFormat="1" applyFont="1" applyBorder="1"/>
    <xf numFmtId="1" fontId="173" fillId="0" borderId="2" xfId="2" applyNumberFormat="1" applyFont="1" applyBorder="1"/>
    <xf numFmtId="1" fontId="173" fillId="0" borderId="9" xfId="2" applyNumberFormat="1" applyFont="1" applyBorder="1"/>
    <xf numFmtId="1" fontId="173" fillId="0" borderId="11" xfId="2" applyNumberFormat="1" applyFont="1" applyBorder="1"/>
    <xf numFmtId="1" fontId="178" fillId="0" borderId="9" xfId="2" applyNumberFormat="1" applyFont="1" applyBorder="1"/>
    <xf numFmtId="1" fontId="178" fillId="0" borderId="11" xfId="2" applyNumberFormat="1" applyFont="1" applyBorder="1"/>
    <xf numFmtId="170" fontId="173" fillId="0" borderId="3" xfId="2" applyNumberFormat="1" applyFont="1" applyBorder="1"/>
    <xf numFmtId="170" fontId="173" fillId="0" borderId="2" xfId="2" applyNumberFormat="1" applyFont="1" applyBorder="1"/>
    <xf numFmtId="9" fontId="178" fillId="0" borderId="12" xfId="2" applyNumberFormat="1" applyFont="1" applyBorder="1" applyAlignment="1">
      <alignment horizontal="right"/>
    </xf>
    <xf numFmtId="9" fontId="173" fillId="0" borderId="8" xfId="2" applyNumberFormat="1" applyFont="1" applyBorder="1"/>
    <xf numFmtId="3" fontId="173" fillId="0" borderId="3" xfId="2" applyNumberFormat="1" applyFont="1" applyBorder="1"/>
    <xf numFmtId="3" fontId="173" fillId="0" borderId="9" xfId="2" applyNumberFormat="1" applyFont="1" applyBorder="1"/>
    <xf numFmtId="9" fontId="173" fillId="0" borderId="11" xfId="2" applyNumberFormat="1" applyFont="1" applyBorder="1"/>
    <xf numFmtId="164" fontId="173" fillId="0" borderId="9" xfId="2" applyNumberFormat="1" applyFont="1" applyBorder="1"/>
    <xf numFmtId="164" fontId="173" fillId="0" borderId="11" xfId="2" applyNumberFormat="1" applyFont="1" applyBorder="1"/>
    <xf numFmtId="3" fontId="173" fillId="0" borderId="2" xfId="2" applyNumberFormat="1" applyFont="1" applyBorder="1"/>
    <xf numFmtId="1" fontId="213" fillId="0" borderId="3" xfId="2" applyNumberFormat="1" applyFont="1" applyBorder="1"/>
    <xf numFmtId="2" fontId="178" fillId="0" borderId="3" xfId="2" applyNumberFormat="1" applyFont="1" applyBorder="1"/>
    <xf numFmtId="2" fontId="178" fillId="3" borderId="0" xfId="2" applyNumberFormat="1" applyFont="1" applyFill="1"/>
    <xf numFmtId="9" fontId="178" fillId="0" borderId="2" xfId="2" applyNumberFormat="1" applyFont="1" applyBorder="1"/>
    <xf numFmtId="2" fontId="173" fillId="0" borderId="3" xfId="2" applyNumberFormat="1" applyFont="1" applyBorder="1"/>
    <xf numFmtId="2" fontId="173" fillId="3" borderId="0" xfId="2" applyNumberFormat="1" applyFont="1" applyFill="1"/>
    <xf numFmtId="165" fontId="178" fillId="0" borderId="12" xfId="2" applyNumberFormat="1" applyFont="1" applyBorder="1" applyAlignment="1">
      <alignment horizontal="right"/>
    </xf>
    <xf numFmtId="170" fontId="213" fillId="0" borderId="3" xfId="2" applyNumberFormat="1" applyFont="1" applyBorder="1"/>
    <xf numFmtId="3" fontId="213" fillId="0" borderId="3" xfId="2" applyNumberFormat="1" applyFont="1" applyBorder="1"/>
    <xf numFmtId="3" fontId="173" fillId="0" borderId="11" xfId="2" applyNumberFormat="1" applyFont="1" applyBorder="1"/>
    <xf numFmtId="170" fontId="173" fillId="3" borderId="3" xfId="2" applyNumberFormat="1" applyFont="1" applyFill="1" applyBorder="1"/>
    <xf numFmtId="165" fontId="178" fillId="0" borderId="8" xfId="2" applyNumberFormat="1" applyFont="1" applyBorder="1" applyAlignment="1">
      <alignment horizontal="right"/>
    </xf>
    <xf numFmtId="0" fontId="173" fillId="0" borderId="12" xfId="2" applyFont="1" applyBorder="1"/>
    <xf numFmtId="164" fontId="178" fillId="0" borderId="3" xfId="2" applyNumberFormat="1" applyFont="1" applyBorder="1"/>
    <xf numFmtId="164" fontId="173" fillId="3" borderId="3" xfId="2" applyNumberFormat="1" applyFont="1" applyFill="1" applyBorder="1"/>
    <xf numFmtId="169" fontId="214" fillId="0" borderId="9" xfId="2" applyNumberFormat="1" applyFont="1" applyBorder="1" applyAlignment="1">
      <alignment horizontal="right" vertical="top" wrapText="1"/>
    </xf>
    <xf numFmtId="164" fontId="212" fillId="0" borderId="3" xfId="6" applyNumberFormat="1" applyFont="1" applyBorder="1" applyAlignment="1">
      <alignment horizontal="right" vertical="top" wrapText="1"/>
    </xf>
    <xf numFmtId="164" fontId="212" fillId="0" borderId="0" xfId="6" applyNumberFormat="1" applyFont="1" applyBorder="1" applyAlignment="1">
      <alignment horizontal="right" vertical="top" wrapText="1"/>
    </xf>
    <xf numFmtId="164" fontId="212" fillId="0" borderId="2" xfId="6" applyNumberFormat="1" applyFont="1" applyBorder="1" applyAlignment="1">
      <alignment horizontal="right" vertical="top" wrapText="1"/>
    </xf>
    <xf numFmtId="170" fontId="177" fillId="0" borderId="0" xfId="2" applyNumberFormat="1" applyFont="1"/>
    <xf numFmtId="169" fontId="219" fillId="0" borderId="0" xfId="2" applyNumberFormat="1" applyFont="1" applyAlignment="1">
      <alignment horizontal="right" vertical="top" wrapText="1"/>
    </xf>
    <xf numFmtId="170" fontId="219" fillId="0" borderId="0" xfId="2" applyNumberFormat="1" applyFont="1"/>
    <xf numFmtId="3" fontId="219" fillId="0" borderId="0" xfId="2" applyNumberFormat="1" applyFont="1"/>
    <xf numFmtId="169" fontId="173" fillId="0" borderId="2" xfId="2" applyNumberFormat="1" applyFont="1" applyBorder="1" applyAlignment="1">
      <alignment horizontal="right" vertical="top" wrapText="1"/>
    </xf>
    <xf numFmtId="3" fontId="166" fillId="3" borderId="0" xfId="0" applyNumberFormat="1" applyFont="1" applyFill="1"/>
    <xf numFmtId="164" fontId="166" fillId="3" borderId="0" xfId="0" applyNumberFormat="1" applyFont="1" applyFill="1"/>
    <xf numFmtId="1" fontId="166" fillId="3" borderId="0" xfId="0" applyNumberFormat="1" applyFont="1" applyFill="1"/>
    <xf numFmtId="9" fontId="166" fillId="3" borderId="0" xfId="0" applyNumberFormat="1" applyFont="1" applyFill="1"/>
    <xf numFmtId="170" fontId="166" fillId="0" borderId="0" xfId="0" applyNumberFormat="1" applyFont="1"/>
    <xf numFmtId="169" fontId="181" fillId="0" borderId="0" xfId="2" applyNumberFormat="1" applyFont="1" applyAlignment="1">
      <alignment horizontal="right" vertical="top" wrapText="1"/>
    </xf>
    <xf numFmtId="165" fontId="207" fillId="0" borderId="11" xfId="2" applyNumberFormat="1" applyFont="1" applyBorder="1" applyAlignment="1">
      <alignment vertical="top"/>
    </xf>
    <xf numFmtId="165" fontId="214" fillId="0" borderId="10" xfId="2" applyNumberFormat="1" applyFont="1" applyBorder="1" applyAlignment="1">
      <alignment horizontal="right" vertical="top" wrapText="1"/>
    </xf>
    <xf numFmtId="9" fontId="178" fillId="0" borderId="9" xfId="2" applyNumberFormat="1" applyFont="1" applyBorder="1"/>
    <xf numFmtId="9" fontId="178" fillId="0" borderId="10" xfId="2" applyNumberFormat="1" applyFont="1" applyBorder="1"/>
    <xf numFmtId="9" fontId="178" fillId="0" borderId="11" xfId="2" applyNumberFormat="1" applyFont="1" applyBorder="1"/>
    <xf numFmtId="9" fontId="178" fillId="3" borderId="10" xfId="2" applyNumberFormat="1" applyFont="1" applyFill="1" applyBorder="1"/>
    <xf numFmtId="9" fontId="178" fillId="3" borderId="9" xfId="2" applyNumberFormat="1" applyFont="1" applyFill="1" applyBorder="1"/>
    <xf numFmtId="164" fontId="178" fillId="3" borderId="10" xfId="2" applyNumberFormat="1" applyFont="1" applyFill="1" applyBorder="1"/>
    <xf numFmtId="164" fontId="178" fillId="3" borderId="9" xfId="2" applyNumberFormat="1" applyFont="1" applyFill="1" applyBorder="1"/>
    <xf numFmtId="164" fontId="178" fillId="0" borderId="10" xfId="2" applyNumberFormat="1" applyFont="1" applyBorder="1"/>
    <xf numFmtId="164" fontId="178" fillId="0" borderId="9" xfId="2" applyNumberFormat="1" applyFont="1" applyBorder="1"/>
    <xf numFmtId="0" fontId="178" fillId="0" borderId="0" xfId="2" applyFont="1" applyAlignment="1">
      <alignment horizontal="right"/>
    </xf>
    <xf numFmtId="169" fontId="209" fillId="0" borderId="10" xfId="2" applyNumberFormat="1" applyFont="1" applyBorder="1" applyAlignment="1">
      <alignment horizontal="right" vertical="top" wrapText="1"/>
    </xf>
    <xf numFmtId="164" fontId="209" fillId="0" borderId="10" xfId="2" applyNumberFormat="1" applyFont="1" applyBorder="1"/>
    <xf numFmtId="169" fontId="214" fillId="28" borderId="10" xfId="2" applyNumberFormat="1" applyFont="1" applyFill="1" applyBorder="1" applyAlignment="1">
      <alignment horizontal="right" vertical="top" wrapText="1"/>
    </xf>
    <xf numFmtId="169" fontId="209" fillId="0" borderId="7" xfId="2" applyNumberFormat="1" applyFont="1" applyBorder="1" applyAlignment="1">
      <alignment horizontal="right" vertical="top" wrapText="1"/>
    </xf>
    <xf numFmtId="169" fontId="214" fillId="28" borderId="7" xfId="2" applyNumberFormat="1" applyFont="1" applyFill="1" applyBorder="1" applyAlignment="1">
      <alignment horizontal="right" vertical="top" wrapText="1"/>
    </xf>
    <xf numFmtId="164" fontId="209" fillId="0" borderId="0" xfId="2" applyNumberFormat="1" applyFont="1"/>
    <xf numFmtId="169" fontId="177" fillId="0" borderId="0" xfId="2" applyNumberFormat="1" applyFont="1" applyAlignment="1">
      <alignment horizontal="right" vertical="top" wrapText="1"/>
    </xf>
    <xf numFmtId="169" fontId="215" fillId="3" borderId="0" xfId="2" applyNumberFormat="1" applyFont="1" applyFill="1" applyAlignment="1">
      <alignment horizontal="right" vertical="top" wrapText="1"/>
    </xf>
    <xf numFmtId="169" fontId="177" fillId="3" borderId="0" xfId="2" applyNumberFormat="1" applyFont="1" applyFill="1" applyAlignment="1">
      <alignment horizontal="right" vertical="top" wrapText="1"/>
    </xf>
    <xf numFmtId="169" fontId="215" fillId="41" borderId="0" xfId="2" applyNumberFormat="1" applyFont="1" applyFill="1" applyAlignment="1">
      <alignment horizontal="right" vertical="top" wrapText="1"/>
    </xf>
    <xf numFmtId="169" fontId="173" fillId="28" borderId="0" xfId="2" applyNumberFormat="1" applyFont="1" applyFill="1" applyAlignment="1">
      <alignment horizontal="right" vertical="top" wrapText="1"/>
    </xf>
    <xf numFmtId="0" fontId="178" fillId="0" borderId="11" xfId="2" applyFont="1" applyBorder="1"/>
    <xf numFmtId="169" fontId="214" fillId="3" borderId="10" xfId="2" applyNumberFormat="1" applyFont="1" applyFill="1" applyBorder="1" applyAlignment="1">
      <alignment horizontal="right" vertical="top" wrapText="1"/>
    </xf>
    <xf numFmtId="165" fontId="206" fillId="0" borderId="10" xfId="2" applyNumberFormat="1" applyFont="1" applyBorder="1" applyAlignment="1">
      <alignment vertical="top"/>
    </xf>
    <xf numFmtId="169" fontId="212" fillId="3" borderId="10" xfId="2" applyNumberFormat="1" applyFont="1" applyFill="1" applyBorder="1" applyAlignment="1">
      <alignment horizontal="right" vertical="top" wrapText="1"/>
    </xf>
    <xf numFmtId="0" fontId="181" fillId="0" borderId="0" xfId="0" applyFont="1"/>
    <xf numFmtId="165" fontId="178" fillId="0" borderId="10" xfId="7" applyNumberFormat="1" applyFont="1" applyBorder="1"/>
    <xf numFmtId="43" fontId="178" fillId="0" borderId="10" xfId="5" applyFont="1" applyBorder="1"/>
    <xf numFmtId="0" fontId="173" fillId="0" borderId="10" xfId="7" applyFont="1" applyBorder="1"/>
    <xf numFmtId="3" fontId="173" fillId="0" borderId="0" xfId="2" applyNumberFormat="1" applyFont="1" applyAlignment="1">
      <alignment horizontal="right" vertical="top" wrapText="1"/>
    </xf>
    <xf numFmtId="3" fontId="178" fillId="0" borderId="9" xfId="2" applyNumberFormat="1" applyFont="1" applyBorder="1"/>
    <xf numFmtId="3" fontId="178" fillId="0" borderId="10" xfId="2" applyNumberFormat="1" applyFont="1" applyBorder="1"/>
    <xf numFmtId="3" fontId="178" fillId="0" borderId="11" xfId="2" applyNumberFormat="1" applyFont="1" applyBorder="1"/>
    <xf numFmtId="165" fontId="173" fillId="0" borderId="0" xfId="2" applyNumberFormat="1" applyFont="1" applyAlignment="1">
      <alignment horizontal="right" vertical="top" wrapText="1"/>
    </xf>
    <xf numFmtId="1" fontId="178" fillId="0" borderId="3" xfId="2" applyNumberFormat="1" applyFont="1" applyBorder="1"/>
    <xf numFmtId="3" fontId="177" fillId="0" borderId="3" xfId="2" applyNumberFormat="1" applyFont="1" applyBorder="1"/>
    <xf numFmtId="3" fontId="177" fillId="0" borderId="0" xfId="2" applyNumberFormat="1" applyFont="1"/>
    <xf numFmtId="3" fontId="178" fillId="0" borderId="3" xfId="2" applyNumberFormat="1" applyFont="1" applyBorder="1"/>
    <xf numFmtId="3" fontId="178" fillId="0" borderId="0" xfId="2" applyNumberFormat="1" applyFont="1"/>
    <xf numFmtId="3" fontId="178" fillId="0" borderId="2" xfId="2" applyNumberFormat="1" applyFont="1" applyBorder="1"/>
    <xf numFmtId="3" fontId="212" fillId="0" borderId="2" xfId="2" applyNumberFormat="1" applyFont="1" applyBorder="1" applyAlignment="1">
      <alignment horizontal="right" vertical="top" wrapText="1"/>
    </xf>
    <xf numFmtId="165" fontId="178" fillId="0" borderId="10" xfId="2" applyNumberFormat="1" applyFont="1" applyBorder="1" applyAlignment="1">
      <alignment vertical="top"/>
    </xf>
    <xf numFmtId="2" fontId="2" fillId="27" borderId="63" xfId="0" applyNumberFormat="1" applyFont="1" applyFill="1" applyBorder="1"/>
    <xf numFmtId="0" fontId="160" fillId="36" borderId="0" xfId="0" applyFont="1" applyFill="1"/>
    <xf numFmtId="9" fontId="160" fillId="36" borderId="0" xfId="0" applyNumberFormat="1" applyFont="1" applyFill="1" applyAlignment="1">
      <alignment horizontal="right"/>
    </xf>
    <xf numFmtId="167" fontId="160" fillId="36" borderId="0" xfId="0" applyNumberFormat="1" applyFont="1" applyFill="1" applyAlignment="1">
      <alignment horizontal="right"/>
    </xf>
    <xf numFmtId="266" fontId="160" fillId="36" borderId="0" xfId="0" applyNumberFormat="1" applyFont="1" applyFill="1" applyAlignment="1">
      <alignment horizontal="right"/>
    </xf>
    <xf numFmtId="0" fontId="176" fillId="36" borderId="0" xfId="0" applyFont="1" applyFill="1"/>
    <xf numFmtId="0" fontId="160" fillId="36" borderId="0" xfId="0" applyFont="1" applyFill="1" applyAlignment="1">
      <alignment horizontal="right"/>
    </xf>
    <xf numFmtId="166" fontId="160" fillId="36" borderId="0" xfId="0" applyNumberFormat="1" applyFont="1" applyFill="1" applyAlignment="1">
      <alignment horizontal="right"/>
    </xf>
    <xf numFmtId="0" fontId="160" fillId="0" borderId="10" xfId="0" applyFont="1" applyBorder="1"/>
    <xf numFmtId="3" fontId="160" fillId="0" borderId="10" xfId="0" applyNumberFormat="1" applyFont="1" applyBorder="1"/>
    <xf numFmtId="0" fontId="171" fillId="27" borderId="0" xfId="0" applyFont="1" applyFill="1"/>
    <xf numFmtId="3" fontId="160" fillId="27" borderId="7" xfId="0" applyNumberFormat="1" applyFont="1" applyFill="1" applyBorder="1"/>
    <xf numFmtId="257" fontId="160" fillId="27" borderId="7" xfId="0" applyNumberFormat="1" applyFont="1" applyFill="1" applyBorder="1"/>
    <xf numFmtId="3" fontId="217" fillId="0" borderId="0" xfId="0" applyNumberFormat="1" applyFont="1"/>
    <xf numFmtId="170" fontId="173" fillId="0" borderId="7" xfId="0" applyNumberFormat="1" applyFont="1" applyBorder="1"/>
    <xf numFmtId="170" fontId="160" fillId="0" borderId="10" xfId="0" applyNumberFormat="1" applyFont="1" applyBorder="1"/>
    <xf numFmtId="0" fontId="173" fillId="27" borderId="0" xfId="2" applyFont="1" applyFill="1"/>
    <xf numFmtId="0" fontId="178" fillId="27" borderId="0" xfId="2" applyFont="1" applyFill="1"/>
    <xf numFmtId="165" fontId="178" fillId="27" borderId="0" xfId="2" applyNumberFormat="1" applyFont="1" applyFill="1" applyAlignment="1">
      <alignment horizontal="center" vertical="top" wrapText="1"/>
    </xf>
    <xf numFmtId="169" fontId="212" fillId="27" borderId="0" xfId="2" applyNumberFormat="1" applyFont="1" applyFill="1" applyAlignment="1">
      <alignment horizontal="right" vertical="top" wrapText="1"/>
    </xf>
    <xf numFmtId="169" fontId="219" fillId="27" borderId="0" xfId="2" applyNumberFormat="1" applyFont="1" applyFill="1" applyAlignment="1">
      <alignment horizontal="right" vertical="top" wrapText="1"/>
    </xf>
    <xf numFmtId="169" fontId="214" fillId="27" borderId="10" xfId="2" applyNumberFormat="1" applyFont="1" applyFill="1" applyBorder="1" applyAlignment="1">
      <alignment horizontal="right" vertical="top" wrapText="1"/>
    </xf>
    <xf numFmtId="169" fontId="214" fillId="27" borderId="0" xfId="2" applyNumberFormat="1" applyFont="1" applyFill="1" applyAlignment="1">
      <alignment horizontal="right" vertical="top" wrapText="1"/>
    </xf>
    <xf numFmtId="9" fontId="173" fillId="27" borderId="0" xfId="2" applyNumberFormat="1" applyFont="1" applyFill="1"/>
    <xf numFmtId="169" fontId="212" fillId="27" borderId="10" xfId="2" applyNumberFormat="1" applyFont="1" applyFill="1" applyBorder="1" applyAlignment="1">
      <alignment horizontal="right" vertical="top" wrapText="1"/>
    </xf>
    <xf numFmtId="164" fontId="212" fillId="27" borderId="0" xfId="6" applyNumberFormat="1" applyFont="1" applyFill="1" applyBorder="1" applyAlignment="1">
      <alignment horizontal="right" vertical="top" wrapText="1"/>
    </xf>
    <xf numFmtId="164" fontId="173" fillId="27" borderId="0" xfId="2" applyNumberFormat="1" applyFont="1" applyFill="1"/>
    <xf numFmtId="164" fontId="178" fillId="27" borderId="4" xfId="2" applyNumberFormat="1" applyFont="1" applyFill="1" applyBorder="1"/>
    <xf numFmtId="164" fontId="173" fillId="27" borderId="4" xfId="2" applyNumberFormat="1" applyFont="1" applyFill="1" applyBorder="1"/>
    <xf numFmtId="3" fontId="219" fillId="27" borderId="0" xfId="2" applyNumberFormat="1" applyFont="1" applyFill="1"/>
    <xf numFmtId="3" fontId="173" fillId="27" borderId="10" xfId="2" applyNumberFormat="1" applyFont="1" applyFill="1" applyBorder="1"/>
    <xf numFmtId="3" fontId="178" fillId="27" borderId="10" xfId="2" applyNumberFormat="1" applyFont="1" applyFill="1" applyBorder="1"/>
    <xf numFmtId="1" fontId="173" fillId="27" borderId="0" xfId="2" applyNumberFormat="1" applyFont="1" applyFill="1"/>
    <xf numFmtId="3" fontId="173" fillId="27" borderId="0" xfId="2" applyNumberFormat="1" applyFont="1" applyFill="1"/>
    <xf numFmtId="170" fontId="219" fillId="27" borderId="0" xfId="2" applyNumberFormat="1" applyFont="1" applyFill="1"/>
    <xf numFmtId="9" fontId="178" fillId="27" borderId="7" xfId="2" applyNumberFormat="1" applyFont="1" applyFill="1" applyBorder="1" applyAlignment="1">
      <alignment horizontal="right"/>
    </xf>
    <xf numFmtId="164" fontId="173" fillId="27" borderId="10" xfId="2" applyNumberFormat="1" applyFont="1" applyFill="1" applyBorder="1"/>
    <xf numFmtId="3" fontId="178" fillId="27" borderId="0" xfId="2" applyNumberFormat="1" applyFont="1" applyFill="1"/>
    <xf numFmtId="2" fontId="178" fillId="27" borderId="0" xfId="2" applyNumberFormat="1" applyFont="1" applyFill="1"/>
    <xf numFmtId="2" fontId="173" fillId="27" borderId="0" xfId="2" applyNumberFormat="1" applyFont="1" applyFill="1"/>
    <xf numFmtId="165" fontId="178" fillId="27" borderId="7" xfId="2" applyNumberFormat="1" applyFont="1" applyFill="1" applyBorder="1" applyAlignment="1">
      <alignment horizontal="right"/>
    </xf>
    <xf numFmtId="170" fontId="213" fillId="27" borderId="0" xfId="2" applyNumberFormat="1" applyFont="1" applyFill="1"/>
    <xf numFmtId="170" fontId="173" fillId="27" borderId="0" xfId="2" applyNumberFormat="1" applyFont="1" applyFill="1"/>
    <xf numFmtId="1" fontId="173" fillId="27" borderId="10" xfId="2" applyNumberFormat="1" applyFont="1" applyFill="1" applyBorder="1"/>
    <xf numFmtId="0" fontId="173" fillId="27" borderId="7" xfId="2" applyFont="1" applyFill="1" applyBorder="1"/>
    <xf numFmtId="164" fontId="178" fillId="27" borderId="10" xfId="2" applyNumberFormat="1" applyFont="1" applyFill="1" applyBorder="1"/>
    <xf numFmtId="9" fontId="178" fillId="27" borderId="10" xfId="2" applyNumberFormat="1" applyFont="1" applyFill="1" applyBorder="1"/>
    <xf numFmtId="9" fontId="178" fillId="27" borderId="0" xfId="2" applyNumberFormat="1" applyFont="1" applyFill="1"/>
    <xf numFmtId="0" fontId="173" fillId="27" borderId="0" xfId="2" applyFont="1" applyFill="1" applyAlignment="1">
      <alignment horizontal="right"/>
    </xf>
    <xf numFmtId="3" fontId="213" fillId="0" borderId="9" xfId="2" applyNumberFormat="1" applyFont="1" applyBorder="1"/>
    <xf numFmtId="9" fontId="169" fillId="27" borderId="0" xfId="6" applyFont="1" applyFill="1"/>
    <xf numFmtId="9" fontId="169" fillId="36" borderId="0" xfId="6" applyFont="1" applyFill="1"/>
    <xf numFmtId="169" fontId="160" fillId="0" borderId="0" xfId="0" applyNumberFormat="1" applyFont="1"/>
    <xf numFmtId="165" fontId="160" fillId="0" borderId="0" xfId="0" applyNumberFormat="1" applyFont="1"/>
    <xf numFmtId="169" fontId="5" fillId="0" borderId="0" xfId="2" applyNumberFormat="1"/>
    <xf numFmtId="9" fontId="160" fillId="0" borderId="0" xfId="0" applyNumberFormat="1" applyFont="1" applyAlignment="1">
      <alignment horizontal="left"/>
    </xf>
    <xf numFmtId="1" fontId="0" fillId="0" borderId="0" xfId="0" applyNumberFormat="1" applyAlignment="1">
      <alignment horizontal="right"/>
    </xf>
    <xf numFmtId="170" fontId="0" fillId="0" borderId="0" xfId="0" applyNumberFormat="1" applyAlignment="1">
      <alignment horizontal="right"/>
    </xf>
    <xf numFmtId="0" fontId="160" fillId="0" borderId="10" xfId="0" applyFont="1" applyBorder="1" applyAlignment="1">
      <alignment horizontal="right"/>
    </xf>
    <xf numFmtId="166" fontId="160" fillId="0" borderId="10" xfId="0" applyNumberFormat="1" applyFont="1" applyBorder="1" applyAlignment="1">
      <alignment horizontal="right"/>
    </xf>
    <xf numFmtId="9" fontId="160" fillId="0" borderId="10" xfId="0" applyNumberFormat="1" applyFont="1" applyBorder="1" applyAlignment="1">
      <alignment horizontal="right"/>
    </xf>
    <xf numFmtId="166" fontId="160" fillId="0" borderId="7" xfId="0" applyNumberFormat="1" applyFont="1" applyBorder="1" applyAlignment="1">
      <alignment horizontal="right"/>
    </xf>
    <xf numFmtId="0" fontId="178" fillId="0" borderId="4" xfId="2" applyFont="1" applyBorder="1" applyAlignment="1">
      <alignment vertical="center" wrapText="1"/>
    </xf>
    <xf numFmtId="0" fontId="173" fillId="0" borderId="4" xfId="2" applyFont="1" applyBorder="1" applyAlignment="1">
      <alignment vertical="center" wrapText="1"/>
    </xf>
    <xf numFmtId="0" fontId="160" fillId="45" borderId="0" xfId="0" applyFont="1" applyFill="1"/>
    <xf numFmtId="0" fontId="173" fillId="0" borderId="3" xfId="2" applyFont="1" applyBorder="1" applyAlignment="1">
      <alignment horizontal="right"/>
    </xf>
    <xf numFmtId="0" fontId="173" fillId="0" borderId="2" xfId="2" applyFont="1" applyBorder="1" applyAlignment="1">
      <alignment horizontal="right"/>
    </xf>
    <xf numFmtId="2" fontId="173" fillId="0" borderId="2" xfId="2" applyNumberFormat="1" applyFont="1" applyBorder="1"/>
    <xf numFmtId="164" fontId="220" fillId="0" borderId="10" xfId="2" applyNumberFormat="1" applyFont="1" applyBorder="1"/>
    <xf numFmtId="164" fontId="213" fillId="0" borderId="0" xfId="2" applyNumberFormat="1" applyFont="1"/>
    <xf numFmtId="0" fontId="173" fillId="0" borderId="11" xfId="2" applyFont="1" applyBorder="1"/>
    <xf numFmtId="166" fontId="173" fillId="45" borderId="0" xfId="5" applyNumberFormat="1" applyFont="1" applyFill="1" applyBorder="1"/>
    <xf numFmtId="166" fontId="173" fillId="45" borderId="0" xfId="5" quotePrefix="1" applyNumberFormat="1" applyFont="1" applyFill="1" applyBorder="1" applyAlignment="1">
      <alignment horizontal="right"/>
    </xf>
    <xf numFmtId="166" fontId="173" fillId="45" borderId="0" xfId="5" quotePrefix="1" applyNumberFormat="1" applyFont="1" applyFill="1" applyBorder="1" applyAlignment="1">
      <alignment horizontal="left"/>
    </xf>
    <xf numFmtId="166" fontId="177" fillId="0" borderId="0" xfId="0" applyNumberFormat="1" applyFont="1"/>
    <xf numFmtId="3" fontId="181" fillId="0" borderId="0" xfId="2" applyNumberFormat="1" applyFont="1"/>
    <xf numFmtId="1" fontId="178" fillId="0" borderId="2" xfId="2" applyNumberFormat="1" applyFont="1" applyBorder="1"/>
    <xf numFmtId="164" fontId="0" fillId="0" borderId="0" xfId="5" applyNumberFormat="1" applyFont="1"/>
    <xf numFmtId="164" fontId="0" fillId="0" borderId="7" xfId="0" applyNumberFormat="1" applyBorder="1"/>
    <xf numFmtId="0" fontId="2" fillId="27" borderId="7" xfId="0" applyFont="1" applyFill="1" applyBorder="1"/>
    <xf numFmtId="0" fontId="2" fillId="27" borderId="7" xfId="0" applyFont="1" applyFill="1" applyBorder="1" applyAlignment="1">
      <alignment horizontal="right"/>
    </xf>
    <xf numFmtId="0" fontId="0" fillId="27" borderId="7" xfId="0" applyFill="1" applyBorder="1"/>
    <xf numFmtId="3" fontId="0" fillId="27" borderId="7" xfId="0" applyNumberFormat="1" applyFill="1" applyBorder="1"/>
    <xf numFmtId="164" fontId="0" fillId="27" borderId="7" xfId="0" applyNumberFormat="1" applyFill="1" applyBorder="1"/>
    <xf numFmtId="164" fontId="0" fillId="27" borderId="0" xfId="5" applyNumberFormat="1" applyFont="1" applyFill="1"/>
    <xf numFmtId="0" fontId="2" fillId="27" borderId="0" xfId="0" applyFont="1" applyFill="1"/>
    <xf numFmtId="3" fontId="2" fillId="27" borderId="0" xfId="0" applyNumberFormat="1" applyFont="1" applyFill="1"/>
    <xf numFmtId="164" fontId="2" fillId="0" borderId="0" xfId="0" applyNumberFormat="1" applyFont="1"/>
    <xf numFmtId="3" fontId="181" fillId="0" borderId="0" xfId="9" applyNumberFormat="1" applyFont="1"/>
    <xf numFmtId="0" fontId="0" fillId="27" borderId="50" xfId="0" applyFill="1" applyBorder="1"/>
    <xf numFmtId="0" fontId="0" fillId="27" borderId="32" xfId="0" applyFill="1" applyBorder="1"/>
    <xf numFmtId="164" fontId="0" fillId="27" borderId="32" xfId="0" applyNumberFormat="1" applyFill="1" applyBorder="1"/>
    <xf numFmtId="9" fontId="0" fillId="27" borderId="51" xfId="0" applyNumberFormat="1" applyFill="1" applyBorder="1"/>
    <xf numFmtId="0" fontId="0" fillId="0" borderId="54" xfId="0" applyBorder="1"/>
    <xf numFmtId="9" fontId="0" fillId="0" borderId="34" xfId="0" applyNumberFormat="1" applyBorder="1"/>
    <xf numFmtId="0" fontId="0" fillId="27" borderId="55" xfId="0" applyFill="1" applyBorder="1"/>
    <xf numFmtId="0" fontId="0" fillId="27" borderId="15" xfId="0" applyFill="1" applyBorder="1"/>
    <xf numFmtId="164" fontId="0" fillId="27" borderId="15" xfId="0" applyNumberFormat="1" applyFill="1" applyBorder="1"/>
    <xf numFmtId="164" fontId="0" fillId="27" borderId="56" xfId="0" applyNumberFormat="1" applyFill="1" applyBorder="1"/>
    <xf numFmtId="0" fontId="0" fillId="0" borderId="50" xfId="0" applyBorder="1"/>
    <xf numFmtId="0" fontId="0" fillId="0" borderId="32" xfId="0" applyBorder="1"/>
    <xf numFmtId="170" fontId="0" fillId="0" borderId="32" xfId="0" applyNumberFormat="1" applyBorder="1"/>
    <xf numFmtId="164" fontId="0" fillId="0" borderId="51" xfId="0" applyNumberFormat="1" applyBorder="1"/>
    <xf numFmtId="0" fontId="0" fillId="27" borderId="54" xfId="0" applyFill="1" applyBorder="1"/>
    <xf numFmtId="164" fontId="0" fillId="27" borderId="34" xfId="0" applyNumberFormat="1" applyFill="1" applyBorder="1"/>
    <xf numFmtId="0" fontId="0" fillId="0" borderId="55" xfId="0" applyBorder="1"/>
    <xf numFmtId="0" fontId="0" fillId="0" borderId="15" xfId="0" applyBorder="1"/>
    <xf numFmtId="170" fontId="0" fillId="0" borderId="15" xfId="0" applyNumberFormat="1" applyBorder="1"/>
    <xf numFmtId="164" fontId="2" fillId="27" borderId="0" xfId="0" applyNumberFormat="1" applyFont="1" applyFill="1"/>
    <xf numFmtId="9" fontId="166" fillId="0" borderId="7" xfId="6" applyFont="1" applyFill="1" applyBorder="1"/>
    <xf numFmtId="1" fontId="110" fillId="0" borderId="7" xfId="0" applyNumberFormat="1" applyFont="1" applyBorder="1"/>
    <xf numFmtId="0" fontId="133" fillId="32" borderId="15" xfId="0" applyFont="1" applyFill="1" applyBorder="1" applyAlignment="1">
      <alignment horizontal="right" vertical="center" wrapText="1"/>
    </xf>
    <xf numFmtId="4" fontId="133" fillId="0" borderId="32" xfId="0" applyNumberFormat="1" applyFont="1" applyBorder="1" applyAlignment="1">
      <alignment horizontal="right" vertical="center" wrapText="1"/>
    </xf>
    <xf numFmtId="4" fontId="133" fillId="32" borderId="15" xfId="0" applyNumberFormat="1" applyFont="1" applyFill="1" applyBorder="1" applyAlignment="1">
      <alignment horizontal="right" vertical="center" wrapText="1"/>
    </xf>
    <xf numFmtId="0" fontId="134" fillId="32" borderId="58" xfId="0" applyFont="1" applyFill="1" applyBorder="1" applyAlignment="1">
      <alignment horizontal="right" vertical="center" wrapText="1"/>
    </xf>
    <xf numFmtId="0" fontId="133" fillId="0" borderId="0" xfId="0" applyFont="1" applyAlignment="1">
      <alignment horizontal="right" vertical="center" wrapText="1"/>
    </xf>
    <xf numFmtId="4" fontId="133" fillId="32" borderId="0" xfId="0" applyNumberFormat="1" applyFont="1" applyFill="1" applyAlignment="1">
      <alignment horizontal="right" vertical="center" wrapText="1"/>
    </xf>
    <xf numFmtId="4" fontId="133" fillId="0" borderId="0" xfId="0" applyNumberFormat="1" applyFont="1" applyAlignment="1">
      <alignment horizontal="right" vertical="center" wrapText="1"/>
    </xf>
    <xf numFmtId="0" fontId="133" fillId="32" borderId="0" xfId="0" applyFont="1" applyFill="1" applyAlignment="1">
      <alignment horizontal="right" vertical="center" wrapText="1"/>
    </xf>
    <xf numFmtId="0" fontId="132" fillId="0" borderId="0" xfId="0" applyFont="1" applyAlignment="1">
      <alignment horizontal="center" vertical="center" wrapText="1"/>
    </xf>
    <xf numFmtId="0" fontId="131" fillId="0" borderId="0" xfId="0" applyFont="1" applyAlignment="1">
      <alignment horizontal="center" vertical="center" wrapText="1"/>
    </xf>
    <xf numFmtId="0" fontId="131" fillId="0" borderId="15" xfId="0" applyFont="1" applyBorder="1" applyAlignment="1">
      <alignment horizontal="center" vertical="center" wrapText="1"/>
    </xf>
    <xf numFmtId="0" fontId="131" fillId="0" borderId="0" xfId="0" applyFont="1" applyAlignment="1">
      <alignment vertical="center" wrapText="1"/>
    </xf>
    <xf numFmtId="0" fontId="131" fillId="0" borderId="15" xfId="0" applyFont="1" applyBorder="1" applyAlignment="1">
      <alignment vertical="center" wrapText="1"/>
    </xf>
    <xf numFmtId="0" fontId="173" fillId="0" borderId="4" xfId="2" applyFont="1" applyBorder="1" applyAlignment="1">
      <alignment horizontal="center" vertical="center" wrapText="1"/>
    </xf>
    <xf numFmtId="0" fontId="173" fillId="0" borderId="5" xfId="2" applyFont="1" applyBorder="1" applyAlignment="1">
      <alignment horizontal="center" vertical="center" wrapText="1"/>
    </xf>
    <xf numFmtId="0" fontId="178" fillId="0" borderId="6" xfId="2" applyFont="1" applyBorder="1" applyAlignment="1">
      <alignment horizontal="center" vertical="center" wrapText="1"/>
    </xf>
    <xf numFmtId="0" fontId="178" fillId="0" borderId="4" xfId="2" applyFont="1" applyBorder="1" applyAlignment="1">
      <alignment horizontal="center" vertical="center" wrapText="1"/>
    </xf>
    <xf numFmtId="0" fontId="178" fillId="0" borderId="5" xfId="2" applyFont="1" applyBorder="1" applyAlignment="1">
      <alignment horizontal="center" vertical="center" wrapText="1"/>
    </xf>
    <xf numFmtId="0" fontId="173" fillId="0" borderId="6" xfId="2" applyFont="1" applyBorder="1" applyAlignment="1">
      <alignment horizontal="center" vertical="center" wrapText="1"/>
    </xf>
    <xf numFmtId="0" fontId="122" fillId="0" borderId="6" xfId="0" applyFont="1" applyBorder="1" applyAlignment="1">
      <alignment horizontal="center"/>
    </xf>
    <xf numFmtId="0" fontId="122" fillId="0" borderId="4" xfId="0" applyFont="1" applyBorder="1" applyAlignment="1">
      <alignment horizontal="center"/>
    </xf>
    <xf numFmtId="0" fontId="7" fillId="0" borderId="3" xfId="2" applyFont="1" applyBorder="1" applyAlignment="1">
      <alignment horizontal="center" vertical="center" wrapText="1"/>
    </xf>
    <xf numFmtId="0" fontId="7" fillId="0" borderId="0" xfId="2" applyFont="1" applyAlignment="1">
      <alignment horizontal="center" vertical="center" wrapText="1"/>
    </xf>
    <xf numFmtId="0" fontId="7" fillId="0" borderId="2" xfId="2" applyFont="1" applyBorder="1" applyAlignment="1">
      <alignment horizontal="center" vertical="center" wrapText="1"/>
    </xf>
    <xf numFmtId="165" fontId="7" fillId="0" borderId="3" xfId="2" applyNumberFormat="1" applyFont="1" applyBorder="1" applyAlignment="1">
      <alignment horizontal="center" vertical="center" wrapText="1"/>
    </xf>
    <xf numFmtId="165" fontId="7" fillId="0" borderId="0" xfId="2" applyNumberFormat="1" applyFont="1" applyAlignment="1">
      <alignment horizontal="center" vertical="center" wrapText="1"/>
    </xf>
    <xf numFmtId="165" fontId="7" fillId="0" borderId="2" xfId="2" applyNumberFormat="1" applyFont="1" applyBorder="1" applyAlignment="1">
      <alignment horizontal="center" vertical="center" wrapText="1"/>
    </xf>
  </cellXfs>
  <cellStyles count="416">
    <cellStyle name="_x000a_386grabber=M" xfId="10" xr:uid="{00000000-0005-0000-0000-000000000000}"/>
    <cellStyle name="%" xfId="7" xr:uid="{00000000-0005-0000-0000-000001000000}"/>
    <cellStyle name="% 2" xfId="9" xr:uid="{00000000-0005-0000-0000-000002000000}"/>
    <cellStyle name="******************************************" xfId="11" xr:uid="{00000000-0005-0000-0000-000003000000}"/>
    <cellStyle name="?Q\?1@" xfId="12" xr:uid="{00000000-0005-0000-0000-000004000000}"/>
    <cellStyle name="_Comma" xfId="13" xr:uid="{00000000-0005-0000-0000-000005000000}"/>
    <cellStyle name="_Currency" xfId="14" xr:uid="{00000000-0005-0000-0000-000006000000}"/>
    <cellStyle name="_CurrencySpace" xfId="15" xr:uid="{00000000-0005-0000-0000-000007000000}"/>
    <cellStyle name="_Innsamling" xfId="16" xr:uid="{00000000-0005-0000-0000-000008000000}"/>
    <cellStyle name="_JP Morgan" xfId="17" xr:uid="{00000000-0005-0000-0000-000009000000}"/>
    <cellStyle name="_Mal for innhenting av estimater Q4- 2002" xfId="18" xr:uid="{00000000-0005-0000-0000-00000A000000}"/>
    <cellStyle name="_Millicom_current" xfId="19" xr:uid="{00000000-0005-0000-0000-00000B000000}"/>
    <cellStyle name="_Multiple" xfId="20" xr:uid="{00000000-0005-0000-0000-00000C000000}"/>
    <cellStyle name="_MultipleSpace" xfId="21" xr:uid="{00000000-0005-0000-0000-00000D000000}"/>
    <cellStyle name="_Percent" xfId="22" xr:uid="{00000000-0005-0000-0000-00000E000000}"/>
    <cellStyle name="_PercentSpace" xfId="23" xr:uid="{00000000-0005-0000-0000-00000F000000}"/>
    <cellStyle name="¤@¯ë_Sheet1 (2)" xfId="24" xr:uid="{00000000-0005-0000-0000-000010000000}"/>
    <cellStyle name="§Q\òm1@À" xfId="25" xr:uid="{00000000-0005-0000-0000-000011000000}"/>
    <cellStyle name="•W€_VALUE" xfId="26" xr:uid="{00000000-0005-0000-0000-000012000000}"/>
    <cellStyle name="3f1o [0]_J-Hwang242" xfId="27" xr:uid="{00000000-0005-0000-0000-000013000000}"/>
    <cellStyle name="3f1o_J-Hwang2an" xfId="28" xr:uid="{00000000-0005-0000-0000-000014000000}"/>
    <cellStyle name="aaa" xfId="29" xr:uid="{00000000-0005-0000-0000-000015000000}"/>
    <cellStyle name="Acquisition" xfId="30" xr:uid="{00000000-0005-0000-0000-000016000000}"/>
    <cellStyle name="ÅëÈ­ [0]_TestResults" xfId="31" xr:uid="{00000000-0005-0000-0000-000017000000}"/>
    <cellStyle name="ÅëÈ­_TestResults" xfId="32" xr:uid="{00000000-0005-0000-0000-000018000000}"/>
    <cellStyle name="ANALYST" xfId="33" xr:uid="{00000000-0005-0000-0000-000019000000}"/>
    <cellStyle name="Année" xfId="34" xr:uid="{00000000-0005-0000-0000-00001A000000}"/>
    <cellStyle name="Année (e)" xfId="35" xr:uid="{00000000-0005-0000-0000-00001B000000}"/>
    <cellStyle name="Arial 10" xfId="36" xr:uid="{00000000-0005-0000-0000-00001C000000}"/>
    <cellStyle name="Arial 12" xfId="37" xr:uid="{00000000-0005-0000-0000-00001D000000}"/>
    <cellStyle name="Assumption" xfId="38" xr:uid="{00000000-0005-0000-0000-00001E000000}"/>
    <cellStyle name="Assumptions" xfId="39" xr:uid="{00000000-0005-0000-0000-00001F000000}"/>
    <cellStyle name="ÄÞ¸¶ [0]_TestResults" xfId="40" xr:uid="{00000000-0005-0000-0000-000020000000}"/>
    <cellStyle name="ÄÞ¸¶_TestResults" xfId="41" xr:uid="{00000000-0005-0000-0000-000021000000}"/>
    <cellStyle name="Availability" xfId="42" xr:uid="{00000000-0005-0000-0000-000022000000}"/>
    <cellStyle name="BalanceSheet" xfId="43" xr:uid="{00000000-0005-0000-0000-000023000000}"/>
    <cellStyle name="BlackTitle" xfId="44" xr:uid="{00000000-0005-0000-0000-000024000000}"/>
    <cellStyle name="Blank" xfId="45" xr:uid="{00000000-0005-0000-0000-000025000000}"/>
    <cellStyle name="block" xfId="46" xr:uid="{00000000-0005-0000-0000-000026000000}"/>
    <cellStyle name="Border Heavy" xfId="47" xr:uid="{00000000-0005-0000-0000-000027000000}"/>
    <cellStyle name="Border Thin" xfId="48" xr:uid="{00000000-0005-0000-0000-000028000000}"/>
    <cellStyle name="British Pound" xfId="49" xr:uid="{00000000-0005-0000-0000-000029000000}"/>
    <cellStyle name="Ç¥ÁØ_TestResults" xfId="50" xr:uid="{00000000-0005-0000-0000-00002A000000}"/>
    <cellStyle name="Calcul" xfId="51" xr:uid="{00000000-0005-0000-0000-00002B000000}"/>
    <cellStyle name="CashFlow" xfId="52" xr:uid="{00000000-0005-0000-0000-00002C000000}"/>
    <cellStyle name="Checksum" xfId="53" xr:uid="{00000000-0005-0000-0000-00002D000000}"/>
    <cellStyle name="ColHeading" xfId="54" xr:uid="{00000000-0005-0000-0000-00002E000000}"/>
    <cellStyle name="Column Heading" xfId="55" xr:uid="{00000000-0005-0000-0000-00002F000000}"/>
    <cellStyle name="Column Heading (No Wrap)" xfId="56" xr:uid="{00000000-0005-0000-0000-000030000000}"/>
    <cellStyle name="Column Heading_SHEET" xfId="57" xr:uid="{00000000-0005-0000-0000-000031000000}"/>
    <cellStyle name="Column label" xfId="58" xr:uid="{00000000-0005-0000-0000-000032000000}"/>
    <cellStyle name="Column label (left aligned)" xfId="59" xr:uid="{00000000-0005-0000-0000-000033000000}"/>
    <cellStyle name="Column label (no wrap)" xfId="60" xr:uid="{00000000-0005-0000-0000-000034000000}"/>
    <cellStyle name="Column label (not bold)" xfId="61" xr:uid="{00000000-0005-0000-0000-000035000000}"/>
    <cellStyle name="Column label_sheet" xfId="62" xr:uid="{00000000-0005-0000-0000-000036000000}"/>
    <cellStyle name="Column Total" xfId="63" xr:uid="{00000000-0005-0000-0000-000037000000}"/>
    <cellStyle name="Comma" xfId="5" builtinId="3"/>
    <cellStyle name="comma - number" xfId="64" xr:uid="{00000000-0005-0000-0000-000039000000}"/>
    <cellStyle name="Comma [2]" xfId="65" xr:uid="{00000000-0005-0000-0000-00003A000000}"/>
    <cellStyle name="Comma 0" xfId="66" xr:uid="{00000000-0005-0000-0000-00003B000000}"/>
    <cellStyle name="Comma 2" xfId="4" xr:uid="{00000000-0005-0000-0000-00003C000000}"/>
    <cellStyle name="Comma 3" xfId="67" xr:uid="{00000000-0005-0000-0000-00003D000000}"/>
    <cellStyle name="Comma 3 2" xfId="415" xr:uid="{64117832-0D51-4445-82FA-353FAF8CFF9F}"/>
    <cellStyle name="Comma 4" xfId="68" xr:uid="{00000000-0005-0000-0000-00003E000000}"/>
    <cellStyle name="Comma(1)" xfId="69" xr:uid="{00000000-0005-0000-0000-00003F000000}"/>
    <cellStyle name="Comma, 1 dec" xfId="70" xr:uid="{00000000-0005-0000-0000-000040000000}"/>
    <cellStyle name="Comma_BT3" xfId="412" xr:uid="{00000000-0005-0000-0000-000041000000}"/>
    <cellStyle name="Comma0" xfId="71" xr:uid="{00000000-0005-0000-0000-000042000000}"/>
    <cellStyle name="Company" xfId="72" xr:uid="{00000000-0005-0000-0000-000043000000}"/>
    <cellStyle name="Cover Date" xfId="73" xr:uid="{00000000-0005-0000-0000-000044000000}"/>
    <cellStyle name="Cover Subtitle" xfId="74" xr:uid="{00000000-0005-0000-0000-000045000000}"/>
    <cellStyle name="Cover Title" xfId="75" xr:uid="{00000000-0005-0000-0000-000046000000}"/>
    <cellStyle name="CurRatio" xfId="76" xr:uid="{00000000-0005-0000-0000-000047000000}"/>
    <cellStyle name="Currency - Euro" xfId="77" xr:uid="{00000000-0005-0000-0000-000048000000}"/>
    <cellStyle name="Currency (2dp)" xfId="78" xr:uid="{00000000-0005-0000-0000-000049000000}"/>
    <cellStyle name="Currency [0] - Euro" xfId="79" xr:uid="{00000000-0005-0000-0000-00004A000000}"/>
    <cellStyle name="Currency [1]" xfId="80" xr:uid="{00000000-0005-0000-0000-00004B000000}"/>
    <cellStyle name="Currency [2]" xfId="81" xr:uid="{00000000-0005-0000-0000-00004C000000}"/>
    <cellStyle name="Currency 0" xfId="82" xr:uid="{00000000-0005-0000-0000-00004D000000}"/>
    <cellStyle name="Currency 2" xfId="83" xr:uid="{00000000-0005-0000-0000-00004E000000}"/>
    <cellStyle name="Currency Dollar" xfId="84" xr:uid="{00000000-0005-0000-0000-00004F000000}"/>
    <cellStyle name="Currency Dollar (2dp)" xfId="85" xr:uid="{00000000-0005-0000-0000-000050000000}"/>
    <cellStyle name="Currency EUR" xfId="86" xr:uid="{00000000-0005-0000-0000-000051000000}"/>
    <cellStyle name="Currency EUR (2dp)" xfId="87" xr:uid="{00000000-0005-0000-0000-000052000000}"/>
    <cellStyle name="Currency Euro" xfId="88" xr:uid="{00000000-0005-0000-0000-000053000000}"/>
    <cellStyle name="Currency Euro (2dp)" xfId="89" xr:uid="{00000000-0005-0000-0000-000054000000}"/>
    <cellStyle name="Currency GBP" xfId="90" xr:uid="{00000000-0005-0000-0000-000055000000}"/>
    <cellStyle name="Currency GBP (2dp)" xfId="91" xr:uid="{00000000-0005-0000-0000-000056000000}"/>
    <cellStyle name="Currency Pound" xfId="92" xr:uid="{00000000-0005-0000-0000-000057000000}"/>
    <cellStyle name="Currency Pound (2dp)" xfId="93" xr:uid="{00000000-0005-0000-0000-000058000000}"/>
    <cellStyle name="Currency USD" xfId="94" xr:uid="{00000000-0005-0000-0000-000059000000}"/>
    <cellStyle name="Currency USD (2dp)" xfId="95" xr:uid="{00000000-0005-0000-0000-00005A000000}"/>
    <cellStyle name="Currency0" xfId="96" xr:uid="{00000000-0005-0000-0000-00005B000000}"/>
    <cellStyle name="Date" xfId="97" xr:uid="{00000000-0005-0000-0000-00005C000000}"/>
    <cellStyle name="Date (Month)" xfId="98" xr:uid="{00000000-0005-0000-0000-00005D000000}"/>
    <cellStyle name="Date (Year)" xfId="99" xr:uid="{00000000-0005-0000-0000-00005E000000}"/>
    <cellStyle name="Date [d-mmm-yy]" xfId="100" xr:uid="{00000000-0005-0000-0000-00005F000000}"/>
    <cellStyle name="Date [mm-d-yy]" xfId="101" xr:uid="{00000000-0005-0000-0000-000060000000}"/>
    <cellStyle name="Date [mm-d-yyyy]" xfId="102" xr:uid="{00000000-0005-0000-0000-000061000000}"/>
    <cellStyle name="Date [mmm-d-yyyy]" xfId="103" xr:uid="{00000000-0005-0000-0000-000062000000}"/>
    <cellStyle name="Date [mmm-yy]" xfId="104" xr:uid="{00000000-0005-0000-0000-000063000000}"/>
    <cellStyle name="Date [mmm-yyyy]" xfId="105" xr:uid="{00000000-0005-0000-0000-000064000000}"/>
    <cellStyle name="Date Aligned" xfId="106" xr:uid="{00000000-0005-0000-0000-000065000000}"/>
    <cellStyle name="Date_BT2" xfId="107" xr:uid="{00000000-0005-0000-0000-000066000000}"/>
    <cellStyle name="Date2" xfId="108" xr:uid="{00000000-0005-0000-0000-000067000000}"/>
    <cellStyle name="Dates" xfId="109" xr:uid="{00000000-0005-0000-0000-000068000000}"/>
    <cellStyle name="DateYear" xfId="110" xr:uid="{00000000-0005-0000-0000-000069000000}"/>
    <cellStyle name="Déprotégée" xfId="111" xr:uid="{00000000-0005-0000-0000-00006A000000}"/>
    <cellStyle name="Devise" xfId="112" xr:uid="{00000000-0005-0000-0000-00006B000000}"/>
    <cellStyle name="Dezimal (0.0)" xfId="113" xr:uid="{00000000-0005-0000-0000-00006C000000}"/>
    <cellStyle name="Dollar" xfId="114" xr:uid="{00000000-0005-0000-0000-00006D000000}"/>
    <cellStyle name="dollars" xfId="115" xr:uid="{00000000-0005-0000-0000-00006E000000}"/>
    <cellStyle name="DollarWhole" xfId="116" xr:uid="{00000000-0005-0000-0000-00006F000000}"/>
    <cellStyle name="Dotted Line" xfId="117" xr:uid="{00000000-0005-0000-0000-000070000000}"/>
    <cellStyle name="Double Accounting" xfId="118" xr:uid="{00000000-0005-0000-0000-000071000000}"/>
    <cellStyle name="Driver" xfId="119" xr:uid="{00000000-0005-0000-0000-000072000000}"/>
    <cellStyle name="Driver Lable" xfId="120" xr:uid="{00000000-0005-0000-0000-000073000000}"/>
    <cellStyle name="Entités" xfId="121" xr:uid="{00000000-0005-0000-0000-000074000000}"/>
    <cellStyle name="EPS" xfId="122" xr:uid="{00000000-0005-0000-0000-000075000000}"/>
    <cellStyle name="EPSActual" xfId="123" xr:uid="{00000000-0005-0000-0000-000076000000}"/>
    <cellStyle name="EPSEstimate" xfId="124" xr:uid="{00000000-0005-0000-0000-000077000000}"/>
    <cellStyle name="Est - $" xfId="125" xr:uid="{00000000-0005-0000-0000-000078000000}"/>
    <cellStyle name="Est - %" xfId="126" xr:uid="{00000000-0005-0000-0000-000079000000}"/>
    <cellStyle name="Est 0,000.0" xfId="127" xr:uid="{00000000-0005-0000-0000-00007A000000}"/>
    <cellStyle name="Euro" xfId="128" xr:uid="{00000000-0005-0000-0000-00007B000000}"/>
    <cellStyle name="fact_Feuil1 (8)" xfId="129" xr:uid="{00000000-0005-0000-0000-00007C000000}"/>
    <cellStyle name="FF_EURO" xfId="130" xr:uid="{00000000-0005-0000-0000-00007D000000}"/>
    <cellStyle name="Fixed" xfId="131" xr:uid="{00000000-0005-0000-0000-00007E000000}"/>
    <cellStyle name="Fixed [0]" xfId="132" xr:uid="{00000000-0005-0000-0000-00007F000000}"/>
    <cellStyle name="fo]_x000d__x000a_UserName=Murat Zelef_x000d__x000a_UserCompany=Bumerang_x000d__x000a__x000d__x000a_[File Paths]_x000d__x000a_WorkingDirectory=C:\EQUIS\DLWIN_x000d__x000a_DownLoader=C" xfId="133" xr:uid="{00000000-0005-0000-0000-000080000000}"/>
    <cellStyle name="Följde hyperlänken" xfId="134" xr:uid="{00000000-0005-0000-0000-000081000000}"/>
    <cellStyle name="Footer SBILogo1" xfId="135" xr:uid="{00000000-0005-0000-0000-000082000000}"/>
    <cellStyle name="Footer SBILogo2" xfId="136" xr:uid="{00000000-0005-0000-0000-000083000000}"/>
    <cellStyle name="Footnote" xfId="137" xr:uid="{00000000-0005-0000-0000-000084000000}"/>
    <cellStyle name="Footnote Reference" xfId="138" xr:uid="{00000000-0005-0000-0000-000085000000}"/>
    <cellStyle name="Footnote_Innsamling" xfId="139" xr:uid="{00000000-0005-0000-0000-000086000000}"/>
    <cellStyle name="front page small" xfId="140" xr:uid="{00000000-0005-0000-0000-000087000000}"/>
    <cellStyle name="General" xfId="141" xr:uid="{00000000-0005-0000-0000-000088000000}"/>
    <cellStyle name="Grey" xfId="142" xr:uid="{00000000-0005-0000-0000-000089000000}"/>
    <cellStyle name="GrowthRate" xfId="143" xr:uid="{00000000-0005-0000-0000-00008A000000}"/>
    <cellStyle name="GrowthSeq" xfId="144" xr:uid="{00000000-0005-0000-0000-00008B000000}"/>
    <cellStyle name="H0" xfId="145" xr:uid="{00000000-0005-0000-0000-00008C000000}"/>
    <cellStyle name="H1" xfId="146" xr:uid="{00000000-0005-0000-0000-00008D000000}"/>
    <cellStyle name="H2" xfId="147" xr:uid="{00000000-0005-0000-0000-00008E000000}"/>
    <cellStyle name="H3" xfId="148" xr:uid="{00000000-0005-0000-0000-00008F000000}"/>
    <cellStyle name="H4" xfId="149" xr:uid="{00000000-0005-0000-0000-000090000000}"/>
    <cellStyle name="haeding 2" xfId="150" xr:uid="{00000000-0005-0000-0000-000091000000}"/>
    <cellStyle name="Hard" xfId="151" xr:uid="{00000000-0005-0000-0000-000092000000}"/>
    <cellStyle name="Hard input" xfId="152" xr:uid="{00000000-0005-0000-0000-000093000000}"/>
    <cellStyle name="hard no." xfId="153" xr:uid="{00000000-0005-0000-0000-000094000000}"/>
    <cellStyle name="Hard Percent" xfId="154" xr:uid="{00000000-0005-0000-0000-000095000000}"/>
    <cellStyle name="head2" xfId="155" xr:uid="{00000000-0005-0000-0000-000096000000}"/>
    <cellStyle name="Header" xfId="156" xr:uid="{00000000-0005-0000-0000-000097000000}"/>
    <cellStyle name="Header Draft Stamp" xfId="157" xr:uid="{00000000-0005-0000-0000-000098000000}"/>
    <cellStyle name="Header_Innsamling" xfId="158" xr:uid="{00000000-0005-0000-0000-000099000000}"/>
    <cellStyle name="Heading" xfId="159" xr:uid="{00000000-0005-0000-0000-00009A000000}"/>
    <cellStyle name="Heading 1 Above" xfId="160" xr:uid="{00000000-0005-0000-0000-00009B000000}"/>
    <cellStyle name="Heading 1+" xfId="161" xr:uid="{00000000-0005-0000-0000-00009C000000}"/>
    <cellStyle name="Heading 2 Below" xfId="162" xr:uid="{00000000-0005-0000-0000-00009D000000}"/>
    <cellStyle name="Heading 2+" xfId="163" xr:uid="{00000000-0005-0000-0000-00009E000000}"/>
    <cellStyle name="Heading 3+" xfId="164" xr:uid="{00000000-0005-0000-0000-00009F000000}"/>
    <cellStyle name="Heading 5" xfId="165" xr:uid="{00000000-0005-0000-0000-0000A0000000}"/>
    <cellStyle name="Highlight" xfId="166" xr:uid="{00000000-0005-0000-0000-0000A1000000}"/>
    <cellStyle name="Hist inmatning" xfId="167" xr:uid="{00000000-0005-0000-0000-0000A2000000}"/>
    <cellStyle name="Hyperlänk" xfId="168" xr:uid="{00000000-0005-0000-0000-0000A3000000}"/>
    <cellStyle name="Hyperlink" xfId="1" builtinId="8"/>
    <cellStyle name="Hyperlink 2" xfId="169" xr:uid="{00000000-0005-0000-0000-0000A5000000}"/>
    <cellStyle name="IncomeStatement" xfId="170" xr:uid="{00000000-0005-0000-0000-0000A6000000}"/>
    <cellStyle name="InLink" xfId="171" xr:uid="{00000000-0005-0000-0000-0000A7000000}"/>
    <cellStyle name="Input [yellow]" xfId="172" xr:uid="{00000000-0005-0000-0000-0000A8000000}"/>
    <cellStyle name="Input calculation" xfId="173" xr:uid="{00000000-0005-0000-0000-0000A9000000}"/>
    <cellStyle name="Input Currency" xfId="174" xr:uid="{00000000-0005-0000-0000-0000AA000000}"/>
    <cellStyle name="Input data" xfId="175" xr:uid="{00000000-0005-0000-0000-0000AB000000}"/>
    <cellStyle name="Input Date" xfId="176" xr:uid="{00000000-0005-0000-0000-0000AC000000}"/>
    <cellStyle name="Input estimate" xfId="177" xr:uid="{00000000-0005-0000-0000-0000AD000000}"/>
    <cellStyle name="Input Fixed [0]" xfId="178" xr:uid="{00000000-0005-0000-0000-0000AE000000}"/>
    <cellStyle name="Input link" xfId="179" xr:uid="{00000000-0005-0000-0000-0000AF000000}"/>
    <cellStyle name="Input link (different workbook)" xfId="180" xr:uid="{00000000-0005-0000-0000-0000B0000000}"/>
    <cellStyle name="Input Link_Copy of ESA5 ForecastScaling" xfId="181" xr:uid="{00000000-0005-0000-0000-0000B1000000}"/>
    <cellStyle name="Input Normal" xfId="182" xr:uid="{00000000-0005-0000-0000-0000B2000000}"/>
    <cellStyle name="Input parameter" xfId="183" xr:uid="{00000000-0005-0000-0000-0000B3000000}"/>
    <cellStyle name="Input Percent" xfId="184" xr:uid="{00000000-0005-0000-0000-0000B4000000}"/>
    <cellStyle name="Input Percent [2]" xfId="185" xr:uid="{00000000-0005-0000-0000-0000B5000000}"/>
    <cellStyle name="Input Percent_Book1" xfId="186" xr:uid="{00000000-0005-0000-0000-0000B6000000}"/>
    <cellStyle name="Input Titles" xfId="187" xr:uid="{00000000-0005-0000-0000-0000B7000000}"/>
    <cellStyle name="Input%" xfId="188" xr:uid="{00000000-0005-0000-0000-0000B8000000}"/>
    <cellStyle name="Input0dec" xfId="189" xr:uid="{00000000-0005-0000-0000-0000B9000000}"/>
    <cellStyle name="Input2dec" xfId="190" xr:uid="{00000000-0005-0000-0000-0000BA000000}"/>
    <cellStyle name="InputBlueFont" xfId="191" xr:uid="{00000000-0005-0000-0000-0000BB000000}"/>
    <cellStyle name="InputDate" xfId="192" xr:uid="{00000000-0005-0000-0000-0000BC000000}"/>
    <cellStyle name="InputDecimal" xfId="193" xr:uid="{00000000-0005-0000-0000-0000BD000000}"/>
    <cellStyle name="InputValue" xfId="194" xr:uid="{00000000-0005-0000-0000-0000BE000000}"/>
    <cellStyle name="Integer" xfId="195" xr:uid="{00000000-0005-0000-0000-0000BF000000}"/>
    <cellStyle name="Item" xfId="196" xr:uid="{00000000-0005-0000-0000-0000C0000000}"/>
    <cellStyle name="Items_Optional" xfId="197" xr:uid="{00000000-0005-0000-0000-0000C1000000}"/>
    <cellStyle name="ItemTypeClass" xfId="198" xr:uid="{00000000-0005-0000-0000-0000C2000000}"/>
    <cellStyle name="James" xfId="199" xr:uid="{00000000-0005-0000-0000-0000C3000000}"/>
    <cellStyle name="kopregel" xfId="200" xr:uid="{00000000-0005-0000-0000-0000C4000000}"/>
    <cellStyle name="Libellés" xfId="201" xr:uid="{00000000-0005-0000-0000-0000C5000000}"/>
    <cellStyle name="Linked" xfId="202" xr:uid="{00000000-0005-0000-0000-0000C6000000}"/>
    <cellStyle name="Locked" xfId="203" xr:uid="{00000000-0005-0000-0000-0000C7000000}"/>
    <cellStyle name="Main Title" xfId="204" xr:uid="{00000000-0005-0000-0000-0000C8000000}"/>
    <cellStyle name="Major item" xfId="205" xr:uid="{00000000-0005-0000-0000-0000C9000000}"/>
    <cellStyle name="margenta-f" xfId="206" xr:uid="{00000000-0005-0000-0000-0000CA000000}"/>
    <cellStyle name="Margin" xfId="207" xr:uid="{00000000-0005-0000-0000-0000CB000000}"/>
    <cellStyle name="Margins" xfId="208" xr:uid="{00000000-0005-0000-0000-0000CC000000}"/>
    <cellStyle name="Migliaia_Foglio1" xfId="209" xr:uid="{00000000-0005-0000-0000-0000CD000000}"/>
    <cellStyle name="Milliers [0]_Aimants permanents" xfId="210" xr:uid="{00000000-0005-0000-0000-0000CE000000}"/>
    <cellStyle name="Milliers [00]" xfId="211" xr:uid="{00000000-0005-0000-0000-0000CF000000}"/>
    <cellStyle name="Milliers_Aimants permanents" xfId="212" xr:uid="{00000000-0005-0000-0000-0000D0000000}"/>
    <cellStyle name="mine" xfId="213" xr:uid="{00000000-0005-0000-0000-0000D1000000}"/>
    <cellStyle name="Monétaire [0]_Aimants permanents" xfId="214" xr:uid="{00000000-0005-0000-0000-0000D2000000}"/>
    <cellStyle name="Monétaire [00]" xfId="215" xr:uid="{00000000-0005-0000-0000-0000D3000000}"/>
    <cellStyle name="Monétaire_Aimants permanents" xfId="216" xr:uid="{00000000-0005-0000-0000-0000D4000000}"/>
    <cellStyle name="Multiple" xfId="217" xr:uid="{00000000-0005-0000-0000-0000D5000000}"/>
    <cellStyle name="NA is zero" xfId="218" xr:uid="{00000000-0005-0000-0000-0000D6000000}"/>
    <cellStyle name="Name" xfId="219" xr:uid="{00000000-0005-0000-0000-0000D7000000}"/>
    <cellStyle name="neg0.0" xfId="220" xr:uid="{00000000-0005-0000-0000-0000D8000000}"/>
    <cellStyle name="no dec" xfId="221" xr:uid="{00000000-0005-0000-0000-0000D9000000}"/>
    <cellStyle name="Normal" xfId="0" builtinId="0"/>
    <cellStyle name="Normal - Style1" xfId="222" xr:uid="{00000000-0005-0000-0000-0000DB000000}"/>
    <cellStyle name="Normal (no,)" xfId="223" xr:uid="{00000000-0005-0000-0000-0000DC000000}"/>
    <cellStyle name="Normal [0]" xfId="224" xr:uid="{00000000-0005-0000-0000-0000DD000000}"/>
    <cellStyle name="Normal [1]" xfId="225" xr:uid="{00000000-0005-0000-0000-0000DE000000}"/>
    <cellStyle name="Normal [2]" xfId="226" xr:uid="{00000000-0005-0000-0000-0000DF000000}"/>
    <cellStyle name="Normal [3]" xfId="227" xr:uid="{00000000-0005-0000-0000-0000E0000000}"/>
    <cellStyle name="Normal 1" xfId="228" xr:uid="{00000000-0005-0000-0000-0000E1000000}"/>
    <cellStyle name="Normal 2" xfId="2" xr:uid="{00000000-0005-0000-0000-0000E2000000}"/>
    <cellStyle name="Normal 3" xfId="229" xr:uid="{00000000-0005-0000-0000-0000E3000000}"/>
    <cellStyle name="Normal 4" xfId="414" xr:uid="{383C8017-2BAA-4F95-9E03-EC9D5CD202F7}"/>
    <cellStyle name="Normal Bold" xfId="230" xr:uid="{00000000-0005-0000-0000-0000E4000000}"/>
    <cellStyle name="Normal Pct" xfId="231" xr:uid="{00000000-0005-0000-0000-0000E5000000}"/>
    <cellStyle name="Normal_bt debt model" xfId="413" xr:uid="{00000000-0005-0000-0000-0000E6000000}"/>
    <cellStyle name="Normal_BT3" xfId="411" xr:uid="{00000000-0005-0000-0000-0000E7000000}"/>
    <cellStyle name="Normal_ft" xfId="410" xr:uid="{00000000-0005-0000-0000-0000E8000000}"/>
    <cellStyle name="NormalE" xfId="232" xr:uid="{00000000-0005-0000-0000-0000E9000000}"/>
    <cellStyle name="NormalGB" xfId="233" xr:uid="{00000000-0005-0000-0000-0000EA000000}"/>
    <cellStyle name="NormalMultiple" xfId="234" xr:uid="{00000000-0005-0000-0000-0000EB000000}"/>
    <cellStyle name="NOT" xfId="235" xr:uid="{00000000-0005-0000-0000-0000EC000000}"/>
    <cellStyle name="Notes" xfId="236" xr:uid="{00000000-0005-0000-0000-0000ED000000}"/>
    <cellStyle name="NPPESalesPct" xfId="237" xr:uid="{00000000-0005-0000-0000-0000EE000000}"/>
    <cellStyle name="Number" xfId="238" xr:uid="{00000000-0005-0000-0000-0000EF000000}"/>
    <cellStyle name="Number (2dp)" xfId="239" xr:uid="{00000000-0005-0000-0000-0000F0000000}"/>
    <cellStyle name="Number_Copy of ESA5 ForecastScaling" xfId="240" xr:uid="{00000000-0005-0000-0000-0000F1000000}"/>
    <cellStyle name="NWI%S" xfId="241" xr:uid="{00000000-0005-0000-0000-0000F2000000}"/>
    <cellStyle name="Ombrée" xfId="242" xr:uid="{00000000-0005-0000-0000-0000F3000000}"/>
    <cellStyle name="Onedec" xfId="243" xr:uid="{00000000-0005-0000-0000-0000F4000000}"/>
    <cellStyle name="Option" xfId="244" xr:uid="{00000000-0005-0000-0000-0000F5000000}"/>
    <cellStyle name="Page Number" xfId="245" xr:uid="{00000000-0005-0000-0000-0000F6000000}"/>
    <cellStyle name="PB Table Heading" xfId="246" xr:uid="{00000000-0005-0000-0000-0000F7000000}"/>
    <cellStyle name="PB Table Highlight1" xfId="247" xr:uid="{00000000-0005-0000-0000-0000F8000000}"/>
    <cellStyle name="PB Table Highlight2" xfId="248" xr:uid="{00000000-0005-0000-0000-0000F9000000}"/>
    <cellStyle name="PB Table Highlight3" xfId="249" xr:uid="{00000000-0005-0000-0000-0000FA000000}"/>
    <cellStyle name="PB Table Standard Row" xfId="250" xr:uid="{00000000-0005-0000-0000-0000FB000000}"/>
    <cellStyle name="PB Table Subtotal Row" xfId="251" xr:uid="{00000000-0005-0000-0000-0000FC000000}"/>
    <cellStyle name="PB Table Total Row" xfId="252" xr:uid="{00000000-0005-0000-0000-0000FD000000}"/>
    <cellStyle name="pb_page_heading_LS" xfId="253" xr:uid="{00000000-0005-0000-0000-0000FE000000}"/>
    <cellStyle name="pc1" xfId="254" xr:uid="{00000000-0005-0000-0000-0000FF000000}"/>
    <cellStyle name="PctLine" xfId="255" xr:uid="{00000000-0005-0000-0000-000000010000}"/>
    <cellStyle name="Percent" xfId="6" builtinId="5"/>
    <cellStyle name="Percent (0)" xfId="256" xr:uid="{00000000-0005-0000-0000-000002010000}"/>
    <cellStyle name="Percent (0.0)" xfId="257" xr:uid="{00000000-0005-0000-0000-000003010000}"/>
    <cellStyle name="Percent (0.00)" xfId="258" xr:uid="{00000000-0005-0000-0000-000004010000}"/>
    <cellStyle name="Percent [0]" xfId="259" xr:uid="{00000000-0005-0000-0000-000005010000}"/>
    <cellStyle name="Percent [1]" xfId="260" xr:uid="{00000000-0005-0000-0000-000006010000}"/>
    <cellStyle name="Percent [2]" xfId="261" xr:uid="{00000000-0005-0000-0000-000007010000}"/>
    <cellStyle name="Percent 0" xfId="262" xr:uid="{00000000-0005-0000-0000-000008010000}"/>
    <cellStyle name="Percent 0.00" xfId="263" xr:uid="{00000000-0005-0000-0000-000009010000}"/>
    <cellStyle name="Percent 0_3q" xfId="264" xr:uid="{00000000-0005-0000-0000-00000A010000}"/>
    <cellStyle name="Percent 2" xfId="3" xr:uid="{00000000-0005-0000-0000-00000B010000}"/>
    <cellStyle name="Percent 3" xfId="265" xr:uid="{00000000-0005-0000-0000-00000C010000}"/>
    <cellStyle name="Percentage" xfId="266" xr:uid="{00000000-0005-0000-0000-00000D010000}"/>
    <cellStyle name="Percentage (2dp)" xfId="267" xr:uid="{00000000-0005-0000-0000-00000E010000}"/>
    <cellStyle name="Percentage_Copy of ESA5 ForecastScaling" xfId="268" xr:uid="{00000000-0005-0000-0000-00000F010000}"/>
    <cellStyle name="PercentChange" xfId="269" xr:uid="{00000000-0005-0000-0000-000010010000}"/>
    <cellStyle name="PercentPresentation" xfId="270" xr:uid="{00000000-0005-0000-0000-000011010000}"/>
    <cellStyle name="PercentSales" xfId="271" xr:uid="{00000000-0005-0000-0000-000012010000}"/>
    <cellStyle name="PerShare" xfId="272" xr:uid="{00000000-0005-0000-0000-000013010000}"/>
    <cellStyle name="POPS" xfId="273" xr:uid="{00000000-0005-0000-0000-000014010000}"/>
    <cellStyle name="Pourcentage [0]" xfId="274" xr:uid="{00000000-0005-0000-0000-000015010000}"/>
    <cellStyle name="Pourcentage [00]" xfId="275" xr:uid="{00000000-0005-0000-0000-000016010000}"/>
    <cellStyle name="Pourcentage_BASCULER" xfId="276" xr:uid="{00000000-0005-0000-0000-000017010000}"/>
    <cellStyle name="Presentation" xfId="277" xr:uid="{00000000-0005-0000-0000-000018010000}"/>
    <cellStyle name="PresentationZero" xfId="278" xr:uid="{00000000-0005-0000-0000-000019010000}"/>
    <cellStyle name="Price" xfId="279" xr:uid="{00000000-0005-0000-0000-00001A010000}"/>
    <cellStyle name="Procenten" xfId="280" xr:uid="{00000000-0005-0000-0000-00001B010000}"/>
    <cellStyle name="Pub percent" xfId="281" xr:uid="{00000000-0005-0000-0000-00001C010000}"/>
    <cellStyle name="r" xfId="282" xr:uid="{00000000-0005-0000-0000-00001D010000}"/>
    <cellStyle name="r_Canal Digital" xfId="283" xr:uid="{00000000-0005-0000-0000-00001E010000}"/>
    <cellStyle name="r_Canal Digital_Deutsche" xfId="284" xr:uid="{00000000-0005-0000-0000-00001F010000}"/>
    <cellStyle name="r_Canal Digital_Fixed" xfId="285" xr:uid="{00000000-0005-0000-0000-000020010000}"/>
    <cellStyle name="r_Canal Digital_Fixed_Deutsche" xfId="286" xr:uid="{00000000-0005-0000-0000-000021010000}"/>
    <cellStyle name="r_Canal Digital_Fixed_Innsamling" xfId="287" xr:uid="{00000000-0005-0000-0000-000022010000}"/>
    <cellStyle name="r_Canal Digital_Group" xfId="288" xr:uid="{00000000-0005-0000-0000-000023010000}"/>
    <cellStyle name="r_Canal Digital_Group_Deutsche" xfId="289" xr:uid="{00000000-0005-0000-0000-000024010000}"/>
    <cellStyle name="r_Canal Digital_Group_Innsamling" xfId="290" xr:uid="{00000000-0005-0000-0000-000025010000}"/>
    <cellStyle name="r_Canal Digital_Innsamling" xfId="291" xr:uid="{00000000-0005-0000-0000-000026010000}"/>
    <cellStyle name="r_Canal Digital_Mobile" xfId="292" xr:uid="{00000000-0005-0000-0000-000027010000}"/>
    <cellStyle name="r_Canal Digital_Mobile_Deutsche" xfId="293" xr:uid="{00000000-0005-0000-0000-000028010000}"/>
    <cellStyle name="r_Canal Digital_Mobile_Innsamling" xfId="294" xr:uid="{00000000-0005-0000-0000-000029010000}"/>
    <cellStyle name="r_Canal Digital_Special items" xfId="295" xr:uid="{00000000-0005-0000-0000-00002A010000}"/>
    <cellStyle name="r_Canal Digital_Special items_Deutsche" xfId="296" xr:uid="{00000000-0005-0000-0000-00002B010000}"/>
    <cellStyle name="r_Canal Digital_Special items_Innsamling" xfId="297" xr:uid="{00000000-0005-0000-0000-00002C010000}"/>
    <cellStyle name="r_tel" xfId="298" xr:uid="{00000000-0005-0000-0000-00002D010000}"/>
    <cellStyle name="r_tel.xls Chart 680" xfId="299" xr:uid="{00000000-0005-0000-0000-00002E010000}"/>
    <cellStyle name="r_Telenor" xfId="300" xr:uid="{00000000-0005-0000-0000-00002F010000}"/>
    <cellStyle name="RatioX" xfId="301" xr:uid="{00000000-0005-0000-0000-000030010000}"/>
    <cellStyle name="Red font" xfId="302" xr:uid="{00000000-0005-0000-0000-000031010000}"/>
    <cellStyle name="Report" xfId="303" xr:uid="{00000000-0005-0000-0000-000032010000}"/>
    <cellStyle name="Right" xfId="304" xr:uid="{00000000-0005-0000-0000-000033010000}"/>
    <cellStyle name="Rmess" xfId="305" xr:uid="{00000000-0005-0000-0000-000034010000}"/>
    <cellStyle name="Rnumber" xfId="306" xr:uid="{00000000-0005-0000-0000-000035010000}"/>
    <cellStyle name="Rnumber 0d" xfId="307" xr:uid="{00000000-0005-0000-0000-000036010000}"/>
    <cellStyle name="Rnumber_eurosubs10" xfId="308" xr:uid="{00000000-0005-0000-0000-000037010000}"/>
    <cellStyle name="Row and Column Total" xfId="309" xr:uid="{00000000-0005-0000-0000-000038010000}"/>
    <cellStyle name="Row Heading" xfId="310" xr:uid="{00000000-0005-0000-0000-000039010000}"/>
    <cellStyle name="Row Heading (No Wrap)" xfId="311" xr:uid="{00000000-0005-0000-0000-00003A010000}"/>
    <cellStyle name="Row Ignore" xfId="312" xr:uid="{00000000-0005-0000-0000-00003B010000}"/>
    <cellStyle name="Row label" xfId="313" xr:uid="{00000000-0005-0000-0000-00003C010000}"/>
    <cellStyle name="Row label (indent)" xfId="314" xr:uid="{00000000-0005-0000-0000-00003D010000}"/>
    <cellStyle name="Row Sub total" xfId="315" xr:uid="{00000000-0005-0000-0000-00003E010000}"/>
    <cellStyle name="Row Title 1" xfId="316" xr:uid="{00000000-0005-0000-0000-00003F010000}"/>
    <cellStyle name="Row Title 2" xfId="317" xr:uid="{00000000-0005-0000-0000-000040010000}"/>
    <cellStyle name="Row Title 3" xfId="318" xr:uid="{00000000-0005-0000-0000-000041010000}"/>
    <cellStyle name="Row Total" xfId="319" xr:uid="{00000000-0005-0000-0000-000042010000}"/>
    <cellStyle name="Saisie" xfId="320" xr:uid="{00000000-0005-0000-0000-000043010000}"/>
    <cellStyle name="Salomon Logo" xfId="321" xr:uid="{00000000-0005-0000-0000-000044010000}"/>
    <cellStyle name="ScripFactor" xfId="322" xr:uid="{00000000-0005-0000-0000-000045010000}"/>
    <cellStyle name="Section Title" xfId="323" xr:uid="{00000000-0005-0000-0000-000046010000}"/>
    <cellStyle name="SectionHeading" xfId="324" xr:uid="{00000000-0005-0000-0000-000047010000}"/>
    <cellStyle name="Separador de milhares_Projeção" xfId="325" xr:uid="{00000000-0005-0000-0000-000048010000}"/>
    <cellStyle name="Shares" xfId="326" xr:uid="{00000000-0005-0000-0000-000049010000}"/>
    <cellStyle name="Single Accounting" xfId="327" xr:uid="{00000000-0005-0000-0000-00004A010000}"/>
    <cellStyle name="Small Number" xfId="328" xr:uid="{00000000-0005-0000-0000-00004B010000}"/>
    <cellStyle name="Small Percentage" xfId="329" xr:uid="{00000000-0005-0000-0000-00004C010000}"/>
    <cellStyle name="Sous titre" xfId="330" xr:uid="{00000000-0005-0000-0000-00004D010000}"/>
    <cellStyle name="Standaard_KPN" xfId="331" xr:uid="{00000000-0005-0000-0000-00004E010000}"/>
    <cellStyle name="Standard" xfId="332" xr:uid="{00000000-0005-0000-0000-00004F010000}"/>
    <cellStyle name="Strange" xfId="333" xr:uid="{00000000-0005-0000-0000-000050010000}"/>
    <cellStyle name="STYL1 - Style1" xfId="334" xr:uid="{00000000-0005-0000-0000-000051010000}"/>
    <cellStyle name="Style 1" xfId="8" xr:uid="{00000000-0005-0000-0000-000052010000}"/>
    <cellStyle name="Subhead" xfId="335" xr:uid="{00000000-0005-0000-0000-000053010000}"/>
    <cellStyle name="Sub-total row" xfId="336" xr:uid="{00000000-0005-0000-0000-000054010000}"/>
    <cellStyle name="Table" xfId="337" xr:uid="{00000000-0005-0000-0000-000055010000}"/>
    <cellStyle name="Table finish row" xfId="338" xr:uid="{00000000-0005-0000-0000-000056010000}"/>
    <cellStyle name="Table Head" xfId="339" xr:uid="{00000000-0005-0000-0000-000057010000}"/>
    <cellStyle name="Table Head Aligned" xfId="340" xr:uid="{00000000-0005-0000-0000-000058010000}"/>
    <cellStyle name="Table Head Blue" xfId="341" xr:uid="{00000000-0005-0000-0000-000059010000}"/>
    <cellStyle name="Table Head Green" xfId="342" xr:uid="{00000000-0005-0000-0000-00005A010000}"/>
    <cellStyle name="Table Head_Millicom_current" xfId="343" xr:uid="{00000000-0005-0000-0000-00005B010000}"/>
    <cellStyle name="table numbers 1" xfId="344" xr:uid="{00000000-0005-0000-0000-00005C010000}"/>
    <cellStyle name="Table numbers 2" xfId="345" xr:uid="{00000000-0005-0000-0000-00005D010000}"/>
    <cellStyle name="Table shading" xfId="346" xr:uid="{00000000-0005-0000-0000-00005E010000}"/>
    <cellStyle name="Table Source" xfId="347" xr:uid="{00000000-0005-0000-0000-00005F010000}"/>
    <cellStyle name="Table Sub Head" xfId="348" xr:uid="{00000000-0005-0000-0000-000060010000}"/>
    <cellStyle name="Table Text" xfId="349" xr:uid="{00000000-0005-0000-0000-000061010000}"/>
    <cellStyle name="Table Title" xfId="350" xr:uid="{00000000-0005-0000-0000-000062010000}"/>
    <cellStyle name="Table unfinish row" xfId="351" xr:uid="{00000000-0005-0000-0000-000063010000}"/>
    <cellStyle name="Table Units" xfId="352" xr:uid="{00000000-0005-0000-0000-000064010000}"/>
    <cellStyle name="Table unshading" xfId="353" xr:uid="{00000000-0005-0000-0000-000065010000}"/>
    <cellStyle name="TableBorder" xfId="354" xr:uid="{00000000-0005-0000-0000-000066010000}"/>
    <cellStyle name="TableFootnotes" xfId="355" xr:uid="{00000000-0005-0000-0000-000067010000}"/>
    <cellStyle name="TableTitleFormat" xfId="356" xr:uid="{00000000-0005-0000-0000-000068010000}"/>
    <cellStyle name="Test [green]" xfId="357" xr:uid="{00000000-0005-0000-0000-000069010000}"/>
    <cellStyle name="test a style" xfId="358" xr:uid="{00000000-0005-0000-0000-00006A010000}"/>
    <cellStyle name="Text" xfId="359" xr:uid="{00000000-0005-0000-0000-00006B010000}"/>
    <cellStyle name="Text 1" xfId="360" xr:uid="{00000000-0005-0000-0000-00006C010000}"/>
    <cellStyle name="Text 2" xfId="361" xr:uid="{00000000-0005-0000-0000-00006D010000}"/>
    <cellStyle name="Text Head 1" xfId="362" xr:uid="{00000000-0005-0000-0000-00006E010000}"/>
    <cellStyle name="Text Head 2" xfId="363" xr:uid="{00000000-0005-0000-0000-00006F010000}"/>
    <cellStyle name="Text Indent 1" xfId="364" xr:uid="{00000000-0005-0000-0000-000070010000}"/>
    <cellStyle name="Text Indent 2" xfId="365" xr:uid="{00000000-0005-0000-0000-000071010000}"/>
    <cellStyle name="TFCF" xfId="366" xr:uid="{00000000-0005-0000-0000-000072010000}"/>
    <cellStyle name="Time Strip" xfId="367" xr:uid="{00000000-0005-0000-0000-000073010000}"/>
    <cellStyle name="times" xfId="368" xr:uid="{00000000-0005-0000-0000-000074010000}"/>
    <cellStyle name="Times 10" xfId="369" xr:uid="{00000000-0005-0000-0000-000075010000}"/>
    <cellStyle name="Times 12" xfId="370" xr:uid="{00000000-0005-0000-0000-000076010000}"/>
    <cellStyle name="times_Deutsche" xfId="371" xr:uid="{00000000-0005-0000-0000-000077010000}"/>
    <cellStyle name="Title Heading" xfId="372" xr:uid="{00000000-0005-0000-0000-000078010000}"/>
    <cellStyle name="Title II" xfId="373" xr:uid="{00000000-0005-0000-0000-000079010000}"/>
    <cellStyle name="title1" xfId="374" xr:uid="{00000000-0005-0000-0000-00007A010000}"/>
    <cellStyle name="Title2" xfId="375" xr:uid="{00000000-0005-0000-0000-00007B010000}"/>
    <cellStyle name="TitleII" xfId="376" xr:uid="{00000000-0005-0000-0000-00007C010000}"/>
    <cellStyle name="Titles" xfId="377" xr:uid="{00000000-0005-0000-0000-00007D010000}"/>
    <cellStyle name="Titre" xfId="378" xr:uid="{00000000-0005-0000-0000-00007E010000}"/>
    <cellStyle name="TOC 1" xfId="379" xr:uid="{00000000-0005-0000-0000-00007F010000}"/>
    <cellStyle name="TOC 2" xfId="380" xr:uid="{00000000-0005-0000-0000-000080010000}"/>
    <cellStyle name="tom" xfId="381" xr:uid="{00000000-0005-0000-0000-000081010000}"/>
    <cellStyle name="Topline" xfId="382" xr:uid="{00000000-0005-0000-0000-000082010000}"/>
    <cellStyle name="Total row" xfId="383" xr:uid="{00000000-0005-0000-0000-000083010000}"/>
    <cellStyle name="Tusenskille_Korrigeringer for å nettoføre VØT" xfId="384" xr:uid="{00000000-0005-0000-0000-000084010000}"/>
    <cellStyle name="Tusental (0)_1998-Q2" xfId="385" xr:uid="{00000000-0005-0000-0000-000085010000}"/>
    <cellStyle name="Tusental_1998-Q4-NORGE" xfId="386" xr:uid="{00000000-0005-0000-0000-000086010000}"/>
    <cellStyle name="ul" xfId="387" xr:uid="{00000000-0005-0000-0000-000087010000}"/>
    <cellStyle name="Unhighlight" xfId="388" xr:uid="{00000000-0005-0000-0000-000088010000}"/>
    <cellStyle name="Unit" xfId="389" xr:uid="{00000000-0005-0000-0000-000089010000}"/>
    <cellStyle name="units" xfId="390" xr:uid="{00000000-0005-0000-0000-00008A010000}"/>
    <cellStyle name="Untotal row" xfId="391" xr:uid="{00000000-0005-0000-0000-00008B010000}"/>
    <cellStyle name="Upload Only" xfId="392" xr:uid="{00000000-0005-0000-0000-00008C010000}"/>
    <cellStyle name="Valuta (0)_1998-Q2" xfId="393" xr:uid="{00000000-0005-0000-0000-00008D010000}"/>
    <cellStyle name="web_ normal" xfId="394" xr:uid="{00000000-0005-0000-0000-00008E010000}"/>
    <cellStyle name="White" xfId="395" xr:uid="{00000000-0005-0000-0000-00008F010000}"/>
    <cellStyle name="WholeNumber" xfId="396" xr:uid="{00000000-0005-0000-0000-000090010000}"/>
    <cellStyle name="WP Header" xfId="397" xr:uid="{00000000-0005-0000-0000-000091010000}"/>
    <cellStyle name="Year" xfId="398" xr:uid="{00000000-0005-0000-0000-000092010000}"/>
    <cellStyle name="Yen" xfId="399" xr:uid="{00000000-0005-0000-0000-000093010000}"/>
    <cellStyle name="똿뗦먛귟 [0.00]_PRODUCT DETAIL Q1_x0013_" xfId="400" xr:uid="{00000000-0005-0000-0000-000094010000}"/>
    <cellStyle name="똿뗦먛귟_PRODUCT DETAIL Q1TAIL" xfId="401" xr:uid="{00000000-0005-0000-0000-000095010000}"/>
    <cellStyle name="믅됞 [0.00]_PRODUCT DETAIL Q1Q3" xfId="402" xr:uid="{00000000-0005-0000-0000-000096010000}"/>
    <cellStyle name="믅됞_PRODUCT DETAIL Q1TA" xfId="403" xr:uid="{00000000-0005-0000-0000-000097010000}"/>
    <cellStyle name="뷭?_BOOKSHIP_상세일정 (2) (2) " xfId="404" xr:uid="{00000000-0005-0000-0000-000098010000}"/>
    <cellStyle name="콤마 [0]_97년도 프로젝트 현황 (2)OMMENTS_총무" xfId="405" xr:uid="{00000000-0005-0000-0000-000099010000}"/>
    <cellStyle name="콤마_97년도 프로젝트 현황 (2) (2)OMMENT" xfId="406" xr:uid="{00000000-0005-0000-0000-00009A010000}"/>
    <cellStyle name="통화 [0]_97년도 프로젝트 현황 (2)OMMENT" xfId="407" xr:uid="{00000000-0005-0000-0000-00009B010000}"/>
    <cellStyle name="통화_97년도 프로젝트 현황 (2) (2)OMMENT" xfId="408" xr:uid="{00000000-0005-0000-0000-00009C010000}"/>
    <cellStyle name="표준_97년 프로젝트 현황) (2) (2)" xfId="409" xr:uid="{00000000-0005-0000-0000-00009D010000}"/>
  </cellStyles>
  <dxfs count="0"/>
  <tableStyles count="0" defaultTableStyle="TableStyleMedium2" defaultPivotStyle="PivotStyleLight16"/>
  <colors>
    <mruColors>
      <color rgb="FF868686"/>
      <color rgb="FF0000FF"/>
      <color rgb="FF08C47C"/>
      <color rgb="FF4BACC6"/>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20" Type="http://schemas.openxmlformats.org/officeDocument/2006/relationships/worksheet" Target="worksheets/sheet20.xml"/><Relationship Id="rId41"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0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2.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03.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10.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11.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2.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13.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14.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9.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0.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0.xml"/><Relationship Id="rId1" Type="http://schemas.microsoft.com/office/2011/relationships/chartStyle" Target="style80.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81.xml"/><Relationship Id="rId1" Type="http://schemas.microsoft.com/office/2011/relationships/chartStyle" Target="style81.xml"/></Relationships>
</file>

<file path=xl/charts/_rels/chart9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9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9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9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08456895387377"/>
          <c:y val="7.8842586261292258E-2"/>
          <c:w val="0.58555629467681025"/>
          <c:h val="0.67398595776855641"/>
        </c:manualLayout>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89AF-4ADA-9913-ACEBFA28BFA1}"/>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2-89AF-4ADA-9913-ACEBFA28BFA1}"/>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3-89AF-4ADA-9913-ACEBFA28BFA1}"/>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4-89AF-4ADA-9913-ACEBFA28BFA1}"/>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5-89AF-4ADA-9913-ACEBFA28BFA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SOP!$AI$30:$AI$35</c:f>
            </c:numRef>
          </c:val>
          <c:extLst>
            <c:ext xmlns:c15="http://schemas.microsoft.com/office/drawing/2012/chart" uri="{02D57815-91ED-43cb-92C2-25804820EDAC}">
              <c15:filteredCategoryTitle>
                <c15:cat>
                  <c:multiLvlStrRef>
                    <c:extLst>
                      <c:ext uri="{02D57815-91ED-43cb-92C2-25804820EDAC}">
                        <c15:formulaRef>
                          <c15:sqref>SOP!$AH$30:$AH$35</c15:sqref>
                        </c15:formulaRef>
                      </c:ext>
                    </c:extLst>
                  </c:multiLvlStrRef>
                </c15:cat>
              </c15:filteredCategoryTitle>
            </c:ext>
            <c:ext xmlns:c16="http://schemas.microsoft.com/office/drawing/2014/chart" uri="{C3380CC4-5D6E-409C-BE32-E72D297353CC}">
              <c16:uniqueId val="{00000000-89AF-4ADA-9913-ACEBFA28BFA1}"/>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layout>
        <c:manualLayout>
          <c:xMode val="edge"/>
          <c:yMode val="edge"/>
          <c:x val="0"/>
          <c:y val="0.77837782340008899"/>
          <c:w val="1"/>
          <c:h val="0.18994797033598351"/>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Analysis!$B$744</c:f>
              <c:strCache>
                <c:ptCount val="1"/>
                <c:pt idx="0">
                  <c:v>Content</c:v>
                </c:pt>
              </c:strCache>
            </c:strRef>
          </c:tx>
          <c:spPr>
            <a:solidFill>
              <a:srgbClr val="000080"/>
            </a:solidFill>
            <a:ln w="25400">
              <a:noFill/>
            </a:ln>
            <a:effectLst/>
          </c:spPr>
          <c:invertIfNegative val="0"/>
          <c:cat>
            <c:numRef>
              <c:f>Analysis!$C$743:$G$743</c:f>
              <c:numCache>
                <c:formatCode>General</c:formatCode>
                <c:ptCount val="5"/>
                <c:pt idx="0">
                  <c:v>2016</c:v>
                </c:pt>
                <c:pt idx="1">
                  <c:v>2017</c:v>
                </c:pt>
                <c:pt idx="2">
                  <c:v>2018</c:v>
                </c:pt>
                <c:pt idx="3">
                  <c:v>2019</c:v>
                </c:pt>
                <c:pt idx="4">
                  <c:v>2020</c:v>
                </c:pt>
              </c:numCache>
            </c:numRef>
          </c:cat>
          <c:val>
            <c:numRef>
              <c:f>Analysis!$C$744:$G$744</c:f>
              <c:numCache>
                <c:formatCode>0</c:formatCode>
                <c:ptCount val="5"/>
                <c:pt idx="0">
                  <c:v>150</c:v>
                </c:pt>
                <c:pt idx="1">
                  <c:v>113.59999999999998</c:v>
                </c:pt>
                <c:pt idx="2">
                  <c:v>94.8</c:v>
                </c:pt>
                <c:pt idx="3">
                  <c:v>107.8</c:v>
                </c:pt>
                <c:pt idx="4">
                  <c:v>26.7</c:v>
                </c:pt>
              </c:numCache>
            </c:numRef>
          </c:val>
          <c:extLst>
            <c:ext xmlns:c16="http://schemas.microsoft.com/office/drawing/2014/chart" uri="{C3380CC4-5D6E-409C-BE32-E72D297353CC}">
              <c16:uniqueId val="{00000000-8845-4D99-9102-4322CCCA8274}"/>
            </c:ext>
          </c:extLst>
        </c:ser>
        <c:ser>
          <c:idx val="1"/>
          <c:order val="1"/>
          <c:tx>
            <c:strRef>
              <c:f>Analysis!$B$745</c:f>
              <c:strCache>
                <c:ptCount val="1"/>
                <c:pt idx="0">
                  <c:v>SKY growth</c:v>
                </c:pt>
              </c:strCache>
            </c:strRef>
          </c:tx>
          <c:spPr>
            <a:solidFill>
              <a:srgbClr val="9999FF"/>
            </a:solidFill>
            <a:ln w="25400">
              <a:noFill/>
            </a:ln>
            <a:effectLst/>
          </c:spPr>
          <c:invertIfNegative val="0"/>
          <c:cat>
            <c:numRef>
              <c:f>Analysis!$C$743:$G$743</c:f>
              <c:numCache>
                <c:formatCode>General</c:formatCode>
                <c:ptCount val="5"/>
                <c:pt idx="0">
                  <c:v>2016</c:v>
                </c:pt>
                <c:pt idx="1">
                  <c:v>2017</c:v>
                </c:pt>
                <c:pt idx="2">
                  <c:v>2018</c:v>
                </c:pt>
                <c:pt idx="3">
                  <c:v>2019</c:v>
                </c:pt>
                <c:pt idx="4">
                  <c:v>2020</c:v>
                </c:pt>
              </c:numCache>
            </c:numRef>
          </c:cat>
          <c:val>
            <c:numRef>
              <c:f>Analysis!$C$745:$G$745</c:f>
              <c:numCache>
                <c:formatCode>General</c:formatCode>
                <c:ptCount val="5"/>
                <c:pt idx="0" formatCode="0">
                  <c:v>170</c:v>
                </c:pt>
                <c:pt idx="1">
                  <c:v>150</c:v>
                </c:pt>
                <c:pt idx="2">
                  <c:v>120</c:v>
                </c:pt>
                <c:pt idx="3">
                  <c:v>80</c:v>
                </c:pt>
                <c:pt idx="4">
                  <c:v>0</c:v>
                </c:pt>
              </c:numCache>
            </c:numRef>
          </c:val>
          <c:extLst>
            <c:ext xmlns:c16="http://schemas.microsoft.com/office/drawing/2014/chart" uri="{C3380CC4-5D6E-409C-BE32-E72D297353CC}">
              <c16:uniqueId val="{00000001-8845-4D99-9102-4322CCCA8274}"/>
            </c:ext>
          </c:extLst>
        </c:ser>
        <c:ser>
          <c:idx val="2"/>
          <c:order val="2"/>
          <c:tx>
            <c:strRef>
              <c:f>Analysis!$B$746</c:f>
              <c:strCache>
                <c:ptCount val="1"/>
                <c:pt idx="0">
                  <c:v>SKY maintenance</c:v>
                </c:pt>
              </c:strCache>
            </c:strRef>
          </c:tx>
          <c:spPr>
            <a:solidFill>
              <a:srgbClr val="3366FF"/>
            </a:solidFill>
            <a:ln w="25400">
              <a:noFill/>
            </a:ln>
            <a:effectLst/>
          </c:spPr>
          <c:invertIfNegative val="0"/>
          <c:cat>
            <c:numRef>
              <c:f>Analysis!$C$743:$G$743</c:f>
              <c:numCache>
                <c:formatCode>General</c:formatCode>
                <c:ptCount val="5"/>
                <c:pt idx="0">
                  <c:v>2016</c:v>
                </c:pt>
                <c:pt idx="1">
                  <c:v>2017</c:v>
                </c:pt>
                <c:pt idx="2">
                  <c:v>2018</c:v>
                </c:pt>
                <c:pt idx="3">
                  <c:v>2019</c:v>
                </c:pt>
                <c:pt idx="4">
                  <c:v>2020</c:v>
                </c:pt>
              </c:numCache>
            </c:numRef>
          </c:cat>
          <c:val>
            <c:numRef>
              <c:f>Analysis!$C$746:$G$746</c:f>
              <c:numCache>
                <c:formatCode>0</c:formatCode>
                <c:ptCount val="5"/>
                <c:pt idx="0">
                  <c:v>176.60000000000002</c:v>
                </c:pt>
                <c:pt idx="1">
                  <c:v>61.400000000000006</c:v>
                </c:pt>
                <c:pt idx="2">
                  <c:v>89.6</c:v>
                </c:pt>
                <c:pt idx="3">
                  <c:v>129.1</c:v>
                </c:pt>
                <c:pt idx="4">
                  <c:v>250.2</c:v>
                </c:pt>
              </c:numCache>
            </c:numRef>
          </c:val>
          <c:extLst>
            <c:ext xmlns:c16="http://schemas.microsoft.com/office/drawing/2014/chart" uri="{C3380CC4-5D6E-409C-BE32-E72D297353CC}">
              <c16:uniqueId val="{00000002-8845-4D99-9102-4322CCCA8274}"/>
            </c:ext>
          </c:extLst>
        </c:ser>
        <c:ser>
          <c:idx val="3"/>
          <c:order val="3"/>
          <c:tx>
            <c:strRef>
              <c:f>Analysis!$B$747</c:f>
              <c:strCache>
                <c:ptCount val="1"/>
                <c:pt idx="0">
                  <c:v>Cable network upgrade</c:v>
                </c:pt>
              </c:strCache>
            </c:strRef>
          </c:tx>
          <c:spPr>
            <a:solidFill>
              <a:srgbClr val="CCCCFF"/>
            </a:solidFill>
            <a:ln w="25400">
              <a:noFill/>
            </a:ln>
            <a:effectLst/>
          </c:spPr>
          <c:invertIfNegative val="0"/>
          <c:cat>
            <c:numRef>
              <c:f>Analysis!$C$743:$G$743</c:f>
              <c:numCache>
                <c:formatCode>General</c:formatCode>
                <c:ptCount val="5"/>
                <c:pt idx="0">
                  <c:v>2016</c:v>
                </c:pt>
                <c:pt idx="1">
                  <c:v>2017</c:v>
                </c:pt>
                <c:pt idx="2">
                  <c:v>2018</c:v>
                </c:pt>
                <c:pt idx="3">
                  <c:v>2019</c:v>
                </c:pt>
                <c:pt idx="4">
                  <c:v>2020</c:v>
                </c:pt>
              </c:numCache>
            </c:numRef>
          </c:cat>
          <c:val>
            <c:numRef>
              <c:f>Analysis!$C$747:$G$747</c:f>
              <c:numCache>
                <c:formatCode>General</c:formatCode>
                <c:ptCount val="5"/>
                <c:pt idx="0" formatCode="0">
                  <c:v>393.68000000000006</c:v>
                </c:pt>
                <c:pt idx="1">
                  <c:v>180</c:v>
                </c:pt>
                <c:pt idx="2">
                  <c:v>160</c:v>
                </c:pt>
                <c:pt idx="3" formatCode="0">
                  <c:v>140</c:v>
                </c:pt>
                <c:pt idx="4">
                  <c:v>140</c:v>
                </c:pt>
              </c:numCache>
            </c:numRef>
          </c:val>
          <c:extLst>
            <c:ext xmlns:c16="http://schemas.microsoft.com/office/drawing/2014/chart" uri="{C3380CC4-5D6E-409C-BE32-E72D297353CC}">
              <c16:uniqueId val="{00000003-8845-4D99-9102-4322CCCA8274}"/>
            </c:ext>
          </c:extLst>
        </c:ser>
        <c:ser>
          <c:idx val="4"/>
          <c:order val="4"/>
          <c:tx>
            <c:strRef>
              <c:f>Analysis!$B$748</c:f>
              <c:strCache>
                <c:ptCount val="1"/>
                <c:pt idx="0">
                  <c:v>Cable CPE/growth</c:v>
                </c:pt>
              </c:strCache>
            </c:strRef>
          </c:tx>
          <c:spPr>
            <a:solidFill>
              <a:srgbClr val="969696"/>
            </a:solidFill>
            <a:ln w="25400">
              <a:noFill/>
            </a:ln>
            <a:effectLst/>
          </c:spPr>
          <c:invertIfNegative val="0"/>
          <c:cat>
            <c:numRef>
              <c:f>Analysis!$C$743:$G$743</c:f>
              <c:numCache>
                <c:formatCode>General</c:formatCode>
                <c:ptCount val="5"/>
                <c:pt idx="0">
                  <c:v>2016</c:v>
                </c:pt>
                <c:pt idx="1">
                  <c:v>2017</c:v>
                </c:pt>
                <c:pt idx="2">
                  <c:v>2018</c:v>
                </c:pt>
                <c:pt idx="3">
                  <c:v>2019</c:v>
                </c:pt>
                <c:pt idx="4">
                  <c:v>2020</c:v>
                </c:pt>
              </c:numCache>
            </c:numRef>
          </c:cat>
          <c:val>
            <c:numRef>
              <c:f>Analysis!$C$748:$G$748</c:f>
              <c:numCache>
                <c:formatCode>0</c:formatCode>
                <c:ptCount val="5"/>
                <c:pt idx="0">
                  <c:v>295.26</c:v>
                </c:pt>
                <c:pt idx="1">
                  <c:v>300</c:v>
                </c:pt>
                <c:pt idx="2">
                  <c:v>225</c:v>
                </c:pt>
                <c:pt idx="3">
                  <c:v>130</c:v>
                </c:pt>
                <c:pt idx="4">
                  <c:v>130</c:v>
                </c:pt>
              </c:numCache>
            </c:numRef>
          </c:val>
          <c:extLst>
            <c:ext xmlns:c16="http://schemas.microsoft.com/office/drawing/2014/chart" uri="{C3380CC4-5D6E-409C-BE32-E72D297353CC}">
              <c16:uniqueId val="{00000004-8845-4D99-9102-4322CCCA8274}"/>
            </c:ext>
          </c:extLst>
        </c:ser>
        <c:ser>
          <c:idx val="5"/>
          <c:order val="5"/>
          <c:tx>
            <c:strRef>
              <c:f>Analysis!$B$749</c:f>
              <c:strCache>
                <c:ptCount val="1"/>
                <c:pt idx="0">
                  <c:v>Cable maintenance</c:v>
                </c:pt>
              </c:strCache>
            </c:strRef>
          </c:tx>
          <c:spPr>
            <a:solidFill>
              <a:srgbClr val="C0C0C0"/>
            </a:solidFill>
            <a:ln w="25400">
              <a:noFill/>
            </a:ln>
            <a:effectLst/>
          </c:spPr>
          <c:invertIfNegative val="0"/>
          <c:cat>
            <c:numRef>
              <c:f>Analysis!$C$743:$G$743</c:f>
              <c:numCache>
                <c:formatCode>General</c:formatCode>
                <c:ptCount val="5"/>
                <c:pt idx="0">
                  <c:v>2016</c:v>
                </c:pt>
                <c:pt idx="1">
                  <c:v>2017</c:v>
                </c:pt>
                <c:pt idx="2">
                  <c:v>2018</c:v>
                </c:pt>
                <c:pt idx="3">
                  <c:v>2019</c:v>
                </c:pt>
                <c:pt idx="4">
                  <c:v>2020</c:v>
                </c:pt>
              </c:numCache>
            </c:numRef>
          </c:cat>
          <c:val>
            <c:numRef>
              <c:f>Analysis!$C$749:$G$749</c:f>
              <c:numCache>
                <c:formatCode>0</c:formatCode>
                <c:ptCount val="5"/>
                <c:pt idx="0">
                  <c:v>295.26</c:v>
                </c:pt>
                <c:pt idx="1">
                  <c:v>79.700000000000045</c:v>
                </c:pt>
                <c:pt idx="2">
                  <c:v>280</c:v>
                </c:pt>
                <c:pt idx="3">
                  <c:v>403.6</c:v>
                </c:pt>
                <c:pt idx="4">
                  <c:v>392.5</c:v>
                </c:pt>
              </c:numCache>
            </c:numRef>
          </c:val>
          <c:extLst>
            <c:ext xmlns:c16="http://schemas.microsoft.com/office/drawing/2014/chart" uri="{C3380CC4-5D6E-409C-BE32-E72D297353CC}">
              <c16:uniqueId val="{00000005-8845-4D99-9102-4322CCCA8274}"/>
            </c:ext>
          </c:extLst>
        </c:ser>
        <c:dLbls>
          <c:showLegendKey val="0"/>
          <c:showVal val="0"/>
          <c:showCatName val="0"/>
          <c:showSerName val="0"/>
          <c:showPercent val="0"/>
          <c:showBubbleSize val="0"/>
        </c:dLbls>
        <c:gapWidth val="219"/>
        <c:overlap val="100"/>
        <c:axId val="118958336"/>
        <c:axId val="118976512"/>
      </c:barChart>
      <c:catAx>
        <c:axId val="118958336"/>
        <c:scaling>
          <c:orientation val="minMax"/>
        </c:scaling>
        <c:delete val="0"/>
        <c:axPos val="b"/>
        <c:numFmt formatCode="General" sourceLinked="1"/>
        <c:majorTickMark val="none"/>
        <c:minorTickMark val="none"/>
        <c:tickLblPos val="nextTo"/>
        <c:spPr>
          <a:noFill/>
          <a:ln w="9525" cap="flat" cmpd="sng" algn="ctr">
            <a:solidFill>
              <a:srgbClr val="868686"/>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976512"/>
        <c:crosses val="autoZero"/>
        <c:auto val="1"/>
        <c:lblAlgn val="ctr"/>
        <c:lblOffset val="100"/>
        <c:noMultiLvlLbl val="0"/>
      </c:catAx>
      <c:valAx>
        <c:axId val="11897651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rgbClr val="868686"/>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95833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908234218937631E-2"/>
          <c:y val="4.3818460463327678E-2"/>
          <c:w val="0.90882601246639283"/>
          <c:h val="0.6766071913424615"/>
        </c:manualLayout>
      </c:layout>
      <c:lineChart>
        <c:grouping val="standard"/>
        <c:varyColors val="0"/>
        <c:ser>
          <c:idx val="0"/>
          <c:order val="0"/>
          <c:tx>
            <c:strRef>
              <c:f>'Earnings Snaps'!$A$109</c:f>
              <c:strCache>
                <c:ptCount val="1"/>
                <c:pt idx="0">
                  <c:v>Televisa</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Snaps'!$AH$101:$AT$101</c:f>
              <c:strCache>
                <c:ptCount val="13"/>
                <c:pt idx="0">
                  <c:v>Q1 21</c:v>
                </c:pt>
                <c:pt idx="1">
                  <c:v>Q2 21</c:v>
                </c:pt>
                <c:pt idx="2">
                  <c:v>Q3 21</c:v>
                </c:pt>
                <c:pt idx="3">
                  <c:v>Q4 21</c:v>
                </c:pt>
                <c:pt idx="4">
                  <c:v>Q1 22</c:v>
                </c:pt>
                <c:pt idx="5">
                  <c:v>Q2 22</c:v>
                </c:pt>
                <c:pt idx="6">
                  <c:v>Q3 22</c:v>
                </c:pt>
                <c:pt idx="7">
                  <c:v>Q4 22</c:v>
                </c:pt>
                <c:pt idx="8">
                  <c:v>Q1 23</c:v>
                </c:pt>
                <c:pt idx="9">
                  <c:v>Q2 23</c:v>
                </c:pt>
                <c:pt idx="10">
                  <c:v>Q3 23</c:v>
                </c:pt>
                <c:pt idx="11">
                  <c:v>Q4 23</c:v>
                </c:pt>
                <c:pt idx="12">
                  <c:v>Q1 24</c:v>
                </c:pt>
              </c:strCache>
            </c:strRef>
          </c:cat>
          <c:val>
            <c:numRef>
              <c:f>'Earnings Snaps'!$AH$109:$AT$109</c:f>
              <c:numCache>
                <c:formatCode>0.0%</c:formatCode>
                <c:ptCount val="13"/>
                <c:pt idx="0">
                  <c:v>7.6676391332427762E-2</c:v>
                </c:pt>
                <c:pt idx="1">
                  <c:v>7.8084398153119405E-2</c:v>
                </c:pt>
                <c:pt idx="2">
                  <c:v>5.5830049825922101E-2</c:v>
                </c:pt>
                <c:pt idx="3">
                  <c:v>8.2949866795834382E-2</c:v>
                </c:pt>
                <c:pt idx="4">
                  <c:v>2.9930087287469487E-2</c:v>
                </c:pt>
                <c:pt idx="5">
                  <c:v>-1.3605306667197947E-2</c:v>
                </c:pt>
                <c:pt idx="6">
                  <c:v>-3.0032579721591568E-2</c:v>
                </c:pt>
                <c:pt idx="7">
                  <c:v>-5.7121025755712096E-2</c:v>
                </c:pt>
                <c:pt idx="8">
                  <c:v>-4.478541160404137E-3</c:v>
                </c:pt>
                <c:pt idx="9">
                  <c:v>-2.2294923058281957E-2</c:v>
                </c:pt>
                <c:pt idx="10">
                  <c:v>-0.12042993241592692</c:v>
                </c:pt>
                <c:pt idx="11">
                  <c:v>-7.0661949281521141E-2</c:v>
                </c:pt>
                <c:pt idx="12">
                  <c:v>-8.6999999999999994E-2</c:v>
                </c:pt>
              </c:numCache>
            </c:numRef>
          </c:val>
          <c:smooth val="0"/>
          <c:extLst>
            <c:ext xmlns:c16="http://schemas.microsoft.com/office/drawing/2014/chart" uri="{C3380CC4-5D6E-409C-BE32-E72D297353CC}">
              <c16:uniqueId val="{00000000-639B-4C9F-B3E8-DB67F9713A48}"/>
            </c:ext>
          </c:extLst>
        </c:ser>
        <c:ser>
          <c:idx val="1"/>
          <c:order val="1"/>
          <c:tx>
            <c:strRef>
              <c:f>'Earnings Snaps'!$A$110</c:f>
              <c:strCache>
                <c:ptCount val="1"/>
                <c:pt idx="0">
                  <c:v>Televisa MSO</c:v>
                </c:pt>
              </c:strCache>
            </c:strRef>
          </c:tx>
          <c:spPr>
            <a:ln w="25400" cap="rnd">
              <a:solidFill>
                <a:srgbClr val="F9663E"/>
              </a:solidFill>
              <a:prstDash val="solid"/>
              <a:round/>
            </a:ln>
            <a:effectLst/>
          </c:spPr>
          <c:marker>
            <c:symbol val="none"/>
          </c:marker>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Snaps'!$AH$101:$AT$101</c:f>
              <c:strCache>
                <c:ptCount val="13"/>
                <c:pt idx="0">
                  <c:v>Q1 21</c:v>
                </c:pt>
                <c:pt idx="1">
                  <c:v>Q2 21</c:v>
                </c:pt>
                <c:pt idx="2">
                  <c:v>Q3 21</c:v>
                </c:pt>
                <c:pt idx="3">
                  <c:v>Q4 21</c:v>
                </c:pt>
                <c:pt idx="4">
                  <c:v>Q1 22</c:v>
                </c:pt>
                <c:pt idx="5">
                  <c:v>Q2 22</c:v>
                </c:pt>
                <c:pt idx="6">
                  <c:v>Q3 22</c:v>
                </c:pt>
                <c:pt idx="7">
                  <c:v>Q4 22</c:v>
                </c:pt>
                <c:pt idx="8">
                  <c:v>Q1 23</c:v>
                </c:pt>
                <c:pt idx="9">
                  <c:v>Q2 23</c:v>
                </c:pt>
                <c:pt idx="10">
                  <c:v>Q3 23</c:v>
                </c:pt>
                <c:pt idx="11">
                  <c:v>Q4 23</c:v>
                </c:pt>
                <c:pt idx="12">
                  <c:v>Q1 24</c:v>
                </c:pt>
              </c:strCache>
            </c:strRef>
          </c:cat>
          <c:val>
            <c:numRef>
              <c:f>'Earnings Snaps'!$AH$110:$AT$110</c:f>
              <c:numCache>
                <c:formatCode>0.0%</c:formatCode>
                <c:ptCount val="13"/>
                <c:pt idx="0">
                  <c:v>8.7466951269798976E-2</c:v>
                </c:pt>
                <c:pt idx="1">
                  <c:v>7.1964161655846404E-2</c:v>
                </c:pt>
                <c:pt idx="2">
                  <c:v>6.0211422358955158E-2</c:v>
                </c:pt>
                <c:pt idx="3">
                  <c:v>8.379925750324313E-2</c:v>
                </c:pt>
                <c:pt idx="4">
                  <c:v>4.2647157227934773E-2</c:v>
                </c:pt>
                <c:pt idx="5">
                  <c:v>4.983574317831363E-2</c:v>
                </c:pt>
                <c:pt idx="6">
                  <c:v>2.9017759741676308E-3</c:v>
                </c:pt>
                <c:pt idx="7">
                  <c:v>1.0338210107096124E-2</c:v>
                </c:pt>
                <c:pt idx="8">
                  <c:v>1.4375869076906689E-2</c:v>
                </c:pt>
                <c:pt idx="9">
                  <c:v>-1.4347446622815396E-2</c:v>
                </c:pt>
                <c:pt idx="10">
                  <c:v>-7.3139426110035433E-2</c:v>
                </c:pt>
                <c:pt idx="11">
                  <c:v>-6.6745639475511709E-2</c:v>
                </c:pt>
                <c:pt idx="12">
                  <c:v>-0.10348507919100747</c:v>
                </c:pt>
              </c:numCache>
            </c:numRef>
          </c:val>
          <c:smooth val="0"/>
          <c:extLst>
            <c:ext xmlns:c16="http://schemas.microsoft.com/office/drawing/2014/chart" uri="{C3380CC4-5D6E-409C-BE32-E72D297353CC}">
              <c16:uniqueId val="{00000001-639B-4C9F-B3E8-DB67F9713A48}"/>
            </c:ext>
          </c:extLst>
        </c:ser>
        <c:ser>
          <c:idx val="2"/>
          <c:order val="2"/>
          <c:tx>
            <c:strRef>
              <c:f>'Earnings Snaps'!$A$111</c:f>
              <c:strCache>
                <c:ptCount val="1"/>
                <c:pt idx="0">
                  <c:v>MEGA</c:v>
                </c:pt>
              </c:strCache>
            </c:strRef>
          </c:tx>
          <c:spPr>
            <a:ln w="25400" cap="rnd">
              <a:solidFill>
                <a:srgbClr val="C7FE02"/>
              </a:solidFill>
              <a:prstDash val="solid"/>
              <a:round/>
            </a:ln>
            <a:effectLst/>
          </c:spPr>
          <c:marker>
            <c:symbol val="none"/>
          </c:marker>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Snaps'!$AH$101:$AT$101</c:f>
              <c:strCache>
                <c:ptCount val="13"/>
                <c:pt idx="0">
                  <c:v>Q1 21</c:v>
                </c:pt>
                <c:pt idx="1">
                  <c:v>Q2 21</c:v>
                </c:pt>
                <c:pt idx="2">
                  <c:v>Q3 21</c:v>
                </c:pt>
                <c:pt idx="3">
                  <c:v>Q4 21</c:v>
                </c:pt>
                <c:pt idx="4">
                  <c:v>Q1 22</c:v>
                </c:pt>
                <c:pt idx="5">
                  <c:v>Q2 22</c:v>
                </c:pt>
                <c:pt idx="6">
                  <c:v>Q3 22</c:v>
                </c:pt>
                <c:pt idx="7">
                  <c:v>Q4 22</c:v>
                </c:pt>
                <c:pt idx="8">
                  <c:v>Q1 23</c:v>
                </c:pt>
                <c:pt idx="9">
                  <c:v>Q2 23</c:v>
                </c:pt>
                <c:pt idx="10">
                  <c:v>Q3 23</c:v>
                </c:pt>
                <c:pt idx="11">
                  <c:v>Q4 23</c:v>
                </c:pt>
                <c:pt idx="12">
                  <c:v>Q1 24</c:v>
                </c:pt>
              </c:strCache>
            </c:strRef>
          </c:cat>
          <c:val>
            <c:numRef>
              <c:f>'Earnings Snaps'!$AH$111:$AT$111</c:f>
              <c:numCache>
                <c:formatCode>0.0%</c:formatCode>
                <c:ptCount val="13"/>
                <c:pt idx="0">
                  <c:v>9.5395834234278887E-2</c:v>
                </c:pt>
                <c:pt idx="1">
                  <c:v>0.11859159936920571</c:v>
                </c:pt>
                <c:pt idx="2">
                  <c:v>8.7999999999999995E-2</c:v>
                </c:pt>
                <c:pt idx="3">
                  <c:v>0.13363084598915265</c:v>
                </c:pt>
                <c:pt idx="4">
                  <c:v>7.8632397287918154E-2</c:v>
                </c:pt>
                <c:pt idx="5">
                  <c:v>8.0107822410147897E-2</c:v>
                </c:pt>
                <c:pt idx="6">
                  <c:v>4.6471352287487333E-2</c:v>
                </c:pt>
                <c:pt idx="7">
                  <c:v>2.9770583408494922E-3</c:v>
                </c:pt>
                <c:pt idx="8">
                  <c:v>8.0529148597552336E-3</c:v>
                </c:pt>
                <c:pt idx="9">
                  <c:v>9.2038549644968271E-3</c:v>
                </c:pt>
                <c:pt idx="10">
                  <c:v>5.3525631668893014E-2</c:v>
                </c:pt>
                <c:pt idx="11">
                  <c:v>0.11403042596348878</c:v>
                </c:pt>
                <c:pt idx="12">
                  <c:v>0.12387491360451675</c:v>
                </c:pt>
              </c:numCache>
            </c:numRef>
          </c:val>
          <c:smooth val="0"/>
          <c:extLst>
            <c:ext xmlns:c16="http://schemas.microsoft.com/office/drawing/2014/chart" uri="{C3380CC4-5D6E-409C-BE32-E72D297353CC}">
              <c16:uniqueId val="{00000002-639B-4C9F-B3E8-DB67F9713A48}"/>
            </c:ext>
          </c:extLst>
        </c:ser>
        <c:dLbls>
          <c:showLegendKey val="0"/>
          <c:showVal val="0"/>
          <c:showCatName val="0"/>
          <c:showSerName val="0"/>
          <c:showPercent val="0"/>
          <c:showBubbleSize val="0"/>
        </c:dLbls>
        <c:smooth val="0"/>
        <c:axId val="1183144960"/>
        <c:axId val="1178271328"/>
      </c:lineChart>
      <c:catAx>
        <c:axId val="1183144960"/>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178271328"/>
        <c:crosses val="autoZero"/>
        <c:auto val="1"/>
        <c:lblAlgn val="ctr"/>
        <c:lblOffset val="100"/>
        <c:noMultiLvlLbl val="0"/>
      </c:catAx>
      <c:valAx>
        <c:axId val="1178271328"/>
        <c:scaling>
          <c:orientation val="minMax"/>
        </c:scaling>
        <c:delete val="1"/>
        <c:axPos val="l"/>
        <c:numFmt formatCode="0%" sourceLinked="0"/>
        <c:majorTickMark val="out"/>
        <c:minorTickMark val="none"/>
        <c:tickLblPos val="nextTo"/>
        <c:crossAx val="118314496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000080"/>
              </a:solidFill>
              <a:ln w="25400">
                <a:noFill/>
              </a:ln>
              <a:effectLst/>
            </c:spPr>
            <c:extLst>
              <c:ext xmlns:c16="http://schemas.microsoft.com/office/drawing/2014/chart" uri="{C3380CC4-5D6E-409C-BE32-E72D297353CC}">
                <c16:uniqueId val="{00000001-4D24-4887-91B6-2E333785447F}"/>
              </c:ext>
            </c:extLst>
          </c:dPt>
          <c:dPt>
            <c:idx val="1"/>
            <c:bubble3D val="0"/>
            <c:spPr>
              <a:solidFill>
                <a:srgbClr val="9999FF"/>
              </a:solidFill>
              <a:ln w="25400">
                <a:noFill/>
              </a:ln>
              <a:effectLst/>
            </c:spPr>
            <c:extLst>
              <c:ext xmlns:c16="http://schemas.microsoft.com/office/drawing/2014/chart" uri="{C3380CC4-5D6E-409C-BE32-E72D297353CC}">
                <c16:uniqueId val="{00000003-4D24-4887-91B6-2E333785447F}"/>
              </c:ext>
            </c:extLst>
          </c:dPt>
          <c:dPt>
            <c:idx val="2"/>
            <c:bubble3D val="0"/>
            <c:spPr>
              <a:solidFill>
                <a:srgbClr val="3366FF"/>
              </a:solidFill>
              <a:ln w="25400">
                <a:noFill/>
              </a:ln>
              <a:effectLst/>
            </c:spPr>
            <c:extLst>
              <c:ext xmlns:c16="http://schemas.microsoft.com/office/drawing/2014/chart" uri="{C3380CC4-5D6E-409C-BE32-E72D297353CC}">
                <c16:uniqueId val="{00000005-4D24-4887-91B6-2E333785447F}"/>
              </c:ext>
            </c:extLst>
          </c:dPt>
          <c:dPt>
            <c:idx val="3"/>
            <c:bubble3D val="0"/>
            <c:spPr>
              <a:solidFill>
                <a:srgbClr val="CCCCFF"/>
              </a:solidFill>
              <a:ln w="25400">
                <a:noFill/>
              </a:ln>
              <a:effectLst/>
            </c:spPr>
            <c:extLst>
              <c:ext xmlns:c16="http://schemas.microsoft.com/office/drawing/2014/chart" uri="{C3380CC4-5D6E-409C-BE32-E72D297353CC}">
                <c16:uniqueId val="{00000007-4D24-4887-91B6-2E333785447F}"/>
              </c:ext>
            </c:extLst>
          </c:dPt>
          <c:dPt>
            <c:idx val="4"/>
            <c:bubble3D val="0"/>
            <c:spPr>
              <a:solidFill>
                <a:srgbClr val="969696"/>
              </a:solidFill>
              <a:ln w="25400">
                <a:noFill/>
              </a:ln>
              <a:effectLst/>
            </c:spPr>
            <c:extLst>
              <c:ext xmlns:c16="http://schemas.microsoft.com/office/drawing/2014/chart" uri="{C3380CC4-5D6E-409C-BE32-E72D297353CC}">
                <c16:uniqueId val="{00000009-4D24-4887-91B6-2E333785447F}"/>
              </c:ext>
            </c:extLst>
          </c:dPt>
          <c:dPt>
            <c:idx val="5"/>
            <c:bubble3D val="0"/>
            <c:spPr>
              <a:solidFill>
                <a:srgbClr val="C0C0C0"/>
              </a:solidFill>
              <a:ln w="3175">
                <a:solidFill>
                  <a:srgbClr val="C0C0C0"/>
                </a:solidFill>
                <a:prstDash val="solid"/>
              </a:ln>
              <a:effectLst/>
            </c:spPr>
            <c:extLst>
              <c:ext xmlns:c16="http://schemas.microsoft.com/office/drawing/2014/chart" uri="{C3380CC4-5D6E-409C-BE32-E72D297353CC}">
                <c16:uniqueId val="{0000000B-4D24-4887-91B6-2E333785447F}"/>
              </c:ext>
            </c:extLst>
          </c:dPt>
          <c:cat>
            <c:strRef>
              <c:f>Notes!$B$172:$B$177</c:f>
              <c:strCache>
                <c:ptCount val="6"/>
                <c:pt idx="0">
                  <c:v>SKY</c:v>
                </c:pt>
                <c:pt idx="1">
                  <c:v>Dish</c:v>
                </c:pt>
                <c:pt idx="2">
                  <c:v>Megacable</c:v>
                </c:pt>
                <c:pt idx="3">
                  <c:v>Cablemas</c:v>
                </c:pt>
                <c:pt idx="4">
                  <c:v>Cablevision</c:v>
                </c:pt>
                <c:pt idx="5">
                  <c:v>Other</c:v>
                </c:pt>
              </c:strCache>
            </c:strRef>
          </c:cat>
          <c:val>
            <c:numRef>
              <c:f>Notes!$C$172:$C$177</c:f>
              <c:numCache>
                <c:formatCode>0%</c:formatCode>
                <c:ptCount val="6"/>
                <c:pt idx="0">
                  <c:v>0.32</c:v>
                </c:pt>
                <c:pt idx="1">
                  <c:v>0.17</c:v>
                </c:pt>
                <c:pt idx="2">
                  <c:v>0.17</c:v>
                </c:pt>
                <c:pt idx="3">
                  <c:v>0.1</c:v>
                </c:pt>
                <c:pt idx="4">
                  <c:v>0.09</c:v>
                </c:pt>
                <c:pt idx="5">
                  <c:v>0.15000000000000002</c:v>
                </c:pt>
              </c:numCache>
            </c:numRef>
          </c:val>
          <c:extLst>
            <c:ext xmlns:c16="http://schemas.microsoft.com/office/drawing/2014/chart" uri="{C3380CC4-5D6E-409C-BE32-E72D297353CC}">
              <c16:uniqueId val="{0000000C-4D24-4887-91B6-2E333785447F}"/>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8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Notes!$B$3128</c:f>
              <c:strCache>
                <c:ptCount val="1"/>
                <c:pt idx="0">
                  <c:v>Government</c:v>
                </c:pt>
              </c:strCache>
            </c:strRef>
          </c:tx>
          <c:spPr>
            <a:solidFill>
              <a:srgbClr val="000080"/>
            </a:solidFill>
            <a:ln w="25400">
              <a:noFill/>
            </a:ln>
            <a:effectLst/>
          </c:spPr>
          <c:invertIfNegative val="0"/>
          <c:cat>
            <c:strRef>
              <c:f>Notes!$C$3127:$G$3127</c:f>
              <c:strCache>
                <c:ptCount val="5"/>
                <c:pt idx="0">
                  <c:v>Q1 19</c:v>
                </c:pt>
                <c:pt idx="1">
                  <c:v>Q2 19</c:v>
                </c:pt>
                <c:pt idx="2">
                  <c:v>Q3 19</c:v>
                </c:pt>
                <c:pt idx="3">
                  <c:v>Q4 19</c:v>
                </c:pt>
                <c:pt idx="4">
                  <c:v>FY 19</c:v>
                </c:pt>
              </c:strCache>
            </c:strRef>
          </c:cat>
          <c:val>
            <c:numRef>
              <c:f>Notes!$C$3128:$G$3128</c:f>
              <c:numCache>
                <c:formatCode>0%</c:formatCode>
                <c:ptCount val="5"/>
                <c:pt idx="0">
                  <c:v>-0.83333333333333326</c:v>
                </c:pt>
                <c:pt idx="1">
                  <c:v>-0.75</c:v>
                </c:pt>
                <c:pt idx="2">
                  <c:v>-0.42857142857142838</c:v>
                </c:pt>
                <c:pt idx="3">
                  <c:v>0.3333333333333337</c:v>
                </c:pt>
                <c:pt idx="4">
                  <c:v>-0.5</c:v>
                </c:pt>
              </c:numCache>
            </c:numRef>
          </c:val>
          <c:extLst>
            <c:ext xmlns:c16="http://schemas.microsoft.com/office/drawing/2014/chart" uri="{C3380CC4-5D6E-409C-BE32-E72D297353CC}">
              <c16:uniqueId val="{00000000-6F38-42C8-A4EC-54122926433C}"/>
            </c:ext>
          </c:extLst>
        </c:ser>
        <c:ser>
          <c:idx val="1"/>
          <c:order val="1"/>
          <c:tx>
            <c:strRef>
              <c:f>Notes!$B$3129</c:f>
              <c:strCache>
                <c:ptCount val="1"/>
                <c:pt idx="0">
                  <c:v>Non-government</c:v>
                </c:pt>
              </c:strCache>
            </c:strRef>
          </c:tx>
          <c:spPr>
            <a:solidFill>
              <a:srgbClr val="9999FF"/>
            </a:solidFill>
            <a:ln w="25400">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Notes!$C$3127:$G$3127</c:f>
              <c:strCache>
                <c:ptCount val="5"/>
                <c:pt idx="0">
                  <c:v>Q1 19</c:v>
                </c:pt>
                <c:pt idx="1">
                  <c:v>Q2 19</c:v>
                </c:pt>
                <c:pt idx="2">
                  <c:v>Q3 19</c:v>
                </c:pt>
                <c:pt idx="3">
                  <c:v>Q4 19</c:v>
                </c:pt>
                <c:pt idx="4">
                  <c:v>FY 19</c:v>
                </c:pt>
              </c:strCache>
            </c:strRef>
          </c:cat>
          <c:val>
            <c:numRef>
              <c:f>Notes!$C$3129:$G$3129</c:f>
              <c:numCache>
                <c:formatCode>0.0%</c:formatCode>
                <c:ptCount val="5"/>
                <c:pt idx="0">
                  <c:v>-2.2727272727272707E-2</c:v>
                </c:pt>
                <c:pt idx="1">
                  <c:v>-0.11458333333333337</c:v>
                </c:pt>
                <c:pt idx="2">
                  <c:v>2.2727272727272707E-2</c:v>
                </c:pt>
                <c:pt idx="3">
                  <c:v>4.7804878048780752E-2</c:v>
                </c:pt>
                <c:pt idx="4">
                  <c:v>-0.02</c:v>
                </c:pt>
              </c:numCache>
            </c:numRef>
          </c:val>
          <c:extLst>
            <c:ext xmlns:c16="http://schemas.microsoft.com/office/drawing/2014/chart" uri="{C3380CC4-5D6E-409C-BE32-E72D297353CC}">
              <c16:uniqueId val="{00000001-6F38-42C8-A4EC-54122926433C}"/>
            </c:ext>
          </c:extLst>
        </c:ser>
        <c:ser>
          <c:idx val="2"/>
          <c:order val="2"/>
          <c:tx>
            <c:strRef>
              <c:f>Notes!$B$3130</c:f>
              <c:strCache>
                <c:ptCount val="1"/>
                <c:pt idx="0">
                  <c:v>Total Ad spend</c:v>
                </c:pt>
              </c:strCache>
            </c:strRef>
          </c:tx>
          <c:spPr>
            <a:solidFill>
              <a:srgbClr val="3366FF"/>
            </a:solidFill>
            <a:ln w="25400">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Notes!$C$3127:$G$3127</c:f>
              <c:strCache>
                <c:ptCount val="5"/>
                <c:pt idx="0">
                  <c:v>Q1 19</c:v>
                </c:pt>
                <c:pt idx="1">
                  <c:v>Q2 19</c:v>
                </c:pt>
                <c:pt idx="2">
                  <c:v>Q3 19</c:v>
                </c:pt>
                <c:pt idx="3">
                  <c:v>Q4 19</c:v>
                </c:pt>
                <c:pt idx="4">
                  <c:v>FY 19</c:v>
                </c:pt>
              </c:strCache>
            </c:strRef>
          </c:cat>
          <c:val>
            <c:numRef>
              <c:f>Notes!$C$3130:$G$3130</c:f>
              <c:numCache>
                <c:formatCode>0.0%</c:formatCode>
                <c:ptCount val="5"/>
                <c:pt idx="0">
                  <c:v>-0.13261296660117883</c:v>
                </c:pt>
                <c:pt idx="1">
                  <c:v>-0.17015209125475295</c:v>
                </c:pt>
                <c:pt idx="2">
                  <c:v>-4.7070124879923125E-2</c:v>
                </c:pt>
                <c:pt idx="3">
                  <c:v>6.996625421822289E-2</c:v>
                </c:pt>
                <c:pt idx="4">
                  <c:v>-7.5199999999999934E-2</c:v>
                </c:pt>
              </c:numCache>
            </c:numRef>
          </c:val>
          <c:extLst>
            <c:ext xmlns:c16="http://schemas.microsoft.com/office/drawing/2014/chart" uri="{C3380CC4-5D6E-409C-BE32-E72D297353CC}">
              <c16:uniqueId val="{00000002-6F38-42C8-A4EC-54122926433C}"/>
            </c:ext>
          </c:extLst>
        </c:ser>
        <c:dLbls>
          <c:showLegendKey val="0"/>
          <c:showVal val="0"/>
          <c:showCatName val="0"/>
          <c:showSerName val="0"/>
          <c:showPercent val="0"/>
          <c:showBubbleSize val="0"/>
        </c:dLbls>
        <c:gapWidth val="219"/>
        <c:overlap val="-27"/>
        <c:axId val="916275472"/>
        <c:axId val="913468368"/>
      </c:barChart>
      <c:catAx>
        <c:axId val="916275472"/>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13468368"/>
        <c:crosses val="autoZero"/>
        <c:auto val="1"/>
        <c:lblAlgn val="ctr"/>
        <c:lblOffset val="100"/>
        <c:noMultiLvlLbl val="0"/>
      </c:catAx>
      <c:valAx>
        <c:axId val="913468368"/>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y/y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1627547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Content</c:v>
          </c:tx>
          <c:spPr>
            <a:solidFill>
              <a:srgbClr val="000080"/>
            </a:solidFill>
            <a:ln w="25400">
              <a:noFill/>
            </a:ln>
            <a:effectLst/>
          </c:spPr>
          <c:invertIfNegative val="0"/>
          <c:cat>
            <c:strRef>
              <c:f>Notes!$E$3744:$G$3744</c:f>
              <c:strCache>
                <c:ptCount val="3"/>
                <c:pt idx="0">
                  <c:v>2019</c:v>
                </c:pt>
                <c:pt idx="1">
                  <c:v>FY19 2020 guide</c:v>
                </c:pt>
                <c:pt idx="2">
                  <c:v>New 2020 guide</c:v>
                </c:pt>
              </c:strCache>
            </c:strRef>
          </c:cat>
          <c:val>
            <c:numRef>
              <c:f>Notes!$E$3745:$G$3745</c:f>
              <c:numCache>
                <c:formatCode>0</c:formatCode>
                <c:ptCount val="3"/>
                <c:pt idx="0">
                  <c:v>107.8</c:v>
                </c:pt>
                <c:pt idx="1">
                  <c:v>107.8</c:v>
                </c:pt>
                <c:pt idx="2">
                  <c:v>65.899999999999977</c:v>
                </c:pt>
              </c:numCache>
            </c:numRef>
          </c:val>
          <c:extLst>
            <c:ext xmlns:c16="http://schemas.microsoft.com/office/drawing/2014/chart" uri="{C3380CC4-5D6E-409C-BE32-E72D297353CC}">
              <c16:uniqueId val="{00000000-6F04-4A69-8F41-8ED348733185}"/>
            </c:ext>
          </c:extLst>
        </c:ser>
        <c:ser>
          <c:idx val="1"/>
          <c:order val="1"/>
          <c:tx>
            <c:v>SKY</c:v>
          </c:tx>
          <c:spPr>
            <a:solidFill>
              <a:srgbClr val="9999FF"/>
            </a:solidFill>
            <a:ln w="25400">
              <a:noFill/>
            </a:ln>
            <a:effectLst/>
          </c:spPr>
          <c:invertIfNegative val="0"/>
          <c:cat>
            <c:strRef>
              <c:f>Notes!$E$3744:$G$3744</c:f>
              <c:strCache>
                <c:ptCount val="3"/>
                <c:pt idx="0">
                  <c:v>2019</c:v>
                </c:pt>
                <c:pt idx="1">
                  <c:v>FY19 2020 guide</c:v>
                </c:pt>
                <c:pt idx="2">
                  <c:v>New 2020 guide</c:v>
                </c:pt>
              </c:strCache>
            </c:strRef>
          </c:cat>
          <c:val>
            <c:numRef>
              <c:f>Notes!$E$3746:$G$3746</c:f>
              <c:numCache>
                <c:formatCode>0</c:formatCode>
                <c:ptCount val="3"/>
                <c:pt idx="0">
                  <c:v>209.1</c:v>
                </c:pt>
                <c:pt idx="1">
                  <c:v>209.1</c:v>
                </c:pt>
                <c:pt idx="2">
                  <c:v>209.1</c:v>
                </c:pt>
              </c:numCache>
            </c:numRef>
          </c:val>
          <c:extLst>
            <c:ext xmlns:c16="http://schemas.microsoft.com/office/drawing/2014/chart" uri="{C3380CC4-5D6E-409C-BE32-E72D297353CC}">
              <c16:uniqueId val="{00000001-6F04-4A69-8F41-8ED348733185}"/>
            </c:ext>
          </c:extLst>
        </c:ser>
        <c:ser>
          <c:idx val="2"/>
          <c:order val="2"/>
          <c:tx>
            <c:v>Cable</c:v>
          </c:tx>
          <c:spPr>
            <a:solidFill>
              <a:srgbClr val="3366FF"/>
            </a:solidFill>
            <a:ln w="25400">
              <a:noFill/>
            </a:ln>
            <a:effectLst/>
          </c:spPr>
          <c:invertIfNegative val="0"/>
          <c:cat>
            <c:strRef>
              <c:f>Notes!$E$3744:$G$3744</c:f>
              <c:strCache>
                <c:ptCount val="3"/>
                <c:pt idx="0">
                  <c:v>2019</c:v>
                </c:pt>
                <c:pt idx="1">
                  <c:v>FY19 2020 guide</c:v>
                </c:pt>
                <c:pt idx="2">
                  <c:v>New 2020 guide</c:v>
                </c:pt>
              </c:strCache>
            </c:strRef>
          </c:cat>
          <c:val>
            <c:numRef>
              <c:f>Notes!$E$3747:$G$3747</c:f>
              <c:numCache>
                <c:formatCode>General</c:formatCode>
                <c:ptCount val="3"/>
                <c:pt idx="0" formatCode="0">
                  <c:v>673.6</c:v>
                </c:pt>
                <c:pt idx="1">
                  <c:v>575</c:v>
                </c:pt>
                <c:pt idx="2">
                  <c:v>500</c:v>
                </c:pt>
              </c:numCache>
            </c:numRef>
          </c:val>
          <c:extLst>
            <c:ext xmlns:c16="http://schemas.microsoft.com/office/drawing/2014/chart" uri="{C3380CC4-5D6E-409C-BE32-E72D297353CC}">
              <c16:uniqueId val="{00000002-6F04-4A69-8F41-8ED348733185}"/>
            </c:ext>
          </c:extLst>
        </c:ser>
        <c:dLbls>
          <c:showLegendKey val="0"/>
          <c:showVal val="0"/>
          <c:showCatName val="0"/>
          <c:showSerName val="0"/>
          <c:showPercent val="0"/>
          <c:showBubbleSize val="0"/>
        </c:dLbls>
        <c:gapWidth val="150"/>
        <c:overlap val="100"/>
        <c:axId val="622003064"/>
        <c:axId val="625991872"/>
      </c:barChart>
      <c:catAx>
        <c:axId val="62200306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25991872"/>
        <c:crosses val="autoZero"/>
        <c:auto val="1"/>
        <c:lblAlgn val="ctr"/>
        <c:lblOffset val="100"/>
        <c:noMultiLvlLbl val="0"/>
      </c:catAx>
      <c:valAx>
        <c:axId val="625991872"/>
        <c:scaling>
          <c:orientation val="minMax"/>
          <c:max val="1000"/>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2200306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333399"/>
              </a:solidFill>
              <a:prstDash val="solid"/>
            </a:ln>
            <a:effectLst/>
          </c:spPr>
          <c:marker>
            <c:symbol val="none"/>
          </c:marker>
          <c:cat>
            <c:strRef>
              <c:f>Univision!$I$211:$AO$211</c:f>
              <c:strCache>
                <c:ptCount val="33"/>
                <c:pt idx="0">
                  <c:v>Q3 11</c:v>
                </c:pt>
                <c:pt idx="1">
                  <c:v>Q4 11</c:v>
                </c:pt>
                <c:pt idx="2">
                  <c:v>Q1 12</c:v>
                </c:pt>
                <c:pt idx="3">
                  <c:v>Q2 12</c:v>
                </c:pt>
                <c:pt idx="4">
                  <c:v>Q3 12</c:v>
                </c:pt>
                <c:pt idx="5">
                  <c:v>Q4 12</c:v>
                </c:pt>
                <c:pt idx="6">
                  <c:v>Q1 13</c:v>
                </c:pt>
                <c:pt idx="7">
                  <c:v>Q2 13</c:v>
                </c:pt>
                <c:pt idx="8">
                  <c:v>Q3 13</c:v>
                </c:pt>
                <c:pt idx="9">
                  <c:v>Q4 13</c:v>
                </c:pt>
                <c:pt idx="10">
                  <c:v>Q1 14</c:v>
                </c:pt>
                <c:pt idx="11">
                  <c:v>Q2 14</c:v>
                </c:pt>
                <c:pt idx="12">
                  <c:v>Q3 14</c:v>
                </c:pt>
                <c:pt idx="13">
                  <c:v>Q4 14</c:v>
                </c:pt>
                <c:pt idx="14">
                  <c:v>Q1 15</c:v>
                </c:pt>
                <c:pt idx="15">
                  <c:v>Q2 15</c:v>
                </c:pt>
                <c:pt idx="16">
                  <c:v>Q3 15</c:v>
                </c:pt>
                <c:pt idx="17">
                  <c:v>Q4 15</c:v>
                </c:pt>
                <c:pt idx="18">
                  <c:v>Q1 16</c:v>
                </c:pt>
                <c:pt idx="19">
                  <c:v>Q2 16</c:v>
                </c:pt>
                <c:pt idx="20">
                  <c:v>Q3 16</c:v>
                </c:pt>
                <c:pt idx="21">
                  <c:v>Q4 16</c:v>
                </c:pt>
                <c:pt idx="22">
                  <c:v>Q1 17</c:v>
                </c:pt>
                <c:pt idx="23">
                  <c:v>Q2 17</c:v>
                </c:pt>
                <c:pt idx="24">
                  <c:v>Q3 17</c:v>
                </c:pt>
                <c:pt idx="25">
                  <c:v>Q4 17</c:v>
                </c:pt>
                <c:pt idx="26">
                  <c:v>Q1 18</c:v>
                </c:pt>
                <c:pt idx="27">
                  <c:v>Q2 18</c:v>
                </c:pt>
                <c:pt idx="28">
                  <c:v>Q3 18</c:v>
                </c:pt>
                <c:pt idx="29">
                  <c:v>Q4 18</c:v>
                </c:pt>
                <c:pt idx="30">
                  <c:v>Q1 19</c:v>
                </c:pt>
                <c:pt idx="31">
                  <c:v>Q2 19</c:v>
                </c:pt>
                <c:pt idx="32">
                  <c:v>Q3 19</c:v>
                </c:pt>
              </c:strCache>
            </c:strRef>
          </c:cat>
          <c:val>
            <c:numRef>
              <c:f>Univision!$I$256:$AO$256</c:f>
              <c:numCache>
                <c:formatCode>0.0</c:formatCode>
                <c:ptCount val="33"/>
                <c:pt idx="0">
                  <c:v>10.003596338273757</c:v>
                </c:pt>
                <c:pt idx="1">
                  <c:v>9.8438805011243158</c:v>
                </c:pt>
                <c:pt idx="2">
                  <c:v>9.625553447185327</c:v>
                </c:pt>
                <c:pt idx="3">
                  <c:v>9.6504793005372385</c:v>
                </c:pt>
                <c:pt idx="4">
                  <c:v>9.2102869846402609</c:v>
                </c:pt>
                <c:pt idx="5">
                  <c:v>9.1311802232854866</c:v>
                </c:pt>
                <c:pt idx="6">
                  <c:v>8.9495065631886561</c:v>
                </c:pt>
                <c:pt idx="7">
                  <c:v>8.7070660663420032</c:v>
                </c:pt>
                <c:pt idx="8">
                  <c:v>8.5212823275862064</c:v>
                </c:pt>
                <c:pt idx="9">
                  <c:v>8.4873259550160682</c:v>
                </c:pt>
                <c:pt idx="10">
                  <c:v>8.1454339491111902</c:v>
                </c:pt>
                <c:pt idx="11">
                  <c:v>7.8732524844197407</c:v>
                </c:pt>
                <c:pt idx="12">
                  <c:v>7.6102273673690348</c:v>
                </c:pt>
                <c:pt idx="13">
                  <c:v>7.467117988394584</c:v>
                </c:pt>
                <c:pt idx="14">
                  <c:v>7.2359924026590683</c:v>
                </c:pt>
                <c:pt idx="15">
                  <c:v>7.5103563209269106</c:v>
                </c:pt>
                <c:pt idx="16">
                  <c:v>6.9416342412451355</c:v>
                </c:pt>
                <c:pt idx="17">
                  <c:v>6.9089627541178231</c:v>
                </c:pt>
                <c:pt idx="18">
                  <c:v>6.5791072849598491</c:v>
                </c:pt>
                <c:pt idx="19">
                  <c:v>6.5106106539627531</c:v>
                </c:pt>
                <c:pt idx="20">
                  <c:v>6.8430096132011204</c:v>
                </c:pt>
                <c:pt idx="21">
                  <c:v>6.459473261837017</c:v>
                </c:pt>
                <c:pt idx="22">
                  <c:v>6.4902365337852777</c:v>
                </c:pt>
                <c:pt idx="23">
                  <c:v>6.3700508737005093</c:v>
                </c:pt>
                <c:pt idx="24">
                  <c:v>5.8742506319971115</c:v>
                </c:pt>
                <c:pt idx="25">
                  <c:v>5.9563204659150299</c:v>
                </c:pt>
                <c:pt idx="26">
                  <c:v>6.0568033729398234</c:v>
                </c:pt>
                <c:pt idx="27">
                  <c:v>6.0317162721662374</c:v>
                </c:pt>
                <c:pt idx="28">
                  <c:v>6.4004020773998995</c:v>
                </c:pt>
                <c:pt idx="29">
                  <c:v>6.8024352284171012</c:v>
                </c:pt>
                <c:pt idx="30">
                  <c:v>7.1387211197392402</c:v>
                </c:pt>
                <c:pt idx="31">
                  <c:v>7.0393956779498952</c:v>
                </c:pt>
                <c:pt idx="32">
                  <c:v>7.0011557353366074</c:v>
                </c:pt>
              </c:numCache>
            </c:numRef>
          </c:val>
          <c:smooth val="0"/>
          <c:extLst>
            <c:ext xmlns:c16="http://schemas.microsoft.com/office/drawing/2014/chart" uri="{C3380CC4-5D6E-409C-BE32-E72D297353CC}">
              <c16:uniqueId val="{00000000-80C3-48D1-921A-31AF4E4B2733}"/>
            </c:ext>
          </c:extLst>
        </c:ser>
        <c:dLbls>
          <c:showLegendKey val="0"/>
          <c:showVal val="0"/>
          <c:showCatName val="0"/>
          <c:showSerName val="0"/>
          <c:showPercent val="0"/>
          <c:showBubbleSize val="0"/>
        </c:dLbls>
        <c:smooth val="0"/>
        <c:axId val="120626176"/>
        <c:axId val="120238848"/>
      </c:lineChart>
      <c:catAx>
        <c:axId val="120626176"/>
        <c:scaling>
          <c:orientation val="minMax"/>
        </c:scaling>
        <c:delete val="0"/>
        <c:axPos val="b"/>
        <c:numFmt formatCode="General" sourceLinked="0"/>
        <c:majorTickMark val="out"/>
        <c:minorTickMark val="none"/>
        <c:tickLblPos val="low"/>
        <c:crossAx val="120238848"/>
        <c:crosses val="autoZero"/>
        <c:auto val="1"/>
        <c:lblAlgn val="ctr"/>
        <c:lblOffset val="100"/>
        <c:noMultiLvlLbl val="0"/>
      </c:catAx>
      <c:valAx>
        <c:axId val="120238848"/>
        <c:scaling>
          <c:orientation val="minMax"/>
          <c:min val="5"/>
        </c:scaling>
        <c:delete val="0"/>
        <c:axPos val="l"/>
        <c:majorGridlines>
          <c:spPr>
            <a:ln w="3175">
              <a:solidFill>
                <a:srgbClr val="C0C0C0"/>
              </a:solidFill>
              <a:prstDash val="solid"/>
            </a:ln>
          </c:spPr>
        </c:majorGridlines>
        <c:title>
          <c:tx>
            <c:rich>
              <a:bodyPr rot="-5400000" vert="horz"/>
              <a:lstStyle/>
              <a:p>
                <a:pPr>
                  <a:defRPr/>
                </a:pPr>
                <a:r>
                  <a:rPr lang="en-US"/>
                  <a:t>Net debt to 12m rolling EBITDA</a:t>
                </a:r>
              </a:p>
            </c:rich>
          </c:tx>
          <c:overlay val="0"/>
        </c:title>
        <c:numFmt formatCode="0.0" sourceLinked="1"/>
        <c:majorTickMark val="out"/>
        <c:minorTickMark val="none"/>
        <c:tickLblPos val="nextTo"/>
        <c:crossAx val="120626176"/>
        <c:crosses val="autoZero"/>
        <c:crossBetween val="between"/>
      </c:valAx>
      <c:spPr>
        <a:noFill/>
        <a:ln w="25400">
          <a:noFill/>
        </a:ln>
      </c:spPr>
    </c:plotArea>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Univision!$AH$7</c:f>
              <c:strCache>
                <c:ptCount val="1"/>
                <c:pt idx="0">
                  <c:v>Revenue</c:v>
                </c:pt>
              </c:strCache>
            </c:strRef>
          </c:tx>
          <c:spPr>
            <a:solidFill>
              <a:srgbClr val="000080"/>
            </a:solidFill>
            <a:ln w="25400">
              <a:noFill/>
            </a:ln>
          </c:spPr>
          <c:invertIfNegative val="0"/>
          <c:cat>
            <c:numRef>
              <c:f>Univision!$AI$5:$AX$5</c:f>
              <c:numCache>
                <c:formatCode>General</c:formatCode>
                <c:ptCount val="16"/>
                <c:pt idx="0">
                  <c:v>2013</c:v>
                </c:pt>
                <c:pt idx="9">
                  <c:v>2014</c:v>
                </c:pt>
                <c:pt idx="10">
                  <c:v>2015</c:v>
                </c:pt>
                <c:pt idx="11">
                  <c:v>2016</c:v>
                </c:pt>
                <c:pt idx="12">
                  <c:v>2017</c:v>
                </c:pt>
                <c:pt idx="13">
                  <c:v>2018</c:v>
                </c:pt>
                <c:pt idx="14">
                  <c:v>2019</c:v>
                </c:pt>
                <c:pt idx="15">
                  <c:v>2020</c:v>
                </c:pt>
              </c:numCache>
            </c:numRef>
          </c:cat>
          <c:val>
            <c:numRef>
              <c:f>Univision!$AI$7:$AX$7</c:f>
              <c:numCache>
                <c:formatCode>0%</c:formatCode>
                <c:ptCount val="16"/>
                <c:pt idx="0">
                  <c:v>7.5528299286319822E-2</c:v>
                </c:pt>
                <c:pt idx="9">
                  <c:v>0</c:v>
                </c:pt>
                <c:pt idx="10">
                  <c:v>-1.8069391961525239E-2</c:v>
                </c:pt>
                <c:pt idx="11">
                  <c:v>6.4231738035264385E-2</c:v>
                </c:pt>
                <c:pt idx="12">
                  <c:v>-8.4155161078237617E-3</c:v>
                </c:pt>
                <c:pt idx="13">
                  <c:v>-0.10031826017769518</c:v>
                </c:pt>
                <c:pt idx="14">
                  <c:v>-1.286019603508004E-2</c:v>
                </c:pt>
                <c:pt idx="15">
                  <c:v>-5.1140393445070709E-2</c:v>
                </c:pt>
              </c:numCache>
            </c:numRef>
          </c:val>
          <c:extLst>
            <c:ext xmlns:c16="http://schemas.microsoft.com/office/drawing/2014/chart" uri="{C3380CC4-5D6E-409C-BE32-E72D297353CC}">
              <c16:uniqueId val="{00000000-1942-4471-92DE-FE4F0E63EAC6}"/>
            </c:ext>
          </c:extLst>
        </c:ser>
        <c:ser>
          <c:idx val="1"/>
          <c:order val="1"/>
          <c:tx>
            <c:strRef>
              <c:f>Univision!$AH$6</c:f>
              <c:strCache>
                <c:ptCount val="1"/>
                <c:pt idx="0">
                  <c:v>Revenue-ex World Cup</c:v>
                </c:pt>
              </c:strCache>
            </c:strRef>
          </c:tx>
          <c:spPr>
            <a:solidFill>
              <a:srgbClr val="9999FF"/>
            </a:solidFill>
            <a:ln w="25400">
              <a:noFill/>
            </a:ln>
          </c:spPr>
          <c:invertIfNegative val="0"/>
          <c:cat>
            <c:numRef>
              <c:f>Univision!$AI$5:$AX$5</c:f>
              <c:numCache>
                <c:formatCode>General</c:formatCode>
                <c:ptCount val="16"/>
                <c:pt idx="0">
                  <c:v>2013</c:v>
                </c:pt>
                <c:pt idx="9">
                  <c:v>2014</c:v>
                </c:pt>
                <c:pt idx="10">
                  <c:v>2015</c:v>
                </c:pt>
                <c:pt idx="11">
                  <c:v>2016</c:v>
                </c:pt>
                <c:pt idx="12">
                  <c:v>2017</c:v>
                </c:pt>
                <c:pt idx="13">
                  <c:v>2018</c:v>
                </c:pt>
                <c:pt idx="14">
                  <c:v>2019</c:v>
                </c:pt>
                <c:pt idx="15">
                  <c:v>2020</c:v>
                </c:pt>
              </c:numCache>
            </c:numRef>
          </c:cat>
          <c:val>
            <c:numRef>
              <c:f>Univision!$AI$6:$AX$6</c:f>
              <c:numCache>
                <c:formatCode>0%</c:formatCode>
                <c:ptCount val="16"/>
                <c:pt idx="10">
                  <c:v>0.10785507687623697</c:v>
                </c:pt>
              </c:numCache>
            </c:numRef>
          </c:val>
          <c:extLst>
            <c:ext xmlns:c16="http://schemas.microsoft.com/office/drawing/2014/chart" uri="{C3380CC4-5D6E-409C-BE32-E72D297353CC}">
              <c16:uniqueId val="{00000001-1942-4471-92DE-FE4F0E63EAC6}"/>
            </c:ext>
          </c:extLst>
        </c:ser>
        <c:dLbls>
          <c:showLegendKey val="0"/>
          <c:showVal val="0"/>
          <c:showCatName val="0"/>
          <c:showSerName val="0"/>
          <c:showPercent val="0"/>
          <c:showBubbleSize val="0"/>
        </c:dLbls>
        <c:gapWidth val="150"/>
        <c:overlap val="100"/>
        <c:axId val="120348032"/>
        <c:axId val="120349824"/>
      </c:barChart>
      <c:lineChart>
        <c:grouping val="standard"/>
        <c:varyColors val="0"/>
        <c:ser>
          <c:idx val="2"/>
          <c:order val="2"/>
          <c:tx>
            <c:strRef>
              <c:f>Univision!$AH$14</c:f>
              <c:strCache>
                <c:ptCount val="1"/>
                <c:pt idx="0">
                  <c:v>EBITDA</c:v>
                </c:pt>
              </c:strCache>
            </c:strRef>
          </c:tx>
          <c:spPr>
            <a:ln>
              <a:solidFill>
                <a:schemeClr val="tx2">
                  <a:lumMod val="20000"/>
                  <a:lumOff val="80000"/>
                </a:schemeClr>
              </a:solidFill>
            </a:ln>
          </c:spPr>
          <c:marker>
            <c:symbol val="none"/>
          </c:marker>
          <c:cat>
            <c:numRef>
              <c:f>Univision!$AI$5:$AX$5</c:f>
              <c:numCache>
                <c:formatCode>General</c:formatCode>
                <c:ptCount val="16"/>
                <c:pt idx="0">
                  <c:v>2013</c:v>
                </c:pt>
                <c:pt idx="9">
                  <c:v>2014</c:v>
                </c:pt>
                <c:pt idx="10">
                  <c:v>2015</c:v>
                </c:pt>
                <c:pt idx="11">
                  <c:v>2016</c:v>
                </c:pt>
                <c:pt idx="12">
                  <c:v>2017</c:v>
                </c:pt>
                <c:pt idx="13">
                  <c:v>2018</c:v>
                </c:pt>
                <c:pt idx="14">
                  <c:v>2019</c:v>
                </c:pt>
                <c:pt idx="15">
                  <c:v>2020</c:v>
                </c:pt>
              </c:numCache>
            </c:numRef>
          </c:cat>
          <c:val>
            <c:numRef>
              <c:f>Univision!$AI$14:$AX$14</c:f>
              <c:numCache>
                <c:formatCode>0%</c:formatCode>
                <c:ptCount val="16"/>
                <c:pt idx="0">
                  <c:v>0.15692665180741749</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942-4471-92DE-FE4F0E63EAC6}"/>
            </c:ext>
          </c:extLst>
        </c:ser>
        <c:dLbls>
          <c:showLegendKey val="0"/>
          <c:showVal val="0"/>
          <c:showCatName val="0"/>
          <c:showSerName val="0"/>
          <c:showPercent val="0"/>
          <c:showBubbleSize val="0"/>
        </c:dLbls>
        <c:marker val="1"/>
        <c:smooth val="0"/>
        <c:axId val="120348032"/>
        <c:axId val="120349824"/>
      </c:lineChart>
      <c:catAx>
        <c:axId val="120348032"/>
        <c:scaling>
          <c:orientation val="minMax"/>
        </c:scaling>
        <c:delete val="0"/>
        <c:axPos val="b"/>
        <c:numFmt formatCode="General" sourceLinked="1"/>
        <c:majorTickMark val="out"/>
        <c:minorTickMark val="none"/>
        <c:tickLblPos val="nextTo"/>
        <c:crossAx val="120349824"/>
        <c:crosses val="autoZero"/>
        <c:auto val="1"/>
        <c:lblAlgn val="ctr"/>
        <c:lblOffset val="100"/>
        <c:noMultiLvlLbl val="0"/>
      </c:catAx>
      <c:valAx>
        <c:axId val="120349824"/>
        <c:scaling>
          <c:orientation val="minMax"/>
        </c:scaling>
        <c:delete val="0"/>
        <c:axPos val="l"/>
        <c:majorGridlines>
          <c:spPr>
            <a:ln w="3175">
              <a:solidFill>
                <a:srgbClr val="C0C0C0"/>
              </a:solidFill>
              <a:prstDash val="solid"/>
            </a:ln>
          </c:spPr>
        </c:majorGridlines>
        <c:title>
          <c:tx>
            <c:rich>
              <a:bodyPr rot="-5400000" vert="horz"/>
              <a:lstStyle/>
              <a:p>
                <a:pPr>
                  <a:defRPr/>
                </a:pPr>
                <a:r>
                  <a:rPr lang="en-US"/>
                  <a:t>y/y growth</a:t>
                </a:r>
              </a:p>
            </c:rich>
          </c:tx>
          <c:overlay val="0"/>
        </c:title>
        <c:numFmt formatCode="0%" sourceLinked="1"/>
        <c:majorTickMark val="out"/>
        <c:minorTickMark val="none"/>
        <c:tickLblPos val="nextTo"/>
        <c:crossAx val="120348032"/>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1"/>
          <c:order val="0"/>
          <c:tx>
            <c:strRef>
              <c:f>Univision!$B$278</c:f>
              <c:strCache>
                <c:ptCount val="1"/>
                <c:pt idx="0">
                  <c:v>Univision share </c:v>
                </c:pt>
              </c:strCache>
            </c:strRef>
          </c:tx>
          <c:spPr>
            <a:ln w="25400">
              <a:solidFill>
                <a:srgbClr val="99CCFF"/>
              </a:solidFill>
              <a:prstDash val="solid"/>
            </a:ln>
            <a:effectLst/>
          </c:spPr>
          <c:marker>
            <c:symbol val="none"/>
          </c:marker>
          <c:cat>
            <c:strRef>
              <c:f>Univision!$G$262:$W$262</c:f>
              <c:strCache>
                <c:ptCount val="17"/>
                <c:pt idx="0">
                  <c:v>Q1 11</c:v>
                </c:pt>
                <c:pt idx="1">
                  <c:v>Q2 11</c:v>
                </c:pt>
                <c:pt idx="2">
                  <c:v>Q3 11</c:v>
                </c:pt>
                <c:pt idx="3">
                  <c:v>Q4 11</c:v>
                </c:pt>
                <c:pt idx="4">
                  <c:v>Q1 12</c:v>
                </c:pt>
                <c:pt idx="5">
                  <c:v>Q2 12</c:v>
                </c:pt>
                <c:pt idx="6">
                  <c:v>Q3 12</c:v>
                </c:pt>
                <c:pt idx="7">
                  <c:v>Q4 12</c:v>
                </c:pt>
                <c:pt idx="8">
                  <c:v>Q1 13</c:v>
                </c:pt>
                <c:pt idx="9">
                  <c:v>Q2 13</c:v>
                </c:pt>
                <c:pt idx="10">
                  <c:v>Q3 13</c:v>
                </c:pt>
                <c:pt idx="11">
                  <c:v>Q4 13</c:v>
                </c:pt>
                <c:pt idx="12">
                  <c:v>Q1 14</c:v>
                </c:pt>
                <c:pt idx="13">
                  <c:v>Q2 14</c:v>
                </c:pt>
                <c:pt idx="14">
                  <c:v>Q3 14</c:v>
                </c:pt>
                <c:pt idx="15">
                  <c:v>Q4 14</c:v>
                </c:pt>
                <c:pt idx="16">
                  <c:v>Q1 15</c:v>
                </c:pt>
              </c:strCache>
            </c:strRef>
          </c:cat>
          <c:val>
            <c:numRef>
              <c:f>Univision!$H$278:$W$278</c:f>
              <c:numCache>
                <c:formatCode>0.0%</c:formatCode>
                <c:ptCount val="16"/>
                <c:pt idx="0">
                  <c:v>0.1367887763055339</c:v>
                </c:pt>
                <c:pt idx="1">
                  <c:v>0.15334128878281622</c:v>
                </c:pt>
                <c:pt idx="2">
                  <c:v>0.10508508309284506</c:v>
                </c:pt>
                <c:pt idx="3">
                  <c:v>0.10748817115819791</c:v>
                </c:pt>
                <c:pt idx="4">
                  <c:v>0.12640626975097966</c:v>
                </c:pt>
                <c:pt idx="5">
                  <c:v>0.1245088741362959</c:v>
                </c:pt>
                <c:pt idx="6">
                  <c:v>9.840684946353094E-2</c:v>
                </c:pt>
                <c:pt idx="7">
                  <c:v>0.10239799977270145</c:v>
                </c:pt>
                <c:pt idx="8">
                  <c:v>0.11212409851680501</c:v>
                </c:pt>
                <c:pt idx="9">
                  <c:v>0.12204234122042341</c:v>
                </c:pt>
                <c:pt idx="10">
                  <c:v>7.7273244565835897E-2</c:v>
                </c:pt>
                <c:pt idx="11">
                  <c:v>7.8909266409266404E-2</c:v>
                </c:pt>
                <c:pt idx="12">
                  <c:v>0.10989365130518852</c:v>
                </c:pt>
                <c:pt idx="13">
                  <c:v>0.12581268669829557</c:v>
                </c:pt>
                <c:pt idx="14">
                  <c:v>9.8569890819621711E-2</c:v>
                </c:pt>
                <c:pt idx="15">
                  <c:v>9.4237943899405832E-2</c:v>
                </c:pt>
              </c:numCache>
            </c:numRef>
          </c:val>
          <c:smooth val="0"/>
          <c:extLst>
            <c:ext xmlns:c16="http://schemas.microsoft.com/office/drawing/2014/chart" uri="{C3380CC4-5D6E-409C-BE32-E72D297353CC}">
              <c16:uniqueId val="{00000000-7E9D-409A-B965-3691C76C450A}"/>
            </c:ext>
          </c:extLst>
        </c:ser>
        <c:dLbls>
          <c:showLegendKey val="0"/>
          <c:showVal val="0"/>
          <c:showCatName val="0"/>
          <c:showSerName val="0"/>
          <c:showPercent val="0"/>
          <c:showBubbleSize val="0"/>
        </c:dLbls>
        <c:smooth val="0"/>
        <c:axId val="120403456"/>
        <c:axId val="120404992"/>
      </c:lineChart>
      <c:catAx>
        <c:axId val="120403456"/>
        <c:scaling>
          <c:orientation val="minMax"/>
        </c:scaling>
        <c:delete val="0"/>
        <c:axPos val="b"/>
        <c:numFmt formatCode="General" sourceLinked="1"/>
        <c:majorTickMark val="out"/>
        <c:minorTickMark val="none"/>
        <c:tickLblPos val="low"/>
        <c:crossAx val="120404992"/>
        <c:crosses val="autoZero"/>
        <c:auto val="1"/>
        <c:lblAlgn val="ctr"/>
        <c:lblOffset val="100"/>
        <c:noMultiLvlLbl val="0"/>
      </c:catAx>
      <c:valAx>
        <c:axId val="120404992"/>
        <c:scaling>
          <c:orientation val="minMax"/>
        </c:scaling>
        <c:delete val="0"/>
        <c:axPos val="l"/>
        <c:majorGridlines>
          <c:spPr>
            <a:ln w="3175">
              <a:solidFill>
                <a:srgbClr val="C0C0C0"/>
              </a:solidFill>
              <a:prstDash val="solid"/>
            </a:ln>
          </c:spPr>
        </c:majorGridlines>
        <c:numFmt formatCode="0.0%" sourceLinked="1"/>
        <c:majorTickMark val="out"/>
        <c:minorTickMark val="none"/>
        <c:tickLblPos val="nextTo"/>
        <c:crossAx val="120403456"/>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000080"/>
            </a:solidFill>
            <a:ln w="25400">
              <a:noFill/>
            </a:ln>
          </c:spPr>
          <c:invertIfNegative val="0"/>
          <c:dPt>
            <c:idx val="5"/>
            <c:invertIfNegative val="0"/>
            <c:bubble3D val="0"/>
            <c:spPr>
              <a:solidFill>
                <a:schemeClr val="tx2">
                  <a:lumMod val="20000"/>
                  <a:lumOff val="80000"/>
                </a:schemeClr>
              </a:solidFill>
              <a:ln w="6350">
                <a:solidFill>
                  <a:schemeClr val="tx1"/>
                </a:solidFill>
              </a:ln>
            </c:spPr>
            <c:extLst>
              <c:ext xmlns:c16="http://schemas.microsoft.com/office/drawing/2014/chart" uri="{C3380CC4-5D6E-409C-BE32-E72D297353CC}">
                <c16:uniqueId val="{00000001-BAE4-4B52-BB78-359AD6140A96}"/>
              </c:ext>
            </c:extLst>
          </c:dPt>
          <c:cat>
            <c:strRef>
              <c:f>Univision!$B$191:$B$200</c:f>
              <c:strCache>
                <c:ptCount val="10"/>
                <c:pt idx="0">
                  <c:v>AMC</c:v>
                </c:pt>
                <c:pt idx="1">
                  <c:v>USA</c:v>
                </c:pt>
                <c:pt idx="2">
                  <c:v>TBS</c:v>
                </c:pt>
                <c:pt idx="3">
                  <c:v>CW</c:v>
                </c:pt>
                <c:pt idx="4">
                  <c:v>ESPN</c:v>
                </c:pt>
                <c:pt idx="5">
                  <c:v>Univision</c:v>
                </c:pt>
                <c:pt idx="6">
                  <c:v>CBS</c:v>
                </c:pt>
                <c:pt idx="7">
                  <c:v>ABC</c:v>
                </c:pt>
                <c:pt idx="8">
                  <c:v>FOX</c:v>
                </c:pt>
                <c:pt idx="9">
                  <c:v>NBC</c:v>
                </c:pt>
              </c:strCache>
            </c:strRef>
          </c:cat>
          <c:val>
            <c:numRef>
              <c:f>Univision!$C$191:$C$200</c:f>
              <c:numCache>
                <c:formatCode>General</c:formatCode>
                <c:ptCount val="10"/>
                <c:pt idx="0">
                  <c:v>421</c:v>
                </c:pt>
                <c:pt idx="1">
                  <c:v>430</c:v>
                </c:pt>
                <c:pt idx="2">
                  <c:v>473</c:v>
                </c:pt>
                <c:pt idx="3">
                  <c:v>515</c:v>
                </c:pt>
                <c:pt idx="4">
                  <c:v>542</c:v>
                </c:pt>
                <c:pt idx="5">
                  <c:v>797</c:v>
                </c:pt>
                <c:pt idx="6">
                  <c:v>1027</c:v>
                </c:pt>
                <c:pt idx="7">
                  <c:v>1051</c:v>
                </c:pt>
                <c:pt idx="8">
                  <c:v>1144</c:v>
                </c:pt>
                <c:pt idx="9">
                  <c:v>1267</c:v>
                </c:pt>
              </c:numCache>
            </c:numRef>
          </c:val>
          <c:extLst>
            <c:ext xmlns:c16="http://schemas.microsoft.com/office/drawing/2014/chart" uri="{C3380CC4-5D6E-409C-BE32-E72D297353CC}">
              <c16:uniqueId val="{00000002-BAE4-4B52-BB78-359AD6140A96}"/>
            </c:ext>
          </c:extLst>
        </c:ser>
        <c:dLbls>
          <c:showLegendKey val="0"/>
          <c:showVal val="0"/>
          <c:showCatName val="0"/>
          <c:showSerName val="0"/>
          <c:showPercent val="0"/>
          <c:showBubbleSize val="0"/>
        </c:dLbls>
        <c:gapWidth val="150"/>
        <c:axId val="120422784"/>
        <c:axId val="120424320"/>
      </c:barChart>
      <c:catAx>
        <c:axId val="120422784"/>
        <c:scaling>
          <c:orientation val="minMax"/>
        </c:scaling>
        <c:delete val="0"/>
        <c:axPos val="l"/>
        <c:numFmt formatCode="General" sourceLinked="1"/>
        <c:majorTickMark val="out"/>
        <c:minorTickMark val="none"/>
        <c:tickLblPos val="nextTo"/>
        <c:crossAx val="120424320"/>
        <c:crosses val="autoZero"/>
        <c:auto val="1"/>
        <c:lblAlgn val="ctr"/>
        <c:lblOffset val="100"/>
        <c:noMultiLvlLbl val="0"/>
      </c:catAx>
      <c:valAx>
        <c:axId val="120424320"/>
        <c:scaling>
          <c:orientation val="minMax"/>
          <c:max val="1500"/>
          <c:min val="0"/>
        </c:scaling>
        <c:delete val="0"/>
        <c:axPos val="b"/>
        <c:majorGridlines>
          <c:spPr>
            <a:ln w="3175">
              <a:solidFill>
                <a:srgbClr val="C0C0C0"/>
              </a:solidFill>
              <a:prstDash val="solid"/>
            </a:ln>
          </c:spPr>
        </c:majorGridlines>
        <c:title>
          <c:tx>
            <c:rich>
              <a:bodyPr/>
              <a:lstStyle/>
              <a:p>
                <a:pPr>
                  <a:defRPr/>
                </a:pPr>
                <a:r>
                  <a:rPr lang="en-US"/>
                  <a:t>Average audience, 000s</a:t>
                </a:r>
              </a:p>
            </c:rich>
          </c:tx>
          <c:layout>
            <c:manualLayout>
              <c:xMode val="edge"/>
              <c:yMode val="edge"/>
              <c:x val="0.28792280376717616"/>
              <c:y val="0.86708838499760077"/>
            </c:manualLayout>
          </c:layout>
          <c:overlay val="0"/>
        </c:title>
        <c:numFmt formatCode="General" sourceLinked="1"/>
        <c:majorTickMark val="out"/>
        <c:minorTickMark val="none"/>
        <c:tickLblPos val="nextTo"/>
        <c:crossAx val="120422784"/>
        <c:crosses val="autoZero"/>
        <c:crossBetween val="between"/>
      </c:valAx>
      <c:spPr>
        <a:noFill/>
        <a:ln w="25400">
          <a:noFill/>
        </a:ln>
      </c:spPr>
    </c:plotArea>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Univision!$AZ$239</c:f>
              <c:strCache>
                <c:ptCount val="1"/>
                <c:pt idx="0">
                  <c:v>Clean revenue</c:v>
                </c:pt>
              </c:strCache>
            </c:strRef>
          </c:tx>
          <c:spPr>
            <a:solidFill>
              <a:srgbClr val="000080"/>
            </a:solidFill>
            <a:ln w="25400">
              <a:noFill/>
            </a:ln>
          </c:spPr>
          <c:invertIfNegative val="0"/>
          <c:cat>
            <c:strRef>
              <c:f>Univision!$BA$238:$BS$238</c:f>
              <c:strCache>
                <c:ptCount val="19"/>
                <c:pt idx="0">
                  <c:v>Q1 13</c:v>
                </c:pt>
                <c:pt idx="1">
                  <c:v>Q2 13</c:v>
                </c:pt>
                <c:pt idx="2">
                  <c:v>Q3 13</c:v>
                </c:pt>
                <c:pt idx="3">
                  <c:v>Q4 13</c:v>
                </c:pt>
                <c:pt idx="4">
                  <c:v>Q1 14</c:v>
                </c:pt>
                <c:pt idx="5">
                  <c:v>Q2 14</c:v>
                </c:pt>
                <c:pt idx="6">
                  <c:v>Q3 14</c:v>
                </c:pt>
                <c:pt idx="7">
                  <c:v>Q4 14</c:v>
                </c:pt>
                <c:pt idx="8">
                  <c:v>Q1 15</c:v>
                </c:pt>
                <c:pt idx="9">
                  <c:v>Q2 15</c:v>
                </c:pt>
                <c:pt idx="10">
                  <c:v>Q3 15</c:v>
                </c:pt>
                <c:pt idx="11">
                  <c:v>Q4 15</c:v>
                </c:pt>
                <c:pt idx="12">
                  <c:v>Q1 16</c:v>
                </c:pt>
                <c:pt idx="13">
                  <c:v>Q2 16</c:v>
                </c:pt>
                <c:pt idx="14">
                  <c:v>Q3 16</c:v>
                </c:pt>
                <c:pt idx="15">
                  <c:v>Q4 16</c:v>
                </c:pt>
                <c:pt idx="16">
                  <c:v>Q1 17</c:v>
                </c:pt>
                <c:pt idx="17">
                  <c:v>Q2 17</c:v>
                </c:pt>
                <c:pt idx="18">
                  <c:v>Q3 17</c:v>
                </c:pt>
              </c:strCache>
            </c:strRef>
          </c:cat>
          <c:val>
            <c:numRef>
              <c:f>Univision!$BA$239:$BS$239</c:f>
              <c:numCache>
                <c:formatCode>0%</c:formatCode>
                <c:ptCount val="19"/>
                <c:pt idx="0">
                  <c:v>6.3115228720324268E-2</c:v>
                </c:pt>
                <c:pt idx="1">
                  <c:v>7.6421404682274208E-2</c:v>
                </c:pt>
                <c:pt idx="2">
                  <c:v>5.0090624485088275E-2</c:v>
                </c:pt>
                <c:pt idx="3">
                  <c:v>0.11248593925759254</c:v>
                </c:pt>
                <c:pt idx="4">
                  <c:v>0.114560639070443</c:v>
                </c:pt>
                <c:pt idx="5">
                  <c:v>0.11573714463259277</c:v>
                </c:pt>
                <c:pt idx="6">
                  <c:v>2.8871802918562395E-2</c:v>
                </c:pt>
                <c:pt idx="7">
                  <c:v>-1.1989022100245328E-2</c:v>
                </c:pt>
                <c:pt idx="8">
                  <c:v>5.5383612966282136E-3</c:v>
                </c:pt>
                <c:pt idx="9">
                  <c:v>-3.0492898913951683E-2</c:v>
                </c:pt>
                <c:pt idx="10">
                  <c:v>8.3422296782064809E-2</c:v>
                </c:pt>
                <c:pt idx="11">
                  <c:v>3.5964912280701755E-2</c:v>
                </c:pt>
                <c:pt idx="12">
                  <c:v>7.5762599469495928E-2</c:v>
                </c:pt>
                <c:pt idx="13">
                  <c:v>4.9706744868035058E-2</c:v>
                </c:pt>
                <c:pt idx="14">
                  <c:v>-1.6751126126126059E-2</c:v>
                </c:pt>
                <c:pt idx="15">
                  <c:v>8.5097375105842366E-2</c:v>
                </c:pt>
                <c:pt idx="16">
                  <c:v>8.0000000000000002E-3</c:v>
                </c:pt>
                <c:pt idx="17">
                  <c:v>7.0000000000000001E-3</c:v>
                </c:pt>
                <c:pt idx="18">
                  <c:v>0.01</c:v>
                </c:pt>
              </c:numCache>
            </c:numRef>
          </c:val>
          <c:extLst>
            <c:ext xmlns:c16="http://schemas.microsoft.com/office/drawing/2014/chart" uri="{C3380CC4-5D6E-409C-BE32-E72D297353CC}">
              <c16:uniqueId val="{00000000-71CD-4716-A316-60738CF7CDF0}"/>
            </c:ext>
          </c:extLst>
        </c:ser>
        <c:ser>
          <c:idx val="1"/>
          <c:order val="1"/>
          <c:tx>
            <c:strRef>
              <c:f>Univision!$AZ$241</c:f>
              <c:strCache>
                <c:ptCount val="1"/>
                <c:pt idx="0">
                  <c:v>EBITDA</c:v>
                </c:pt>
              </c:strCache>
            </c:strRef>
          </c:tx>
          <c:spPr>
            <a:solidFill>
              <a:srgbClr val="9999FF"/>
            </a:solidFill>
            <a:ln w="25400">
              <a:noFill/>
            </a:ln>
          </c:spPr>
          <c:invertIfNegative val="0"/>
          <c:cat>
            <c:strRef>
              <c:f>Univision!$BA$238:$BS$238</c:f>
              <c:strCache>
                <c:ptCount val="19"/>
                <c:pt idx="0">
                  <c:v>Q1 13</c:v>
                </c:pt>
                <c:pt idx="1">
                  <c:v>Q2 13</c:v>
                </c:pt>
                <c:pt idx="2">
                  <c:v>Q3 13</c:v>
                </c:pt>
                <c:pt idx="3">
                  <c:v>Q4 13</c:v>
                </c:pt>
                <c:pt idx="4">
                  <c:v>Q1 14</c:v>
                </c:pt>
                <c:pt idx="5">
                  <c:v>Q2 14</c:v>
                </c:pt>
                <c:pt idx="6">
                  <c:v>Q3 14</c:v>
                </c:pt>
                <c:pt idx="7">
                  <c:v>Q4 14</c:v>
                </c:pt>
                <c:pt idx="8">
                  <c:v>Q1 15</c:v>
                </c:pt>
                <c:pt idx="9">
                  <c:v>Q2 15</c:v>
                </c:pt>
                <c:pt idx="10">
                  <c:v>Q3 15</c:v>
                </c:pt>
                <c:pt idx="11">
                  <c:v>Q4 15</c:v>
                </c:pt>
                <c:pt idx="12">
                  <c:v>Q1 16</c:v>
                </c:pt>
                <c:pt idx="13">
                  <c:v>Q2 16</c:v>
                </c:pt>
                <c:pt idx="14">
                  <c:v>Q3 16</c:v>
                </c:pt>
                <c:pt idx="15">
                  <c:v>Q4 16</c:v>
                </c:pt>
                <c:pt idx="16">
                  <c:v>Q1 17</c:v>
                </c:pt>
                <c:pt idx="17">
                  <c:v>Q2 17</c:v>
                </c:pt>
                <c:pt idx="18">
                  <c:v>Q3 17</c:v>
                </c:pt>
              </c:strCache>
            </c:strRef>
          </c:cat>
          <c:val>
            <c:numRef>
              <c:f>Univision!$BA$241:$BS$241</c:f>
              <c:numCache>
                <c:formatCode>0%</c:formatCode>
                <c:ptCount val="19"/>
                <c:pt idx="0">
                  <c:v>0.23806785508913197</c:v>
                </c:pt>
                <c:pt idx="1">
                  <c:v>0.16398846312319737</c:v>
                </c:pt>
                <c:pt idx="2">
                  <c:v>3.8150289017340855E-2</c:v>
                </c:pt>
                <c:pt idx="3">
                  <c:v>0.18749999999999978</c:v>
                </c:pt>
                <c:pt idx="4">
                  <c:v>0.14816535067347858</c:v>
                </c:pt>
                <c:pt idx="5">
                  <c:v>0.13557522123893806</c:v>
                </c:pt>
                <c:pt idx="6">
                  <c:v>-0.10207869339272446</c:v>
                </c:pt>
                <c:pt idx="7">
                  <c:v>-6.7911714770796383E-3</c:v>
                </c:pt>
                <c:pt idx="8">
                  <c:v>7.7265372168284996E-2</c:v>
                </c:pt>
                <c:pt idx="9">
                  <c:v>4.3017456359102368E-2</c:v>
                </c:pt>
                <c:pt idx="10">
                  <c:v>0.24142207523770165</c:v>
                </c:pt>
                <c:pt idx="11">
                  <c:v>9.5042735042734972E-2</c:v>
                </c:pt>
                <c:pt idx="12">
                  <c:v>8.7119789710852436E-2</c:v>
                </c:pt>
                <c:pt idx="13">
                  <c:v>-3.5863717872087753E-3</c:v>
                </c:pt>
                <c:pt idx="14">
                  <c:v>-5.2614052614052609E-2</c:v>
                </c:pt>
                <c:pt idx="15">
                  <c:v>8.429597252575638E-3</c:v>
                </c:pt>
                <c:pt idx="16" formatCode="0.0%">
                  <c:v>-5.1999999999999998E-2</c:v>
                </c:pt>
                <c:pt idx="17" formatCode="0.0%">
                  <c:v>-1.7999999999999999E-2</c:v>
                </c:pt>
                <c:pt idx="18" formatCode="0.0%">
                  <c:v>0.16400000000000001</c:v>
                </c:pt>
              </c:numCache>
            </c:numRef>
          </c:val>
          <c:extLst>
            <c:ext xmlns:c16="http://schemas.microsoft.com/office/drawing/2014/chart" uri="{C3380CC4-5D6E-409C-BE32-E72D297353CC}">
              <c16:uniqueId val="{00000001-71CD-4716-A316-60738CF7CDF0}"/>
            </c:ext>
          </c:extLst>
        </c:ser>
        <c:dLbls>
          <c:showLegendKey val="0"/>
          <c:showVal val="0"/>
          <c:showCatName val="0"/>
          <c:showSerName val="0"/>
          <c:showPercent val="0"/>
          <c:showBubbleSize val="0"/>
        </c:dLbls>
        <c:gapWidth val="150"/>
        <c:axId val="120724480"/>
        <c:axId val="120730368"/>
      </c:barChart>
      <c:catAx>
        <c:axId val="120724480"/>
        <c:scaling>
          <c:orientation val="minMax"/>
        </c:scaling>
        <c:delete val="0"/>
        <c:axPos val="b"/>
        <c:numFmt formatCode="General" sourceLinked="0"/>
        <c:majorTickMark val="out"/>
        <c:minorTickMark val="none"/>
        <c:tickLblPos val="low"/>
        <c:crossAx val="120730368"/>
        <c:crosses val="autoZero"/>
        <c:auto val="1"/>
        <c:lblAlgn val="ctr"/>
        <c:lblOffset val="100"/>
        <c:noMultiLvlLbl val="0"/>
      </c:catAx>
      <c:valAx>
        <c:axId val="120730368"/>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crossAx val="120724480"/>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Univision!$AZ$239</c:f>
              <c:strCache>
                <c:ptCount val="1"/>
                <c:pt idx="0">
                  <c:v>Clean revenue</c:v>
                </c:pt>
              </c:strCache>
            </c:strRef>
          </c:tx>
          <c:spPr>
            <a:ln w="25400">
              <a:solidFill>
                <a:srgbClr val="333399"/>
              </a:solidFill>
              <a:prstDash val="solid"/>
            </a:ln>
            <a:effectLst/>
          </c:spPr>
          <c:marker>
            <c:symbol val="none"/>
          </c:marker>
          <c:cat>
            <c:strRef>
              <c:f>Univision!$BA$211:$BS$211</c:f>
              <c:strCache>
                <c:ptCount val="19"/>
                <c:pt idx="0">
                  <c:v>Q1 13</c:v>
                </c:pt>
                <c:pt idx="1">
                  <c:v>Q2 13</c:v>
                </c:pt>
                <c:pt idx="2">
                  <c:v>Q3 13</c:v>
                </c:pt>
                <c:pt idx="3">
                  <c:v>Q4 13</c:v>
                </c:pt>
                <c:pt idx="4">
                  <c:v>Q1 14</c:v>
                </c:pt>
                <c:pt idx="5">
                  <c:v>Q2 14</c:v>
                </c:pt>
                <c:pt idx="6">
                  <c:v>Q3 14</c:v>
                </c:pt>
                <c:pt idx="7">
                  <c:v>Q4 14</c:v>
                </c:pt>
                <c:pt idx="8">
                  <c:v>Q1 15</c:v>
                </c:pt>
                <c:pt idx="9">
                  <c:v>Q2 15</c:v>
                </c:pt>
                <c:pt idx="10">
                  <c:v>Q3 15</c:v>
                </c:pt>
                <c:pt idx="11">
                  <c:v>Q4 15</c:v>
                </c:pt>
                <c:pt idx="12">
                  <c:v>Q1 16</c:v>
                </c:pt>
                <c:pt idx="13">
                  <c:v>Q2 16</c:v>
                </c:pt>
                <c:pt idx="14">
                  <c:v>Q3 16</c:v>
                </c:pt>
                <c:pt idx="15">
                  <c:v>Q4 16</c:v>
                </c:pt>
                <c:pt idx="16">
                  <c:v>Q1 17</c:v>
                </c:pt>
                <c:pt idx="17">
                  <c:v>Q2 17</c:v>
                </c:pt>
                <c:pt idx="18">
                  <c:v>Q3 17</c:v>
                </c:pt>
              </c:strCache>
            </c:strRef>
          </c:cat>
          <c:val>
            <c:numRef>
              <c:f>Univision!$BA$239:$BS$239</c:f>
              <c:numCache>
                <c:formatCode>0%</c:formatCode>
                <c:ptCount val="19"/>
                <c:pt idx="0">
                  <c:v>6.3115228720324268E-2</c:v>
                </c:pt>
                <c:pt idx="1">
                  <c:v>7.6421404682274208E-2</c:v>
                </c:pt>
                <c:pt idx="2">
                  <c:v>5.0090624485088275E-2</c:v>
                </c:pt>
                <c:pt idx="3">
                  <c:v>0.11248593925759254</c:v>
                </c:pt>
                <c:pt idx="4">
                  <c:v>0.114560639070443</c:v>
                </c:pt>
                <c:pt idx="5">
                  <c:v>0.11573714463259277</c:v>
                </c:pt>
                <c:pt idx="6">
                  <c:v>2.8871802918562395E-2</c:v>
                </c:pt>
                <c:pt idx="7">
                  <c:v>-1.1989022100245328E-2</c:v>
                </c:pt>
                <c:pt idx="8">
                  <c:v>5.5383612966282136E-3</c:v>
                </c:pt>
                <c:pt idx="9">
                  <c:v>-3.0492898913951683E-2</c:v>
                </c:pt>
                <c:pt idx="10">
                  <c:v>8.3422296782064809E-2</c:v>
                </c:pt>
                <c:pt idx="11">
                  <c:v>3.5964912280701755E-2</c:v>
                </c:pt>
                <c:pt idx="12">
                  <c:v>7.5762599469495928E-2</c:v>
                </c:pt>
                <c:pt idx="13">
                  <c:v>4.9706744868035058E-2</c:v>
                </c:pt>
                <c:pt idx="14">
                  <c:v>-1.6751126126126059E-2</c:v>
                </c:pt>
                <c:pt idx="15">
                  <c:v>8.5097375105842366E-2</c:v>
                </c:pt>
                <c:pt idx="16">
                  <c:v>8.0000000000000002E-3</c:v>
                </c:pt>
                <c:pt idx="17">
                  <c:v>7.0000000000000001E-3</c:v>
                </c:pt>
                <c:pt idx="18">
                  <c:v>0.01</c:v>
                </c:pt>
              </c:numCache>
            </c:numRef>
          </c:val>
          <c:smooth val="0"/>
          <c:extLst>
            <c:ext xmlns:c16="http://schemas.microsoft.com/office/drawing/2014/chart" uri="{C3380CC4-5D6E-409C-BE32-E72D297353CC}">
              <c16:uniqueId val="{00000000-90DC-4172-8578-F88BED0F3A29}"/>
            </c:ext>
          </c:extLst>
        </c:ser>
        <c:dLbls>
          <c:showLegendKey val="0"/>
          <c:showVal val="0"/>
          <c:showCatName val="0"/>
          <c:showSerName val="0"/>
          <c:showPercent val="0"/>
          <c:showBubbleSize val="0"/>
        </c:dLbls>
        <c:smooth val="0"/>
        <c:axId val="120756096"/>
        <c:axId val="120757632"/>
      </c:lineChart>
      <c:catAx>
        <c:axId val="120756096"/>
        <c:scaling>
          <c:orientation val="minMax"/>
        </c:scaling>
        <c:delete val="0"/>
        <c:axPos val="b"/>
        <c:numFmt formatCode="General" sourceLinked="0"/>
        <c:majorTickMark val="out"/>
        <c:minorTickMark val="none"/>
        <c:tickLblPos val="low"/>
        <c:crossAx val="120757632"/>
        <c:crosses val="autoZero"/>
        <c:auto val="1"/>
        <c:lblAlgn val="ctr"/>
        <c:lblOffset val="100"/>
        <c:noMultiLvlLbl val="0"/>
      </c:catAx>
      <c:valAx>
        <c:axId val="120757632"/>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crossAx val="120756096"/>
        <c:crosses val="autoZero"/>
        <c:crossBetween val="between"/>
      </c:valAx>
      <c:spPr>
        <a:noFill/>
        <a:ln w="25400">
          <a:noFill/>
        </a:ln>
      </c:spPr>
    </c:plotArea>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Analysis!$B$804</c:f>
              <c:strCache>
                <c:ptCount val="1"/>
                <c:pt idx="0">
                  <c:v>Core service revs</c:v>
                </c:pt>
              </c:strCache>
            </c:strRef>
          </c:tx>
          <c:spPr>
            <a:ln w="25400" cap="rnd">
              <a:solidFill>
                <a:srgbClr val="333399"/>
              </a:solidFill>
              <a:prstDash val="solid"/>
              <a:round/>
            </a:ln>
            <a:effectLst/>
          </c:spPr>
          <c:marker>
            <c:symbol val="none"/>
          </c:marker>
          <c:dLbls>
            <c:delete val="1"/>
          </c:dLbls>
          <c:cat>
            <c:strRef>
              <c:f>Analysis!$C$803:$H$803</c:f>
              <c:strCache>
                <c:ptCount val="6"/>
                <c:pt idx="0">
                  <c:v>Q1 15</c:v>
                </c:pt>
                <c:pt idx="1">
                  <c:v>Q2 15</c:v>
                </c:pt>
                <c:pt idx="2">
                  <c:v>Q3 15</c:v>
                </c:pt>
                <c:pt idx="3">
                  <c:v>Q4 15</c:v>
                </c:pt>
                <c:pt idx="4">
                  <c:v>Q1 16</c:v>
                </c:pt>
                <c:pt idx="5">
                  <c:v>Q2 16</c:v>
                </c:pt>
              </c:strCache>
            </c:strRef>
          </c:cat>
          <c:val>
            <c:numRef>
              <c:f>Analysis!$C$804:$H$804</c:f>
              <c:numCache>
                <c:formatCode>0%</c:formatCode>
                <c:ptCount val="6"/>
                <c:pt idx="0">
                  <c:v>0.1672202778518217</c:v>
                </c:pt>
                <c:pt idx="1">
                  <c:v>0.12916219451866939</c:v>
                </c:pt>
                <c:pt idx="2">
                  <c:v>0.16855895196506543</c:v>
                </c:pt>
                <c:pt idx="3">
                  <c:v>0.21446542023787041</c:v>
                </c:pt>
                <c:pt idx="4">
                  <c:v>0.19744562106468222</c:v>
                </c:pt>
                <c:pt idx="5">
                  <c:v>0.2390799035516058</c:v>
                </c:pt>
              </c:numCache>
            </c:numRef>
          </c:val>
          <c:smooth val="0"/>
          <c:extLst>
            <c:ext xmlns:c16="http://schemas.microsoft.com/office/drawing/2014/chart" uri="{C3380CC4-5D6E-409C-BE32-E72D297353CC}">
              <c16:uniqueId val="{00000000-845A-47F7-8237-B3855250F899}"/>
            </c:ext>
          </c:extLst>
        </c:ser>
        <c:ser>
          <c:idx val="1"/>
          <c:order val="1"/>
          <c:tx>
            <c:strRef>
              <c:f>Analysis!$B$805</c:f>
              <c:strCache>
                <c:ptCount val="1"/>
                <c:pt idx="0">
                  <c:v>RGUs</c:v>
                </c:pt>
              </c:strCache>
            </c:strRef>
          </c:tx>
          <c:spPr>
            <a:ln w="25400" cap="rnd">
              <a:solidFill>
                <a:srgbClr val="99CCFF"/>
              </a:solidFill>
              <a:prstDash val="solid"/>
              <a:round/>
            </a:ln>
            <a:effectLst/>
          </c:spPr>
          <c:marker>
            <c:symbol val="none"/>
          </c:marker>
          <c:dLbls>
            <c:delete val="1"/>
          </c:dLbls>
          <c:cat>
            <c:strRef>
              <c:f>Analysis!$C$803:$H$803</c:f>
              <c:strCache>
                <c:ptCount val="6"/>
                <c:pt idx="0">
                  <c:v>Q1 15</c:v>
                </c:pt>
                <c:pt idx="1">
                  <c:v>Q2 15</c:v>
                </c:pt>
                <c:pt idx="2">
                  <c:v>Q3 15</c:v>
                </c:pt>
                <c:pt idx="3">
                  <c:v>Q4 15</c:v>
                </c:pt>
                <c:pt idx="4">
                  <c:v>Q1 16</c:v>
                </c:pt>
                <c:pt idx="5">
                  <c:v>Q2 16</c:v>
                </c:pt>
              </c:strCache>
            </c:strRef>
          </c:cat>
          <c:val>
            <c:numRef>
              <c:f>Analysis!$C$805:$H$805</c:f>
              <c:numCache>
                <c:formatCode>0%</c:formatCode>
                <c:ptCount val="6"/>
                <c:pt idx="0">
                  <c:v>0.22920845748095742</c:v>
                </c:pt>
                <c:pt idx="1">
                  <c:v>0.23566511819716318</c:v>
                </c:pt>
                <c:pt idx="2">
                  <c:v>0.24169424500651271</c:v>
                </c:pt>
                <c:pt idx="3">
                  <c:v>0.24749175207689733</c:v>
                </c:pt>
                <c:pt idx="4">
                  <c:v>0.23357183853070596</c:v>
                </c:pt>
                <c:pt idx="5">
                  <c:v>0.20039464068209512</c:v>
                </c:pt>
              </c:numCache>
            </c:numRef>
          </c:val>
          <c:smooth val="0"/>
          <c:extLst>
            <c:ext xmlns:c16="http://schemas.microsoft.com/office/drawing/2014/chart" uri="{C3380CC4-5D6E-409C-BE32-E72D297353CC}">
              <c16:uniqueId val="{00000001-845A-47F7-8237-B3855250F899}"/>
            </c:ext>
          </c:extLst>
        </c:ser>
        <c:ser>
          <c:idx val="2"/>
          <c:order val="2"/>
          <c:tx>
            <c:strRef>
              <c:f>Analysis!$B$806</c:f>
              <c:strCache>
                <c:ptCount val="1"/>
                <c:pt idx="0">
                  <c:v>ARPU</c:v>
                </c:pt>
              </c:strCache>
            </c:strRef>
          </c:tx>
          <c:spPr>
            <a:ln w="25400" cap="rnd">
              <a:solidFill>
                <a:srgbClr val="333399"/>
              </a:solidFill>
              <a:prstDash val="lgDash"/>
              <a:round/>
            </a:ln>
            <a:effectLst/>
          </c:spPr>
          <c:marker>
            <c:symbol val="none"/>
          </c:marker>
          <c:dLbls>
            <c:delete val="1"/>
          </c:dLbls>
          <c:cat>
            <c:strRef>
              <c:f>Analysis!$C$803:$H$803</c:f>
              <c:strCache>
                <c:ptCount val="6"/>
                <c:pt idx="0">
                  <c:v>Q1 15</c:v>
                </c:pt>
                <c:pt idx="1">
                  <c:v>Q2 15</c:v>
                </c:pt>
                <c:pt idx="2">
                  <c:v>Q3 15</c:v>
                </c:pt>
                <c:pt idx="3">
                  <c:v>Q4 15</c:v>
                </c:pt>
                <c:pt idx="4">
                  <c:v>Q1 16</c:v>
                </c:pt>
                <c:pt idx="5">
                  <c:v>Q2 16</c:v>
                </c:pt>
              </c:strCache>
            </c:strRef>
          </c:cat>
          <c:val>
            <c:numRef>
              <c:f>Analysis!$C$806:$H$806</c:f>
              <c:numCache>
                <c:formatCode>0%</c:formatCode>
                <c:ptCount val="6"/>
                <c:pt idx="0">
                  <c:v>-9.1351074718526104E-2</c:v>
                </c:pt>
                <c:pt idx="1">
                  <c:v>-1.9646924829157086E-2</c:v>
                </c:pt>
                <c:pt idx="2">
                  <c:v>0</c:v>
                </c:pt>
                <c:pt idx="3">
                  <c:v>3.3276931754089079E-2</c:v>
                </c:pt>
                <c:pt idx="4">
                  <c:v>-3.9425513939735923E-3</c:v>
                </c:pt>
                <c:pt idx="5">
                  <c:v>4.0952657566075912E-2</c:v>
                </c:pt>
              </c:numCache>
            </c:numRef>
          </c:val>
          <c:smooth val="0"/>
          <c:extLst>
            <c:ext xmlns:c16="http://schemas.microsoft.com/office/drawing/2014/chart" uri="{C3380CC4-5D6E-409C-BE32-E72D297353CC}">
              <c16:uniqueId val="{00000002-845A-47F7-8237-B3855250F899}"/>
            </c:ext>
          </c:extLst>
        </c:ser>
        <c:dLbls>
          <c:dLblPos val="ctr"/>
          <c:showLegendKey val="0"/>
          <c:showVal val="1"/>
          <c:showCatName val="0"/>
          <c:showSerName val="0"/>
          <c:showPercent val="0"/>
          <c:showBubbleSize val="0"/>
        </c:dLbls>
        <c:smooth val="0"/>
        <c:axId val="119007872"/>
        <c:axId val="119144832"/>
      </c:lineChart>
      <c:catAx>
        <c:axId val="119007872"/>
        <c:scaling>
          <c:orientation val="minMax"/>
        </c:scaling>
        <c:delete val="0"/>
        <c:axPos val="b"/>
        <c:numFmt formatCode="General" sourceLinked="1"/>
        <c:majorTickMark val="none"/>
        <c:minorTickMark val="none"/>
        <c:tickLblPos val="low"/>
        <c:spPr>
          <a:noFill/>
          <a:ln w="9525" cap="flat" cmpd="sng" algn="ctr">
            <a:solidFill>
              <a:srgbClr val="868686"/>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144832"/>
        <c:crosses val="autoZero"/>
        <c:auto val="1"/>
        <c:lblAlgn val="ctr"/>
        <c:lblOffset val="100"/>
        <c:noMultiLvlLbl val="0"/>
      </c:catAx>
      <c:valAx>
        <c:axId val="11914483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rgbClr val="868686"/>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00787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6350" cap="flat" cmpd="sng" algn="ctr">
      <a:solidFill>
        <a:schemeClr val="tx1">
          <a:lumMod val="15000"/>
          <a:lumOff val="85000"/>
          <a:alpha val="9000"/>
        </a:schemeClr>
      </a:solid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dPt>
            <c:idx val="9"/>
            <c:invertIfNegative val="0"/>
            <c:bubble3D val="0"/>
            <c:extLst>
              <c:ext xmlns:c16="http://schemas.microsoft.com/office/drawing/2014/chart" uri="{C3380CC4-5D6E-409C-BE32-E72D297353CC}">
                <c16:uniqueId val="{00000000-9F95-4B4D-8322-65B1176CE8BE}"/>
              </c:ext>
            </c:extLst>
          </c:dPt>
          <c:dPt>
            <c:idx val="10"/>
            <c:invertIfNegative val="0"/>
            <c:bubble3D val="0"/>
            <c:extLst>
              <c:ext xmlns:c16="http://schemas.microsoft.com/office/drawing/2014/chart" uri="{C3380CC4-5D6E-409C-BE32-E72D297353CC}">
                <c16:uniqueId val="{00000001-9F95-4B4D-8322-65B1176CE8BE}"/>
              </c:ext>
            </c:extLst>
          </c:dPt>
          <c:dPt>
            <c:idx val="11"/>
            <c:invertIfNegative val="0"/>
            <c:bubble3D val="0"/>
            <c:extLst>
              <c:ext xmlns:c16="http://schemas.microsoft.com/office/drawing/2014/chart" uri="{C3380CC4-5D6E-409C-BE32-E72D297353CC}">
                <c16:uniqueId val="{00000002-9F95-4B4D-8322-65B1176CE8BE}"/>
              </c:ext>
            </c:extLst>
          </c:dPt>
          <c:cat>
            <c:strRef>
              <c:f>Univision!$BQ$211:$CB$211</c:f>
              <c:strCache>
                <c:ptCount val="12"/>
                <c:pt idx="0">
                  <c:v>Q1 17</c:v>
                </c:pt>
                <c:pt idx="1">
                  <c:v>Q2 17</c:v>
                </c:pt>
                <c:pt idx="2">
                  <c:v>Q3 17</c:v>
                </c:pt>
                <c:pt idx="3">
                  <c:v>Q4 17</c:v>
                </c:pt>
                <c:pt idx="4">
                  <c:v>Q1 18</c:v>
                </c:pt>
                <c:pt idx="5">
                  <c:v>Q2 18</c:v>
                </c:pt>
                <c:pt idx="6">
                  <c:v>Q3 18</c:v>
                </c:pt>
                <c:pt idx="7">
                  <c:v>Q4 18</c:v>
                </c:pt>
                <c:pt idx="8">
                  <c:v>Q1 19</c:v>
                </c:pt>
                <c:pt idx="9">
                  <c:v>Q2 19</c:v>
                </c:pt>
                <c:pt idx="10">
                  <c:v>Q3 19</c:v>
                </c:pt>
                <c:pt idx="11">
                  <c:v>Q4 19e</c:v>
                </c:pt>
              </c:strCache>
            </c:strRef>
          </c:cat>
          <c:val>
            <c:numRef>
              <c:f>Univision!$BQ$215:$CB$215</c:f>
              <c:numCache>
                <c:formatCode>0.0%</c:formatCode>
                <c:ptCount val="12"/>
                <c:pt idx="0">
                  <c:v>8.0000000000000002E-3</c:v>
                </c:pt>
                <c:pt idx="1">
                  <c:v>7.0000000000000001E-3</c:v>
                </c:pt>
                <c:pt idx="2">
                  <c:v>0.01</c:v>
                </c:pt>
                <c:pt idx="3">
                  <c:v>-2.9000000000000001E-2</c:v>
                </c:pt>
                <c:pt idx="4">
                  <c:v>-1.2E-2</c:v>
                </c:pt>
                <c:pt idx="5">
                  <c:v>-3.0789648307896544E-2</c:v>
                </c:pt>
                <c:pt idx="6">
                  <c:v>-8.1788594877600151E-2</c:v>
                </c:pt>
                <c:pt idx="7">
                  <c:v>-8.6625086625086611E-2</c:v>
                </c:pt>
                <c:pt idx="8">
                  <c:v>-7.9981787828198425E-2</c:v>
                </c:pt>
                <c:pt idx="9">
                  <c:v>-3.9161988224017397E-2</c:v>
                </c:pt>
                <c:pt idx="10">
                  <c:v>2.5999999999999999E-2</c:v>
                </c:pt>
                <c:pt idx="11">
                  <c:v>-4.9092229484386518E-2</c:v>
                </c:pt>
              </c:numCache>
            </c:numRef>
          </c:val>
          <c:extLst>
            <c:ext xmlns:c16="http://schemas.microsoft.com/office/drawing/2014/chart" uri="{C3380CC4-5D6E-409C-BE32-E72D297353CC}">
              <c16:uniqueId val="{00000000-115D-47C6-98A7-218134702544}"/>
            </c:ext>
          </c:extLst>
        </c:ser>
        <c:dLbls>
          <c:showLegendKey val="0"/>
          <c:showVal val="0"/>
          <c:showCatName val="0"/>
          <c:showSerName val="0"/>
          <c:showPercent val="0"/>
          <c:showBubbleSize val="0"/>
        </c:dLbls>
        <c:gapWidth val="219"/>
        <c:overlap val="-27"/>
        <c:axId val="120786304"/>
        <c:axId val="120804480"/>
      </c:barChart>
      <c:catAx>
        <c:axId val="12078630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0804480"/>
        <c:crosses val="autoZero"/>
        <c:auto val="1"/>
        <c:lblAlgn val="ctr"/>
        <c:lblOffset val="100"/>
        <c:noMultiLvlLbl val="0"/>
      </c:catAx>
      <c:valAx>
        <c:axId val="120804480"/>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y/y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0786304"/>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cat>
            <c:strRef>
              <c:f>Univision!$BK$211:$BQ$211</c:f>
              <c:strCache>
                <c:ptCount val="7"/>
                <c:pt idx="0">
                  <c:v>Q3 15</c:v>
                </c:pt>
                <c:pt idx="1">
                  <c:v>Q4 15</c:v>
                </c:pt>
                <c:pt idx="2">
                  <c:v>Q1 16</c:v>
                </c:pt>
                <c:pt idx="3">
                  <c:v>Q2 16</c:v>
                </c:pt>
                <c:pt idx="4">
                  <c:v>Q3 16</c:v>
                </c:pt>
                <c:pt idx="5">
                  <c:v>Q4 16</c:v>
                </c:pt>
                <c:pt idx="6">
                  <c:v>Q1 17</c:v>
                </c:pt>
              </c:strCache>
            </c:strRef>
          </c:cat>
          <c:val>
            <c:numRef>
              <c:f>Univision!$BK$234:$BQ$234</c:f>
              <c:numCache>
                <c:formatCode>0.0%</c:formatCode>
                <c:ptCount val="7"/>
                <c:pt idx="0">
                  <c:v>0.14000000000000001</c:v>
                </c:pt>
                <c:pt idx="1">
                  <c:v>8.6999999999999994E-2</c:v>
                </c:pt>
                <c:pt idx="2" formatCode="0%">
                  <c:v>0.16498993963782693</c:v>
                </c:pt>
                <c:pt idx="3" formatCode="0%">
                  <c:v>6.3137755102040671E-2</c:v>
                </c:pt>
                <c:pt idx="4" formatCode="0%">
                  <c:v>-0.13787878787878793</c:v>
                </c:pt>
                <c:pt idx="5" formatCode="0%">
                  <c:v>3.1948881789137351E-2</c:v>
                </c:pt>
                <c:pt idx="6" formatCode="0%">
                  <c:v>-6.0042887776983633E-2</c:v>
                </c:pt>
              </c:numCache>
            </c:numRef>
          </c:val>
          <c:extLst>
            <c:ext xmlns:c16="http://schemas.microsoft.com/office/drawing/2014/chart" uri="{C3380CC4-5D6E-409C-BE32-E72D297353CC}">
              <c16:uniqueId val="{00000000-D139-47B4-8FB7-2FEA8CE94987}"/>
            </c:ext>
          </c:extLst>
        </c:ser>
        <c:dLbls>
          <c:showLegendKey val="0"/>
          <c:showVal val="0"/>
          <c:showCatName val="0"/>
          <c:showSerName val="0"/>
          <c:showPercent val="0"/>
          <c:showBubbleSize val="0"/>
        </c:dLbls>
        <c:gapWidth val="219"/>
        <c:overlap val="-27"/>
        <c:axId val="120824576"/>
        <c:axId val="120826112"/>
      </c:barChart>
      <c:catAx>
        <c:axId val="1208245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0826112"/>
        <c:crosses val="autoZero"/>
        <c:auto val="1"/>
        <c:lblAlgn val="ctr"/>
        <c:lblOffset val="100"/>
        <c:noMultiLvlLbl val="0"/>
      </c:catAx>
      <c:valAx>
        <c:axId val="120826112"/>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0824576"/>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Adjusted core EBITDA</c:v>
          </c:tx>
          <c:spPr>
            <a:solidFill>
              <a:srgbClr val="000080"/>
            </a:solidFill>
            <a:ln w="25400">
              <a:noFill/>
            </a:ln>
            <a:effectLst/>
          </c:spPr>
          <c:invertIfNegative val="0"/>
          <c:dPt>
            <c:idx val="9"/>
            <c:invertIfNegative val="0"/>
            <c:bubble3D val="0"/>
            <c:extLst>
              <c:ext xmlns:c16="http://schemas.microsoft.com/office/drawing/2014/chart" uri="{C3380CC4-5D6E-409C-BE32-E72D297353CC}">
                <c16:uniqueId val="{00000008-B4A3-43D6-AD0C-4D91852C4946}"/>
              </c:ext>
            </c:extLst>
          </c:dPt>
          <c:dPt>
            <c:idx val="10"/>
            <c:invertIfNegative val="0"/>
            <c:bubble3D val="0"/>
            <c:extLst>
              <c:ext xmlns:c16="http://schemas.microsoft.com/office/drawing/2014/chart" uri="{C3380CC4-5D6E-409C-BE32-E72D297353CC}">
                <c16:uniqueId val="{00000007-B4A3-43D6-AD0C-4D91852C4946}"/>
              </c:ext>
            </c:extLst>
          </c:dPt>
          <c:dPt>
            <c:idx val="11"/>
            <c:invertIfNegative val="0"/>
            <c:bubble3D val="0"/>
            <c:extLst>
              <c:ext xmlns:c16="http://schemas.microsoft.com/office/drawing/2014/chart" uri="{C3380CC4-5D6E-409C-BE32-E72D297353CC}">
                <c16:uniqueId val="{00000006-B4A3-43D6-AD0C-4D91852C4946}"/>
              </c:ext>
            </c:extLst>
          </c:dPt>
          <c:cat>
            <c:strRef>
              <c:f>Univision!$BQ$211:$CB$211</c:f>
              <c:strCache>
                <c:ptCount val="12"/>
                <c:pt idx="0">
                  <c:v>Q1 17</c:v>
                </c:pt>
                <c:pt idx="1">
                  <c:v>Q2 17</c:v>
                </c:pt>
                <c:pt idx="2">
                  <c:v>Q3 17</c:v>
                </c:pt>
                <c:pt idx="3">
                  <c:v>Q4 17</c:v>
                </c:pt>
                <c:pt idx="4">
                  <c:v>Q1 18</c:v>
                </c:pt>
                <c:pt idx="5">
                  <c:v>Q2 18</c:v>
                </c:pt>
                <c:pt idx="6">
                  <c:v>Q3 18</c:v>
                </c:pt>
                <c:pt idx="7">
                  <c:v>Q4 18</c:v>
                </c:pt>
                <c:pt idx="8">
                  <c:v>Q1 19</c:v>
                </c:pt>
                <c:pt idx="9">
                  <c:v>Q2 19</c:v>
                </c:pt>
                <c:pt idx="10">
                  <c:v>Q3 19</c:v>
                </c:pt>
                <c:pt idx="11">
                  <c:v>Q4 19e</c:v>
                </c:pt>
              </c:strCache>
            </c:strRef>
          </c:cat>
          <c:val>
            <c:numRef>
              <c:f>Univision!$BQ$241:$CB$241</c:f>
              <c:numCache>
                <c:formatCode>0.0%</c:formatCode>
                <c:ptCount val="12"/>
                <c:pt idx="0">
                  <c:v>-5.1999999999999998E-2</c:v>
                </c:pt>
                <c:pt idx="1">
                  <c:v>-1.7999999999999999E-2</c:v>
                </c:pt>
                <c:pt idx="2">
                  <c:v>0.16400000000000001</c:v>
                </c:pt>
                <c:pt idx="3">
                  <c:v>-2E-3</c:v>
                </c:pt>
                <c:pt idx="4">
                  <c:v>-1E-3</c:v>
                </c:pt>
                <c:pt idx="5">
                  <c:v>-6.9084628670120773E-3</c:v>
                </c:pt>
                <c:pt idx="6" formatCode="0%">
                  <c:v>-0.17013422818791946</c:v>
                </c:pt>
                <c:pt idx="7" formatCode="0%">
                  <c:v>-0.28192602930914168</c:v>
                </c:pt>
                <c:pt idx="8" formatCode="0%">
                  <c:v>-0.19404186795491152</c:v>
                </c:pt>
                <c:pt idx="9" formatCode="0%">
                  <c:v>4.1391304347826008E-2</c:v>
                </c:pt>
                <c:pt idx="10" formatCode="0%">
                  <c:v>1.8196522442377683E-2</c:v>
                </c:pt>
                <c:pt idx="11" formatCode="0%">
                  <c:v>-9.3019650655022268E-2</c:v>
                </c:pt>
              </c:numCache>
            </c:numRef>
          </c:val>
          <c:extLst>
            <c:ext xmlns:c16="http://schemas.microsoft.com/office/drawing/2014/chart" uri="{C3380CC4-5D6E-409C-BE32-E72D297353CC}">
              <c16:uniqueId val="{00000000-B4A3-43D6-AD0C-4D91852C4946}"/>
            </c:ext>
          </c:extLst>
        </c:ser>
        <c:ser>
          <c:idx val="1"/>
          <c:order val="1"/>
          <c:tx>
            <c:v>Bank credit EBITDA</c:v>
          </c:tx>
          <c:spPr>
            <a:solidFill>
              <a:srgbClr val="9999FF"/>
            </a:solidFill>
            <a:ln w="25400">
              <a:noFill/>
            </a:ln>
            <a:effectLst/>
          </c:spPr>
          <c:invertIfNegative val="0"/>
          <c:dPt>
            <c:idx val="9"/>
            <c:invertIfNegative val="0"/>
            <c:bubble3D val="0"/>
            <c:extLst>
              <c:ext xmlns:c16="http://schemas.microsoft.com/office/drawing/2014/chart" uri="{C3380CC4-5D6E-409C-BE32-E72D297353CC}">
                <c16:uniqueId val="{00000004-B4A3-43D6-AD0C-4D91852C4946}"/>
              </c:ext>
            </c:extLst>
          </c:dPt>
          <c:dPt>
            <c:idx val="10"/>
            <c:invertIfNegative val="0"/>
            <c:bubble3D val="0"/>
            <c:extLst>
              <c:ext xmlns:c16="http://schemas.microsoft.com/office/drawing/2014/chart" uri="{C3380CC4-5D6E-409C-BE32-E72D297353CC}">
                <c16:uniqueId val="{00000003-B4A3-43D6-AD0C-4D91852C4946}"/>
              </c:ext>
            </c:extLst>
          </c:dPt>
          <c:dPt>
            <c:idx val="11"/>
            <c:invertIfNegative val="0"/>
            <c:bubble3D val="0"/>
            <c:extLst>
              <c:ext xmlns:c16="http://schemas.microsoft.com/office/drawing/2014/chart" uri="{C3380CC4-5D6E-409C-BE32-E72D297353CC}">
                <c16:uniqueId val="{00000002-B4A3-43D6-AD0C-4D91852C4946}"/>
              </c:ext>
            </c:extLst>
          </c:dPt>
          <c:cat>
            <c:strRef>
              <c:f>Univision!$BQ$211:$CB$211</c:f>
              <c:strCache>
                <c:ptCount val="12"/>
                <c:pt idx="0">
                  <c:v>Q1 17</c:v>
                </c:pt>
                <c:pt idx="1">
                  <c:v>Q2 17</c:v>
                </c:pt>
                <c:pt idx="2">
                  <c:v>Q3 17</c:v>
                </c:pt>
                <c:pt idx="3">
                  <c:v>Q4 17</c:v>
                </c:pt>
                <c:pt idx="4">
                  <c:v>Q1 18</c:v>
                </c:pt>
                <c:pt idx="5">
                  <c:v>Q2 18</c:v>
                </c:pt>
                <c:pt idx="6">
                  <c:v>Q3 18</c:v>
                </c:pt>
                <c:pt idx="7">
                  <c:v>Q4 18</c:v>
                </c:pt>
                <c:pt idx="8">
                  <c:v>Q1 19</c:v>
                </c:pt>
                <c:pt idx="9">
                  <c:v>Q2 19</c:v>
                </c:pt>
                <c:pt idx="10">
                  <c:v>Q3 19</c:v>
                </c:pt>
                <c:pt idx="11">
                  <c:v>Q4 19e</c:v>
                </c:pt>
              </c:strCache>
            </c:strRef>
          </c:cat>
          <c:val>
            <c:numRef>
              <c:f>Univision!$BQ$242:$CB$242</c:f>
              <c:numCache>
                <c:formatCode>0.0%</c:formatCode>
                <c:ptCount val="12"/>
                <c:pt idx="0">
                  <c:v>-4.9000000000000002E-2</c:v>
                </c:pt>
                <c:pt idx="1">
                  <c:v>2.3E-2</c:v>
                </c:pt>
                <c:pt idx="2">
                  <c:v>0.10199999999999999</c:v>
                </c:pt>
                <c:pt idx="3">
                  <c:v>-0.11600000000000001</c:v>
                </c:pt>
                <c:pt idx="4">
                  <c:v>-0.107</c:v>
                </c:pt>
                <c:pt idx="5">
                  <c:v>-7.2425051944197016E-2</c:v>
                </c:pt>
                <c:pt idx="6" formatCode="0%">
                  <c:v>-0.24289332958063614</c:v>
                </c:pt>
                <c:pt idx="7" formatCode="0%">
                  <c:v>-0.28835227272727271</c:v>
                </c:pt>
                <c:pt idx="8" formatCode="0%">
                  <c:v>-0.1890126776796005</c:v>
                </c:pt>
                <c:pt idx="9" formatCode="0%">
                  <c:v>4.1391304347826008E-2</c:v>
                </c:pt>
                <c:pt idx="10" formatCode="0%">
                  <c:v>1.8196522442377683E-2</c:v>
                </c:pt>
                <c:pt idx="11" formatCode="0%">
                  <c:v>-9.3019650655022268E-2</c:v>
                </c:pt>
              </c:numCache>
            </c:numRef>
          </c:val>
          <c:extLst>
            <c:ext xmlns:c16="http://schemas.microsoft.com/office/drawing/2014/chart" uri="{C3380CC4-5D6E-409C-BE32-E72D297353CC}">
              <c16:uniqueId val="{00000001-B4A3-43D6-AD0C-4D91852C4946}"/>
            </c:ext>
          </c:extLst>
        </c:ser>
        <c:dLbls>
          <c:showLegendKey val="0"/>
          <c:showVal val="0"/>
          <c:showCatName val="0"/>
          <c:showSerName val="0"/>
          <c:showPercent val="0"/>
          <c:showBubbleSize val="0"/>
        </c:dLbls>
        <c:gapWidth val="219"/>
        <c:overlap val="-27"/>
        <c:axId val="120786304"/>
        <c:axId val="120804480"/>
      </c:barChart>
      <c:catAx>
        <c:axId val="12078630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0804480"/>
        <c:crosses val="autoZero"/>
        <c:auto val="1"/>
        <c:lblAlgn val="ctr"/>
        <c:lblOffset val="100"/>
        <c:noMultiLvlLbl val="0"/>
      </c:catAx>
      <c:valAx>
        <c:axId val="120804480"/>
        <c:scaling>
          <c:orientation val="minMax"/>
          <c:min val="-0.30000000000000004"/>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y/y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078630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101645927043813"/>
          <c:y val="5.0925944490355965E-2"/>
          <c:w val="0.70246129151812975"/>
          <c:h val="0.782499920713007"/>
        </c:manualLayout>
      </c:layout>
      <c:barChart>
        <c:barDir val="col"/>
        <c:grouping val="clustered"/>
        <c:varyColors val="0"/>
        <c:ser>
          <c:idx val="0"/>
          <c:order val="0"/>
          <c:spPr>
            <a:solidFill>
              <a:srgbClr val="000080"/>
            </a:solidFill>
            <a:ln w="25400">
              <a:noFill/>
            </a:ln>
            <a:effectLst/>
          </c:spPr>
          <c:invertIfNegative val="0"/>
          <c:cat>
            <c:strRef>
              <c:f>Univision!$I$211:$AM$211</c:f>
              <c:strCache>
                <c:ptCount val="31"/>
                <c:pt idx="0">
                  <c:v>Q3 11</c:v>
                </c:pt>
                <c:pt idx="1">
                  <c:v>Q4 11</c:v>
                </c:pt>
                <c:pt idx="2">
                  <c:v>Q1 12</c:v>
                </c:pt>
                <c:pt idx="3">
                  <c:v>Q2 12</c:v>
                </c:pt>
                <c:pt idx="4">
                  <c:v>Q3 12</c:v>
                </c:pt>
                <c:pt idx="5">
                  <c:v>Q4 12</c:v>
                </c:pt>
                <c:pt idx="6">
                  <c:v>Q1 13</c:v>
                </c:pt>
                <c:pt idx="7">
                  <c:v>Q2 13</c:v>
                </c:pt>
                <c:pt idx="8">
                  <c:v>Q3 13</c:v>
                </c:pt>
                <c:pt idx="9">
                  <c:v>Q4 13</c:v>
                </c:pt>
                <c:pt idx="10">
                  <c:v>Q1 14</c:v>
                </c:pt>
                <c:pt idx="11">
                  <c:v>Q2 14</c:v>
                </c:pt>
                <c:pt idx="12">
                  <c:v>Q3 14</c:v>
                </c:pt>
                <c:pt idx="13">
                  <c:v>Q4 14</c:v>
                </c:pt>
                <c:pt idx="14">
                  <c:v>Q1 15</c:v>
                </c:pt>
                <c:pt idx="15">
                  <c:v>Q2 15</c:v>
                </c:pt>
                <c:pt idx="16">
                  <c:v>Q3 15</c:v>
                </c:pt>
                <c:pt idx="17">
                  <c:v>Q4 15</c:v>
                </c:pt>
                <c:pt idx="18">
                  <c:v>Q1 16</c:v>
                </c:pt>
                <c:pt idx="19">
                  <c:v>Q2 16</c:v>
                </c:pt>
                <c:pt idx="20">
                  <c:v>Q3 16</c:v>
                </c:pt>
                <c:pt idx="21">
                  <c:v>Q4 16</c:v>
                </c:pt>
                <c:pt idx="22">
                  <c:v>Q1 17</c:v>
                </c:pt>
                <c:pt idx="23">
                  <c:v>Q2 17</c:v>
                </c:pt>
                <c:pt idx="24">
                  <c:v>Q3 17</c:v>
                </c:pt>
                <c:pt idx="25">
                  <c:v>Q4 17</c:v>
                </c:pt>
                <c:pt idx="26">
                  <c:v>Q1 18</c:v>
                </c:pt>
                <c:pt idx="27">
                  <c:v>Q2 18</c:v>
                </c:pt>
                <c:pt idx="28">
                  <c:v>Q3 18</c:v>
                </c:pt>
                <c:pt idx="29">
                  <c:v>Q4 18</c:v>
                </c:pt>
                <c:pt idx="30">
                  <c:v>Q1 19</c:v>
                </c:pt>
              </c:strCache>
            </c:strRef>
          </c:cat>
          <c:val>
            <c:numRef>
              <c:f>Univision!$I$254:$AM$254</c:f>
              <c:numCache>
                <c:formatCode>General</c:formatCode>
                <c:ptCount val="31"/>
                <c:pt idx="0">
                  <c:v>9179.2999999999993</c:v>
                </c:pt>
                <c:pt idx="1">
                  <c:v>9193.1999999999989</c:v>
                </c:pt>
                <c:pt idx="2">
                  <c:v>9130.8000000000011</c:v>
                </c:pt>
                <c:pt idx="3">
                  <c:v>9161.2000000000007</c:v>
                </c:pt>
                <c:pt idx="4">
                  <c:v>9114.5000000000018</c:v>
                </c:pt>
                <c:pt idx="5">
                  <c:v>9160.4000000000015</c:v>
                </c:pt>
                <c:pt idx="6">
                  <c:v>9340.6</c:v>
                </c:pt>
                <c:pt idx="7">
                  <c:v>9475.9000000000015</c:v>
                </c:pt>
                <c:pt idx="8">
                  <c:v>9489.2999999999993</c:v>
                </c:pt>
                <c:pt idx="9">
                  <c:v>9509.2000000000007</c:v>
                </c:pt>
                <c:pt idx="10">
                  <c:v>9347.7000000000007</c:v>
                </c:pt>
                <c:pt idx="11">
                  <c:v>9348.7000000000007</c:v>
                </c:pt>
                <c:pt idx="12">
                  <c:v>9137.6</c:v>
                </c:pt>
                <c:pt idx="13">
                  <c:v>9265.1999999999989</c:v>
                </c:pt>
                <c:pt idx="14">
                  <c:v>9143.4</c:v>
                </c:pt>
                <c:pt idx="15">
                  <c:v>9463.7999999999993</c:v>
                </c:pt>
                <c:pt idx="16">
                  <c:v>9276.7999999999993</c:v>
                </c:pt>
                <c:pt idx="17">
                  <c:v>9311.9000000000015</c:v>
                </c:pt>
                <c:pt idx="18">
                  <c:v>9094.2999999999993</c:v>
                </c:pt>
                <c:pt idx="19">
                  <c:v>9019.7999999999993</c:v>
                </c:pt>
                <c:pt idx="20">
                  <c:v>9040.2999999999993</c:v>
                </c:pt>
                <c:pt idx="21">
                  <c:v>8854</c:v>
                </c:pt>
                <c:pt idx="22">
                  <c:v>8807.9</c:v>
                </c:pt>
                <c:pt idx="23">
                  <c:v>8639.7000000000007</c:v>
                </c:pt>
                <c:pt idx="24">
                  <c:v>8132.9</c:v>
                </c:pt>
                <c:pt idx="25">
                  <c:v>7977.2999999999993</c:v>
                </c:pt>
                <c:pt idx="26">
                  <c:v>7901.0999999999995</c:v>
                </c:pt>
                <c:pt idx="27">
                  <c:v>7721.2</c:v>
                </c:pt>
                <c:pt idx="28">
                  <c:v>7640.8</c:v>
                </c:pt>
                <c:pt idx="29">
                  <c:v>7430.2999999999993</c:v>
                </c:pt>
                <c:pt idx="30">
                  <c:v>7446.4000000000005</c:v>
                </c:pt>
              </c:numCache>
            </c:numRef>
          </c:val>
          <c:extLst>
            <c:ext xmlns:c16="http://schemas.microsoft.com/office/drawing/2014/chart" uri="{C3380CC4-5D6E-409C-BE32-E72D297353CC}">
              <c16:uniqueId val="{00000000-BD24-4E0F-8170-24C50579FC7E}"/>
            </c:ext>
          </c:extLst>
        </c:ser>
        <c:dLbls>
          <c:showLegendKey val="0"/>
          <c:showVal val="0"/>
          <c:showCatName val="0"/>
          <c:showSerName val="0"/>
          <c:showPercent val="0"/>
          <c:showBubbleSize val="0"/>
        </c:dLbls>
        <c:gapWidth val="219"/>
        <c:overlap val="-27"/>
        <c:axId val="810051488"/>
        <c:axId val="751942752"/>
      </c:barChart>
      <c:catAx>
        <c:axId val="8100514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51942752"/>
        <c:crosses val="autoZero"/>
        <c:auto val="1"/>
        <c:lblAlgn val="ctr"/>
        <c:lblOffset val="100"/>
        <c:noMultiLvlLbl val="0"/>
      </c:catAx>
      <c:valAx>
        <c:axId val="751942752"/>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1005148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881524182302484"/>
          <c:y val="5.0925944490355965E-2"/>
          <c:w val="0.72466250896554296"/>
          <c:h val="0.782499920713007"/>
        </c:manualLayout>
      </c:layout>
      <c:barChart>
        <c:barDir val="col"/>
        <c:grouping val="clustered"/>
        <c:varyColors val="0"/>
        <c:ser>
          <c:idx val="0"/>
          <c:order val="0"/>
          <c:spPr>
            <a:solidFill>
              <a:srgbClr val="000080"/>
            </a:solidFill>
            <a:ln w="25400">
              <a:noFill/>
            </a:ln>
            <a:effectLst/>
          </c:spPr>
          <c:invertIfNegative val="0"/>
          <c:cat>
            <c:strRef>
              <c:f>Univision!$I$211:$AM$211</c:f>
              <c:strCache>
                <c:ptCount val="31"/>
                <c:pt idx="0">
                  <c:v>Q3 11</c:v>
                </c:pt>
                <c:pt idx="1">
                  <c:v>Q4 11</c:v>
                </c:pt>
                <c:pt idx="2">
                  <c:v>Q1 12</c:v>
                </c:pt>
                <c:pt idx="3">
                  <c:v>Q2 12</c:v>
                </c:pt>
                <c:pt idx="4">
                  <c:v>Q3 12</c:v>
                </c:pt>
                <c:pt idx="5">
                  <c:v>Q4 12</c:v>
                </c:pt>
                <c:pt idx="6">
                  <c:v>Q1 13</c:v>
                </c:pt>
                <c:pt idx="7">
                  <c:v>Q2 13</c:v>
                </c:pt>
                <c:pt idx="8">
                  <c:v>Q3 13</c:v>
                </c:pt>
                <c:pt idx="9">
                  <c:v>Q4 13</c:v>
                </c:pt>
                <c:pt idx="10">
                  <c:v>Q1 14</c:v>
                </c:pt>
                <c:pt idx="11">
                  <c:v>Q2 14</c:v>
                </c:pt>
                <c:pt idx="12">
                  <c:v>Q3 14</c:v>
                </c:pt>
                <c:pt idx="13">
                  <c:v>Q4 14</c:v>
                </c:pt>
                <c:pt idx="14">
                  <c:v>Q1 15</c:v>
                </c:pt>
                <c:pt idx="15">
                  <c:v>Q2 15</c:v>
                </c:pt>
                <c:pt idx="16">
                  <c:v>Q3 15</c:v>
                </c:pt>
                <c:pt idx="17">
                  <c:v>Q4 15</c:v>
                </c:pt>
                <c:pt idx="18">
                  <c:v>Q1 16</c:v>
                </c:pt>
                <c:pt idx="19">
                  <c:v>Q2 16</c:v>
                </c:pt>
                <c:pt idx="20">
                  <c:v>Q3 16</c:v>
                </c:pt>
                <c:pt idx="21">
                  <c:v>Q4 16</c:v>
                </c:pt>
                <c:pt idx="22">
                  <c:v>Q1 17</c:v>
                </c:pt>
                <c:pt idx="23">
                  <c:v>Q2 17</c:v>
                </c:pt>
                <c:pt idx="24">
                  <c:v>Q3 17</c:v>
                </c:pt>
                <c:pt idx="25">
                  <c:v>Q4 17</c:v>
                </c:pt>
                <c:pt idx="26">
                  <c:v>Q1 18</c:v>
                </c:pt>
                <c:pt idx="27">
                  <c:v>Q2 18</c:v>
                </c:pt>
                <c:pt idx="28">
                  <c:v>Q3 18</c:v>
                </c:pt>
                <c:pt idx="29">
                  <c:v>Q4 18</c:v>
                </c:pt>
                <c:pt idx="30">
                  <c:v>Q1 19</c:v>
                </c:pt>
              </c:strCache>
            </c:strRef>
          </c:cat>
          <c:val>
            <c:numRef>
              <c:f>Univision!$I$255:$AM$255</c:f>
              <c:numCache>
                <c:formatCode>0.0</c:formatCode>
                <c:ptCount val="31"/>
                <c:pt idx="0">
                  <c:v>917.59999999999991</c:v>
                </c:pt>
                <c:pt idx="1">
                  <c:v>933.90000000000009</c:v>
                </c:pt>
                <c:pt idx="2">
                  <c:v>948.59999999999991</c:v>
                </c:pt>
                <c:pt idx="3">
                  <c:v>949.3</c:v>
                </c:pt>
                <c:pt idx="4">
                  <c:v>989.59999999999991</c:v>
                </c:pt>
                <c:pt idx="5">
                  <c:v>1003.2</c:v>
                </c:pt>
                <c:pt idx="6">
                  <c:v>1043.7</c:v>
                </c:pt>
                <c:pt idx="7">
                  <c:v>1088.3</c:v>
                </c:pt>
                <c:pt idx="8">
                  <c:v>1113.5999999999999</c:v>
                </c:pt>
                <c:pt idx="9">
                  <c:v>1120.3999999999999</c:v>
                </c:pt>
                <c:pt idx="10">
                  <c:v>1147.5999999999999</c:v>
                </c:pt>
                <c:pt idx="11">
                  <c:v>1187.4000000000001</c:v>
                </c:pt>
                <c:pt idx="12">
                  <c:v>1200.7</c:v>
                </c:pt>
                <c:pt idx="13">
                  <c:v>1240.8</c:v>
                </c:pt>
                <c:pt idx="14">
                  <c:v>1263.6000000000001</c:v>
                </c:pt>
                <c:pt idx="15">
                  <c:v>1260.0999999999999</c:v>
                </c:pt>
                <c:pt idx="16">
                  <c:v>1336.4</c:v>
                </c:pt>
                <c:pt idx="17">
                  <c:v>1347.8</c:v>
                </c:pt>
                <c:pt idx="18">
                  <c:v>1382.3</c:v>
                </c:pt>
                <c:pt idx="19">
                  <c:v>1385.4</c:v>
                </c:pt>
                <c:pt idx="20">
                  <c:v>1321.1</c:v>
                </c:pt>
                <c:pt idx="21">
                  <c:v>1370.7</c:v>
                </c:pt>
                <c:pt idx="22">
                  <c:v>1357.1</c:v>
                </c:pt>
                <c:pt idx="23">
                  <c:v>1356.3</c:v>
                </c:pt>
                <c:pt idx="24">
                  <c:v>1384.4999999999998</c:v>
                </c:pt>
                <c:pt idx="25">
                  <c:v>1339.3</c:v>
                </c:pt>
                <c:pt idx="26">
                  <c:v>1304.5</c:v>
                </c:pt>
                <c:pt idx="27">
                  <c:v>1280.0999999999999</c:v>
                </c:pt>
                <c:pt idx="28">
                  <c:v>1193.8</c:v>
                </c:pt>
                <c:pt idx="29">
                  <c:v>1092.3</c:v>
                </c:pt>
                <c:pt idx="30">
                  <c:v>1043.0999999999999</c:v>
                </c:pt>
              </c:numCache>
            </c:numRef>
          </c:val>
          <c:extLst>
            <c:ext xmlns:c16="http://schemas.microsoft.com/office/drawing/2014/chart" uri="{C3380CC4-5D6E-409C-BE32-E72D297353CC}">
              <c16:uniqueId val="{00000000-D990-40FD-807E-E61B11CEA172}"/>
            </c:ext>
          </c:extLst>
        </c:ser>
        <c:dLbls>
          <c:showLegendKey val="0"/>
          <c:showVal val="0"/>
          <c:showCatName val="0"/>
          <c:showSerName val="0"/>
          <c:showPercent val="0"/>
          <c:showBubbleSize val="0"/>
        </c:dLbls>
        <c:gapWidth val="219"/>
        <c:overlap val="-27"/>
        <c:axId val="810051488"/>
        <c:axId val="751942752"/>
      </c:barChart>
      <c:catAx>
        <c:axId val="8100514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51942752"/>
        <c:crosses val="autoZero"/>
        <c:auto val="1"/>
        <c:lblAlgn val="ctr"/>
        <c:lblOffset val="100"/>
        <c:noMultiLvlLbl val="0"/>
      </c:catAx>
      <c:valAx>
        <c:axId val="751942752"/>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1005148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Analysis!$B$809</c:f>
              <c:strCache>
                <c:ptCount val="1"/>
                <c:pt idx="0">
                  <c:v>Core service revs</c:v>
                </c:pt>
              </c:strCache>
            </c:strRef>
          </c:tx>
          <c:spPr>
            <a:ln w="25400" cap="rnd">
              <a:solidFill>
                <a:srgbClr val="333399"/>
              </a:solidFill>
              <a:prstDash val="solid"/>
              <a:round/>
            </a:ln>
            <a:effectLst/>
          </c:spPr>
          <c:marker>
            <c:symbol val="none"/>
          </c:marker>
          <c:dLbls>
            <c:delete val="1"/>
          </c:dLbls>
          <c:cat>
            <c:strRef>
              <c:f>Analysis!$C$803:$H$803</c:f>
              <c:strCache>
                <c:ptCount val="6"/>
                <c:pt idx="0">
                  <c:v>Q1 15</c:v>
                </c:pt>
                <c:pt idx="1">
                  <c:v>Q2 15</c:v>
                </c:pt>
                <c:pt idx="2">
                  <c:v>Q3 15</c:v>
                </c:pt>
                <c:pt idx="3">
                  <c:v>Q4 15</c:v>
                </c:pt>
                <c:pt idx="4">
                  <c:v>Q1 16</c:v>
                </c:pt>
                <c:pt idx="5">
                  <c:v>Q2 16</c:v>
                </c:pt>
              </c:strCache>
            </c:strRef>
          </c:cat>
          <c:val>
            <c:numRef>
              <c:f>Analysis!$C$809:$H$809</c:f>
              <c:numCache>
                <c:formatCode>0%</c:formatCode>
                <c:ptCount val="6"/>
                <c:pt idx="0">
                  <c:v>0.12365778376733472</c:v>
                </c:pt>
                <c:pt idx="1">
                  <c:v>0.10564772987488813</c:v>
                </c:pt>
                <c:pt idx="2">
                  <c:v>0.13799895485790081</c:v>
                </c:pt>
                <c:pt idx="3">
                  <c:v>0.12566235267670733</c:v>
                </c:pt>
                <c:pt idx="4">
                  <c:v>0.13502122272693429</c:v>
                </c:pt>
                <c:pt idx="5">
                  <c:v>0.12915177214640305</c:v>
                </c:pt>
              </c:numCache>
            </c:numRef>
          </c:val>
          <c:smooth val="0"/>
          <c:extLst>
            <c:ext xmlns:c16="http://schemas.microsoft.com/office/drawing/2014/chart" uri="{C3380CC4-5D6E-409C-BE32-E72D297353CC}">
              <c16:uniqueId val="{00000000-A3EE-49DB-98F0-AA5D8F8ACE92}"/>
            </c:ext>
          </c:extLst>
        </c:ser>
        <c:ser>
          <c:idx val="1"/>
          <c:order val="1"/>
          <c:tx>
            <c:strRef>
              <c:f>Analysis!$B$810</c:f>
              <c:strCache>
                <c:ptCount val="1"/>
                <c:pt idx="0">
                  <c:v>RGUs</c:v>
                </c:pt>
              </c:strCache>
            </c:strRef>
          </c:tx>
          <c:spPr>
            <a:ln w="25400" cap="rnd">
              <a:solidFill>
                <a:srgbClr val="99CCFF"/>
              </a:solidFill>
              <a:prstDash val="solid"/>
              <a:round/>
            </a:ln>
            <a:effectLst/>
          </c:spPr>
          <c:marker>
            <c:symbol val="none"/>
          </c:marker>
          <c:dLbls>
            <c:delete val="1"/>
          </c:dLbls>
          <c:cat>
            <c:strRef>
              <c:f>Analysis!$C$803:$H$803</c:f>
              <c:strCache>
                <c:ptCount val="6"/>
                <c:pt idx="0">
                  <c:v>Q1 15</c:v>
                </c:pt>
                <c:pt idx="1">
                  <c:v>Q2 15</c:v>
                </c:pt>
                <c:pt idx="2">
                  <c:v>Q3 15</c:v>
                </c:pt>
                <c:pt idx="3">
                  <c:v>Q4 15</c:v>
                </c:pt>
                <c:pt idx="4">
                  <c:v>Q1 16</c:v>
                </c:pt>
                <c:pt idx="5">
                  <c:v>Q2 16</c:v>
                </c:pt>
              </c:strCache>
            </c:strRef>
          </c:cat>
          <c:val>
            <c:numRef>
              <c:f>Analysis!$C$810:$H$810</c:f>
              <c:numCache>
                <c:formatCode>0%</c:formatCode>
                <c:ptCount val="6"/>
                <c:pt idx="4">
                  <c:v>0.17049829523929771</c:v>
                </c:pt>
                <c:pt idx="5">
                  <c:v>0.15358625700517892</c:v>
                </c:pt>
              </c:numCache>
            </c:numRef>
          </c:val>
          <c:smooth val="0"/>
          <c:extLst>
            <c:ext xmlns:c16="http://schemas.microsoft.com/office/drawing/2014/chart" uri="{C3380CC4-5D6E-409C-BE32-E72D297353CC}">
              <c16:uniqueId val="{00000001-A3EE-49DB-98F0-AA5D8F8ACE92}"/>
            </c:ext>
          </c:extLst>
        </c:ser>
        <c:ser>
          <c:idx val="2"/>
          <c:order val="2"/>
          <c:tx>
            <c:strRef>
              <c:f>Analysis!$B$811</c:f>
              <c:strCache>
                <c:ptCount val="1"/>
                <c:pt idx="0">
                  <c:v>ARPU</c:v>
                </c:pt>
              </c:strCache>
            </c:strRef>
          </c:tx>
          <c:spPr>
            <a:ln w="25400" cap="rnd">
              <a:solidFill>
                <a:srgbClr val="333399"/>
              </a:solidFill>
              <a:prstDash val="lgDash"/>
              <a:round/>
            </a:ln>
            <a:effectLst/>
          </c:spPr>
          <c:marker>
            <c:symbol val="none"/>
          </c:marker>
          <c:dLbls>
            <c:delete val="1"/>
          </c:dLbls>
          <c:cat>
            <c:strRef>
              <c:f>Analysis!$C$803:$H$803</c:f>
              <c:strCache>
                <c:ptCount val="6"/>
                <c:pt idx="0">
                  <c:v>Q1 15</c:v>
                </c:pt>
                <c:pt idx="1">
                  <c:v>Q2 15</c:v>
                </c:pt>
                <c:pt idx="2">
                  <c:v>Q3 15</c:v>
                </c:pt>
                <c:pt idx="3">
                  <c:v>Q4 15</c:v>
                </c:pt>
                <c:pt idx="4">
                  <c:v>Q1 16</c:v>
                </c:pt>
                <c:pt idx="5">
                  <c:v>Q2 16</c:v>
                </c:pt>
              </c:strCache>
            </c:strRef>
          </c:cat>
          <c:val>
            <c:numRef>
              <c:f>Analysis!$C$811:$H$811</c:f>
              <c:numCache>
                <c:formatCode>0%</c:formatCode>
                <c:ptCount val="6"/>
                <c:pt idx="4">
                  <c:v>0</c:v>
                </c:pt>
                <c:pt idx="5">
                  <c:v>-2.8154708641171644E-2</c:v>
                </c:pt>
              </c:numCache>
            </c:numRef>
          </c:val>
          <c:smooth val="0"/>
          <c:extLst>
            <c:ext xmlns:c16="http://schemas.microsoft.com/office/drawing/2014/chart" uri="{C3380CC4-5D6E-409C-BE32-E72D297353CC}">
              <c16:uniqueId val="{00000002-A3EE-49DB-98F0-AA5D8F8ACE92}"/>
            </c:ext>
          </c:extLst>
        </c:ser>
        <c:dLbls>
          <c:dLblPos val="ctr"/>
          <c:showLegendKey val="0"/>
          <c:showVal val="1"/>
          <c:showCatName val="0"/>
          <c:showSerName val="0"/>
          <c:showPercent val="0"/>
          <c:showBubbleSize val="0"/>
        </c:dLbls>
        <c:smooth val="0"/>
        <c:axId val="119192576"/>
        <c:axId val="119194368"/>
      </c:lineChart>
      <c:catAx>
        <c:axId val="119192576"/>
        <c:scaling>
          <c:orientation val="minMax"/>
        </c:scaling>
        <c:delete val="0"/>
        <c:axPos val="b"/>
        <c:numFmt formatCode="General" sourceLinked="1"/>
        <c:majorTickMark val="none"/>
        <c:minorTickMark val="none"/>
        <c:tickLblPos val="low"/>
        <c:spPr>
          <a:noFill/>
          <a:ln w="9525" cap="flat" cmpd="sng" algn="ctr">
            <a:solidFill>
              <a:srgbClr val="868686"/>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194368"/>
        <c:crosses val="autoZero"/>
        <c:auto val="1"/>
        <c:lblAlgn val="ctr"/>
        <c:lblOffset val="100"/>
        <c:noMultiLvlLbl val="0"/>
      </c:catAx>
      <c:valAx>
        <c:axId val="11919436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rgbClr val="868686"/>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19257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6350" cap="flat" cmpd="sng" algn="ctr">
      <a:solidFill>
        <a:schemeClr val="tx1">
          <a:lumMod val="15000"/>
          <a:lumOff val="85000"/>
          <a:alpha val="9000"/>
        </a:schemeClr>
      </a:solid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Analysis!$B$830</c:f>
              <c:strCache>
                <c:ptCount val="1"/>
                <c:pt idx="0">
                  <c:v>Televisa</c:v>
                </c:pt>
              </c:strCache>
            </c:strRef>
          </c:tx>
          <c:spPr>
            <a:ln w="25400" cap="rnd">
              <a:solidFill>
                <a:srgbClr val="333399"/>
              </a:solidFill>
              <a:prstDash val="solid"/>
              <a:round/>
            </a:ln>
            <a:effectLst/>
          </c:spPr>
          <c:marker>
            <c:symbol val="none"/>
          </c:marker>
          <c:cat>
            <c:strRef>
              <c:f>Analysis!$F$826:$L$826</c:f>
              <c:strCache>
                <c:ptCount val="6"/>
                <c:pt idx="0">
                  <c:v>Q4 14</c:v>
                </c:pt>
                <c:pt idx="1">
                  <c:v>Q1 15</c:v>
                </c:pt>
                <c:pt idx="2">
                  <c:v>Q2 15</c:v>
                </c:pt>
                <c:pt idx="3">
                  <c:v>Q3 15</c:v>
                </c:pt>
                <c:pt idx="4">
                  <c:v>Q4 15</c:v>
                </c:pt>
                <c:pt idx="5">
                  <c:v>Q1 16</c:v>
                </c:pt>
              </c:strCache>
            </c:strRef>
          </c:cat>
          <c:val>
            <c:numRef>
              <c:f>Analysis!$F$830:$L$830</c:f>
              <c:numCache>
                <c:formatCode>0.0%</c:formatCode>
                <c:ptCount val="6"/>
                <c:pt idx="0">
                  <c:v>0.37454021873391091</c:v>
                </c:pt>
                <c:pt idx="1">
                  <c:v>0.38507444967291754</c:v>
                </c:pt>
                <c:pt idx="2">
                  <c:v>0.39254277968653328</c:v>
                </c:pt>
                <c:pt idx="3">
                  <c:v>0.40105976051914366</c:v>
                </c:pt>
                <c:pt idx="4">
                  <c:v>0.40029192883628145</c:v>
                </c:pt>
                <c:pt idx="5">
                  <c:v>0.40474471761468461</c:v>
                </c:pt>
              </c:numCache>
            </c:numRef>
          </c:val>
          <c:smooth val="0"/>
          <c:extLst>
            <c:ext xmlns:c16="http://schemas.microsoft.com/office/drawing/2014/chart" uri="{C3380CC4-5D6E-409C-BE32-E72D297353CC}">
              <c16:uniqueId val="{00000000-0698-4F9A-A546-0C0DD00E9595}"/>
            </c:ext>
          </c:extLst>
        </c:ser>
        <c:ser>
          <c:idx val="1"/>
          <c:order val="1"/>
          <c:tx>
            <c:strRef>
              <c:f>Analysis!$B$831</c:f>
              <c:strCache>
                <c:ptCount val="1"/>
                <c:pt idx="0">
                  <c:v>Megacable</c:v>
                </c:pt>
              </c:strCache>
            </c:strRef>
          </c:tx>
          <c:spPr>
            <a:ln w="25400" cap="rnd">
              <a:solidFill>
                <a:srgbClr val="99CCFF"/>
              </a:solidFill>
              <a:prstDash val="solid"/>
              <a:round/>
            </a:ln>
            <a:effectLst/>
          </c:spPr>
          <c:marker>
            <c:symbol val="none"/>
          </c:marker>
          <c:cat>
            <c:strRef>
              <c:f>Analysis!$F$826:$L$826</c:f>
              <c:strCache>
                <c:ptCount val="6"/>
                <c:pt idx="0">
                  <c:v>Q4 14</c:v>
                </c:pt>
                <c:pt idx="1">
                  <c:v>Q1 15</c:v>
                </c:pt>
                <c:pt idx="2">
                  <c:v>Q2 15</c:v>
                </c:pt>
                <c:pt idx="3">
                  <c:v>Q3 15</c:v>
                </c:pt>
                <c:pt idx="4">
                  <c:v>Q4 15</c:v>
                </c:pt>
                <c:pt idx="5">
                  <c:v>Q1 16</c:v>
                </c:pt>
              </c:strCache>
            </c:strRef>
          </c:cat>
          <c:val>
            <c:numRef>
              <c:f>Analysis!$F$831:$L$831</c:f>
              <c:numCache>
                <c:formatCode>0.0%</c:formatCode>
                <c:ptCount val="6"/>
                <c:pt idx="0">
                  <c:v>0.45510386824123994</c:v>
                </c:pt>
                <c:pt idx="1">
                  <c:v>0.45978400119361273</c:v>
                </c:pt>
                <c:pt idx="2">
                  <c:v>0.458470742668733</c:v>
                </c:pt>
                <c:pt idx="3">
                  <c:v>0.45701622910177092</c:v>
                </c:pt>
                <c:pt idx="4">
                  <c:v>0.46028026224410495</c:v>
                </c:pt>
                <c:pt idx="5">
                  <c:v>0.46090871550186363</c:v>
                </c:pt>
              </c:numCache>
            </c:numRef>
          </c:val>
          <c:smooth val="0"/>
          <c:extLst>
            <c:ext xmlns:c16="http://schemas.microsoft.com/office/drawing/2014/chart" uri="{C3380CC4-5D6E-409C-BE32-E72D297353CC}">
              <c16:uniqueId val="{00000001-0698-4F9A-A546-0C0DD00E9595}"/>
            </c:ext>
          </c:extLst>
        </c:ser>
        <c:dLbls>
          <c:showLegendKey val="0"/>
          <c:showVal val="0"/>
          <c:showCatName val="0"/>
          <c:showSerName val="0"/>
          <c:showPercent val="0"/>
          <c:showBubbleSize val="0"/>
        </c:dLbls>
        <c:smooth val="0"/>
        <c:axId val="119547776"/>
        <c:axId val="119549312"/>
      </c:lineChart>
      <c:catAx>
        <c:axId val="119547776"/>
        <c:scaling>
          <c:orientation val="minMax"/>
        </c:scaling>
        <c:delete val="0"/>
        <c:axPos val="b"/>
        <c:numFmt formatCode="General" sourceLinked="1"/>
        <c:majorTickMark val="none"/>
        <c:minorTickMark val="none"/>
        <c:tickLblPos val="low"/>
        <c:spPr>
          <a:noFill/>
          <a:ln w="9525" cap="flat" cmpd="sng" algn="ctr">
            <a:solidFill>
              <a:srgbClr val="868686"/>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549312"/>
        <c:crosses val="autoZero"/>
        <c:auto val="1"/>
        <c:lblAlgn val="ctr"/>
        <c:lblOffset val="100"/>
        <c:noMultiLvlLbl val="0"/>
      </c:catAx>
      <c:valAx>
        <c:axId val="119549312"/>
        <c:scaling>
          <c:orientation val="minMax"/>
          <c:min val="0"/>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solidFill>
              <a:srgbClr val="868686"/>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54777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cat>
            <c:strRef>
              <c:f>Analysis!$B$835:$B$836</c:f>
              <c:strCache>
                <c:ptCount val="2"/>
                <c:pt idx="0">
                  <c:v>TV</c:v>
                </c:pt>
                <c:pt idx="1">
                  <c:v>MEGA</c:v>
                </c:pt>
              </c:strCache>
            </c:strRef>
          </c:cat>
          <c:val>
            <c:numRef>
              <c:f>Analysis!$E$835:$E$836</c:f>
              <c:numCache>
                <c:formatCode>0</c:formatCode>
                <c:ptCount val="2"/>
                <c:pt idx="0">
                  <c:v>91.666666666666671</c:v>
                </c:pt>
                <c:pt idx="1">
                  <c:v>32.894736842105267</c:v>
                </c:pt>
              </c:numCache>
            </c:numRef>
          </c:val>
          <c:extLst>
            <c:ext xmlns:c16="http://schemas.microsoft.com/office/drawing/2014/chart" uri="{C3380CC4-5D6E-409C-BE32-E72D297353CC}">
              <c16:uniqueId val="{00000000-1B40-44AC-8643-453668744A7D}"/>
            </c:ext>
          </c:extLst>
        </c:ser>
        <c:dLbls>
          <c:showLegendKey val="0"/>
          <c:showVal val="0"/>
          <c:showCatName val="0"/>
          <c:showSerName val="0"/>
          <c:showPercent val="0"/>
          <c:showBubbleSize val="0"/>
        </c:dLbls>
        <c:gapWidth val="219"/>
        <c:overlap val="-27"/>
        <c:axId val="119577984"/>
        <c:axId val="119596160"/>
      </c:barChart>
      <c:catAx>
        <c:axId val="11957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596160"/>
        <c:crosses val="autoZero"/>
        <c:auto val="1"/>
        <c:lblAlgn val="ctr"/>
        <c:lblOffset val="100"/>
        <c:noMultiLvlLbl val="0"/>
      </c:catAx>
      <c:valAx>
        <c:axId val="11959616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577984"/>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Analysis!$D$732</c:f>
              <c:strCache>
                <c:ptCount val="1"/>
                <c:pt idx="0">
                  <c:v>OpFCF (MXN m)</c:v>
                </c:pt>
              </c:strCache>
            </c:strRef>
          </c:tx>
          <c:spPr>
            <a:ln w="25400" cap="rnd">
              <a:solidFill>
                <a:srgbClr val="000080"/>
              </a:solidFill>
              <a:prstDash val="solid"/>
              <a:round/>
            </a:ln>
            <a:effectLst/>
          </c:spPr>
          <c:marker>
            <c:symbol val="none"/>
          </c:marker>
          <c:cat>
            <c:numRef>
              <c:f>Analysis!$E$731:$N$731</c:f>
              <c:numCache>
                <c:formatCode>General</c:formatCode>
                <c:ptCount val="8"/>
                <c:pt idx="0">
                  <c:v>2011</c:v>
                </c:pt>
                <c:pt idx="1">
                  <c:v>2012</c:v>
                </c:pt>
                <c:pt idx="2">
                  <c:v>2013</c:v>
                </c:pt>
                <c:pt idx="3">
                  <c:v>2014</c:v>
                </c:pt>
                <c:pt idx="4">
                  <c:v>2015</c:v>
                </c:pt>
                <c:pt idx="5">
                  <c:v>2016</c:v>
                </c:pt>
                <c:pt idx="6">
                  <c:v>2017</c:v>
                </c:pt>
                <c:pt idx="7">
                  <c:v>2020</c:v>
                </c:pt>
              </c:numCache>
            </c:numRef>
          </c:cat>
          <c:val>
            <c:numRef>
              <c:f>Analysis!$E$732:$N$732</c:f>
              <c:numCache>
                <c:formatCode>General</c:formatCode>
                <c:ptCount val="8"/>
                <c:pt idx="0">
                  <c:v>13794.86</c:v>
                </c:pt>
                <c:pt idx="1">
                  <c:v>15019.84</c:v>
                </c:pt>
                <c:pt idx="2">
                  <c:v>13432.048890624999</c:v>
                </c:pt>
                <c:pt idx="3">
                  <c:v>13062.938999999998</c:v>
                </c:pt>
                <c:pt idx="4">
                  <c:v>6897.6019999999999</c:v>
                </c:pt>
                <c:pt idx="5">
                  <c:v>5664.8199999999979</c:v>
                </c:pt>
                <c:pt idx="6">
                  <c:v>16059.169999999998</c:v>
                </c:pt>
                <c:pt idx="7">
                  <c:v>18631.987999999998</c:v>
                </c:pt>
              </c:numCache>
            </c:numRef>
          </c:val>
          <c:smooth val="0"/>
          <c:extLst>
            <c:ext xmlns:c16="http://schemas.microsoft.com/office/drawing/2014/chart" uri="{C3380CC4-5D6E-409C-BE32-E72D297353CC}">
              <c16:uniqueId val="{00000000-C5E5-4637-A2C3-B387328CB604}"/>
            </c:ext>
          </c:extLst>
        </c:ser>
        <c:dLbls>
          <c:showLegendKey val="0"/>
          <c:showVal val="0"/>
          <c:showCatName val="0"/>
          <c:showSerName val="0"/>
          <c:showPercent val="0"/>
          <c:showBubbleSize val="0"/>
        </c:dLbls>
        <c:marker val="1"/>
        <c:smooth val="0"/>
        <c:axId val="119307264"/>
        <c:axId val="119313152"/>
      </c:lineChart>
      <c:lineChart>
        <c:grouping val="standard"/>
        <c:varyColors val="0"/>
        <c:ser>
          <c:idx val="1"/>
          <c:order val="1"/>
          <c:tx>
            <c:strRef>
              <c:f>Analysis!$D$733</c:f>
              <c:strCache>
                <c:ptCount val="1"/>
                <c:pt idx="0">
                  <c:v>OpFCF as % sales (RHS)</c:v>
                </c:pt>
              </c:strCache>
            </c:strRef>
          </c:tx>
          <c:spPr>
            <a:ln w="25400" cap="rnd">
              <a:solidFill>
                <a:srgbClr val="9999FF"/>
              </a:solidFill>
              <a:prstDash val="solid"/>
              <a:round/>
            </a:ln>
            <a:effectLst/>
          </c:spPr>
          <c:marker>
            <c:symbol val="none"/>
          </c:marker>
          <c:cat>
            <c:numRef>
              <c:f>Analysis!$E$731:$N$731</c:f>
              <c:numCache>
                <c:formatCode>General</c:formatCode>
                <c:ptCount val="8"/>
                <c:pt idx="0">
                  <c:v>2011</c:v>
                </c:pt>
                <c:pt idx="1">
                  <c:v>2012</c:v>
                </c:pt>
                <c:pt idx="2">
                  <c:v>2013</c:v>
                </c:pt>
                <c:pt idx="3">
                  <c:v>2014</c:v>
                </c:pt>
                <c:pt idx="4">
                  <c:v>2015</c:v>
                </c:pt>
                <c:pt idx="5">
                  <c:v>2016</c:v>
                </c:pt>
                <c:pt idx="6">
                  <c:v>2017</c:v>
                </c:pt>
                <c:pt idx="7">
                  <c:v>2020</c:v>
                </c:pt>
              </c:numCache>
            </c:numRef>
          </c:cat>
          <c:val>
            <c:numRef>
              <c:f>Analysis!$E$733:$N$733</c:f>
              <c:numCache>
                <c:formatCode>0%</c:formatCode>
                <c:ptCount val="8"/>
                <c:pt idx="0">
                  <c:v>0.22043031886420106</c:v>
                </c:pt>
                <c:pt idx="1">
                  <c:v>0.2167665362012631</c:v>
                </c:pt>
                <c:pt idx="2">
                  <c:v>0.18202186762300523</c:v>
                </c:pt>
                <c:pt idx="3">
                  <c:v>0.16304543026321044</c:v>
                </c:pt>
                <c:pt idx="4">
                  <c:v>7.8335551719438512E-2</c:v>
                </c:pt>
                <c:pt idx="5">
                  <c:v>5.8832412132843945E-2</c:v>
                </c:pt>
                <c:pt idx="6">
                  <c:v>0.17034388756298063</c:v>
                </c:pt>
                <c:pt idx="7">
                  <c:v>0.19180887456338022</c:v>
                </c:pt>
              </c:numCache>
            </c:numRef>
          </c:val>
          <c:smooth val="0"/>
          <c:extLst>
            <c:ext xmlns:c16="http://schemas.microsoft.com/office/drawing/2014/chart" uri="{C3380CC4-5D6E-409C-BE32-E72D297353CC}">
              <c16:uniqueId val="{00000001-C5E5-4637-A2C3-B387328CB604}"/>
            </c:ext>
          </c:extLst>
        </c:ser>
        <c:dLbls>
          <c:showLegendKey val="0"/>
          <c:showVal val="0"/>
          <c:showCatName val="0"/>
          <c:showSerName val="0"/>
          <c:showPercent val="0"/>
          <c:showBubbleSize val="0"/>
        </c:dLbls>
        <c:marker val="1"/>
        <c:smooth val="0"/>
        <c:axId val="119328768"/>
        <c:axId val="119314688"/>
      </c:lineChart>
      <c:catAx>
        <c:axId val="119307264"/>
        <c:scaling>
          <c:orientation val="minMax"/>
        </c:scaling>
        <c:delete val="0"/>
        <c:axPos val="b"/>
        <c:numFmt formatCode="General" sourceLinked="1"/>
        <c:majorTickMark val="none"/>
        <c:minorTickMark val="none"/>
        <c:tickLblPos val="nextTo"/>
        <c:spPr>
          <a:noFill/>
          <a:ln w="9525" cap="flat" cmpd="sng" algn="ctr">
            <a:solidFill>
              <a:srgbClr val="868686"/>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313152"/>
        <c:crosses val="autoZero"/>
        <c:auto val="1"/>
        <c:lblAlgn val="ctr"/>
        <c:lblOffset val="100"/>
        <c:noMultiLvlLbl val="0"/>
      </c:catAx>
      <c:valAx>
        <c:axId val="119313152"/>
        <c:scaling>
          <c:orientation val="minMax"/>
        </c:scaling>
        <c:delete val="0"/>
        <c:axPos val="l"/>
        <c:majorGridlines>
          <c:spPr>
            <a:ln w="3175" cap="flat" cmpd="sng" algn="ctr">
              <a:solidFill>
                <a:srgbClr val="C0C0C0"/>
              </a:solidFill>
              <a:prstDash val="solid"/>
              <a:round/>
            </a:ln>
            <a:effectLst/>
          </c:spPr>
        </c:majorGridlines>
        <c:numFmt formatCode="General" sourceLinked="1"/>
        <c:majorTickMark val="none"/>
        <c:minorTickMark val="none"/>
        <c:tickLblPos val="nextTo"/>
        <c:spPr>
          <a:noFill/>
          <a:ln>
            <a:solidFill>
              <a:srgbClr val="868686"/>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307264"/>
        <c:crosses val="autoZero"/>
        <c:crossBetween val="between"/>
      </c:valAx>
      <c:valAx>
        <c:axId val="1193146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328768"/>
        <c:crosses val="max"/>
        <c:crossBetween val="between"/>
      </c:valAx>
      <c:catAx>
        <c:axId val="119328768"/>
        <c:scaling>
          <c:orientation val="minMax"/>
        </c:scaling>
        <c:delete val="1"/>
        <c:axPos val="b"/>
        <c:numFmt formatCode="General" sourceLinked="1"/>
        <c:majorTickMark val="out"/>
        <c:minorTickMark val="none"/>
        <c:tickLblPos val="nextTo"/>
        <c:crossAx val="119314688"/>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cat>
            <c:numRef>
              <c:f>Analysis!$E$877:$J$877</c:f>
              <c:numCache>
                <c:formatCode>General</c:formatCode>
                <c:ptCount val="6"/>
                <c:pt idx="0">
                  <c:v>2015</c:v>
                </c:pt>
                <c:pt idx="1">
                  <c:v>2016</c:v>
                </c:pt>
                <c:pt idx="2">
                  <c:v>2017</c:v>
                </c:pt>
                <c:pt idx="3">
                  <c:v>2018</c:v>
                </c:pt>
                <c:pt idx="4">
                  <c:v>2019</c:v>
                </c:pt>
                <c:pt idx="5">
                  <c:v>2020</c:v>
                </c:pt>
              </c:numCache>
            </c:numRef>
          </c:cat>
          <c:val>
            <c:numRef>
              <c:f>Analysis!$E$878:$J$878</c:f>
              <c:numCache>
                <c:formatCode>0%</c:formatCode>
                <c:ptCount val="6"/>
                <c:pt idx="0">
                  <c:v>0.12324170529420775</c:v>
                </c:pt>
                <c:pt idx="1">
                  <c:v>0.11946307782493171</c:v>
                </c:pt>
                <c:pt idx="2">
                  <c:v>3.6260331874224061E-2</c:v>
                </c:pt>
                <c:pt idx="3">
                  <c:v>9.6374969740982808E-2</c:v>
                </c:pt>
                <c:pt idx="4">
                  <c:v>0.15093975105566759</c:v>
                </c:pt>
                <c:pt idx="5">
                  <c:v>8.7887871085319702E-2</c:v>
                </c:pt>
              </c:numCache>
            </c:numRef>
          </c:val>
          <c:extLst>
            <c:ext xmlns:c16="http://schemas.microsoft.com/office/drawing/2014/chart" uri="{C3380CC4-5D6E-409C-BE32-E72D297353CC}">
              <c16:uniqueId val="{00000000-A4E2-4108-9E2D-D93EDD49D321}"/>
            </c:ext>
          </c:extLst>
        </c:ser>
        <c:dLbls>
          <c:showLegendKey val="0"/>
          <c:showVal val="0"/>
          <c:showCatName val="0"/>
          <c:showSerName val="0"/>
          <c:showPercent val="0"/>
          <c:showBubbleSize val="0"/>
        </c:dLbls>
        <c:gapWidth val="219"/>
        <c:overlap val="-27"/>
        <c:axId val="119345152"/>
        <c:axId val="119346688"/>
      </c:barChart>
      <c:catAx>
        <c:axId val="11934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346688"/>
        <c:crosses val="autoZero"/>
        <c:auto val="1"/>
        <c:lblAlgn val="ctr"/>
        <c:lblOffset val="100"/>
        <c:noMultiLvlLbl val="0"/>
      </c:catAx>
      <c:valAx>
        <c:axId val="11934668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345152"/>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25400">
              <a:noFill/>
            </a:ln>
            <a:effectLst/>
          </c:spPr>
          <c:marker>
            <c:symbol val="diamond"/>
            <c:size val="5"/>
            <c:spPr>
              <a:solidFill>
                <a:srgbClr val="333399"/>
              </a:solidFill>
              <a:ln>
                <a:solidFill>
                  <a:srgbClr val="333399"/>
                </a:solidFill>
                <a:prstDash val="solid"/>
              </a:ln>
            </c:spPr>
          </c:marker>
          <c:dLbls>
            <c:dLbl>
              <c:idx val="0"/>
              <c:tx>
                <c:strRef>
                  <c:f>Analysis!$B$1093</c:f>
                  <c:strCache>
                    <c:ptCount val="1"/>
                    <c:pt idx="0">
                      <c:v>2002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{57A7A99A-0D32-40F8-91C6-385AF1AD82A6}</c15:txfldGUID>
                      <c15:f>Analysis!$B$1093</c15:f>
                      <c15:dlblFieldTableCache>
                        <c:ptCount val="1"/>
                        <c:pt idx="0">
                          <c:v>2002</c:v>
                        </c:pt>
                      </c15:dlblFieldTableCache>
                    </c15:dlblFTEntry>
                  </c15:dlblFieldTable>
                  <c15:showDataLabelsRange val="0"/>
                </c:ext>
                <c:ext xmlns:c16="http://schemas.microsoft.com/office/drawing/2014/chart" uri="{C3380CC4-5D6E-409C-BE32-E72D297353CC}">
                  <c16:uniqueId val="{00000001-8BE9-4575-8169-132AFCFF9595}"/>
                </c:ext>
              </c:extLst>
            </c:dLbl>
            <c:dLbl>
              <c:idx val="1"/>
              <c:tx>
                <c:strRef>
                  <c:f>Analysis!$B$1094</c:f>
                  <c:strCache>
                    <c:ptCount val="1"/>
                    <c:pt idx="0">
                      <c:v>2003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{AA754A7A-5D5E-4D2C-8702-E1C0257C059E}</c15:txfldGUID>
                      <c15:f>Analysis!$B$1094</c15:f>
                      <c15:dlblFieldTableCache>
                        <c:ptCount val="1"/>
                        <c:pt idx="0">
                          <c:v>2003</c:v>
                        </c:pt>
                      </c15:dlblFieldTableCache>
                    </c15:dlblFTEntry>
                  </c15:dlblFieldTable>
                  <c15:showDataLabelsRange val="0"/>
                </c:ext>
                <c:ext xmlns:c16="http://schemas.microsoft.com/office/drawing/2014/chart" uri="{C3380CC4-5D6E-409C-BE32-E72D297353CC}">
                  <c16:uniqueId val="{00000002-8BE9-4575-8169-132AFCFF9595}"/>
                </c:ext>
              </c:extLst>
            </c:dLbl>
            <c:dLbl>
              <c:idx val="2"/>
              <c:tx>
                <c:strRef>
                  <c:f>Analysis!$B$1095</c:f>
                  <c:strCache>
                    <c:ptCount val="1"/>
                    <c:pt idx="0">
                      <c:v>2004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{ACE64451-34DB-483B-A5D3-72C82DCDCCDA}</c15:txfldGUID>
                      <c15:f>Analysis!$B$1095</c15:f>
                      <c15:dlblFieldTableCache>
                        <c:ptCount val="1"/>
                        <c:pt idx="0">
                          <c:v>2004</c:v>
                        </c:pt>
                      </c15:dlblFieldTableCache>
                    </c15:dlblFTEntry>
                  </c15:dlblFieldTable>
                  <c15:showDataLabelsRange val="0"/>
                </c:ext>
                <c:ext xmlns:c16="http://schemas.microsoft.com/office/drawing/2014/chart" uri="{C3380CC4-5D6E-409C-BE32-E72D297353CC}">
                  <c16:uniqueId val="{00000003-8BE9-4575-8169-132AFCFF9595}"/>
                </c:ext>
              </c:extLst>
            </c:dLbl>
            <c:dLbl>
              <c:idx val="3"/>
              <c:tx>
                <c:strRef>
                  <c:f>Analysis!$B$1096</c:f>
                  <c:strCache>
                    <c:ptCount val="1"/>
                    <c:pt idx="0">
                      <c:v>2005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{B01445EC-B144-472E-89BA-DC9A771C109A}</c15:txfldGUID>
                      <c15:f>Analysis!$B$1096</c15:f>
                      <c15:dlblFieldTableCache>
                        <c:ptCount val="1"/>
                        <c:pt idx="0">
                          <c:v>2005</c:v>
                        </c:pt>
                      </c15:dlblFieldTableCache>
                    </c15:dlblFTEntry>
                  </c15:dlblFieldTable>
                  <c15:showDataLabelsRange val="0"/>
                </c:ext>
                <c:ext xmlns:c16="http://schemas.microsoft.com/office/drawing/2014/chart" uri="{C3380CC4-5D6E-409C-BE32-E72D297353CC}">
                  <c16:uniqueId val="{00000004-8BE9-4575-8169-132AFCFF9595}"/>
                </c:ext>
              </c:extLst>
            </c:dLbl>
            <c:dLbl>
              <c:idx val="4"/>
              <c:tx>
                <c:strRef>
                  <c:f>Analysis!$B$1097</c:f>
                  <c:strCache>
                    <c:ptCount val="1"/>
                    <c:pt idx="0">
                      <c:v>2006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{1E306AB1-5850-494B-95AC-470EB2C6866E}</c15:txfldGUID>
                      <c15:f>Analysis!$B$1097</c15:f>
                      <c15:dlblFieldTableCache>
                        <c:ptCount val="1"/>
                        <c:pt idx="0">
                          <c:v>2006</c:v>
                        </c:pt>
                      </c15:dlblFieldTableCache>
                    </c15:dlblFTEntry>
                  </c15:dlblFieldTable>
                  <c15:showDataLabelsRange val="0"/>
                </c:ext>
                <c:ext xmlns:c16="http://schemas.microsoft.com/office/drawing/2014/chart" uri="{C3380CC4-5D6E-409C-BE32-E72D297353CC}">
                  <c16:uniqueId val="{00000005-8BE9-4575-8169-132AFCFF9595}"/>
                </c:ext>
              </c:extLst>
            </c:dLbl>
            <c:dLbl>
              <c:idx val="5"/>
              <c:tx>
                <c:strRef>
                  <c:f>Analysis!$B$1098</c:f>
                  <c:strCache>
                    <c:ptCount val="1"/>
                    <c:pt idx="0">
                      <c:v>2007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{BDC99E75-4D89-4537-9916-AB80A01D2DF8}</c15:txfldGUID>
                      <c15:f>Analysis!$B$1098</c15:f>
                      <c15:dlblFieldTableCache>
                        <c:ptCount val="1"/>
                        <c:pt idx="0">
                          <c:v>2007</c:v>
                        </c:pt>
                      </c15:dlblFieldTableCache>
                    </c15:dlblFTEntry>
                  </c15:dlblFieldTable>
                  <c15:showDataLabelsRange val="0"/>
                </c:ext>
                <c:ext xmlns:c16="http://schemas.microsoft.com/office/drawing/2014/chart" uri="{C3380CC4-5D6E-409C-BE32-E72D297353CC}">
                  <c16:uniqueId val="{00000006-8BE9-4575-8169-132AFCFF9595}"/>
                </c:ext>
              </c:extLst>
            </c:dLbl>
            <c:dLbl>
              <c:idx val="6"/>
              <c:tx>
                <c:strRef>
                  <c:f>Analysis!$B$1099</c:f>
                  <c:strCache>
                    <c:ptCount val="1"/>
                    <c:pt idx="0">
                      <c:v>2008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{AF840D35-CDB3-4815-9DA7-D368FF5E7B38}</c15:txfldGUID>
                      <c15:f>Analysis!$B$1099</c15:f>
                      <c15:dlblFieldTableCache>
                        <c:ptCount val="1"/>
                        <c:pt idx="0">
                          <c:v>2008</c:v>
                        </c:pt>
                      </c15:dlblFieldTableCache>
                    </c15:dlblFTEntry>
                  </c15:dlblFieldTable>
                  <c15:showDataLabelsRange val="0"/>
                </c:ext>
                <c:ext xmlns:c16="http://schemas.microsoft.com/office/drawing/2014/chart" uri="{C3380CC4-5D6E-409C-BE32-E72D297353CC}">
                  <c16:uniqueId val="{00000007-8BE9-4575-8169-132AFCFF9595}"/>
                </c:ext>
              </c:extLst>
            </c:dLbl>
            <c:dLbl>
              <c:idx val="7"/>
              <c:tx>
                <c:strRef>
                  <c:f>Analysis!$B$1100</c:f>
                  <c:strCache>
                    <c:ptCount val="1"/>
                    <c:pt idx="0">
                      <c:v>2009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{3FC571DF-B7BD-4FD8-A49A-73F10150EC87}</c15:txfldGUID>
                      <c15:f>Analysis!$B$1100</c15:f>
                      <c15:dlblFieldTableCache>
                        <c:ptCount val="1"/>
                        <c:pt idx="0">
                          <c:v>2009</c:v>
                        </c:pt>
                      </c15:dlblFieldTableCache>
                    </c15:dlblFTEntry>
                  </c15:dlblFieldTable>
                  <c15:showDataLabelsRange val="0"/>
                </c:ext>
                <c:ext xmlns:c16="http://schemas.microsoft.com/office/drawing/2014/chart" uri="{C3380CC4-5D6E-409C-BE32-E72D297353CC}">
                  <c16:uniqueId val="{00000008-8BE9-4575-8169-132AFCFF9595}"/>
                </c:ext>
              </c:extLst>
            </c:dLbl>
            <c:dLbl>
              <c:idx val="8"/>
              <c:tx>
                <c:strRef>
                  <c:f>Analysis!$B$1101</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{3975EE63-DB32-46E2-866F-F7FF7D79EFB8}</c15:txfldGUID>
                      <c15:f>Analysis!$B$1101</c15:f>
                      <c15:dlblFieldTableCache>
                        <c:ptCount val="1"/>
                        <c:pt idx="0">
                          <c:v>2010</c:v>
                        </c:pt>
                      </c15:dlblFieldTableCache>
                    </c15:dlblFTEntry>
                  </c15:dlblFieldTable>
                  <c15:showDataLabelsRange val="0"/>
                </c:ext>
                <c:ext xmlns:c16="http://schemas.microsoft.com/office/drawing/2014/chart" uri="{C3380CC4-5D6E-409C-BE32-E72D297353CC}">
                  <c16:uniqueId val="{00000009-8BE9-4575-8169-132AFCFF9595}"/>
                </c:ext>
              </c:extLst>
            </c:dLbl>
            <c:dLbl>
              <c:idx val="9"/>
              <c:tx>
                <c:strRef>
                  <c:f>Analysis!$B$1102</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{5C862D08-A751-4D05-A718-DFB6FD0E5027}</c15:txfldGUID>
                      <c15:f>Analysis!$B$1102</c15:f>
                      <c15:dlblFieldTableCache>
                        <c:ptCount val="1"/>
                        <c:pt idx="0">
                          <c:v>2011</c:v>
                        </c:pt>
                      </c15:dlblFieldTableCache>
                    </c15:dlblFTEntry>
                  </c15:dlblFieldTable>
                  <c15:showDataLabelsRange val="0"/>
                </c:ext>
                <c:ext xmlns:c16="http://schemas.microsoft.com/office/drawing/2014/chart" uri="{C3380CC4-5D6E-409C-BE32-E72D297353CC}">
                  <c16:uniqueId val="{0000000A-8BE9-4575-8169-132AFCFF9595}"/>
                </c:ext>
              </c:extLst>
            </c:dLbl>
            <c:dLbl>
              <c:idx val="10"/>
              <c:tx>
                <c:strRef>
                  <c:f>Analysis!$B$1103</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{59B624AB-0C72-4602-9649-9CC05044848E}</c15:txfldGUID>
                      <c15:f>Analysis!$B$1103</c15:f>
                      <c15:dlblFieldTableCache>
                        <c:ptCount val="1"/>
                        <c:pt idx="0">
                          <c:v>2012</c:v>
                        </c:pt>
                      </c15:dlblFieldTableCache>
                    </c15:dlblFTEntry>
                  </c15:dlblFieldTable>
                  <c15:showDataLabelsRange val="0"/>
                </c:ext>
                <c:ext xmlns:c16="http://schemas.microsoft.com/office/drawing/2014/chart" uri="{C3380CC4-5D6E-409C-BE32-E72D297353CC}">
                  <c16:uniqueId val="{0000000B-8BE9-4575-8169-132AFCFF9595}"/>
                </c:ext>
              </c:extLst>
            </c:dLbl>
            <c:dLbl>
              <c:idx val="11"/>
              <c:tx>
                <c:strRef>
                  <c:f>Analysis!$B$1104</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{6BE824A3-C4DB-4D44-8AE2-99A952E20EB2}</c15:txfldGUID>
                      <c15:f>Analysis!$B$1104</c15:f>
                      <c15:dlblFieldTableCache>
                        <c:ptCount val="1"/>
                        <c:pt idx="0">
                          <c:v>2013</c:v>
                        </c:pt>
                      </c15:dlblFieldTableCache>
                    </c15:dlblFTEntry>
                  </c15:dlblFieldTable>
                  <c15:showDataLabelsRange val="0"/>
                </c:ext>
                <c:ext xmlns:c16="http://schemas.microsoft.com/office/drawing/2014/chart" uri="{C3380CC4-5D6E-409C-BE32-E72D297353CC}">
                  <c16:uniqueId val="{0000000C-8BE9-4575-8169-132AFCFF9595}"/>
                </c:ext>
              </c:extLst>
            </c:dLbl>
            <c:dLbl>
              <c:idx val="12"/>
              <c:tx>
                <c:strRef>
                  <c:f>Analysis!$B$1105</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{1C9E3174-87CB-4921-AFE4-80E291229137}</c15:txfldGUID>
                      <c15:f>Analysis!$B$1105</c15:f>
                      <c15:dlblFieldTableCache>
                        <c:ptCount val="1"/>
                        <c:pt idx="0">
                          <c:v>2014</c:v>
                        </c:pt>
                      </c15:dlblFieldTableCache>
                    </c15:dlblFTEntry>
                  </c15:dlblFieldTable>
                  <c15:showDataLabelsRange val="0"/>
                </c:ext>
                <c:ext xmlns:c16="http://schemas.microsoft.com/office/drawing/2014/chart" uri="{C3380CC4-5D6E-409C-BE32-E72D297353CC}">
                  <c16:uniqueId val="{0000000D-8BE9-4575-8169-132AFCFF9595}"/>
                </c:ext>
              </c:extLst>
            </c:dLbl>
            <c:dLbl>
              <c:idx val="13"/>
              <c:tx>
                <c:strRef>
                  <c:f>Analysis!$B$1106</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{AC9EEC0F-E892-49B3-8F7E-021BF0D6820D}</c15:txfldGUID>
                      <c15:f>Analysis!$B$1106</c15:f>
                      <c15:dlblFieldTableCache>
                        <c:ptCount val="1"/>
                        <c:pt idx="0">
                          <c:v>2015</c:v>
                        </c:pt>
                      </c15:dlblFieldTableCache>
                    </c15:dlblFTEntry>
                  </c15:dlblFieldTable>
                  <c15:showDataLabelsRange val="0"/>
                </c:ext>
                <c:ext xmlns:c16="http://schemas.microsoft.com/office/drawing/2014/chart" uri="{C3380CC4-5D6E-409C-BE32-E72D297353CC}">
                  <c16:uniqueId val="{0000000E-8BE9-4575-8169-132AFCFF9595}"/>
                </c:ext>
              </c:extLst>
            </c:dLbl>
            <c:dLbl>
              <c:idx val="14"/>
              <c:tx>
                <c:strRef>
                  <c:f>Analysis!$B$1107</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{87EAC1D6-9C6B-4EE0-A432-19562B4791ED}</c15:txfldGUID>
                      <c15:f>Analysis!$B$1107</c15:f>
                      <c15:dlblFieldTableCache>
                        <c:ptCount val="1"/>
                        <c:pt idx="0">
                          <c:v>2016</c:v>
                        </c:pt>
                      </c15:dlblFieldTableCache>
                    </c15:dlblFTEntry>
                  </c15:dlblFieldTable>
                  <c15:showDataLabelsRange val="0"/>
                </c:ext>
                <c:ext xmlns:c16="http://schemas.microsoft.com/office/drawing/2014/chart" uri="{C3380CC4-5D6E-409C-BE32-E72D297353CC}">
                  <c16:uniqueId val="{0000000F-8BE9-4575-8169-132AFCFF959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trendline>
            <c:spPr>
              <a:ln>
                <a:prstDash val="dash"/>
              </a:ln>
            </c:spPr>
            <c:trendlineType val="linear"/>
            <c:dispRSqr val="1"/>
            <c:dispEq val="0"/>
            <c:trendlineLbl>
              <c:layout>
                <c:manualLayout>
                  <c:x val="2.0653521260077076E-2"/>
                  <c:y val="-7.4029290883150412E-2"/>
                </c:manualLayout>
              </c:layout>
              <c:numFmt formatCode="General" sourceLinked="0"/>
            </c:trendlineLbl>
          </c:trendline>
          <c:xVal>
            <c:numRef>
              <c:f>Analysis!$D$1093:$D$1107</c:f>
              <c:numCache>
                <c:formatCode>0.00%</c:formatCode>
                <c:ptCount val="15"/>
                <c:pt idx="0">
                  <c:v>3.3000000000000002E-2</c:v>
                </c:pt>
                <c:pt idx="1">
                  <c:v>2.4E-2</c:v>
                </c:pt>
                <c:pt idx="2">
                  <c:v>5.0999999999999997E-2</c:v>
                </c:pt>
                <c:pt idx="3">
                  <c:v>4.2999999999999997E-2</c:v>
                </c:pt>
                <c:pt idx="4">
                  <c:v>0.02</c:v>
                </c:pt>
                <c:pt idx="5">
                  <c:v>8.3000000000000004E-2</c:v>
                </c:pt>
                <c:pt idx="6">
                  <c:v>-3.2000000000000001E-2</c:v>
                </c:pt>
                <c:pt idx="7">
                  <c:v>0.04</c:v>
                </c:pt>
                <c:pt idx="8">
                  <c:v>5.5E-2</c:v>
                </c:pt>
                <c:pt idx="9">
                  <c:v>-7.0000000000000007E-2</c:v>
                </c:pt>
                <c:pt idx="10">
                  <c:v>8.8999999999999996E-2</c:v>
                </c:pt>
                <c:pt idx="11">
                  <c:v>7.0000000000000001E-3</c:v>
                </c:pt>
                <c:pt idx="12">
                  <c:v>0.04</c:v>
                </c:pt>
                <c:pt idx="13">
                  <c:v>-0.115</c:v>
                </c:pt>
                <c:pt idx="14">
                  <c:v>0</c:v>
                </c:pt>
              </c:numCache>
            </c:numRef>
          </c:xVal>
          <c:yVal>
            <c:numRef>
              <c:f>Analysis!$C$1093:$C$1107</c:f>
              <c:numCache>
                <c:formatCode>0.00%</c:formatCode>
                <c:ptCount val="15"/>
                <c:pt idx="0">
                  <c:v>4.3999999999999997E-2</c:v>
                </c:pt>
                <c:pt idx="1">
                  <c:v>5.3999999999999999E-2</c:v>
                </c:pt>
                <c:pt idx="2">
                  <c:v>5.7000000000000002E-2</c:v>
                </c:pt>
                <c:pt idx="3">
                  <c:v>5.0999999999999997E-2</c:v>
                </c:pt>
                <c:pt idx="4">
                  <c:v>8.5000000000000006E-2</c:v>
                </c:pt>
                <c:pt idx="5">
                  <c:v>-2.5000000000000001E-2</c:v>
                </c:pt>
                <c:pt idx="6">
                  <c:v>4.7E-2</c:v>
                </c:pt>
                <c:pt idx="7">
                  <c:v>5.0000000000000001E-3</c:v>
                </c:pt>
                <c:pt idx="8">
                  <c:v>5.5E-2</c:v>
                </c:pt>
                <c:pt idx="9">
                  <c:v>3.0000000000000001E-3</c:v>
                </c:pt>
                <c:pt idx="10">
                  <c:v>3.1E-2</c:v>
                </c:pt>
                <c:pt idx="11">
                  <c:v>3.9E-2</c:v>
                </c:pt>
                <c:pt idx="12">
                  <c:v>2.4E-2</c:v>
                </c:pt>
                <c:pt idx="13">
                  <c:v>-9.6000000000000002E-2</c:v>
                </c:pt>
                <c:pt idx="14">
                  <c:v>8.4197088057389458E-3</c:v>
                </c:pt>
              </c:numCache>
            </c:numRef>
          </c:yVal>
          <c:smooth val="0"/>
          <c:extLst>
            <c:ext xmlns:c16="http://schemas.microsoft.com/office/drawing/2014/chart" uri="{C3380CC4-5D6E-409C-BE32-E72D297353CC}">
              <c16:uniqueId val="{00000000-8BE9-4575-8169-132AFCFF9595}"/>
            </c:ext>
          </c:extLst>
        </c:ser>
        <c:dLbls>
          <c:showLegendKey val="0"/>
          <c:showVal val="0"/>
          <c:showCatName val="0"/>
          <c:showSerName val="0"/>
          <c:showPercent val="0"/>
          <c:showBubbleSize val="0"/>
        </c:dLbls>
        <c:axId val="119390592"/>
        <c:axId val="119392512"/>
      </c:scatterChart>
      <c:valAx>
        <c:axId val="119390592"/>
        <c:scaling>
          <c:orientation val="minMax"/>
        </c:scaling>
        <c:delete val="0"/>
        <c:axPos val="b"/>
        <c:title>
          <c:tx>
            <c:rich>
              <a:bodyPr/>
              <a:lstStyle/>
              <a:p>
                <a:pPr>
                  <a:defRPr/>
                </a:pPr>
                <a:r>
                  <a:rPr lang="en-US"/>
                  <a:t>Upfronts </a:t>
                </a:r>
              </a:p>
            </c:rich>
          </c:tx>
          <c:overlay val="0"/>
        </c:title>
        <c:numFmt formatCode="0%" sourceLinked="0"/>
        <c:majorTickMark val="out"/>
        <c:minorTickMark val="none"/>
        <c:tickLblPos val="nextTo"/>
        <c:crossAx val="119392512"/>
        <c:crosses val="autoZero"/>
        <c:crossBetween val="midCat"/>
      </c:valAx>
      <c:valAx>
        <c:axId val="119392512"/>
        <c:scaling>
          <c:orientation val="minMax"/>
        </c:scaling>
        <c:delete val="0"/>
        <c:axPos val="l"/>
        <c:majorGridlines>
          <c:spPr>
            <a:ln w="3175">
              <a:solidFill>
                <a:srgbClr val="C0C0C0"/>
              </a:solidFill>
              <a:prstDash val="solid"/>
            </a:ln>
          </c:spPr>
        </c:majorGridlines>
        <c:title>
          <c:tx>
            <c:rich>
              <a:bodyPr/>
              <a:lstStyle/>
              <a:p>
                <a:pPr>
                  <a:defRPr/>
                </a:pPr>
                <a:r>
                  <a:rPr lang="en-US"/>
                  <a:t>Advertising revenue growth</a:t>
                </a:r>
              </a:p>
            </c:rich>
          </c:tx>
          <c:overlay val="0"/>
        </c:title>
        <c:numFmt formatCode="0%" sourceLinked="0"/>
        <c:majorTickMark val="out"/>
        <c:minorTickMark val="none"/>
        <c:tickLblPos val="nextTo"/>
        <c:crossAx val="119390592"/>
        <c:crosses val="autoZero"/>
        <c:crossBetween val="midCat"/>
      </c:valAx>
      <c:spPr>
        <a:noFill/>
        <a:ln w="25400">
          <a:noFill/>
        </a:ln>
      </c:spPr>
    </c:plotArea>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Analysis!$B$1112</c:f>
              <c:strCache>
                <c:ptCount val="1"/>
                <c:pt idx="0">
                  <c:v>Cable</c:v>
                </c:pt>
              </c:strCache>
            </c:strRef>
          </c:tx>
          <c:spPr>
            <a:solidFill>
              <a:srgbClr val="000080"/>
            </a:solidFill>
            <a:ln w="25400">
              <a:noFill/>
            </a:ln>
            <a:effectLst/>
          </c:spPr>
          <c:invertIfNegative val="0"/>
          <c:cat>
            <c:strRef>
              <c:f>Analysis!$C$1111:$D$1111</c:f>
              <c:strCache>
                <c:ptCount val="2"/>
                <c:pt idx="0">
                  <c:v>2016</c:v>
                </c:pt>
                <c:pt idx="1">
                  <c:v>2017 guidance</c:v>
                </c:pt>
              </c:strCache>
            </c:strRef>
          </c:cat>
          <c:val>
            <c:numRef>
              <c:f>Analysis!$C$1112:$D$1112</c:f>
              <c:numCache>
                <c:formatCode>General</c:formatCode>
                <c:ptCount val="2"/>
                <c:pt idx="0" formatCode="0">
                  <c:v>984.2</c:v>
                </c:pt>
                <c:pt idx="1">
                  <c:v>550</c:v>
                </c:pt>
              </c:numCache>
            </c:numRef>
          </c:val>
          <c:extLst>
            <c:ext xmlns:c16="http://schemas.microsoft.com/office/drawing/2014/chart" uri="{C3380CC4-5D6E-409C-BE32-E72D297353CC}">
              <c16:uniqueId val="{00000000-322A-4A47-A52B-FAFAFE1A8508}"/>
            </c:ext>
          </c:extLst>
        </c:ser>
        <c:ser>
          <c:idx val="1"/>
          <c:order val="1"/>
          <c:tx>
            <c:strRef>
              <c:f>Analysis!$B$1113</c:f>
              <c:strCache>
                <c:ptCount val="1"/>
                <c:pt idx="0">
                  <c:v>SKY</c:v>
                </c:pt>
              </c:strCache>
            </c:strRef>
          </c:tx>
          <c:spPr>
            <a:solidFill>
              <a:srgbClr val="9999FF"/>
            </a:solidFill>
            <a:ln w="25400">
              <a:noFill/>
            </a:ln>
            <a:effectLst/>
          </c:spPr>
          <c:invertIfNegative val="0"/>
          <c:cat>
            <c:strRef>
              <c:f>Analysis!$C$1111:$D$1111</c:f>
              <c:strCache>
                <c:ptCount val="2"/>
                <c:pt idx="0">
                  <c:v>2016</c:v>
                </c:pt>
                <c:pt idx="1">
                  <c:v>2017 guidance</c:v>
                </c:pt>
              </c:strCache>
            </c:strRef>
          </c:cat>
          <c:val>
            <c:numRef>
              <c:f>Analysis!$C$1113:$D$1113</c:f>
              <c:numCache>
                <c:formatCode>General</c:formatCode>
                <c:ptCount val="2"/>
                <c:pt idx="0" formatCode="0">
                  <c:v>346.6</c:v>
                </c:pt>
                <c:pt idx="1">
                  <c:v>300</c:v>
                </c:pt>
              </c:numCache>
            </c:numRef>
          </c:val>
          <c:extLst>
            <c:ext xmlns:c16="http://schemas.microsoft.com/office/drawing/2014/chart" uri="{C3380CC4-5D6E-409C-BE32-E72D297353CC}">
              <c16:uniqueId val="{00000001-322A-4A47-A52B-FAFAFE1A8508}"/>
            </c:ext>
          </c:extLst>
        </c:ser>
        <c:ser>
          <c:idx val="2"/>
          <c:order val="2"/>
          <c:tx>
            <c:strRef>
              <c:f>Analysis!$B$1114</c:f>
              <c:strCache>
                <c:ptCount val="1"/>
                <c:pt idx="0">
                  <c:v>Content</c:v>
                </c:pt>
              </c:strCache>
            </c:strRef>
          </c:tx>
          <c:spPr>
            <a:solidFill>
              <a:srgbClr val="3366FF"/>
            </a:solidFill>
            <a:ln w="25400">
              <a:noFill/>
            </a:ln>
            <a:effectLst/>
          </c:spPr>
          <c:invertIfNegative val="0"/>
          <c:cat>
            <c:strRef>
              <c:f>Analysis!$C$1111:$D$1111</c:f>
              <c:strCache>
                <c:ptCount val="2"/>
                <c:pt idx="0">
                  <c:v>2016</c:v>
                </c:pt>
                <c:pt idx="1">
                  <c:v>2017 guidance</c:v>
                </c:pt>
              </c:strCache>
            </c:strRef>
          </c:cat>
          <c:val>
            <c:numRef>
              <c:f>Analysis!$C$1114:$D$1114</c:f>
              <c:numCache>
                <c:formatCode>General</c:formatCode>
                <c:ptCount val="2"/>
                <c:pt idx="0" formatCode="0">
                  <c:v>150</c:v>
                </c:pt>
                <c:pt idx="1">
                  <c:v>150</c:v>
                </c:pt>
              </c:numCache>
            </c:numRef>
          </c:val>
          <c:extLst>
            <c:ext xmlns:c16="http://schemas.microsoft.com/office/drawing/2014/chart" uri="{C3380CC4-5D6E-409C-BE32-E72D297353CC}">
              <c16:uniqueId val="{00000002-322A-4A47-A52B-FAFAFE1A8508}"/>
            </c:ext>
          </c:extLst>
        </c:ser>
        <c:dLbls>
          <c:showLegendKey val="0"/>
          <c:showVal val="0"/>
          <c:showCatName val="0"/>
          <c:showSerName val="0"/>
          <c:showPercent val="0"/>
          <c:showBubbleSize val="0"/>
        </c:dLbls>
        <c:gapWidth val="150"/>
        <c:overlap val="100"/>
        <c:axId val="119534336"/>
        <c:axId val="119535872"/>
      </c:barChart>
      <c:catAx>
        <c:axId val="1195343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535872"/>
        <c:crosses val="autoZero"/>
        <c:auto val="1"/>
        <c:lblAlgn val="ctr"/>
        <c:lblOffset val="100"/>
        <c:noMultiLvlLbl val="0"/>
      </c:catAx>
      <c:valAx>
        <c:axId val="119535872"/>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US$ 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53433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Analysis!$B$1301</c:f>
              <c:strCache>
                <c:ptCount val="1"/>
                <c:pt idx="0">
                  <c:v>Cable </c:v>
                </c:pt>
              </c:strCache>
            </c:strRef>
          </c:tx>
          <c:spPr>
            <a:ln w="25400" cap="rnd">
              <a:solidFill>
                <a:srgbClr val="333399"/>
              </a:solidFill>
              <a:prstDash val="solid"/>
              <a:round/>
            </a:ln>
            <a:effectLst/>
          </c:spPr>
          <c:marker>
            <c:symbol val="none"/>
          </c:marker>
          <c:cat>
            <c:numRef>
              <c:f>Analysis!$C$1290:$P$1290</c:f>
              <c:numCache>
                <c:formatCode>0</c:formatCode>
                <c:ptCount val="12"/>
                <c:pt idx="0">
                  <c:v>2003</c:v>
                </c:pt>
                <c:pt idx="1">
                  <c:v>2004</c:v>
                </c:pt>
                <c:pt idx="2">
                  <c:v>2005</c:v>
                </c:pt>
                <c:pt idx="3">
                  <c:v>2006</c:v>
                </c:pt>
                <c:pt idx="4">
                  <c:v>2007</c:v>
                </c:pt>
                <c:pt idx="5">
                  <c:v>2008</c:v>
                </c:pt>
                <c:pt idx="6">
                  <c:v>2009</c:v>
                </c:pt>
                <c:pt idx="7">
                  <c:v>2010</c:v>
                </c:pt>
                <c:pt idx="8">
                  <c:v>2011</c:v>
                </c:pt>
                <c:pt idx="9">
                  <c:v>2014</c:v>
                </c:pt>
                <c:pt idx="10">
                  <c:v>2015</c:v>
                </c:pt>
                <c:pt idx="11">
                  <c:v>2016</c:v>
                </c:pt>
              </c:numCache>
            </c:numRef>
          </c:cat>
          <c:val>
            <c:numRef>
              <c:f>Analysis!$C$1301:$P$1301</c:f>
              <c:numCache>
                <c:formatCode>0%</c:formatCode>
                <c:ptCount val="12"/>
                <c:pt idx="0">
                  <c:v>0.54452637549631311</c:v>
                </c:pt>
                <c:pt idx="1">
                  <c:v>0.3799086859750237</c:v>
                </c:pt>
                <c:pt idx="2">
                  <c:v>0.28099472276440396</c:v>
                </c:pt>
                <c:pt idx="3">
                  <c:v>0.24476331388477898</c:v>
                </c:pt>
                <c:pt idx="4">
                  <c:v>0.22170272915081005</c:v>
                </c:pt>
                <c:pt idx="5">
                  <c:v>0.21205796669337657</c:v>
                </c:pt>
                <c:pt idx="6">
                  <c:v>0.21262356200617955</c:v>
                </c:pt>
                <c:pt idx="7">
                  <c:v>0.2104810164713983</c:v>
                </c:pt>
                <c:pt idx="8">
                  <c:v>0.20788727292145942</c:v>
                </c:pt>
                <c:pt idx="9">
                  <c:v>0.21879209662920157</c:v>
                </c:pt>
                <c:pt idx="10">
                  <c:v>0.22233802496111874</c:v>
                </c:pt>
                <c:pt idx="11">
                  <c:v>0.22616455769432078</c:v>
                </c:pt>
              </c:numCache>
            </c:numRef>
          </c:val>
          <c:smooth val="0"/>
          <c:extLst>
            <c:ext xmlns:c16="http://schemas.microsoft.com/office/drawing/2014/chart" uri="{C3380CC4-5D6E-409C-BE32-E72D297353CC}">
              <c16:uniqueId val="{00000000-39BB-4B98-B59C-5B0EC4994A84}"/>
            </c:ext>
          </c:extLst>
        </c:ser>
        <c:ser>
          <c:idx val="1"/>
          <c:order val="1"/>
          <c:tx>
            <c:strRef>
              <c:f>Analysis!$B$1302</c:f>
              <c:strCache>
                <c:ptCount val="1"/>
                <c:pt idx="0">
                  <c:v>Partial ULL (SMPF)</c:v>
                </c:pt>
              </c:strCache>
            </c:strRef>
          </c:tx>
          <c:spPr>
            <a:ln w="25400" cap="rnd">
              <a:solidFill>
                <a:srgbClr val="99CCFF"/>
              </a:solidFill>
              <a:prstDash val="solid"/>
              <a:round/>
            </a:ln>
            <a:effectLst/>
          </c:spPr>
          <c:marker>
            <c:symbol val="none"/>
          </c:marker>
          <c:cat>
            <c:numRef>
              <c:f>Analysis!$C$1290:$P$1290</c:f>
              <c:numCache>
                <c:formatCode>0</c:formatCode>
                <c:ptCount val="12"/>
                <c:pt idx="0">
                  <c:v>2003</c:v>
                </c:pt>
                <c:pt idx="1">
                  <c:v>2004</c:v>
                </c:pt>
                <c:pt idx="2">
                  <c:v>2005</c:v>
                </c:pt>
                <c:pt idx="3">
                  <c:v>2006</c:v>
                </c:pt>
                <c:pt idx="4">
                  <c:v>2007</c:v>
                </c:pt>
                <c:pt idx="5">
                  <c:v>2008</c:v>
                </c:pt>
                <c:pt idx="6">
                  <c:v>2009</c:v>
                </c:pt>
                <c:pt idx="7">
                  <c:v>2010</c:v>
                </c:pt>
                <c:pt idx="8">
                  <c:v>2011</c:v>
                </c:pt>
                <c:pt idx="9">
                  <c:v>2014</c:v>
                </c:pt>
                <c:pt idx="10">
                  <c:v>2015</c:v>
                </c:pt>
                <c:pt idx="11">
                  <c:v>2016</c:v>
                </c:pt>
              </c:numCache>
            </c:numRef>
          </c:cat>
          <c:val>
            <c:numRef>
              <c:f>Analysis!$C$1302:$P$1302</c:f>
              <c:numCache>
                <c:formatCode>0%</c:formatCode>
                <c:ptCount val="12"/>
                <c:pt idx="0">
                  <c:v>1.7016449234259785E-3</c:v>
                </c:pt>
                <c:pt idx="1">
                  <c:v>3.0642290260487321E-3</c:v>
                </c:pt>
                <c:pt idx="2">
                  <c:v>5.7832718860695437E-3</c:v>
                </c:pt>
                <c:pt idx="3">
                  <c:v>3.7222113657724054E-3</c:v>
                </c:pt>
                <c:pt idx="4">
                  <c:v>9.9670182305824362E-2</c:v>
                </c:pt>
                <c:pt idx="5">
                  <c:v>0.19877134462603036</c:v>
                </c:pt>
                <c:pt idx="6">
                  <c:v>0.23007901127592381</c:v>
                </c:pt>
                <c:pt idx="7">
                  <c:v>0.19655940354387891</c:v>
                </c:pt>
                <c:pt idx="8">
                  <c:v>0.15141273317121401</c:v>
                </c:pt>
                <c:pt idx="9">
                  <c:v>6.5141684025030677E-2</c:v>
                </c:pt>
                <c:pt idx="10">
                  <c:v>4.6207009008588214E-2</c:v>
                </c:pt>
                <c:pt idx="11">
                  <c:v>4.2732466567686707E-2</c:v>
                </c:pt>
              </c:numCache>
            </c:numRef>
          </c:val>
          <c:smooth val="0"/>
          <c:extLst>
            <c:ext xmlns:c16="http://schemas.microsoft.com/office/drawing/2014/chart" uri="{C3380CC4-5D6E-409C-BE32-E72D297353CC}">
              <c16:uniqueId val="{00000001-39BB-4B98-B59C-5B0EC4994A84}"/>
            </c:ext>
          </c:extLst>
        </c:ser>
        <c:ser>
          <c:idx val="2"/>
          <c:order val="2"/>
          <c:tx>
            <c:strRef>
              <c:f>Analysis!$B$1303</c:f>
              <c:strCache>
                <c:ptCount val="1"/>
                <c:pt idx="0">
                  <c:v>Full ULL (MPF)</c:v>
                </c:pt>
              </c:strCache>
            </c:strRef>
          </c:tx>
          <c:spPr>
            <a:ln w="25400" cap="rnd">
              <a:solidFill>
                <a:srgbClr val="333399"/>
              </a:solidFill>
              <a:prstDash val="lgDash"/>
              <a:round/>
            </a:ln>
            <a:effectLst/>
          </c:spPr>
          <c:marker>
            <c:symbol val="none"/>
          </c:marker>
          <c:cat>
            <c:numRef>
              <c:f>Analysis!$C$1290:$P$1290</c:f>
              <c:numCache>
                <c:formatCode>0</c:formatCode>
                <c:ptCount val="12"/>
                <c:pt idx="0">
                  <c:v>2003</c:v>
                </c:pt>
                <c:pt idx="1">
                  <c:v>2004</c:v>
                </c:pt>
                <c:pt idx="2">
                  <c:v>2005</c:v>
                </c:pt>
                <c:pt idx="3">
                  <c:v>2006</c:v>
                </c:pt>
                <c:pt idx="4">
                  <c:v>2007</c:v>
                </c:pt>
                <c:pt idx="5">
                  <c:v>2008</c:v>
                </c:pt>
                <c:pt idx="6">
                  <c:v>2009</c:v>
                </c:pt>
                <c:pt idx="7">
                  <c:v>2010</c:v>
                </c:pt>
                <c:pt idx="8">
                  <c:v>2011</c:v>
                </c:pt>
                <c:pt idx="9">
                  <c:v>2014</c:v>
                </c:pt>
                <c:pt idx="10">
                  <c:v>2015</c:v>
                </c:pt>
                <c:pt idx="11">
                  <c:v>2016</c:v>
                </c:pt>
              </c:numCache>
            </c:numRef>
          </c:cat>
          <c:val>
            <c:numRef>
              <c:f>Analysis!$C$1303:$P$1303</c:f>
              <c:numCache>
                <c:formatCode>0%</c:formatCode>
                <c:ptCount val="12"/>
                <c:pt idx="0">
                  <c:v>0</c:v>
                </c:pt>
                <c:pt idx="1">
                  <c:v>2.7856627509533928E-6</c:v>
                </c:pt>
                <c:pt idx="2">
                  <c:v>1.445817971517386E-4</c:v>
                </c:pt>
                <c:pt idx="3">
                  <c:v>2.9405469789602005E-2</c:v>
                </c:pt>
                <c:pt idx="4">
                  <c:v>3.8780761842629845E-2</c:v>
                </c:pt>
                <c:pt idx="5">
                  <c:v>6.8327649715197933E-2</c:v>
                </c:pt>
                <c:pt idx="6">
                  <c:v>9.7709471091906197E-2</c:v>
                </c:pt>
                <c:pt idx="7">
                  <c:v>0.15954986067628485</c:v>
                </c:pt>
                <c:pt idx="8">
                  <c:v>0.23682504419087319</c:v>
                </c:pt>
                <c:pt idx="9">
                  <c:v>0.36913620947517367</c:v>
                </c:pt>
                <c:pt idx="10">
                  <c:v>0.39248845171479008</c:v>
                </c:pt>
                <c:pt idx="11">
                  <c:v>0.39812651349936573</c:v>
                </c:pt>
              </c:numCache>
            </c:numRef>
          </c:val>
          <c:smooth val="0"/>
          <c:extLst>
            <c:ext xmlns:c16="http://schemas.microsoft.com/office/drawing/2014/chart" uri="{C3380CC4-5D6E-409C-BE32-E72D297353CC}">
              <c16:uniqueId val="{00000002-39BB-4B98-B59C-5B0EC4994A84}"/>
            </c:ext>
          </c:extLst>
        </c:ser>
        <c:ser>
          <c:idx val="3"/>
          <c:order val="3"/>
          <c:tx>
            <c:strRef>
              <c:f>Analysis!$B$1304</c:f>
              <c:strCache>
                <c:ptCount val="1"/>
                <c:pt idx="0">
                  <c:v>Bitstream</c:v>
                </c:pt>
              </c:strCache>
            </c:strRef>
          </c:tx>
          <c:spPr>
            <a:ln w="25400" cap="rnd">
              <a:solidFill>
                <a:srgbClr val="99CCFF"/>
              </a:solidFill>
              <a:prstDash val="lgDash"/>
              <a:round/>
            </a:ln>
            <a:effectLst/>
          </c:spPr>
          <c:marker>
            <c:symbol val="none"/>
          </c:marker>
          <c:cat>
            <c:numRef>
              <c:f>Analysis!$C$1290:$P$1290</c:f>
              <c:numCache>
                <c:formatCode>0</c:formatCode>
                <c:ptCount val="12"/>
                <c:pt idx="0">
                  <c:v>2003</c:v>
                </c:pt>
                <c:pt idx="1">
                  <c:v>2004</c:v>
                </c:pt>
                <c:pt idx="2">
                  <c:v>2005</c:v>
                </c:pt>
                <c:pt idx="3">
                  <c:v>2006</c:v>
                </c:pt>
                <c:pt idx="4">
                  <c:v>2007</c:v>
                </c:pt>
                <c:pt idx="5">
                  <c:v>2008</c:v>
                </c:pt>
                <c:pt idx="6">
                  <c:v>2009</c:v>
                </c:pt>
                <c:pt idx="7">
                  <c:v>2010</c:v>
                </c:pt>
                <c:pt idx="8">
                  <c:v>2011</c:v>
                </c:pt>
                <c:pt idx="9">
                  <c:v>2014</c:v>
                </c:pt>
                <c:pt idx="10">
                  <c:v>2015</c:v>
                </c:pt>
                <c:pt idx="11">
                  <c:v>2016</c:v>
                </c:pt>
              </c:numCache>
            </c:numRef>
          </c:cat>
          <c:val>
            <c:numRef>
              <c:f>Analysis!$C$1304:$P$1304</c:f>
              <c:numCache>
                <c:formatCode>0%</c:formatCode>
                <c:ptCount val="12"/>
                <c:pt idx="0">
                  <c:v>0.20476460578559275</c:v>
                </c:pt>
                <c:pt idx="1">
                  <c:v>0.34765071131898351</c:v>
                </c:pt>
                <c:pt idx="2">
                  <c:v>0.45572182462228006</c:v>
                </c:pt>
                <c:pt idx="3">
                  <c:v>0.47383750686282722</c:v>
                </c:pt>
                <c:pt idx="4">
                  <c:v>0.37461491065927294</c:v>
                </c:pt>
                <c:pt idx="5">
                  <c:v>0.2474703240594078</c:v>
                </c:pt>
                <c:pt idx="6">
                  <c:v>0.18840711899577012</c:v>
                </c:pt>
                <c:pt idx="7">
                  <c:v>0.15734435012748926</c:v>
                </c:pt>
                <c:pt idx="8">
                  <c:v>0.12328933196638826</c:v>
                </c:pt>
                <c:pt idx="9">
                  <c:v>7.0694175490224304E-2</c:v>
                </c:pt>
                <c:pt idx="10">
                  <c:v>6.4895915721191313E-2</c:v>
                </c:pt>
                <c:pt idx="11">
                  <c:v>6.2063893468820498E-2</c:v>
                </c:pt>
              </c:numCache>
            </c:numRef>
          </c:val>
          <c:smooth val="0"/>
          <c:extLst>
            <c:ext xmlns:c16="http://schemas.microsoft.com/office/drawing/2014/chart" uri="{C3380CC4-5D6E-409C-BE32-E72D297353CC}">
              <c16:uniqueId val="{00000003-39BB-4B98-B59C-5B0EC4994A84}"/>
            </c:ext>
          </c:extLst>
        </c:ser>
        <c:ser>
          <c:idx val="4"/>
          <c:order val="4"/>
          <c:tx>
            <c:strRef>
              <c:f>Analysis!$B$1305</c:f>
              <c:strCache>
                <c:ptCount val="1"/>
                <c:pt idx="0">
                  <c:v>BT Retail</c:v>
                </c:pt>
              </c:strCache>
            </c:strRef>
          </c:tx>
          <c:spPr>
            <a:ln w="25400" cap="rnd">
              <a:solidFill>
                <a:srgbClr val="333399"/>
              </a:solidFill>
              <a:prstDash val="sysDash"/>
              <a:round/>
            </a:ln>
            <a:effectLst/>
          </c:spPr>
          <c:marker>
            <c:symbol val="none"/>
          </c:marker>
          <c:cat>
            <c:numRef>
              <c:f>Analysis!$C$1290:$P$1290</c:f>
              <c:numCache>
                <c:formatCode>0</c:formatCode>
                <c:ptCount val="12"/>
                <c:pt idx="0">
                  <c:v>2003</c:v>
                </c:pt>
                <c:pt idx="1">
                  <c:v>2004</c:v>
                </c:pt>
                <c:pt idx="2">
                  <c:v>2005</c:v>
                </c:pt>
                <c:pt idx="3">
                  <c:v>2006</c:v>
                </c:pt>
                <c:pt idx="4">
                  <c:v>2007</c:v>
                </c:pt>
                <c:pt idx="5">
                  <c:v>2008</c:v>
                </c:pt>
                <c:pt idx="6">
                  <c:v>2009</c:v>
                </c:pt>
                <c:pt idx="7">
                  <c:v>2010</c:v>
                </c:pt>
                <c:pt idx="8">
                  <c:v>2011</c:v>
                </c:pt>
                <c:pt idx="9">
                  <c:v>2014</c:v>
                </c:pt>
                <c:pt idx="10">
                  <c:v>2015</c:v>
                </c:pt>
                <c:pt idx="11">
                  <c:v>2016</c:v>
                </c:pt>
              </c:numCache>
            </c:numRef>
          </c:cat>
          <c:val>
            <c:numRef>
              <c:f>Analysis!$C$1305:$P$1305</c:f>
              <c:numCache>
                <c:formatCode>0%</c:formatCode>
                <c:ptCount val="12"/>
                <c:pt idx="0">
                  <c:v>0.24900737379466817</c:v>
                </c:pt>
                <c:pt idx="1">
                  <c:v>0.26937358801719308</c:v>
                </c:pt>
                <c:pt idx="2">
                  <c:v>0.25735559893009469</c:v>
                </c:pt>
                <c:pt idx="3">
                  <c:v>0.24827149809701946</c:v>
                </c:pt>
                <c:pt idx="4">
                  <c:v>0.26523141604146278</c:v>
                </c:pt>
                <c:pt idx="5">
                  <c:v>0.27337271490598736</c:v>
                </c:pt>
                <c:pt idx="6">
                  <c:v>0.27118083663022041</c:v>
                </c:pt>
                <c:pt idx="7">
                  <c:v>0.27606536918094871</c:v>
                </c:pt>
                <c:pt idx="8">
                  <c:v>0.28058561775006519</c:v>
                </c:pt>
                <c:pt idx="9">
                  <c:v>0.27623583438036964</c:v>
                </c:pt>
                <c:pt idx="10">
                  <c:v>0.27407059859431171</c:v>
                </c:pt>
                <c:pt idx="11">
                  <c:v>0.27091256876980629</c:v>
                </c:pt>
              </c:numCache>
            </c:numRef>
          </c:val>
          <c:smooth val="0"/>
          <c:extLst>
            <c:ext xmlns:c16="http://schemas.microsoft.com/office/drawing/2014/chart" uri="{C3380CC4-5D6E-409C-BE32-E72D297353CC}">
              <c16:uniqueId val="{00000004-39BB-4B98-B59C-5B0EC4994A84}"/>
            </c:ext>
          </c:extLst>
        </c:ser>
        <c:dLbls>
          <c:showLegendKey val="0"/>
          <c:showVal val="0"/>
          <c:showCatName val="0"/>
          <c:showSerName val="0"/>
          <c:showPercent val="0"/>
          <c:showBubbleSize val="0"/>
        </c:dLbls>
        <c:smooth val="0"/>
        <c:axId val="119696768"/>
        <c:axId val="119710848"/>
      </c:lineChart>
      <c:catAx>
        <c:axId val="119696768"/>
        <c:scaling>
          <c:orientation val="minMax"/>
        </c:scaling>
        <c:delete val="0"/>
        <c:axPos val="b"/>
        <c:numFmt formatCode="0"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710848"/>
        <c:crosses val="autoZero"/>
        <c:auto val="1"/>
        <c:lblAlgn val="ctr"/>
        <c:lblOffset val="100"/>
        <c:noMultiLvlLbl val="0"/>
      </c:catAx>
      <c:valAx>
        <c:axId val="11971084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69676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Analysis!$C$21</c:f>
              <c:strCache>
                <c:ptCount val="1"/>
                <c:pt idx="0">
                  <c:v>DOCSIS 3.0</c:v>
                </c:pt>
              </c:strCache>
            </c:strRef>
          </c:tx>
          <c:spPr>
            <a:solidFill>
              <a:srgbClr val="000080"/>
            </a:solidFill>
            <a:ln w="25400">
              <a:noFill/>
            </a:ln>
          </c:spPr>
          <c:invertIfNegative val="0"/>
          <c:cat>
            <c:strRef>
              <c:f>Analysis!$B$22:$B$24</c:f>
              <c:strCache>
                <c:ptCount val="3"/>
                <c:pt idx="0">
                  <c:v>Cablevision</c:v>
                </c:pt>
                <c:pt idx="1">
                  <c:v>Cablemas</c:v>
                </c:pt>
                <c:pt idx="2">
                  <c:v>TVI Cablevision*</c:v>
                </c:pt>
              </c:strCache>
            </c:strRef>
          </c:cat>
          <c:val>
            <c:numRef>
              <c:f>Analysis!$C$22:$C$24</c:f>
              <c:numCache>
                <c:formatCode>0%</c:formatCode>
                <c:ptCount val="3"/>
                <c:pt idx="0">
                  <c:v>0.95</c:v>
                </c:pt>
                <c:pt idx="1">
                  <c:v>0.95</c:v>
                </c:pt>
                <c:pt idx="2">
                  <c:v>0.83</c:v>
                </c:pt>
              </c:numCache>
            </c:numRef>
          </c:val>
          <c:extLst>
            <c:ext xmlns:c16="http://schemas.microsoft.com/office/drawing/2014/chart" uri="{C3380CC4-5D6E-409C-BE32-E72D297353CC}">
              <c16:uniqueId val="{00000000-AEBE-43BA-A34A-61C406A1D3BD}"/>
            </c:ext>
          </c:extLst>
        </c:ser>
        <c:ser>
          <c:idx val="1"/>
          <c:order val="1"/>
          <c:tx>
            <c:strRef>
              <c:f>Analysis!$D$21</c:f>
              <c:strCache>
                <c:ptCount val="1"/>
                <c:pt idx="0">
                  <c:v>Digital</c:v>
                </c:pt>
              </c:strCache>
            </c:strRef>
          </c:tx>
          <c:spPr>
            <a:solidFill>
              <a:srgbClr val="9999FF"/>
            </a:solidFill>
            <a:ln w="25400">
              <a:noFill/>
            </a:ln>
          </c:spPr>
          <c:invertIfNegative val="0"/>
          <c:cat>
            <c:strRef>
              <c:f>Analysis!$B$22:$B$24</c:f>
              <c:strCache>
                <c:ptCount val="3"/>
                <c:pt idx="0">
                  <c:v>Cablevision</c:v>
                </c:pt>
                <c:pt idx="1">
                  <c:v>Cablemas</c:v>
                </c:pt>
                <c:pt idx="2">
                  <c:v>TVI Cablevision*</c:v>
                </c:pt>
              </c:strCache>
            </c:strRef>
          </c:cat>
          <c:val>
            <c:numRef>
              <c:f>Analysis!$D$22:$D$24</c:f>
              <c:numCache>
                <c:formatCode>0%</c:formatCode>
                <c:ptCount val="3"/>
                <c:pt idx="0">
                  <c:v>1</c:v>
                </c:pt>
                <c:pt idx="1">
                  <c:v>0.42</c:v>
                </c:pt>
                <c:pt idx="2">
                  <c:v>0.3</c:v>
                </c:pt>
              </c:numCache>
            </c:numRef>
          </c:val>
          <c:extLst>
            <c:ext xmlns:c16="http://schemas.microsoft.com/office/drawing/2014/chart" uri="{C3380CC4-5D6E-409C-BE32-E72D297353CC}">
              <c16:uniqueId val="{00000001-AEBE-43BA-A34A-61C406A1D3BD}"/>
            </c:ext>
          </c:extLst>
        </c:ser>
        <c:dLbls>
          <c:showLegendKey val="0"/>
          <c:showVal val="0"/>
          <c:showCatName val="0"/>
          <c:showSerName val="0"/>
          <c:showPercent val="0"/>
          <c:showBubbleSize val="0"/>
        </c:dLbls>
        <c:gapWidth val="150"/>
        <c:axId val="112883200"/>
        <c:axId val="112884736"/>
      </c:barChart>
      <c:catAx>
        <c:axId val="112883200"/>
        <c:scaling>
          <c:orientation val="minMax"/>
        </c:scaling>
        <c:delete val="0"/>
        <c:axPos val="b"/>
        <c:numFmt formatCode="General" sourceLinked="0"/>
        <c:majorTickMark val="out"/>
        <c:minorTickMark val="none"/>
        <c:tickLblPos val="nextTo"/>
        <c:crossAx val="112884736"/>
        <c:crosses val="autoZero"/>
        <c:auto val="1"/>
        <c:lblAlgn val="ctr"/>
        <c:lblOffset val="100"/>
        <c:noMultiLvlLbl val="0"/>
      </c:catAx>
      <c:valAx>
        <c:axId val="112884736"/>
        <c:scaling>
          <c:orientation val="minMax"/>
          <c:max val="1"/>
        </c:scaling>
        <c:delete val="0"/>
        <c:axPos val="l"/>
        <c:majorGridlines>
          <c:spPr>
            <a:ln w="3175">
              <a:solidFill>
                <a:srgbClr val="C0C0C0"/>
              </a:solidFill>
              <a:prstDash val="solid"/>
            </a:ln>
          </c:spPr>
        </c:majorGridlines>
        <c:numFmt formatCode="0%" sourceLinked="1"/>
        <c:majorTickMark val="out"/>
        <c:minorTickMark val="none"/>
        <c:tickLblPos val="nextTo"/>
        <c:crossAx val="112883200"/>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0"/>
          <c:tx>
            <c:strRef>
              <c:f>Analysis!$B$1322</c:f>
              <c:strCache>
                <c:ptCount val="1"/>
                <c:pt idx="0">
                  <c:v>Residential penetration</c:v>
                </c:pt>
              </c:strCache>
            </c:strRef>
          </c:tx>
          <c:spPr>
            <a:ln w="25400" cap="rnd">
              <a:solidFill>
                <a:srgbClr val="333399"/>
              </a:solidFill>
              <a:prstDash val="solid"/>
              <a:round/>
            </a:ln>
            <a:effectLst/>
          </c:spPr>
          <c:marker>
            <c:symbol val="none"/>
          </c:marker>
          <c:cat>
            <c:numRef>
              <c:f>Analysis!$C$1290:$P$1290</c:f>
              <c:numCache>
                <c:formatCode>0</c:formatCode>
                <c:ptCount val="12"/>
                <c:pt idx="0">
                  <c:v>2003</c:v>
                </c:pt>
                <c:pt idx="1">
                  <c:v>2004</c:v>
                </c:pt>
                <c:pt idx="2">
                  <c:v>2005</c:v>
                </c:pt>
                <c:pt idx="3">
                  <c:v>2006</c:v>
                </c:pt>
                <c:pt idx="4">
                  <c:v>2007</c:v>
                </c:pt>
                <c:pt idx="5">
                  <c:v>2008</c:v>
                </c:pt>
                <c:pt idx="6">
                  <c:v>2009</c:v>
                </c:pt>
                <c:pt idx="7">
                  <c:v>2010</c:v>
                </c:pt>
                <c:pt idx="8">
                  <c:v>2011</c:v>
                </c:pt>
                <c:pt idx="9">
                  <c:v>2014</c:v>
                </c:pt>
                <c:pt idx="10">
                  <c:v>2015</c:v>
                </c:pt>
                <c:pt idx="11">
                  <c:v>2016</c:v>
                </c:pt>
              </c:numCache>
            </c:numRef>
          </c:cat>
          <c:val>
            <c:numRef>
              <c:f>Analysis!$C$1322:$P$1322</c:f>
              <c:numCache>
                <c:formatCode>0%</c:formatCode>
                <c:ptCount val="12"/>
                <c:pt idx="0">
                  <c:v>3.4874869231868895E-2</c:v>
                </c:pt>
                <c:pt idx="1">
                  <c:v>9.6094626795354188E-2</c:v>
                </c:pt>
                <c:pt idx="2">
                  <c:v>0.20471169162386613</c:v>
                </c:pt>
                <c:pt idx="3">
                  <c:v>0.34421826162599178</c:v>
                </c:pt>
                <c:pt idx="4">
                  <c:v>0.46329364003649531</c:v>
                </c:pt>
                <c:pt idx="5">
                  <c:v>0.53995451714076759</c:v>
                </c:pt>
                <c:pt idx="6">
                  <c:v>0.59385843179274589</c:v>
                </c:pt>
                <c:pt idx="7">
                  <c:v>0.62009437349439867</c:v>
                </c:pt>
                <c:pt idx="8">
                  <c:v>0.66321109540111389</c:v>
                </c:pt>
                <c:pt idx="9">
                  <c:v>0.71886493485605651</c:v>
                </c:pt>
                <c:pt idx="10">
                  <c:v>0.73134547719010068</c:v>
                </c:pt>
                <c:pt idx="11">
                  <c:v>0.74015175322178151</c:v>
                </c:pt>
              </c:numCache>
            </c:numRef>
          </c:val>
          <c:smooth val="0"/>
          <c:extLst>
            <c:ext xmlns:c16="http://schemas.microsoft.com/office/drawing/2014/chart" uri="{C3380CC4-5D6E-409C-BE32-E72D297353CC}">
              <c16:uniqueId val="{00000004-DE40-4DF7-93DD-9AD7B47D04C7}"/>
            </c:ext>
          </c:extLst>
        </c:ser>
        <c:dLbls>
          <c:showLegendKey val="0"/>
          <c:showVal val="0"/>
          <c:showCatName val="0"/>
          <c:showSerName val="0"/>
          <c:showPercent val="0"/>
          <c:showBubbleSize val="0"/>
        </c:dLbls>
        <c:smooth val="0"/>
        <c:axId val="120002048"/>
        <c:axId val="120003584"/>
      </c:lineChart>
      <c:catAx>
        <c:axId val="120002048"/>
        <c:scaling>
          <c:orientation val="minMax"/>
        </c:scaling>
        <c:delete val="0"/>
        <c:axPos val="b"/>
        <c:numFmt formatCode="0"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0003584"/>
        <c:crosses val="autoZero"/>
        <c:auto val="1"/>
        <c:lblAlgn val="ctr"/>
        <c:lblOffset val="100"/>
        <c:noMultiLvlLbl val="0"/>
      </c:catAx>
      <c:valAx>
        <c:axId val="12000358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0002048"/>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66AF-42B6-A278-E5CE5B68D333}"/>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2-66AF-42B6-A278-E5CE5B68D333}"/>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3-66AF-42B6-A278-E5CE5B68D333}"/>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4-66AF-42B6-A278-E5CE5B68D333}"/>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5-66AF-42B6-A278-E5CE5B68D333}"/>
              </c:ext>
            </c:extLst>
          </c:dPt>
          <c:dLbls>
            <c:dLbl>
              <c:idx val="4"/>
              <c:layout>
                <c:manualLayout>
                  <c:x val="0.10862069457058073"/>
                  <c:y val="-1.388888888888888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AF-42B6-A278-E5CE5B68D3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Analysis!$B$1268:$B$1272</c:f>
              <c:strCache>
                <c:ptCount val="5"/>
                <c:pt idx="0">
                  <c:v>1 GHz</c:v>
                </c:pt>
                <c:pt idx="1">
                  <c:v>870 MHz</c:v>
                </c:pt>
                <c:pt idx="2">
                  <c:v>750 MHz</c:v>
                </c:pt>
                <c:pt idx="3">
                  <c:v>550 MHz</c:v>
                </c:pt>
                <c:pt idx="4">
                  <c:v>Gpon</c:v>
                </c:pt>
              </c:strCache>
            </c:strRef>
          </c:cat>
          <c:val>
            <c:numRef>
              <c:f>Analysis!$C$1268:$C$1272</c:f>
              <c:numCache>
                <c:formatCode>0.0%</c:formatCode>
                <c:ptCount val="5"/>
                <c:pt idx="0">
                  <c:v>0.61799999999999999</c:v>
                </c:pt>
                <c:pt idx="1">
                  <c:v>0.157</c:v>
                </c:pt>
                <c:pt idx="2">
                  <c:v>0.20499999999999999</c:v>
                </c:pt>
                <c:pt idx="3">
                  <c:v>1.2E-2</c:v>
                </c:pt>
                <c:pt idx="4">
                  <c:v>7.0000000000000001E-3</c:v>
                </c:pt>
              </c:numCache>
            </c:numRef>
          </c:val>
          <c:extLst>
            <c:ext xmlns:c16="http://schemas.microsoft.com/office/drawing/2014/chart" uri="{C3380CC4-5D6E-409C-BE32-E72D297353CC}">
              <c16:uniqueId val="{00000000-66AF-42B6-A278-E5CE5B68D333}"/>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E70F-4C0B-9716-DFEEAA347D81}"/>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E70F-4C0B-9716-DFEEAA347D81}"/>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5-E70F-4C0B-9716-DFEEAA347D81}"/>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7-E70F-4C0B-9716-DFEEAA347D81}"/>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9-E70F-4C0B-9716-DFEEAA347D81}"/>
              </c:ext>
            </c:extLst>
          </c:dPt>
          <c:dLbls>
            <c:dLbl>
              <c:idx val="4"/>
              <c:layout>
                <c:manualLayout>
                  <c:x val="0.10862069457058073"/>
                  <c:y val="-1.388888888888888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70F-4C0B-9716-DFEEAA347D8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Analysis!$B$1275:$B$1277</c:f>
              <c:strCache>
                <c:ptCount val="3"/>
                <c:pt idx="0">
                  <c:v>1 GHz</c:v>
                </c:pt>
                <c:pt idx="1">
                  <c:v>870 MHz</c:v>
                </c:pt>
                <c:pt idx="2">
                  <c:v>&lt; 870 MHz</c:v>
                </c:pt>
              </c:strCache>
            </c:strRef>
          </c:cat>
          <c:val>
            <c:numRef>
              <c:f>Analysis!$C$1275:$C$1277</c:f>
              <c:numCache>
                <c:formatCode>0%</c:formatCode>
                <c:ptCount val="3"/>
                <c:pt idx="0">
                  <c:v>0.57999999999999996</c:v>
                </c:pt>
                <c:pt idx="1">
                  <c:v>0.26</c:v>
                </c:pt>
                <c:pt idx="2">
                  <c:v>0.16000000000000003</c:v>
                </c:pt>
              </c:numCache>
            </c:numRef>
          </c:val>
          <c:extLst>
            <c:ext xmlns:c16="http://schemas.microsoft.com/office/drawing/2014/chart" uri="{C3380CC4-5D6E-409C-BE32-E72D297353CC}">
              <c16:uniqueId val="{0000000A-E70F-4C0B-9716-DFEEAA347D81}"/>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Analysis!$B$1376</c:f>
              <c:strCache>
                <c:ptCount val="1"/>
                <c:pt idx="0">
                  <c:v>FT</c:v>
                </c:pt>
              </c:strCache>
            </c:strRef>
          </c:tx>
          <c:spPr>
            <a:ln w="25400" cap="rnd">
              <a:solidFill>
                <a:srgbClr val="333399"/>
              </a:solidFill>
              <a:prstDash val="solid"/>
              <a:round/>
            </a:ln>
            <a:effectLst/>
          </c:spPr>
          <c:marker>
            <c:symbol val="none"/>
          </c:marker>
          <c:cat>
            <c:numRef>
              <c:f>Analysis!$C$1375:$Q$1375</c:f>
              <c:numCache>
                <c:formatCode>General</c:formatCode>
                <c:ptCount val="13"/>
                <c:pt idx="0">
                  <c:v>2001</c:v>
                </c:pt>
                <c:pt idx="1">
                  <c:v>2002</c:v>
                </c:pt>
                <c:pt idx="2">
                  <c:v>2003</c:v>
                </c:pt>
                <c:pt idx="3">
                  <c:v>2004</c:v>
                </c:pt>
                <c:pt idx="4">
                  <c:v>2005</c:v>
                </c:pt>
                <c:pt idx="5">
                  <c:v>2006</c:v>
                </c:pt>
                <c:pt idx="6">
                  <c:v>2007</c:v>
                </c:pt>
                <c:pt idx="7">
                  <c:v>2008</c:v>
                </c:pt>
                <c:pt idx="8">
                  <c:v>2009</c:v>
                </c:pt>
                <c:pt idx="9">
                  <c:v>2012</c:v>
                </c:pt>
                <c:pt idx="10">
                  <c:v>2013</c:v>
                </c:pt>
                <c:pt idx="11">
                  <c:v>2014</c:v>
                </c:pt>
                <c:pt idx="12">
                  <c:v>2015</c:v>
                </c:pt>
              </c:numCache>
            </c:numRef>
          </c:cat>
          <c:val>
            <c:numRef>
              <c:f>Analysis!$C$1376:$Q$1376</c:f>
              <c:numCache>
                <c:formatCode>0%</c:formatCode>
                <c:ptCount val="13"/>
                <c:pt idx="0">
                  <c:v>0.86046511627906974</c:v>
                </c:pt>
                <c:pt idx="1">
                  <c:v>0.70049680624556421</c:v>
                </c:pt>
                <c:pt idx="2">
                  <c:v>0.54791929382093318</c:v>
                </c:pt>
                <c:pt idx="3">
                  <c:v>0.47686481146056314</c:v>
                </c:pt>
                <c:pt idx="4">
                  <c:v>0.47014767932489454</c:v>
                </c:pt>
                <c:pt idx="5">
                  <c:v>0.46670874092773745</c:v>
                </c:pt>
                <c:pt idx="6">
                  <c:v>0.4685685221032671</c:v>
                </c:pt>
                <c:pt idx="7">
                  <c:v>0.46693785039534108</c:v>
                </c:pt>
                <c:pt idx="8">
                  <c:v>0.45130100232864229</c:v>
                </c:pt>
                <c:pt idx="9">
                  <c:v>0.41234533343073554</c:v>
                </c:pt>
                <c:pt idx="10">
                  <c:v>0.40383521121757304</c:v>
                </c:pt>
                <c:pt idx="11">
                  <c:v>0.40154614718388248</c:v>
                </c:pt>
                <c:pt idx="12">
                  <c:v>0.40077270227540451</c:v>
                </c:pt>
              </c:numCache>
            </c:numRef>
          </c:val>
          <c:smooth val="0"/>
          <c:extLst>
            <c:ext xmlns:c16="http://schemas.microsoft.com/office/drawing/2014/chart" uri="{C3380CC4-5D6E-409C-BE32-E72D297353CC}">
              <c16:uniqueId val="{00000000-AEB0-4EEF-A447-8404EDBCE799}"/>
            </c:ext>
          </c:extLst>
        </c:ser>
        <c:ser>
          <c:idx val="1"/>
          <c:order val="1"/>
          <c:tx>
            <c:strRef>
              <c:f>Analysis!$B$1377</c:f>
              <c:strCache>
                <c:ptCount val="1"/>
                <c:pt idx="0">
                  <c:v>Iliad</c:v>
                </c:pt>
              </c:strCache>
            </c:strRef>
          </c:tx>
          <c:spPr>
            <a:ln w="25400" cap="rnd">
              <a:solidFill>
                <a:srgbClr val="99CCFF"/>
              </a:solidFill>
              <a:prstDash val="solid"/>
              <a:round/>
            </a:ln>
            <a:effectLst/>
          </c:spPr>
          <c:marker>
            <c:symbol val="none"/>
          </c:marker>
          <c:cat>
            <c:numRef>
              <c:f>Analysis!$C$1375:$Q$1375</c:f>
              <c:numCache>
                <c:formatCode>General</c:formatCode>
                <c:ptCount val="13"/>
                <c:pt idx="0">
                  <c:v>2001</c:v>
                </c:pt>
                <c:pt idx="1">
                  <c:v>2002</c:v>
                </c:pt>
                <c:pt idx="2">
                  <c:v>2003</c:v>
                </c:pt>
                <c:pt idx="3">
                  <c:v>2004</c:v>
                </c:pt>
                <c:pt idx="4">
                  <c:v>2005</c:v>
                </c:pt>
                <c:pt idx="5">
                  <c:v>2006</c:v>
                </c:pt>
                <c:pt idx="6">
                  <c:v>2007</c:v>
                </c:pt>
                <c:pt idx="7">
                  <c:v>2008</c:v>
                </c:pt>
                <c:pt idx="8">
                  <c:v>2009</c:v>
                </c:pt>
                <c:pt idx="9">
                  <c:v>2012</c:v>
                </c:pt>
                <c:pt idx="10">
                  <c:v>2013</c:v>
                </c:pt>
                <c:pt idx="11">
                  <c:v>2014</c:v>
                </c:pt>
                <c:pt idx="12">
                  <c:v>2015</c:v>
                </c:pt>
              </c:numCache>
            </c:numRef>
          </c:cat>
          <c:val>
            <c:numRef>
              <c:f>Analysis!$C$1377:$Q$1377</c:f>
              <c:numCache>
                <c:formatCode>0%</c:formatCode>
                <c:ptCount val="13"/>
                <c:pt idx="0">
                  <c:v>4.6511627906976744E-2</c:v>
                </c:pt>
                <c:pt idx="1">
                  <c:v>7.0333569907735982E-2</c:v>
                </c:pt>
                <c:pt idx="2">
                  <c:v>0.15290037831021439</c:v>
                </c:pt>
                <c:pt idx="3">
                  <c:v>0.1752017124979417</c:v>
                </c:pt>
                <c:pt idx="4">
                  <c:v>0.16824894514767932</c:v>
                </c:pt>
                <c:pt idx="5">
                  <c:v>0.17970968759861156</c:v>
                </c:pt>
                <c:pt idx="6">
                  <c:v>0.18642594714178484</c:v>
                </c:pt>
                <c:pt idx="7">
                  <c:v>0.18953795364592296</c:v>
                </c:pt>
                <c:pt idx="8">
                  <c:v>0.19125240457628834</c:v>
                </c:pt>
                <c:pt idx="9">
                  <c:v>0.22355168471017439</c:v>
                </c:pt>
                <c:pt idx="10">
                  <c:v>0.2253295005210835</c:v>
                </c:pt>
                <c:pt idx="11">
                  <c:v>0.22757125668099501</c:v>
                </c:pt>
                <c:pt idx="12">
                  <c:v>0.22917298738274949</c:v>
                </c:pt>
              </c:numCache>
            </c:numRef>
          </c:val>
          <c:smooth val="0"/>
          <c:extLst>
            <c:ext xmlns:c16="http://schemas.microsoft.com/office/drawing/2014/chart" uri="{C3380CC4-5D6E-409C-BE32-E72D297353CC}">
              <c16:uniqueId val="{00000001-AEB0-4EEF-A447-8404EDBCE799}"/>
            </c:ext>
          </c:extLst>
        </c:ser>
        <c:ser>
          <c:idx val="2"/>
          <c:order val="2"/>
          <c:tx>
            <c:strRef>
              <c:f>Analysis!$B$1378</c:f>
              <c:strCache>
                <c:ptCount val="1"/>
                <c:pt idx="0">
                  <c:v>Other, inc cable</c:v>
                </c:pt>
              </c:strCache>
            </c:strRef>
          </c:tx>
          <c:spPr>
            <a:ln w="25400" cap="rnd">
              <a:solidFill>
                <a:srgbClr val="333399"/>
              </a:solidFill>
              <a:prstDash val="lgDash"/>
              <a:round/>
            </a:ln>
            <a:effectLst/>
          </c:spPr>
          <c:marker>
            <c:symbol val="none"/>
          </c:marker>
          <c:cat>
            <c:numRef>
              <c:f>Analysis!$C$1375:$Q$1375</c:f>
              <c:numCache>
                <c:formatCode>General</c:formatCode>
                <c:ptCount val="13"/>
                <c:pt idx="0">
                  <c:v>2001</c:v>
                </c:pt>
                <c:pt idx="1">
                  <c:v>2002</c:v>
                </c:pt>
                <c:pt idx="2">
                  <c:v>2003</c:v>
                </c:pt>
                <c:pt idx="3">
                  <c:v>2004</c:v>
                </c:pt>
                <c:pt idx="4">
                  <c:v>2005</c:v>
                </c:pt>
                <c:pt idx="5">
                  <c:v>2006</c:v>
                </c:pt>
                <c:pt idx="6">
                  <c:v>2007</c:v>
                </c:pt>
                <c:pt idx="7">
                  <c:v>2008</c:v>
                </c:pt>
                <c:pt idx="8">
                  <c:v>2009</c:v>
                </c:pt>
                <c:pt idx="9">
                  <c:v>2012</c:v>
                </c:pt>
                <c:pt idx="10">
                  <c:v>2013</c:v>
                </c:pt>
                <c:pt idx="11">
                  <c:v>2014</c:v>
                </c:pt>
                <c:pt idx="12">
                  <c:v>2015</c:v>
                </c:pt>
              </c:numCache>
            </c:numRef>
          </c:cat>
          <c:val>
            <c:numRef>
              <c:f>Analysis!$C$1378:$Q$1378</c:f>
              <c:numCache>
                <c:formatCode>0%</c:formatCode>
                <c:ptCount val="13"/>
                <c:pt idx="0">
                  <c:v>9.3023255813953543E-2</c:v>
                </c:pt>
                <c:pt idx="1">
                  <c:v>0.22916962384669981</c:v>
                </c:pt>
                <c:pt idx="2">
                  <c:v>0.2991803278688524</c:v>
                </c:pt>
                <c:pt idx="3">
                  <c:v>0.34793347604149516</c:v>
                </c:pt>
                <c:pt idx="4">
                  <c:v>0.36160337552742616</c:v>
                </c:pt>
                <c:pt idx="5">
                  <c:v>0.35358157147365105</c:v>
                </c:pt>
                <c:pt idx="6">
                  <c:v>0.34500553075494805</c:v>
                </c:pt>
                <c:pt idx="7">
                  <c:v>0.34352419595873596</c:v>
                </c:pt>
                <c:pt idx="8">
                  <c:v>0.35744659309506938</c:v>
                </c:pt>
                <c:pt idx="9">
                  <c:v>0.36410298185909007</c:v>
                </c:pt>
                <c:pt idx="10">
                  <c:v>0.37083528826134349</c:v>
                </c:pt>
                <c:pt idx="11">
                  <c:v>0.37088259613512253</c:v>
                </c:pt>
                <c:pt idx="12">
                  <c:v>0.37005431034184599</c:v>
                </c:pt>
              </c:numCache>
            </c:numRef>
          </c:val>
          <c:smooth val="0"/>
          <c:extLst>
            <c:ext xmlns:c16="http://schemas.microsoft.com/office/drawing/2014/chart" uri="{C3380CC4-5D6E-409C-BE32-E72D297353CC}">
              <c16:uniqueId val="{00000002-AEB0-4EEF-A447-8404EDBCE799}"/>
            </c:ext>
          </c:extLst>
        </c:ser>
        <c:dLbls>
          <c:showLegendKey val="0"/>
          <c:showVal val="0"/>
          <c:showCatName val="0"/>
          <c:showSerName val="0"/>
          <c:showPercent val="0"/>
          <c:showBubbleSize val="0"/>
        </c:dLbls>
        <c:smooth val="0"/>
        <c:axId val="119877632"/>
        <c:axId val="119879168"/>
      </c:lineChart>
      <c:catAx>
        <c:axId val="119877632"/>
        <c:scaling>
          <c:orientation val="minMax"/>
        </c:scaling>
        <c:delete val="0"/>
        <c:axPos val="b"/>
        <c:numFmt formatCode="General" sourceLinked="1"/>
        <c:majorTickMark val="none"/>
        <c:minorTickMark val="none"/>
        <c:tickLblPos val="low"/>
        <c:spPr>
          <a:noFill/>
          <a:ln w="9525" cap="flat" cmpd="sng" algn="ctr">
            <a:solidFill>
              <a:schemeClr val="accent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879168"/>
        <c:crosses val="autoZero"/>
        <c:auto val="1"/>
        <c:lblAlgn val="ctr"/>
        <c:lblOffset val="100"/>
        <c:noMultiLvlLbl val="0"/>
      </c:catAx>
      <c:valAx>
        <c:axId val="11987916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87763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Analysis!$B$1382</c:f>
              <c:strCache>
                <c:ptCount val="1"/>
                <c:pt idx="0">
                  <c:v>ULL</c:v>
                </c:pt>
              </c:strCache>
            </c:strRef>
          </c:tx>
          <c:spPr>
            <a:ln w="25400" cap="rnd">
              <a:solidFill>
                <a:srgbClr val="333399"/>
              </a:solidFill>
              <a:prstDash val="solid"/>
              <a:round/>
            </a:ln>
            <a:effectLst/>
          </c:spPr>
          <c:marker>
            <c:symbol val="none"/>
          </c:marker>
          <c:cat>
            <c:numRef>
              <c:extLst>
                <c:ext xmlns:c15="http://schemas.microsoft.com/office/drawing/2012/chart" uri="{02D57815-91ED-43cb-92C2-25804820EDAC}">
                  <c15:fullRef>
                    <c15:sqref>Analysis!$C$1381:$Q$1381</c15:sqref>
                  </c15:fullRef>
                </c:ext>
              </c:extLst>
              <c:f>(Analysis!$C$1381,Analysis!$E$1381:$Q$1381)</c:f>
              <c:numCache>
                <c:formatCode>General</c:formatCode>
                <c:ptCount val="12"/>
                <c:pt idx="0">
                  <c:v>2001</c:v>
                </c:pt>
                <c:pt idx="1">
                  <c:v>2003</c:v>
                </c:pt>
                <c:pt idx="2">
                  <c:v>2004</c:v>
                </c:pt>
                <c:pt idx="3">
                  <c:v>2005</c:v>
                </c:pt>
                <c:pt idx="4">
                  <c:v>2006</c:v>
                </c:pt>
                <c:pt idx="5">
                  <c:v>2007</c:v>
                </c:pt>
                <c:pt idx="6">
                  <c:v>2008</c:v>
                </c:pt>
                <c:pt idx="7">
                  <c:v>2009</c:v>
                </c:pt>
                <c:pt idx="8">
                  <c:v>2012</c:v>
                </c:pt>
                <c:pt idx="9">
                  <c:v>2013</c:v>
                </c:pt>
                <c:pt idx="10">
                  <c:v>2014</c:v>
                </c:pt>
                <c:pt idx="11">
                  <c:v>2015</c:v>
                </c:pt>
              </c:numCache>
            </c:numRef>
          </c:cat>
          <c:val>
            <c:numRef>
              <c:extLst>
                <c:ext xmlns:c15="http://schemas.microsoft.com/office/drawing/2012/chart" uri="{02D57815-91ED-43cb-92C2-25804820EDAC}">
                  <c15:fullRef>
                    <c15:sqref>Analysis!$C$1382:$Q$1382</c15:sqref>
                  </c15:fullRef>
                </c:ext>
              </c:extLst>
              <c:f>(Analysis!$C$1382,Analysis!$E$1382:$Q$1382)</c:f>
              <c:numCache>
                <c:formatCode>General</c:formatCode>
                <c:ptCount val="12"/>
                <c:pt idx="0">
                  <c:v>0</c:v>
                </c:pt>
                <c:pt idx="1">
                  <c:v>163</c:v>
                </c:pt>
                <c:pt idx="2">
                  <c:v>566</c:v>
                </c:pt>
                <c:pt idx="3">
                  <c:v>1120</c:v>
                </c:pt>
                <c:pt idx="4">
                  <c:v>1730</c:v>
                </c:pt>
                <c:pt idx="5">
                  <c:v>2366</c:v>
                </c:pt>
                <c:pt idx="6">
                  <c:v>2900.9839999999999</c:v>
                </c:pt>
                <c:pt idx="7">
                  <c:v>3226.4119999999998</c:v>
                </c:pt>
                <c:pt idx="8">
                  <c:v>5047.5239999999994</c:v>
                </c:pt>
                <c:pt idx="9">
                  <c:v>5346.7199999999993</c:v>
                </c:pt>
                <c:pt idx="10">
                  <c:v>5656.7519999999995</c:v>
                </c:pt>
                <c:pt idx="11">
                  <c:v>5966.1359999999995</c:v>
                </c:pt>
              </c:numCache>
            </c:numRef>
          </c:val>
          <c:smooth val="0"/>
          <c:extLst>
            <c:ext xmlns:c16="http://schemas.microsoft.com/office/drawing/2014/chart" uri="{C3380CC4-5D6E-409C-BE32-E72D297353CC}">
              <c16:uniqueId val="{00000000-1A38-4C60-B53C-71D8402672D3}"/>
            </c:ext>
          </c:extLst>
        </c:ser>
        <c:ser>
          <c:idx val="1"/>
          <c:order val="1"/>
          <c:tx>
            <c:strRef>
              <c:f>Analysis!$B$1383</c:f>
              <c:strCache>
                <c:ptCount val="1"/>
                <c:pt idx="0">
                  <c:v>Wholesale/bitstream</c:v>
                </c:pt>
              </c:strCache>
            </c:strRef>
          </c:tx>
          <c:spPr>
            <a:ln w="25400" cap="rnd">
              <a:solidFill>
                <a:srgbClr val="99CCFF"/>
              </a:solidFill>
              <a:prstDash val="solid"/>
              <a:round/>
            </a:ln>
            <a:effectLst/>
          </c:spPr>
          <c:marker>
            <c:symbol val="none"/>
          </c:marker>
          <c:cat>
            <c:numRef>
              <c:extLst>
                <c:ext xmlns:c15="http://schemas.microsoft.com/office/drawing/2012/chart" uri="{02D57815-91ED-43cb-92C2-25804820EDAC}">
                  <c15:fullRef>
                    <c15:sqref>Analysis!$C$1381:$Q$1381</c15:sqref>
                  </c15:fullRef>
                </c:ext>
              </c:extLst>
              <c:f>(Analysis!$C$1381,Analysis!$E$1381:$Q$1381)</c:f>
              <c:numCache>
                <c:formatCode>General</c:formatCode>
                <c:ptCount val="12"/>
                <c:pt idx="0">
                  <c:v>2001</c:v>
                </c:pt>
                <c:pt idx="1">
                  <c:v>2003</c:v>
                </c:pt>
                <c:pt idx="2">
                  <c:v>2004</c:v>
                </c:pt>
                <c:pt idx="3">
                  <c:v>2005</c:v>
                </c:pt>
                <c:pt idx="4">
                  <c:v>2006</c:v>
                </c:pt>
                <c:pt idx="5">
                  <c:v>2007</c:v>
                </c:pt>
                <c:pt idx="6">
                  <c:v>2008</c:v>
                </c:pt>
                <c:pt idx="7">
                  <c:v>2009</c:v>
                </c:pt>
                <c:pt idx="8">
                  <c:v>2012</c:v>
                </c:pt>
                <c:pt idx="9">
                  <c:v>2013</c:v>
                </c:pt>
                <c:pt idx="10">
                  <c:v>2014</c:v>
                </c:pt>
                <c:pt idx="11">
                  <c:v>2015</c:v>
                </c:pt>
              </c:numCache>
            </c:numRef>
          </c:cat>
          <c:val>
            <c:numRef>
              <c:extLst>
                <c:ext xmlns:c15="http://schemas.microsoft.com/office/drawing/2012/chart" uri="{02D57815-91ED-43cb-92C2-25804820EDAC}">
                  <c15:fullRef>
                    <c15:sqref>Analysis!$C$1383:$Q$1383</c15:sqref>
                  </c15:fullRef>
                </c:ext>
              </c:extLst>
              <c:f>(Analysis!$C$1383,Analysis!$E$1383:$Q$1383)</c:f>
              <c:numCache>
                <c:formatCode>General</c:formatCode>
                <c:ptCount val="12"/>
                <c:pt idx="0">
                  <c:v>20</c:v>
                </c:pt>
                <c:pt idx="1">
                  <c:v>322</c:v>
                </c:pt>
                <c:pt idx="2">
                  <c:v>498</c:v>
                </c:pt>
                <c:pt idx="3">
                  <c:v>475</c:v>
                </c:pt>
                <c:pt idx="4">
                  <c:v>548</c:v>
                </c:pt>
                <c:pt idx="5">
                  <c:v>538</c:v>
                </c:pt>
                <c:pt idx="6">
                  <c:v>488.01600000000008</c:v>
                </c:pt>
                <c:pt idx="7">
                  <c:v>551.58800000000019</c:v>
                </c:pt>
                <c:pt idx="8">
                  <c:v>316.47600000000057</c:v>
                </c:pt>
                <c:pt idx="9">
                  <c:v>293.28000000000065</c:v>
                </c:pt>
                <c:pt idx="10">
                  <c:v>211.2480000000005</c:v>
                </c:pt>
                <c:pt idx="11">
                  <c:v>171.86400000000049</c:v>
                </c:pt>
              </c:numCache>
            </c:numRef>
          </c:val>
          <c:smooth val="0"/>
          <c:extLst>
            <c:ext xmlns:c16="http://schemas.microsoft.com/office/drawing/2014/chart" uri="{C3380CC4-5D6E-409C-BE32-E72D297353CC}">
              <c16:uniqueId val="{00000001-1A38-4C60-B53C-71D8402672D3}"/>
            </c:ext>
          </c:extLst>
        </c:ser>
        <c:dLbls>
          <c:showLegendKey val="0"/>
          <c:showVal val="0"/>
          <c:showCatName val="0"/>
          <c:showSerName val="0"/>
          <c:showPercent val="0"/>
          <c:showBubbleSize val="0"/>
        </c:dLbls>
        <c:smooth val="0"/>
        <c:axId val="119918976"/>
        <c:axId val="119920512"/>
      </c:lineChart>
      <c:catAx>
        <c:axId val="119918976"/>
        <c:scaling>
          <c:orientation val="minMax"/>
        </c:scaling>
        <c:delete val="0"/>
        <c:axPos val="b"/>
        <c:numFmt formatCode="General" sourceLinked="1"/>
        <c:majorTickMark val="none"/>
        <c:minorTickMark val="none"/>
        <c:tickLblPos val="low"/>
        <c:spPr>
          <a:noFill/>
          <a:ln w="9525" cap="flat" cmpd="sng" algn="ctr">
            <a:solidFill>
              <a:schemeClr val="accent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920512"/>
        <c:crosses val="autoZero"/>
        <c:auto val="1"/>
        <c:lblAlgn val="ctr"/>
        <c:lblOffset val="100"/>
        <c:noMultiLvlLbl val="0"/>
      </c:catAx>
      <c:valAx>
        <c:axId val="119920512"/>
        <c:scaling>
          <c:orientation val="minMax"/>
        </c:scaling>
        <c:delete val="0"/>
        <c:axPos val="l"/>
        <c:majorGridlines>
          <c:spPr>
            <a:ln w="3175" cap="flat" cmpd="sng" algn="ctr">
              <a:solidFill>
                <a:srgbClr val="C0C0C0"/>
              </a:solidFill>
              <a:prstDash val="solid"/>
              <a:round/>
            </a:ln>
            <a:effectLst/>
          </c:spPr>
        </c:majorGridlines>
        <c:numFmt formatCode="#,##0" sourceLinked="0"/>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991897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dPt>
            <c:idx val="10"/>
            <c:invertIfNegative val="0"/>
            <c:bubble3D val="0"/>
            <c:spPr>
              <a:solidFill>
                <a:srgbClr val="FF0000"/>
              </a:solidFill>
              <a:ln w="25400">
                <a:noFill/>
              </a:ln>
              <a:effectLst/>
            </c:spPr>
            <c:extLst>
              <c:ext xmlns:c16="http://schemas.microsoft.com/office/drawing/2014/chart" uri="{C3380CC4-5D6E-409C-BE32-E72D297353CC}">
                <c16:uniqueId val="{00000000-DD3A-426B-B123-824FEF54F8FB}"/>
              </c:ext>
            </c:extLst>
          </c:dPt>
          <c:cat>
            <c:strRef>
              <c:f>Analysis!$C$1418:$C$1429</c:f>
              <c:strCache>
                <c:ptCount val="12"/>
                <c:pt idx="0">
                  <c:v>UK</c:v>
                </c:pt>
                <c:pt idx="1">
                  <c:v>US</c:v>
                </c:pt>
                <c:pt idx="2">
                  <c:v>Australia</c:v>
                </c:pt>
                <c:pt idx="3">
                  <c:v>Japan</c:v>
                </c:pt>
                <c:pt idx="4">
                  <c:v>Brazil</c:v>
                </c:pt>
                <c:pt idx="5">
                  <c:v>Canada</c:v>
                </c:pt>
                <c:pt idx="6">
                  <c:v>Germany</c:v>
                </c:pt>
                <c:pt idx="7">
                  <c:v>France</c:v>
                </c:pt>
                <c:pt idx="8">
                  <c:v>China</c:v>
                </c:pt>
                <c:pt idx="9">
                  <c:v>Italy</c:v>
                </c:pt>
                <c:pt idx="10">
                  <c:v>Mexico</c:v>
                </c:pt>
                <c:pt idx="11">
                  <c:v>India</c:v>
                </c:pt>
              </c:strCache>
            </c:strRef>
          </c:cat>
          <c:val>
            <c:numRef>
              <c:f>Analysis!$D$1418:$D$1429</c:f>
              <c:numCache>
                <c:formatCode>0.00%</c:formatCode>
                <c:ptCount val="12"/>
                <c:pt idx="0">
                  <c:v>1.0200000000000001E-2</c:v>
                </c:pt>
                <c:pt idx="1">
                  <c:v>9.7999999999999997E-3</c:v>
                </c:pt>
                <c:pt idx="2">
                  <c:v>9.4999999999999998E-3</c:v>
                </c:pt>
                <c:pt idx="3">
                  <c:v>7.7999999999999996E-3</c:v>
                </c:pt>
                <c:pt idx="4">
                  <c:v>7.1999999999999998E-3</c:v>
                </c:pt>
                <c:pt idx="5">
                  <c:v>6.8999999999999999E-3</c:v>
                </c:pt>
                <c:pt idx="6">
                  <c:v>6.1999999999999998E-3</c:v>
                </c:pt>
                <c:pt idx="7">
                  <c:v>5.7000000000000002E-3</c:v>
                </c:pt>
                <c:pt idx="8">
                  <c:v>5.5999999999999999E-3</c:v>
                </c:pt>
                <c:pt idx="9">
                  <c:v>4.4999999999999997E-3</c:v>
                </c:pt>
                <c:pt idx="10">
                  <c:v>4.0000000000000001E-3</c:v>
                </c:pt>
                <c:pt idx="11">
                  <c:v>3.0000000000000001E-3</c:v>
                </c:pt>
              </c:numCache>
            </c:numRef>
          </c:val>
          <c:extLst>
            <c:ext xmlns:c16="http://schemas.microsoft.com/office/drawing/2014/chart" uri="{C3380CC4-5D6E-409C-BE32-E72D297353CC}">
              <c16:uniqueId val="{00000000-2FED-4099-A613-FB2A02EAA754}"/>
            </c:ext>
          </c:extLst>
        </c:ser>
        <c:dLbls>
          <c:showLegendKey val="0"/>
          <c:showVal val="0"/>
          <c:showCatName val="0"/>
          <c:showSerName val="0"/>
          <c:showPercent val="0"/>
          <c:showBubbleSize val="0"/>
        </c:dLbls>
        <c:gapWidth val="219"/>
        <c:overlap val="-27"/>
        <c:axId val="729580432"/>
        <c:axId val="638538640"/>
      </c:barChart>
      <c:catAx>
        <c:axId val="72958043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38538640"/>
        <c:crosses val="autoZero"/>
        <c:auto val="1"/>
        <c:lblAlgn val="ctr"/>
        <c:lblOffset val="100"/>
        <c:noMultiLvlLbl val="0"/>
      </c:catAx>
      <c:valAx>
        <c:axId val="638538640"/>
        <c:scaling>
          <c:orientation val="minMax"/>
        </c:scaling>
        <c:delete val="0"/>
        <c:axPos val="l"/>
        <c:majorGridlines>
          <c:spPr>
            <a:ln w="3175" cap="flat" cmpd="sng" algn="ctr">
              <a:solidFill>
                <a:srgbClr val="C0C0C0"/>
              </a:solidFill>
              <a:prstDash val="solid"/>
              <a:round/>
            </a:ln>
            <a:effectLst/>
          </c:spPr>
        </c:majorGridlines>
        <c:numFmt formatCode="0.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29580432"/>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5400" cap="rnd">
              <a:solidFill>
                <a:srgbClr val="333399"/>
              </a:solidFill>
              <a:prstDash val="solid"/>
              <a:round/>
            </a:ln>
            <a:effectLst/>
          </c:spPr>
          <c:marker>
            <c:symbol val="none"/>
          </c:marker>
          <c:cat>
            <c:numRef>
              <c:f>Analysis!$C$1404:$AA$1404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cat>
          <c:val>
            <c:numRef>
              <c:f>Analysis!$C$1407:$AA$1407</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0FC3-4807-8318-D80E7BAFAFCE}"/>
            </c:ext>
          </c:extLst>
        </c:ser>
        <c:dLbls>
          <c:showLegendKey val="0"/>
          <c:showVal val="0"/>
          <c:showCatName val="0"/>
          <c:showSerName val="0"/>
          <c:showPercent val="0"/>
          <c:showBubbleSize val="0"/>
        </c:dLbls>
        <c:smooth val="0"/>
        <c:axId val="647024672"/>
        <c:axId val="569455536"/>
      </c:lineChart>
      <c:catAx>
        <c:axId val="647024672"/>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569455536"/>
        <c:crosses val="autoZero"/>
        <c:auto val="1"/>
        <c:lblAlgn val="ctr"/>
        <c:lblOffset val="100"/>
        <c:noMultiLvlLbl val="0"/>
      </c:catAx>
      <c:valAx>
        <c:axId val="569455536"/>
        <c:scaling>
          <c:orientation val="minMax"/>
        </c:scaling>
        <c:delete val="0"/>
        <c:axPos val="l"/>
        <c:majorGridlines>
          <c:spPr>
            <a:ln w="3175" cap="flat" cmpd="sng" algn="ctr">
              <a:solidFill>
                <a:srgbClr val="C0C0C0"/>
              </a:solidFill>
              <a:prstDash val="solid"/>
              <a:round/>
            </a:ln>
            <a:effectLst/>
          </c:spPr>
        </c:majorGridlines>
        <c:numFmt formatCode="0.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47024672"/>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20138094772453"/>
          <c:y val="5.5495482898095673E-2"/>
          <c:w val="0.82140854033278332"/>
          <c:h val="0.69229839947784633"/>
        </c:manualLayout>
      </c:layout>
      <c:lineChart>
        <c:grouping val="standard"/>
        <c:varyColors val="0"/>
        <c:ser>
          <c:idx val="0"/>
          <c:order val="0"/>
          <c:tx>
            <c:strRef>
              <c:f>Analysis!$B$1478</c:f>
              <c:strCache>
                <c:ptCount val="1"/>
                <c:pt idx="0">
                  <c:v>Ad</c:v>
                </c:pt>
              </c:strCache>
            </c:strRef>
          </c:tx>
          <c:spPr>
            <a:ln w="25400" cap="rnd">
              <a:solidFill>
                <a:srgbClr val="333399"/>
              </a:solidFill>
              <a:prstDash val="solid"/>
              <a:round/>
            </a:ln>
            <a:effectLst/>
          </c:spPr>
          <c:marker>
            <c:symbol val="none"/>
          </c:marker>
          <c:cat>
            <c:numRef>
              <c:f>Analysis!$C$1477:$G$1477</c:f>
              <c:numCache>
                <c:formatCode>General</c:formatCode>
                <c:ptCount val="5"/>
                <c:pt idx="0">
                  <c:v>2017</c:v>
                </c:pt>
                <c:pt idx="1">
                  <c:v>2018</c:v>
                </c:pt>
                <c:pt idx="2">
                  <c:v>2019</c:v>
                </c:pt>
                <c:pt idx="3">
                  <c:v>2020</c:v>
                </c:pt>
                <c:pt idx="4">
                  <c:v>2021</c:v>
                </c:pt>
              </c:numCache>
            </c:numRef>
          </c:cat>
          <c:val>
            <c:numRef>
              <c:f>Analysis!$C$1478:$G$1478</c:f>
              <c:numCache>
                <c:formatCode>0.0%</c:formatCode>
                <c:ptCount val="5"/>
                <c:pt idx="0">
                  <c:v>-0.10783182334906471</c:v>
                </c:pt>
                <c:pt idx="1">
                  <c:v>2.1043486654761301E-2</c:v>
                </c:pt>
                <c:pt idx="2">
                  <c:v>-8.1994800283620828E-2</c:v>
                </c:pt>
                <c:pt idx="3">
                  <c:v>-0.15811208831949919</c:v>
                </c:pt>
                <c:pt idx="4">
                  <c:v>0.17200210400127225</c:v>
                </c:pt>
              </c:numCache>
            </c:numRef>
          </c:val>
          <c:smooth val="0"/>
          <c:extLst>
            <c:ext xmlns:c16="http://schemas.microsoft.com/office/drawing/2014/chart" uri="{C3380CC4-5D6E-409C-BE32-E72D297353CC}">
              <c16:uniqueId val="{00000000-2309-43C5-BA24-4BF385EBF49D}"/>
            </c:ext>
          </c:extLst>
        </c:ser>
        <c:ser>
          <c:idx val="1"/>
          <c:order val="1"/>
          <c:tx>
            <c:strRef>
              <c:f>Analysis!$B$1479</c:f>
              <c:strCache>
                <c:ptCount val="1"/>
                <c:pt idx="0">
                  <c:v>Total Content</c:v>
                </c:pt>
              </c:strCache>
            </c:strRef>
          </c:tx>
          <c:spPr>
            <a:ln w="25400" cap="rnd">
              <a:solidFill>
                <a:srgbClr val="99CCFF"/>
              </a:solidFill>
              <a:prstDash val="solid"/>
              <a:round/>
            </a:ln>
            <a:effectLst/>
          </c:spPr>
          <c:marker>
            <c:symbol val="none"/>
          </c:marker>
          <c:cat>
            <c:numRef>
              <c:f>Analysis!$C$1477:$G$1477</c:f>
              <c:numCache>
                <c:formatCode>General</c:formatCode>
                <c:ptCount val="5"/>
                <c:pt idx="0">
                  <c:v>2017</c:v>
                </c:pt>
                <c:pt idx="1">
                  <c:v>2018</c:v>
                </c:pt>
                <c:pt idx="2">
                  <c:v>2019</c:v>
                </c:pt>
                <c:pt idx="3">
                  <c:v>2020</c:v>
                </c:pt>
                <c:pt idx="4">
                  <c:v>2021</c:v>
                </c:pt>
              </c:numCache>
            </c:numRef>
          </c:cat>
          <c:val>
            <c:numRef>
              <c:f>Analysis!$C$1479:$G$1479</c:f>
              <c:numCache>
                <c:formatCode>0.0%</c:formatCode>
                <c:ptCount val="5"/>
                <c:pt idx="0">
                  <c:v>-7.331539767817763E-2</c:v>
                </c:pt>
                <c:pt idx="1">
                  <c:v>7.4124187428302513E-2</c:v>
                </c:pt>
                <c:pt idx="2">
                  <c:v>-4.7145165265492728E-2</c:v>
                </c:pt>
                <c:pt idx="3">
                  <c:v>-6.2720934376383153E-2</c:v>
                </c:pt>
                <c:pt idx="4">
                  <c:v>0.102072793057983</c:v>
                </c:pt>
              </c:numCache>
            </c:numRef>
          </c:val>
          <c:smooth val="0"/>
          <c:extLst>
            <c:ext xmlns:c16="http://schemas.microsoft.com/office/drawing/2014/chart" uri="{C3380CC4-5D6E-409C-BE32-E72D297353CC}">
              <c16:uniqueId val="{00000001-2309-43C5-BA24-4BF385EBF49D}"/>
            </c:ext>
          </c:extLst>
        </c:ser>
        <c:ser>
          <c:idx val="2"/>
          <c:order val="2"/>
          <c:tx>
            <c:strRef>
              <c:f>Analysis!$B$1480</c:f>
              <c:strCache>
                <c:ptCount val="1"/>
                <c:pt idx="0">
                  <c:v>SKY</c:v>
                </c:pt>
              </c:strCache>
            </c:strRef>
          </c:tx>
          <c:spPr>
            <a:ln w="25400" cap="rnd">
              <a:solidFill>
                <a:srgbClr val="333399"/>
              </a:solidFill>
              <a:prstDash val="lgDash"/>
              <a:round/>
            </a:ln>
            <a:effectLst/>
          </c:spPr>
          <c:marker>
            <c:symbol val="none"/>
          </c:marker>
          <c:cat>
            <c:numRef>
              <c:f>Analysis!$C$1477:$G$1477</c:f>
              <c:numCache>
                <c:formatCode>General</c:formatCode>
                <c:ptCount val="5"/>
                <c:pt idx="0">
                  <c:v>2017</c:v>
                </c:pt>
                <c:pt idx="1">
                  <c:v>2018</c:v>
                </c:pt>
                <c:pt idx="2">
                  <c:v>2019</c:v>
                </c:pt>
                <c:pt idx="3">
                  <c:v>2020</c:v>
                </c:pt>
                <c:pt idx="4">
                  <c:v>2021</c:v>
                </c:pt>
              </c:numCache>
            </c:numRef>
          </c:cat>
          <c:val>
            <c:numRef>
              <c:f>Analysis!$C$1480:$G$1480</c:f>
              <c:numCache>
                <c:formatCode>0.0%</c:formatCode>
                <c:ptCount val="5"/>
                <c:pt idx="0">
                  <c:v>1.1658432537873908E-2</c:v>
                </c:pt>
                <c:pt idx="1">
                  <c:v>-8.7849709420192434E-3</c:v>
                </c:pt>
                <c:pt idx="2">
                  <c:v>-2.9770020907190275E-2</c:v>
                </c:pt>
                <c:pt idx="3">
                  <c:v>3.6899798566543351E-2</c:v>
                </c:pt>
                <c:pt idx="4">
                  <c:v>-4.8837345886776351E-3</c:v>
                </c:pt>
              </c:numCache>
            </c:numRef>
          </c:val>
          <c:smooth val="0"/>
          <c:extLst>
            <c:ext xmlns:c16="http://schemas.microsoft.com/office/drawing/2014/chart" uri="{C3380CC4-5D6E-409C-BE32-E72D297353CC}">
              <c16:uniqueId val="{00000002-2309-43C5-BA24-4BF385EBF49D}"/>
            </c:ext>
          </c:extLst>
        </c:ser>
        <c:ser>
          <c:idx val="3"/>
          <c:order val="3"/>
          <c:tx>
            <c:strRef>
              <c:f>Analysis!$B$1481</c:f>
              <c:strCache>
                <c:ptCount val="1"/>
                <c:pt idx="0">
                  <c:v>Cable</c:v>
                </c:pt>
              </c:strCache>
            </c:strRef>
          </c:tx>
          <c:spPr>
            <a:ln w="25400" cap="rnd">
              <a:solidFill>
                <a:srgbClr val="99CCFF"/>
              </a:solidFill>
              <a:prstDash val="lgDash"/>
              <a:round/>
            </a:ln>
            <a:effectLst/>
          </c:spPr>
          <c:marker>
            <c:symbol val="none"/>
          </c:marker>
          <c:cat>
            <c:numRef>
              <c:f>Analysis!$C$1477:$G$1477</c:f>
              <c:numCache>
                <c:formatCode>General</c:formatCode>
                <c:ptCount val="5"/>
                <c:pt idx="0">
                  <c:v>2017</c:v>
                </c:pt>
                <c:pt idx="1">
                  <c:v>2018</c:v>
                </c:pt>
                <c:pt idx="2">
                  <c:v>2019</c:v>
                </c:pt>
                <c:pt idx="3">
                  <c:v>2020</c:v>
                </c:pt>
                <c:pt idx="4">
                  <c:v>2021</c:v>
                </c:pt>
              </c:numCache>
            </c:numRef>
          </c:cat>
          <c:val>
            <c:numRef>
              <c:f>Analysis!$C$1481:$G$1481</c:f>
              <c:numCache>
                <c:formatCode>0.0%</c:formatCode>
                <c:ptCount val="5"/>
                <c:pt idx="0">
                  <c:v>3.6260331874224061E-2</c:v>
                </c:pt>
                <c:pt idx="1">
                  <c:v>9.6374969740982808E-2</c:v>
                </c:pt>
                <c:pt idx="2">
                  <c:v>0.15093975105566759</c:v>
                </c:pt>
                <c:pt idx="3">
                  <c:v>8.7887871085319702E-2</c:v>
                </c:pt>
                <c:pt idx="4">
                  <c:v>5.849613486425187E-2</c:v>
                </c:pt>
              </c:numCache>
            </c:numRef>
          </c:val>
          <c:smooth val="0"/>
          <c:extLst>
            <c:ext xmlns:c16="http://schemas.microsoft.com/office/drawing/2014/chart" uri="{C3380CC4-5D6E-409C-BE32-E72D297353CC}">
              <c16:uniqueId val="{00000003-2309-43C5-BA24-4BF385EBF49D}"/>
            </c:ext>
          </c:extLst>
        </c:ser>
        <c:ser>
          <c:idx val="4"/>
          <c:order val="4"/>
          <c:tx>
            <c:strRef>
              <c:f>Analysis!$B$1482</c:f>
              <c:strCache>
                <c:ptCount val="1"/>
                <c:pt idx="0">
                  <c:v>Group</c:v>
                </c:pt>
              </c:strCache>
            </c:strRef>
          </c:tx>
          <c:spPr>
            <a:ln w="25400" cap="rnd">
              <a:solidFill>
                <a:srgbClr val="333399"/>
              </a:solidFill>
              <a:prstDash val="sysDash"/>
              <a:round/>
            </a:ln>
            <a:effectLst/>
          </c:spPr>
          <c:marker>
            <c:symbol val="none"/>
          </c:marker>
          <c:cat>
            <c:numRef>
              <c:f>Analysis!$C$1477:$G$1477</c:f>
              <c:numCache>
                <c:formatCode>General</c:formatCode>
                <c:ptCount val="5"/>
                <c:pt idx="0">
                  <c:v>2017</c:v>
                </c:pt>
                <c:pt idx="1">
                  <c:v>2018</c:v>
                </c:pt>
                <c:pt idx="2">
                  <c:v>2019</c:v>
                </c:pt>
                <c:pt idx="3">
                  <c:v>2020</c:v>
                </c:pt>
                <c:pt idx="4">
                  <c:v>2021</c:v>
                </c:pt>
              </c:numCache>
            </c:numRef>
          </c:cat>
          <c:val>
            <c:numRef>
              <c:f>Analysis!$C$1482:$G$1482</c:f>
              <c:numCache>
                <c:formatCode>0.0%</c:formatCode>
                <c:ptCount val="5"/>
                <c:pt idx="0">
                  <c:v>-2.0899930832071423E-2</c:v>
                </c:pt>
                <c:pt idx="1">
                  <c:v>7.4622116149562379E-2</c:v>
                </c:pt>
                <c:pt idx="2">
                  <c:v>-6.5087355641101352E-3</c:v>
                </c:pt>
                <c:pt idx="3">
                  <c:v>-3.4895966839740722E-2</c:v>
                </c:pt>
                <c:pt idx="4">
                  <c:v>6.5715582833959507E-2</c:v>
                </c:pt>
              </c:numCache>
            </c:numRef>
          </c:val>
          <c:smooth val="0"/>
          <c:extLst>
            <c:ext xmlns:c16="http://schemas.microsoft.com/office/drawing/2014/chart" uri="{C3380CC4-5D6E-409C-BE32-E72D297353CC}">
              <c16:uniqueId val="{00000000-EE47-4173-A011-F5EF2DD3832A}"/>
            </c:ext>
          </c:extLst>
        </c:ser>
        <c:dLbls>
          <c:showLegendKey val="0"/>
          <c:showVal val="0"/>
          <c:showCatName val="0"/>
          <c:showSerName val="0"/>
          <c:showPercent val="0"/>
          <c:showBubbleSize val="0"/>
        </c:dLbls>
        <c:smooth val="0"/>
        <c:axId val="700227600"/>
        <c:axId val="806403840"/>
      </c:lineChart>
      <c:catAx>
        <c:axId val="700227600"/>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06403840"/>
        <c:crosses val="autoZero"/>
        <c:auto val="1"/>
        <c:lblAlgn val="ctr"/>
        <c:lblOffset val="100"/>
        <c:noMultiLvlLbl val="0"/>
      </c:catAx>
      <c:valAx>
        <c:axId val="806403840"/>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GB"/>
                  <a:t>y/y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00227600"/>
        <c:crosses val="autoZero"/>
        <c:crossBetween val="between"/>
      </c:valAx>
      <c:spPr>
        <a:noFill/>
        <a:ln w="25400">
          <a:noFill/>
        </a:ln>
        <a:effectLst/>
      </c:spPr>
    </c:plotArea>
    <c:legend>
      <c:legendPos val="b"/>
      <c:layout>
        <c:manualLayout>
          <c:xMode val="edge"/>
          <c:yMode val="edge"/>
          <c:x val="0.17983099907433539"/>
          <c:y val="0.85952284674484436"/>
          <c:w val="0.71755271905749407"/>
          <c:h val="0.14047715325515567"/>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Analysis!$B$1485</c:f>
              <c:strCache>
                <c:ptCount val="1"/>
                <c:pt idx="0">
                  <c:v>Content</c:v>
                </c:pt>
              </c:strCache>
            </c:strRef>
          </c:tx>
          <c:spPr>
            <a:ln w="25400" cap="rnd">
              <a:solidFill>
                <a:srgbClr val="333399"/>
              </a:solidFill>
              <a:prstDash val="solid"/>
              <a:round/>
            </a:ln>
            <a:effectLst/>
          </c:spPr>
          <c:marker>
            <c:symbol val="none"/>
          </c:marker>
          <c:cat>
            <c:numRef>
              <c:f>Analysis!$C$1477:$G$1477</c:f>
              <c:numCache>
                <c:formatCode>General</c:formatCode>
                <c:ptCount val="5"/>
                <c:pt idx="0">
                  <c:v>2017</c:v>
                </c:pt>
                <c:pt idx="1">
                  <c:v>2018</c:v>
                </c:pt>
                <c:pt idx="2">
                  <c:v>2019</c:v>
                </c:pt>
                <c:pt idx="3">
                  <c:v>2020</c:v>
                </c:pt>
                <c:pt idx="4">
                  <c:v>2021</c:v>
                </c:pt>
              </c:numCache>
            </c:numRef>
          </c:cat>
          <c:val>
            <c:numRef>
              <c:f>Analysis!$C$1485:$G$1485</c:f>
              <c:numCache>
                <c:formatCode>0.0%</c:formatCode>
                <c:ptCount val="5"/>
                <c:pt idx="0">
                  <c:v>-0.13039056143205863</c:v>
                </c:pt>
                <c:pt idx="1">
                  <c:v>4.8304093567251405E-2</c:v>
                </c:pt>
                <c:pt idx="2">
                  <c:v>-6.0433634571757988E-2</c:v>
                </c:pt>
                <c:pt idx="3">
                  <c:v>-2.1469284357188201E-2</c:v>
                </c:pt>
                <c:pt idx="4">
                  <c:v>0.1147336741958449</c:v>
                </c:pt>
              </c:numCache>
            </c:numRef>
          </c:val>
          <c:smooth val="0"/>
          <c:extLst>
            <c:ext xmlns:c16="http://schemas.microsoft.com/office/drawing/2014/chart" uri="{C3380CC4-5D6E-409C-BE32-E72D297353CC}">
              <c16:uniqueId val="{00000000-5E35-4ECB-82F3-C11FDA8B3E4A}"/>
            </c:ext>
          </c:extLst>
        </c:ser>
        <c:ser>
          <c:idx val="1"/>
          <c:order val="1"/>
          <c:tx>
            <c:strRef>
              <c:f>Analysis!$B$1486</c:f>
              <c:strCache>
                <c:ptCount val="1"/>
                <c:pt idx="0">
                  <c:v>SKY</c:v>
                </c:pt>
              </c:strCache>
            </c:strRef>
          </c:tx>
          <c:spPr>
            <a:ln w="25400" cap="rnd">
              <a:solidFill>
                <a:srgbClr val="99CCFF"/>
              </a:solidFill>
              <a:prstDash val="solid"/>
              <a:round/>
            </a:ln>
            <a:effectLst/>
          </c:spPr>
          <c:marker>
            <c:symbol val="none"/>
          </c:marker>
          <c:cat>
            <c:numRef>
              <c:f>Analysis!$C$1477:$G$1477</c:f>
              <c:numCache>
                <c:formatCode>General</c:formatCode>
                <c:ptCount val="5"/>
                <c:pt idx="0">
                  <c:v>2017</c:v>
                </c:pt>
                <c:pt idx="1">
                  <c:v>2018</c:v>
                </c:pt>
                <c:pt idx="2">
                  <c:v>2019</c:v>
                </c:pt>
                <c:pt idx="3">
                  <c:v>2020</c:v>
                </c:pt>
                <c:pt idx="4">
                  <c:v>2021</c:v>
                </c:pt>
              </c:numCache>
            </c:numRef>
          </c:cat>
          <c:val>
            <c:numRef>
              <c:f>Analysis!$C$1486:$G$1486</c:f>
              <c:numCache>
                <c:formatCode>0.0%</c:formatCode>
                <c:ptCount val="5"/>
                <c:pt idx="0">
                  <c:v>2.1063797545082696E-2</c:v>
                </c:pt>
                <c:pt idx="1">
                  <c:v>-3.3640051449490449E-2</c:v>
                </c:pt>
                <c:pt idx="2">
                  <c:v>-6.6141087334903204E-2</c:v>
                </c:pt>
                <c:pt idx="3">
                  <c:v>1.6226290976866231E-3</c:v>
                </c:pt>
                <c:pt idx="4">
                  <c:v>-6.9134613279625112E-2</c:v>
                </c:pt>
              </c:numCache>
            </c:numRef>
          </c:val>
          <c:smooth val="0"/>
          <c:extLst>
            <c:ext xmlns:c16="http://schemas.microsoft.com/office/drawing/2014/chart" uri="{C3380CC4-5D6E-409C-BE32-E72D297353CC}">
              <c16:uniqueId val="{00000001-5E35-4ECB-82F3-C11FDA8B3E4A}"/>
            </c:ext>
          </c:extLst>
        </c:ser>
        <c:ser>
          <c:idx val="2"/>
          <c:order val="2"/>
          <c:tx>
            <c:strRef>
              <c:f>Analysis!$B$1487</c:f>
              <c:strCache>
                <c:ptCount val="1"/>
                <c:pt idx="0">
                  <c:v>Cable</c:v>
                </c:pt>
              </c:strCache>
            </c:strRef>
          </c:tx>
          <c:spPr>
            <a:ln w="25400" cap="rnd">
              <a:solidFill>
                <a:srgbClr val="333399"/>
              </a:solidFill>
              <a:prstDash val="lgDash"/>
              <a:round/>
            </a:ln>
            <a:effectLst/>
          </c:spPr>
          <c:marker>
            <c:symbol val="none"/>
          </c:marker>
          <c:cat>
            <c:numRef>
              <c:f>Analysis!$C$1477:$G$1477</c:f>
              <c:numCache>
                <c:formatCode>General</c:formatCode>
                <c:ptCount val="5"/>
                <c:pt idx="0">
                  <c:v>2017</c:v>
                </c:pt>
                <c:pt idx="1">
                  <c:v>2018</c:v>
                </c:pt>
                <c:pt idx="2">
                  <c:v>2019</c:v>
                </c:pt>
                <c:pt idx="3">
                  <c:v>2020</c:v>
                </c:pt>
                <c:pt idx="4">
                  <c:v>2021</c:v>
                </c:pt>
              </c:numCache>
            </c:numRef>
          </c:cat>
          <c:val>
            <c:numRef>
              <c:f>Analysis!$C$1487:$G$1487</c:f>
              <c:numCache>
                <c:formatCode>0.0%</c:formatCode>
                <c:ptCount val="5"/>
                <c:pt idx="0">
                  <c:v>6.0357658222588206E-2</c:v>
                </c:pt>
                <c:pt idx="1">
                  <c:v>9.0345564659779054E-2</c:v>
                </c:pt>
                <c:pt idx="2">
                  <c:v>0.16303992681173618</c:v>
                </c:pt>
                <c:pt idx="3">
                  <c:v>6.1821552983481354E-2</c:v>
                </c:pt>
                <c:pt idx="4">
                  <c:v>7.3376970415328424E-2</c:v>
                </c:pt>
              </c:numCache>
            </c:numRef>
          </c:val>
          <c:smooth val="0"/>
          <c:extLst>
            <c:ext xmlns:c16="http://schemas.microsoft.com/office/drawing/2014/chart" uri="{C3380CC4-5D6E-409C-BE32-E72D297353CC}">
              <c16:uniqueId val="{00000002-5E35-4ECB-82F3-C11FDA8B3E4A}"/>
            </c:ext>
          </c:extLst>
        </c:ser>
        <c:ser>
          <c:idx val="3"/>
          <c:order val="3"/>
          <c:tx>
            <c:strRef>
              <c:f>Analysis!$B$1488</c:f>
              <c:strCache>
                <c:ptCount val="1"/>
                <c:pt idx="0">
                  <c:v>Group</c:v>
                </c:pt>
              </c:strCache>
            </c:strRef>
          </c:tx>
          <c:spPr>
            <a:ln w="25400" cap="rnd">
              <a:solidFill>
                <a:srgbClr val="99CCFF"/>
              </a:solidFill>
              <a:prstDash val="lgDash"/>
              <a:round/>
            </a:ln>
            <a:effectLst/>
          </c:spPr>
          <c:marker>
            <c:symbol val="none"/>
          </c:marker>
          <c:cat>
            <c:numRef>
              <c:f>Analysis!$C$1477:$G$1477</c:f>
              <c:numCache>
                <c:formatCode>General</c:formatCode>
                <c:ptCount val="5"/>
                <c:pt idx="0">
                  <c:v>2017</c:v>
                </c:pt>
                <c:pt idx="1">
                  <c:v>2018</c:v>
                </c:pt>
                <c:pt idx="2">
                  <c:v>2019</c:v>
                </c:pt>
                <c:pt idx="3">
                  <c:v>2020</c:v>
                </c:pt>
                <c:pt idx="4">
                  <c:v>2021</c:v>
                </c:pt>
              </c:numCache>
            </c:numRef>
          </c:cat>
          <c:val>
            <c:numRef>
              <c:f>Analysis!$C$1488:$G$1488</c:f>
              <c:numCache>
                <c:formatCode>0.0%</c:formatCode>
                <c:ptCount val="5"/>
                <c:pt idx="0">
                  <c:v>-2.3762653411916634E-2</c:v>
                </c:pt>
                <c:pt idx="1">
                  <c:v>0.11569554606467358</c:v>
                </c:pt>
                <c:pt idx="2">
                  <c:v>4.4995556770797585E-2</c:v>
                </c:pt>
                <c:pt idx="3">
                  <c:v>1.549527579863974E-2</c:v>
                </c:pt>
                <c:pt idx="4">
                  <c:v>0.12345434072913641</c:v>
                </c:pt>
              </c:numCache>
            </c:numRef>
          </c:val>
          <c:smooth val="0"/>
          <c:extLst>
            <c:ext xmlns:c16="http://schemas.microsoft.com/office/drawing/2014/chart" uri="{C3380CC4-5D6E-409C-BE32-E72D297353CC}">
              <c16:uniqueId val="{00000003-5E35-4ECB-82F3-C11FDA8B3E4A}"/>
            </c:ext>
          </c:extLst>
        </c:ser>
        <c:dLbls>
          <c:showLegendKey val="0"/>
          <c:showVal val="0"/>
          <c:showCatName val="0"/>
          <c:showSerName val="0"/>
          <c:showPercent val="0"/>
          <c:showBubbleSize val="0"/>
        </c:dLbls>
        <c:smooth val="0"/>
        <c:axId val="700227600"/>
        <c:axId val="806403840"/>
      </c:lineChart>
      <c:catAx>
        <c:axId val="700227600"/>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06403840"/>
        <c:crosses val="autoZero"/>
        <c:auto val="1"/>
        <c:lblAlgn val="ctr"/>
        <c:lblOffset val="100"/>
        <c:noMultiLvlLbl val="0"/>
      </c:catAx>
      <c:valAx>
        <c:axId val="806403840"/>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0022760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Analysis!$B$1514</c:f>
              <c:strCache>
                <c:ptCount val="1"/>
                <c:pt idx="0">
                  <c:v>Content costs - new</c:v>
                </c:pt>
              </c:strCache>
            </c:strRef>
          </c:tx>
          <c:spPr>
            <a:solidFill>
              <a:srgbClr val="000080"/>
            </a:solidFill>
            <a:ln w="25400">
              <a:noFill/>
            </a:ln>
            <a:effectLst/>
          </c:spPr>
          <c:invertIfNegative val="0"/>
          <c:cat>
            <c:numRef>
              <c:f>Analysis!$C$1513:$F$1513</c:f>
              <c:numCache>
                <c:formatCode>General</c:formatCode>
                <c:ptCount val="4"/>
                <c:pt idx="0">
                  <c:v>2017</c:v>
                </c:pt>
                <c:pt idx="1">
                  <c:v>2018</c:v>
                </c:pt>
                <c:pt idx="2">
                  <c:v>2019</c:v>
                </c:pt>
                <c:pt idx="3">
                  <c:v>2020</c:v>
                </c:pt>
              </c:numCache>
            </c:numRef>
          </c:cat>
          <c:val>
            <c:numRef>
              <c:f>Analysis!$C$1514:$F$1514</c:f>
              <c:numCache>
                <c:formatCode>#,##0</c:formatCode>
                <c:ptCount val="4"/>
                <c:pt idx="0">
                  <c:v>-43.645123714088868</c:v>
                </c:pt>
                <c:pt idx="1">
                  <c:v>135.08706108706087</c:v>
                </c:pt>
                <c:pt idx="2">
                  <c:v>-103.9532467532465</c:v>
                </c:pt>
                <c:pt idx="3">
                  <c:v>-208.50560352124614</c:v>
                </c:pt>
              </c:numCache>
            </c:numRef>
          </c:val>
          <c:extLst>
            <c:ext xmlns:c16="http://schemas.microsoft.com/office/drawing/2014/chart" uri="{C3380CC4-5D6E-409C-BE32-E72D297353CC}">
              <c16:uniqueId val="{00000000-09D4-4E88-95DA-8F8DA65B5AC8}"/>
            </c:ext>
          </c:extLst>
        </c:ser>
        <c:ser>
          <c:idx val="1"/>
          <c:order val="1"/>
          <c:tx>
            <c:strRef>
              <c:f>Analysis!$B$1515</c:f>
              <c:strCache>
                <c:ptCount val="1"/>
                <c:pt idx="0">
                  <c:v>Content costs - old</c:v>
                </c:pt>
              </c:strCache>
            </c:strRef>
          </c:tx>
          <c:spPr>
            <a:solidFill>
              <a:srgbClr val="9999FF"/>
            </a:solidFill>
            <a:ln w="25400">
              <a:noFill/>
            </a:ln>
            <a:effectLst/>
          </c:spPr>
          <c:invertIfNegative val="0"/>
          <c:cat>
            <c:numRef>
              <c:f>Analysis!$C$1513:$F$1513</c:f>
              <c:numCache>
                <c:formatCode>General</c:formatCode>
                <c:ptCount val="4"/>
                <c:pt idx="0">
                  <c:v>2017</c:v>
                </c:pt>
                <c:pt idx="1">
                  <c:v>2018</c:v>
                </c:pt>
                <c:pt idx="2">
                  <c:v>2019</c:v>
                </c:pt>
                <c:pt idx="3">
                  <c:v>2020</c:v>
                </c:pt>
              </c:numCache>
            </c:numRef>
          </c:cat>
          <c:val>
            <c:numRef>
              <c:f>Analysis!$C$1515:$F$1515</c:f>
              <c:numCache>
                <c:formatCode>0</c:formatCode>
                <c:ptCount val="4"/>
                <c:pt idx="0">
                  <c:v>-48.891678016273772</c:v>
                </c:pt>
                <c:pt idx="1">
                  <c:v>16.039953971715931</c:v>
                </c:pt>
                <c:pt idx="2">
                  <c:v>-6.242016782188557</c:v>
                </c:pt>
                <c:pt idx="3">
                  <c:v>-5.5717121435363879</c:v>
                </c:pt>
              </c:numCache>
            </c:numRef>
          </c:val>
          <c:extLst>
            <c:ext xmlns:c16="http://schemas.microsoft.com/office/drawing/2014/chart" uri="{C3380CC4-5D6E-409C-BE32-E72D297353CC}">
              <c16:uniqueId val="{00000001-09D4-4E88-95DA-8F8DA65B5AC8}"/>
            </c:ext>
          </c:extLst>
        </c:ser>
        <c:dLbls>
          <c:showLegendKey val="0"/>
          <c:showVal val="0"/>
          <c:showCatName val="0"/>
          <c:showSerName val="0"/>
          <c:showPercent val="0"/>
          <c:showBubbleSize val="0"/>
        </c:dLbls>
        <c:gapWidth val="219"/>
        <c:overlap val="-27"/>
        <c:axId val="906500992"/>
        <c:axId val="983976864"/>
      </c:barChart>
      <c:catAx>
        <c:axId val="906500992"/>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83976864"/>
        <c:crosses val="autoZero"/>
        <c:auto val="1"/>
        <c:lblAlgn val="ctr"/>
        <c:lblOffset val="100"/>
        <c:noMultiLvlLbl val="0"/>
      </c:catAx>
      <c:valAx>
        <c:axId val="983976864"/>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GB"/>
                  <a:t>US$ mn</a:t>
                </a:r>
              </a:p>
            </c:rich>
          </c:tx>
          <c:layout>
            <c:manualLayout>
              <c:xMode val="edge"/>
              <c:yMode val="edge"/>
              <c:x val="3.0555555555555555E-2"/>
              <c:y val="0.302490886555847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0650099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strRef>
              <c:f>Analysis!$B$52</c:f>
              <c:strCache>
                <c:ptCount val="1"/>
                <c:pt idx="0">
                  <c:v>GDP growth (RHS)</c:v>
                </c:pt>
              </c:strCache>
            </c:strRef>
          </c:tx>
          <c:spPr>
            <a:solidFill>
              <a:srgbClr val="000080"/>
            </a:solidFill>
            <a:ln w="25400">
              <a:noFill/>
            </a:ln>
            <a:effectLst/>
          </c:spPr>
          <c:invertIfNegative val="0"/>
          <c:val>
            <c:numRef>
              <c:f>Analysis!$E$52:$I$52</c:f>
              <c:numCache>
                <c:formatCode>0.0%</c:formatCode>
                <c:ptCount val="5"/>
                <c:pt idx="0">
                  <c:v>-2.0000000000000001E-4</c:v>
                </c:pt>
                <c:pt idx="1">
                  <c:v>-0.03</c:v>
                </c:pt>
                <c:pt idx="2">
                  <c:v>2.4E-2</c:v>
                </c:pt>
                <c:pt idx="3">
                  <c:v>1.7999999999999999E-2</c:v>
                </c:pt>
                <c:pt idx="4">
                  <c:v>2.3E-2</c:v>
                </c:pt>
              </c:numCache>
            </c:numRef>
          </c:val>
          <c:extLst>
            <c:ext xmlns:c16="http://schemas.microsoft.com/office/drawing/2014/chart" uri="{C3380CC4-5D6E-409C-BE32-E72D297353CC}">
              <c16:uniqueId val="{00000000-7521-4835-A764-616ECA964D82}"/>
            </c:ext>
          </c:extLst>
        </c:ser>
        <c:dLbls>
          <c:showLegendKey val="0"/>
          <c:showVal val="0"/>
          <c:showCatName val="0"/>
          <c:showSerName val="0"/>
          <c:showPercent val="0"/>
          <c:showBubbleSize val="0"/>
        </c:dLbls>
        <c:gapWidth val="150"/>
        <c:axId val="112907008"/>
        <c:axId val="112908544"/>
      </c:barChart>
      <c:lineChart>
        <c:grouping val="standard"/>
        <c:varyColors val="0"/>
        <c:ser>
          <c:idx val="0"/>
          <c:order val="0"/>
          <c:tx>
            <c:strRef>
              <c:f>Analysis!$B$51</c:f>
              <c:strCache>
                <c:ptCount val="1"/>
                <c:pt idx="0">
                  <c:v>% Video revs growth</c:v>
                </c:pt>
              </c:strCache>
            </c:strRef>
          </c:tx>
          <c:spPr>
            <a:ln w="25400">
              <a:solidFill>
                <a:srgbClr val="000080"/>
              </a:solidFill>
              <a:prstDash val="solid"/>
            </a:ln>
            <a:effectLst/>
          </c:spPr>
          <c:marker>
            <c:symbol val="none"/>
          </c:marker>
          <c:cat>
            <c:numRef>
              <c:f>Analysis!$E$47:$I$47</c:f>
              <c:numCache>
                <c:formatCode>General</c:formatCode>
                <c:ptCount val="5"/>
                <c:pt idx="0">
                  <c:v>2008</c:v>
                </c:pt>
                <c:pt idx="1">
                  <c:v>2009</c:v>
                </c:pt>
                <c:pt idx="2">
                  <c:v>2010</c:v>
                </c:pt>
                <c:pt idx="3">
                  <c:v>2011</c:v>
                </c:pt>
                <c:pt idx="4">
                  <c:v>2012</c:v>
                </c:pt>
              </c:numCache>
            </c:numRef>
          </c:cat>
          <c:val>
            <c:numRef>
              <c:f>Analysis!$E$51:$I$51</c:f>
              <c:numCache>
                <c:formatCode>0.0%</c:formatCode>
                <c:ptCount val="5"/>
                <c:pt idx="0">
                  <c:v>5.2631578947368363E-2</c:v>
                </c:pt>
                <c:pt idx="1">
                  <c:v>2.2296815701012385E-2</c:v>
                </c:pt>
                <c:pt idx="2">
                  <c:v>4.5454989504364773E-2</c:v>
                </c:pt>
                <c:pt idx="3">
                  <c:v>5.2486060402930912E-2</c:v>
                </c:pt>
                <c:pt idx="4">
                  <c:v>3.6277792093244221E-2</c:v>
                </c:pt>
              </c:numCache>
            </c:numRef>
          </c:val>
          <c:smooth val="0"/>
          <c:extLst>
            <c:ext xmlns:c16="http://schemas.microsoft.com/office/drawing/2014/chart" uri="{C3380CC4-5D6E-409C-BE32-E72D297353CC}">
              <c16:uniqueId val="{00000001-7521-4835-A764-616ECA964D82}"/>
            </c:ext>
          </c:extLst>
        </c:ser>
        <c:dLbls>
          <c:showLegendKey val="0"/>
          <c:showVal val="0"/>
          <c:showCatName val="0"/>
          <c:showSerName val="0"/>
          <c:showPercent val="0"/>
          <c:showBubbleSize val="0"/>
        </c:dLbls>
        <c:marker val="1"/>
        <c:smooth val="0"/>
        <c:axId val="112907008"/>
        <c:axId val="112908544"/>
      </c:lineChart>
      <c:catAx>
        <c:axId val="112907008"/>
        <c:scaling>
          <c:orientation val="minMax"/>
        </c:scaling>
        <c:delete val="0"/>
        <c:axPos val="b"/>
        <c:numFmt formatCode="General" sourceLinked="1"/>
        <c:majorTickMark val="out"/>
        <c:minorTickMark val="none"/>
        <c:tickLblPos val="low"/>
        <c:crossAx val="112908544"/>
        <c:crosses val="autoZero"/>
        <c:auto val="1"/>
        <c:lblAlgn val="ctr"/>
        <c:lblOffset val="100"/>
        <c:noMultiLvlLbl val="0"/>
      </c:catAx>
      <c:valAx>
        <c:axId val="112908544"/>
        <c:scaling>
          <c:orientation val="minMax"/>
        </c:scaling>
        <c:delete val="0"/>
        <c:axPos val="l"/>
        <c:majorGridlines>
          <c:spPr>
            <a:ln w="3175">
              <a:solidFill>
                <a:srgbClr val="C0C0C0"/>
              </a:solidFill>
              <a:prstDash val="solid"/>
            </a:ln>
          </c:spPr>
        </c:majorGridlines>
        <c:numFmt formatCode="0.0%" sourceLinked="1"/>
        <c:majorTickMark val="out"/>
        <c:minorTickMark val="none"/>
        <c:tickLblPos val="nextTo"/>
        <c:crossAx val="112907008"/>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04881392406134"/>
          <c:y val="6.4530529314073617E-2"/>
          <c:w val="0.64199322188481356"/>
          <c:h val="0.61367001418180822"/>
        </c:manualLayout>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6C57-4EF7-B926-47B125A29A27}"/>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2-6C57-4EF7-B926-47B125A29A27}"/>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3-6C57-4EF7-B926-47B125A29A27}"/>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4-6C57-4EF7-B926-47B125A29A27}"/>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5-6C57-4EF7-B926-47B125A29A27}"/>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6-6C57-4EF7-B926-47B125A29A27}"/>
              </c:ext>
            </c:extLst>
          </c:dPt>
          <c:dPt>
            <c:idx val="6"/>
            <c:bubble3D val="0"/>
            <c:spPr>
              <a:pattFill prst="wdDnDiag">
                <a:fgClr>
                  <a:srgbClr val="0000FF"/>
                </a:fgClr>
                <a:bgClr>
                  <a:srgbClr val="0000FF"/>
                </a:bgClr>
              </a:pattFill>
              <a:ln w="25400">
                <a:noFill/>
              </a:ln>
              <a:effectLst/>
            </c:spPr>
            <c:extLst>
              <c:ext xmlns:c16="http://schemas.microsoft.com/office/drawing/2014/chart" uri="{C3380CC4-5D6E-409C-BE32-E72D297353CC}">
                <c16:uniqueId val="{00000007-6C57-4EF7-B926-47B125A29A27}"/>
              </c:ext>
            </c:extLst>
          </c:dPt>
          <c:dPt>
            <c:idx val="7"/>
            <c:bubble3D val="0"/>
            <c:spPr>
              <a:pattFill prst="wdDnDiag">
                <a:fgClr>
                  <a:srgbClr val="333399"/>
                </a:fgClr>
                <a:bgClr>
                  <a:srgbClr val="333399"/>
                </a:bgClr>
              </a:pattFill>
              <a:ln w="25400">
                <a:noFill/>
              </a:ln>
              <a:effectLst/>
            </c:spPr>
            <c:extLst>
              <c:ext xmlns:c16="http://schemas.microsoft.com/office/drawing/2014/chart" uri="{C3380CC4-5D6E-409C-BE32-E72D297353CC}">
                <c16:uniqueId val="{00000008-6C57-4EF7-B926-47B125A29A27}"/>
              </c:ext>
            </c:extLst>
          </c:dPt>
          <c:dPt>
            <c:idx val="8"/>
            <c:bubble3D val="0"/>
            <c:spPr>
              <a:pattFill prst="wdDnDiag">
                <a:fgClr>
                  <a:srgbClr val="99CCFF"/>
                </a:fgClr>
                <a:bgClr>
                  <a:srgbClr val="000080"/>
                </a:bgClr>
              </a:pattFill>
              <a:ln w="25400">
                <a:noFill/>
              </a:ln>
              <a:effectLst/>
            </c:spPr>
            <c:extLst>
              <c:ext xmlns:c16="http://schemas.microsoft.com/office/drawing/2014/chart" uri="{C3380CC4-5D6E-409C-BE32-E72D297353CC}">
                <c16:uniqueId val="{00000009-6C57-4EF7-B926-47B125A29A27}"/>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Trebuchet MS"/>
                    <a:ea typeface="Trebuchet MS"/>
                    <a:cs typeface="Trebuchet M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Analysis!$B$1490:$B$1498</c:f>
              <c:strCache>
                <c:ptCount val="9"/>
                <c:pt idx="0">
                  <c:v>FTA TV</c:v>
                </c:pt>
                <c:pt idx="1">
                  <c:v>Pay TV</c:v>
                </c:pt>
                <c:pt idx="2">
                  <c:v>Radio</c:v>
                </c:pt>
                <c:pt idx="3">
                  <c:v>Press</c:v>
                </c:pt>
                <c:pt idx="4">
                  <c:v>Journals</c:v>
                </c:pt>
                <c:pt idx="5">
                  <c:v>Outdoor ads</c:v>
                </c:pt>
                <c:pt idx="6">
                  <c:v>Cinema</c:v>
                </c:pt>
                <c:pt idx="7">
                  <c:v>Internet</c:v>
                </c:pt>
                <c:pt idx="8">
                  <c:v>Other</c:v>
                </c:pt>
              </c:strCache>
            </c:strRef>
          </c:cat>
          <c:val>
            <c:numRef>
              <c:f>Analysis!$C$1490:$C$1498</c:f>
              <c:numCache>
                <c:formatCode>General</c:formatCode>
                <c:ptCount val="9"/>
                <c:pt idx="0">
                  <c:v>33.200000000000003</c:v>
                </c:pt>
                <c:pt idx="1">
                  <c:v>12.6</c:v>
                </c:pt>
                <c:pt idx="2">
                  <c:v>5.8</c:v>
                </c:pt>
                <c:pt idx="3">
                  <c:v>4.0999999999999996</c:v>
                </c:pt>
                <c:pt idx="4">
                  <c:v>1.6</c:v>
                </c:pt>
                <c:pt idx="5">
                  <c:v>10</c:v>
                </c:pt>
                <c:pt idx="6">
                  <c:v>1.6</c:v>
                </c:pt>
                <c:pt idx="7">
                  <c:v>23.8</c:v>
                </c:pt>
                <c:pt idx="8">
                  <c:v>0.7</c:v>
                </c:pt>
              </c:numCache>
            </c:numRef>
          </c:val>
          <c:extLst>
            <c:ext xmlns:c16="http://schemas.microsoft.com/office/drawing/2014/chart" uri="{C3380CC4-5D6E-409C-BE32-E72D297353CC}">
              <c16:uniqueId val="{00000000-6C57-4EF7-B926-47B125A29A27}"/>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layout>
        <c:manualLayout>
          <c:xMode val="edge"/>
          <c:yMode val="edge"/>
          <c:x val="0"/>
          <c:y val="0.7389184359903308"/>
          <c:w val="0.95033936115118034"/>
          <c:h val="0.23820574309192238"/>
        </c:manualLayout>
      </c:layout>
      <c:overlay val="0"/>
      <c:spPr>
        <a:noFill/>
        <a:ln w="25400">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Analysis!$G$1091</c:f>
              <c:strCache>
                <c:ptCount val="1"/>
                <c:pt idx="0">
                  <c:v>Upfronts</c:v>
                </c:pt>
              </c:strCache>
            </c:strRef>
          </c:tx>
          <c:spPr>
            <a:solidFill>
              <a:srgbClr val="000080"/>
            </a:solidFill>
            <a:ln w="25400">
              <a:noFill/>
            </a:ln>
            <a:effectLst/>
          </c:spPr>
          <c:invertIfNegative val="0"/>
          <c:cat>
            <c:numRef>
              <c:f>Analysis!$B$1100:$B$1108</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Analysis!$G$1100:$G$1108</c:f>
              <c:numCache>
                <c:formatCode>0.0</c:formatCode>
                <c:ptCount val="9"/>
                <c:pt idx="0">
                  <c:v>17.117599999999999</c:v>
                </c:pt>
                <c:pt idx="1">
                  <c:v>18.059068</c:v>
                </c:pt>
                <c:pt idx="2">
                  <c:v>16.794933239999999</c:v>
                </c:pt>
                <c:pt idx="3">
                  <c:v>18.289682298359999</c:v>
                </c:pt>
                <c:pt idx="4">
                  <c:v>18.417710074448518</c:v>
                </c:pt>
                <c:pt idx="5">
                  <c:v>19.154418477426461</c:v>
                </c:pt>
                <c:pt idx="6">
                  <c:v>16.951660352522417</c:v>
                </c:pt>
                <c:pt idx="7">
                  <c:v>16.951660352522417</c:v>
                </c:pt>
                <c:pt idx="8">
                  <c:v>18.612923067069616</c:v>
                </c:pt>
              </c:numCache>
            </c:numRef>
          </c:val>
          <c:extLst>
            <c:ext xmlns:c16="http://schemas.microsoft.com/office/drawing/2014/chart" uri="{C3380CC4-5D6E-409C-BE32-E72D297353CC}">
              <c16:uniqueId val="{00000000-E78A-4BD1-A489-AC28701DF6E9}"/>
            </c:ext>
          </c:extLst>
        </c:ser>
        <c:ser>
          <c:idx val="1"/>
          <c:order val="1"/>
          <c:tx>
            <c:strRef>
              <c:f>Analysis!$H$1091</c:f>
              <c:strCache>
                <c:ptCount val="1"/>
                <c:pt idx="0">
                  <c:v>Spot</c:v>
                </c:pt>
              </c:strCache>
            </c:strRef>
          </c:tx>
          <c:spPr>
            <a:solidFill>
              <a:srgbClr val="9999FF"/>
            </a:solidFill>
            <a:ln w="25400">
              <a:noFill/>
            </a:ln>
            <a:effectLst/>
          </c:spPr>
          <c:invertIfNegative val="0"/>
          <c:cat>
            <c:numRef>
              <c:f>Analysis!$B$1100:$B$1108</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Analysis!$H$1100:$H$1108</c:f>
              <c:numCache>
                <c:formatCode>#,##0.0</c:formatCode>
                <c:ptCount val="9"/>
                <c:pt idx="0">
                  <c:v>4.279399999999999</c:v>
                </c:pt>
                <c:pt idx="1">
                  <c:v>4.5147669999999955</c:v>
                </c:pt>
                <c:pt idx="2">
                  <c:v>5.8466232649999945</c:v>
                </c:pt>
                <c:pt idx="3">
                  <c:v>6.5758177016400019</c:v>
                </c:pt>
                <c:pt idx="4">
                  <c:v>7.0479899255514802</c:v>
                </c:pt>
                <c:pt idx="5">
                  <c:v>6.3112815225735375</c:v>
                </c:pt>
                <c:pt idx="6">
                  <c:v>6.0776396474775822</c:v>
                </c:pt>
                <c:pt idx="7">
                  <c:v>6.2715396474775851</c:v>
                </c:pt>
                <c:pt idx="8">
                  <c:v>2.1060769329303852</c:v>
                </c:pt>
              </c:numCache>
            </c:numRef>
          </c:val>
          <c:extLst>
            <c:ext xmlns:c16="http://schemas.microsoft.com/office/drawing/2014/chart" uri="{C3380CC4-5D6E-409C-BE32-E72D297353CC}">
              <c16:uniqueId val="{00000001-E78A-4BD1-A489-AC28701DF6E9}"/>
            </c:ext>
          </c:extLst>
        </c:ser>
        <c:dLbls>
          <c:showLegendKey val="0"/>
          <c:showVal val="0"/>
          <c:showCatName val="0"/>
          <c:showSerName val="0"/>
          <c:showPercent val="0"/>
          <c:showBubbleSize val="0"/>
        </c:dLbls>
        <c:gapWidth val="150"/>
        <c:overlap val="100"/>
        <c:axId val="561711632"/>
        <c:axId val="206684624"/>
      </c:barChart>
      <c:catAx>
        <c:axId val="56171163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06684624"/>
        <c:crosses val="autoZero"/>
        <c:auto val="1"/>
        <c:lblAlgn val="ctr"/>
        <c:lblOffset val="100"/>
        <c:noMultiLvlLbl val="0"/>
      </c:catAx>
      <c:valAx>
        <c:axId val="206684624"/>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56171163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98809403426802"/>
          <c:y val="4.7464956795677124E-2"/>
          <c:w val="0.81497863722632713"/>
          <c:h val="0.73905553909590305"/>
        </c:manualLayout>
      </c:layout>
      <c:lineChart>
        <c:grouping val="standard"/>
        <c:varyColors val="0"/>
        <c:ser>
          <c:idx val="0"/>
          <c:order val="0"/>
          <c:tx>
            <c:strRef>
              <c:f>Analysis!$B$1607</c:f>
              <c:strCache>
                <c:ptCount val="1"/>
                <c:pt idx="0">
                  <c:v>Izzy </c:v>
                </c:pt>
              </c:strCache>
            </c:strRef>
          </c:tx>
          <c:spPr>
            <a:ln w="25400" cap="rnd">
              <a:solidFill>
                <a:srgbClr val="333399"/>
              </a:solidFill>
              <a:prstDash val="solid"/>
              <a:round/>
            </a:ln>
            <a:effectLst/>
          </c:spPr>
          <c:marker>
            <c:symbol val="none"/>
          </c:marker>
          <c:cat>
            <c:numRef>
              <c:f>Analysis!$C$1606:$G$1606</c:f>
              <c:numCache>
                <c:formatCode>General</c:formatCode>
                <c:ptCount val="5"/>
                <c:pt idx="0">
                  <c:v>2016</c:v>
                </c:pt>
                <c:pt idx="1">
                  <c:v>2017</c:v>
                </c:pt>
                <c:pt idx="2">
                  <c:v>2018</c:v>
                </c:pt>
                <c:pt idx="3">
                  <c:v>2019</c:v>
                </c:pt>
                <c:pt idx="4">
                  <c:v>2020</c:v>
                </c:pt>
              </c:numCache>
            </c:numRef>
          </c:cat>
          <c:val>
            <c:numRef>
              <c:f>Analysis!$C$1607:$G$1607</c:f>
              <c:numCache>
                <c:formatCode>0%</c:formatCode>
                <c:ptCount val="5"/>
                <c:pt idx="0">
                  <c:v>0.11946307782493171</c:v>
                </c:pt>
                <c:pt idx="1">
                  <c:v>3.6260331874224061E-2</c:v>
                </c:pt>
                <c:pt idx="2">
                  <c:v>9.6374969740982808E-2</c:v>
                </c:pt>
                <c:pt idx="3">
                  <c:v>0.15093975105566759</c:v>
                </c:pt>
                <c:pt idx="4">
                  <c:v>8.7887871085319702E-2</c:v>
                </c:pt>
              </c:numCache>
            </c:numRef>
          </c:val>
          <c:smooth val="0"/>
          <c:extLst>
            <c:ext xmlns:c16="http://schemas.microsoft.com/office/drawing/2014/chart" uri="{C3380CC4-5D6E-409C-BE32-E72D297353CC}">
              <c16:uniqueId val="{00000000-336B-4706-A4B6-A7BB53D752C9}"/>
            </c:ext>
          </c:extLst>
        </c:ser>
        <c:ser>
          <c:idx val="1"/>
          <c:order val="1"/>
          <c:tx>
            <c:strRef>
              <c:f>Analysis!$B$1608</c:f>
              <c:strCache>
                <c:ptCount val="1"/>
                <c:pt idx="0">
                  <c:v>MEGA</c:v>
                </c:pt>
              </c:strCache>
            </c:strRef>
          </c:tx>
          <c:spPr>
            <a:ln w="25400" cap="rnd">
              <a:solidFill>
                <a:srgbClr val="99CCFF"/>
              </a:solidFill>
              <a:prstDash val="solid"/>
              <a:round/>
            </a:ln>
            <a:effectLst/>
          </c:spPr>
          <c:marker>
            <c:symbol val="none"/>
          </c:marker>
          <c:cat>
            <c:numRef>
              <c:f>Analysis!$C$1606:$G$1606</c:f>
              <c:numCache>
                <c:formatCode>General</c:formatCode>
                <c:ptCount val="5"/>
                <c:pt idx="0">
                  <c:v>2016</c:v>
                </c:pt>
                <c:pt idx="1">
                  <c:v>2017</c:v>
                </c:pt>
                <c:pt idx="2">
                  <c:v>2018</c:v>
                </c:pt>
                <c:pt idx="3">
                  <c:v>2019</c:v>
                </c:pt>
                <c:pt idx="4">
                  <c:v>2020</c:v>
                </c:pt>
              </c:numCache>
            </c:numRef>
          </c:cat>
          <c:val>
            <c:numRef>
              <c:f>Analysis!$C$1608:$G$1608</c:f>
              <c:numCache>
                <c:formatCode>0%</c:formatCode>
                <c:ptCount val="5"/>
                <c:pt idx="0">
                  <c:v>0.18306039996252865</c:v>
                </c:pt>
                <c:pt idx="1">
                  <c:v>2.841687019413297E-2</c:v>
                </c:pt>
                <c:pt idx="2">
                  <c:v>0.1169965557024355</c:v>
                </c:pt>
                <c:pt idx="3">
                  <c:v>0.10164037679249538</c:v>
                </c:pt>
                <c:pt idx="4">
                  <c:v>8.0131243509477867E-2</c:v>
                </c:pt>
              </c:numCache>
            </c:numRef>
          </c:val>
          <c:smooth val="0"/>
          <c:extLst>
            <c:ext xmlns:c16="http://schemas.microsoft.com/office/drawing/2014/chart" uri="{C3380CC4-5D6E-409C-BE32-E72D297353CC}">
              <c16:uniqueId val="{00000001-336B-4706-A4B6-A7BB53D752C9}"/>
            </c:ext>
          </c:extLst>
        </c:ser>
        <c:dLbls>
          <c:showLegendKey val="0"/>
          <c:showVal val="0"/>
          <c:showCatName val="0"/>
          <c:showSerName val="0"/>
          <c:showPercent val="0"/>
          <c:showBubbleSize val="0"/>
        </c:dLbls>
        <c:smooth val="0"/>
        <c:axId val="1138469344"/>
        <c:axId val="1108668464"/>
      </c:lineChart>
      <c:catAx>
        <c:axId val="113846934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08668464"/>
        <c:crosses val="autoZero"/>
        <c:auto val="1"/>
        <c:lblAlgn val="ctr"/>
        <c:lblOffset val="100"/>
        <c:noMultiLvlLbl val="0"/>
      </c:catAx>
      <c:valAx>
        <c:axId val="1108668464"/>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GB"/>
                  <a:t>y/y growth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3846934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90288713910762"/>
          <c:y val="4.8132530182748573E-2"/>
          <c:w val="0.86054155730533688"/>
          <c:h val="0.74243032411419085"/>
        </c:manualLayout>
      </c:layout>
      <c:barChart>
        <c:barDir val="col"/>
        <c:grouping val="stacked"/>
        <c:varyColors val="0"/>
        <c:ser>
          <c:idx val="0"/>
          <c:order val="0"/>
          <c:tx>
            <c:strRef>
              <c:f>Analysis!$B$1612</c:f>
              <c:strCache>
                <c:ptCount val="1"/>
                <c:pt idx="0">
                  <c:v>Underlying </c:v>
                </c:pt>
              </c:strCache>
            </c:strRef>
          </c:tx>
          <c:spPr>
            <a:solidFill>
              <a:srgbClr val="000080"/>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Analysis!$C$1611:$F$1611</c:f>
              <c:strCache>
                <c:ptCount val="4"/>
                <c:pt idx="0">
                  <c:v>Q1 14</c:v>
                </c:pt>
                <c:pt idx="1">
                  <c:v>Q2 14</c:v>
                </c:pt>
                <c:pt idx="2">
                  <c:v>Q1 18</c:v>
                </c:pt>
                <c:pt idx="3">
                  <c:v>Q2 18</c:v>
                </c:pt>
              </c:strCache>
            </c:strRef>
          </c:cat>
          <c:val>
            <c:numRef>
              <c:f>Analysis!$C$1612:$F$1612</c:f>
              <c:numCache>
                <c:formatCode>0%</c:formatCode>
                <c:ptCount val="4"/>
                <c:pt idx="0">
                  <c:v>8.1968771537894947E-2</c:v>
                </c:pt>
                <c:pt idx="1">
                  <c:v>5.9765876103799576E-2</c:v>
                </c:pt>
                <c:pt idx="2">
                  <c:v>3.5003149072234896E-2</c:v>
                </c:pt>
                <c:pt idx="3">
                  <c:v>0.14099573198524834</c:v>
                </c:pt>
              </c:numCache>
            </c:numRef>
          </c:val>
          <c:extLst>
            <c:ext xmlns:c16="http://schemas.microsoft.com/office/drawing/2014/chart" uri="{C3380CC4-5D6E-409C-BE32-E72D297353CC}">
              <c16:uniqueId val="{00000000-7049-40FE-8581-156E78AB3D57}"/>
            </c:ext>
          </c:extLst>
        </c:ser>
        <c:ser>
          <c:idx val="1"/>
          <c:order val="1"/>
          <c:tx>
            <c:strRef>
              <c:f>Analysis!$B$1613</c:f>
              <c:strCache>
                <c:ptCount val="1"/>
                <c:pt idx="0">
                  <c:v>Political Ad impact</c:v>
                </c:pt>
              </c:strCache>
            </c:strRef>
          </c:tx>
          <c:spPr>
            <a:solidFill>
              <a:srgbClr val="9999FF"/>
            </a:solidFill>
            <a:ln w="25400">
              <a:noFill/>
            </a:ln>
            <a:effectLst/>
          </c:spPr>
          <c:invertIfNegative val="0"/>
          <c:cat>
            <c:strRef>
              <c:f>Analysis!$C$1611:$F$1611</c:f>
              <c:strCache>
                <c:ptCount val="4"/>
                <c:pt idx="0">
                  <c:v>Q1 14</c:v>
                </c:pt>
                <c:pt idx="1">
                  <c:v>Q2 14</c:v>
                </c:pt>
                <c:pt idx="2">
                  <c:v>Q1 18</c:v>
                </c:pt>
                <c:pt idx="3">
                  <c:v>Q2 18</c:v>
                </c:pt>
              </c:strCache>
            </c:strRef>
          </c:cat>
          <c:val>
            <c:numRef>
              <c:f>Analysis!$C$1613:$F$1613</c:f>
              <c:numCache>
                <c:formatCode>0%</c:formatCode>
                <c:ptCount val="4"/>
                <c:pt idx="0">
                  <c:v>0</c:v>
                </c:pt>
                <c:pt idx="1">
                  <c:v>0</c:v>
                </c:pt>
                <c:pt idx="2">
                  <c:v>0</c:v>
                </c:pt>
                <c:pt idx="3">
                  <c:v>-0.05</c:v>
                </c:pt>
              </c:numCache>
            </c:numRef>
          </c:val>
          <c:extLst>
            <c:ext xmlns:c16="http://schemas.microsoft.com/office/drawing/2014/chart" uri="{C3380CC4-5D6E-409C-BE32-E72D297353CC}">
              <c16:uniqueId val="{00000001-7049-40FE-8581-156E78AB3D57}"/>
            </c:ext>
          </c:extLst>
        </c:ser>
        <c:dLbls>
          <c:showLegendKey val="0"/>
          <c:showVal val="0"/>
          <c:showCatName val="0"/>
          <c:showSerName val="0"/>
          <c:showPercent val="0"/>
          <c:showBubbleSize val="0"/>
        </c:dLbls>
        <c:gapWidth val="150"/>
        <c:overlap val="100"/>
        <c:axId val="467431568"/>
        <c:axId val="672969968"/>
      </c:barChart>
      <c:catAx>
        <c:axId val="467431568"/>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72969968"/>
        <c:crosses val="autoZero"/>
        <c:auto val="1"/>
        <c:lblAlgn val="ctr"/>
        <c:lblOffset val="100"/>
        <c:noMultiLvlLbl val="0"/>
      </c:catAx>
      <c:valAx>
        <c:axId val="672969968"/>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y/y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46743156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Analysis!$B$1667</c:f>
              <c:strCache>
                <c:ptCount val="1"/>
                <c:pt idx="0">
                  <c:v>Subs</c:v>
                </c:pt>
              </c:strCache>
            </c:strRef>
          </c:tx>
          <c:spPr>
            <a:solidFill>
              <a:srgbClr val="000080"/>
            </a:solidFill>
            <a:ln w="25400">
              <a:noFill/>
            </a:ln>
            <a:effectLst/>
          </c:spPr>
          <c:invertIfNegative val="0"/>
          <c:cat>
            <c:numRef>
              <c:f>Analysis!$C$1666:$I$1666</c:f>
              <c:numCache>
                <c:formatCode>General</c:formatCode>
                <c:ptCount val="7"/>
                <c:pt idx="0">
                  <c:v>2019</c:v>
                </c:pt>
                <c:pt idx="1">
                  <c:v>2020</c:v>
                </c:pt>
                <c:pt idx="2">
                  <c:v>2021</c:v>
                </c:pt>
                <c:pt idx="3">
                  <c:v>2022</c:v>
                </c:pt>
                <c:pt idx="4">
                  <c:v>2023</c:v>
                </c:pt>
                <c:pt idx="5">
                  <c:v>2024</c:v>
                </c:pt>
                <c:pt idx="6">
                  <c:v>2025</c:v>
                </c:pt>
              </c:numCache>
            </c:numRef>
          </c:cat>
          <c:val>
            <c:numRef>
              <c:f>Analysis!$C$1667:$I$1667</c:f>
              <c:numCache>
                <c:formatCode>0</c:formatCode>
                <c:ptCount val="7"/>
                <c:pt idx="0">
                  <c:v>0</c:v>
                </c:pt>
                <c:pt idx="1">
                  <c:v>386</c:v>
                </c:pt>
                <c:pt idx="2">
                  <c:v>666</c:v>
                </c:pt>
                <c:pt idx="3">
                  <c:v>727.226</c:v>
                </c:pt>
                <c:pt idx="4">
                  <c:v>640.29399999999998</c:v>
                </c:pt>
                <c:pt idx="5">
                  <c:v>515.08900000000006</c:v>
                </c:pt>
                <c:pt idx="6">
                  <c:v>490.08900000000006</c:v>
                </c:pt>
              </c:numCache>
            </c:numRef>
          </c:val>
          <c:extLst>
            <c:ext xmlns:c16="http://schemas.microsoft.com/office/drawing/2014/chart" uri="{C3380CC4-5D6E-409C-BE32-E72D297353CC}">
              <c16:uniqueId val="{00000000-6AB7-450A-B480-5CDE82EC3171}"/>
            </c:ext>
          </c:extLst>
        </c:ser>
        <c:dLbls>
          <c:showLegendKey val="0"/>
          <c:showVal val="0"/>
          <c:showCatName val="0"/>
          <c:showSerName val="0"/>
          <c:showPercent val="0"/>
          <c:showBubbleSize val="0"/>
        </c:dLbls>
        <c:gapWidth val="219"/>
        <c:overlap val="-27"/>
        <c:axId val="888529376"/>
        <c:axId val="882430080"/>
      </c:barChart>
      <c:catAx>
        <c:axId val="88852937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82430080"/>
        <c:crosses val="autoZero"/>
        <c:auto val="1"/>
        <c:lblAlgn val="ctr"/>
        <c:lblOffset val="100"/>
        <c:noMultiLvlLbl val="0"/>
      </c:catAx>
      <c:valAx>
        <c:axId val="882430080"/>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Subs, 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8852937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Analysis!$B$1668</c:f>
              <c:strCache>
                <c:ptCount val="1"/>
                <c:pt idx="0">
                  <c:v>Revenue (MXN m)</c:v>
                </c:pt>
              </c:strCache>
            </c:strRef>
          </c:tx>
          <c:spPr>
            <a:solidFill>
              <a:srgbClr val="000080"/>
            </a:solidFill>
            <a:ln w="25400">
              <a:noFill/>
            </a:ln>
            <a:effectLst/>
          </c:spPr>
          <c:invertIfNegative val="0"/>
          <c:cat>
            <c:numRef>
              <c:f>Analysis!$C$1666:$I$1666</c:f>
              <c:numCache>
                <c:formatCode>General</c:formatCode>
                <c:ptCount val="7"/>
                <c:pt idx="0">
                  <c:v>2019</c:v>
                </c:pt>
                <c:pt idx="1">
                  <c:v>2020</c:v>
                </c:pt>
                <c:pt idx="2">
                  <c:v>2021</c:v>
                </c:pt>
                <c:pt idx="3">
                  <c:v>2022</c:v>
                </c:pt>
                <c:pt idx="4">
                  <c:v>2023</c:v>
                </c:pt>
                <c:pt idx="5">
                  <c:v>2024</c:v>
                </c:pt>
                <c:pt idx="6">
                  <c:v>2025</c:v>
                </c:pt>
              </c:numCache>
            </c:numRef>
          </c:cat>
          <c:val>
            <c:numRef>
              <c:f>Analysis!$C$1668:$I$1668</c:f>
              <c:numCache>
                <c:formatCode>#,##0</c:formatCode>
                <c:ptCount val="7"/>
                <c:pt idx="0">
                  <c:v>0</c:v>
                </c:pt>
                <c:pt idx="1">
                  <c:v>576.59136000000012</c:v>
                </c:pt>
                <c:pt idx="2">
                  <c:v>1571.4355200000002</c:v>
                </c:pt>
                <c:pt idx="3">
                  <c:v>2081.1452697600007</c:v>
                </c:pt>
                <c:pt idx="4">
                  <c:v>2042.7466752000005</c:v>
                </c:pt>
                <c:pt idx="5">
                  <c:v>1725.8649100800003</c:v>
                </c:pt>
                <c:pt idx="6">
                  <c:v>1501.4946892800006</c:v>
                </c:pt>
              </c:numCache>
            </c:numRef>
          </c:val>
          <c:extLst>
            <c:ext xmlns:c16="http://schemas.microsoft.com/office/drawing/2014/chart" uri="{C3380CC4-5D6E-409C-BE32-E72D297353CC}">
              <c16:uniqueId val="{00000000-C572-4FD4-BAE9-3C96E0BBBC94}"/>
            </c:ext>
          </c:extLst>
        </c:ser>
        <c:dLbls>
          <c:showLegendKey val="0"/>
          <c:showVal val="0"/>
          <c:showCatName val="0"/>
          <c:showSerName val="0"/>
          <c:showPercent val="0"/>
          <c:showBubbleSize val="0"/>
        </c:dLbls>
        <c:gapWidth val="219"/>
        <c:overlap val="-27"/>
        <c:axId val="888529376"/>
        <c:axId val="882430080"/>
      </c:barChart>
      <c:catAx>
        <c:axId val="88852937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82430080"/>
        <c:crosses val="autoZero"/>
        <c:auto val="1"/>
        <c:lblAlgn val="ctr"/>
        <c:lblOffset val="100"/>
        <c:noMultiLvlLbl val="0"/>
      </c:catAx>
      <c:valAx>
        <c:axId val="882430080"/>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MXN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8852937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Analysis!$B$1672</c:f>
              <c:strCache>
                <c:ptCount val="1"/>
              </c:strCache>
            </c:strRef>
          </c:tx>
          <c:spPr>
            <a:solidFill>
              <a:srgbClr val="000080"/>
            </a:solidFill>
            <a:ln w="25400">
              <a:noFill/>
            </a:ln>
            <a:effectLst/>
          </c:spPr>
          <c:invertIfNegative val="0"/>
          <c:cat>
            <c:numRef>
              <c:f>Analysis!$D$1671:$J$1671</c:f>
              <c:numCache>
                <c:formatCode>General</c:formatCode>
                <c:ptCount val="7"/>
                <c:pt idx="0">
                  <c:v>2016</c:v>
                </c:pt>
                <c:pt idx="1">
                  <c:v>2017</c:v>
                </c:pt>
                <c:pt idx="2">
                  <c:v>2018</c:v>
                </c:pt>
                <c:pt idx="3">
                  <c:v>2019</c:v>
                </c:pt>
                <c:pt idx="4">
                  <c:v>2020</c:v>
                </c:pt>
                <c:pt idx="5">
                  <c:v>2021</c:v>
                </c:pt>
                <c:pt idx="6">
                  <c:v>2022</c:v>
                </c:pt>
              </c:numCache>
            </c:numRef>
          </c:cat>
          <c:val>
            <c:numRef>
              <c:f>Analysis!$D$1672:$J$1672</c:f>
              <c:numCache>
                <c:formatCode>0%</c:formatCode>
                <c:ptCount val="7"/>
                <c:pt idx="0">
                  <c:v>0.11946307782493171</c:v>
                </c:pt>
                <c:pt idx="1">
                  <c:v>3.6260331874224061E-2</c:v>
                </c:pt>
                <c:pt idx="2">
                  <c:v>9.6374969740982808E-2</c:v>
                </c:pt>
                <c:pt idx="3">
                  <c:v>0.10093975105566759</c:v>
                </c:pt>
                <c:pt idx="4">
                  <c:v>8.7887871085319702E-2</c:v>
                </c:pt>
                <c:pt idx="5">
                  <c:v>5.849613486425187E-2</c:v>
                </c:pt>
                <c:pt idx="6">
                  <c:v>8.1402056188035754E-3</c:v>
                </c:pt>
              </c:numCache>
            </c:numRef>
          </c:val>
          <c:extLst>
            <c:ext xmlns:c16="http://schemas.microsoft.com/office/drawing/2014/chart" uri="{C3380CC4-5D6E-409C-BE32-E72D297353CC}">
              <c16:uniqueId val="{00000000-AA14-403B-A7EC-3DC366282770}"/>
            </c:ext>
          </c:extLst>
        </c:ser>
        <c:ser>
          <c:idx val="1"/>
          <c:order val="1"/>
          <c:tx>
            <c:strRef>
              <c:f>Analysis!$B$1673</c:f>
              <c:strCache>
                <c:ptCount val="1"/>
              </c:strCache>
            </c:strRef>
          </c:tx>
          <c:spPr>
            <a:solidFill>
              <a:srgbClr val="9999FF"/>
            </a:solidFill>
            <a:ln w="25400">
              <a:noFill/>
            </a:ln>
            <a:effectLst/>
          </c:spPr>
          <c:invertIfNegative val="0"/>
          <c:cat>
            <c:numRef>
              <c:f>Analysis!$D$1671:$J$1671</c:f>
              <c:numCache>
                <c:formatCode>General</c:formatCode>
                <c:ptCount val="7"/>
                <c:pt idx="0">
                  <c:v>2016</c:v>
                </c:pt>
                <c:pt idx="1">
                  <c:v>2017</c:v>
                </c:pt>
                <c:pt idx="2">
                  <c:v>2018</c:v>
                </c:pt>
                <c:pt idx="3">
                  <c:v>2019</c:v>
                </c:pt>
                <c:pt idx="4">
                  <c:v>2020</c:v>
                </c:pt>
                <c:pt idx="5">
                  <c:v>2021</c:v>
                </c:pt>
                <c:pt idx="6">
                  <c:v>2022</c:v>
                </c:pt>
              </c:numCache>
            </c:numRef>
          </c:cat>
          <c:val>
            <c:numRef>
              <c:f>Analysis!$D$1673:$J$1673</c:f>
              <c:numCache>
                <c:formatCode>0%</c:formatCode>
                <c:ptCount val="7"/>
                <c:pt idx="0">
                  <c:v>0</c:v>
                </c:pt>
                <c:pt idx="1">
                  <c:v>0</c:v>
                </c:pt>
                <c:pt idx="2">
                  <c:v>0</c:v>
                </c:pt>
                <c:pt idx="3">
                  <c:v>0.05</c:v>
                </c:pt>
                <c:pt idx="4">
                  <c:v>0</c:v>
                </c:pt>
                <c:pt idx="5">
                  <c:v>0</c:v>
                </c:pt>
                <c:pt idx="6">
                  <c:v>0</c:v>
                </c:pt>
              </c:numCache>
            </c:numRef>
          </c:val>
          <c:extLst>
            <c:ext xmlns:c16="http://schemas.microsoft.com/office/drawing/2014/chart" uri="{C3380CC4-5D6E-409C-BE32-E72D297353CC}">
              <c16:uniqueId val="{00000001-AA14-403B-A7EC-3DC366282770}"/>
            </c:ext>
          </c:extLst>
        </c:ser>
        <c:dLbls>
          <c:showLegendKey val="0"/>
          <c:showVal val="0"/>
          <c:showCatName val="0"/>
          <c:showSerName val="0"/>
          <c:showPercent val="0"/>
          <c:showBubbleSize val="0"/>
        </c:dLbls>
        <c:gapWidth val="219"/>
        <c:overlap val="100"/>
        <c:axId val="888529376"/>
        <c:axId val="882430080"/>
      </c:barChart>
      <c:catAx>
        <c:axId val="88852937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82430080"/>
        <c:crosses val="autoZero"/>
        <c:auto val="1"/>
        <c:lblAlgn val="ctr"/>
        <c:lblOffset val="100"/>
        <c:noMultiLvlLbl val="0"/>
      </c:catAx>
      <c:valAx>
        <c:axId val="88243008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8852937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Analysis!$C$1693</c:f>
              <c:strCache>
                <c:ptCount val="1"/>
                <c:pt idx="0">
                  <c:v>EBITDA margin</c:v>
                </c:pt>
              </c:strCache>
            </c:strRef>
          </c:tx>
          <c:spPr>
            <a:ln w="25400" cap="rnd">
              <a:solidFill>
                <a:srgbClr val="333399"/>
              </a:solidFill>
              <a:prstDash val="solid"/>
              <a:round/>
            </a:ln>
            <a:effectLst/>
          </c:spPr>
          <c:marker>
            <c:symbol val="none"/>
          </c:marker>
          <c:cat>
            <c:numRef>
              <c:f>Analysis!$D$1692:$L$1692</c:f>
              <c:numCache>
                <c:formatCode>General</c:formatCode>
                <c:ptCount val="8"/>
                <c:pt idx="0">
                  <c:v>2015</c:v>
                </c:pt>
                <c:pt idx="1">
                  <c:v>2016</c:v>
                </c:pt>
                <c:pt idx="2">
                  <c:v>2017</c:v>
                </c:pt>
                <c:pt idx="3">
                  <c:v>2018</c:v>
                </c:pt>
                <c:pt idx="4">
                  <c:v>2019</c:v>
                </c:pt>
                <c:pt idx="5">
                  <c:v>2020</c:v>
                </c:pt>
                <c:pt idx="6">
                  <c:v>2021</c:v>
                </c:pt>
                <c:pt idx="7">
                  <c:v>2022</c:v>
                </c:pt>
              </c:numCache>
            </c:numRef>
          </c:cat>
          <c:val>
            <c:numRef>
              <c:f>Analysis!$D$1693:$L$1693</c:f>
              <c:numCache>
                <c:formatCode>0%</c:formatCode>
                <c:ptCount val="8"/>
                <c:pt idx="0">
                  <c:v>0.40036084989276299</c:v>
                </c:pt>
                <c:pt idx="1">
                  <c:v>0.4150340528540431</c:v>
                </c:pt>
                <c:pt idx="2">
                  <c:v>0.42468530622125394</c:v>
                </c:pt>
                <c:pt idx="3">
                  <c:v>0.42234979162641789</c:v>
                </c:pt>
                <c:pt idx="4">
                  <c:v>0.42679008201045515</c:v>
                </c:pt>
                <c:pt idx="5">
                  <c:v>0.41656398579587411</c:v>
                </c:pt>
                <c:pt idx="6">
                  <c:v>0.4224202378547674</c:v>
                </c:pt>
                <c:pt idx="7">
                  <c:v>0.41111464560293148</c:v>
                </c:pt>
              </c:numCache>
            </c:numRef>
          </c:val>
          <c:smooth val="0"/>
          <c:extLst>
            <c:ext xmlns:c16="http://schemas.microsoft.com/office/drawing/2014/chart" uri="{C3380CC4-5D6E-409C-BE32-E72D297353CC}">
              <c16:uniqueId val="{00000000-8467-4315-A676-B718783106AA}"/>
            </c:ext>
          </c:extLst>
        </c:ser>
        <c:ser>
          <c:idx val="1"/>
          <c:order val="1"/>
          <c:tx>
            <c:strRef>
              <c:f>Analysis!$C$1694</c:f>
              <c:strCache>
                <c:ptCount val="1"/>
                <c:pt idx="0">
                  <c:v>Capex/sales</c:v>
                </c:pt>
              </c:strCache>
            </c:strRef>
          </c:tx>
          <c:spPr>
            <a:ln w="25400" cap="rnd">
              <a:solidFill>
                <a:srgbClr val="99CCFF"/>
              </a:solidFill>
              <a:prstDash val="solid"/>
              <a:round/>
            </a:ln>
            <a:effectLst/>
          </c:spPr>
          <c:marker>
            <c:symbol val="none"/>
          </c:marker>
          <c:cat>
            <c:numRef>
              <c:f>Analysis!$D$1692:$L$1692</c:f>
              <c:numCache>
                <c:formatCode>General</c:formatCode>
                <c:ptCount val="8"/>
                <c:pt idx="0">
                  <c:v>2015</c:v>
                </c:pt>
                <c:pt idx="1">
                  <c:v>2016</c:v>
                </c:pt>
                <c:pt idx="2">
                  <c:v>2017</c:v>
                </c:pt>
                <c:pt idx="3">
                  <c:v>2018</c:v>
                </c:pt>
                <c:pt idx="4">
                  <c:v>2019</c:v>
                </c:pt>
                <c:pt idx="5">
                  <c:v>2020</c:v>
                </c:pt>
                <c:pt idx="6">
                  <c:v>2021</c:v>
                </c:pt>
                <c:pt idx="7">
                  <c:v>2022</c:v>
                </c:pt>
              </c:numCache>
            </c:numRef>
          </c:cat>
          <c:val>
            <c:numRef>
              <c:f>Analysis!$D$1694:$L$1694</c:f>
              <c:numCache>
                <c:formatCode>0%</c:formatCode>
                <c:ptCount val="8"/>
                <c:pt idx="0">
                  <c:v>0.60007666305114737</c:v>
                </c:pt>
                <c:pt idx="1">
                  <c:v>0.58172590901679444</c:v>
                </c:pt>
                <c:pt idx="2">
                  <c:v>0.32008986928104577</c:v>
                </c:pt>
                <c:pt idx="3">
                  <c:v>0.35330361824855794</c:v>
                </c:pt>
                <c:pt idx="4">
                  <c:v>0.310939523284255</c:v>
                </c:pt>
                <c:pt idx="5">
                  <c:v>0.31367444690094803</c:v>
                </c:pt>
                <c:pt idx="6">
                  <c:v>0.36096736547868669</c:v>
                </c:pt>
                <c:pt idx="7">
                  <c:v>0.26830336818709483</c:v>
                </c:pt>
              </c:numCache>
            </c:numRef>
          </c:val>
          <c:smooth val="0"/>
          <c:extLst>
            <c:ext xmlns:c16="http://schemas.microsoft.com/office/drawing/2014/chart" uri="{C3380CC4-5D6E-409C-BE32-E72D297353CC}">
              <c16:uniqueId val="{00000001-8467-4315-A676-B718783106AA}"/>
            </c:ext>
          </c:extLst>
        </c:ser>
        <c:ser>
          <c:idx val="2"/>
          <c:order val="2"/>
          <c:tx>
            <c:strRef>
              <c:f>Analysis!$C$1695</c:f>
              <c:strCache>
                <c:ptCount val="1"/>
                <c:pt idx="0">
                  <c:v>OpFCF margin</c:v>
                </c:pt>
              </c:strCache>
            </c:strRef>
          </c:tx>
          <c:spPr>
            <a:ln w="25400" cap="rnd">
              <a:solidFill>
                <a:srgbClr val="333399"/>
              </a:solidFill>
              <a:prstDash val="lgDash"/>
              <a:round/>
            </a:ln>
            <a:effectLst/>
          </c:spPr>
          <c:marker>
            <c:symbol val="none"/>
          </c:marker>
          <c:cat>
            <c:numRef>
              <c:f>Analysis!$D$1692:$L$1692</c:f>
              <c:numCache>
                <c:formatCode>General</c:formatCode>
                <c:ptCount val="8"/>
                <c:pt idx="0">
                  <c:v>2015</c:v>
                </c:pt>
                <c:pt idx="1">
                  <c:v>2016</c:v>
                </c:pt>
                <c:pt idx="2">
                  <c:v>2017</c:v>
                </c:pt>
                <c:pt idx="3">
                  <c:v>2018</c:v>
                </c:pt>
                <c:pt idx="4">
                  <c:v>2019</c:v>
                </c:pt>
                <c:pt idx="5">
                  <c:v>2020</c:v>
                </c:pt>
                <c:pt idx="6">
                  <c:v>2021</c:v>
                </c:pt>
                <c:pt idx="7">
                  <c:v>2022</c:v>
                </c:pt>
              </c:numCache>
            </c:numRef>
          </c:cat>
          <c:val>
            <c:numRef>
              <c:f>Analysis!$D$1695:$L$1695</c:f>
              <c:numCache>
                <c:formatCode>0%</c:formatCode>
                <c:ptCount val="8"/>
                <c:pt idx="0">
                  <c:v>-0.19971581315838433</c:v>
                </c:pt>
                <c:pt idx="1">
                  <c:v>-0.16669185616275137</c:v>
                </c:pt>
                <c:pt idx="2">
                  <c:v>0.10459543694020819</c:v>
                </c:pt>
                <c:pt idx="3">
                  <c:v>6.9046173377859968E-2</c:v>
                </c:pt>
                <c:pt idx="4">
                  <c:v>0.11585055872620016</c:v>
                </c:pt>
                <c:pt idx="5">
                  <c:v>0.10288953889492605</c:v>
                </c:pt>
                <c:pt idx="6">
                  <c:v>6.14528723760807E-2</c:v>
                </c:pt>
                <c:pt idx="7">
                  <c:v>0.14281127741583663</c:v>
                </c:pt>
              </c:numCache>
            </c:numRef>
          </c:val>
          <c:smooth val="0"/>
          <c:extLst>
            <c:ext xmlns:c16="http://schemas.microsoft.com/office/drawing/2014/chart" uri="{C3380CC4-5D6E-409C-BE32-E72D297353CC}">
              <c16:uniqueId val="{00000002-8467-4315-A676-B718783106AA}"/>
            </c:ext>
          </c:extLst>
        </c:ser>
        <c:dLbls>
          <c:showLegendKey val="0"/>
          <c:showVal val="0"/>
          <c:showCatName val="0"/>
          <c:showSerName val="0"/>
          <c:showPercent val="0"/>
          <c:showBubbleSize val="0"/>
        </c:dLbls>
        <c:smooth val="0"/>
        <c:axId val="856107936"/>
        <c:axId val="1216657952"/>
      </c:lineChart>
      <c:catAx>
        <c:axId val="856107936"/>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16657952"/>
        <c:crosses val="autoZero"/>
        <c:auto val="1"/>
        <c:lblAlgn val="ctr"/>
        <c:lblOffset val="100"/>
        <c:noMultiLvlLbl val="0"/>
      </c:catAx>
      <c:valAx>
        <c:axId val="121665795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5610793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Trebuchet MS"/>
              <a:ea typeface="Trebuchet MS"/>
              <a:cs typeface="Trebuchet MS"/>
            </a:defRPr>
          </a:pPr>
          <a:endParaRPr lang="en-US"/>
        </a:p>
      </c:txPr>
    </c:title>
    <c:autoTitleDeleted val="0"/>
    <c:plotArea>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1ED1-454D-82DF-C3C404122C34}"/>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2-1ED1-454D-82DF-C3C404122C34}"/>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3-1ED1-454D-82DF-C3C404122C34}"/>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4-1ED1-454D-82DF-C3C404122C34}"/>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5-1ED1-454D-82DF-C3C404122C34}"/>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6-1ED1-454D-82DF-C3C404122C34}"/>
              </c:ext>
            </c:extLst>
          </c:dPt>
          <c:cat>
            <c:strRef>
              <c:f>Analysis!$A$1708:$A$1713</c:f>
              <c:strCache>
                <c:ptCount val="6"/>
                <c:pt idx="0">
                  <c:v>Content</c:v>
                </c:pt>
                <c:pt idx="1">
                  <c:v>SKY</c:v>
                </c:pt>
                <c:pt idx="2">
                  <c:v>Retail cable</c:v>
                </c:pt>
                <c:pt idx="3">
                  <c:v>Fixed wholesale</c:v>
                </c:pt>
                <c:pt idx="4">
                  <c:v>Other</c:v>
                </c:pt>
                <c:pt idx="5">
                  <c:v>Intersegment</c:v>
                </c:pt>
              </c:strCache>
            </c:strRef>
          </c:cat>
          <c:val>
            <c:numRef>
              <c:f>Analysis!$B$1708:$B$1713</c:f>
              <c:numCache>
                <c:formatCode>#,##0</c:formatCode>
                <c:ptCount val="6"/>
                <c:pt idx="0">
                  <c:v>7184.9</c:v>
                </c:pt>
                <c:pt idx="1">
                  <c:v>5281.6</c:v>
                </c:pt>
                <c:pt idx="2">
                  <c:v>8874.2000000000007</c:v>
                </c:pt>
                <c:pt idx="3">
                  <c:v>1023.8999999999992</c:v>
                </c:pt>
                <c:pt idx="4">
                  <c:v>2260.3000000000002</c:v>
                </c:pt>
                <c:pt idx="5">
                  <c:v>-1229.7</c:v>
                </c:pt>
              </c:numCache>
            </c:numRef>
          </c:val>
          <c:extLst>
            <c:ext xmlns:c16="http://schemas.microsoft.com/office/drawing/2014/chart" uri="{C3380CC4-5D6E-409C-BE32-E72D297353CC}">
              <c16:uniqueId val="{00000000-1ED1-454D-82DF-C3C404122C34}"/>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cat>
            <c:strRef>
              <c:f>Analysis!$G$1724:$N$1724</c:f>
              <c:strCache>
                <c:ptCount val="6"/>
                <c:pt idx="0">
                  <c:v>Q1 18</c:v>
                </c:pt>
                <c:pt idx="1">
                  <c:v>Q2 18</c:v>
                </c:pt>
                <c:pt idx="2">
                  <c:v>Q3 18</c:v>
                </c:pt>
                <c:pt idx="3">
                  <c:v>Q4 18</c:v>
                </c:pt>
                <c:pt idx="4">
                  <c:v>Q1 19</c:v>
                </c:pt>
                <c:pt idx="5">
                  <c:v>Q4 19</c:v>
                </c:pt>
              </c:strCache>
            </c:strRef>
          </c:cat>
          <c:val>
            <c:numRef>
              <c:f>Analysis!$G$1727:$N$1727</c:f>
              <c:numCache>
                <c:formatCode>0%</c:formatCode>
                <c:ptCount val="6"/>
                <c:pt idx="0">
                  <c:v>-4.457300275482079E-2</c:v>
                </c:pt>
                <c:pt idx="1">
                  <c:v>-0.10725274725274747</c:v>
                </c:pt>
                <c:pt idx="2">
                  <c:v>-0.14908188585607929</c:v>
                </c:pt>
                <c:pt idx="3">
                  <c:v>-0.11634517766497454</c:v>
                </c:pt>
                <c:pt idx="4">
                  <c:v>-7.8534031413612593E-2</c:v>
                </c:pt>
                <c:pt idx="5">
                  <c:v>0</c:v>
                </c:pt>
              </c:numCache>
            </c:numRef>
          </c:val>
          <c:extLst>
            <c:ext xmlns:c16="http://schemas.microsoft.com/office/drawing/2014/chart" uri="{C3380CC4-5D6E-409C-BE32-E72D297353CC}">
              <c16:uniqueId val="{00000000-F718-423E-8D2E-D4F14DFD5A6B}"/>
            </c:ext>
          </c:extLst>
        </c:ser>
        <c:dLbls>
          <c:showLegendKey val="0"/>
          <c:showVal val="0"/>
          <c:showCatName val="0"/>
          <c:showSerName val="0"/>
          <c:showPercent val="0"/>
          <c:showBubbleSize val="0"/>
        </c:dLbls>
        <c:gapWidth val="219"/>
        <c:overlap val="-27"/>
        <c:axId val="630684096"/>
        <c:axId val="557728848"/>
      </c:barChart>
      <c:catAx>
        <c:axId val="630684096"/>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557728848"/>
        <c:crosses val="autoZero"/>
        <c:auto val="1"/>
        <c:lblAlgn val="ctr"/>
        <c:lblOffset val="100"/>
        <c:noMultiLvlLbl val="0"/>
      </c:catAx>
      <c:valAx>
        <c:axId val="557728848"/>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y/y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3068409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Analysis!$B$198</c:f>
              <c:strCache>
                <c:ptCount val="1"/>
                <c:pt idx="0">
                  <c:v>Nominal GDP growth</c:v>
                </c:pt>
              </c:strCache>
            </c:strRef>
          </c:tx>
          <c:spPr>
            <a:ln w="25400">
              <a:solidFill>
                <a:srgbClr val="333399"/>
              </a:solidFill>
              <a:prstDash val="solid"/>
            </a:ln>
            <a:effectLst/>
          </c:spPr>
          <c:marker>
            <c:symbol val="none"/>
          </c:marker>
          <c:dPt>
            <c:idx val="9"/>
            <c:bubble3D val="0"/>
            <c:spPr>
              <a:ln w="25400">
                <a:solidFill>
                  <a:srgbClr val="333399"/>
                </a:solidFill>
                <a:prstDash val="dash"/>
              </a:ln>
              <a:effectLst/>
            </c:spPr>
            <c:extLst>
              <c:ext xmlns:c16="http://schemas.microsoft.com/office/drawing/2014/chart" uri="{C3380CC4-5D6E-409C-BE32-E72D297353CC}">
                <c16:uniqueId val="{00000001-33B9-47D1-9223-F16B8AE0FFD1}"/>
              </c:ext>
            </c:extLst>
          </c:dPt>
          <c:dPt>
            <c:idx val="10"/>
            <c:bubble3D val="0"/>
            <c:spPr>
              <a:ln w="25400">
                <a:solidFill>
                  <a:srgbClr val="333399"/>
                </a:solidFill>
                <a:prstDash val="dash"/>
              </a:ln>
              <a:effectLst/>
            </c:spPr>
            <c:extLst>
              <c:ext xmlns:c16="http://schemas.microsoft.com/office/drawing/2014/chart" uri="{C3380CC4-5D6E-409C-BE32-E72D297353CC}">
                <c16:uniqueId val="{00000003-33B9-47D1-9223-F16B8AE0FFD1}"/>
              </c:ext>
            </c:extLst>
          </c:dPt>
          <c:dPt>
            <c:idx val="11"/>
            <c:bubble3D val="0"/>
            <c:spPr>
              <a:ln w="25400">
                <a:solidFill>
                  <a:srgbClr val="333399"/>
                </a:solidFill>
                <a:prstDash val="dash"/>
              </a:ln>
              <a:effectLst/>
            </c:spPr>
            <c:extLst>
              <c:ext xmlns:c16="http://schemas.microsoft.com/office/drawing/2014/chart" uri="{C3380CC4-5D6E-409C-BE32-E72D297353CC}">
                <c16:uniqueId val="{00000005-33B9-47D1-9223-F16B8AE0FFD1}"/>
              </c:ext>
            </c:extLst>
          </c:dPt>
          <c:cat>
            <c:strRef>
              <c:f>Analysis!$C$195:$N$195</c:f>
              <c:strCache>
                <c:ptCount val="10"/>
                <c:pt idx="0">
                  <c:v>2003</c:v>
                </c:pt>
                <c:pt idx="1">
                  <c:v>2004</c:v>
                </c:pt>
                <c:pt idx="2">
                  <c:v>2005</c:v>
                </c:pt>
                <c:pt idx="3">
                  <c:v>2006</c:v>
                </c:pt>
                <c:pt idx="4">
                  <c:v>2007</c:v>
                </c:pt>
                <c:pt idx="5">
                  <c:v>2008</c:v>
                </c:pt>
                <c:pt idx="6">
                  <c:v>2009</c:v>
                </c:pt>
                <c:pt idx="7">
                  <c:v>2010</c:v>
                </c:pt>
                <c:pt idx="8">
                  <c:v>2011</c:v>
                </c:pt>
                <c:pt idx="9">
                  <c:v>2014e</c:v>
                </c:pt>
              </c:strCache>
            </c:strRef>
          </c:cat>
          <c:val>
            <c:numRef>
              <c:f>Analysis!$C$198:$N$198</c:f>
              <c:numCache>
                <c:formatCode>0%</c:formatCode>
                <c:ptCount val="10"/>
                <c:pt idx="0">
                  <c:v>5.3530000000000001E-2</c:v>
                </c:pt>
                <c:pt idx="1">
                  <c:v>9.2499999999999999E-2</c:v>
                </c:pt>
                <c:pt idx="2">
                  <c:v>6.5000000000000002E-2</c:v>
                </c:pt>
                <c:pt idx="3">
                  <c:v>9.1749999999999998E-2</c:v>
                </c:pt>
                <c:pt idx="4">
                  <c:v>7.0750000000000007E-2</c:v>
                </c:pt>
                <c:pt idx="5">
                  <c:v>7.9500000000000001E-2</c:v>
                </c:pt>
                <c:pt idx="6">
                  <c:v>-2.5549999999999996E-2</c:v>
                </c:pt>
                <c:pt idx="7">
                  <c:v>9.9500000000000005E-2</c:v>
                </c:pt>
                <c:pt idx="8">
                  <c:v>7.7449999999999991E-2</c:v>
                </c:pt>
                <c:pt idx="9">
                  <c:v>6.1200000000000004E-2</c:v>
                </c:pt>
              </c:numCache>
            </c:numRef>
          </c:val>
          <c:smooth val="0"/>
          <c:extLst>
            <c:ext xmlns:c16="http://schemas.microsoft.com/office/drawing/2014/chart" uri="{C3380CC4-5D6E-409C-BE32-E72D297353CC}">
              <c16:uniqueId val="{00000006-33B9-47D1-9223-F16B8AE0FFD1}"/>
            </c:ext>
          </c:extLst>
        </c:ser>
        <c:ser>
          <c:idx val="1"/>
          <c:order val="1"/>
          <c:tx>
            <c:strRef>
              <c:f>Analysis!$B$199</c:f>
              <c:strCache>
                <c:ptCount val="1"/>
                <c:pt idx="0">
                  <c:v>TV broadcasting revs growth</c:v>
                </c:pt>
              </c:strCache>
            </c:strRef>
          </c:tx>
          <c:spPr>
            <a:ln w="25400">
              <a:solidFill>
                <a:srgbClr val="99CCFF"/>
              </a:solidFill>
              <a:prstDash val="solid"/>
            </a:ln>
            <a:effectLst/>
          </c:spPr>
          <c:marker>
            <c:symbol val="none"/>
          </c:marker>
          <c:dPt>
            <c:idx val="9"/>
            <c:bubble3D val="0"/>
            <c:spPr>
              <a:ln w="25400">
                <a:solidFill>
                  <a:srgbClr val="99CCFF"/>
                </a:solidFill>
                <a:prstDash val="dash"/>
              </a:ln>
              <a:effectLst/>
            </c:spPr>
            <c:extLst>
              <c:ext xmlns:c16="http://schemas.microsoft.com/office/drawing/2014/chart" uri="{C3380CC4-5D6E-409C-BE32-E72D297353CC}">
                <c16:uniqueId val="{00000008-33B9-47D1-9223-F16B8AE0FFD1}"/>
              </c:ext>
            </c:extLst>
          </c:dPt>
          <c:dPt>
            <c:idx val="10"/>
            <c:bubble3D val="0"/>
            <c:spPr>
              <a:ln w="25400">
                <a:solidFill>
                  <a:srgbClr val="99CCFF"/>
                </a:solidFill>
                <a:prstDash val="dash"/>
              </a:ln>
              <a:effectLst/>
            </c:spPr>
            <c:extLst>
              <c:ext xmlns:c16="http://schemas.microsoft.com/office/drawing/2014/chart" uri="{C3380CC4-5D6E-409C-BE32-E72D297353CC}">
                <c16:uniqueId val="{0000000A-33B9-47D1-9223-F16B8AE0FFD1}"/>
              </c:ext>
            </c:extLst>
          </c:dPt>
          <c:dPt>
            <c:idx val="11"/>
            <c:bubble3D val="0"/>
            <c:spPr>
              <a:ln w="25400">
                <a:solidFill>
                  <a:srgbClr val="99CCFF"/>
                </a:solidFill>
                <a:prstDash val="dash"/>
              </a:ln>
              <a:effectLst/>
            </c:spPr>
            <c:extLst>
              <c:ext xmlns:c16="http://schemas.microsoft.com/office/drawing/2014/chart" uri="{C3380CC4-5D6E-409C-BE32-E72D297353CC}">
                <c16:uniqueId val="{0000000C-33B9-47D1-9223-F16B8AE0FFD1}"/>
              </c:ext>
            </c:extLst>
          </c:dPt>
          <c:cat>
            <c:strRef>
              <c:f>Analysis!$C$195:$N$195</c:f>
              <c:strCache>
                <c:ptCount val="10"/>
                <c:pt idx="0">
                  <c:v>2003</c:v>
                </c:pt>
                <c:pt idx="1">
                  <c:v>2004</c:v>
                </c:pt>
                <c:pt idx="2">
                  <c:v>2005</c:v>
                </c:pt>
                <c:pt idx="3">
                  <c:v>2006</c:v>
                </c:pt>
                <c:pt idx="4">
                  <c:v>2007</c:v>
                </c:pt>
                <c:pt idx="5">
                  <c:v>2008</c:v>
                </c:pt>
                <c:pt idx="6">
                  <c:v>2009</c:v>
                </c:pt>
                <c:pt idx="7">
                  <c:v>2010</c:v>
                </c:pt>
                <c:pt idx="8">
                  <c:v>2011</c:v>
                </c:pt>
                <c:pt idx="9">
                  <c:v>2014e</c:v>
                </c:pt>
              </c:strCache>
            </c:strRef>
          </c:cat>
          <c:val>
            <c:numRef>
              <c:f>Analysis!$C$199:$N$199</c:f>
              <c:numCache>
                <c:formatCode>0%</c:formatCode>
                <c:ptCount val="10"/>
                <c:pt idx="0">
                  <c:v>0.05</c:v>
                </c:pt>
                <c:pt idx="1">
                  <c:v>0.05</c:v>
                </c:pt>
                <c:pt idx="2">
                  <c:v>0.05</c:v>
                </c:pt>
                <c:pt idx="3">
                  <c:v>8.5313879872452647E-2</c:v>
                </c:pt>
                <c:pt idx="4">
                  <c:v>-2.5149253948690053E-2</c:v>
                </c:pt>
                <c:pt idx="5">
                  <c:v>1.1664120599360395E-2</c:v>
                </c:pt>
                <c:pt idx="6">
                  <c:v>4.7075920612233979E-3</c:v>
                </c:pt>
                <c:pt idx="7">
                  <c:v>5.5119388437268935E-2</c:v>
                </c:pt>
                <c:pt idx="8">
                  <c:v>3.4769077938119342E-3</c:v>
                </c:pt>
                <c:pt idx="9">
                  <c:v>2.4137861695924023E-2</c:v>
                </c:pt>
              </c:numCache>
            </c:numRef>
          </c:val>
          <c:smooth val="0"/>
          <c:extLst>
            <c:ext xmlns:c16="http://schemas.microsoft.com/office/drawing/2014/chart" uri="{C3380CC4-5D6E-409C-BE32-E72D297353CC}">
              <c16:uniqueId val="{0000000D-33B9-47D1-9223-F16B8AE0FFD1}"/>
            </c:ext>
          </c:extLst>
        </c:ser>
        <c:dLbls>
          <c:showLegendKey val="0"/>
          <c:showVal val="0"/>
          <c:showCatName val="0"/>
          <c:showSerName val="0"/>
          <c:showPercent val="0"/>
          <c:showBubbleSize val="0"/>
        </c:dLbls>
        <c:smooth val="0"/>
        <c:axId val="112697728"/>
        <c:axId val="112699264"/>
      </c:lineChart>
      <c:catAx>
        <c:axId val="112697728"/>
        <c:scaling>
          <c:orientation val="minMax"/>
        </c:scaling>
        <c:delete val="0"/>
        <c:axPos val="b"/>
        <c:numFmt formatCode="General" sourceLinked="1"/>
        <c:majorTickMark val="out"/>
        <c:minorTickMark val="none"/>
        <c:tickLblPos val="low"/>
        <c:crossAx val="112699264"/>
        <c:crosses val="autoZero"/>
        <c:auto val="1"/>
        <c:lblAlgn val="ctr"/>
        <c:lblOffset val="100"/>
        <c:noMultiLvlLbl val="0"/>
      </c:catAx>
      <c:valAx>
        <c:axId val="112699264"/>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crossAx val="112697728"/>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Analysis!$H$1772</c:f>
              <c:strCache>
                <c:ptCount val="1"/>
                <c:pt idx="0">
                  <c:v>Televisa </c:v>
                </c:pt>
              </c:strCache>
            </c:strRef>
          </c:tx>
          <c:spPr>
            <a:ln w="25400" cap="rnd">
              <a:solidFill>
                <a:srgbClr val="333399"/>
              </a:solidFill>
              <a:prstDash val="solid"/>
              <a:round/>
            </a:ln>
            <a:effectLst/>
          </c:spPr>
          <c:marker>
            <c:symbol val="none"/>
          </c:marker>
          <c:cat>
            <c:numRef>
              <c:f>Analysis!$I$1771:$L$1771</c:f>
              <c:numCache>
                <c:formatCode>General</c:formatCode>
                <c:ptCount val="3"/>
                <c:pt idx="0">
                  <c:v>2019</c:v>
                </c:pt>
                <c:pt idx="1">
                  <c:v>2020</c:v>
                </c:pt>
                <c:pt idx="2">
                  <c:v>2021</c:v>
                </c:pt>
              </c:numCache>
            </c:numRef>
          </c:cat>
          <c:val>
            <c:numRef>
              <c:f>Analysis!$I$1772:$L$1772</c:f>
              <c:numCache>
                <c:formatCode>0.0\x</c:formatCode>
                <c:ptCount val="3"/>
                <c:pt idx="0">
                  <c:v>2.452583985075135</c:v>
                </c:pt>
                <c:pt idx="1">
                  <c:v>2.4772547493835404</c:v>
                </c:pt>
                <c:pt idx="2">
                  <c:v>2.4132119004807162</c:v>
                </c:pt>
              </c:numCache>
            </c:numRef>
          </c:val>
          <c:smooth val="0"/>
          <c:extLst>
            <c:ext xmlns:c16="http://schemas.microsoft.com/office/drawing/2014/chart" uri="{C3380CC4-5D6E-409C-BE32-E72D297353CC}">
              <c16:uniqueId val="{00000000-9C19-454F-8DB8-A26AF480220E}"/>
            </c:ext>
          </c:extLst>
        </c:ser>
        <c:ser>
          <c:idx val="1"/>
          <c:order val="1"/>
          <c:tx>
            <c:strRef>
              <c:f>Analysis!$H$1773</c:f>
              <c:strCache>
                <c:ptCount val="1"/>
                <c:pt idx="0">
                  <c:v>NewCo</c:v>
                </c:pt>
              </c:strCache>
            </c:strRef>
          </c:tx>
          <c:spPr>
            <a:ln w="25400" cap="rnd">
              <a:solidFill>
                <a:srgbClr val="99CCFF"/>
              </a:solidFill>
              <a:prstDash val="solid"/>
              <a:round/>
            </a:ln>
            <a:effectLst/>
          </c:spPr>
          <c:marker>
            <c:symbol val="none"/>
          </c:marker>
          <c:cat>
            <c:numRef>
              <c:f>Analysis!$I$1771:$L$1771</c:f>
              <c:numCache>
                <c:formatCode>General</c:formatCode>
                <c:ptCount val="3"/>
                <c:pt idx="0">
                  <c:v>2019</c:v>
                </c:pt>
                <c:pt idx="1">
                  <c:v>2020</c:v>
                </c:pt>
                <c:pt idx="2">
                  <c:v>2021</c:v>
                </c:pt>
              </c:numCache>
            </c:numRef>
          </c:cat>
          <c:val>
            <c:numRef>
              <c:f>Analysis!$I$1773:$L$1773</c:f>
              <c:numCache>
                <c:formatCode>0.0\x</c:formatCode>
                <c:ptCount val="3"/>
                <c:pt idx="0">
                  <c:v>5.4086271985826553</c:v>
                </c:pt>
                <c:pt idx="1">
                  <c:v>5.8525726640568205</c:v>
                </c:pt>
                <c:pt idx="2">
                  <c:v>5.0246612966843847</c:v>
                </c:pt>
              </c:numCache>
            </c:numRef>
          </c:val>
          <c:smooth val="0"/>
          <c:extLst>
            <c:ext xmlns:c16="http://schemas.microsoft.com/office/drawing/2014/chart" uri="{C3380CC4-5D6E-409C-BE32-E72D297353CC}">
              <c16:uniqueId val="{00000001-9C19-454F-8DB8-A26AF480220E}"/>
            </c:ext>
          </c:extLst>
        </c:ser>
        <c:dLbls>
          <c:showLegendKey val="0"/>
          <c:showVal val="0"/>
          <c:showCatName val="0"/>
          <c:showSerName val="0"/>
          <c:showPercent val="0"/>
          <c:showBubbleSize val="0"/>
        </c:dLbls>
        <c:smooth val="0"/>
        <c:axId val="539088368"/>
        <c:axId val="751183712"/>
      </c:lineChart>
      <c:catAx>
        <c:axId val="539088368"/>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51183712"/>
        <c:crosses val="autoZero"/>
        <c:auto val="1"/>
        <c:lblAlgn val="ctr"/>
        <c:lblOffset val="100"/>
        <c:noMultiLvlLbl val="0"/>
      </c:catAx>
      <c:valAx>
        <c:axId val="751183712"/>
        <c:scaling>
          <c:orientation val="minMax"/>
        </c:scaling>
        <c:delete val="0"/>
        <c:axPos val="l"/>
        <c:majorGridlines>
          <c:spPr>
            <a:ln w="3175" cap="flat" cmpd="sng" algn="ctr">
              <a:solidFill>
                <a:srgbClr val="C0C0C0"/>
              </a:solidFill>
              <a:prstDash val="solid"/>
              <a:round/>
            </a:ln>
            <a:effectLst/>
          </c:spPr>
        </c:majorGridlines>
        <c:numFmt formatCode="0.0\x"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53908836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Analysis!$B$2026</c:f>
              <c:strCache>
                <c:ptCount val="1"/>
                <c:pt idx="0">
                  <c:v>Megacable</c:v>
                </c:pt>
              </c:strCache>
            </c:strRef>
          </c:tx>
          <c:spPr>
            <a:ln w="25400" cap="rnd">
              <a:solidFill>
                <a:srgbClr val="333399"/>
              </a:solidFill>
              <a:prstDash val="solid"/>
              <a:round/>
            </a:ln>
            <a:effectLst/>
          </c:spPr>
          <c:marker>
            <c:symbol val="none"/>
          </c:marker>
          <c:cat>
            <c:numRef>
              <c:f>Analysis!$N$2025:$T$2025</c:f>
              <c:numCache>
                <c:formatCode>General</c:formatCode>
                <c:ptCount val="5"/>
                <c:pt idx="0">
                  <c:v>2020</c:v>
                </c:pt>
                <c:pt idx="1">
                  <c:v>2021</c:v>
                </c:pt>
                <c:pt idx="2">
                  <c:v>2022</c:v>
                </c:pt>
                <c:pt idx="3">
                  <c:v>2023</c:v>
                </c:pt>
                <c:pt idx="4">
                  <c:v>2026</c:v>
                </c:pt>
              </c:numCache>
            </c:numRef>
          </c:cat>
          <c:val>
            <c:numRef>
              <c:f>Analysis!$N$2026:$T$2026</c:f>
              <c:numCache>
                <c:formatCode>0%</c:formatCode>
                <c:ptCount val="5"/>
                <c:pt idx="0">
                  <c:v>0.36103292677478444</c:v>
                </c:pt>
                <c:pt idx="1">
                  <c:v>0.38428890963708695</c:v>
                </c:pt>
                <c:pt idx="2">
                  <c:v>0.4</c:v>
                </c:pt>
                <c:pt idx="3">
                  <c:v>0.4</c:v>
                </c:pt>
                <c:pt idx="4">
                  <c:v>0.25</c:v>
                </c:pt>
              </c:numCache>
            </c:numRef>
          </c:val>
          <c:smooth val="0"/>
          <c:extLst>
            <c:ext xmlns:c16="http://schemas.microsoft.com/office/drawing/2014/chart" uri="{C3380CC4-5D6E-409C-BE32-E72D297353CC}">
              <c16:uniqueId val="{00000000-3EFC-4ABE-BE48-55ECC823E963}"/>
            </c:ext>
          </c:extLst>
        </c:ser>
        <c:ser>
          <c:idx val="1"/>
          <c:order val="1"/>
          <c:tx>
            <c:strRef>
              <c:f>Analysis!$B$2027</c:f>
              <c:strCache>
                <c:ptCount val="1"/>
                <c:pt idx="0">
                  <c:v>Televisa</c:v>
                </c:pt>
              </c:strCache>
            </c:strRef>
          </c:tx>
          <c:spPr>
            <a:ln w="25400" cap="rnd">
              <a:solidFill>
                <a:srgbClr val="99CCFF"/>
              </a:solidFill>
              <a:prstDash val="solid"/>
              <a:round/>
            </a:ln>
            <a:effectLst/>
          </c:spPr>
          <c:marker>
            <c:symbol val="none"/>
          </c:marker>
          <c:cat>
            <c:numRef>
              <c:f>Analysis!$N$2025:$T$2025</c:f>
              <c:numCache>
                <c:formatCode>General</c:formatCode>
                <c:ptCount val="5"/>
                <c:pt idx="0">
                  <c:v>2020</c:v>
                </c:pt>
                <c:pt idx="1">
                  <c:v>2021</c:v>
                </c:pt>
                <c:pt idx="2">
                  <c:v>2022</c:v>
                </c:pt>
                <c:pt idx="3">
                  <c:v>2023</c:v>
                </c:pt>
                <c:pt idx="4">
                  <c:v>2026</c:v>
                </c:pt>
              </c:numCache>
            </c:numRef>
          </c:cat>
          <c:val>
            <c:numRef>
              <c:f>Analysis!$N$2027:$T$2027</c:f>
              <c:numCache>
                <c:formatCode>0.0%</c:formatCode>
                <c:ptCount val="5"/>
                <c:pt idx="0">
                  <c:v>0.31367444690094803</c:v>
                </c:pt>
                <c:pt idx="1">
                  <c:v>0.36096736547868669</c:v>
                </c:pt>
                <c:pt idx="2">
                  <c:v>0.26830336818709483</c:v>
                </c:pt>
                <c:pt idx="3">
                  <c:v>0.22958045182111572</c:v>
                </c:pt>
                <c:pt idx="4">
                  <c:v>0.21250000000000002</c:v>
                </c:pt>
              </c:numCache>
            </c:numRef>
          </c:val>
          <c:smooth val="0"/>
          <c:extLst>
            <c:ext xmlns:c16="http://schemas.microsoft.com/office/drawing/2014/chart" uri="{C3380CC4-5D6E-409C-BE32-E72D297353CC}">
              <c16:uniqueId val="{00000001-3EFC-4ABE-BE48-55ECC823E963}"/>
            </c:ext>
          </c:extLst>
        </c:ser>
        <c:dLbls>
          <c:showLegendKey val="0"/>
          <c:showVal val="0"/>
          <c:showCatName val="0"/>
          <c:showSerName val="0"/>
          <c:showPercent val="0"/>
          <c:showBubbleSize val="0"/>
        </c:dLbls>
        <c:smooth val="0"/>
        <c:axId val="601482080"/>
        <c:axId val="770674960"/>
      </c:lineChart>
      <c:catAx>
        <c:axId val="601482080"/>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70674960"/>
        <c:crosses val="autoZero"/>
        <c:auto val="1"/>
        <c:lblAlgn val="ctr"/>
        <c:lblOffset val="100"/>
        <c:noMultiLvlLbl val="0"/>
      </c:catAx>
      <c:valAx>
        <c:axId val="77067496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0148208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Analysis!$B$2030</c:f>
              <c:strCache>
                <c:ptCount val="1"/>
                <c:pt idx="0">
                  <c:v>MEGA </c:v>
                </c:pt>
              </c:strCache>
            </c:strRef>
          </c:tx>
          <c:spPr>
            <a:solidFill>
              <a:srgbClr val="000080"/>
            </a:solidFill>
            <a:ln w="25400">
              <a:noFill/>
            </a:ln>
            <a:effectLst/>
          </c:spPr>
          <c:invertIfNegative val="0"/>
          <c:cat>
            <c:numRef>
              <c:f>Analysis!$C$2025:$M$2025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Analysis!$C$2030:$M$2030</c:f>
              <c:numCache>
                <c:formatCode>0.0%</c:formatCode>
                <c:ptCount val="9"/>
                <c:pt idx="0">
                  <c:v>0.21099999999999999</c:v>
                </c:pt>
                <c:pt idx="1">
                  <c:v>0.20841656678652284</c:v>
                </c:pt>
                <c:pt idx="2">
                  <c:v>0.19238695599466601</c:v>
                </c:pt>
                <c:pt idx="3">
                  <c:v>0.19962125431658684</c:v>
                </c:pt>
                <c:pt idx="4">
                  <c:v>0.23400874056416368</c:v>
                </c:pt>
                <c:pt idx="5">
                  <c:v>0.21882352941176469</c:v>
                </c:pt>
                <c:pt idx="6">
                  <c:v>0.14274919282819262</c:v>
                </c:pt>
                <c:pt idx="7">
                  <c:v>0.12036327180515421</c:v>
                </c:pt>
                <c:pt idx="8">
                  <c:v>0.17487129056516457</c:v>
                </c:pt>
              </c:numCache>
            </c:numRef>
          </c:val>
          <c:extLst>
            <c:ext xmlns:c16="http://schemas.microsoft.com/office/drawing/2014/chart" uri="{C3380CC4-5D6E-409C-BE32-E72D297353CC}">
              <c16:uniqueId val="{00000000-9D9B-469E-A990-0B37E92E48F5}"/>
            </c:ext>
          </c:extLst>
        </c:ser>
        <c:ser>
          <c:idx val="1"/>
          <c:order val="1"/>
          <c:tx>
            <c:strRef>
              <c:f>Analysis!$B$2031</c:f>
              <c:strCache>
                <c:ptCount val="1"/>
                <c:pt idx="0">
                  <c:v>TV</c:v>
                </c:pt>
              </c:strCache>
            </c:strRef>
          </c:tx>
          <c:spPr>
            <a:solidFill>
              <a:srgbClr val="9999FF"/>
            </a:solidFill>
            <a:ln w="25400">
              <a:noFill/>
            </a:ln>
            <a:effectLst/>
          </c:spPr>
          <c:invertIfNegative val="0"/>
          <c:cat>
            <c:numRef>
              <c:f>Analysis!$C$2025:$M$2025</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Analysis!$C$2031:$M$2031</c:f>
              <c:numCache>
                <c:formatCode>0.0%</c:formatCode>
                <c:ptCount val="9"/>
                <c:pt idx="0">
                  <c:v>-2.7538223487020785E-2</c:v>
                </c:pt>
                <c:pt idx="1">
                  <c:v>-0.13754126390276111</c:v>
                </c:pt>
                <c:pt idx="2">
                  <c:v>-1.992167446499548E-2</c:v>
                </c:pt>
                <c:pt idx="3">
                  <c:v>-1.1239274520885842E-2</c:v>
                </c:pt>
                <c:pt idx="4">
                  <c:v>-8.8858263122272227E-2</c:v>
                </c:pt>
                <c:pt idx="5">
                  <c:v>-7.0338870527100111E-2</c:v>
                </c:pt>
                <c:pt idx="6">
                  <c:v>-0.19971581315838433</c:v>
                </c:pt>
                <c:pt idx="7">
                  <c:v>-0.16669185616275137</c:v>
                </c:pt>
                <c:pt idx="8">
                  <c:v>0.10459543694020819</c:v>
                </c:pt>
              </c:numCache>
            </c:numRef>
          </c:val>
          <c:extLst>
            <c:ext xmlns:c16="http://schemas.microsoft.com/office/drawing/2014/chart" uri="{C3380CC4-5D6E-409C-BE32-E72D297353CC}">
              <c16:uniqueId val="{00000001-9D9B-469E-A990-0B37E92E48F5}"/>
            </c:ext>
          </c:extLst>
        </c:ser>
        <c:dLbls>
          <c:showLegendKey val="0"/>
          <c:showVal val="0"/>
          <c:showCatName val="0"/>
          <c:showSerName val="0"/>
          <c:showPercent val="0"/>
          <c:showBubbleSize val="0"/>
        </c:dLbls>
        <c:gapWidth val="150"/>
        <c:axId val="601482080"/>
        <c:axId val="770674960"/>
      </c:barChart>
      <c:catAx>
        <c:axId val="601482080"/>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70674960"/>
        <c:crosses val="autoZero"/>
        <c:auto val="1"/>
        <c:lblAlgn val="ctr"/>
        <c:lblOffset val="100"/>
        <c:noMultiLvlLbl val="0"/>
      </c:catAx>
      <c:valAx>
        <c:axId val="770674960"/>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0148208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83478199013505"/>
          <c:y val="8.6584876353645215E-2"/>
          <c:w val="0.57187821203082578"/>
          <c:h val="0.59348666252425009"/>
        </c:manualLayout>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B981-4504-872F-058E768F21D3}"/>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2-B981-4504-872F-058E768F21D3}"/>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3-B981-4504-872F-058E768F21D3}"/>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4-B981-4504-872F-058E768F21D3}"/>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5-B981-4504-872F-058E768F21D3}"/>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6-B981-4504-872F-058E768F21D3}"/>
              </c:ext>
            </c:extLst>
          </c:dPt>
          <c:dPt>
            <c:idx val="6"/>
            <c:bubble3D val="0"/>
            <c:spPr>
              <a:pattFill prst="wdDnDiag">
                <a:fgClr>
                  <a:srgbClr val="0000FF"/>
                </a:fgClr>
                <a:bgClr>
                  <a:srgbClr val="0000FF"/>
                </a:bgClr>
              </a:pattFill>
              <a:ln w="25400">
                <a:noFill/>
              </a:ln>
              <a:effectLst/>
            </c:spPr>
            <c:extLst>
              <c:ext xmlns:c16="http://schemas.microsoft.com/office/drawing/2014/chart" uri="{C3380CC4-5D6E-409C-BE32-E72D297353CC}">
                <c16:uniqueId val="{00000007-B981-4504-872F-058E768F21D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Analysis!$B$2003:$B$2009</c:f>
              <c:strCache>
                <c:ptCount val="7"/>
                <c:pt idx="0">
                  <c:v>Construction/upgrades</c:v>
                </c:pt>
                <c:pt idx="1">
                  <c:v>CPE</c:v>
                </c:pt>
                <c:pt idx="2">
                  <c:v>Data network</c:v>
                </c:pt>
                <c:pt idx="3">
                  <c:v>Other, special projects</c:v>
                </c:pt>
                <c:pt idx="4">
                  <c:v>Corporate segment</c:v>
                </c:pt>
                <c:pt idx="5">
                  <c:v>Transport, GTAC</c:v>
                </c:pt>
                <c:pt idx="6">
                  <c:v>CTC, tooling, IT</c:v>
                </c:pt>
              </c:strCache>
            </c:strRef>
          </c:cat>
          <c:val>
            <c:numRef>
              <c:f>Analysis!$C$2003:$C$2009</c:f>
              <c:numCache>
                <c:formatCode>0%</c:formatCode>
                <c:ptCount val="7"/>
                <c:pt idx="0">
                  <c:v>0.37</c:v>
                </c:pt>
                <c:pt idx="1">
                  <c:v>0.26</c:v>
                </c:pt>
                <c:pt idx="2">
                  <c:v>0.14000000000000001</c:v>
                </c:pt>
                <c:pt idx="3">
                  <c:v>0.1</c:v>
                </c:pt>
                <c:pt idx="4">
                  <c:v>7.0000000000000007E-2</c:v>
                </c:pt>
                <c:pt idx="5">
                  <c:v>0.04</c:v>
                </c:pt>
                <c:pt idx="6">
                  <c:v>0.02</c:v>
                </c:pt>
              </c:numCache>
            </c:numRef>
          </c:val>
          <c:extLst>
            <c:ext xmlns:c16="http://schemas.microsoft.com/office/drawing/2014/chart" uri="{C3380CC4-5D6E-409C-BE32-E72D297353CC}">
              <c16:uniqueId val="{00000000-B981-4504-872F-058E768F21D3}"/>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layout>
        <c:manualLayout>
          <c:xMode val="edge"/>
          <c:yMode val="edge"/>
          <c:x val="0"/>
          <c:y val="0.73629064821049695"/>
          <c:w val="1"/>
          <c:h val="0.24093502652372045"/>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40A8-4C90-A0C1-127E199CA5FF}"/>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40A8-4C90-A0C1-127E199CA5FF}"/>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5-40A8-4C90-A0C1-127E199CA5FF}"/>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7-40A8-4C90-A0C1-127E199CA5FF}"/>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9-40A8-4C90-A0C1-127E199CA5FF}"/>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B-40A8-4C90-A0C1-127E199CA5FF}"/>
              </c:ext>
            </c:extLst>
          </c:dPt>
          <c:dPt>
            <c:idx val="6"/>
            <c:bubble3D val="0"/>
            <c:spPr>
              <a:pattFill prst="wdDnDiag">
                <a:fgClr>
                  <a:srgbClr val="0000FF"/>
                </a:fgClr>
                <a:bgClr>
                  <a:srgbClr val="0000FF"/>
                </a:bgClr>
              </a:pattFill>
              <a:ln w="25400">
                <a:noFill/>
              </a:ln>
              <a:effectLst/>
            </c:spPr>
            <c:extLst>
              <c:ext xmlns:c16="http://schemas.microsoft.com/office/drawing/2014/chart" uri="{C3380CC4-5D6E-409C-BE32-E72D297353CC}">
                <c16:uniqueId val="{0000000D-40A8-4C90-A0C1-127E199CA5FF}"/>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Analysis!$B$2017:$B$2018</c:f>
              <c:strCache>
                <c:ptCount val="2"/>
                <c:pt idx="0">
                  <c:v>CPE</c:v>
                </c:pt>
                <c:pt idx="1">
                  <c:v>Other</c:v>
                </c:pt>
              </c:strCache>
            </c:strRef>
          </c:cat>
          <c:val>
            <c:numRef>
              <c:f>Analysis!$C$2017:$C$2018</c:f>
              <c:numCache>
                <c:formatCode>0%</c:formatCode>
                <c:ptCount val="2"/>
                <c:pt idx="0">
                  <c:v>0.5</c:v>
                </c:pt>
                <c:pt idx="1">
                  <c:v>0.5</c:v>
                </c:pt>
              </c:numCache>
            </c:numRef>
          </c:val>
          <c:extLst>
            <c:ext xmlns:c16="http://schemas.microsoft.com/office/drawing/2014/chart" uri="{C3380CC4-5D6E-409C-BE32-E72D297353CC}">
              <c16:uniqueId val="{0000000E-40A8-4C90-A0C1-127E199CA5FF}"/>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Analysis!$C$2033</c:f>
              <c:strCache>
                <c:ptCount val="1"/>
                <c:pt idx="0">
                  <c:v>OpFCF margin</c:v>
                </c:pt>
              </c:strCache>
            </c:strRef>
          </c:tx>
          <c:spPr>
            <a:solidFill>
              <a:schemeClr val="tx2"/>
            </a:solidFill>
            <a:ln w="25400">
              <a:solidFill>
                <a:srgbClr val="333399"/>
              </a:solidFill>
              <a:prstDash val="solid"/>
            </a:ln>
            <a:effectLst/>
          </c:spPr>
          <c:invertIfNegative val="0"/>
          <c:dPt>
            <c:idx val="6"/>
            <c:invertIfNegative val="0"/>
            <c:bubble3D val="0"/>
            <c:spPr>
              <a:solidFill>
                <a:srgbClr val="FF0000"/>
              </a:solidFill>
              <a:ln w="25400">
                <a:solidFill>
                  <a:srgbClr val="333399"/>
                </a:solidFill>
                <a:prstDash val="solid"/>
              </a:ln>
              <a:effectLst/>
            </c:spPr>
            <c:extLst>
              <c:ext xmlns:c16="http://schemas.microsoft.com/office/drawing/2014/chart" uri="{C3380CC4-5D6E-409C-BE32-E72D297353CC}">
                <c16:uniqueId val="{00000004-07B4-41A6-B2D2-D4C587599BB9}"/>
              </c:ext>
            </c:extLst>
          </c:dPt>
          <c:dPt>
            <c:idx val="8"/>
            <c:invertIfNegative val="0"/>
            <c:bubble3D val="0"/>
            <c:spPr>
              <a:solidFill>
                <a:srgbClr val="FF0000"/>
              </a:solidFill>
              <a:ln w="25400">
                <a:solidFill>
                  <a:srgbClr val="333399"/>
                </a:solidFill>
                <a:prstDash val="solid"/>
              </a:ln>
              <a:effectLst/>
            </c:spPr>
            <c:extLst>
              <c:ext xmlns:c16="http://schemas.microsoft.com/office/drawing/2014/chart" uri="{C3380CC4-5D6E-409C-BE32-E72D297353CC}">
                <c16:uniqueId val="{00000005-07B4-41A6-B2D2-D4C587599BB9}"/>
              </c:ext>
            </c:extLst>
          </c:dPt>
          <c:cat>
            <c:strRef>
              <c:f>Analysis!$B$2034:$B$2042</c:f>
              <c:strCache>
                <c:ptCount val="9"/>
                <c:pt idx="0">
                  <c:v>Telenet - Belgium</c:v>
                </c:pt>
                <c:pt idx="1">
                  <c:v>UPC - Switz</c:v>
                </c:pt>
                <c:pt idx="2">
                  <c:v>Altice US</c:v>
                </c:pt>
                <c:pt idx="3">
                  <c:v>LCPR - Puerto Rico</c:v>
                </c:pt>
                <c:pt idx="4">
                  <c:v>Charter - US</c:v>
                </c:pt>
                <c:pt idx="5">
                  <c:v>VTR - Chile</c:v>
                </c:pt>
                <c:pt idx="6">
                  <c:v>MEGA</c:v>
                </c:pt>
                <c:pt idx="7">
                  <c:v>NOS - Portugal</c:v>
                </c:pt>
                <c:pt idx="8">
                  <c:v>Izzy</c:v>
                </c:pt>
              </c:strCache>
            </c:strRef>
          </c:cat>
          <c:val>
            <c:numRef>
              <c:f>Analysis!$C$2034:$C$2042</c:f>
              <c:numCache>
                <c:formatCode>0.0%</c:formatCode>
                <c:ptCount val="9"/>
                <c:pt idx="0">
                  <c:v>0.33100000000000002</c:v>
                </c:pt>
                <c:pt idx="1">
                  <c:v>0.32300000000000001</c:v>
                </c:pt>
                <c:pt idx="2">
                  <c:v>0.29799999999999999</c:v>
                </c:pt>
                <c:pt idx="3">
                  <c:v>0.27</c:v>
                </c:pt>
                <c:pt idx="4">
                  <c:v>0.20899999999999999</c:v>
                </c:pt>
                <c:pt idx="5">
                  <c:v>0.18</c:v>
                </c:pt>
                <c:pt idx="6">
                  <c:v>0.17751556391219472</c:v>
                </c:pt>
                <c:pt idx="7">
                  <c:v>0.16131512148268015</c:v>
                </c:pt>
                <c:pt idx="8">
                  <c:v>0.11585055872620016</c:v>
                </c:pt>
              </c:numCache>
            </c:numRef>
          </c:val>
          <c:extLst>
            <c:ext xmlns:c16="http://schemas.microsoft.com/office/drawing/2014/chart" uri="{C3380CC4-5D6E-409C-BE32-E72D297353CC}">
              <c16:uniqueId val="{00000000-07B4-41A6-B2D2-D4C587599BB9}"/>
            </c:ext>
          </c:extLst>
        </c:ser>
        <c:dLbls>
          <c:showLegendKey val="0"/>
          <c:showVal val="0"/>
          <c:showCatName val="0"/>
          <c:showSerName val="0"/>
          <c:showPercent val="0"/>
          <c:showBubbleSize val="0"/>
        </c:dLbls>
        <c:gapWidth val="150"/>
        <c:axId val="888539456"/>
        <c:axId val="797787312"/>
      </c:barChart>
      <c:lineChart>
        <c:grouping val="standard"/>
        <c:varyColors val="0"/>
        <c:ser>
          <c:idx val="1"/>
          <c:order val="1"/>
          <c:tx>
            <c:strRef>
              <c:f>Analysis!$D$2033</c:f>
              <c:strCache>
                <c:ptCount val="1"/>
                <c:pt idx="0">
                  <c:v>Capex/sales</c:v>
                </c:pt>
              </c:strCache>
            </c:strRef>
          </c:tx>
          <c:spPr>
            <a:ln w="25400" cap="rnd">
              <a:solidFill>
                <a:srgbClr val="99CCFF"/>
              </a:solidFill>
              <a:prstDash val="solid"/>
              <a:round/>
            </a:ln>
            <a:effectLst/>
          </c:spPr>
          <c:marker>
            <c:symbol val="none"/>
          </c:marker>
          <c:cat>
            <c:strRef>
              <c:f>Analysis!$B$2034:$B$2042</c:f>
              <c:strCache>
                <c:ptCount val="9"/>
                <c:pt idx="0">
                  <c:v>Telenet - Belgium</c:v>
                </c:pt>
                <c:pt idx="1">
                  <c:v>UPC - Switz</c:v>
                </c:pt>
                <c:pt idx="2">
                  <c:v>Altice US</c:v>
                </c:pt>
                <c:pt idx="3">
                  <c:v>LCPR - Puerto Rico</c:v>
                </c:pt>
                <c:pt idx="4">
                  <c:v>Charter - US</c:v>
                </c:pt>
                <c:pt idx="5">
                  <c:v>VTR - Chile</c:v>
                </c:pt>
                <c:pt idx="6">
                  <c:v>MEGA</c:v>
                </c:pt>
                <c:pt idx="7">
                  <c:v>NOS - Portugal</c:v>
                </c:pt>
                <c:pt idx="8">
                  <c:v>Izzy</c:v>
                </c:pt>
              </c:strCache>
            </c:strRef>
          </c:cat>
          <c:val>
            <c:numRef>
              <c:f>Analysis!$D$2034:$D$2042</c:f>
              <c:numCache>
                <c:formatCode>0.0%</c:formatCode>
                <c:ptCount val="9"/>
                <c:pt idx="0">
                  <c:v>0.20399999999999999</c:v>
                </c:pt>
                <c:pt idx="1">
                  <c:v>0.215</c:v>
                </c:pt>
                <c:pt idx="2">
                  <c:v>0.13700000000000001</c:v>
                </c:pt>
                <c:pt idx="3">
                  <c:v>0.22</c:v>
                </c:pt>
                <c:pt idx="4">
                  <c:v>0.155</c:v>
                </c:pt>
                <c:pt idx="5">
                  <c:v>0.23</c:v>
                </c:pt>
                <c:pt idx="6">
                  <c:v>0.30249027957785596</c:v>
                </c:pt>
                <c:pt idx="7">
                  <c:v>0.23867089565378335</c:v>
                </c:pt>
                <c:pt idx="8">
                  <c:v>0.310939523284255</c:v>
                </c:pt>
              </c:numCache>
            </c:numRef>
          </c:val>
          <c:smooth val="0"/>
          <c:extLst>
            <c:ext xmlns:c16="http://schemas.microsoft.com/office/drawing/2014/chart" uri="{C3380CC4-5D6E-409C-BE32-E72D297353CC}">
              <c16:uniqueId val="{00000001-07B4-41A6-B2D2-D4C587599BB9}"/>
            </c:ext>
          </c:extLst>
        </c:ser>
        <c:dLbls>
          <c:showLegendKey val="0"/>
          <c:showVal val="0"/>
          <c:showCatName val="0"/>
          <c:showSerName val="0"/>
          <c:showPercent val="0"/>
          <c:showBubbleSize val="0"/>
        </c:dLbls>
        <c:marker val="1"/>
        <c:smooth val="0"/>
        <c:axId val="888539456"/>
        <c:axId val="797787312"/>
      </c:lineChart>
      <c:catAx>
        <c:axId val="888539456"/>
        <c:scaling>
          <c:orientation val="minMax"/>
        </c:scaling>
        <c:delete val="0"/>
        <c:axPos val="b"/>
        <c:numFmt formatCode="General" sourceLinked="1"/>
        <c:majorTickMark val="none"/>
        <c:minorTickMark val="none"/>
        <c:tickLblPos val="low"/>
        <c:spPr>
          <a:noFill/>
          <a:ln w="9525" cap="flat" cmpd="sng" algn="ctr">
            <a:solidFill>
              <a:srgbClr val="868686"/>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97787312"/>
        <c:crosses val="autoZero"/>
        <c:auto val="1"/>
        <c:lblAlgn val="ctr"/>
        <c:lblOffset val="100"/>
        <c:noMultiLvlLbl val="0"/>
      </c:catAx>
      <c:valAx>
        <c:axId val="797787312"/>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solidFill>
              <a:srgbClr val="868686"/>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8853945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Analysis!$B$2069</c:f>
              <c:strCache>
                <c:ptCount val="1"/>
                <c:pt idx="0">
                  <c:v>MEGA Base EFCF</c:v>
                </c:pt>
              </c:strCache>
            </c:strRef>
          </c:tx>
          <c:spPr>
            <a:ln w="25400" cap="rnd">
              <a:solidFill>
                <a:srgbClr val="002060"/>
              </a:solidFill>
              <a:prstDash val="solid"/>
              <a:round/>
            </a:ln>
            <a:effectLst/>
          </c:spPr>
          <c:marker>
            <c:symbol val="none"/>
          </c:marker>
          <c:cat>
            <c:numRef>
              <c:f>Analysis!$C$2068:$J$2068</c:f>
              <c:numCache>
                <c:formatCode>General</c:formatCode>
                <c:ptCount val="8"/>
                <c:pt idx="0">
                  <c:v>2018</c:v>
                </c:pt>
                <c:pt idx="1">
                  <c:v>2019</c:v>
                </c:pt>
                <c:pt idx="2">
                  <c:v>2020</c:v>
                </c:pt>
                <c:pt idx="3">
                  <c:v>2021</c:v>
                </c:pt>
                <c:pt idx="4">
                  <c:v>2022</c:v>
                </c:pt>
                <c:pt idx="5">
                  <c:v>2023</c:v>
                </c:pt>
                <c:pt idx="6">
                  <c:v>2024</c:v>
                </c:pt>
                <c:pt idx="7">
                  <c:v>2025</c:v>
                </c:pt>
              </c:numCache>
            </c:numRef>
          </c:cat>
          <c:val>
            <c:numRef>
              <c:f>Analysis!$C$2069:$J$2069</c:f>
              <c:numCache>
                <c:formatCode>#,##0</c:formatCode>
                <c:ptCount val="8"/>
                <c:pt idx="0">
                  <c:v>2102.1770000000006</c:v>
                </c:pt>
                <c:pt idx="1">
                  <c:v>1947.8409004383952</c:v>
                </c:pt>
                <c:pt idx="2">
                  <c:v>2188.3925210189741</c:v>
                </c:pt>
                <c:pt idx="3">
                  <c:v>2523.6633579052045</c:v>
                </c:pt>
                <c:pt idx="4">
                  <c:v>2926.337628367773</c:v>
                </c:pt>
                <c:pt idx="5">
                  <c:v>3447.5348227139202</c:v>
                </c:pt>
                <c:pt idx="6">
                  <c:v>4304.0946881249329</c:v>
                </c:pt>
                <c:pt idx="7">
                  <c:v>4941.1156643657696</c:v>
                </c:pt>
              </c:numCache>
            </c:numRef>
          </c:val>
          <c:smooth val="0"/>
          <c:extLst>
            <c:ext xmlns:c16="http://schemas.microsoft.com/office/drawing/2014/chart" uri="{C3380CC4-5D6E-409C-BE32-E72D297353CC}">
              <c16:uniqueId val="{00000000-E122-4C19-BEEF-ACD920F41E65}"/>
            </c:ext>
          </c:extLst>
        </c:ser>
        <c:ser>
          <c:idx val="1"/>
          <c:order val="1"/>
          <c:tx>
            <c:strRef>
              <c:f>Analysis!$B$2070</c:f>
              <c:strCache>
                <c:ptCount val="1"/>
                <c:pt idx="0">
                  <c:v>MEGA EFCF flat capex / sales</c:v>
                </c:pt>
              </c:strCache>
            </c:strRef>
          </c:tx>
          <c:spPr>
            <a:ln w="25400" cap="rnd">
              <a:solidFill>
                <a:srgbClr val="002060"/>
              </a:solidFill>
              <a:prstDash val="sysDash"/>
              <a:round/>
            </a:ln>
            <a:effectLst/>
          </c:spPr>
          <c:marker>
            <c:symbol val="none"/>
          </c:marker>
          <c:cat>
            <c:numRef>
              <c:f>Analysis!$C$2068:$J$2068</c:f>
              <c:numCache>
                <c:formatCode>General</c:formatCode>
                <c:ptCount val="8"/>
                <c:pt idx="0">
                  <c:v>2018</c:v>
                </c:pt>
                <c:pt idx="1">
                  <c:v>2019</c:v>
                </c:pt>
                <c:pt idx="2">
                  <c:v>2020</c:v>
                </c:pt>
                <c:pt idx="3">
                  <c:v>2021</c:v>
                </c:pt>
                <c:pt idx="4">
                  <c:v>2022</c:v>
                </c:pt>
                <c:pt idx="5">
                  <c:v>2023</c:v>
                </c:pt>
                <c:pt idx="6">
                  <c:v>2024</c:v>
                </c:pt>
                <c:pt idx="7">
                  <c:v>2025</c:v>
                </c:pt>
              </c:numCache>
            </c:numRef>
          </c:cat>
          <c:val>
            <c:numRef>
              <c:f>Analysis!$C$2070:$J$2070</c:f>
              <c:numCache>
                <c:formatCode>#,##0</c:formatCode>
                <c:ptCount val="8"/>
                <c:pt idx="0">
                  <c:v>2102.1770000000006</c:v>
                </c:pt>
                <c:pt idx="1">
                  <c:v>1947.8409004383952</c:v>
                </c:pt>
                <c:pt idx="2">
                  <c:v>2188.3925210189764</c:v>
                </c:pt>
                <c:pt idx="3">
                  <c:v>2523.6633579052282</c:v>
                </c:pt>
                <c:pt idx="4">
                  <c:v>2666.9892658966473</c:v>
                </c:pt>
                <c:pt idx="5">
                  <c:v>2901.8103627824576</c:v>
                </c:pt>
                <c:pt idx="6">
                  <c:v>3141.0990014069866</c:v>
                </c:pt>
                <c:pt idx="7">
                  <c:v>3403.860517199962</c:v>
                </c:pt>
              </c:numCache>
            </c:numRef>
          </c:val>
          <c:smooth val="0"/>
          <c:extLst>
            <c:ext xmlns:c16="http://schemas.microsoft.com/office/drawing/2014/chart" uri="{C3380CC4-5D6E-409C-BE32-E72D297353CC}">
              <c16:uniqueId val="{00000001-E122-4C19-BEEF-ACD920F41E65}"/>
            </c:ext>
          </c:extLst>
        </c:ser>
        <c:dLbls>
          <c:showLegendKey val="0"/>
          <c:showVal val="0"/>
          <c:showCatName val="0"/>
          <c:showSerName val="0"/>
          <c:showPercent val="0"/>
          <c:showBubbleSize val="0"/>
        </c:dLbls>
        <c:smooth val="0"/>
        <c:axId val="681044176"/>
        <c:axId val="695811776"/>
      </c:lineChart>
      <c:catAx>
        <c:axId val="681044176"/>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95811776"/>
        <c:crosses val="autoZero"/>
        <c:auto val="1"/>
        <c:lblAlgn val="ctr"/>
        <c:lblOffset val="100"/>
        <c:noMultiLvlLbl val="0"/>
      </c:catAx>
      <c:valAx>
        <c:axId val="69581177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8104417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Analysis!$B$2075</c:f>
              <c:strCache>
                <c:ptCount val="1"/>
                <c:pt idx="0">
                  <c:v>Televisa Base EFCF</c:v>
                </c:pt>
              </c:strCache>
            </c:strRef>
          </c:tx>
          <c:spPr>
            <a:ln w="25400" cap="rnd">
              <a:solidFill>
                <a:srgbClr val="333399"/>
              </a:solidFill>
              <a:prstDash val="solid"/>
              <a:round/>
            </a:ln>
            <a:effectLst/>
          </c:spPr>
          <c:marker>
            <c:symbol val="none"/>
          </c:marker>
          <c:cat>
            <c:numRef>
              <c:f>Analysis!$C$2068:$J$2068</c:f>
              <c:numCache>
                <c:formatCode>General</c:formatCode>
                <c:ptCount val="8"/>
                <c:pt idx="0">
                  <c:v>2018</c:v>
                </c:pt>
                <c:pt idx="1">
                  <c:v>2019</c:v>
                </c:pt>
                <c:pt idx="2">
                  <c:v>2020</c:v>
                </c:pt>
                <c:pt idx="3">
                  <c:v>2021</c:v>
                </c:pt>
                <c:pt idx="4">
                  <c:v>2022</c:v>
                </c:pt>
                <c:pt idx="5">
                  <c:v>2023</c:v>
                </c:pt>
                <c:pt idx="6">
                  <c:v>2024</c:v>
                </c:pt>
                <c:pt idx="7">
                  <c:v>2025</c:v>
                </c:pt>
              </c:numCache>
            </c:numRef>
          </c:cat>
          <c:val>
            <c:numRef>
              <c:f>Analysis!$C$2075:$J$2075</c:f>
              <c:numCache>
                <c:formatCode>#,##0</c:formatCode>
                <c:ptCount val="8"/>
                <c:pt idx="0">
                  <c:v>-6336.4500000000016</c:v>
                </c:pt>
                <c:pt idx="1">
                  <c:v>1558.974999999999</c:v>
                </c:pt>
                <c:pt idx="2">
                  <c:v>1357.487999999998</c:v>
                </c:pt>
                <c:pt idx="3">
                  <c:v>-3236.8922704130696</c:v>
                </c:pt>
                <c:pt idx="4">
                  <c:v>-13936.812500000005</c:v>
                </c:pt>
                <c:pt idx="5">
                  <c:v>-4241.3849999999975</c:v>
                </c:pt>
                <c:pt idx="6">
                  <c:v>2337.5805612914396</c:v>
                </c:pt>
                <c:pt idx="7">
                  <c:v>4060.386282554276</c:v>
                </c:pt>
              </c:numCache>
            </c:numRef>
          </c:val>
          <c:smooth val="0"/>
          <c:extLst>
            <c:ext xmlns:c16="http://schemas.microsoft.com/office/drawing/2014/chart" uri="{C3380CC4-5D6E-409C-BE32-E72D297353CC}">
              <c16:uniqueId val="{00000000-F60C-4999-9C0E-4ED34E00F0CE}"/>
            </c:ext>
          </c:extLst>
        </c:ser>
        <c:ser>
          <c:idx val="1"/>
          <c:order val="1"/>
          <c:tx>
            <c:strRef>
              <c:f>Analysis!$B$2076</c:f>
              <c:strCache>
                <c:ptCount val="1"/>
                <c:pt idx="0">
                  <c:v>Televisa EFCF Flat Izzy Capex </c:v>
                </c:pt>
              </c:strCache>
            </c:strRef>
          </c:tx>
          <c:spPr>
            <a:ln w="25400" cap="rnd">
              <a:solidFill>
                <a:srgbClr val="002060"/>
              </a:solidFill>
              <a:prstDash val="sysDash"/>
              <a:round/>
            </a:ln>
            <a:effectLst/>
          </c:spPr>
          <c:marker>
            <c:symbol val="none"/>
          </c:marker>
          <c:cat>
            <c:numRef>
              <c:f>Analysis!$C$2068:$J$2068</c:f>
              <c:numCache>
                <c:formatCode>General</c:formatCode>
                <c:ptCount val="8"/>
                <c:pt idx="0">
                  <c:v>2018</c:v>
                </c:pt>
                <c:pt idx="1">
                  <c:v>2019</c:v>
                </c:pt>
                <c:pt idx="2">
                  <c:v>2020</c:v>
                </c:pt>
                <c:pt idx="3">
                  <c:v>2021</c:v>
                </c:pt>
                <c:pt idx="4">
                  <c:v>2022</c:v>
                </c:pt>
                <c:pt idx="5">
                  <c:v>2023</c:v>
                </c:pt>
                <c:pt idx="6">
                  <c:v>2024</c:v>
                </c:pt>
                <c:pt idx="7">
                  <c:v>2025</c:v>
                </c:pt>
              </c:numCache>
            </c:numRef>
          </c:cat>
          <c:val>
            <c:numRef>
              <c:f>Analysis!$C$2076:$J$2076</c:f>
              <c:numCache>
                <c:formatCode>#,##0</c:formatCode>
                <c:ptCount val="8"/>
                <c:pt idx="0">
                  <c:v>-6336.4500000000016</c:v>
                </c:pt>
                <c:pt idx="1">
                  <c:v>-4.6510387079082092</c:v>
                </c:pt>
                <c:pt idx="2">
                  <c:v>1517.0293172625968</c:v>
                </c:pt>
                <c:pt idx="3">
                  <c:v>3951.0360586831716</c:v>
                </c:pt>
                <c:pt idx="4">
                  <c:v>5022.9242943414829</c:v>
                </c:pt>
                <c:pt idx="5">
                  <c:v>6089.4407536125009</c:v>
                </c:pt>
                <c:pt idx="6">
                  <c:v>6415.1246092898173</c:v>
                </c:pt>
                <c:pt idx="7">
                  <c:v>7300.8630329600619</c:v>
                </c:pt>
              </c:numCache>
            </c:numRef>
          </c:val>
          <c:smooth val="0"/>
          <c:extLst>
            <c:ext xmlns:c16="http://schemas.microsoft.com/office/drawing/2014/chart" uri="{C3380CC4-5D6E-409C-BE32-E72D297353CC}">
              <c16:uniqueId val="{00000001-F60C-4999-9C0E-4ED34E00F0CE}"/>
            </c:ext>
          </c:extLst>
        </c:ser>
        <c:ser>
          <c:idx val="2"/>
          <c:order val="2"/>
          <c:tx>
            <c:strRef>
              <c:f>Analysis!$B$2080</c:f>
              <c:strCache>
                <c:ptCount val="1"/>
                <c:pt idx="0">
                  <c:v>Izzy Base OpFCF</c:v>
                </c:pt>
              </c:strCache>
            </c:strRef>
          </c:tx>
          <c:spPr>
            <a:ln w="25400" cap="rnd">
              <a:solidFill>
                <a:srgbClr val="FF0000"/>
              </a:solidFill>
              <a:prstDash val="solid"/>
              <a:round/>
            </a:ln>
            <a:effectLst/>
          </c:spPr>
          <c:marker>
            <c:symbol val="none"/>
          </c:marker>
          <c:val>
            <c:numRef>
              <c:f>Analysis!$C$2080:$J$2080</c:f>
              <c:numCache>
                <c:formatCode>#,##0</c:formatCode>
                <c:ptCount val="8"/>
                <c:pt idx="0">
                  <c:v>2501.75</c:v>
                </c:pt>
                <c:pt idx="1">
                  <c:v>4831.1999999999989</c:v>
                </c:pt>
                <c:pt idx="2">
                  <c:v>4667.7999999999993</c:v>
                </c:pt>
                <c:pt idx="3">
                  <c:v>2951.0222390845338</c:v>
                </c:pt>
                <c:pt idx="4">
                  <c:v>6913.7510000000002</c:v>
                </c:pt>
                <c:pt idx="5">
                  <c:v>7616.9</c:v>
                </c:pt>
                <c:pt idx="6">
                  <c:v>7564.3875000000007</c:v>
                </c:pt>
                <c:pt idx="7">
                  <c:v>7886.4840000000004</c:v>
                </c:pt>
              </c:numCache>
            </c:numRef>
          </c:val>
          <c:smooth val="0"/>
          <c:extLst>
            <c:ext xmlns:c16="http://schemas.microsoft.com/office/drawing/2014/chart" uri="{C3380CC4-5D6E-409C-BE32-E72D297353CC}">
              <c16:uniqueId val="{00000002-F60C-4999-9C0E-4ED34E00F0CE}"/>
            </c:ext>
          </c:extLst>
        </c:ser>
        <c:ser>
          <c:idx val="3"/>
          <c:order val="3"/>
          <c:tx>
            <c:strRef>
              <c:f>Analysis!$B$2081</c:f>
              <c:strCache>
                <c:ptCount val="1"/>
                <c:pt idx="0">
                  <c:v>Izzy OpFCF flat capex</c:v>
                </c:pt>
              </c:strCache>
            </c:strRef>
          </c:tx>
          <c:spPr>
            <a:ln w="25400" cap="rnd">
              <a:solidFill>
                <a:srgbClr val="FF0000"/>
              </a:solidFill>
              <a:prstDash val="sysDash"/>
              <a:round/>
            </a:ln>
            <a:effectLst/>
          </c:spPr>
          <c:marker>
            <c:symbol val="none"/>
          </c:marker>
          <c:val>
            <c:numRef>
              <c:f>Analysis!$C$2081:$J$2081</c:f>
              <c:numCache>
                <c:formatCode>#,##0</c:formatCode>
                <c:ptCount val="8"/>
                <c:pt idx="0">
                  <c:v>2501.75</c:v>
                </c:pt>
                <c:pt idx="1">
                  <c:v>4375.1347499999993</c:v>
                </c:pt>
                <c:pt idx="2">
                  <c:v>6187.6905750000005</c:v>
                </c:pt>
                <c:pt idx="3">
                  <c:v>7672.7363130000012</c:v>
                </c:pt>
                <c:pt idx="4">
                  <c:v>8286.5552180400009</c:v>
                </c:pt>
                <c:pt idx="5">
                  <c:v>8949.4796354831997</c:v>
                </c:pt>
                <c:pt idx="6">
                  <c:v>9665.4380063218559</c:v>
                </c:pt>
                <c:pt idx="7">
                  <c:v>10438.673046827604</c:v>
                </c:pt>
              </c:numCache>
            </c:numRef>
          </c:val>
          <c:smooth val="0"/>
          <c:extLst>
            <c:ext xmlns:c16="http://schemas.microsoft.com/office/drawing/2014/chart" uri="{C3380CC4-5D6E-409C-BE32-E72D297353CC}">
              <c16:uniqueId val="{00000003-F60C-4999-9C0E-4ED34E00F0CE}"/>
            </c:ext>
          </c:extLst>
        </c:ser>
        <c:dLbls>
          <c:showLegendKey val="0"/>
          <c:showVal val="0"/>
          <c:showCatName val="0"/>
          <c:showSerName val="0"/>
          <c:showPercent val="0"/>
          <c:showBubbleSize val="0"/>
        </c:dLbls>
        <c:smooth val="0"/>
        <c:axId val="681044176"/>
        <c:axId val="695811776"/>
      </c:lineChart>
      <c:catAx>
        <c:axId val="681044176"/>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95811776"/>
        <c:crosses val="autoZero"/>
        <c:auto val="1"/>
        <c:lblAlgn val="ctr"/>
        <c:lblOffset val="100"/>
        <c:noMultiLvlLbl val="0"/>
      </c:catAx>
      <c:valAx>
        <c:axId val="69581177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81044176"/>
        <c:crosses val="autoZero"/>
        <c:crossBetween val="between"/>
      </c:valAx>
      <c:spPr>
        <a:noFill/>
        <a:ln w="25400">
          <a:noFill/>
        </a:ln>
        <a:effectLst/>
      </c:spPr>
    </c:plotArea>
    <c:legend>
      <c:legendPos val="b"/>
      <c:layout>
        <c:manualLayout>
          <c:xMode val="edge"/>
          <c:yMode val="edge"/>
          <c:x val="0"/>
          <c:y val="0.73227784808496343"/>
          <c:w val="1"/>
          <c:h val="0.2461535239090506"/>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Analysis!$B$2088</c:f>
              <c:strCache>
                <c:ptCount val="1"/>
                <c:pt idx="0">
                  <c:v>Televisa</c:v>
                </c:pt>
              </c:strCache>
            </c:strRef>
          </c:tx>
          <c:spPr>
            <a:solidFill>
              <a:srgbClr val="000080"/>
            </a:solidFill>
            <a:ln w="25400">
              <a:noFill/>
            </a:ln>
            <a:effectLst/>
          </c:spPr>
          <c:invertIfNegative val="0"/>
          <c:cat>
            <c:numRef>
              <c:f>Analysis!$C$2087:$E$2087</c:f>
              <c:numCache>
                <c:formatCode>General</c:formatCode>
                <c:ptCount val="3"/>
                <c:pt idx="0">
                  <c:v>2019</c:v>
                </c:pt>
                <c:pt idx="1">
                  <c:v>2020</c:v>
                </c:pt>
                <c:pt idx="2">
                  <c:v>2021</c:v>
                </c:pt>
              </c:numCache>
            </c:numRef>
          </c:cat>
          <c:val>
            <c:numRef>
              <c:f>Analysis!$C$2088:$E$2088</c:f>
              <c:numCache>
                <c:formatCode>0.0%</c:formatCode>
                <c:ptCount val="3"/>
                <c:pt idx="0">
                  <c:v>4.484386342408074E-2</c:v>
                </c:pt>
                <c:pt idx="1">
                  <c:v>3.4879461290965287E-2</c:v>
                </c:pt>
                <c:pt idx="2">
                  <c:v>-8.8066375785914766E-2</c:v>
                </c:pt>
              </c:numCache>
            </c:numRef>
          </c:val>
          <c:extLst>
            <c:ext xmlns:c16="http://schemas.microsoft.com/office/drawing/2014/chart" uri="{C3380CC4-5D6E-409C-BE32-E72D297353CC}">
              <c16:uniqueId val="{00000000-C224-4035-BFBB-2A59EAD3242F}"/>
            </c:ext>
          </c:extLst>
        </c:ser>
        <c:ser>
          <c:idx val="1"/>
          <c:order val="1"/>
          <c:tx>
            <c:strRef>
              <c:f>Analysis!$B$2089</c:f>
              <c:strCache>
                <c:ptCount val="1"/>
                <c:pt idx="0">
                  <c:v>MEGA</c:v>
                </c:pt>
              </c:strCache>
            </c:strRef>
          </c:tx>
          <c:spPr>
            <a:solidFill>
              <a:srgbClr val="9999FF"/>
            </a:solidFill>
            <a:ln w="25400">
              <a:noFill/>
            </a:ln>
            <a:effectLst/>
          </c:spPr>
          <c:invertIfNegative val="0"/>
          <c:cat>
            <c:numRef>
              <c:f>Analysis!$C$2087:$E$2087</c:f>
              <c:numCache>
                <c:formatCode>General</c:formatCode>
                <c:ptCount val="3"/>
                <c:pt idx="0">
                  <c:v>2019</c:v>
                </c:pt>
                <c:pt idx="1">
                  <c:v>2020</c:v>
                </c:pt>
                <c:pt idx="2">
                  <c:v>2021</c:v>
                </c:pt>
              </c:numCache>
            </c:numRef>
          </c:cat>
          <c:val>
            <c:numRef>
              <c:f>Analysis!$C$2089:$E$2089</c:f>
              <c:numCache>
                <c:formatCode>0.0%</c:formatCode>
                <c:ptCount val="3"/>
                <c:pt idx="0">
                  <c:v>2.7311924902426496E-2</c:v>
                </c:pt>
                <c:pt idx="1">
                  <c:v>3.250484201899792E-2</c:v>
                </c:pt>
                <c:pt idx="2">
                  <c:v>3.9391165704192418E-2</c:v>
                </c:pt>
              </c:numCache>
            </c:numRef>
          </c:val>
          <c:extLst>
            <c:ext xmlns:c16="http://schemas.microsoft.com/office/drawing/2014/chart" uri="{C3380CC4-5D6E-409C-BE32-E72D297353CC}">
              <c16:uniqueId val="{00000001-C224-4035-BFBB-2A59EAD3242F}"/>
            </c:ext>
          </c:extLst>
        </c:ser>
        <c:dLbls>
          <c:showLegendKey val="0"/>
          <c:showVal val="0"/>
          <c:showCatName val="0"/>
          <c:showSerName val="0"/>
          <c:showPercent val="0"/>
          <c:showBubbleSize val="0"/>
        </c:dLbls>
        <c:gapWidth val="219"/>
        <c:overlap val="-27"/>
        <c:axId val="859130384"/>
        <c:axId val="817924400"/>
      </c:barChart>
      <c:catAx>
        <c:axId val="85913038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17924400"/>
        <c:crosses val="autoZero"/>
        <c:auto val="1"/>
        <c:lblAlgn val="ctr"/>
        <c:lblOffset val="100"/>
        <c:noMultiLvlLbl val="0"/>
      </c:catAx>
      <c:valAx>
        <c:axId val="817924400"/>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5913038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Analysis!$D$2124</c:f>
              <c:strCache>
                <c:ptCount val="1"/>
                <c:pt idx="0">
                  <c:v>MXN m</c:v>
                </c:pt>
              </c:strCache>
            </c:strRef>
          </c:tx>
          <c:spPr>
            <a:solidFill>
              <a:srgbClr val="000080"/>
            </a:solidFill>
            <a:ln w="25400">
              <a:noFill/>
            </a:ln>
            <a:effectLst/>
          </c:spPr>
          <c:invertIfNegative val="0"/>
          <c:dPt>
            <c:idx val="1"/>
            <c:invertIfNegative val="0"/>
            <c:bubble3D val="0"/>
            <c:spPr>
              <a:pattFill prst="pct20">
                <a:fgClr>
                  <a:srgbClr val="000080"/>
                </a:fgClr>
                <a:bgClr>
                  <a:schemeClr val="bg1"/>
                </a:bgClr>
              </a:pattFill>
              <a:ln w="25400">
                <a:solidFill>
                  <a:srgbClr val="002060"/>
                </a:solidFill>
              </a:ln>
              <a:effectLst/>
            </c:spPr>
            <c:extLst>
              <c:ext xmlns:c16="http://schemas.microsoft.com/office/drawing/2014/chart" uri="{C3380CC4-5D6E-409C-BE32-E72D297353CC}">
                <c16:uniqueId val="{00000003-2068-4BD7-A976-C06CD34E414A}"/>
              </c:ext>
            </c:extLst>
          </c:dPt>
          <c:cat>
            <c:strRef>
              <c:f>Analysis!$C$2125:$C$2142</c:f>
              <c:strCache>
                <c:ptCount val="18"/>
                <c:pt idx="0">
                  <c:v>2019</c:v>
                </c:pt>
                <c:pt idx="1">
                  <c:v>2020</c:v>
                </c:pt>
                <c:pt idx="2">
                  <c:v>2021</c:v>
                </c:pt>
                <c:pt idx="3">
                  <c:v>2022</c:v>
                </c:pt>
                <c:pt idx="4">
                  <c:v>2023</c:v>
                </c:pt>
                <c:pt idx="5">
                  <c:v>2024</c:v>
                </c:pt>
                <c:pt idx="6">
                  <c:v>2025</c:v>
                </c:pt>
                <c:pt idx="7">
                  <c:v>2026</c:v>
                </c:pt>
                <c:pt idx="8">
                  <c:v>2027</c:v>
                </c:pt>
                <c:pt idx="9">
                  <c:v>..</c:v>
                </c:pt>
                <c:pt idx="10">
                  <c:v>2032</c:v>
                </c:pt>
                <c:pt idx="11">
                  <c:v>..</c:v>
                </c:pt>
                <c:pt idx="12">
                  <c:v>2037</c:v>
                </c:pt>
                <c:pt idx="13">
                  <c:v>2040</c:v>
                </c:pt>
                <c:pt idx="14">
                  <c:v>2043</c:v>
                </c:pt>
                <c:pt idx="15">
                  <c:v>2045</c:v>
                </c:pt>
                <c:pt idx="16">
                  <c:v>2046</c:v>
                </c:pt>
                <c:pt idx="17">
                  <c:v>2049</c:v>
                </c:pt>
              </c:strCache>
            </c:strRef>
          </c:cat>
          <c:val>
            <c:numRef>
              <c:f>Analysis!$D$2125:$D$2142</c:f>
              <c:numCache>
                <c:formatCode>General</c:formatCode>
                <c:ptCount val="18"/>
                <c:pt idx="0">
                  <c:v>18</c:v>
                </c:pt>
                <c:pt idx="1">
                  <c:v>623</c:v>
                </c:pt>
                <c:pt idx="2">
                  <c:v>105</c:v>
                </c:pt>
                <c:pt idx="3">
                  <c:v>361</c:v>
                </c:pt>
                <c:pt idx="4">
                  <c:v>184</c:v>
                </c:pt>
                <c:pt idx="5">
                  <c:v>527</c:v>
                </c:pt>
                <c:pt idx="6">
                  <c:v>0</c:v>
                </c:pt>
                <c:pt idx="7">
                  <c:v>0</c:v>
                </c:pt>
                <c:pt idx="8">
                  <c:v>237</c:v>
                </c:pt>
                <c:pt idx="9">
                  <c:v>0</c:v>
                </c:pt>
                <c:pt idx="10">
                  <c:v>0</c:v>
                </c:pt>
                <c:pt idx="11">
                  <c:v>0</c:v>
                </c:pt>
                <c:pt idx="12">
                  <c:v>237</c:v>
                </c:pt>
                <c:pt idx="13">
                  <c:v>0</c:v>
                </c:pt>
                <c:pt idx="14">
                  <c:v>342</c:v>
                </c:pt>
              </c:numCache>
            </c:numRef>
          </c:val>
          <c:extLst>
            <c:ext xmlns:c16="http://schemas.microsoft.com/office/drawing/2014/chart" uri="{C3380CC4-5D6E-409C-BE32-E72D297353CC}">
              <c16:uniqueId val="{00000000-2068-4BD7-A976-C06CD34E414A}"/>
            </c:ext>
          </c:extLst>
        </c:ser>
        <c:ser>
          <c:idx val="1"/>
          <c:order val="1"/>
          <c:tx>
            <c:strRef>
              <c:f>Analysis!$E$2124</c:f>
              <c:strCache>
                <c:ptCount val="1"/>
                <c:pt idx="0">
                  <c:v>USD m</c:v>
                </c:pt>
              </c:strCache>
            </c:strRef>
          </c:tx>
          <c:spPr>
            <a:solidFill>
              <a:srgbClr val="9999FF"/>
            </a:solidFill>
            <a:ln w="25400">
              <a:noFill/>
            </a:ln>
            <a:effectLst/>
          </c:spPr>
          <c:invertIfNegative val="0"/>
          <c:cat>
            <c:strRef>
              <c:f>Analysis!$C$2125:$C$2142</c:f>
              <c:strCache>
                <c:ptCount val="18"/>
                <c:pt idx="0">
                  <c:v>2019</c:v>
                </c:pt>
                <c:pt idx="1">
                  <c:v>2020</c:v>
                </c:pt>
                <c:pt idx="2">
                  <c:v>2021</c:v>
                </c:pt>
                <c:pt idx="3">
                  <c:v>2022</c:v>
                </c:pt>
                <c:pt idx="4">
                  <c:v>2023</c:v>
                </c:pt>
                <c:pt idx="5">
                  <c:v>2024</c:v>
                </c:pt>
                <c:pt idx="6">
                  <c:v>2025</c:v>
                </c:pt>
                <c:pt idx="7">
                  <c:v>2026</c:v>
                </c:pt>
                <c:pt idx="8">
                  <c:v>2027</c:v>
                </c:pt>
                <c:pt idx="9">
                  <c:v>..</c:v>
                </c:pt>
                <c:pt idx="10">
                  <c:v>2032</c:v>
                </c:pt>
                <c:pt idx="11">
                  <c:v>..</c:v>
                </c:pt>
                <c:pt idx="12">
                  <c:v>2037</c:v>
                </c:pt>
                <c:pt idx="13">
                  <c:v>2040</c:v>
                </c:pt>
                <c:pt idx="14">
                  <c:v>2043</c:v>
                </c:pt>
                <c:pt idx="15">
                  <c:v>2045</c:v>
                </c:pt>
                <c:pt idx="16">
                  <c:v>2046</c:v>
                </c:pt>
                <c:pt idx="17">
                  <c:v>2049</c:v>
                </c:pt>
              </c:strCache>
            </c:strRef>
          </c:cat>
          <c:val>
            <c:numRef>
              <c:f>Analysis!$E$2125:$E$2142</c:f>
              <c:numCache>
                <c:formatCode>General</c:formatCode>
                <c:ptCount val="18"/>
                <c:pt idx="6">
                  <c:v>0</c:v>
                </c:pt>
                <c:pt idx="7">
                  <c:v>0</c:v>
                </c:pt>
                <c:pt idx="8">
                  <c:v>237</c:v>
                </c:pt>
                <c:pt idx="9">
                  <c:v>0</c:v>
                </c:pt>
                <c:pt idx="10">
                  <c:v>300</c:v>
                </c:pt>
                <c:pt idx="11">
                  <c:v>0</c:v>
                </c:pt>
                <c:pt idx="13">
                  <c:v>600</c:v>
                </c:pt>
                <c:pt idx="15">
                  <c:v>1000</c:v>
                </c:pt>
                <c:pt idx="16">
                  <c:v>900</c:v>
                </c:pt>
                <c:pt idx="17">
                  <c:v>750</c:v>
                </c:pt>
              </c:numCache>
            </c:numRef>
          </c:val>
          <c:extLst>
            <c:ext xmlns:c16="http://schemas.microsoft.com/office/drawing/2014/chart" uri="{C3380CC4-5D6E-409C-BE32-E72D297353CC}">
              <c16:uniqueId val="{00000002-2068-4BD7-A976-C06CD34E414A}"/>
            </c:ext>
          </c:extLst>
        </c:ser>
        <c:dLbls>
          <c:showLegendKey val="0"/>
          <c:showVal val="0"/>
          <c:showCatName val="0"/>
          <c:showSerName val="0"/>
          <c:showPercent val="0"/>
          <c:showBubbleSize val="0"/>
        </c:dLbls>
        <c:gapWidth val="219"/>
        <c:overlap val="100"/>
        <c:axId val="699553376"/>
        <c:axId val="840629216"/>
      </c:barChart>
      <c:catAx>
        <c:axId val="69955337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40629216"/>
        <c:crosses val="autoZero"/>
        <c:auto val="1"/>
        <c:lblAlgn val="ctr"/>
        <c:lblOffset val="100"/>
        <c:noMultiLvlLbl val="0"/>
      </c:catAx>
      <c:valAx>
        <c:axId val="840629216"/>
        <c:scaling>
          <c:orientation val="minMax"/>
          <c:max val="1000"/>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USD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General"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9955337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Analysis!$B$202</c:f>
              <c:strCache>
                <c:ptCount val="1"/>
                <c:pt idx="0">
                  <c:v>Nominal GDP growth</c:v>
                </c:pt>
              </c:strCache>
            </c:strRef>
          </c:tx>
          <c:spPr>
            <a:ln w="25400">
              <a:solidFill>
                <a:srgbClr val="333399"/>
              </a:solidFill>
              <a:prstDash val="solid"/>
            </a:ln>
            <a:effectLst/>
          </c:spPr>
          <c:marker>
            <c:symbol val="none"/>
          </c:marker>
          <c:cat>
            <c:numRef>
              <c:f>Analysis!$C$201:$I$201</c:f>
              <c:numCache>
                <c:formatCode>General</c:formatCode>
                <c:ptCount val="7"/>
                <c:pt idx="0">
                  <c:v>2012</c:v>
                </c:pt>
                <c:pt idx="1">
                  <c:v>2013</c:v>
                </c:pt>
                <c:pt idx="2">
                  <c:v>2014</c:v>
                </c:pt>
                <c:pt idx="3">
                  <c:v>2015</c:v>
                </c:pt>
                <c:pt idx="4">
                  <c:v>2016</c:v>
                </c:pt>
                <c:pt idx="5">
                  <c:v>2017</c:v>
                </c:pt>
                <c:pt idx="6">
                  <c:v>2018</c:v>
                </c:pt>
              </c:numCache>
            </c:numRef>
          </c:cat>
          <c:val>
            <c:numRef>
              <c:f>Analysis!$C$202:$I$202</c:f>
              <c:numCache>
                <c:formatCode>0.0%</c:formatCode>
                <c:ptCount val="7"/>
                <c:pt idx="0">
                  <c:v>8.1100000000000005E-2</c:v>
                </c:pt>
                <c:pt idx="1">
                  <c:v>5.21E-2</c:v>
                </c:pt>
                <c:pt idx="2">
                  <c:v>6.1200000000000004E-2</c:v>
                </c:pt>
                <c:pt idx="3">
                  <c:v>5.5E-2</c:v>
                </c:pt>
                <c:pt idx="4">
                  <c:v>6.4000000000000001E-2</c:v>
                </c:pt>
                <c:pt idx="5">
                  <c:v>5.7999999999999996E-2</c:v>
                </c:pt>
                <c:pt idx="6">
                  <c:v>5.6999999999999995E-2</c:v>
                </c:pt>
              </c:numCache>
            </c:numRef>
          </c:val>
          <c:smooth val="0"/>
          <c:extLst>
            <c:ext xmlns:c16="http://schemas.microsoft.com/office/drawing/2014/chart" uri="{C3380CC4-5D6E-409C-BE32-E72D297353CC}">
              <c16:uniqueId val="{00000000-3187-4004-B40D-382FD29F6A17}"/>
            </c:ext>
          </c:extLst>
        </c:ser>
        <c:ser>
          <c:idx val="1"/>
          <c:order val="1"/>
          <c:tx>
            <c:strRef>
              <c:f>Analysis!$B$203</c:f>
              <c:strCache>
                <c:ptCount val="1"/>
                <c:pt idx="0">
                  <c:v>Advertising revenue</c:v>
                </c:pt>
              </c:strCache>
            </c:strRef>
          </c:tx>
          <c:spPr>
            <a:ln w="25400">
              <a:solidFill>
                <a:srgbClr val="99CCFF"/>
              </a:solidFill>
              <a:prstDash val="solid"/>
            </a:ln>
            <a:effectLst/>
          </c:spPr>
          <c:marker>
            <c:symbol val="none"/>
          </c:marker>
          <c:cat>
            <c:numRef>
              <c:f>Analysis!$C$201:$I$201</c:f>
              <c:numCache>
                <c:formatCode>General</c:formatCode>
                <c:ptCount val="7"/>
                <c:pt idx="0">
                  <c:v>2012</c:v>
                </c:pt>
                <c:pt idx="1">
                  <c:v>2013</c:v>
                </c:pt>
                <c:pt idx="2">
                  <c:v>2014</c:v>
                </c:pt>
                <c:pt idx="3">
                  <c:v>2015</c:v>
                </c:pt>
                <c:pt idx="4">
                  <c:v>2016</c:v>
                </c:pt>
                <c:pt idx="5">
                  <c:v>2017</c:v>
                </c:pt>
                <c:pt idx="6">
                  <c:v>2018</c:v>
                </c:pt>
              </c:numCache>
            </c:numRef>
          </c:cat>
          <c:val>
            <c:numRef>
              <c:f>Analysis!$C$203:$I$203</c:f>
              <c:numCache>
                <c:formatCode>0.0%</c:formatCode>
                <c:ptCount val="7"/>
                <c:pt idx="0">
                  <c:v>3.144862773150181E-2</c:v>
                </c:pt>
                <c:pt idx="1">
                  <c:v>3.8837060649484556E-2</c:v>
                </c:pt>
                <c:pt idx="2">
                  <c:v>2.4137861695924023E-2</c:v>
                </c:pt>
                <c:pt idx="3">
                  <c:v>-9.5673788664752957E-2</c:v>
                </c:pt>
                <c:pt idx="4">
                  <c:v>8.4197088057389458E-3</c:v>
                </c:pt>
                <c:pt idx="5">
                  <c:v>-0.10783182334906471</c:v>
                </c:pt>
                <c:pt idx="6">
                  <c:v>2.1043486654761301E-2</c:v>
                </c:pt>
              </c:numCache>
            </c:numRef>
          </c:val>
          <c:smooth val="0"/>
          <c:extLst>
            <c:ext xmlns:c16="http://schemas.microsoft.com/office/drawing/2014/chart" uri="{C3380CC4-5D6E-409C-BE32-E72D297353CC}">
              <c16:uniqueId val="{00000001-3187-4004-B40D-382FD29F6A17}"/>
            </c:ext>
          </c:extLst>
        </c:ser>
        <c:dLbls>
          <c:showLegendKey val="0"/>
          <c:showVal val="0"/>
          <c:showCatName val="0"/>
          <c:showSerName val="0"/>
          <c:showPercent val="0"/>
          <c:showBubbleSize val="0"/>
        </c:dLbls>
        <c:smooth val="0"/>
        <c:axId val="119024640"/>
        <c:axId val="119030528"/>
      </c:lineChart>
      <c:catAx>
        <c:axId val="119024640"/>
        <c:scaling>
          <c:orientation val="minMax"/>
        </c:scaling>
        <c:delete val="0"/>
        <c:axPos val="b"/>
        <c:numFmt formatCode="General" sourceLinked="1"/>
        <c:majorTickMark val="out"/>
        <c:minorTickMark val="none"/>
        <c:tickLblPos val="low"/>
        <c:crossAx val="119030528"/>
        <c:crosses val="autoZero"/>
        <c:auto val="1"/>
        <c:lblAlgn val="ctr"/>
        <c:lblOffset val="100"/>
        <c:noMultiLvlLbl val="0"/>
      </c:catAx>
      <c:valAx>
        <c:axId val="11903052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crossAx val="119024640"/>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dPt>
            <c:idx val="4"/>
            <c:invertIfNegative val="0"/>
            <c:bubble3D val="0"/>
            <c:extLst>
              <c:ext xmlns:c16="http://schemas.microsoft.com/office/drawing/2014/chart" uri="{C3380CC4-5D6E-409C-BE32-E72D297353CC}">
                <c16:uniqueId val="{00000002-8E49-4CC6-927D-E764F6BACA4A}"/>
              </c:ext>
            </c:extLst>
          </c:dPt>
          <c:dPt>
            <c:idx val="5"/>
            <c:invertIfNegative val="0"/>
            <c:bubble3D val="0"/>
            <c:spPr>
              <a:solidFill>
                <a:schemeClr val="tx2">
                  <a:lumMod val="20000"/>
                  <a:lumOff val="80000"/>
                </a:schemeClr>
              </a:solidFill>
              <a:ln w="25400">
                <a:solidFill>
                  <a:schemeClr val="tx1"/>
                </a:solidFill>
              </a:ln>
              <a:effectLst/>
            </c:spPr>
            <c:extLst>
              <c:ext xmlns:c16="http://schemas.microsoft.com/office/drawing/2014/chart" uri="{C3380CC4-5D6E-409C-BE32-E72D297353CC}">
                <c16:uniqueId val="{00000001-A14B-474D-AC5A-17B152B96F61}"/>
              </c:ext>
            </c:extLst>
          </c:dPt>
          <c:cat>
            <c:strRef>
              <c:f>Analysis!$B$2162:$B$2167</c:f>
              <c:strCache>
                <c:ptCount val="6"/>
                <c:pt idx="0">
                  <c:v>Disney</c:v>
                </c:pt>
                <c:pt idx="1">
                  <c:v>EOne (@ Hasbro bid)</c:v>
                </c:pt>
                <c:pt idx="2">
                  <c:v>Discovery</c:v>
                </c:pt>
                <c:pt idx="3">
                  <c:v>ITV</c:v>
                </c:pt>
                <c:pt idx="4">
                  <c:v>RTL</c:v>
                </c:pt>
                <c:pt idx="5">
                  <c:v>TV implied Content</c:v>
                </c:pt>
              </c:strCache>
            </c:strRef>
          </c:cat>
          <c:val>
            <c:numRef>
              <c:f>Analysis!$C$2162:$C$2167</c:f>
              <c:numCache>
                <c:formatCode>0.0</c:formatCode>
                <c:ptCount val="6"/>
                <c:pt idx="0" formatCode="General">
                  <c:v>18.5</c:v>
                </c:pt>
                <c:pt idx="1">
                  <c:v>15</c:v>
                </c:pt>
                <c:pt idx="2" formatCode="General">
                  <c:v>8.5</c:v>
                </c:pt>
                <c:pt idx="3" formatCode="General">
                  <c:v>7.1</c:v>
                </c:pt>
                <c:pt idx="4">
                  <c:v>5</c:v>
                </c:pt>
                <c:pt idx="5" formatCode="General">
                  <c:v>4.5</c:v>
                </c:pt>
              </c:numCache>
            </c:numRef>
          </c:val>
          <c:extLst>
            <c:ext xmlns:c16="http://schemas.microsoft.com/office/drawing/2014/chart" uri="{C3380CC4-5D6E-409C-BE32-E72D297353CC}">
              <c16:uniqueId val="{00000000-A14B-474D-AC5A-17B152B96F61}"/>
            </c:ext>
          </c:extLst>
        </c:ser>
        <c:dLbls>
          <c:showLegendKey val="0"/>
          <c:showVal val="0"/>
          <c:showCatName val="0"/>
          <c:showSerName val="0"/>
          <c:showPercent val="0"/>
          <c:showBubbleSize val="0"/>
        </c:dLbls>
        <c:gapWidth val="219"/>
        <c:overlap val="-27"/>
        <c:axId val="445224768"/>
        <c:axId val="411355008"/>
      </c:barChart>
      <c:catAx>
        <c:axId val="44522476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411355008"/>
        <c:crosses val="autoZero"/>
        <c:auto val="1"/>
        <c:lblAlgn val="ctr"/>
        <c:lblOffset val="100"/>
        <c:noMultiLvlLbl val="0"/>
      </c:catAx>
      <c:valAx>
        <c:axId val="411355008"/>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EV/EBITDA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General"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44522476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cat>
            <c:strRef>
              <c:f>Analysis!$B$2190:$B$2192</c:f>
              <c:strCache>
                <c:ptCount val="3"/>
                <c:pt idx="0">
                  <c:v>&lt;2</c:v>
                </c:pt>
                <c:pt idx="1">
                  <c:v>10-100</c:v>
                </c:pt>
                <c:pt idx="2">
                  <c:v>&gt;100</c:v>
                </c:pt>
              </c:strCache>
            </c:strRef>
          </c:cat>
          <c:val>
            <c:numRef>
              <c:f>Analysis!$D$2190:$D$2192</c:f>
              <c:numCache>
                <c:formatCode>0%</c:formatCode>
                <c:ptCount val="3"/>
                <c:pt idx="0">
                  <c:v>8.7196350906969339E-2</c:v>
                </c:pt>
                <c:pt idx="1">
                  <c:v>0.87986634135992359</c:v>
                </c:pt>
                <c:pt idx="2">
                  <c:v>3.2937307733107032E-2</c:v>
                </c:pt>
              </c:numCache>
            </c:numRef>
          </c:val>
          <c:extLst>
            <c:ext xmlns:c16="http://schemas.microsoft.com/office/drawing/2014/chart" uri="{C3380CC4-5D6E-409C-BE32-E72D297353CC}">
              <c16:uniqueId val="{00000000-B9A8-4712-95C5-E86765B6C516}"/>
            </c:ext>
          </c:extLst>
        </c:ser>
        <c:dLbls>
          <c:showLegendKey val="0"/>
          <c:showVal val="0"/>
          <c:showCatName val="0"/>
          <c:showSerName val="0"/>
          <c:showPercent val="0"/>
          <c:showBubbleSize val="0"/>
        </c:dLbls>
        <c:gapWidth val="219"/>
        <c:overlap val="-27"/>
        <c:axId val="897951392"/>
        <c:axId val="983570608"/>
      </c:barChart>
      <c:catAx>
        <c:axId val="897951392"/>
        <c:scaling>
          <c:orientation val="minMax"/>
        </c:scaling>
        <c:delete val="0"/>
        <c:axPos val="b"/>
        <c:numFmt formatCode="General" sourceLinked="1"/>
        <c:majorTickMark val="none"/>
        <c:minorTickMark val="none"/>
        <c:tickLblPos val="nextTo"/>
        <c:spPr>
          <a:noFill/>
          <a:ln w="9525" cap="flat" cmpd="sng" algn="ctr">
            <a:solidFill>
              <a:srgbClr val="C00000"/>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83570608"/>
        <c:crosses val="autoZero"/>
        <c:auto val="1"/>
        <c:lblAlgn val="ctr"/>
        <c:lblOffset val="100"/>
        <c:noMultiLvlLbl val="0"/>
      </c:catAx>
      <c:valAx>
        <c:axId val="98357060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rgbClr val="C00000"/>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9795139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cat>
            <c:strRef>
              <c:f>Analysis!$B$2195:$B$2198</c:f>
              <c:strCache>
                <c:ptCount val="4"/>
                <c:pt idx="0">
                  <c:v>Coax</c:v>
                </c:pt>
                <c:pt idx="1">
                  <c:v>DSL</c:v>
                </c:pt>
                <c:pt idx="2">
                  <c:v>Fibre</c:v>
                </c:pt>
                <c:pt idx="3">
                  <c:v>Other</c:v>
                </c:pt>
              </c:strCache>
            </c:strRef>
          </c:cat>
          <c:val>
            <c:numRef>
              <c:f>Analysis!$D$2195:$D$2198</c:f>
              <c:numCache>
                <c:formatCode>0%</c:formatCode>
                <c:ptCount val="4"/>
                <c:pt idx="0">
                  <c:v>0.38</c:v>
                </c:pt>
                <c:pt idx="1">
                  <c:v>0.37</c:v>
                </c:pt>
                <c:pt idx="2">
                  <c:v>0.22</c:v>
                </c:pt>
                <c:pt idx="3">
                  <c:v>3.0000000000000027E-2</c:v>
                </c:pt>
              </c:numCache>
            </c:numRef>
          </c:val>
          <c:extLst>
            <c:ext xmlns:c16="http://schemas.microsoft.com/office/drawing/2014/chart" uri="{C3380CC4-5D6E-409C-BE32-E72D297353CC}">
              <c16:uniqueId val="{00000000-A762-4D0E-926E-ADA8FE78931E}"/>
            </c:ext>
          </c:extLst>
        </c:ser>
        <c:dLbls>
          <c:showLegendKey val="0"/>
          <c:showVal val="0"/>
          <c:showCatName val="0"/>
          <c:showSerName val="0"/>
          <c:showPercent val="0"/>
          <c:showBubbleSize val="0"/>
        </c:dLbls>
        <c:gapWidth val="219"/>
        <c:overlap val="-27"/>
        <c:axId val="897951392"/>
        <c:axId val="983570608"/>
      </c:barChart>
      <c:catAx>
        <c:axId val="897951392"/>
        <c:scaling>
          <c:orientation val="minMax"/>
        </c:scaling>
        <c:delete val="0"/>
        <c:axPos val="b"/>
        <c:numFmt formatCode="General" sourceLinked="1"/>
        <c:majorTickMark val="none"/>
        <c:minorTickMark val="none"/>
        <c:tickLblPos val="nextTo"/>
        <c:spPr>
          <a:noFill/>
          <a:ln w="9525" cap="flat" cmpd="sng" algn="ctr">
            <a:solidFill>
              <a:srgbClr val="C00000"/>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83570608"/>
        <c:crosses val="autoZero"/>
        <c:auto val="1"/>
        <c:lblAlgn val="ctr"/>
        <c:lblOffset val="100"/>
        <c:noMultiLvlLbl val="0"/>
      </c:catAx>
      <c:valAx>
        <c:axId val="98357060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rgbClr val="C00000"/>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9795139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Analysis!$B$2244</c:f>
              <c:strCache>
                <c:ptCount val="1"/>
                <c:pt idx="0">
                  <c:v>TV</c:v>
                </c:pt>
              </c:strCache>
            </c:strRef>
          </c:tx>
          <c:spPr>
            <a:solidFill>
              <a:srgbClr val="000080"/>
            </a:solidFill>
            <a:ln w="25400">
              <a:noFill/>
            </a:ln>
            <a:effectLst/>
          </c:spPr>
          <c:invertIfNegative val="0"/>
          <c:cat>
            <c:numRef>
              <c:f>Analysis!$C$2243:$L$2243</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Analysis!$C$2244:$L$2244</c:f>
              <c:numCache>
                <c:formatCode>0%</c:formatCode>
                <c:ptCount val="9"/>
                <c:pt idx="0">
                  <c:v>7.5239136977954618E-2</c:v>
                </c:pt>
                <c:pt idx="1">
                  <c:v>7.5239136977954618E-2</c:v>
                </c:pt>
                <c:pt idx="2">
                  <c:v>0.10930927403666155</c:v>
                </c:pt>
                <c:pt idx="3">
                  <c:v>0.16796482135384933</c:v>
                </c:pt>
                <c:pt idx="4">
                  <c:v>0.24137601949801424</c:v>
                </c:pt>
                <c:pt idx="5">
                  <c:v>0.32831690146014875</c:v>
                </c:pt>
                <c:pt idx="6">
                  <c:v>0.37178367188130879</c:v>
                </c:pt>
                <c:pt idx="7">
                  <c:v>0.404818711046183</c:v>
                </c:pt>
                <c:pt idx="8">
                  <c:v>0.404818711046183</c:v>
                </c:pt>
              </c:numCache>
            </c:numRef>
          </c:val>
          <c:extLst>
            <c:ext xmlns:c16="http://schemas.microsoft.com/office/drawing/2014/chart" uri="{C3380CC4-5D6E-409C-BE32-E72D297353CC}">
              <c16:uniqueId val="{00000000-3A22-4F7F-8FD1-1F67E45F8777}"/>
            </c:ext>
          </c:extLst>
        </c:ser>
        <c:ser>
          <c:idx val="1"/>
          <c:order val="1"/>
          <c:tx>
            <c:strRef>
              <c:f>Analysis!$B$2245</c:f>
              <c:strCache>
                <c:ptCount val="1"/>
                <c:pt idx="0">
                  <c:v>AMX</c:v>
                </c:pt>
              </c:strCache>
            </c:strRef>
          </c:tx>
          <c:spPr>
            <a:solidFill>
              <a:srgbClr val="9999FF"/>
            </a:solidFill>
            <a:ln w="25400">
              <a:noFill/>
            </a:ln>
            <a:effectLst/>
          </c:spPr>
          <c:invertIfNegative val="0"/>
          <c:cat>
            <c:numRef>
              <c:f>Analysis!$C$2243:$L$2243</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Analysis!$C$2245:$L$2245</c:f>
              <c:numCache>
                <c:formatCode>0%</c:formatCode>
                <c:ptCount val="9"/>
                <c:pt idx="0">
                  <c:v>0.17100857357816673</c:v>
                </c:pt>
                <c:pt idx="1">
                  <c:v>0.2731358461551181</c:v>
                </c:pt>
                <c:pt idx="2">
                  <c:v>0.4393954676609923</c:v>
                </c:pt>
                <c:pt idx="3">
                  <c:v>0.47676700867279026</c:v>
                </c:pt>
                <c:pt idx="4">
                  <c:v>0.52520896546592477</c:v>
                </c:pt>
                <c:pt idx="5">
                  <c:v>0.53066728398634178</c:v>
                </c:pt>
                <c:pt idx="6">
                  <c:v>0.57747720188833684</c:v>
                </c:pt>
                <c:pt idx="7">
                  <c:v>0.61311253131381616</c:v>
                </c:pt>
                <c:pt idx="8">
                  <c:v>0.63624713731780114</c:v>
                </c:pt>
              </c:numCache>
            </c:numRef>
          </c:val>
          <c:extLst>
            <c:ext xmlns:c16="http://schemas.microsoft.com/office/drawing/2014/chart" uri="{C3380CC4-5D6E-409C-BE32-E72D297353CC}">
              <c16:uniqueId val="{00000001-3A22-4F7F-8FD1-1F67E45F8777}"/>
            </c:ext>
          </c:extLst>
        </c:ser>
        <c:dLbls>
          <c:showLegendKey val="0"/>
          <c:showVal val="0"/>
          <c:showCatName val="0"/>
          <c:showSerName val="0"/>
          <c:showPercent val="0"/>
          <c:showBubbleSize val="0"/>
        </c:dLbls>
        <c:gapWidth val="219"/>
        <c:overlap val="-27"/>
        <c:axId val="1115393608"/>
        <c:axId val="1115397872"/>
      </c:barChart>
      <c:catAx>
        <c:axId val="111539360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5397872"/>
        <c:crosses val="autoZero"/>
        <c:auto val="1"/>
        <c:lblAlgn val="ctr"/>
        <c:lblOffset val="100"/>
        <c:noMultiLvlLbl val="0"/>
      </c:catAx>
      <c:valAx>
        <c:axId val="1115397872"/>
        <c:scaling>
          <c:orientation val="minMax"/>
          <c:max val="1"/>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53936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Analysis!$C$2250</c:f>
              <c:strCache>
                <c:ptCount val="1"/>
                <c:pt idx="0">
                  <c:v>2019</c:v>
                </c:pt>
              </c:strCache>
            </c:strRef>
          </c:tx>
          <c:spPr>
            <a:solidFill>
              <a:srgbClr val="000080"/>
            </a:solidFill>
            <a:ln w="25400">
              <a:noFill/>
            </a:ln>
            <a:effectLst/>
          </c:spPr>
          <c:invertIfNegative val="0"/>
          <c:cat>
            <c:strRef>
              <c:f>Analysis!$B$2258:$B$2265</c:f>
              <c:strCache>
                <c:ptCount val="8"/>
                <c:pt idx="0">
                  <c:v>Mexico</c:v>
                </c:pt>
                <c:pt idx="1">
                  <c:v>Brazil</c:v>
                </c:pt>
                <c:pt idx="2">
                  <c:v>Chile</c:v>
                </c:pt>
                <c:pt idx="3">
                  <c:v>Peru</c:v>
                </c:pt>
                <c:pt idx="4">
                  <c:v>Colombia</c:v>
                </c:pt>
                <c:pt idx="5">
                  <c:v>Caribbean</c:v>
                </c:pt>
                <c:pt idx="6">
                  <c:v>China</c:v>
                </c:pt>
                <c:pt idx="7">
                  <c:v>India</c:v>
                </c:pt>
              </c:strCache>
            </c:strRef>
          </c:cat>
          <c:val>
            <c:numRef>
              <c:f>Analysis!$C$2258:$C$2265</c:f>
              <c:numCache>
                <c:formatCode>0.0%</c:formatCode>
                <c:ptCount val="8"/>
                <c:pt idx="0">
                  <c:v>-1E-3</c:v>
                </c:pt>
                <c:pt idx="1">
                  <c:v>1.0999999999999999E-2</c:v>
                </c:pt>
                <c:pt idx="2">
                  <c:v>1.0999999999999999E-2</c:v>
                </c:pt>
                <c:pt idx="3">
                  <c:v>2.1999999999999999E-2</c:v>
                </c:pt>
                <c:pt idx="4">
                  <c:v>3.3000000000000002E-2</c:v>
                </c:pt>
                <c:pt idx="5">
                  <c:v>3.2000000000000001E-2</c:v>
                </c:pt>
                <c:pt idx="6">
                  <c:v>6.0999999999999999E-2</c:v>
                </c:pt>
                <c:pt idx="7">
                  <c:v>4.2000000000000003E-2</c:v>
                </c:pt>
              </c:numCache>
            </c:numRef>
          </c:val>
          <c:extLst>
            <c:ext xmlns:c16="http://schemas.microsoft.com/office/drawing/2014/chart" uri="{C3380CC4-5D6E-409C-BE32-E72D297353CC}">
              <c16:uniqueId val="{00000000-4D06-4C0C-8972-32053B121F09}"/>
            </c:ext>
          </c:extLst>
        </c:ser>
        <c:ser>
          <c:idx val="1"/>
          <c:order val="1"/>
          <c:tx>
            <c:strRef>
              <c:f>Analysis!$D$2250</c:f>
              <c:strCache>
                <c:ptCount val="1"/>
                <c:pt idx="0">
                  <c:v>2020</c:v>
                </c:pt>
              </c:strCache>
            </c:strRef>
          </c:tx>
          <c:spPr>
            <a:solidFill>
              <a:srgbClr val="9999FF"/>
            </a:solidFill>
            <a:ln w="25400">
              <a:noFill/>
            </a:ln>
            <a:effectLst/>
          </c:spPr>
          <c:invertIfNegative val="0"/>
          <c:cat>
            <c:strRef>
              <c:f>Analysis!$B$2258:$B$2265</c:f>
              <c:strCache>
                <c:ptCount val="8"/>
                <c:pt idx="0">
                  <c:v>Mexico</c:v>
                </c:pt>
                <c:pt idx="1">
                  <c:v>Brazil</c:v>
                </c:pt>
                <c:pt idx="2">
                  <c:v>Chile</c:v>
                </c:pt>
                <c:pt idx="3">
                  <c:v>Peru</c:v>
                </c:pt>
                <c:pt idx="4">
                  <c:v>Colombia</c:v>
                </c:pt>
                <c:pt idx="5">
                  <c:v>Caribbean</c:v>
                </c:pt>
                <c:pt idx="6">
                  <c:v>China</c:v>
                </c:pt>
                <c:pt idx="7">
                  <c:v>India</c:v>
                </c:pt>
              </c:strCache>
            </c:strRef>
          </c:cat>
          <c:val>
            <c:numRef>
              <c:f>Analysis!$D$2258:$D$2265</c:f>
              <c:numCache>
                <c:formatCode>0.0%</c:formatCode>
                <c:ptCount val="8"/>
                <c:pt idx="0">
                  <c:v>-6.6000000000000003E-2</c:v>
                </c:pt>
                <c:pt idx="1">
                  <c:v>-5.2999999999999999E-2</c:v>
                </c:pt>
                <c:pt idx="2">
                  <c:v>-4.4999999999999998E-2</c:v>
                </c:pt>
                <c:pt idx="3">
                  <c:v>-4.4999999999999998E-2</c:v>
                </c:pt>
                <c:pt idx="4">
                  <c:v>-2.4E-2</c:v>
                </c:pt>
                <c:pt idx="5">
                  <c:v>-2.4E-2</c:v>
                </c:pt>
                <c:pt idx="6">
                  <c:v>1.2E-2</c:v>
                </c:pt>
                <c:pt idx="7">
                  <c:v>1.9E-2</c:v>
                </c:pt>
              </c:numCache>
            </c:numRef>
          </c:val>
          <c:extLst>
            <c:ext xmlns:c16="http://schemas.microsoft.com/office/drawing/2014/chart" uri="{C3380CC4-5D6E-409C-BE32-E72D297353CC}">
              <c16:uniqueId val="{00000001-4D06-4C0C-8972-32053B121F09}"/>
            </c:ext>
          </c:extLst>
        </c:ser>
        <c:ser>
          <c:idx val="2"/>
          <c:order val="2"/>
          <c:tx>
            <c:strRef>
              <c:f>Analysis!$E$2250</c:f>
              <c:strCache>
                <c:ptCount val="1"/>
                <c:pt idx="0">
                  <c:v>2021</c:v>
                </c:pt>
              </c:strCache>
            </c:strRef>
          </c:tx>
          <c:spPr>
            <a:solidFill>
              <a:srgbClr val="3366FF"/>
            </a:solidFill>
            <a:ln w="25400">
              <a:noFill/>
            </a:ln>
            <a:effectLst/>
          </c:spPr>
          <c:invertIfNegative val="0"/>
          <c:cat>
            <c:strRef>
              <c:f>Analysis!$B$2258:$B$2265</c:f>
              <c:strCache>
                <c:ptCount val="8"/>
                <c:pt idx="0">
                  <c:v>Mexico</c:v>
                </c:pt>
                <c:pt idx="1">
                  <c:v>Brazil</c:v>
                </c:pt>
                <c:pt idx="2">
                  <c:v>Chile</c:v>
                </c:pt>
                <c:pt idx="3">
                  <c:v>Peru</c:v>
                </c:pt>
                <c:pt idx="4">
                  <c:v>Colombia</c:v>
                </c:pt>
                <c:pt idx="5">
                  <c:v>Caribbean</c:v>
                </c:pt>
                <c:pt idx="6">
                  <c:v>China</c:v>
                </c:pt>
                <c:pt idx="7">
                  <c:v>India</c:v>
                </c:pt>
              </c:strCache>
            </c:strRef>
          </c:cat>
          <c:val>
            <c:numRef>
              <c:f>Analysis!$E$2258:$E$2265</c:f>
              <c:numCache>
                <c:formatCode>0.0%</c:formatCode>
                <c:ptCount val="8"/>
                <c:pt idx="0">
                  <c:v>0.03</c:v>
                </c:pt>
                <c:pt idx="1">
                  <c:v>2.9000000000000001E-2</c:v>
                </c:pt>
                <c:pt idx="2">
                  <c:v>5.2999999999999999E-2</c:v>
                </c:pt>
                <c:pt idx="3">
                  <c:v>5.1999999999999998E-2</c:v>
                </c:pt>
                <c:pt idx="4">
                  <c:v>3.6999999999999998E-2</c:v>
                </c:pt>
                <c:pt idx="5">
                  <c:v>0.04</c:v>
                </c:pt>
                <c:pt idx="6">
                  <c:v>9.1999999999999998E-2</c:v>
                </c:pt>
                <c:pt idx="7">
                  <c:v>7.3999999999999996E-2</c:v>
                </c:pt>
              </c:numCache>
            </c:numRef>
          </c:val>
          <c:extLst>
            <c:ext xmlns:c16="http://schemas.microsoft.com/office/drawing/2014/chart" uri="{C3380CC4-5D6E-409C-BE32-E72D297353CC}">
              <c16:uniqueId val="{00000002-4D06-4C0C-8972-32053B121F09}"/>
            </c:ext>
          </c:extLst>
        </c:ser>
        <c:dLbls>
          <c:showLegendKey val="0"/>
          <c:showVal val="0"/>
          <c:showCatName val="0"/>
          <c:showSerName val="0"/>
          <c:showPercent val="0"/>
          <c:showBubbleSize val="0"/>
        </c:dLbls>
        <c:gapWidth val="219"/>
        <c:overlap val="-27"/>
        <c:axId val="959415584"/>
        <c:axId val="959416568"/>
      </c:barChart>
      <c:catAx>
        <c:axId val="95941558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9416568"/>
        <c:crosses val="autoZero"/>
        <c:auto val="1"/>
        <c:lblAlgn val="ctr"/>
        <c:lblOffset val="100"/>
        <c:noMultiLvlLbl val="0"/>
      </c:catAx>
      <c:valAx>
        <c:axId val="959416568"/>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941558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Analysis!$B$2235</c:f>
              <c:strCache>
                <c:ptCount val="1"/>
                <c:pt idx="0">
                  <c:v>Cash/other</c:v>
                </c:pt>
              </c:strCache>
            </c:strRef>
          </c:tx>
          <c:spPr>
            <a:solidFill>
              <a:srgbClr val="000080"/>
            </a:solidFill>
            <a:ln w="25400">
              <a:noFill/>
            </a:ln>
            <a:effectLst/>
          </c:spPr>
          <c:invertIfNegative val="0"/>
          <c:cat>
            <c:numRef>
              <c:f>Analysis!$C$2234:$L$2234</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Analysis!$C$2235:$L$2235</c:f>
              <c:numCache>
                <c:formatCode>General</c:formatCode>
                <c:ptCount val="9"/>
                <c:pt idx="0" formatCode="#,##0">
                  <c:v>57373</c:v>
                </c:pt>
              </c:numCache>
            </c:numRef>
          </c:val>
          <c:extLst>
            <c:ext xmlns:c16="http://schemas.microsoft.com/office/drawing/2014/chart" uri="{C3380CC4-5D6E-409C-BE32-E72D297353CC}">
              <c16:uniqueId val="{00000000-66A7-4DC6-9A1F-3D60AACD2613}"/>
            </c:ext>
          </c:extLst>
        </c:ser>
        <c:ser>
          <c:idx val="1"/>
          <c:order val="1"/>
          <c:tx>
            <c:strRef>
              <c:f>Analysis!$B$2236</c:f>
              <c:strCache>
                <c:ptCount val="1"/>
                <c:pt idx="0">
                  <c:v>Repayments</c:v>
                </c:pt>
              </c:strCache>
            </c:strRef>
          </c:tx>
          <c:spPr>
            <a:solidFill>
              <a:srgbClr val="9999FF"/>
            </a:solidFill>
            <a:ln w="25400">
              <a:noFill/>
            </a:ln>
            <a:effectLst/>
          </c:spPr>
          <c:invertIfNegative val="0"/>
          <c:cat>
            <c:numRef>
              <c:f>Analysis!$C$2234:$L$2234</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Analysis!$C$2236:$L$2236</c:f>
              <c:numCache>
                <c:formatCode>#,##0</c:formatCode>
                <c:ptCount val="9"/>
                <c:pt idx="0">
                  <c:v>10249</c:v>
                </c:pt>
                <c:pt idx="1">
                  <c:v>0</c:v>
                </c:pt>
                <c:pt idx="2">
                  <c:v>4641</c:v>
                </c:pt>
                <c:pt idx="3">
                  <c:v>7990</c:v>
                </c:pt>
                <c:pt idx="4">
                  <c:v>10000</c:v>
                </c:pt>
                <c:pt idx="5">
                  <c:v>11843</c:v>
                </c:pt>
                <c:pt idx="6">
                  <c:v>5921</c:v>
                </c:pt>
                <c:pt idx="7">
                  <c:v>4500</c:v>
                </c:pt>
                <c:pt idx="8">
                  <c:v>0</c:v>
                </c:pt>
              </c:numCache>
            </c:numRef>
          </c:val>
          <c:extLst>
            <c:ext xmlns:c16="http://schemas.microsoft.com/office/drawing/2014/chart" uri="{C3380CC4-5D6E-409C-BE32-E72D297353CC}">
              <c16:uniqueId val="{00000001-66A7-4DC6-9A1F-3D60AACD2613}"/>
            </c:ext>
          </c:extLst>
        </c:ser>
        <c:dLbls>
          <c:showLegendKey val="0"/>
          <c:showVal val="0"/>
          <c:showCatName val="0"/>
          <c:showSerName val="0"/>
          <c:showPercent val="0"/>
          <c:showBubbleSize val="0"/>
        </c:dLbls>
        <c:gapWidth val="219"/>
        <c:overlap val="-27"/>
        <c:axId val="893514080"/>
        <c:axId val="893514408"/>
      </c:barChart>
      <c:catAx>
        <c:axId val="8935140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93514408"/>
        <c:crosses val="autoZero"/>
        <c:auto val="1"/>
        <c:lblAlgn val="ctr"/>
        <c:lblOffset val="100"/>
        <c:noMultiLvlLbl val="0"/>
      </c:catAx>
      <c:valAx>
        <c:axId val="893514408"/>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MXN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9351408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dPt>
            <c:idx val="6"/>
            <c:invertIfNegative val="0"/>
            <c:bubble3D val="0"/>
            <c:spPr>
              <a:solidFill>
                <a:srgbClr val="FF0000"/>
              </a:solidFill>
              <a:ln w="25400">
                <a:noFill/>
              </a:ln>
              <a:effectLst/>
            </c:spPr>
            <c:extLst>
              <c:ext xmlns:c16="http://schemas.microsoft.com/office/drawing/2014/chart" uri="{C3380CC4-5D6E-409C-BE32-E72D297353CC}">
                <c16:uniqueId val="{00000000-4EE2-42B2-B26A-2184EF0B006F}"/>
              </c:ext>
            </c:extLst>
          </c:dPt>
          <c:dPt>
            <c:idx val="8"/>
            <c:invertIfNegative val="0"/>
            <c:bubble3D val="0"/>
            <c:spPr>
              <a:solidFill>
                <a:srgbClr val="FF0000"/>
              </a:solidFill>
              <a:ln w="25400">
                <a:noFill/>
              </a:ln>
              <a:effectLst/>
            </c:spPr>
            <c:extLst>
              <c:ext xmlns:c16="http://schemas.microsoft.com/office/drawing/2014/chart" uri="{C3380CC4-5D6E-409C-BE32-E72D297353CC}">
                <c16:uniqueId val="{00000001-4EE2-42B2-B26A-2184EF0B006F}"/>
              </c:ext>
            </c:extLst>
          </c:dPt>
          <c:dPt>
            <c:idx val="9"/>
            <c:invertIfNegative val="0"/>
            <c:bubble3D val="0"/>
            <c:spPr>
              <a:solidFill>
                <a:srgbClr val="FF0000"/>
              </a:solidFill>
              <a:ln w="25400">
                <a:noFill/>
              </a:ln>
              <a:effectLst/>
            </c:spPr>
            <c:extLst>
              <c:ext xmlns:c16="http://schemas.microsoft.com/office/drawing/2014/chart" uri="{C3380CC4-5D6E-409C-BE32-E72D297353CC}">
                <c16:uniqueId val="{00000002-4EE2-42B2-B26A-2184EF0B006F}"/>
              </c:ext>
            </c:extLst>
          </c:dPt>
          <c:dPt>
            <c:idx val="10"/>
            <c:invertIfNegative val="0"/>
            <c:bubble3D val="0"/>
            <c:spPr>
              <a:solidFill>
                <a:srgbClr val="FF0000"/>
              </a:solidFill>
              <a:ln w="25400">
                <a:noFill/>
              </a:ln>
              <a:effectLst/>
            </c:spPr>
            <c:extLst>
              <c:ext xmlns:c16="http://schemas.microsoft.com/office/drawing/2014/chart" uri="{C3380CC4-5D6E-409C-BE32-E72D297353CC}">
                <c16:uniqueId val="{00000003-4EE2-42B2-B26A-2184EF0B006F}"/>
              </c:ext>
            </c:extLst>
          </c:dPt>
          <c:dPt>
            <c:idx val="13"/>
            <c:invertIfNegative val="0"/>
            <c:bubble3D val="0"/>
            <c:spPr>
              <a:solidFill>
                <a:srgbClr val="FF0000"/>
              </a:solidFill>
              <a:ln w="25400">
                <a:noFill/>
              </a:ln>
              <a:effectLst/>
            </c:spPr>
            <c:extLst>
              <c:ext xmlns:c16="http://schemas.microsoft.com/office/drawing/2014/chart" uri="{C3380CC4-5D6E-409C-BE32-E72D297353CC}">
                <c16:uniqueId val="{00000004-4EE2-42B2-B26A-2184EF0B006F}"/>
              </c:ext>
            </c:extLst>
          </c:dPt>
          <c:dPt>
            <c:idx val="14"/>
            <c:invertIfNegative val="0"/>
            <c:bubble3D val="0"/>
            <c:spPr>
              <a:solidFill>
                <a:srgbClr val="FF0000"/>
              </a:solidFill>
              <a:ln w="25400">
                <a:noFill/>
              </a:ln>
              <a:effectLst/>
            </c:spPr>
            <c:extLst>
              <c:ext xmlns:c16="http://schemas.microsoft.com/office/drawing/2014/chart" uri="{C3380CC4-5D6E-409C-BE32-E72D297353CC}">
                <c16:uniqueId val="{00000005-4EE2-42B2-B26A-2184EF0B006F}"/>
              </c:ext>
            </c:extLst>
          </c:dPt>
          <c:dPt>
            <c:idx val="16"/>
            <c:invertIfNegative val="0"/>
            <c:bubble3D val="0"/>
            <c:spPr>
              <a:solidFill>
                <a:srgbClr val="FF0000"/>
              </a:solidFill>
              <a:ln w="25400">
                <a:noFill/>
              </a:ln>
              <a:effectLst/>
            </c:spPr>
            <c:extLst>
              <c:ext xmlns:c16="http://schemas.microsoft.com/office/drawing/2014/chart" uri="{C3380CC4-5D6E-409C-BE32-E72D297353CC}">
                <c16:uniqueId val="{00000006-4EE2-42B2-B26A-2184EF0B006F}"/>
              </c:ext>
            </c:extLst>
          </c:dPt>
          <c:dPt>
            <c:idx val="19"/>
            <c:invertIfNegative val="0"/>
            <c:bubble3D val="0"/>
            <c:spPr>
              <a:solidFill>
                <a:srgbClr val="FF0000"/>
              </a:solidFill>
              <a:ln w="25400">
                <a:noFill/>
              </a:ln>
              <a:effectLst/>
            </c:spPr>
            <c:extLst>
              <c:ext xmlns:c16="http://schemas.microsoft.com/office/drawing/2014/chart" uri="{C3380CC4-5D6E-409C-BE32-E72D297353CC}">
                <c16:uniqueId val="{00000007-4EE2-42B2-B26A-2184EF0B006F}"/>
              </c:ext>
            </c:extLst>
          </c:dPt>
          <c:dPt>
            <c:idx val="24"/>
            <c:invertIfNegative val="0"/>
            <c:bubble3D val="0"/>
            <c:spPr>
              <a:solidFill>
                <a:srgbClr val="FF0000"/>
              </a:solidFill>
              <a:ln w="25400">
                <a:noFill/>
              </a:ln>
              <a:effectLst/>
            </c:spPr>
            <c:extLst>
              <c:ext xmlns:c16="http://schemas.microsoft.com/office/drawing/2014/chart" uri="{C3380CC4-5D6E-409C-BE32-E72D297353CC}">
                <c16:uniqueId val="{00000008-4EE2-42B2-B26A-2184EF0B006F}"/>
              </c:ext>
            </c:extLst>
          </c:dPt>
          <c:cat>
            <c:strRef>
              <c:f>Analysis!$B$2286:$B$2309</c:f>
              <c:strCache>
                <c:ptCount val="24"/>
                <c:pt idx="0">
                  <c:v>Spain</c:v>
                </c:pt>
                <c:pt idx="1">
                  <c:v>Italy</c:v>
                </c:pt>
                <c:pt idx="2">
                  <c:v>Thailand</c:v>
                </c:pt>
                <c:pt idx="3">
                  <c:v>France</c:v>
                </c:pt>
                <c:pt idx="4">
                  <c:v>US</c:v>
                </c:pt>
                <c:pt idx="5">
                  <c:v>UK</c:v>
                </c:pt>
                <c:pt idx="6">
                  <c:v>El Salvador</c:v>
                </c:pt>
                <c:pt idx="7">
                  <c:v>Germany</c:v>
                </c:pt>
                <c:pt idx="8">
                  <c:v>Peru</c:v>
                </c:pt>
                <c:pt idx="9">
                  <c:v>Mexico</c:v>
                </c:pt>
                <c:pt idx="10">
                  <c:v>Brazil</c:v>
                </c:pt>
                <c:pt idx="11">
                  <c:v>Malaysia</c:v>
                </c:pt>
                <c:pt idx="12">
                  <c:v>Japan</c:v>
                </c:pt>
                <c:pt idx="13">
                  <c:v>Colombia</c:v>
                </c:pt>
                <c:pt idx="14">
                  <c:v>Guatemala</c:v>
                </c:pt>
                <c:pt idx="15">
                  <c:v>Caribbean</c:v>
                </c:pt>
                <c:pt idx="16">
                  <c:v>Chile</c:v>
                </c:pt>
                <c:pt idx="17">
                  <c:v>Nigeria</c:v>
                </c:pt>
                <c:pt idx="18">
                  <c:v>Philippines</c:v>
                </c:pt>
                <c:pt idx="19">
                  <c:v>Honduras</c:v>
                </c:pt>
                <c:pt idx="20">
                  <c:v>China</c:v>
                </c:pt>
                <c:pt idx="21">
                  <c:v>Sub-Sah Africa</c:v>
                </c:pt>
                <c:pt idx="22">
                  <c:v>Indonesia</c:v>
                </c:pt>
                <c:pt idx="23">
                  <c:v>India</c:v>
                </c:pt>
              </c:strCache>
            </c:strRef>
          </c:cat>
          <c:val>
            <c:numRef>
              <c:f>Analysis!$C$2286:$C$2309</c:f>
              <c:numCache>
                <c:formatCode>0.0%</c:formatCode>
                <c:ptCount val="24"/>
                <c:pt idx="0">
                  <c:v>-0.1</c:v>
                </c:pt>
                <c:pt idx="1">
                  <c:v>-9.4E-2</c:v>
                </c:pt>
                <c:pt idx="2">
                  <c:v>-9.0999999999999998E-2</c:v>
                </c:pt>
                <c:pt idx="3">
                  <c:v>-8.4999999999999992E-2</c:v>
                </c:pt>
                <c:pt idx="4">
                  <c:v>-8.3999999999999991E-2</c:v>
                </c:pt>
                <c:pt idx="5">
                  <c:v>-7.9000000000000001E-2</c:v>
                </c:pt>
                <c:pt idx="6">
                  <c:v>-7.8E-2</c:v>
                </c:pt>
                <c:pt idx="7">
                  <c:v>-7.6000000000000012E-2</c:v>
                </c:pt>
                <c:pt idx="8">
                  <c:v>-6.7000000000000004E-2</c:v>
                </c:pt>
                <c:pt idx="9">
                  <c:v>-6.5000000000000002E-2</c:v>
                </c:pt>
                <c:pt idx="10">
                  <c:v>-6.4000000000000001E-2</c:v>
                </c:pt>
                <c:pt idx="11">
                  <c:v>-0.06</c:v>
                </c:pt>
                <c:pt idx="12">
                  <c:v>-5.8999999999999997E-2</c:v>
                </c:pt>
                <c:pt idx="13">
                  <c:v>-5.7000000000000002E-2</c:v>
                </c:pt>
                <c:pt idx="14">
                  <c:v>-5.5999999999999994E-2</c:v>
                </c:pt>
                <c:pt idx="15">
                  <c:v>-5.6000000000000001E-2</c:v>
                </c:pt>
                <c:pt idx="16">
                  <c:v>-5.5999999999999994E-2</c:v>
                </c:pt>
                <c:pt idx="17">
                  <c:v>-5.6000000000000001E-2</c:v>
                </c:pt>
                <c:pt idx="18">
                  <c:v>-5.2999999999999999E-2</c:v>
                </c:pt>
                <c:pt idx="19">
                  <c:v>-5.1000000000000004E-2</c:v>
                </c:pt>
                <c:pt idx="20">
                  <c:v>-4.9000000000000002E-2</c:v>
                </c:pt>
                <c:pt idx="21">
                  <c:v>-4.7E-2</c:v>
                </c:pt>
                <c:pt idx="22">
                  <c:v>-4.5000000000000005E-2</c:v>
                </c:pt>
                <c:pt idx="23">
                  <c:v>-2.3000000000000003E-2</c:v>
                </c:pt>
              </c:numCache>
            </c:numRef>
          </c:val>
          <c:extLst>
            <c:ext xmlns:c16="http://schemas.microsoft.com/office/drawing/2014/chart" uri="{C3380CC4-5D6E-409C-BE32-E72D297353CC}">
              <c16:uniqueId val="{00000000-4A62-4DFA-8E91-8AC5E877751C}"/>
            </c:ext>
          </c:extLst>
        </c:ser>
        <c:dLbls>
          <c:showLegendKey val="0"/>
          <c:showVal val="0"/>
          <c:showCatName val="0"/>
          <c:showSerName val="0"/>
          <c:showPercent val="0"/>
          <c:showBubbleSize val="0"/>
        </c:dLbls>
        <c:gapWidth val="219"/>
        <c:overlap val="-27"/>
        <c:axId val="1111571016"/>
        <c:axId val="1111571344"/>
      </c:barChart>
      <c:catAx>
        <c:axId val="1111571016"/>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1571344"/>
        <c:crosses val="autoZero"/>
        <c:auto val="1"/>
        <c:lblAlgn val="ctr"/>
        <c:lblOffset val="100"/>
        <c:noMultiLvlLbl val="0"/>
      </c:catAx>
      <c:valAx>
        <c:axId val="1111571344"/>
        <c:scaling>
          <c:orientation val="minMax"/>
          <c:min val="-0.1"/>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157101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noFill/>
            <a:ln w="25400">
              <a:noFill/>
            </a:ln>
            <a:effectLst/>
          </c:spPr>
          <c:invertIfNegative val="0"/>
          <c:val>
            <c:numRef>
              <c:f>Analysis!$N$2367:$N$2370</c:f>
              <c:numCache>
                <c:formatCode>0</c:formatCode>
                <c:ptCount val="4"/>
                <c:pt idx="0" formatCode="General">
                  <c:v>0</c:v>
                </c:pt>
                <c:pt idx="1">
                  <c:v>1518.2960893854749</c:v>
                </c:pt>
                <c:pt idx="2">
                  <c:v>3680.6960893854748</c:v>
                </c:pt>
                <c:pt idx="3" formatCode="General">
                  <c:v>0</c:v>
                </c:pt>
              </c:numCache>
            </c:numRef>
          </c:val>
          <c:extLst>
            <c:ext xmlns:c15="http://schemas.microsoft.com/office/drawing/2012/chart" uri="{02D57815-91ED-43cb-92C2-25804820EDAC}">
              <c15:filteredCategoryTitle>
                <c15:cat>
                  <c:multiLvlStrRef>
                    <c:extLst>
                      <c:ext uri="{02D57815-91ED-43cb-92C2-25804820EDAC}">
                        <c15:formulaRef>
                          <c15:sqref>Analysis!$M$2367:$M$2370</c15:sqref>
                        </c15:formulaRef>
                      </c:ext>
                    </c:extLst>
                  </c:multiLvlStrRef>
                </c15:cat>
              </c15:filteredCategoryTitle>
            </c:ext>
            <c:ext xmlns:c16="http://schemas.microsoft.com/office/drawing/2014/chart" uri="{C3380CC4-5D6E-409C-BE32-E72D297353CC}">
              <c16:uniqueId val="{00000000-3817-43C1-91B8-CC419B029701}"/>
            </c:ext>
          </c:extLst>
        </c:ser>
        <c:ser>
          <c:idx val="1"/>
          <c:order val="1"/>
          <c:spPr>
            <a:solidFill>
              <a:srgbClr val="9999FF"/>
            </a:solidFill>
            <a:ln w="25400">
              <a:noFill/>
            </a:ln>
            <a:effectLst/>
          </c:spPr>
          <c:invertIfNegative val="0"/>
          <c:val>
            <c:numRef>
              <c:f>Analysis!$O$2367:$O$2370</c:f>
              <c:numCache>
                <c:formatCode>0</c:formatCode>
                <c:ptCount val="4"/>
                <c:pt idx="0">
                  <c:v>1518.2960893854749</c:v>
                </c:pt>
                <c:pt idx="1">
                  <c:v>2541.9</c:v>
                </c:pt>
                <c:pt idx="2">
                  <c:v>379.5</c:v>
                </c:pt>
                <c:pt idx="3" formatCode="General">
                  <c:v>4000</c:v>
                </c:pt>
              </c:numCache>
            </c:numRef>
          </c:val>
          <c:extLst>
            <c:ext xmlns:c15="http://schemas.microsoft.com/office/drawing/2012/chart" uri="{02D57815-91ED-43cb-92C2-25804820EDAC}">
              <c15:filteredCategoryTitle>
                <c15:cat>
                  <c:multiLvlStrRef>
                    <c:extLst>
                      <c:ext uri="{02D57815-91ED-43cb-92C2-25804820EDAC}">
                        <c15:formulaRef>
                          <c15:sqref>Analysis!$M$2367:$M$2370</c15:sqref>
                        </c15:formulaRef>
                      </c:ext>
                    </c:extLst>
                  </c:multiLvlStrRef>
                </c15:cat>
              </c15:filteredCategoryTitle>
            </c:ext>
            <c:ext xmlns:c16="http://schemas.microsoft.com/office/drawing/2014/chart" uri="{C3380CC4-5D6E-409C-BE32-E72D297353CC}">
              <c16:uniqueId val="{00000001-3817-43C1-91B8-CC419B029701}"/>
            </c:ext>
          </c:extLst>
        </c:ser>
        <c:dLbls>
          <c:showLegendKey val="0"/>
          <c:showVal val="0"/>
          <c:showCatName val="0"/>
          <c:showSerName val="0"/>
          <c:showPercent val="0"/>
          <c:showBubbleSize val="0"/>
        </c:dLbls>
        <c:gapWidth val="150"/>
        <c:overlap val="100"/>
        <c:axId val="424521344"/>
        <c:axId val="424522984"/>
      </c:barChart>
      <c:catAx>
        <c:axId val="42452134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424522984"/>
        <c:crosses val="autoZero"/>
        <c:auto val="1"/>
        <c:lblAlgn val="ctr"/>
        <c:lblOffset val="100"/>
        <c:noMultiLvlLbl val="0"/>
      </c:catAx>
      <c:valAx>
        <c:axId val="424522984"/>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USD 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General"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42452134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Analysis!$B$2425</c:f>
              <c:strCache>
                <c:ptCount val="1"/>
                <c:pt idx="0">
                  <c:v>Televisa</c:v>
                </c:pt>
              </c:strCache>
            </c:strRef>
          </c:tx>
          <c:spPr>
            <a:solidFill>
              <a:srgbClr val="000080"/>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Analysis!$C$2424:$F$2424</c:f>
              <c:numCache>
                <c:formatCode>General</c:formatCode>
                <c:ptCount val="4"/>
                <c:pt idx="0">
                  <c:v>2022</c:v>
                </c:pt>
                <c:pt idx="1">
                  <c:v>2023</c:v>
                </c:pt>
                <c:pt idx="2">
                  <c:v>2024</c:v>
                </c:pt>
                <c:pt idx="3">
                  <c:v>2025</c:v>
                </c:pt>
              </c:numCache>
            </c:numRef>
          </c:cat>
          <c:val>
            <c:numRef>
              <c:f>Analysis!$C$2425:$F$2425</c:f>
              <c:numCache>
                <c:formatCode>0.0%</c:formatCode>
                <c:ptCount val="4"/>
                <c:pt idx="0">
                  <c:v>0</c:v>
                </c:pt>
                <c:pt idx="1">
                  <c:v>0</c:v>
                </c:pt>
                <c:pt idx="2">
                  <c:v>0</c:v>
                </c:pt>
                <c:pt idx="3">
                  <c:v>0</c:v>
                </c:pt>
              </c:numCache>
            </c:numRef>
          </c:val>
          <c:extLst>
            <c:ext xmlns:c16="http://schemas.microsoft.com/office/drawing/2014/chart" uri="{C3380CC4-5D6E-409C-BE32-E72D297353CC}">
              <c16:uniqueId val="{00000000-C064-493F-8BA8-149E4EACB3B8}"/>
            </c:ext>
          </c:extLst>
        </c:ser>
        <c:ser>
          <c:idx val="1"/>
          <c:order val="1"/>
          <c:tx>
            <c:strRef>
              <c:f>Analysis!$B$2426</c:f>
              <c:strCache>
                <c:ptCount val="1"/>
                <c:pt idx="0">
                  <c:v>MEGA</c:v>
                </c:pt>
              </c:strCache>
            </c:strRef>
          </c:tx>
          <c:spPr>
            <a:solidFill>
              <a:srgbClr val="9999FF"/>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Analysis!$C$2424:$F$2424</c:f>
              <c:numCache>
                <c:formatCode>General</c:formatCode>
                <c:ptCount val="4"/>
                <c:pt idx="0">
                  <c:v>2022</c:v>
                </c:pt>
                <c:pt idx="1">
                  <c:v>2023</c:v>
                </c:pt>
                <c:pt idx="2">
                  <c:v>2024</c:v>
                </c:pt>
                <c:pt idx="3">
                  <c:v>2025</c:v>
                </c:pt>
              </c:numCache>
            </c:numRef>
          </c:cat>
          <c:val>
            <c:numRef>
              <c:f>Analysis!$C$2426:$F$2426</c:f>
              <c:numCache>
                <c:formatCode>0.0%</c:formatCode>
                <c:ptCount val="4"/>
                <c:pt idx="0">
                  <c:v>6.0013973533836015E-2</c:v>
                </c:pt>
                <c:pt idx="1">
                  <c:v>8.6874233194689301E-2</c:v>
                </c:pt>
                <c:pt idx="2">
                  <c:v>0.10095876668215135</c:v>
                </c:pt>
                <c:pt idx="3">
                  <c:v>0.11652029328818996</c:v>
                </c:pt>
              </c:numCache>
            </c:numRef>
          </c:val>
          <c:extLst>
            <c:ext xmlns:c16="http://schemas.microsoft.com/office/drawing/2014/chart" uri="{C3380CC4-5D6E-409C-BE32-E72D297353CC}">
              <c16:uniqueId val="{00000001-C064-493F-8BA8-149E4EACB3B8}"/>
            </c:ext>
          </c:extLst>
        </c:ser>
        <c:dLbls>
          <c:showLegendKey val="0"/>
          <c:showVal val="0"/>
          <c:showCatName val="0"/>
          <c:showSerName val="0"/>
          <c:showPercent val="0"/>
          <c:showBubbleSize val="0"/>
        </c:dLbls>
        <c:gapWidth val="219"/>
        <c:overlap val="-27"/>
        <c:axId val="498894416"/>
        <c:axId val="498894832"/>
      </c:barChart>
      <c:catAx>
        <c:axId val="4988944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498894832"/>
        <c:crosses val="autoZero"/>
        <c:auto val="1"/>
        <c:lblAlgn val="ctr"/>
        <c:lblOffset val="100"/>
        <c:noMultiLvlLbl val="0"/>
      </c:catAx>
      <c:valAx>
        <c:axId val="498894832"/>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49889441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29076108618078"/>
          <c:y val="3.9324445452856793E-2"/>
          <c:w val="0.47165999323918495"/>
          <c:h val="0.68968766089752298"/>
        </c:manualLayout>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2-C569-4A95-A8A2-41CAC6FEF7C0}"/>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C569-4A95-A8A2-41CAC6FEF7C0}"/>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4-C569-4A95-A8A2-41CAC6FEF7C0}"/>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5-C569-4A95-A8A2-41CAC6FEF7C0}"/>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6-C569-4A95-A8A2-41CAC6FEF7C0}"/>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7-C569-4A95-A8A2-41CAC6FEF7C0}"/>
              </c:ext>
            </c:extLst>
          </c:dPt>
          <c:dPt>
            <c:idx val="6"/>
            <c:bubble3D val="0"/>
            <c:spPr>
              <a:pattFill prst="wdDnDiag">
                <a:fgClr>
                  <a:srgbClr val="0000FF"/>
                </a:fgClr>
                <a:bgClr>
                  <a:srgbClr val="0000FF"/>
                </a:bgClr>
              </a:pattFill>
              <a:ln w="25400">
                <a:noFill/>
              </a:ln>
              <a:effectLst/>
            </c:spPr>
            <c:extLst>
              <c:ext xmlns:c16="http://schemas.microsoft.com/office/drawing/2014/chart" uri="{C3380CC4-5D6E-409C-BE32-E72D297353CC}">
                <c16:uniqueId val="{00000008-C569-4A95-A8A2-41CAC6FEF7C0}"/>
              </c:ext>
            </c:extLst>
          </c:dPt>
          <c:dPt>
            <c:idx val="7"/>
            <c:bubble3D val="0"/>
            <c:spPr>
              <a:pattFill prst="wdDnDiag">
                <a:fgClr>
                  <a:srgbClr val="333399"/>
                </a:fgClr>
                <a:bgClr>
                  <a:srgbClr val="333399"/>
                </a:bgClr>
              </a:pattFill>
              <a:ln w="25400">
                <a:noFill/>
              </a:ln>
              <a:effectLst/>
            </c:spPr>
            <c:extLst>
              <c:ext xmlns:c16="http://schemas.microsoft.com/office/drawing/2014/chart" uri="{C3380CC4-5D6E-409C-BE32-E72D297353CC}">
                <c16:uniqueId val="{00000009-C569-4A95-A8A2-41CAC6FEF7C0}"/>
              </c:ext>
            </c:extLst>
          </c:dPt>
          <c:dPt>
            <c:idx val="8"/>
            <c:bubble3D val="0"/>
            <c:spPr>
              <a:pattFill prst="wdDnDiag">
                <a:fgClr>
                  <a:srgbClr val="99CCFF"/>
                </a:fgClr>
                <a:bgClr>
                  <a:srgbClr val="000080"/>
                </a:bgClr>
              </a:pattFill>
              <a:ln w="25400">
                <a:noFill/>
              </a:ln>
              <a:effectLst/>
            </c:spPr>
            <c:extLst>
              <c:ext xmlns:c16="http://schemas.microsoft.com/office/drawing/2014/chart" uri="{C3380CC4-5D6E-409C-BE32-E72D297353CC}">
                <c16:uniqueId val="{0000000A-C569-4A95-A8A2-41CAC6FEF7C0}"/>
              </c:ext>
            </c:extLst>
          </c:dPt>
          <c:dPt>
            <c:idx val="9"/>
            <c:bubble3D val="0"/>
            <c:spPr>
              <a:pattFill prst="wdDnDiag">
                <a:fgClr>
                  <a:srgbClr val="0000FF"/>
                </a:fgClr>
                <a:bgClr>
                  <a:srgbClr val="CCCCFF"/>
                </a:bgClr>
              </a:pattFill>
              <a:ln w="25400">
                <a:noFill/>
              </a:ln>
              <a:effectLst/>
            </c:spPr>
            <c:extLst>
              <c:ext xmlns:c16="http://schemas.microsoft.com/office/drawing/2014/chart" uri="{C3380CC4-5D6E-409C-BE32-E72D297353CC}">
                <c16:uniqueId val="{0000000B-C569-4A95-A8A2-41CAC6FEF7C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FEB-4119-9CA5-91036892E28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Analysis!$B$2454:$B$2464</c:f>
              <c:strCache>
                <c:ptCount val="11"/>
                <c:pt idx="0">
                  <c:v>Netflix</c:v>
                </c:pt>
                <c:pt idx="1">
                  <c:v>Amazon Prime</c:v>
                </c:pt>
                <c:pt idx="2">
                  <c:v>Disney +</c:v>
                </c:pt>
                <c:pt idx="3">
                  <c:v>Apple TV+</c:v>
                </c:pt>
                <c:pt idx="4">
                  <c:v>Hulu</c:v>
                </c:pt>
                <c:pt idx="5">
                  <c:v>NBC Universal Peacock</c:v>
                </c:pt>
                <c:pt idx="6">
                  <c:v>You Tube premium</c:v>
                </c:pt>
                <c:pt idx="7">
                  <c:v>HBO Max</c:v>
                </c:pt>
                <c:pt idx="8">
                  <c:v>ESPN +</c:v>
                </c:pt>
                <c:pt idx="9">
                  <c:v>CBS All Access</c:v>
                </c:pt>
                <c:pt idx="10">
                  <c:v>Britbox</c:v>
                </c:pt>
              </c:strCache>
            </c:strRef>
          </c:cat>
          <c:val>
            <c:numRef>
              <c:f>Analysis!$C$2454:$C$2464</c:f>
              <c:numCache>
                <c:formatCode>General</c:formatCode>
                <c:ptCount val="11"/>
                <c:pt idx="0">
                  <c:v>75</c:v>
                </c:pt>
                <c:pt idx="1">
                  <c:v>50</c:v>
                </c:pt>
                <c:pt idx="2">
                  <c:v>45</c:v>
                </c:pt>
                <c:pt idx="3">
                  <c:v>40</c:v>
                </c:pt>
                <c:pt idx="4">
                  <c:v>35</c:v>
                </c:pt>
                <c:pt idx="5">
                  <c:v>15</c:v>
                </c:pt>
                <c:pt idx="6">
                  <c:v>15</c:v>
                </c:pt>
                <c:pt idx="7">
                  <c:v>8.5</c:v>
                </c:pt>
                <c:pt idx="8">
                  <c:v>8.5</c:v>
                </c:pt>
                <c:pt idx="9">
                  <c:v>4.5</c:v>
                </c:pt>
                <c:pt idx="10">
                  <c:v>1.5</c:v>
                </c:pt>
              </c:numCache>
            </c:numRef>
          </c:val>
          <c:extLst>
            <c:ext xmlns:c16="http://schemas.microsoft.com/office/drawing/2014/chart" uri="{C3380CC4-5D6E-409C-BE32-E72D297353CC}">
              <c16:uniqueId val="{00000000-C569-4A95-A8A2-41CAC6FEF7C0}"/>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layout>
        <c:manualLayout>
          <c:xMode val="edge"/>
          <c:yMode val="edge"/>
          <c:x val="3.0668353033905096E-2"/>
          <c:y val="0.79630077505077024"/>
          <c:w val="0.93324952650849091"/>
          <c:h val="0.20369922494922962"/>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Analysis!$B$222</c:f>
              <c:strCache>
                <c:ptCount val="1"/>
                <c:pt idx="0">
                  <c:v>Share of broadcast audience</c:v>
                </c:pt>
              </c:strCache>
            </c:strRef>
          </c:tx>
          <c:spPr>
            <a:ln w="25400">
              <a:solidFill>
                <a:srgbClr val="333399"/>
              </a:solidFill>
              <a:prstDash val="solid"/>
            </a:ln>
            <a:effectLst/>
          </c:spPr>
          <c:marker>
            <c:symbol val="none"/>
          </c:marker>
          <c:cat>
            <c:strRef>
              <c:f>Analysis!$C$221:$I$221</c:f>
              <c:strCache>
                <c:ptCount val="7"/>
                <c:pt idx="0">
                  <c:v>2006</c:v>
                </c:pt>
                <c:pt idx="1">
                  <c:v>2007</c:v>
                </c:pt>
                <c:pt idx="2">
                  <c:v>2008</c:v>
                </c:pt>
                <c:pt idx="3">
                  <c:v>2009</c:v>
                </c:pt>
                <c:pt idx="4">
                  <c:v>2010</c:v>
                </c:pt>
                <c:pt idx="5">
                  <c:v>2011</c:v>
                </c:pt>
                <c:pt idx="6">
                  <c:v>Q2 12</c:v>
                </c:pt>
              </c:strCache>
            </c:strRef>
          </c:cat>
          <c:val>
            <c:numRef>
              <c:f>Analysis!$C$222:$I$222</c:f>
              <c:numCache>
                <c:formatCode>0%</c:formatCode>
                <c:ptCount val="7"/>
                <c:pt idx="0">
                  <c:v>0.71</c:v>
                </c:pt>
                <c:pt idx="1">
                  <c:v>0.71</c:v>
                </c:pt>
                <c:pt idx="2">
                  <c:v>0.72</c:v>
                </c:pt>
                <c:pt idx="3">
                  <c:v>0.71</c:v>
                </c:pt>
                <c:pt idx="4">
                  <c:v>0.7</c:v>
                </c:pt>
                <c:pt idx="5">
                  <c:v>0.69</c:v>
                </c:pt>
                <c:pt idx="6">
                  <c:v>0.7</c:v>
                </c:pt>
              </c:numCache>
            </c:numRef>
          </c:val>
          <c:smooth val="0"/>
          <c:extLst>
            <c:ext xmlns:c16="http://schemas.microsoft.com/office/drawing/2014/chart" uri="{C3380CC4-5D6E-409C-BE32-E72D297353CC}">
              <c16:uniqueId val="{00000000-DD02-400A-8471-D2AE7FAB7B36}"/>
            </c:ext>
          </c:extLst>
        </c:ser>
        <c:dLbls>
          <c:showLegendKey val="0"/>
          <c:showVal val="0"/>
          <c:showCatName val="0"/>
          <c:showSerName val="0"/>
          <c:showPercent val="0"/>
          <c:showBubbleSize val="0"/>
        </c:dLbls>
        <c:smooth val="0"/>
        <c:axId val="119071488"/>
        <c:axId val="119073024"/>
      </c:lineChart>
      <c:catAx>
        <c:axId val="119071488"/>
        <c:scaling>
          <c:orientation val="minMax"/>
        </c:scaling>
        <c:delete val="0"/>
        <c:axPos val="b"/>
        <c:numFmt formatCode="General" sourceLinked="0"/>
        <c:majorTickMark val="out"/>
        <c:minorTickMark val="none"/>
        <c:tickLblPos val="low"/>
        <c:txPr>
          <a:bodyPr rot="-5400000" vert="horz"/>
          <a:lstStyle/>
          <a:p>
            <a:pPr>
              <a:defRPr/>
            </a:pPr>
            <a:endParaRPr lang="en-US"/>
          </a:p>
        </c:txPr>
        <c:crossAx val="119073024"/>
        <c:crosses val="autoZero"/>
        <c:auto val="1"/>
        <c:lblAlgn val="ctr"/>
        <c:lblOffset val="100"/>
        <c:noMultiLvlLbl val="0"/>
      </c:catAx>
      <c:valAx>
        <c:axId val="119073024"/>
        <c:scaling>
          <c:orientation val="minMax"/>
          <c:min val="0"/>
        </c:scaling>
        <c:delete val="0"/>
        <c:axPos val="l"/>
        <c:majorGridlines>
          <c:spPr>
            <a:ln w="3175">
              <a:solidFill>
                <a:srgbClr val="C0C0C0"/>
              </a:solidFill>
              <a:prstDash val="solid"/>
            </a:ln>
          </c:spPr>
        </c:majorGridlines>
        <c:numFmt formatCode="0%" sourceLinked="1"/>
        <c:majorTickMark val="out"/>
        <c:minorTickMark val="none"/>
        <c:tickLblPos val="nextTo"/>
        <c:crossAx val="119071488"/>
        <c:crosses val="autoZero"/>
        <c:crossBetween val="between"/>
      </c:valAx>
      <c:spPr>
        <a:noFill/>
        <a:ln w="25400">
          <a:noFill/>
        </a:ln>
      </c:spPr>
    </c:plotArea>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Analysis!$B$2489</c:f>
              <c:strCache>
                <c:ptCount val="1"/>
                <c:pt idx="0">
                  <c:v>Televisa</c:v>
                </c:pt>
              </c:strCache>
            </c:strRef>
          </c:tx>
          <c:spPr>
            <a:ln w="25400" cap="rnd">
              <a:solidFill>
                <a:srgbClr val="333399"/>
              </a:solidFill>
              <a:prstDash val="solid"/>
              <a:round/>
            </a:ln>
            <a:effectLst/>
          </c:spPr>
          <c:marker>
            <c:symbol val="none"/>
          </c:marker>
          <c:cat>
            <c:numRef>
              <c:f>Analysis!$C$2488:$H$2488</c:f>
              <c:numCache>
                <c:formatCode>General</c:formatCode>
                <c:ptCount val="6"/>
                <c:pt idx="0">
                  <c:v>2020</c:v>
                </c:pt>
                <c:pt idx="1">
                  <c:v>2021</c:v>
                </c:pt>
                <c:pt idx="2">
                  <c:v>2022</c:v>
                </c:pt>
                <c:pt idx="3">
                  <c:v>2023</c:v>
                </c:pt>
                <c:pt idx="4">
                  <c:v>2024</c:v>
                </c:pt>
                <c:pt idx="5">
                  <c:v>2025</c:v>
                </c:pt>
              </c:numCache>
            </c:numRef>
          </c:cat>
          <c:val>
            <c:numRef>
              <c:f>Analysis!$C$2489:$H$2489</c:f>
              <c:numCache>
                <c:formatCode>0.0%</c:formatCode>
                <c:ptCount val="6"/>
                <c:pt idx="0">
                  <c:v>0.36717017423007425</c:v>
                </c:pt>
                <c:pt idx="1">
                  <c:v>0.36037021223470667</c:v>
                </c:pt>
                <c:pt idx="2">
                  <c:v>0.37257504456327989</c:v>
                </c:pt>
                <c:pt idx="3">
                  <c:v>0.34215578231292521</c:v>
                </c:pt>
                <c:pt idx="4">
                  <c:v>0.33913954975534599</c:v>
                </c:pt>
                <c:pt idx="5">
                  <c:v>0.33809560451022969</c:v>
                </c:pt>
              </c:numCache>
            </c:numRef>
          </c:val>
          <c:smooth val="0"/>
          <c:extLst>
            <c:ext xmlns:c16="http://schemas.microsoft.com/office/drawing/2014/chart" uri="{C3380CC4-5D6E-409C-BE32-E72D297353CC}">
              <c16:uniqueId val="{00000000-8122-407F-88BF-FD534B652656}"/>
            </c:ext>
          </c:extLst>
        </c:ser>
        <c:ser>
          <c:idx val="1"/>
          <c:order val="1"/>
          <c:tx>
            <c:strRef>
              <c:f>Analysis!$B$2490</c:f>
              <c:strCache>
                <c:ptCount val="1"/>
                <c:pt idx="0">
                  <c:v>Megacable</c:v>
                </c:pt>
              </c:strCache>
            </c:strRef>
          </c:tx>
          <c:spPr>
            <a:ln w="25400" cap="rnd">
              <a:solidFill>
                <a:srgbClr val="99CCFF"/>
              </a:solidFill>
              <a:prstDash val="solid"/>
              <a:round/>
            </a:ln>
            <a:effectLst/>
          </c:spPr>
          <c:marker>
            <c:symbol val="none"/>
          </c:marker>
          <c:cat>
            <c:numRef>
              <c:f>Analysis!$C$2488:$H$2488</c:f>
              <c:numCache>
                <c:formatCode>General</c:formatCode>
                <c:ptCount val="6"/>
                <c:pt idx="0">
                  <c:v>2020</c:v>
                </c:pt>
                <c:pt idx="1">
                  <c:v>2021</c:v>
                </c:pt>
                <c:pt idx="2">
                  <c:v>2022</c:v>
                </c:pt>
                <c:pt idx="3">
                  <c:v>2023</c:v>
                </c:pt>
                <c:pt idx="4">
                  <c:v>2024</c:v>
                </c:pt>
                <c:pt idx="5">
                  <c:v>2025</c:v>
                </c:pt>
              </c:numCache>
            </c:numRef>
          </c:cat>
          <c:val>
            <c:numRef>
              <c:f>Analysis!$C$2490:$H$2490</c:f>
              <c:numCache>
                <c:formatCode>0.0%</c:formatCode>
                <c:ptCount val="6"/>
                <c:pt idx="0">
                  <c:v>0.43919597989949749</c:v>
                </c:pt>
                <c:pt idx="1">
                  <c:v>0.4340056432229073</c:v>
                </c:pt>
                <c:pt idx="2">
                  <c:v>0.38044982698961938</c:v>
                </c:pt>
                <c:pt idx="3">
                  <c:v>0.32037828734292007</c:v>
                </c:pt>
                <c:pt idx="4">
                  <c:v>0.31908843941784232</c:v>
                </c:pt>
                <c:pt idx="5">
                  <c:v>0.32157069558836648</c:v>
                </c:pt>
              </c:numCache>
            </c:numRef>
          </c:val>
          <c:smooth val="0"/>
          <c:extLst>
            <c:ext xmlns:c16="http://schemas.microsoft.com/office/drawing/2014/chart" uri="{C3380CC4-5D6E-409C-BE32-E72D297353CC}">
              <c16:uniqueId val="{00000001-8122-407F-88BF-FD534B652656}"/>
            </c:ext>
          </c:extLst>
        </c:ser>
        <c:ser>
          <c:idx val="2"/>
          <c:order val="2"/>
          <c:tx>
            <c:strRef>
              <c:f>Analysis!$B$2491</c:f>
              <c:strCache>
                <c:ptCount val="1"/>
                <c:pt idx="0">
                  <c:v>Total Play</c:v>
                </c:pt>
              </c:strCache>
            </c:strRef>
          </c:tx>
          <c:spPr>
            <a:ln w="25400" cap="rnd">
              <a:solidFill>
                <a:srgbClr val="333399"/>
              </a:solidFill>
              <a:prstDash val="lgDash"/>
              <a:round/>
            </a:ln>
            <a:effectLst/>
          </c:spPr>
          <c:marker>
            <c:symbol val="none"/>
          </c:marker>
          <c:cat>
            <c:numRef>
              <c:f>Analysis!$C$2488:$H$2488</c:f>
              <c:numCache>
                <c:formatCode>General</c:formatCode>
                <c:ptCount val="6"/>
                <c:pt idx="0">
                  <c:v>2020</c:v>
                </c:pt>
                <c:pt idx="1">
                  <c:v>2021</c:v>
                </c:pt>
                <c:pt idx="2">
                  <c:v>2022</c:v>
                </c:pt>
                <c:pt idx="3">
                  <c:v>2023</c:v>
                </c:pt>
                <c:pt idx="4">
                  <c:v>2024</c:v>
                </c:pt>
                <c:pt idx="5">
                  <c:v>2025</c:v>
                </c:pt>
              </c:numCache>
            </c:numRef>
          </c:cat>
          <c:val>
            <c:numRef>
              <c:f>Analysis!$C$2491:$H$2491</c:f>
              <c:numCache>
                <c:formatCode>0.0%</c:formatCode>
                <c:ptCount val="6"/>
                <c:pt idx="0">
                  <c:v>0.19869918699186992</c:v>
                </c:pt>
                <c:pt idx="1">
                  <c:v>0.23530612244897958</c:v>
                </c:pt>
                <c:pt idx="2">
                  <c:v>0.24809600738518348</c:v>
                </c:pt>
                <c:pt idx="3">
                  <c:v>0.27219912285698011</c:v>
                </c:pt>
                <c:pt idx="4">
                  <c:v>0.29150843307254287</c:v>
                </c:pt>
                <c:pt idx="5">
                  <c:v>0.3074241215532274</c:v>
                </c:pt>
              </c:numCache>
            </c:numRef>
          </c:val>
          <c:smooth val="0"/>
          <c:extLst>
            <c:ext xmlns:c16="http://schemas.microsoft.com/office/drawing/2014/chart" uri="{C3380CC4-5D6E-409C-BE32-E72D297353CC}">
              <c16:uniqueId val="{00000002-8122-407F-88BF-FD534B652656}"/>
            </c:ext>
          </c:extLst>
        </c:ser>
        <c:dLbls>
          <c:showLegendKey val="0"/>
          <c:showVal val="0"/>
          <c:showCatName val="0"/>
          <c:showSerName val="0"/>
          <c:showPercent val="0"/>
          <c:showBubbleSize val="0"/>
        </c:dLbls>
        <c:smooth val="0"/>
        <c:axId val="1211387023"/>
        <c:axId val="1211387855"/>
      </c:lineChart>
      <c:catAx>
        <c:axId val="1211387023"/>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11387855"/>
        <c:crosses val="autoZero"/>
        <c:auto val="1"/>
        <c:lblAlgn val="ctr"/>
        <c:lblOffset val="100"/>
        <c:noMultiLvlLbl val="0"/>
      </c:catAx>
      <c:valAx>
        <c:axId val="1211387855"/>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11387023"/>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Analysis!$B$2494</c:f>
              <c:strCache>
                <c:ptCount val="1"/>
                <c:pt idx="0">
                  <c:v>Telmex (DSL/FTTH)</c:v>
                </c:pt>
              </c:strCache>
            </c:strRef>
          </c:tx>
          <c:spPr>
            <a:solidFill>
              <a:srgbClr val="000080"/>
            </a:solidFill>
            <a:ln w="25400">
              <a:noFill/>
            </a:ln>
            <a:effectLst/>
          </c:spPr>
          <c:invertIfNegative val="0"/>
          <c:cat>
            <c:numRef>
              <c:f>Analysis!$C$2493:$H$2493</c:f>
              <c:numCache>
                <c:formatCode>General</c:formatCode>
                <c:ptCount val="6"/>
                <c:pt idx="0">
                  <c:v>2020</c:v>
                </c:pt>
                <c:pt idx="1">
                  <c:v>2021</c:v>
                </c:pt>
                <c:pt idx="2">
                  <c:v>2022</c:v>
                </c:pt>
                <c:pt idx="3">
                  <c:v>2023</c:v>
                </c:pt>
                <c:pt idx="4">
                  <c:v>2024</c:v>
                </c:pt>
                <c:pt idx="5">
                  <c:v>2025</c:v>
                </c:pt>
              </c:numCache>
            </c:numRef>
          </c:cat>
          <c:val>
            <c:numRef>
              <c:f>Analysis!$C$2494:$H$2494</c:f>
              <c:numCache>
                <c:formatCode>#,##0</c:formatCode>
                <c:ptCount val="6"/>
                <c:pt idx="0">
                  <c:v>-12</c:v>
                </c:pt>
                <c:pt idx="1">
                  <c:v>464</c:v>
                </c:pt>
                <c:pt idx="2">
                  <c:v>-67.194583813092322</c:v>
                </c:pt>
                <c:pt idx="3">
                  <c:v>-101.57451539193607</c:v>
                </c:pt>
                <c:pt idx="4">
                  <c:v>-137.78730117351733</c:v>
                </c:pt>
                <c:pt idx="5">
                  <c:v>-175.90429116547602</c:v>
                </c:pt>
              </c:numCache>
            </c:numRef>
          </c:val>
          <c:extLst>
            <c:ext xmlns:c16="http://schemas.microsoft.com/office/drawing/2014/chart" uri="{C3380CC4-5D6E-409C-BE32-E72D297353CC}">
              <c16:uniqueId val="{00000000-5B4B-4779-815F-298C2F1A6F11}"/>
            </c:ext>
          </c:extLst>
        </c:ser>
        <c:ser>
          <c:idx val="1"/>
          <c:order val="1"/>
          <c:tx>
            <c:strRef>
              <c:f>Analysis!$B$2495</c:f>
              <c:strCache>
                <c:ptCount val="1"/>
                <c:pt idx="0">
                  <c:v>Televisa</c:v>
                </c:pt>
              </c:strCache>
            </c:strRef>
          </c:tx>
          <c:spPr>
            <a:solidFill>
              <a:srgbClr val="9999FF"/>
            </a:solidFill>
            <a:ln w="25400">
              <a:noFill/>
            </a:ln>
            <a:effectLst/>
          </c:spPr>
          <c:invertIfNegative val="0"/>
          <c:cat>
            <c:numRef>
              <c:f>Analysis!$C$2493:$H$2493</c:f>
              <c:numCache>
                <c:formatCode>General</c:formatCode>
                <c:ptCount val="6"/>
                <c:pt idx="0">
                  <c:v>2020</c:v>
                </c:pt>
                <c:pt idx="1">
                  <c:v>2021</c:v>
                </c:pt>
                <c:pt idx="2">
                  <c:v>2022</c:v>
                </c:pt>
                <c:pt idx="3">
                  <c:v>2023</c:v>
                </c:pt>
                <c:pt idx="4">
                  <c:v>2024</c:v>
                </c:pt>
                <c:pt idx="5">
                  <c:v>2025</c:v>
                </c:pt>
              </c:numCache>
            </c:numRef>
          </c:cat>
          <c:val>
            <c:numRef>
              <c:f>Analysis!$C$2495:$H$2495</c:f>
              <c:numCache>
                <c:formatCode>#,##0</c:formatCode>
                <c:ptCount val="6"/>
                <c:pt idx="0">
                  <c:v>335.04899999999998</c:v>
                </c:pt>
                <c:pt idx="1">
                  <c:v>-305.72000000000025</c:v>
                </c:pt>
                <c:pt idx="2">
                  <c:v>102.19856749056908</c:v>
                </c:pt>
                <c:pt idx="3">
                  <c:v>117.1866763489752</c:v>
                </c:pt>
                <c:pt idx="4">
                  <c:v>112.46871248811567</c:v>
                </c:pt>
                <c:pt idx="5">
                  <c:v>107.39340479732618</c:v>
                </c:pt>
              </c:numCache>
            </c:numRef>
          </c:val>
          <c:extLst>
            <c:ext xmlns:c16="http://schemas.microsoft.com/office/drawing/2014/chart" uri="{C3380CC4-5D6E-409C-BE32-E72D297353CC}">
              <c16:uniqueId val="{00000001-5B4B-4779-815F-298C2F1A6F11}"/>
            </c:ext>
          </c:extLst>
        </c:ser>
        <c:ser>
          <c:idx val="2"/>
          <c:order val="2"/>
          <c:tx>
            <c:strRef>
              <c:f>Analysis!$B$2496</c:f>
              <c:strCache>
                <c:ptCount val="1"/>
                <c:pt idx="0">
                  <c:v>Megacable</c:v>
                </c:pt>
              </c:strCache>
            </c:strRef>
          </c:tx>
          <c:spPr>
            <a:solidFill>
              <a:srgbClr val="3366FF"/>
            </a:solidFill>
            <a:ln w="25400">
              <a:noFill/>
            </a:ln>
            <a:effectLst/>
          </c:spPr>
          <c:invertIfNegative val="0"/>
          <c:cat>
            <c:numRef>
              <c:f>Analysis!$C$2493:$H$2493</c:f>
              <c:numCache>
                <c:formatCode>General</c:formatCode>
                <c:ptCount val="6"/>
                <c:pt idx="0">
                  <c:v>2020</c:v>
                </c:pt>
                <c:pt idx="1">
                  <c:v>2021</c:v>
                </c:pt>
                <c:pt idx="2">
                  <c:v>2022</c:v>
                </c:pt>
                <c:pt idx="3">
                  <c:v>2023</c:v>
                </c:pt>
                <c:pt idx="4">
                  <c:v>2024</c:v>
                </c:pt>
                <c:pt idx="5">
                  <c:v>2025</c:v>
                </c:pt>
              </c:numCache>
            </c:numRef>
          </c:cat>
          <c:val>
            <c:numRef>
              <c:f>Analysis!$C$2496:$H$2496</c:f>
              <c:numCache>
                <c:formatCode>#,##0</c:formatCode>
                <c:ptCount val="6"/>
                <c:pt idx="0">
                  <c:v>304.10699999999997</c:v>
                </c:pt>
                <c:pt idx="1">
                  <c:v>584</c:v>
                </c:pt>
                <c:pt idx="2">
                  <c:v>529.55199999999968</c:v>
                </c:pt>
                <c:pt idx="3">
                  <c:v>450</c:v>
                </c:pt>
                <c:pt idx="4">
                  <c:v>300</c:v>
                </c:pt>
                <c:pt idx="5">
                  <c:v>200</c:v>
                </c:pt>
              </c:numCache>
            </c:numRef>
          </c:val>
          <c:extLst>
            <c:ext xmlns:c16="http://schemas.microsoft.com/office/drawing/2014/chart" uri="{C3380CC4-5D6E-409C-BE32-E72D297353CC}">
              <c16:uniqueId val="{00000002-5B4B-4779-815F-298C2F1A6F11}"/>
            </c:ext>
          </c:extLst>
        </c:ser>
        <c:ser>
          <c:idx val="3"/>
          <c:order val="3"/>
          <c:tx>
            <c:strRef>
              <c:f>Analysis!$B$2497</c:f>
              <c:strCache>
                <c:ptCount val="1"/>
                <c:pt idx="0">
                  <c:v>Total Play</c:v>
                </c:pt>
              </c:strCache>
            </c:strRef>
          </c:tx>
          <c:spPr>
            <a:solidFill>
              <a:srgbClr val="CCCCFF"/>
            </a:solidFill>
            <a:ln w="25400">
              <a:noFill/>
            </a:ln>
            <a:effectLst/>
          </c:spPr>
          <c:invertIfNegative val="0"/>
          <c:cat>
            <c:numRef>
              <c:f>Analysis!$C$2493:$H$2493</c:f>
              <c:numCache>
                <c:formatCode>General</c:formatCode>
                <c:ptCount val="6"/>
                <c:pt idx="0">
                  <c:v>2020</c:v>
                </c:pt>
                <c:pt idx="1">
                  <c:v>2021</c:v>
                </c:pt>
                <c:pt idx="2">
                  <c:v>2022</c:v>
                </c:pt>
                <c:pt idx="3">
                  <c:v>2023</c:v>
                </c:pt>
                <c:pt idx="4">
                  <c:v>2024</c:v>
                </c:pt>
                <c:pt idx="5">
                  <c:v>2025</c:v>
                </c:pt>
              </c:numCache>
            </c:numRef>
          </c:cat>
          <c:val>
            <c:numRef>
              <c:f>Analysis!$C$2497:$H$2497</c:f>
              <c:numCache>
                <c:formatCode>#,##0</c:formatCode>
                <c:ptCount val="6"/>
                <c:pt idx="0">
                  <c:v>839</c:v>
                </c:pt>
                <c:pt idx="1">
                  <c:v>482</c:v>
                </c:pt>
                <c:pt idx="2">
                  <c:v>370.47999999999956</c:v>
                </c:pt>
                <c:pt idx="3">
                  <c:v>320</c:v>
                </c:pt>
                <c:pt idx="4">
                  <c:v>300</c:v>
                </c:pt>
                <c:pt idx="5">
                  <c:v>250</c:v>
                </c:pt>
              </c:numCache>
            </c:numRef>
          </c:val>
          <c:extLst>
            <c:ext xmlns:c16="http://schemas.microsoft.com/office/drawing/2014/chart" uri="{C3380CC4-5D6E-409C-BE32-E72D297353CC}">
              <c16:uniqueId val="{00000003-5B4B-4779-815F-298C2F1A6F11}"/>
            </c:ext>
          </c:extLst>
        </c:ser>
        <c:dLbls>
          <c:showLegendKey val="0"/>
          <c:showVal val="0"/>
          <c:showCatName val="0"/>
          <c:showSerName val="0"/>
          <c:showPercent val="0"/>
          <c:showBubbleSize val="0"/>
        </c:dLbls>
        <c:gapWidth val="150"/>
        <c:overlap val="100"/>
        <c:axId val="1374549007"/>
        <c:axId val="1374542351"/>
      </c:barChart>
      <c:catAx>
        <c:axId val="1374549007"/>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374542351"/>
        <c:crosses val="autoZero"/>
        <c:auto val="1"/>
        <c:lblAlgn val="ctr"/>
        <c:lblOffset val="100"/>
        <c:noMultiLvlLbl val="0"/>
      </c:catAx>
      <c:valAx>
        <c:axId val="1374542351"/>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374549007"/>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Analysis!$C$2493:$H$2493</c:f>
              <c:numCache>
                <c:formatCode>General</c:formatCode>
                <c:ptCount val="6"/>
                <c:pt idx="0">
                  <c:v>2020</c:v>
                </c:pt>
                <c:pt idx="1">
                  <c:v>2021</c:v>
                </c:pt>
                <c:pt idx="2">
                  <c:v>2022</c:v>
                </c:pt>
                <c:pt idx="3">
                  <c:v>2023</c:v>
                </c:pt>
                <c:pt idx="4">
                  <c:v>2024</c:v>
                </c:pt>
                <c:pt idx="5">
                  <c:v>2025</c:v>
                </c:pt>
              </c:numCache>
            </c:numRef>
          </c:cat>
          <c:val>
            <c:numRef>
              <c:f>Analysis!$C$2500:$H$2500</c:f>
              <c:numCache>
                <c:formatCode>0.0\x</c:formatCode>
                <c:ptCount val="6"/>
                <c:pt idx="0">
                  <c:v>1.4808681672025723</c:v>
                </c:pt>
                <c:pt idx="1">
                  <c:v>1.6414160519513272</c:v>
                </c:pt>
                <c:pt idx="2">
                  <c:v>1.8262824958493578</c:v>
                </c:pt>
                <c:pt idx="3">
                  <c:v>1.9875123323026811</c:v>
                </c:pt>
                <c:pt idx="4">
                  <c:v>2.0527472114933643</c:v>
                </c:pt>
                <c:pt idx="5">
                  <c:v>2.1006348777777721</c:v>
                </c:pt>
              </c:numCache>
            </c:numRef>
          </c:val>
          <c:extLst>
            <c:ext xmlns:c16="http://schemas.microsoft.com/office/drawing/2014/chart" uri="{C3380CC4-5D6E-409C-BE32-E72D297353CC}">
              <c16:uniqueId val="{00000000-C356-478E-A3A0-29EE624DD63F}"/>
            </c:ext>
          </c:extLst>
        </c:ser>
        <c:dLbls>
          <c:showLegendKey val="0"/>
          <c:showVal val="0"/>
          <c:showCatName val="0"/>
          <c:showSerName val="0"/>
          <c:showPercent val="0"/>
          <c:showBubbleSize val="0"/>
        </c:dLbls>
        <c:gapWidth val="219"/>
        <c:overlap val="-27"/>
        <c:axId val="1008813583"/>
        <c:axId val="1008812335"/>
      </c:barChart>
      <c:catAx>
        <c:axId val="1008813583"/>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08812335"/>
        <c:crosses val="autoZero"/>
        <c:auto val="1"/>
        <c:lblAlgn val="ctr"/>
        <c:lblOffset val="100"/>
        <c:noMultiLvlLbl val="0"/>
      </c:catAx>
      <c:valAx>
        <c:axId val="1008812335"/>
        <c:scaling>
          <c:orientation val="minMax"/>
        </c:scaling>
        <c:delete val="0"/>
        <c:axPos val="l"/>
        <c:majorGridlines>
          <c:spPr>
            <a:ln w="3175" cap="flat" cmpd="sng" algn="ctr">
              <a:solidFill>
                <a:srgbClr val="C0C0C0"/>
              </a:solidFill>
              <a:prstDash val="solid"/>
              <a:round/>
            </a:ln>
            <a:effectLst/>
          </c:spPr>
        </c:majorGridlines>
        <c:numFmt formatCode="0.0\x"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08813583"/>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Analysis!$C$2527:$G$2527</c:f>
              <c:numCache>
                <c:formatCode>General</c:formatCode>
                <c:ptCount val="5"/>
                <c:pt idx="0">
                  <c:v>2021</c:v>
                </c:pt>
                <c:pt idx="1">
                  <c:v>2022</c:v>
                </c:pt>
                <c:pt idx="2">
                  <c:v>2023</c:v>
                </c:pt>
                <c:pt idx="3">
                  <c:v>2024</c:v>
                </c:pt>
                <c:pt idx="4">
                  <c:v>2025</c:v>
                </c:pt>
              </c:numCache>
            </c:numRef>
          </c:cat>
          <c:val>
            <c:numRef>
              <c:f>Analysis!$C$2528:$G$2528</c:f>
              <c:numCache>
                <c:formatCode>0%</c:formatCode>
                <c:ptCount val="5"/>
                <c:pt idx="0">
                  <c:v>0.65348874598070739</c:v>
                </c:pt>
                <c:pt idx="1">
                  <c:v>0.67848874598070741</c:v>
                </c:pt>
                <c:pt idx="2">
                  <c:v>0.70348874598070743</c:v>
                </c:pt>
                <c:pt idx="3">
                  <c:v>0.72348874598070745</c:v>
                </c:pt>
                <c:pt idx="4">
                  <c:v>0.74348874598070747</c:v>
                </c:pt>
              </c:numCache>
            </c:numRef>
          </c:val>
          <c:extLst>
            <c:ext xmlns:c16="http://schemas.microsoft.com/office/drawing/2014/chart" uri="{C3380CC4-5D6E-409C-BE32-E72D297353CC}">
              <c16:uniqueId val="{00000000-6769-4D84-8688-E0131A2F08ED}"/>
            </c:ext>
          </c:extLst>
        </c:ser>
        <c:dLbls>
          <c:showLegendKey val="0"/>
          <c:showVal val="0"/>
          <c:showCatName val="0"/>
          <c:showSerName val="0"/>
          <c:showPercent val="0"/>
          <c:showBubbleSize val="0"/>
        </c:dLbls>
        <c:gapWidth val="219"/>
        <c:overlap val="-27"/>
        <c:axId val="1451576287"/>
        <c:axId val="1451562143"/>
      </c:barChart>
      <c:catAx>
        <c:axId val="14515762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451562143"/>
        <c:crosses val="autoZero"/>
        <c:auto val="1"/>
        <c:lblAlgn val="ctr"/>
        <c:lblOffset val="100"/>
        <c:noMultiLvlLbl val="0"/>
      </c:catAx>
      <c:valAx>
        <c:axId val="1451562143"/>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451576287"/>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Analysis!$B$2607</c:f>
              <c:strCache>
                <c:ptCount val="1"/>
                <c:pt idx="0">
                  <c:v>Revenue </c:v>
                </c:pt>
              </c:strCache>
            </c:strRef>
          </c:tx>
          <c:spPr>
            <a:solidFill>
              <a:srgbClr val="000080"/>
            </a:solidFill>
            <a:ln w="25400">
              <a:noFill/>
            </a:ln>
            <a:effectLst/>
          </c:spPr>
          <c:invertIfNegative val="0"/>
          <c:cat>
            <c:strRef>
              <c:f>Analysis!$C$2606:$N$2606</c:f>
              <c:strCache>
                <c:ptCount val="10"/>
                <c:pt idx="0">
                  <c:v>Q1 19</c:v>
                </c:pt>
                <c:pt idx="1">
                  <c:v>Q2 19</c:v>
                </c:pt>
                <c:pt idx="2">
                  <c:v>Q3 19</c:v>
                </c:pt>
                <c:pt idx="3">
                  <c:v>Q4 19</c:v>
                </c:pt>
                <c:pt idx="4">
                  <c:v>Q1 20</c:v>
                </c:pt>
                <c:pt idx="5">
                  <c:v>Q2 20</c:v>
                </c:pt>
                <c:pt idx="6">
                  <c:v>Q3 20</c:v>
                </c:pt>
                <c:pt idx="7">
                  <c:v>Q4 20</c:v>
                </c:pt>
                <c:pt idx="8">
                  <c:v>Q1 21</c:v>
                </c:pt>
                <c:pt idx="9">
                  <c:v>Q4 21</c:v>
                </c:pt>
              </c:strCache>
            </c:strRef>
          </c:cat>
          <c:val>
            <c:numRef>
              <c:f>Analysis!$C$2607:$N$2607</c:f>
              <c:numCache>
                <c:formatCode>0</c:formatCode>
                <c:ptCount val="10"/>
                <c:pt idx="0">
                  <c:v>602.89999999999986</c:v>
                </c:pt>
                <c:pt idx="1">
                  <c:v>710.7</c:v>
                </c:pt>
                <c:pt idx="2">
                  <c:v>681.4</c:v>
                </c:pt>
                <c:pt idx="3">
                  <c:v>692.9</c:v>
                </c:pt>
                <c:pt idx="4">
                  <c:v>660.40000000000009</c:v>
                </c:pt>
                <c:pt idx="5">
                  <c:v>531</c:v>
                </c:pt>
                <c:pt idx="6">
                  <c:v>627.6</c:v>
                </c:pt>
                <c:pt idx="7">
                  <c:v>722.9</c:v>
                </c:pt>
                <c:pt idx="8">
                  <c:v>633.69999999999982</c:v>
                </c:pt>
                <c:pt idx="9">
                  <c:v>752.4</c:v>
                </c:pt>
              </c:numCache>
            </c:numRef>
          </c:val>
          <c:extLst>
            <c:ext xmlns:c16="http://schemas.microsoft.com/office/drawing/2014/chart" uri="{C3380CC4-5D6E-409C-BE32-E72D297353CC}">
              <c16:uniqueId val="{00000000-59C9-48E7-83D9-EC8DBEB95D73}"/>
            </c:ext>
          </c:extLst>
        </c:ser>
        <c:dLbls>
          <c:showLegendKey val="0"/>
          <c:showVal val="0"/>
          <c:showCatName val="0"/>
          <c:showSerName val="0"/>
          <c:showPercent val="0"/>
          <c:showBubbleSize val="0"/>
        </c:dLbls>
        <c:gapWidth val="219"/>
        <c:overlap val="-27"/>
        <c:axId val="870834096"/>
        <c:axId val="870849904"/>
      </c:barChart>
      <c:catAx>
        <c:axId val="8708340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0849904"/>
        <c:crosses val="autoZero"/>
        <c:auto val="1"/>
        <c:lblAlgn val="ctr"/>
        <c:lblOffset val="100"/>
        <c:noMultiLvlLbl val="0"/>
      </c:catAx>
      <c:valAx>
        <c:axId val="87084990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083409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Analysis!$B$2611</c:f>
              <c:strCache>
                <c:ptCount val="1"/>
                <c:pt idx="0">
                  <c:v>EBITDA</c:v>
                </c:pt>
              </c:strCache>
            </c:strRef>
          </c:tx>
          <c:spPr>
            <a:solidFill>
              <a:srgbClr val="000080"/>
            </a:solidFill>
            <a:ln w="25400">
              <a:noFill/>
            </a:ln>
            <a:effectLst/>
          </c:spPr>
          <c:invertIfNegative val="0"/>
          <c:cat>
            <c:strRef>
              <c:f>Analysis!$C$2606:$N$2606</c:f>
              <c:strCache>
                <c:ptCount val="10"/>
                <c:pt idx="0">
                  <c:v>Q1 19</c:v>
                </c:pt>
                <c:pt idx="1">
                  <c:v>Q2 19</c:v>
                </c:pt>
                <c:pt idx="2">
                  <c:v>Q3 19</c:v>
                </c:pt>
                <c:pt idx="3">
                  <c:v>Q4 19</c:v>
                </c:pt>
                <c:pt idx="4">
                  <c:v>Q1 20</c:v>
                </c:pt>
                <c:pt idx="5">
                  <c:v>Q2 20</c:v>
                </c:pt>
                <c:pt idx="6">
                  <c:v>Q3 20</c:v>
                </c:pt>
                <c:pt idx="7">
                  <c:v>Q4 20</c:v>
                </c:pt>
                <c:pt idx="8">
                  <c:v>Q1 21</c:v>
                </c:pt>
                <c:pt idx="9">
                  <c:v>Q4 21</c:v>
                </c:pt>
              </c:strCache>
            </c:strRef>
          </c:cat>
          <c:val>
            <c:numRef>
              <c:f>Analysis!$C$2611:$N$2611</c:f>
              <c:numCache>
                <c:formatCode>0</c:formatCode>
                <c:ptCount val="10"/>
                <c:pt idx="0">
                  <c:v>204.3</c:v>
                </c:pt>
                <c:pt idx="1">
                  <c:v>265.7</c:v>
                </c:pt>
                <c:pt idx="2">
                  <c:v>257</c:v>
                </c:pt>
                <c:pt idx="3">
                  <c:v>230.4</c:v>
                </c:pt>
                <c:pt idx="4">
                  <c:v>251.10000000000002</c:v>
                </c:pt>
                <c:pt idx="5">
                  <c:v>242.8</c:v>
                </c:pt>
                <c:pt idx="6">
                  <c:v>243.8</c:v>
                </c:pt>
                <c:pt idx="7">
                  <c:v>230.4</c:v>
                </c:pt>
                <c:pt idx="8">
                  <c:v>252.99999999999994</c:v>
                </c:pt>
                <c:pt idx="9">
                  <c:v>229</c:v>
                </c:pt>
              </c:numCache>
            </c:numRef>
          </c:val>
          <c:extLst>
            <c:ext xmlns:c16="http://schemas.microsoft.com/office/drawing/2014/chart" uri="{C3380CC4-5D6E-409C-BE32-E72D297353CC}">
              <c16:uniqueId val="{00000000-FB8B-47DD-B832-3C8E331968F4}"/>
            </c:ext>
          </c:extLst>
        </c:ser>
        <c:dLbls>
          <c:showLegendKey val="0"/>
          <c:showVal val="0"/>
          <c:showCatName val="0"/>
          <c:showSerName val="0"/>
          <c:showPercent val="0"/>
          <c:showBubbleSize val="0"/>
        </c:dLbls>
        <c:gapWidth val="219"/>
        <c:overlap val="-27"/>
        <c:axId val="870834096"/>
        <c:axId val="870849904"/>
      </c:barChart>
      <c:catAx>
        <c:axId val="8708340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0849904"/>
        <c:crosses val="autoZero"/>
        <c:auto val="1"/>
        <c:lblAlgn val="ctr"/>
        <c:lblOffset val="100"/>
        <c:noMultiLvlLbl val="0"/>
      </c:catAx>
      <c:valAx>
        <c:axId val="87084990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083409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Analysis!$B$2633</c:f>
              <c:strCache>
                <c:ptCount val="1"/>
                <c:pt idx="0">
                  <c:v>Revenue </c:v>
                </c:pt>
              </c:strCache>
            </c:strRef>
          </c:tx>
          <c:spPr>
            <a:solidFill>
              <a:schemeClr val="accent1">
                <a:lumMod val="20000"/>
                <a:lumOff val="80000"/>
              </a:schemeClr>
            </a:solidFill>
            <a:ln w="25400">
              <a:solidFill>
                <a:schemeClr val="bg1">
                  <a:lumMod val="50000"/>
                </a:schemeClr>
              </a:solidFill>
            </a:ln>
            <a:effectLst/>
          </c:spPr>
          <c:invertIfNegative val="0"/>
          <c:cat>
            <c:strRef>
              <c:f>Analysis!$C$2606:$N$2606</c:f>
              <c:strCache>
                <c:ptCount val="10"/>
                <c:pt idx="0">
                  <c:v>Q1 19</c:v>
                </c:pt>
                <c:pt idx="1">
                  <c:v>Q2 19</c:v>
                </c:pt>
                <c:pt idx="2">
                  <c:v>Q3 19</c:v>
                </c:pt>
                <c:pt idx="3">
                  <c:v>Q4 19</c:v>
                </c:pt>
                <c:pt idx="4">
                  <c:v>Q1 20</c:v>
                </c:pt>
                <c:pt idx="5">
                  <c:v>Q2 20</c:v>
                </c:pt>
                <c:pt idx="6">
                  <c:v>Q3 20</c:v>
                </c:pt>
                <c:pt idx="7">
                  <c:v>Q4 20</c:v>
                </c:pt>
                <c:pt idx="8">
                  <c:v>Q1 21</c:v>
                </c:pt>
                <c:pt idx="9">
                  <c:v>Q4 21</c:v>
                </c:pt>
              </c:strCache>
            </c:strRef>
          </c:cat>
          <c:val>
            <c:numRef>
              <c:f>Analysis!$C$2633:$N$2633</c:f>
              <c:numCache>
                <c:formatCode>#,##0</c:formatCode>
                <c:ptCount val="10"/>
                <c:pt idx="0">
                  <c:v>3681.9</c:v>
                </c:pt>
                <c:pt idx="1">
                  <c:v>4370.3</c:v>
                </c:pt>
                <c:pt idx="2">
                  <c:v>4786.8999999999996</c:v>
                </c:pt>
                <c:pt idx="3">
                  <c:v>6620.6</c:v>
                </c:pt>
                <c:pt idx="4">
                  <c:v>2635.1</c:v>
                </c:pt>
                <c:pt idx="5">
                  <c:v>2922.2</c:v>
                </c:pt>
                <c:pt idx="6">
                  <c:v>4164.3999999999996</c:v>
                </c:pt>
                <c:pt idx="7">
                  <c:v>6628.1</c:v>
                </c:pt>
                <c:pt idx="8">
                  <c:v>3374.9</c:v>
                </c:pt>
                <c:pt idx="9">
                  <c:v>7103.2</c:v>
                </c:pt>
              </c:numCache>
            </c:numRef>
          </c:val>
          <c:extLst>
            <c:ext xmlns:c16="http://schemas.microsoft.com/office/drawing/2014/chart" uri="{C3380CC4-5D6E-409C-BE32-E72D297353CC}">
              <c16:uniqueId val="{00000000-6EF8-467C-8ADA-F65C771E6A8C}"/>
            </c:ext>
          </c:extLst>
        </c:ser>
        <c:dLbls>
          <c:showLegendKey val="0"/>
          <c:showVal val="0"/>
          <c:showCatName val="0"/>
          <c:showSerName val="0"/>
          <c:showPercent val="0"/>
          <c:showBubbleSize val="0"/>
        </c:dLbls>
        <c:gapWidth val="219"/>
        <c:overlap val="-27"/>
        <c:axId val="870834096"/>
        <c:axId val="870849904"/>
      </c:barChart>
      <c:catAx>
        <c:axId val="8708340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0849904"/>
        <c:crosses val="autoZero"/>
        <c:auto val="1"/>
        <c:lblAlgn val="ctr"/>
        <c:lblOffset val="100"/>
        <c:noMultiLvlLbl val="0"/>
      </c:catAx>
      <c:valAx>
        <c:axId val="87084990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083409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Analysis!$B$2635</c:f>
              <c:strCache>
                <c:ptCount val="1"/>
                <c:pt idx="0">
                  <c:v>EBITDA</c:v>
                </c:pt>
              </c:strCache>
            </c:strRef>
          </c:tx>
          <c:spPr>
            <a:solidFill>
              <a:schemeClr val="accent1">
                <a:lumMod val="20000"/>
                <a:lumOff val="80000"/>
              </a:schemeClr>
            </a:solidFill>
            <a:ln w="25400">
              <a:solidFill>
                <a:schemeClr val="bg1">
                  <a:lumMod val="50000"/>
                </a:schemeClr>
              </a:solidFill>
            </a:ln>
            <a:effectLst/>
          </c:spPr>
          <c:invertIfNegative val="0"/>
          <c:cat>
            <c:strRef>
              <c:f>Analysis!$C$2606:$N$2606</c:f>
              <c:strCache>
                <c:ptCount val="10"/>
                <c:pt idx="0">
                  <c:v>Q1 19</c:v>
                </c:pt>
                <c:pt idx="1">
                  <c:v>Q2 19</c:v>
                </c:pt>
                <c:pt idx="2">
                  <c:v>Q3 19</c:v>
                </c:pt>
                <c:pt idx="3">
                  <c:v>Q4 19</c:v>
                </c:pt>
                <c:pt idx="4">
                  <c:v>Q1 20</c:v>
                </c:pt>
                <c:pt idx="5">
                  <c:v>Q2 20</c:v>
                </c:pt>
                <c:pt idx="6">
                  <c:v>Q3 20</c:v>
                </c:pt>
                <c:pt idx="7">
                  <c:v>Q4 20</c:v>
                </c:pt>
                <c:pt idx="8">
                  <c:v>Q1 21</c:v>
                </c:pt>
                <c:pt idx="9">
                  <c:v>Q4 21</c:v>
                </c:pt>
              </c:strCache>
            </c:strRef>
          </c:cat>
          <c:val>
            <c:numRef>
              <c:f>Analysis!$C$2635:$N$2635</c:f>
              <c:numCache>
                <c:formatCode>#,##0</c:formatCode>
                <c:ptCount val="10"/>
                <c:pt idx="0">
                  <c:v>2267.3000000000002</c:v>
                </c:pt>
                <c:pt idx="1">
                  <c:v>2928.3</c:v>
                </c:pt>
                <c:pt idx="2">
                  <c:v>3112.3</c:v>
                </c:pt>
                <c:pt idx="3">
                  <c:v>4545</c:v>
                </c:pt>
                <c:pt idx="4">
                  <c:v>1613.9</c:v>
                </c:pt>
                <c:pt idx="5">
                  <c:v>2080.8000000000002</c:v>
                </c:pt>
                <c:pt idx="6">
                  <c:v>3294.7</c:v>
                </c:pt>
                <c:pt idx="7">
                  <c:v>5371.3999999999987</c:v>
                </c:pt>
                <c:pt idx="8">
                  <c:v>2376.5</c:v>
                </c:pt>
                <c:pt idx="9">
                  <c:v>5443.7</c:v>
                </c:pt>
              </c:numCache>
            </c:numRef>
          </c:val>
          <c:extLst>
            <c:ext xmlns:c16="http://schemas.microsoft.com/office/drawing/2014/chart" uri="{C3380CC4-5D6E-409C-BE32-E72D297353CC}">
              <c16:uniqueId val="{00000000-184E-4E51-826C-1112D5D9D24B}"/>
            </c:ext>
          </c:extLst>
        </c:ser>
        <c:dLbls>
          <c:showLegendKey val="0"/>
          <c:showVal val="0"/>
          <c:showCatName val="0"/>
          <c:showSerName val="0"/>
          <c:showPercent val="0"/>
          <c:showBubbleSize val="0"/>
        </c:dLbls>
        <c:gapWidth val="219"/>
        <c:overlap val="-27"/>
        <c:axId val="870834096"/>
        <c:axId val="870849904"/>
      </c:barChart>
      <c:catAx>
        <c:axId val="8708340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0849904"/>
        <c:crosses val="autoZero"/>
        <c:auto val="1"/>
        <c:lblAlgn val="ctr"/>
        <c:lblOffset val="100"/>
        <c:noMultiLvlLbl val="0"/>
      </c:catAx>
      <c:valAx>
        <c:axId val="87084990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083409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dPt>
            <c:idx val="4"/>
            <c:invertIfNegative val="0"/>
            <c:bubble3D val="0"/>
            <c:spPr>
              <a:solidFill>
                <a:schemeClr val="accent1">
                  <a:lumMod val="20000"/>
                  <a:lumOff val="80000"/>
                </a:schemeClr>
              </a:solidFill>
              <a:ln w="25400">
                <a:solidFill>
                  <a:schemeClr val="bg1">
                    <a:lumMod val="50000"/>
                  </a:schemeClr>
                </a:solidFill>
              </a:ln>
              <a:effectLst/>
            </c:spPr>
            <c:extLst>
              <c:ext xmlns:c16="http://schemas.microsoft.com/office/drawing/2014/chart" uri="{C3380CC4-5D6E-409C-BE32-E72D297353CC}">
                <c16:uniqueId val="{00000002-9796-46DA-8AD0-4BB60F8C5750}"/>
              </c:ext>
            </c:extLst>
          </c:dPt>
          <c:dPt>
            <c:idx val="9"/>
            <c:invertIfNegative val="0"/>
            <c:bubble3D val="0"/>
            <c:spPr>
              <a:solidFill>
                <a:schemeClr val="accent1">
                  <a:lumMod val="20000"/>
                  <a:lumOff val="80000"/>
                </a:schemeClr>
              </a:solidFill>
              <a:ln w="25400">
                <a:solidFill>
                  <a:schemeClr val="bg1">
                    <a:lumMod val="50000"/>
                  </a:schemeClr>
                </a:solidFill>
              </a:ln>
              <a:effectLst/>
            </c:spPr>
            <c:extLst>
              <c:ext xmlns:c16="http://schemas.microsoft.com/office/drawing/2014/chart" uri="{C3380CC4-5D6E-409C-BE32-E72D297353CC}">
                <c16:uniqueId val="{00000003-9796-46DA-8AD0-4BB60F8C5750}"/>
              </c:ext>
            </c:extLst>
          </c:dPt>
          <c:dPt>
            <c:idx val="10"/>
            <c:invertIfNegative val="0"/>
            <c:bubble3D val="0"/>
            <c:spPr>
              <a:solidFill>
                <a:schemeClr val="accent1">
                  <a:lumMod val="20000"/>
                  <a:lumOff val="80000"/>
                </a:schemeClr>
              </a:solidFill>
              <a:ln w="25400">
                <a:solidFill>
                  <a:schemeClr val="bg1">
                    <a:lumMod val="50000"/>
                  </a:schemeClr>
                </a:solidFill>
              </a:ln>
              <a:effectLst/>
            </c:spPr>
            <c:extLst>
              <c:ext xmlns:c16="http://schemas.microsoft.com/office/drawing/2014/chart" uri="{C3380CC4-5D6E-409C-BE32-E72D297353CC}">
                <c16:uniqueId val="{00000004-9796-46DA-8AD0-4BB60F8C5750}"/>
              </c:ext>
            </c:extLst>
          </c:dPt>
          <c:cat>
            <c:strRef>
              <c:f>Analysis!$B$2640:$B$2650</c:f>
              <c:strCache>
                <c:ptCount val="11"/>
                <c:pt idx="0">
                  <c:v>ROKU-US</c:v>
                </c:pt>
                <c:pt idx="1">
                  <c:v>NFLX-US</c:v>
                </c:pt>
                <c:pt idx="2">
                  <c:v>DIS-US</c:v>
                </c:pt>
                <c:pt idx="3">
                  <c:v>LGF.A-US</c:v>
                </c:pt>
                <c:pt idx="4">
                  <c:v>TelevisaUnivision at target</c:v>
                </c:pt>
                <c:pt idx="5">
                  <c:v>CHTR-US</c:v>
                </c:pt>
                <c:pt idx="6">
                  <c:v>CMCSA-US</c:v>
                </c:pt>
                <c:pt idx="7">
                  <c:v>DISCA-US</c:v>
                </c:pt>
                <c:pt idx="8">
                  <c:v>VIAC-US</c:v>
                </c:pt>
                <c:pt idx="9">
                  <c:v>Televisa Group</c:v>
                </c:pt>
                <c:pt idx="10">
                  <c:v>Megacable</c:v>
                </c:pt>
              </c:strCache>
            </c:strRef>
          </c:cat>
          <c:val>
            <c:numRef>
              <c:f>Analysis!$C$2640:$C$2650</c:f>
              <c:numCache>
                <c:formatCode>#,##0.0;\(#,##0.0\);\-</c:formatCode>
                <c:ptCount val="11"/>
                <c:pt idx="0">
                  <c:v>44.914763490184605</c:v>
                </c:pt>
                <c:pt idx="1">
                  <c:v>27.085035611675288</c:v>
                </c:pt>
                <c:pt idx="2">
                  <c:v>21.974654764575551</c:v>
                </c:pt>
                <c:pt idx="3">
                  <c:v>16.307631569913145</c:v>
                </c:pt>
                <c:pt idx="4">
                  <c:v>8.1995851553051384</c:v>
                </c:pt>
                <c:pt idx="5">
                  <c:v>9.7866363740804889</c:v>
                </c:pt>
                <c:pt idx="6">
                  <c:v>8.8185511466711954</c:v>
                </c:pt>
                <c:pt idx="7">
                  <c:v>8.6043233432247472</c:v>
                </c:pt>
                <c:pt idx="8">
                  <c:v>8.139847260516575</c:v>
                </c:pt>
                <c:pt idx="9">
                  <c:v>4.1445122482867047</c:v>
                </c:pt>
                <c:pt idx="10">
                  <c:v>4.8</c:v>
                </c:pt>
              </c:numCache>
            </c:numRef>
          </c:val>
          <c:extLst>
            <c:ext xmlns:c16="http://schemas.microsoft.com/office/drawing/2014/chart" uri="{C3380CC4-5D6E-409C-BE32-E72D297353CC}">
              <c16:uniqueId val="{00000000-9796-46DA-8AD0-4BB60F8C5750}"/>
            </c:ext>
          </c:extLst>
        </c:ser>
        <c:dLbls>
          <c:showLegendKey val="0"/>
          <c:showVal val="0"/>
          <c:showCatName val="0"/>
          <c:showSerName val="0"/>
          <c:showPercent val="0"/>
          <c:showBubbleSize val="0"/>
        </c:dLbls>
        <c:gapWidth val="219"/>
        <c:overlap val="-27"/>
        <c:axId val="357192976"/>
        <c:axId val="357196304"/>
      </c:barChart>
      <c:catAx>
        <c:axId val="35719297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357196304"/>
        <c:crosses val="autoZero"/>
        <c:auto val="1"/>
        <c:lblAlgn val="ctr"/>
        <c:lblOffset val="100"/>
        <c:noMultiLvlLbl val="0"/>
      </c:catAx>
      <c:valAx>
        <c:axId val="357196304"/>
        <c:scaling>
          <c:orientation val="minMax"/>
        </c:scaling>
        <c:delete val="0"/>
        <c:axPos val="l"/>
        <c:majorGridlines>
          <c:spPr>
            <a:ln w="3175" cap="flat" cmpd="sng" algn="ctr">
              <a:solidFill>
                <a:srgbClr val="C0C0C0"/>
              </a:solidFill>
              <a:prstDash val="solid"/>
              <a:round/>
            </a:ln>
            <a:effectLst/>
          </c:spPr>
        </c:majorGridlines>
        <c:numFmt formatCode="#,##0.0;\(#,##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35719297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Analysis!$B$2848</c:f>
              <c:strCache>
                <c:ptCount val="1"/>
                <c:pt idx="0">
                  <c:v>Televisa</c:v>
                </c:pt>
              </c:strCache>
            </c:strRef>
          </c:tx>
          <c:spPr>
            <a:solidFill>
              <a:srgbClr val="263238"/>
            </a:solidFill>
            <a:ln w="25400">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Analysis!$K$2846:$Q$2846</c:f>
              <c:numCache>
                <c:formatCode>General</c:formatCode>
                <c:ptCount val="5"/>
                <c:pt idx="0">
                  <c:v>2020</c:v>
                </c:pt>
                <c:pt idx="1">
                  <c:v>2023</c:v>
                </c:pt>
                <c:pt idx="2">
                  <c:v>2024</c:v>
                </c:pt>
                <c:pt idx="3">
                  <c:v>2025</c:v>
                </c:pt>
                <c:pt idx="4">
                  <c:v>2026</c:v>
                </c:pt>
              </c:numCache>
            </c:numRef>
          </c:cat>
          <c:val>
            <c:numRef>
              <c:f>Analysis!$K$2848:$Q$2848</c:f>
              <c:numCache>
                <c:formatCode>0</c:formatCode>
                <c:ptCount val="5"/>
                <c:pt idx="0">
                  <c:v>662.5</c:v>
                </c:pt>
                <c:pt idx="1">
                  <c:v>633</c:v>
                </c:pt>
                <c:pt idx="2">
                  <c:v>623.06549366048364</c:v>
                </c:pt>
                <c:pt idx="3">
                  <c:v>599.32894736842104</c:v>
                </c:pt>
                <c:pt idx="4">
                  <c:v>606.46381578947376</c:v>
                </c:pt>
              </c:numCache>
            </c:numRef>
          </c:val>
          <c:extLst>
            <c:ext xmlns:c16="http://schemas.microsoft.com/office/drawing/2014/chart" uri="{C3380CC4-5D6E-409C-BE32-E72D297353CC}">
              <c16:uniqueId val="{00000000-E5CE-4C3C-B3FA-128FB8B99C31}"/>
            </c:ext>
          </c:extLst>
        </c:ser>
        <c:ser>
          <c:idx val="1"/>
          <c:order val="1"/>
          <c:tx>
            <c:strRef>
              <c:f>Analysis!$B$2847</c:f>
              <c:strCache>
                <c:ptCount val="1"/>
                <c:pt idx="0">
                  <c:v>Megacable</c:v>
                </c:pt>
              </c:strCache>
            </c:strRef>
          </c:tx>
          <c:spPr>
            <a:solidFill>
              <a:srgbClr val="799098"/>
            </a:solidFill>
            <a:ln w="25400">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Analysis!$K$2846:$Q$2846</c:f>
              <c:numCache>
                <c:formatCode>General</c:formatCode>
                <c:ptCount val="5"/>
                <c:pt idx="0">
                  <c:v>2020</c:v>
                </c:pt>
                <c:pt idx="1">
                  <c:v>2023</c:v>
                </c:pt>
                <c:pt idx="2">
                  <c:v>2024</c:v>
                </c:pt>
                <c:pt idx="3">
                  <c:v>2025</c:v>
                </c:pt>
                <c:pt idx="4">
                  <c:v>2026</c:v>
                </c:pt>
              </c:numCache>
            </c:numRef>
          </c:cat>
          <c:val>
            <c:numRef>
              <c:f>Analysis!$K$2847:$Q$2847</c:f>
              <c:numCache>
                <c:formatCode>0</c:formatCode>
                <c:ptCount val="5"/>
                <c:pt idx="0">
                  <c:v>404.05</c:v>
                </c:pt>
                <c:pt idx="1">
                  <c:v>585.70498024143126</c:v>
                </c:pt>
                <c:pt idx="2">
                  <c:v>559.23877337491319</c:v>
                </c:pt>
                <c:pt idx="3">
                  <c:v>518.91016886716159</c:v>
                </c:pt>
                <c:pt idx="4">
                  <c:v>460.48231365684933</c:v>
                </c:pt>
              </c:numCache>
            </c:numRef>
          </c:val>
          <c:extLst>
            <c:ext xmlns:c16="http://schemas.microsoft.com/office/drawing/2014/chart" uri="{C3380CC4-5D6E-409C-BE32-E72D297353CC}">
              <c16:uniqueId val="{00000003-E5CE-4C3C-B3FA-128FB8B99C31}"/>
            </c:ext>
          </c:extLst>
        </c:ser>
        <c:dLbls>
          <c:showLegendKey val="0"/>
          <c:showVal val="0"/>
          <c:showCatName val="0"/>
          <c:showSerName val="0"/>
          <c:showPercent val="0"/>
          <c:showBubbleSize val="0"/>
        </c:dLbls>
        <c:gapWidth val="30"/>
        <c:overlap val="-27"/>
        <c:axId val="1115393608"/>
        <c:axId val="1115397872"/>
      </c:barChart>
      <c:catAx>
        <c:axId val="1115393608"/>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115397872"/>
        <c:crosses val="autoZero"/>
        <c:auto val="1"/>
        <c:lblAlgn val="ctr"/>
        <c:lblOffset val="100"/>
        <c:noMultiLvlLbl val="0"/>
      </c:catAx>
      <c:valAx>
        <c:axId val="1115397872"/>
        <c:scaling>
          <c:orientation val="minMax"/>
        </c:scaling>
        <c:delete val="1"/>
        <c:axPos val="l"/>
        <c:numFmt formatCode="0" sourceLinked="1"/>
        <c:majorTickMark val="out"/>
        <c:minorTickMark val="none"/>
        <c:tickLblPos val="nextTo"/>
        <c:crossAx val="111539360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Analysis!$B$240</c:f>
              <c:strCache>
                <c:ptCount val="1"/>
                <c:pt idx="0">
                  <c:v>Pay TV penetration</c:v>
                </c:pt>
              </c:strCache>
            </c:strRef>
          </c:tx>
          <c:spPr>
            <a:ln w="25400">
              <a:solidFill>
                <a:srgbClr val="333399"/>
              </a:solidFill>
              <a:prstDash val="solid"/>
            </a:ln>
            <a:effectLst/>
          </c:spPr>
          <c:marker>
            <c:symbol val="none"/>
          </c:marker>
          <c:cat>
            <c:numRef>
              <c:f>Analysis!$C$239:$L$239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Analysis!$C$240:$L$240</c:f>
              <c:numCache>
                <c:formatCode>0%</c:formatCode>
                <c:ptCount val="9"/>
                <c:pt idx="0">
                  <c:v>0.28827215756490598</c:v>
                </c:pt>
                <c:pt idx="1">
                  <c:v>0.35189519650655021</c:v>
                </c:pt>
                <c:pt idx="2">
                  <c:v>0.39208866155157718</c:v>
                </c:pt>
                <c:pt idx="3">
                  <c:v>0.43360532889258951</c:v>
                </c:pt>
                <c:pt idx="4">
                  <c:v>0.47951179820992679</c:v>
                </c:pt>
                <c:pt idx="5">
                  <c:v>0.51217183770883057</c:v>
                </c:pt>
                <c:pt idx="6">
                  <c:v>0.53437839515753527</c:v>
                </c:pt>
                <c:pt idx="7">
                  <c:v>0.6334002780781709</c:v>
                </c:pt>
                <c:pt idx="8">
                  <c:v>0.68712901737659537</c:v>
                </c:pt>
              </c:numCache>
            </c:numRef>
          </c:val>
          <c:smooth val="0"/>
          <c:extLst>
            <c:ext xmlns:c16="http://schemas.microsoft.com/office/drawing/2014/chart" uri="{C3380CC4-5D6E-409C-BE32-E72D297353CC}">
              <c16:uniqueId val="{00000000-4243-447C-B045-28093E45E910}"/>
            </c:ext>
          </c:extLst>
        </c:ser>
        <c:dLbls>
          <c:showLegendKey val="0"/>
          <c:showVal val="0"/>
          <c:showCatName val="0"/>
          <c:showSerName val="0"/>
          <c:showPercent val="0"/>
          <c:showBubbleSize val="0"/>
        </c:dLbls>
        <c:smooth val="0"/>
        <c:axId val="118765440"/>
        <c:axId val="118766976"/>
      </c:lineChart>
      <c:catAx>
        <c:axId val="118765440"/>
        <c:scaling>
          <c:orientation val="minMax"/>
        </c:scaling>
        <c:delete val="0"/>
        <c:axPos val="b"/>
        <c:numFmt formatCode="General" sourceLinked="1"/>
        <c:majorTickMark val="out"/>
        <c:minorTickMark val="none"/>
        <c:tickLblPos val="low"/>
        <c:crossAx val="118766976"/>
        <c:crosses val="autoZero"/>
        <c:auto val="1"/>
        <c:lblAlgn val="ctr"/>
        <c:lblOffset val="100"/>
        <c:noMultiLvlLbl val="0"/>
      </c:catAx>
      <c:valAx>
        <c:axId val="118766976"/>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crossAx val="118765440"/>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Analysis!$B$3070</c:f>
              <c:strCache>
                <c:ptCount val="1"/>
                <c:pt idx="0">
                  <c:v>Megacable</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Analysis!$D$3069:$G$3069</c:f>
              <c:numCache>
                <c:formatCode>General</c:formatCode>
                <c:ptCount val="4"/>
                <c:pt idx="0">
                  <c:v>2024</c:v>
                </c:pt>
                <c:pt idx="1">
                  <c:v>2025</c:v>
                </c:pt>
                <c:pt idx="2">
                  <c:v>2026</c:v>
                </c:pt>
                <c:pt idx="3">
                  <c:v>2027</c:v>
                </c:pt>
              </c:numCache>
            </c:numRef>
          </c:cat>
          <c:val>
            <c:numRef>
              <c:f>Analysis!$D$3070:$G$3070</c:f>
              <c:numCache>
                <c:formatCode>0.0</c:formatCode>
                <c:ptCount val="4"/>
                <c:pt idx="0">
                  <c:v>1.460021065307634</c:v>
                </c:pt>
                <c:pt idx="1">
                  <c:v>1.3157042097376048</c:v>
                </c:pt>
                <c:pt idx="2">
                  <c:v>1.124450364320668</c:v>
                </c:pt>
                <c:pt idx="3">
                  <c:v>0.94567495589956907</c:v>
                </c:pt>
              </c:numCache>
            </c:numRef>
          </c:val>
          <c:extLst>
            <c:ext xmlns:c16="http://schemas.microsoft.com/office/drawing/2014/chart" uri="{C3380CC4-5D6E-409C-BE32-E72D297353CC}">
              <c16:uniqueId val="{00000000-44C6-4C4D-836D-BB5EB24D3588}"/>
            </c:ext>
          </c:extLst>
        </c:ser>
        <c:ser>
          <c:idx val="1"/>
          <c:order val="1"/>
          <c:tx>
            <c:strRef>
              <c:f>Analysis!$B$3071</c:f>
              <c:strCache>
                <c:ptCount val="1"/>
                <c:pt idx="0">
                  <c:v>Televisa</c:v>
                </c:pt>
              </c:strCache>
            </c:strRef>
          </c:tx>
          <c:spPr>
            <a:solidFill>
              <a:schemeClr val="bg1">
                <a:lumMod val="85000"/>
              </a:schemeClr>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Analysis!$D$3069:$G$3069</c:f>
              <c:numCache>
                <c:formatCode>General</c:formatCode>
                <c:ptCount val="4"/>
                <c:pt idx="0">
                  <c:v>2024</c:v>
                </c:pt>
                <c:pt idx="1">
                  <c:v>2025</c:v>
                </c:pt>
                <c:pt idx="2">
                  <c:v>2026</c:v>
                </c:pt>
                <c:pt idx="3">
                  <c:v>2027</c:v>
                </c:pt>
              </c:numCache>
            </c:numRef>
          </c:cat>
          <c:val>
            <c:numRef>
              <c:f>Analysis!$D$3071:$G$3071</c:f>
              <c:numCache>
                <c:formatCode>0.0</c:formatCode>
                <c:ptCount val="4"/>
                <c:pt idx="0">
                  <c:v>3.9131161110414761</c:v>
                </c:pt>
                <c:pt idx="1">
                  <c:v>3.6701957548373842</c:v>
                </c:pt>
                <c:pt idx="2">
                  <c:v>3.4172736083133044</c:v>
                </c:pt>
                <c:pt idx="3">
                  <c:v>3.1793490440610999</c:v>
                </c:pt>
              </c:numCache>
            </c:numRef>
          </c:val>
          <c:extLst>
            <c:ext xmlns:c16="http://schemas.microsoft.com/office/drawing/2014/chart" uri="{C3380CC4-5D6E-409C-BE32-E72D297353CC}">
              <c16:uniqueId val="{00000001-44C6-4C4D-836D-BB5EB24D3588}"/>
            </c:ext>
          </c:extLst>
        </c:ser>
        <c:ser>
          <c:idx val="2"/>
          <c:order val="2"/>
          <c:tx>
            <c:strRef>
              <c:f>Analysis!$B$3072</c:f>
              <c:strCache>
                <c:ptCount val="1"/>
                <c:pt idx="0">
                  <c:v>AMX</c:v>
                </c:pt>
              </c:strCache>
            </c:strRef>
          </c:tx>
          <c:spPr>
            <a:solidFill>
              <a:srgbClr val="86868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Analysis!$D$3069:$G$3069</c:f>
              <c:numCache>
                <c:formatCode>General</c:formatCode>
                <c:ptCount val="4"/>
                <c:pt idx="0">
                  <c:v>2024</c:v>
                </c:pt>
                <c:pt idx="1">
                  <c:v>2025</c:v>
                </c:pt>
                <c:pt idx="2">
                  <c:v>2026</c:v>
                </c:pt>
                <c:pt idx="3">
                  <c:v>2027</c:v>
                </c:pt>
              </c:numCache>
            </c:numRef>
          </c:cat>
          <c:val>
            <c:numRef>
              <c:f>Analysis!$D$3072:$G$3072</c:f>
              <c:numCache>
                <c:formatCode>0.0</c:formatCode>
                <c:ptCount val="4"/>
                <c:pt idx="0">
                  <c:v>1.3834038397348298</c:v>
                </c:pt>
                <c:pt idx="1">
                  <c:v>1.2366398871671893</c:v>
                </c:pt>
                <c:pt idx="2">
                  <c:v>1.1052405457794643</c:v>
                </c:pt>
                <c:pt idx="3">
                  <c:v>0.9825643445841532</c:v>
                </c:pt>
              </c:numCache>
            </c:numRef>
          </c:val>
          <c:extLst>
            <c:ext xmlns:c16="http://schemas.microsoft.com/office/drawing/2014/chart" uri="{C3380CC4-5D6E-409C-BE32-E72D297353CC}">
              <c16:uniqueId val="{00000002-44C6-4C4D-836D-BB5EB24D3588}"/>
            </c:ext>
          </c:extLst>
        </c:ser>
        <c:dLbls>
          <c:showLegendKey val="0"/>
          <c:showVal val="0"/>
          <c:showCatName val="0"/>
          <c:showSerName val="0"/>
          <c:showPercent val="0"/>
          <c:showBubbleSize val="0"/>
        </c:dLbls>
        <c:gapWidth val="30"/>
        <c:overlap val="-27"/>
        <c:axId val="1364393071"/>
        <c:axId val="1364399311"/>
      </c:barChart>
      <c:catAx>
        <c:axId val="1364393071"/>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364399311"/>
        <c:crosses val="autoZero"/>
        <c:auto val="1"/>
        <c:lblAlgn val="ctr"/>
        <c:lblOffset val="100"/>
        <c:noMultiLvlLbl val="0"/>
      </c:catAx>
      <c:valAx>
        <c:axId val="1364399311"/>
        <c:scaling>
          <c:orientation val="minMax"/>
        </c:scaling>
        <c:delete val="1"/>
        <c:axPos val="l"/>
        <c:numFmt formatCode="0.0" sourceLinked="1"/>
        <c:majorTickMark val="out"/>
        <c:minorTickMark val="none"/>
        <c:tickLblPos val="nextTo"/>
        <c:crossAx val="1364393071"/>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35290780538359"/>
          <c:y val="5.3421172353455816E-2"/>
          <c:w val="0.80277438511777199"/>
          <c:h val="0.68338757655293092"/>
        </c:manualLayout>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F6A6-49D9-AD68-03D3684DF358}"/>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F6A6-49D9-AD68-03D3684DF358}"/>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5-F6A6-49D9-AD68-03D3684DF358}"/>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7-F6A6-49D9-AD68-03D3684DF358}"/>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9-F6A6-49D9-AD68-03D3684DF358}"/>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B-F6A6-49D9-AD68-03D3684DF358}"/>
              </c:ext>
            </c:extLst>
          </c:dPt>
          <c:dPt>
            <c:idx val="6"/>
            <c:bubble3D val="0"/>
            <c:spPr>
              <a:pattFill prst="wdDnDiag">
                <a:fgClr>
                  <a:srgbClr val="0000FF"/>
                </a:fgClr>
                <a:bgClr>
                  <a:srgbClr val="0000FF"/>
                </a:bgClr>
              </a:pattFill>
              <a:ln w="25400">
                <a:noFill/>
              </a:ln>
              <a:effectLst/>
            </c:spPr>
            <c:extLst>
              <c:ext xmlns:c16="http://schemas.microsoft.com/office/drawing/2014/chart" uri="{C3380CC4-5D6E-409C-BE32-E72D297353CC}">
                <c16:uniqueId val="{0000000D-F6A6-49D9-AD68-03D3684DF358}"/>
              </c:ext>
            </c:extLst>
          </c:dPt>
          <c:dPt>
            <c:idx val="7"/>
            <c:bubble3D val="0"/>
            <c:spPr>
              <a:pattFill prst="wdDnDiag">
                <a:fgClr>
                  <a:srgbClr val="333399"/>
                </a:fgClr>
                <a:bgClr>
                  <a:srgbClr val="333399"/>
                </a:bgClr>
              </a:pattFill>
              <a:ln w="25400">
                <a:noFill/>
              </a:ln>
              <a:effectLst/>
            </c:spPr>
            <c:extLst>
              <c:ext xmlns:c16="http://schemas.microsoft.com/office/drawing/2014/chart" uri="{C3380CC4-5D6E-409C-BE32-E72D297353CC}">
                <c16:uniqueId val="{0000000F-F6A6-49D9-AD68-03D3684DF358}"/>
              </c:ext>
            </c:extLst>
          </c:dPt>
          <c:dPt>
            <c:idx val="8"/>
            <c:bubble3D val="0"/>
            <c:spPr>
              <a:pattFill prst="wdDnDiag">
                <a:fgClr>
                  <a:srgbClr val="99CCFF"/>
                </a:fgClr>
                <a:bgClr>
                  <a:srgbClr val="000080"/>
                </a:bgClr>
              </a:pattFill>
              <a:ln w="25400">
                <a:noFill/>
              </a:ln>
              <a:effectLst/>
            </c:spPr>
            <c:extLst>
              <c:ext xmlns:c16="http://schemas.microsoft.com/office/drawing/2014/chart" uri="{C3380CC4-5D6E-409C-BE32-E72D297353CC}">
                <c16:uniqueId val="{00000011-F6A6-49D9-AD68-03D3684DF358}"/>
              </c:ext>
            </c:extLst>
          </c:dPt>
          <c:dLbls>
            <c:dLbl>
              <c:idx val="0"/>
              <c:layout>
                <c:manualLayout>
                  <c:x val="-5.6731861063566917E-2"/>
                  <c:y val="0.135893482064741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A6-49D9-AD68-03D3684DF358}"/>
                </c:ext>
              </c:extLst>
            </c:dLbl>
            <c:dLbl>
              <c:idx val="8"/>
              <c:layout>
                <c:manualLayout>
                  <c:x val="3.1258158226547357E-3"/>
                  <c:y val="1.8837124526100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6A6-49D9-AD68-03D3684DF358}"/>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'Cable cos'!$B$83:$B$94</c:f>
              <c:strCache>
                <c:ptCount val="12"/>
                <c:pt idx="0">
                  <c:v>Telmex</c:v>
                </c:pt>
                <c:pt idx="1">
                  <c:v>Axtel</c:v>
                </c:pt>
                <c:pt idx="2">
                  <c:v>Maxcom</c:v>
                </c:pt>
                <c:pt idx="3">
                  <c:v>Megacable</c:v>
                </c:pt>
                <c:pt idx="4">
                  <c:v>Televisa</c:v>
                </c:pt>
                <c:pt idx="5">
                  <c:v>Cablevision</c:v>
                </c:pt>
                <c:pt idx="6">
                  <c:v>Cablemas</c:v>
                </c:pt>
                <c:pt idx="7">
                  <c:v>TVI</c:v>
                </c:pt>
                <c:pt idx="8">
                  <c:v>Cablecom</c:v>
                </c:pt>
                <c:pt idx="9">
                  <c:v>Cablevision Red</c:v>
                </c:pt>
                <c:pt idx="10">
                  <c:v>Total Play</c:v>
                </c:pt>
                <c:pt idx="11">
                  <c:v>Others </c:v>
                </c:pt>
              </c:strCache>
            </c:strRef>
          </c:cat>
          <c:val>
            <c:numRef>
              <c:f>'Cable cos'!$I$83:$I$94</c:f>
              <c:numCache>
                <c:formatCode>0.0%</c:formatCode>
                <c:ptCount val="12"/>
                <c:pt idx="0">
                  <c:v>0.70430107526881724</c:v>
                </c:pt>
                <c:pt idx="1">
                  <c:v>4.8817204301075272E-2</c:v>
                </c:pt>
                <c:pt idx="2">
                  <c:v>1.7365591397849461E-2</c:v>
                </c:pt>
                <c:pt idx="3">
                  <c:v>3.8763440860215055E-2</c:v>
                </c:pt>
                <c:pt idx="4">
                  <c:v>7.1263440860215049E-2</c:v>
                </c:pt>
                <c:pt idx="5">
                  <c:v>2.5483870967741934E-2</c:v>
                </c:pt>
                <c:pt idx="6">
                  <c:v>2.327956989247312E-2</c:v>
                </c:pt>
                <c:pt idx="7">
                  <c:v>9.8387096774193543E-3</c:v>
                </c:pt>
                <c:pt idx="8">
                  <c:v>7.4193548387096776E-3</c:v>
                </c:pt>
                <c:pt idx="9">
                  <c:v>5.2419354838709681E-3</c:v>
                </c:pt>
                <c:pt idx="11">
                  <c:v>4.8225806451612903E-2</c:v>
                </c:pt>
              </c:numCache>
            </c:numRef>
          </c:val>
          <c:extLst>
            <c:ext xmlns:c16="http://schemas.microsoft.com/office/drawing/2014/chart" uri="{C3380CC4-5D6E-409C-BE32-E72D297353CC}">
              <c16:uniqueId val="{00000012-F6A6-49D9-AD68-03D3684DF358}"/>
            </c:ext>
          </c:extLst>
        </c:ser>
        <c:dLbls>
          <c:showLegendKey val="0"/>
          <c:showVal val="0"/>
          <c:showCatName val="0"/>
          <c:showSerName val="0"/>
          <c:showPercent val="0"/>
          <c:showBubbleSize val="0"/>
          <c:showLeaderLines val="1"/>
        </c:dLbls>
        <c:firstSliceAng val="0"/>
      </c:pieChart>
      <c:spPr>
        <a:noFill/>
        <a:ln w="25400">
          <a:noFill/>
        </a:ln>
      </c:spPr>
    </c:plotArea>
    <c:legend>
      <c:legendPos val="b"/>
      <c:layout>
        <c:manualLayout>
          <c:xMode val="edge"/>
          <c:yMode val="edge"/>
          <c:x val="1.5662647135359392E-2"/>
          <c:y val="0.7510183727034121"/>
          <c:w val="0.86630533683289579"/>
          <c:h val="0.24787067221692829"/>
        </c:manualLayout>
      </c:layout>
      <c:overlay val="0"/>
      <c:spPr>
        <a:ln w="25400">
          <a:noFill/>
        </a:ln>
      </c:spPr>
      <c:txPr>
        <a:bodyPr/>
        <a:lstStyle/>
        <a:p>
          <a:pPr rtl="0">
            <a:defRPr/>
          </a:pPr>
          <a:endParaRPr lang="en-US"/>
        </a:p>
      </c:tx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VOD!$B$192</c:f>
              <c:strCache>
                <c:ptCount val="1"/>
                <c:pt idx="0">
                  <c:v>Net debt to EBITDA</c:v>
                </c:pt>
              </c:strCache>
            </c:strRef>
          </c:tx>
          <c:spPr>
            <a:ln w="25400" cap="rnd">
              <a:solidFill>
                <a:srgbClr val="333399"/>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VOD!$F$214:$N$214</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VOD!$F$192:$N$192</c:f>
              <c:numCache>
                <c:formatCode>0.0\x</c:formatCode>
                <c:ptCount val="9"/>
                <c:pt idx="0">
                  <c:v>5.6133727810650882</c:v>
                </c:pt>
                <c:pt idx="1">
                  <c:v>5.9798786527984156</c:v>
                </c:pt>
                <c:pt idx="2">
                  <c:v>5.8607717283429048</c:v>
                </c:pt>
                <c:pt idx="3">
                  <c:v>5.5466085759577499</c:v>
                </c:pt>
                <c:pt idx="4">
                  <c:v>4.874068732754794</c:v>
                </c:pt>
                <c:pt idx="5">
                  <c:v>4.4048660781351527</c:v>
                </c:pt>
                <c:pt idx="6">
                  <c:v>4.0422153884006349</c:v>
                </c:pt>
                <c:pt idx="7">
                  <c:v>3.7239944486117178</c:v>
                </c:pt>
                <c:pt idx="8">
                  <c:v>3.4072243005012681</c:v>
                </c:pt>
              </c:numCache>
            </c:numRef>
          </c:val>
          <c:smooth val="0"/>
          <c:extLst>
            <c:ext xmlns:c16="http://schemas.microsoft.com/office/drawing/2014/chart" uri="{C3380CC4-5D6E-409C-BE32-E72D297353CC}">
              <c16:uniqueId val="{00000000-E935-4E84-8017-D4EB82A07B25}"/>
            </c:ext>
          </c:extLst>
        </c:ser>
        <c:dLbls>
          <c:dLblPos val="t"/>
          <c:showLegendKey val="0"/>
          <c:showVal val="1"/>
          <c:showCatName val="0"/>
          <c:showSerName val="0"/>
          <c:showPercent val="0"/>
          <c:showBubbleSize val="0"/>
        </c:dLbls>
        <c:smooth val="0"/>
        <c:axId val="51021839"/>
        <c:axId val="51022671"/>
      </c:lineChart>
      <c:catAx>
        <c:axId val="51021839"/>
        <c:scaling>
          <c:orientation val="minMax"/>
        </c:scaling>
        <c:delete val="0"/>
        <c:axPos val="b"/>
        <c:numFmt formatCode="General" sourceLinked="1"/>
        <c:majorTickMark val="none"/>
        <c:minorTickMark val="none"/>
        <c:tickLblPos val="low"/>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51022671"/>
        <c:crosses val="autoZero"/>
        <c:auto val="1"/>
        <c:lblAlgn val="ctr"/>
        <c:lblOffset val="100"/>
        <c:noMultiLvlLbl val="0"/>
      </c:catAx>
      <c:valAx>
        <c:axId val="51022671"/>
        <c:scaling>
          <c:orientation val="minMax"/>
        </c:scaling>
        <c:delete val="0"/>
        <c:axPos val="l"/>
        <c:majorGridlines>
          <c:spPr>
            <a:ln w="3175" cap="flat" cmpd="sng" algn="ctr">
              <a:solidFill>
                <a:srgbClr val="C0C0C0"/>
              </a:solidFill>
              <a:prstDash val="solid"/>
              <a:round/>
            </a:ln>
            <a:effectLst/>
          </c:spPr>
        </c:majorGridlines>
        <c:numFmt formatCode="0.0\x" sourceLinked="1"/>
        <c:majorTickMark val="none"/>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51021839"/>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944953436221548E-2"/>
          <c:y val="5.1846065061801477E-2"/>
          <c:w val="0.96124770731783094"/>
          <c:h val="0.83269456655464902"/>
        </c:manualLayout>
      </c:layout>
      <c:lineChart>
        <c:grouping val="standard"/>
        <c:varyColors val="0"/>
        <c:ser>
          <c:idx val="0"/>
          <c:order val="0"/>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'VOD-quarts'!$G$116:$O$116</c:f>
              <c:strCache>
                <c:ptCount val="9"/>
                <c:pt idx="0">
                  <c:v>Q1 22</c:v>
                </c:pt>
                <c:pt idx="1">
                  <c:v>Q2 22</c:v>
                </c:pt>
                <c:pt idx="2">
                  <c:v>Q3 22</c:v>
                </c:pt>
                <c:pt idx="3">
                  <c:v>Q4 22</c:v>
                </c:pt>
                <c:pt idx="4">
                  <c:v>Q1 23</c:v>
                </c:pt>
                <c:pt idx="5">
                  <c:v>Q2 23</c:v>
                </c:pt>
                <c:pt idx="6">
                  <c:v>Q3 23</c:v>
                </c:pt>
                <c:pt idx="7">
                  <c:v>Q4 23</c:v>
                </c:pt>
                <c:pt idx="8">
                  <c:v>Q1 24</c:v>
                </c:pt>
              </c:strCache>
            </c:strRef>
          </c:cat>
          <c:val>
            <c:numRef>
              <c:f>'VOD-quarts'!$G$117:$O$117</c:f>
              <c:numCache>
                <c:formatCode>0.0%</c:formatCode>
                <c:ptCount val="9"/>
                <c:pt idx="0">
                  <c:v>8.0919381071134167E-2</c:v>
                </c:pt>
                <c:pt idx="1">
                  <c:v>0.14536832163792024</c:v>
                </c:pt>
                <c:pt idx="2">
                  <c:v>9.6806250772802471E-2</c:v>
                </c:pt>
                <c:pt idx="3">
                  <c:v>-9.9679709253112092E-3</c:v>
                </c:pt>
                <c:pt idx="4">
                  <c:v>7.4251560487318846E-2</c:v>
                </c:pt>
                <c:pt idx="5">
                  <c:v>0.13799494244820543</c:v>
                </c:pt>
                <c:pt idx="6">
                  <c:v>2.4742425167785242E-2</c:v>
                </c:pt>
                <c:pt idx="7">
                  <c:v>-1.4443091812879283E-2</c:v>
                </c:pt>
                <c:pt idx="8">
                  <c:v>8.1775435993254098E-2</c:v>
                </c:pt>
              </c:numCache>
            </c:numRef>
          </c:val>
          <c:smooth val="0"/>
          <c:extLst>
            <c:ext xmlns:c16="http://schemas.microsoft.com/office/drawing/2014/chart" uri="{C3380CC4-5D6E-409C-BE32-E72D297353CC}">
              <c16:uniqueId val="{00000000-8C1F-4BCB-8F7C-1E049DCAD056}"/>
            </c:ext>
          </c:extLst>
        </c:ser>
        <c:dLbls>
          <c:showLegendKey val="0"/>
          <c:showVal val="0"/>
          <c:showCatName val="0"/>
          <c:showSerName val="0"/>
          <c:showPercent val="0"/>
          <c:showBubbleSize val="0"/>
        </c:dLbls>
        <c:smooth val="0"/>
        <c:axId val="861455776"/>
        <c:axId val="861469696"/>
      </c:lineChart>
      <c:catAx>
        <c:axId val="861455776"/>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861469696"/>
        <c:crosses val="autoZero"/>
        <c:auto val="1"/>
        <c:lblAlgn val="ctr"/>
        <c:lblOffset val="100"/>
        <c:noMultiLvlLbl val="0"/>
      </c:catAx>
      <c:valAx>
        <c:axId val="861469696"/>
        <c:scaling>
          <c:orientation val="minMax"/>
        </c:scaling>
        <c:delete val="1"/>
        <c:axPos val="l"/>
        <c:numFmt formatCode="0.0%" sourceLinked="1"/>
        <c:majorTickMark val="out"/>
        <c:minorTickMark val="none"/>
        <c:tickLblPos val="nextTo"/>
        <c:crossAx val="86145577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'VOD-quarts'!$G$116:$O$116</c:f>
              <c:strCache>
                <c:ptCount val="9"/>
                <c:pt idx="0">
                  <c:v>Q1 22</c:v>
                </c:pt>
                <c:pt idx="1">
                  <c:v>Q2 22</c:v>
                </c:pt>
                <c:pt idx="2">
                  <c:v>Q3 22</c:v>
                </c:pt>
                <c:pt idx="3">
                  <c:v>Q4 22</c:v>
                </c:pt>
                <c:pt idx="4">
                  <c:v>Q1 23</c:v>
                </c:pt>
                <c:pt idx="5">
                  <c:v>Q2 23</c:v>
                </c:pt>
                <c:pt idx="6">
                  <c:v>Q3 23</c:v>
                </c:pt>
                <c:pt idx="7">
                  <c:v>Q4 23</c:v>
                </c:pt>
                <c:pt idx="8">
                  <c:v>Q1 24</c:v>
                </c:pt>
              </c:strCache>
            </c:strRef>
          </c:cat>
          <c:val>
            <c:numRef>
              <c:f>'VOD-quarts'!$G$118:$O$118</c:f>
              <c:numCache>
                <c:formatCode>0.0%</c:formatCode>
                <c:ptCount val="9"/>
                <c:pt idx="0">
                  <c:v>0.13043315091171648</c:v>
                </c:pt>
                <c:pt idx="1">
                  <c:v>0.10618077933594039</c:v>
                </c:pt>
                <c:pt idx="2">
                  <c:v>5.1131916993547799E-2</c:v>
                </c:pt>
                <c:pt idx="3">
                  <c:v>0.19437973371131068</c:v>
                </c:pt>
                <c:pt idx="4">
                  <c:v>3.0044164370758963E-2</c:v>
                </c:pt>
                <c:pt idx="5">
                  <c:v>6.7013241517820621E-2</c:v>
                </c:pt>
                <c:pt idx="6">
                  <c:v>4.763713239283951E-2</c:v>
                </c:pt>
                <c:pt idx="7">
                  <c:v>-0.10628196075073126</c:v>
                </c:pt>
                <c:pt idx="8">
                  <c:v>3.8480411465906528E-2</c:v>
                </c:pt>
              </c:numCache>
            </c:numRef>
          </c:val>
          <c:smooth val="0"/>
          <c:extLst>
            <c:ext xmlns:c16="http://schemas.microsoft.com/office/drawing/2014/chart" uri="{C3380CC4-5D6E-409C-BE32-E72D297353CC}">
              <c16:uniqueId val="{00000000-5A86-4D10-97EB-312B200B69BA}"/>
            </c:ext>
          </c:extLst>
        </c:ser>
        <c:dLbls>
          <c:showLegendKey val="0"/>
          <c:showVal val="0"/>
          <c:showCatName val="0"/>
          <c:showSerName val="0"/>
          <c:showPercent val="0"/>
          <c:showBubbleSize val="0"/>
        </c:dLbls>
        <c:smooth val="0"/>
        <c:axId val="861455776"/>
        <c:axId val="861469696"/>
      </c:lineChart>
      <c:catAx>
        <c:axId val="861455776"/>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861469696"/>
        <c:crosses val="autoZero"/>
        <c:auto val="1"/>
        <c:lblAlgn val="ctr"/>
        <c:lblOffset val="100"/>
        <c:noMultiLvlLbl val="0"/>
      </c:catAx>
      <c:valAx>
        <c:axId val="861469696"/>
        <c:scaling>
          <c:orientation val="minMax"/>
        </c:scaling>
        <c:delete val="1"/>
        <c:axPos val="l"/>
        <c:numFmt formatCode="0.0%" sourceLinked="1"/>
        <c:majorTickMark val="out"/>
        <c:minorTickMark val="none"/>
        <c:tickLblPos val="nextTo"/>
        <c:crossAx val="86145577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'VOD-quarts'!$B$139</c:f>
              <c:strCache>
                <c:ptCount val="1"/>
                <c:pt idx="0">
                  <c:v>EBITDA (USD million)</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'VOD-quarts'!$G$137:$O$137</c:f>
              <c:strCache>
                <c:ptCount val="9"/>
                <c:pt idx="0">
                  <c:v>Q1 22</c:v>
                </c:pt>
                <c:pt idx="1">
                  <c:v>Q2 22</c:v>
                </c:pt>
                <c:pt idx="2">
                  <c:v>Q3 22</c:v>
                </c:pt>
                <c:pt idx="3">
                  <c:v>Q4 22</c:v>
                </c:pt>
                <c:pt idx="4">
                  <c:v>Q1 23</c:v>
                </c:pt>
                <c:pt idx="5">
                  <c:v>Q2 23</c:v>
                </c:pt>
                <c:pt idx="6">
                  <c:v>Q3 23</c:v>
                </c:pt>
                <c:pt idx="7">
                  <c:v>Q4 23</c:v>
                </c:pt>
                <c:pt idx="8">
                  <c:v>Q1 24</c:v>
                </c:pt>
              </c:strCache>
            </c:strRef>
          </c:cat>
          <c:val>
            <c:numRef>
              <c:f>'VOD-quarts'!$G$139:$O$139</c:f>
              <c:numCache>
                <c:formatCode>0</c:formatCode>
                <c:ptCount val="9"/>
                <c:pt idx="0">
                  <c:v>401.6</c:v>
                </c:pt>
                <c:pt idx="1">
                  <c:v>373.3</c:v>
                </c:pt>
                <c:pt idx="2">
                  <c:v>410.9</c:v>
                </c:pt>
                <c:pt idx="3">
                  <c:v>504.4</c:v>
                </c:pt>
                <c:pt idx="4">
                  <c:v>361</c:v>
                </c:pt>
                <c:pt idx="5">
                  <c:v>373.9</c:v>
                </c:pt>
                <c:pt idx="6">
                  <c:v>412.2</c:v>
                </c:pt>
                <c:pt idx="7">
                  <c:v>468.1</c:v>
                </c:pt>
                <c:pt idx="8">
                  <c:v>328.5</c:v>
                </c:pt>
              </c:numCache>
            </c:numRef>
          </c:val>
          <c:extLst>
            <c:ext xmlns:c16="http://schemas.microsoft.com/office/drawing/2014/chart" uri="{C3380CC4-5D6E-409C-BE32-E72D297353CC}">
              <c16:uniqueId val="{00000001-7A59-4488-BF3B-9C20F24B96E9}"/>
            </c:ext>
          </c:extLst>
        </c:ser>
        <c:dLbls>
          <c:showLegendKey val="0"/>
          <c:showVal val="0"/>
          <c:showCatName val="0"/>
          <c:showSerName val="0"/>
          <c:showPercent val="0"/>
          <c:showBubbleSize val="0"/>
        </c:dLbls>
        <c:gapWidth val="30"/>
        <c:axId val="867558080"/>
        <c:axId val="867595520"/>
      </c:barChart>
      <c:lineChart>
        <c:grouping val="standard"/>
        <c:varyColors val="0"/>
        <c:ser>
          <c:idx val="0"/>
          <c:order val="0"/>
          <c:tx>
            <c:strRef>
              <c:f>'VOD-quarts'!$B$138</c:f>
              <c:strCache>
                <c:ptCount val="1"/>
                <c:pt idx="0">
                  <c:v>EBITDA margin</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'VOD-quarts'!$G$137:$O$137</c:f>
              <c:strCache>
                <c:ptCount val="9"/>
                <c:pt idx="0">
                  <c:v>Q1 22</c:v>
                </c:pt>
                <c:pt idx="1">
                  <c:v>Q2 22</c:v>
                </c:pt>
                <c:pt idx="2">
                  <c:v>Q3 22</c:v>
                </c:pt>
                <c:pt idx="3">
                  <c:v>Q4 22</c:v>
                </c:pt>
                <c:pt idx="4">
                  <c:v>Q1 23</c:v>
                </c:pt>
                <c:pt idx="5">
                  <c:v>Q2 23</c:v>
                </c:pt>
                <c:pt idx="6">
                  <c:v>Q3 23</c:v>
                </c:pt>
                <c:pt idx="7">
                  <c:v>Q4 23</c:v>
                </c:pt>
                <c:pt idx="8">
                  <c:v>Q1 24</c:v>
                </c:pt>
              </c:strCache>
            </c:strRef>
          </c:cat>
          <c:val>
            <c:numRef>
              <c:f>'VOD-quarts'!$G$138:$O$138</c:f>
              <c:numCache>
                <c:formatCode>0.0%</c:formatCode>
                <c:ptCount val="9"/>
                <c:pt idx="0">
                  <c:v>0.39738769048090244</c:v>
                </c:pt>
                <c:pt idx="1">
                  <c:v>0.34054004743659916</c:v>
                </c:pt>
                <c:pt idx="2">
                  <c:v>0.35683890577507599</c:v>
                </c:pt>
                <c:pt idx="3">
                  <c:v>0.34702442380460957</c:v>
                </c:pt>
                <c:pt idx="4">
                  <c:v>0.33709963582033803</c:v>
                </c:pt>
                <c:pt idx="5">
                  <c:v>0.30652565994425313</c:v>
                </c:pt>
                <c:pt idx="6">
                  <c:v>0.32190550566185083</c:v>
                </c:pt>
                <c:pt idx="7">
                  <c:v>0.34500294811320759</c:v>
                </c:pt>
                <c:pt idx="8">
                  <c:v>0.28590078328981722</c:v>
                </c:pt>
              </c:numCache>
            </c:numRef>
          </c:val>
          <c:smooth val="0"/>
          <c:extLst>
            <c:ext xmlns:c16="http://schemas.microsoft.com/office/drawing/2014/chart" uri="{C3380CC4-5D6E-409C-BE32-E72D297353CC}">
              <c16:uniqueId val="{00000000-7A59-4488-BF3B-9C20F24B96E9}"/>
            </c:ext>
          </c:extLst>
        </c:ser>
        <c:dLbls>
          <c:showLegendKey val="0"/>
          <c:showVal val="0"/>
          <c:showCatName val="0"/>
          <c:showSerName val="0"/>
          <c:showPercent val="0"/>
          <c:showBubbleSize val="0"/>
        </c:dLbls>
        <c:marker val="1"/>
        <c:smooth val="0"/>
        <c:axId val="867624800"/>
        <c:axId val="867639200"/>
      </c:lineChart>
      <c:catAx>
        <c:axId val="867558080"/>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867595520"/>
        <c:crosses val="autoZero"/>
        <c:auto val="1"/>
        <c:lblAlgn val="ctr"/>
        <c:lblOffset val="100"/>
        <c:noMultiLvlLbl val="0"/>
      </c:catAx>
      <c:valAx>
        <c:axId val="867595520"/>
        <c:scaling>
          <c:orientation val="minMax"/>
        </c:scaling>
        <c:delete val="0"/>
        <c:axPos val="l"/>
        <c:numFmt formatCode="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867558080"/>
        <c:crosses val="autoZero"/>
        <c:crossBetween val="between"/>
      </c:valAx>
      <c:valAx>
        <c:axId val="86763920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867624800"/>
        <c:crosses val="max"/>
        <c:crossBetween val="between"/>
      </c:valAx>
      <c:catAx>
        <c:axId val="867624800"/>
        <c:scaling>
          <c:orientation val="minMax"/>
        </c:scaling>
        <c:delete val="1"/>
        <c:axPos val="b"/>
        <c:numFmt formatCode="General" sourceLinked="1"/>
        <c:majorTickMark val="out"/>
        <c:minorTickMark val="none"/>
        <c:tickLblPos val="nextTo"/>
        <c:crossAx val="867639200"/>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'VOD-quarts'!$G$18:$O$18</c:f>
              <c:strCache>
                <c:ptCount val="9"/>
                <c:pt idx="0">
                  <c:v>Q1 22</c:v>
                </c:pt>
                <c:pt idx="1">
                  <c:v>Q2 22</c:v>
                </c:pt>
                <c:pt idx="2">
                  <c:v>Q3 22</c:v>
                </c:pt>
                <c:pt idx="3">
                  <c:v>Q4 22</c:v>
                </c:pt>
                <c:pt idx="4">
                  <c:v>Q1 23</c:v>
                </c:pt>
                <c:pt idx="5">
                  <c:v>Q2 23</c:v>
                </c:pt>
                <c:pt idx="6">
                  <c:v>Q3 23</c:v>
                </c:pt>
                <c:pt idx="7">
                  <c:v>Q4 23</c:v>
                </c:pt>
                <c:pt idx="8">
                  <c:v>Q1 24</c:v>
                </c:pt>
              </c:strCache>
            </c:strRef>
          </c:cat>
          <c:val>
            <c:numRef>
              <c:f>'VOD-quarts'!$G$51:$O$51</c:f>
              <c:numCache>
                <c:formatCode>#,##0</c:formatCode>
                <c:ptCount val="9"/>
                <c:pt idx="0">
                  <c:v>2581.3000000000002</c:v>
                </c:pt>
                <c:pt idx="1">
                  <c:v>2719.4</c:v>
                </c:pt>
                <c:pt idx="2">
                  <c:v>2789.6</c:v>
                </c:pt>
                <c:pt idx="3">
                  <c:v>3021.6</c:v>
                </c:pt>
                <c:pt idx="4">
                  <c:v>3122.5</c:v>
                </c:pt>
                <c:pt idx="5">
                  <c:v>3245.5000000000005</c:v>
                </c:pt>
                <c:pt idx="6">
                  <c:v>3373.2</c:v>
                </c:pt>
                <c:pt idx="7">
                  <c:v>3312.8</c:v>
                </c:pt>
                <c:pt idx="8">
                  <c:v>3423.3999999999996</c:v>
                </c:pt>
              </c:numCache>
            </c:numRef>
          </c:val>
          <c:extLst>
            <c:ext xmlns:c16="http://schemas.microsoft.com/office/drawing/2014/chart" uri="{C3380CC4-5D6E-409C-BE32-E72D297353CC}">
              <c16:uniqueId val="{00000000-0825-49C4-B172-5CB9DAE21A77}"/>
            </c:ext>
          </c:extLst>
        </c:ser>
        <c:dLbls>
          <c:showLegendKey val="0"/>
          <c:showVal val="0"/>
          <c:showCatName val="0"/>
          <c:showSerName val="0"/>
          <c:showPercent val="0"/>
          <c:showBubbleSize val="0"/>
        </c:dLbls>
        <c:gapWidth val="30"/>
        <c:overlap val="-27"/>
        <c:axId val="867532160"/>
        <c:axId val="867543200"/>
      </c:barChart>
      <c:catAx>
        <c:axId val="867532160"/>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867543200"/>
        <c:crosses val="autoZero"/>
        <c:auto val="1"/>
        <c:lblAlgn val="ctr"/>
        <c:lblOffset val="100"/>
        <c:noMultiLvlLbl val="0"/>
      </c:catAx>
      <c:valAx>
        <c:axId val="867543200"/>
        <c:scaling>
          <c:orientation val="minMax"/>
        </c:scaling>
        <c:delete val="1"/>
        <c:axPos val="l"/>
        <c:numFmt formatCode="#,##0" sourceLinked="1"/>
        <c:majorTickMark val="out"/>
        <c:minorTickMark val="none"/>
        <c:tickLblPos val="nextTo"/>
        <c:crossAx val="86753216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Content!$T$91</c:f>
              <c:strCache>
                <c:ptCount val="1"/>
                <c:pt idx="0">
                  <c:v>New underlying margin</c:v>
                </c:pt>
              </c:strCache>
            </c:strRef>
          </c:tx>
          <c:spPr>
            <a:ln w="25400">
              <a:solidFill>
                <a:srgbClr val="333399"/>
              </a:solidFill>
              <a:prstDash val="solid"/>
            </a:ln>
            <a:effectLst/>
          </c:spPr>
          <c:marker>
            <c:symbol val="none"/>
          </c:marker>
          <c:cat>
            <c:numRef>
              <c:f>Content!$Z$90:$AG$90</c:f>
              <c:numCache>
                <c:formatCode>General</c:formatCode>
                <c:ptCount val="8"/>
                <c:pt idx="0">
                  <c:v>2013</c:v>
                </c:pt>
                <c:pt idx="1">
                  <c:v>2014</c:v>
                </c:pt>
                <c:pt idx="2">
                  <c:v>2015</c:v>
                </c:pt>
                <c:pt idx="3">
                  <c:v>2016</c:v>
                </c:pt>
                <c:pt idx="4">
                  <c:v>2017</c:v>
                </c:pt>
                <c:pt idx="5">
                  <c:v>2018</c:v>
                </c:pt>
                <c:pt idx="6">
                  <c:v>2019</c:v>
                </c:pt>
                <c:pt idx="7">
                  <c:v>2020</c:v>
                </c:pt>
              </c:numCache>
            </c:numRef>
          </c:cat>
          <c:val>
            <c:numRef>
              <c:f>Content!$Z$91:$AG$91</c:f>
              <c:numCache>
                <c:formatCode>0.0%</c:formatCode>
                <c:ptCount val="8"/>
                <c:pt idx="0">
                  <c:v>0.39822449424695944</c:v>
                </c:pt>
                <c:pt idx="1">
                  <c:v>0.37008583101033654</c:v>
                </c:pt>
                <c:pt idx="2">
                  <c:v>0.32735594614260838</c:v>
                </c:pt>
                <c:pt idx="3">
                  <c:v>0.2822982472841688</c:v>
                </c:pt>
                <c:pt idx="4">
                  <c:v>0.24558932365650443</c:v>
                </c:pt>
                <c:pt idx="5">
                  <c:v>0.23615150212421604</c:v>
                </c:pt>
                <c:pt idx="6">
                  <c:v>0.18830919723239781</c:v>
                </c:pt>
                <c:pt idx="7">
                  <c:v>0.1720731570715259</c:v>
                </c:pt>
              </c:numCache>
            </c:numRef>
          </c:val>
          <c:smooth val="0"/>
          <c:extLst>
            <c:ext xmlns:c16="http://schemas.microsoft.com/office/drawing/2014/chart" uri="{C3380CC4-5D6E-409C-BE32-E72D297353CC}">
              <c16:uniqueId val="{00000000-70F0-4C86-A71D-E4496E37D7DB}"/>
            </c:ext>
          </c:extLst>
        </c:ser>
        <c:ser>
          <c:idx val="1"/>
          <c:order val="1"/>
          <c:tx>
            <c:strRef>
              <c:f>Content!$T$92</c:f>
              <c:strCache>
                <c:ptCount val="1"/>
                <c:pt idx="0">
                  <c:v>Old underlying margin</c:v>
                </c:pt>
              </c:strCache>
            </c:strRef>
          </c:tx>
          <c:spPr>
            <a:ln w="25400">
              <a:solidFill>
                <a:srgbClr val="99CCFF"/>
              </a:solidFill>
              <a:prstDash val="solid"/>
            </a:ln>
            <a:effectLst/>
          </c:spPr>
          <c:marker>
            <c:symbol val="none"/>
          </c:marker>
          <c:cat>
            <c:numRef>
              <c:f>Content!$Z$90:$AG$90</c:f>
              <c:numCache>
                <c:formatCode>General</c:formatCode>
                <c:ptCount val="8"/>
                <c:pt idx="0">
                  <c:v>2013</c:v>
                </c:pt>
                <c:pt idx="1">
                  <c:v>2014</c:v>
                </c:pt>
                <c:pt idx="2">
                  <c:v>2015</c:v>
                </c:pt>
                <c:pt idx="3">
                  <c:v>2016</c:v>
                </c:pt>
                <c:pt idx="4">
                  <c:v>2017</c:v>
                </c:pt>
                <c:pt idx="5">
                  <c:v>2018</c:v>
                </c:pt>
                <c:pt idx="6">
                  <c:v>2019</c:v>
                </c:pt>
                <c:pt idx="7">
                  <c:v>2020</c:v>
                </c:pt>
              </c:numCache>
            </c:numRef>
          </c:cat>
          <c:val>
            <c:numRef>
              <c:f>Content!$Z$92:$AG$92</c:f>
              <c:numCache>
                <c:formatCode>0.0%</c:formatCode>
                <c:ptCount val="8"/>
                <c:pt idx="0">
                  <c:v>0.39822449424695944</c:v>
                </c:pt>
                <c:pt idx="1">
                  <c:v>0.36499999999999999</c:v>
                </c:pt>
                <c:pt idx="2">
                  <c:v>0.35</c:v>
                </c:pt>
                <c:pt idx="3">
                  <c:v>0.33</c:v>
                </c:pt>
                <c:pt idx="4">
                  <c:v>0.32</c:v>
                </c:pt>
                <c:pt idx="5">
                  <c:v>0.32</c:v>
                </c:pt>
                <c:pt idx="6">
                  <c:v>0.30499999999999999</c:v>
                </c:pt>
                <c:pt idx="7">
                  <c:v>0.29749999999999999</c:v>
                </c:pt>
              </c:numCache>
            </c:numRef>
          </c:val>
          <c:smooth val="0"/>
          <c:extLst>
            <c:ext xmlns:c16="http://schemas.microsoft.com/office/drawing/2014/chart" uri="{C3380CC4-5D6E-409C-BE32-E72D297353CC}">
              <c16:uniqueId val="{00000001-70F0-4C86-A71D-E4496E37D7DB}"/>
            </c:ext>
          </c:extLst>
        </c:ser>
        <c:dLbls>
          <c:showLegendKey val="0"/>
          <c:showVal val="0"/>
          <c:showCatName val="0"/>
          <c:showSerName val="0"/>
          <c:showPercent val="0"/>
          <c:showBubbleSize val="0"/>
        </c:dLbls>
        <c:smooth val="0"/>
        <c:axId val="30143232"/>
        <c:axId val="30144768"/>
      </c:lineChart>
      <c:catAx>
        <c:axId val="30143232"/>
        <c:scaling>
          <c:orientation val="minMax"/>
        </c:scaling>
        <c:delete val="0"/>
        <c:axPos val="b"/>
        <c:numFmt formatCode="General" sourceLinked="1"/>
        <c:majorTickMark val="out"/>
        <c:minorTickMark val="none"/>
        <c:tickLblPos val="low"/>
        <c:crossAx val="30144768"/>
        <c:crosses val="autoZero"/>
        <c:auto val="1"/>
        <c:lblAlgn val="ctr"/>
        <c:lblOffset val="100"/>
        <c:noMultiLvlLbl val="0"/>
      </c:catAx>
      <c:valAx>
        <c:axId val="30144768"/>
        <c:scaling>
          <c:orientation val="minMax"/>
        </c:scaling>
        <c:delete val="0"/>
        <c:axPos val="l"/>
        <c:majorGridlines>
          <c:spPr>
            <a:ln w="3175">
              <a:solidFill>
                <a:srgbClr val="C0C0C0"/>
              </a:solidFill>
              <a:prstDash val="solid"/>
            </a:ln>
          </c:spPr>
        </c:majorGridlines>
        <c:numFmt formatCode="0.0%" sourceLinked="1"/>
        <c:majorTickMark val="out"/>
        <c:minorTickMark val="none"/>
        <c:tickLblPos val="nextTo"/>
        <c:crossAx val="30143232"/>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Content!$AB$5</c:f>
              <c:strCache>
                <c:ptCount val="1"/>
                <c:pt idx="0">
                  <c:v>Ad spend (LHS)</c:v>
                </c:pt>
              </c:strCache>
            </c:strRef>
          </c:tx>
          <c:spPr>
            <a:ln w="25400" cap="rnd">
              <a:solidFill>
                <a:srgbClr val="333399"/>
              </a:solidFill>
              <a:prstDash val="solid"/>
              <a:round/>
            </a:ln>
            <a:effectLst/>
          </c:spPr>
          <c:marker>
            <c:symbol val="none"/>
          </c:marker>
          <c:cat>
            <c:numRef>
              <c:f>Content!$AC$4:$AP$4</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Content!$AC$5:$AP$5</c:f>
              <c:numCache>
                <c:formatCode>0.0%</c:formatCode>
                <c:ptCount val="14"/>
                <c:pt idx="0">
                  <c:v>3.144862773150181E-2</c:v>
                </c:pt>
                <c:pt idx="1">
                  <c:v>3.8837060649484556E-2</c:v>
                </c:pt>
                <c:pt idx="2">
                  <c:v>2.4137861695924023E-2</c:v>
                </c:pt>
                <c:pt idx="3">
                  <c:v>-9.5673788664752957E-2</c:v>
                </c:pt>
                <c:pt idx="4">
                  <c:v>8.4197088057389458E-3</c:v>
                </c:pt>
                <c:pt idx="5">
                  <c:v>-0.10783182334906471</c:v>
                </c:pt>
                <c:pt idx="6">
                  <c:v>2.1043486654761301E-2</c:v>
                </c:pt>
                <c:pt idx="7">
                  <c:v>-8.1994800283620828E-2</c:v>
                </c:pt>
                <c:pt idx="8">
                  <c:v>-0.15811208831949919</c:v>
                </c:pt>
                <c:pt idx="9">
                  <c:v>0.17200210400127225</c:v>
                </c:pt>
                <c:pt idx="10">
                  <c:v>0.05</c:v>
                </c:pt>
                <c:pt idx="11">
                  <c:v>0.04</c:v>
                </c:pt>
                <c:pt idx="12">
                  <c:v>0</c:v>
                </c:pt>
                <c:pt idx="13">
                  <c:v>0</c:v>
                </c:pt>
              </c:numCache>
            </c:numRef>
          </c:val>
          <c:smooth val="0"/>
          <c:extLst>
            <c:ext xmlns:c16="http://schemas.microsoft.com/office/drawing/2014/chart" uri="{C3380CC4-5D6E-409C-BE32-E72D297353CC}">
              <c16:uniqueId val="{00000000-16E7-4649-BC15-96CB5AA9A2AD}"/>
            </c:ext>
          </c:extLst>
        </c:ser>
        <c:dLbls>
          <c:showLegendKey val="0"/>
          <c:showVal val="0"/>
          <c:showCatName val="0"/>
          <c:showSerName val="0"/>
          <c:showPercent val="0"/>
          <c:showBubbleSize val="0"/>
        </c:dLbls>
        <c:marker val="1"/>
        <c:smooth val="0"/>
        <c:axId val="688897136"/>
        <c:axId val="689024640"/>
      </c:lineChart>
      <c:lineChart>
        <c:grouping val="standard"/>
        <c:varyColors val="0"/>
        <c:ser>
          <c:idx val="1"/>
          <c:order val="1"/>
          <c:tx>
            <c:strRef>
              <c:f>Content!$AB$6</c:f>
              <c:strCache>
                <c:ptCount val="1"/>
                <c:pt idx="0">
                  <c:v>Content margins (RHS)</c:v>
                </c:pt>
              </c:strCache>
            </c:strRef>
          </c:tx>
          <c:spPr>
            <a:ln w="25400" cap="rnd">
              <a:solidFill>
                <a:srgbClr val="99CCFF"/>
              </a:solidFill>
              <a:prstDash val="solid"/>
              <a:round/>
            </a:ln>
            <a:effectLst/>
          </c:spPr>
          <c:marker>
            <c:symbol val="none"/>
          </c:marker>
          <c:cat>
            <c:numRef>
              <c:f>Content!$AC$4:$AP$4</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Content!$AC$6:$AP$6</c:f>
              <c:numCache>
                <c:formatCode>0.0%</c:formatCode>
                <c:ptCount val="14"/>
                <c:pt idx="0">
                  <c:v>0.46865344848558571</c:v>
                </c:pt>
                <c:pt idx="1">
                  <c:v>0.46025203574153029</c:v>
                </c:pt>
                <c:pt idx="2">
                  <c:v>0.44551610211052511</c:v>
                </c:pt>
                <c:pt idx="3">
                  <c:v>0.42420906077605547</c:v>
                </c:pt>
                <c:pt idx="4">
                  <c:v>0.4019985444316333</c:v>
                </c:pt>
                <c:pt idx="5">
                  <c:v>0.37723916816189662</c:v>
                </c:pt>
                <c:pt idx="6">
                  <c:v>0.38070708235625778</c:v>
                </c:pt>
                <c:pt idx="7">
                  <c:v>0.36303649332957805</c:v>
                </c:pt>
                <c:pt idx="8">
                  <c:v>0.37901450341888204</c:v>
                </c:pt>
                <c:pt idx="9">
                  <c:v>0.3833687145086932</c:v>
                </c:pt>
                <c:pt idx="10">
                  <c:v>0.37</c:v>
                </c:pt>
                <c:pt idx="11">
                  <c:v>0.36</c:v>
                </c:pt>
                <c:pt idx="12">
                  <c:v>0.34499999999999997</c:v>
                </c:pt>
                <c:pt idx="13">
                  <c:v>0.33</c:v>
                </c:pt>
              </c:numCache>
            </c:numRef>
          </c:val>
          <c:smooth val="0"/>
          <c:extLst>
            <c:ext xmlns:c16="http://schemas.microsoft.com/office/drawing/2014/chart" uri="{C3380CC4-5D6E-409C-BE32-E72D297353CC}">
              <c16:uniqueId val="{00000001-16E7-4649-BC15-96CB5AA9A2AD}"/>
            </c:ext>
          </c:extLst>
        </c:ser>
        <c:dLbls>
          <c:showLegendKey val="0"/>
          <c:showVal val="0"/>
          <c:showCatName val="0"/>
          <c:showSerName val="0"/>
          <c:showPercent val="0"/>
          <c:showBubbleSize val="0"/>
        </c:dLbls>
        <c:marker val="1"/>
        <c:smooth val="0"/>
        <c:axId val="842938496"/>
        <c:axId val="671260064"/>
      </c:lineChart>
      <c:catAx>
        <c:axId val="6888971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89024640"/>
        <c:crosses val="autoZero"/>
        <c:auto val="1"/>
        <c:lblAlgn val="ctr"/>
        <c:lblOffset val="100"/>
        <c:noMultiLvlLbl val="0"/>
      </c:catAx>
      <c:valAx>
        <c:axId val="689024640"/>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Ad spend y/y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88897136"/>
        <c:crosses val="autoZero"/>
        <c:crossBetween val="between"/>
      </c:valAx>
      <c:valAx>
        <c:axId val="671260064"/>
        <c:scaling>
          <c:orientation val="minMax"/>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42938496"/>
        <c:crosses val="max"/>
        <c:crossBetween val="between"/>
      </c:valAx>
      <c:catAx>
        <c:axId val="842938496"/>
        <c:scaling>
          <c:orientation val="minMax"/>
        </c:scaling>
        <c:delete val="1"/>
        <c:axPos val="b"/>
        <c:numFmt formatCode="General" sourceLinked="1"/>
        <c:majorTickMark val="out"/>
        <c:minorTickMark val="none"/>
        <c:tickLblPos val="nextTo"/>
        <c:crossAx val="671260064"/>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Revenue</c:v>
          </c:tx>
          <c:spPr>
            <a:solidFill>
              <a:srgbClr val="000080"/>
            </a:solidFill>
            <a:ln w="25400">
              <a:noFill/>
            </a:ln>
            <a:effectLst/>
          </c:spPr>
          <c:invertIfNegative val="0"/>
          <c:dPt>
            <c:idx val="4"/>
            <c:invertIfNegative val="0"/>
            <c:bubble3D val="0"/>
            <c:extLst>
              <c:ext xmlns:c16="http://schemas.microsoft.com/office/drawing/2014/chart" uri="{C3380CC4-5D6E-409C-BE32-E72D297353CC}">
                <c16:uniqueId val="{00000001-73A0-4EE8-B695-558ACA073027}"/>
              </c:ext>
            </c:extLst>
          </c:dPt>
          <c:val>
            <c:numRef>
              <c:f>Interims!$ER$43:$EW$43</c:f>
            </c:numRef>
          </c:val>
          <c:extLst>
            <c:ext xmlns:c15="http://schemas.microsoft.com/office/drawing/2012/chart" uri="{02D57815-91ED-43cb-92C2-25804820EDAC}">
              <c15:filteredCategoryTitle>
                <c15:cat>
                  <c:multiLvlStrRef>
                    <c:extLst>
                      <c:ext uri="{02D57815-91ED-43cb-92C2-25804820EDAC}">
                        <c15:formulaRef>
                          <c15:sqref>Interims!$ER$42:$EW$42</c15:sqref>
                        </c15:formulaRef>
                      </c:ext>
                    </c:extLst>
                  </c:multiLvlStrRef>
                </c15:cat>
              </c15:filteredCategoryTitle>
            </c:ext>
            <c:ext xmlns:c16="http://schemas.microsoft.com/office/drawing/2014/chart" uri="{C3380CC4-5D6E-409C-BE32-E72D297353CC}">
              <c16:uniqueId val="{00000000-73A0-4EE8-B695-558ACA073027}"/>
            </c:ext>
          </c:extLst>
        </c:ser>
        <c:ser>
          <c:idx val="1"/>
          <c:order val="1"/>
          <c:tx>
            <c:v>EBITDA</c:v>
          </c:tx>
          <c:spPr>
            <a:solidFill>
              <a:srgbClr val="9999FF"/>
            </a:solidFill>
            <a:ln w="25400">
              <a:noFill/>
            </a:ln>
            <a:effectLst/>
          </c:spPr>
          <c:invertIfNegative val="0"/>
          <c:val>
            <c:numRef>
              <c:f>Interims!$ER$44:$EW$44</c:f>
            </c:numRef>
          </c:val>
          <c:extLst>
            <c:ext xmlns:c15="http://schemas.microsoft.com/office/drawing/2012/chart" uri="{02D57815-91ED-43cb-92C2-25804820EDAC}">
              <c15:filteredCategoryTitle>
                <c15:cat>
                  <c:multiLvlStrRef>
                    <c:extLst>
                      <c:ext uri="{02D57815-91ED-43cb-92C2-25804820EDAC}">
                        <c15:formulaRef>
                          <c15:sqref>Interims!$ER$42:$EW$42</c15:sqref>
                        </c15:formulaRef>
                      </c:ext>
                    </c:extLst>
                  </c:multiLvlStrRef>
                </c15:cat>
              </c15:filteredCategoryTitle>
            </c:ext>
            <c:ext xmlns:c16="http://schemas.microsoft.com/office/drawing/2014/chart" uri="{C3380CC4-5D6E-409C-BE32-E72D297353CC}">
              <c16:uniqueId val="{00000002-EEDE-4C66-BE96-614F738D0C5F}"/>
            </c:ext>
          </c:extLst>
        </c:ser>
        <c:dLbls>
          <c:showLegendKey val="0"/>
          <c:showVal val="0"/>
          <c:showCatName val="0"/>
          <c:showSerName val="0"/>
          <c:showPercent val="0"/>
          <c:showBubbleSize val="0"/>
        </c:dLbls>
        <c:gapWidth val="219"/>
        <c:overlap val="-27"/>
        <c:axId val="625265264"/>
        <c:axId val="625264280"/>
      </c:barChart>
      <c:catAx>
        <c:axId val="62526526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25264280"/>
        <c:crosses val="autoZero"/>
        <c:auto val="1"/>
        <c:lblAlgn val="ctr"/>
        <c:lblOffset val="100"/>
        <c:noMultiLvlLbl val="0"/>
      </c:catAx>
      <c:valAx>
        <c:axId val="625264280"/>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y/y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2526526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Analysis!$B$242</c:f>
              <c:strCache>
                <c:ptCount val="1"/>
                <c:pt idx="0">
                  <c:v>Televisa share of distribution</c:v>
                </c:pt>
              </c:strCache>
            </c:strRef>
          </c:tx>
          <c:spPr>
            <a:ln w="25400">
              <a:solidFill>
                <a:srgbClr val="333399"/>
              </a:solidFill>
              <a:prstDash val="solid"/>
            </a:ln>
            <a:effectLst/>
          </c:spPr>
          <c:marker>
            <c:symbol val="none"/>
          </c:marker>
          <c:cat>
            <c:numRef>
              <c:f>Analysis!$C$239:$L$239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Analysis!$C$242:$L$242</c:f>
              <c:numCache>
                <c:formatCode>0%</c:formatCode>
                <c:ptCount val="9"/>
                <c:pt idx="0">
                  <c:v>0.51769576649011162</c:v>
                </c:pt>
                <c:pt idx="1">
                  <c:v>0.55432439307574133</c:v>
                </c:pt>
                <c:pt idx="2">
                  <c:v>0.60089475861543984</c:v>
                </c:pt>
                <c:pt idx="3">
                  <c:v>0.62754082400568867</c:v>
                </c:pt>
                <c:pt idx="4">
                  <c:v>0.63519529700932909</c:v>
                </c:pt>
                <c:pt idx="5">
                  <c:v>0.63452003727865802</c:v>
                </c:pt>
                <c:pt idx="6">
                  <c:v>0.64793133894859134</c:v>
                </c:pt>
                <c:pt idx="7">
                  <c:v>0.58661975609756101</c:v>
                </c:pt>
                <c:pt idx="8">
                  <c:v>0.53767420105630648</c:v>
                </c:pt>
              </c:numCache>
            </c:numRef>
          </c:val>
          <c:smooth val="0"/>
          <c:extLst>
            <c:ext xmlns:c16="http://schemas.microsoft.com/office/drawing/2014/chart" uri="{C3380CC4-5D6E-409C-BE32-E72D297353CC}">
              <c16:uniqueId val="{00000000-B49C-4DF3-A8B7-797256B35988}"/>
            </c:ext>
          </c:extLst>
        </c:ser>
        <c:dLbls>
          <c:showLegendKey val="0"/>
          <c:showVal val="0"/>
          <c:showCatName val="0"/>
          <c:showSerName val="0"/>
          <c:showPercent val="0"/>
          <c:showBubbleSize val="0"/>
        </c:dLbls>
        <c:smooth val="0"/>
        <c:axId val="118783360"/>
        <c:axId val="118817920"/>
      </c:lineChart>
      <c:catAx>
        <c:axId val="118783360"/>
        <c:scaling>
          <c:orientation val="minMax"/>
        </c:scaling>
        <c:delete val="0"/>
        <c:axPos val="b"/>
        <c:numFmt formatCode="General" sourceLinked="1"/>
        <c:majorTickMark val="out"/>
        <c:minorTickMark val="none"/>
        <c:tickLblPos val="low"/>
        <c:crossAx val="118817920"/>
        <c:crosses val="autoZero"/>
        <c:auto val="1"/>
        <c:lblAlgn val="ctr"/>
        <c:lblOffset val="100"/>
        <c:noMultiLvlLbl val="0"/>
      </c:catAx>
      <c:valAx>
        <c:axId val="118817920"/>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crossAx val="118783360"/>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Cable revenue</c:v>
          </c:tx>
          <c:spPr>
            <a:ln w="25400" cap="rnd">
              <a:solidFill>
                <a:srgbClr val="333399"/>
              </a:solidFill>
              <a:prstDash val="solid"/>
              <a:round/>
            </a:ln>
            <a:effectLst/>
          </c:spPr>
          <c:marker>
            <c:symbol val="none"/>
          </c:marker>
          <c:val>
            <c:numRef>
              <c:f>Interims!$EV$13:$FC$13</c:f>
              <c:numCache>
                <c:formatCode>0.0%</c:formatCode>
                <c:ptCount val="8"/>
                <c:pt idx="0">
                  <c:v>0.14168887043380973</c:v>
                </c:pt>
                <c:pt idx="1">
                  <c:v>0.15749458966427587</c:v>
                </c:pt>
                <c:pt idx="2">
                  <c:v>0.14666102669226366</c:v>
                </c:pt>
                <c:pt idx="3">
                  <c:v>0.15743299326517946</c:v>
                </c:pt>
                <c:pt idx="4">
                  <c:v>9.3613925904971751E-2</c:v>
                </c:pt>
                <c:pt idx="5">
                  <c:v>0.10700196755973623</c:v>
                </c:pt>
                <c:pt idx="6">
                  <c:v>7.9057140965371087E-2</c:v>
                </c:pt>
                <c:pt idx="7">
                  <c:v>7.3492433801435553E-2</c:v>
                </c:pt>
              </c:numCache>
            </c:numRef>
          </c:val>
          <c:smooth val="0"/>
          <c:extLst>
            <c:ext xmlns:c15="http://schemas.microsoft.com/office/drawing/2012/chart" uri="{02D57815-91ED-43cb-92C2-25804820EDAC}">
              <c15:filteredCategoryTitle>
                <c15:cat>
                  <c:multiLvlStrRef>
                    <c:extLst>
                      <c:ext uri="{02D57815-91ED-43cb-92C2-25804820EDAC}">
                        <c15:formulaRef>
                          <c15:sqref>Interims!$EV$12:$FC$12</c15:sqref>
                        </c15:formulaRef>
                      </c:ext>
                    </c:extLst>
                  </c:multiLvlStrRef>
                </c15:cat>
              </c15:filteredCategoryTitle>
            </c:ext>
            <c:ext xmlns:c16="http://schemas.microsoft.com/office/drawing/2014/chart" uri="{C3380CC4-5D6E-409C-BE32-E72D297353CC}">
              <c16:uniqueId val="{00000000-4515-436B-A61D-342EA6765378}"/>
            </c:ext>
          </c:extLst>
        </c:ser>
        <c:ser>
          <c:idx val="1"/>
          <c:order val="1"/>
          <c:tx>
            <c:v>OTT adj revenue</c:v>
          </c:tx>
          <c:spPr>
            <a:ln w="25400" cap="rnd">
              <a:solidFill>
                <a:srgbClr val="7030A0"/>
              </a:solidFill>
              <a:prstDash val="dash"/>
              <a:round/>
            </a:ln>
            <a:effectLst/>
          </c:spPr>
          <c:marker>
            <c:symbol val="none"/>
          </c:marker>
          <c:val>
            <c:numRef>
              <c:f>Interims!$EV$14:$FC$14</c:f>
              <c:numCache>
                <c:formatCode>0.0%</c:formatCode>
                <c:ptCount val="8"/>
                <c:pt idx="0">
                  <c:v>0.14168887043380973</c:v>
                </c:pt>
                <c:pt idx="1">
                  <c:v>0.15749458966427587</c:v>
                </c:pt>
                <c:pt idx="2">
                  <c:v>0.14666102669226366</c:v>
                </c:pt>
                <c:pt idx="3">
                  <c:v>0.15743299326517946</c:v>
                </c:pt>
                <c:pt idx="4">
                  <c:v>9.3613925904971751E-2</c:v>
                </c:pt>
                <c:pt idx="5">
                  <c:v>0.10700196755973623</c:v>
                </c:pt>
                <c:pt idx="6">
                  <c:v>7.9057140965371087E-2</c:v>
                </c:pt>
                <c:pt idx="7">
                  <c:v>9.3492433801435557E-2</c:v>
                </c:pt>
              </c:numCache>
            </c:numRef>
          </c:val>
          <c:smooth val="0"/>
          <c:extLst>
            <c:ext xmlns:c15="http://schemas.microsoft.com/office/drawing/2012/chart" uri="{02D57815-91ED-43cb-92C2-25804820EDAC}">
              <c15:filteredCategoryTitle>
                <c15:cat>
                  <c:multiLvlStrRef>
                    <c:extLst>
                      <c:ext uri="{02D57815-91ED-43cb-92C2-25804820EDAC}">
                        <c15:formulaRef>
                          <c15:sqref>Interims!$EV$12:$FC$12</c15:sqref>
                        </c15:formulaRef>
                      </c:ext>
                    </c:extLst>
                  </c:multiLvlStrRef>
                </c15:cat>
              </c15:filteredCategoryTitle>
            </c:ext>
            <c:ext xmlns:c16="http://schemas.microsoft.com/office/drawing/2014/chart" uri="{C3380CC4-5D6E-409C-BE32-E72D297353CC}">
              <c16:uniqueId val="{00000001-4515-436B-A61D-342EA6765378}"/>
            </c:ext>
          </c:extLst>
        </c:ser>
        <c:ser>
          <c:idx val="2"/>
          <c:order val="2"/>
          <c:tx>
            <c:v>Cable EBITDA</c:v>
          </c:tx>
          <c:spPr>
            <a:ln w="25400" cap="rnd">
              <a:solidFill>
                <a:schemeClr val="tx2">
                  <a:lumMod val="60000"/>
                  <a:lumOff val="40000"/>
                </a:schemeClr>
              </a:solidFill>
              <a:prstDash val="solid"/>
              <a:round/>
            </a:ln>
            <a:effectLst/>
          </c:spPr>
          <c:marker>
            <c:symbol val="none"/>
          </c:marker>
          <c:val>
            <c:numRef>
              <c:f>Interims!$EV$17:$FC$17</c:f>
              <c:numCache>
                <c:formatCode>0.0%</c:formatCode>
                <c:ptCount val="8"/>
                <c:pt idx="0">
                  <c:v>0.17250129607901998</c:v>
                </c:pt>
                <c:pt idx="1">
                  <c:v>0.20118676833852422</c:v>
                </c:pt>
                <c:pt idx="2">
                  <c:v>0.14694817658349324</c:v>
                </c:pt>
                <c:pt idx="3">
                  <c:v>0.13463314776443558</c:v>
                </c:pt>
                <c:pt idx="4">
                  <c:v>4.4960554792767171E-2</c:v>
                </c:pt>
                <c:pt idx="5">
                  <c:v>4.0861032255180341E-2</c:v>
                </c:pt>
                <c:pt idx="6">
                  <c:v>7.0285829038088332E-2</c:v>
                </c:pt>
                <c:pt idx="7">
                  <c:v>9.0165016501650097E-2</c:v>
                </c:pt>
              </c:numCache>
            </c:numRef>
          </c:val>
          <c:smooth val="0"/>
          <c:extLst>
            <c:ext xmlns:c15="http://schemas.microsoft.com/office/drawing/2012/chart" uri="{02D57815-91ED-43cb-92C2-25804820EDAC}">
              <c15:filteredCategoryTitle>
                <c15:cat>
                  <c:multiLvlStrRef>
                    <c:extLst>
                      <c:ext uri="{02D57815-91ED-43cb-92C2-25804820EDAC}">
                        <c15:formulaRef>
                          <c15:sqref>Interims!$EV$12:$FC$12</c15:sqref>
                        </c15:formulaRef>
                      </c:ext>
                    </c:extLst>
                  </c:multiLvlStrRef>
                </c15:cat>
              </c15:filteredCategoryTitle>
            </c:ext>
            <c:ext xmlns:c16="http://schemas.microsoft.com/office/drawing/2014/chart" uri="{C3380CC4-5D6E-409C-BE32-E72D297353CC}">
              <c16:uniqueId val="{00000002-4515-436B-A61D-342EA6765378}"/>
            </c:ext>
          </c:extLst>
        </c:ser>
        <c:dLbls>
          <c:showLegendKey val="0"/>
          <c:showVal val="0"/>
          <c:showCatName val="0"/>
          <c:showSerName val="0"/>
          <c:showPercent val="0"/>
          <c:showBubbleSize val="0"/>
        </c:dLbls>
        <c:smooth val="0"/>
        <c:axId val="910421664"/>
        <c:axId val="910421008"/>
      </c:lineChart>
      <c:catAx>
        <c:axId val="91042166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10421008"/>
        <c:crosses val="autoZero"/>
        <c:auto val="1"/>
        <c:lblAlgn val="ctr"/>
        <c:lblOffset val="100"/>
        <c:noMultiLvlLbl val="0"/>
      </c:catAx>
      <c:valAx>
        <c:axId val="910421008"/>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1042166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Interims!$EQ$66</c:f>
              <c:strCache>
                <c:ptCount val="1"/>
                <c:pt idx="0">
                  <c:v>Cable revenue</c:v>
                </c:pt>
              </c:strCache>
            </c:strRef>
          </c:tx>
          <c:spPr>
            <a:solidFill>
              <a:srgbClr val="000080"/>
            </a:solidFill>
            <a:ln w="25400">
              <a:noFill/>
            </a:ln>
            <a:effectLst/>
          </c:spPr>
          <c:invertIfNegative val="0"/>
          <c:dPt>
            <c:idx val="4"/>
            <c:invertIfNegative val="0"/>
            <c:bubble3D val="0"/>
            <c:extLst>
              <c:ext xmlns:c16="http://schemas.microsoft.com/office/drawing/2014/chart" uri="{C3380CC4-5D6E-409C-BE32-E72D297353CC}">
                <c16:uniqueId val="{00000001-D188-48C2-B3BF-0FEE269E6B8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Interims!$ER$66:$EY$66</c:f>
              <c:numCache>
                <c:formatCode>0.0%</c:formatCode>
                <c:ptCount val="8"/>
                <c:pt idx="0">
                  <c:v>9.3613925904971751E-2</c:v>
                </c:pt>
                <c:pt idx="1">
                  <c:v>0.10700196755973623</c:v>
                </c:pt>
                <c:pt idx="2">
                  <c:v>7.9057140965371087E-2</c:v>
                </c:pt>
                <c:pt idx="3">
                  <c:v>7.3492433801435553E-2</c:v>
                </c:pt>
                <c:pt idx="4">
                  <c:v>7.8690402505381174E-2</c:v>
                </c:pt>
                <c:pt idx="5">
                  <c:v>5.9493491794001319E-2</c:v>
                </c:pt>
                <c:pt idx="6">
                  <c:v>5.7740688470270696E-2</c:v>
                </c:pt>
                <c:pt idx="7">
                  <c:v>3.9786228299382387E-2</c:v>
                </c:pt>
              </c:numCache>
            </c:numRef>
          </c:val>
          <c:extLst>
            <c:ext xmlns:c15="http://schemas.microsoft.com/office/drawing/2012/chart" uri="{02D57815-91ED-43cb-92C2-25804820EDAC}">
              <c15:filteredCategoryTitle>
                <c15:cat>
                  <c:multiLvlStrRef>
                    <c:extLst>
                      <c:ext uri="{02D57815-91ED-43cb-92C2-25804820EDAC}">
                        <c15:formulaRef>
                          <c15:sqref>Interims!$ER$42:$EY$42</c15:sqref>
                        </c15:formulaRef>
                      </c:ext>
                    </c:extLst>
                  </c:multiLvlStrRef>
                </c15:cat>
              </c15:filteredCategoryTitle>
            </c:ext>
            <c:ext xmlns:c16="http://schemas.microsoft.com/office/drawing/2014/chart" uri="{C3380CC4-5D6E-409C-BE32-E72D297353CC}">
              <c16:uniqueId val="{00000002-D188-48C2-B3BF-0FEE269E6B8C}"/>
            </c:ext>
          </c:extLst>
        </c:ser>
        <c:ser>
          <c:idx val="1"/>
          <c:order val="1"/>
          <c:tx>
            <c:strRef>
              <c:f>Interims!$EQ$67</c:f>
              <c:strCache>
                <c:ptCount val="1"/>
                <c:pt idx="0">
                  <c:v>Retail revs</c:v>
                </c:pt>
              </c:strCache>
            </c:strRef>
          </c:tx>
          <c:spPr>
            <a:solidFill>
              <a:srgbClr val="9999FF"/>
            </a:solidFill>
            <a:ln w="25400">
              <a:noFill/>
            </a:ln>
            <a:effectLst/>
          </c:spPr>
          <c:invertIfNegative val="0"/>
          <c:val>
            <c:numRef>
              <c:f>Interims!$ER$67:$EY$67</c:f>
              <c:numCache>
                <c:formatCode>0.0%</c:formatCode>
                <c:ptCount val="8"/>
                <c:pt idx="0">
                  <c:v>9.9344166234702769E-2</c:v>
                </c:pt>
                <c:pt idx="1">
                  <c:v>7.7261088447183379E-2</c:v>
                </c:pt>
                <c:pt idx="2">
                  <c:v>6.4932630833628435E-2</c:v>
                </c:pt>
                <c:pt idx="3">
                  <c:v>7.4329908477792861E-2</c:v>
                </c:pt>
                <c:pt idx="4">
                  <c:v>7.2736218454662938E-2</c:v>
                </c:pt>
                <c:pt idx="5">
                  <c:v>6.4035290918430077E-2</c:v>
                </c:pt>
                <c:pt idx="6">
                  <c:v>5.823571973326569E-2</c:v>
                </c:pt>
                <c:pt idx="7">
                  <c:v>4.8198377875282583E-2</c:v>
                </c:pt>
              </c:numCache>
            </c:numRef>
          </c:val>
          <c:extLst>
            <c:ext xmlns:c15="http://schemas.microsoft.com/office/drawing/2012/chart" uri="{02D57815-91ED-43cb-92C2-25804820EDAC}">
              <c15:filteredCategoryTitle>
                <c15:cat>
                  <c:multiLvlStrRef>
                    <c:extLst>
                      <c:ext uri="{02D57815-91ED-43cb-92C2-25804820EDAC}">
                        <c15:formulaRef>
                          <c15:sqref>Interims!$ER$42:$EY$42</c15:sqref>
                        </c15:formulaRef>
                      </c:ext>
                    </c:extLst>
                  </c:multiLvlStrRef>
                </c15:cat>
              </c15:filteredCategoryTitle>
            </c:ext>
            <c:ext xmlns:c16="http://schemas.microsoft.com/office/drawing/2014/chart" uri="{C3380CC4-5D6E-409C-BE32-E72D297353CC}">
              <c16:uniqueId val="{00000003-D188-48C2-B3BF-0FEE269E6B8C}"/>
            </c:ext>
          </c:extLst>
        </c:ser>
        <c:ser>
          <c:idx val="2"/>
          <c:order val="2"/>
          <c:tx>
            <c:strRef>
              <c:f>Interims!$EQ$68</c:f>
              <c:strCache>
                <c:ptCount val="1"/>
                <c:pt idx="0">
                  <c:v>Enterprise revs</c:v>
                </c:pt>
              </c:strCache>
            </c:strRef>
          </c:tx>
          <c:spPr>
            <a:solidFill>
              <a:srgbClr val="3366FF"/>
            </a:solidFill>
            <a:ln w="25400">
              <a:noFill/>
            </a:ln>
            <a:effectLst/>
          </c:spPr>
          <c:invertIfNegative val="0"/>
          <c:val>
            <c:numRef>
              <c:f>Interims!$ER$68:$EY$68</c:f>
              <c:numCache>
                <c:formatCode>0.0%</c:formatCode>
                <c:ptCount val="8"/>
                <c:pt idx="0">
                  <c:v>6.4388773239537844E-2</c:v>
                </c:pt>
                <c:pt idx="1">
                  <c:v>0.26627972819932055</c:v>
                </c:pt>
                <c:pt idx="2">
                  <c:v>0.20609306531265204</c:v>
                </c:pt>
                <c:pt idx="3">
                  <c:v>9.0190067443286281E-2</c:v>
                </c:pt>
                <c:pt idx="4">
                  <c:v>0.14668195306177512</c:v>
                </c:pt>
                <c:pt idx="5">
                  <c:v>4.2537730575740618E-2</c:v>
                </c:pt>
                <c:pt idx="6">
                  <c:v>5.9976931949250467E-3</c:v>
                </c:pt>
                <c:pt idx="7">
                  <c:v>0.10359372363759123</c:v>
                </c:pt>
              </c:numCache>
            </c:numRef>
          </c:val>
          <c:extLst>
            <c:ext xmlns:c15="http://schemas.microsoft.com/office/drawing/2012/chart" uri="{02D57815-91ED-43cb-92C2-25804820EDAC}">
              <c15:filteredCategoryTitle>
                <c15:cat>
                  <c:multiLvlStrRef>
                    <c:extLst>
                      <c:ext uri="{02D57815-91ED-43cb-92C2-25804820EDAC}">
                        <c15:formulaRef>
                          <c15:sqref>Interims!$ER$42:$EY$42</c15:sqref>
                        </c15:formulaRef>
                      </c:ext>
                    </c:extLst>
                  </c:multiLvlStrRef>
                </c15:cat>
              </c15:filteredCategoryTitle>
            </c:ext>
            <c:ext xmlns:c16="http://schemas.microsoft.com/office/drawing/2014/chart" uri="{C3380CC4-5D6E-409C-BE32-E72D297353CC}">
              <c16:uniqueId val="{00000005-D188-48C2-B3BF-0FEE269E6B8C}"/>
            </c:ext>
          </c:extLst>
        </c:ser>
        <c:ser>
          <c:idx val="3"/>
          <c:order val="3"/>
          <c:tx>
            <c:strRef>
              <c:f>Interims!$EQ$69</c:f>
              <c:strCache>
                <c:ptCount val="1"/>
                <c:pt idx="0">
                  <c:v>Cable EBITDA</c:v>
                </c:pt>
              </c:strCache>
            </c:strRef>
          </c:tx>
          <c:spPr>
            <a:solidFill>
              <a:srgbClr val="CCCCFF"/>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Interims!$ER$69:$EY$69</c:f>
              <c:numCache>
                <c:formatCode>0.0%</c:formatCode>
                <c:ptCount val="8"/>
                <c:pt idx="0">
                  <c:v>4.4960554792767171E-2</c:v>
                </c:pt>
                <c:pt idx="1">
                  <c:v>4.0861032255180341E-2</c:v>
                </c:pt>
                <c:pt idx="2">
                  <c:v>7.0285829038088332E-2</c:v>
                </c:pt>
                <c:pt idx="3">
                  <c:v>9.0165016501650097E-2</c:v>
                </c:pt>
                <c:pt idx="4">
                  <c:v>7.6676391332427762E-2</c:v>
                </c:pt>
                <c:pt idx="5">
                  <c:v>7.8084398153119405E-2</c:v>
                </c:pt>
                <c:pt idx="6">
                  <c:v>5.5830049825922101E-2</c:v>
                </c:pt>
                <c:pt idx="7">
                  <c:v>8.2949866795834382E-2</c:v>
                </c:pt>
              </c:numCache>
            </c:numRef>
          </c:val>
          <c:extLst>
            <c:ext xmlns:c15="http://schemas.microsoft.com/office/drawing/2012/chart" uri="{02D57815-91ED-43cb-92C2-25804820EDAC}">
              <c15:filteredCategoryTitle>
                <c15:cat>
                  <c:multiLvlStrRef>
                    <c:extLst>
                      <c:ext uri="{02D57815-91ED-43cb-92C2-25804820EDAC}">
                        <c15:formulaRef>
                          <c15:sqref>Interims!$ER$42:$EY$42</c15:sqref>
                        </c15:formulaRef>
                      </c:ext>
                    </c:extLst>
                  </c:multiLvlStrRef>
                </c15:cat>
              </c15:filteredCategoryTitle>
            </c:ext>
            <c:ext xmlns:c16="http://schemas.microsoft.com/office/drawing/2014/chart" uri="{C3380CC4-5D6E-409C-BE32-E72D297353CC}">
              <c16:uniqueId val="{00000006-D188-48C2-B3BF-0FEE269E6B8C}"/>
            </c:ext>
          </c:extLst>
        </c:ser>
        <c:dLbls>
          <c:showLegendKey val="0"/>
          <c:showVal val="0"/>
          <c:showCatName val="0"/>
          <c:showSerName val="0"/>
          <c:showPercent val="0"/>
          <c:showBubbleSize val="0"/>
        </c:dLbls>
        <c:gapWidth val="219"/>
        <c:overlap val="-27"/>
        <c:axId val="625265264"/>
        <c:axId val="625264280"/>
      </c:barChart>
      <c:catAx>
        <c:axId val="62526526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25264280"/>
        <c:crosses val="autoZero"/>
        <c:auto val="1"/>
        <c:lblAlgn val="ctr"/>
        <c:lblOffset val="100"/>
        <c:noMultiLvlLbl val="0"/>
      </c:catAx>
      <c:valAx>
        <c:axId val="625264280"/>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y/y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2526526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Interims!$EQ$90</c:f>
              <c:strCache>
                <c:ptCount val="1"/>
                <c:pt idx="0">
                  <c:v>SKY revenue</c:v>
                </c:pt>
              </c:strCache>
            </c:strRef>
          </c:tx>
          <c:spPr>
            <a:solidFill>
              <a:srgbClr val="000080"/>
            </a:solidFill>
            <a:ln w="25400">
              <a:noFill/>
            </a:ln>
            <a:effectLst/>
          </c:spPr>
          <c:invertIfNegative val="0"/>
          <c:dPt>
            <c:idx val="4"/>
            <c:invertIfNegative val="0"/>
            <c:bubble3D val="0"/>
            <c:extLst>
              <c:ext xmlns:c16="http://schemas.microsoft.com/office/drawing/2014/chart" uri="{C3380CC4-5D6E-409C-BE32-E72D297353CC}">
                <c16:uniqueId val="{00000001-308B-4D58-B356-16402260392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Interims!$ER$90:$EY$90</c:f>
              <c:numCache>
                <c:formatCode>0%</c:formatCode>
                <c:ptCount val="8"/>
                <c:pt idx="0">
                  <c:v>2.3420933050590786E-2</c:v>
                </c:pt>
                <c:pt idx="1">
                  <c:v>3.1151249976627104E-2</c:v>
                </c:pt>
                <c:pt idx="2">
                  <c:v>4.8629713579229294E-2</c:v>
                </c:pt>
                <c:pt idx="3">
                  <c:v>4.4189548437471027E-2</c:v>
                </c:pt>
                <c:pt idx="4">
                  <c:v>4.0608291861691237E-2</c:v>
                </c:pt>
                <c:pt idx="5">
                  <c:v>1.0045877382269364E-2</c:v>
                </c:pt>
                <c:pt idx="6">
                  <c:v>-2.4741420889976551E-2</c:v>
                </c:pt>
                <c:pt idx="7">
                  <c:v>-4.3530123913972485E-2</c:v>
                </c:pt>
              </c:numCache>
            </c:numRef>
          </c:val>
          <c:extLst>
            <c:ext xmlns:c15="http://schemas.microsoft.com/office/drawing/2012/chart" uri="{02D57815-91ED-43cb-92C2-25804820EDAC}">
              <c15:filteredCategoryTitle>
                <c15:cat>
                  <c:multiLvlStrRef>
                    <c:extLst>
                      <c:ext uri="{02D57815-91ED-43cb-92C2-25804820EDAC}">
                        <c15:formulaRef>
                          <c15:sqref>Interims!$ER$42:$EY$42</c15:sqref>
                        </c15:formulaRef>
                      </c:ext>
                    </c:extLst>
                  </c:multiLvlStrRef>
                </c15:cat>
              </c15:filteredCategoryTitle>
            </c:ext>
            <c:ext xmlns:c16="http://schemas.microsoft.com/office/drawing/2014/chart" uri="{C3380CC4-5D6E-409C-BE32-E72D297353CC}">
              <c16:uniqueId val="{00000002-308B-4D58-B356-164022603921}"/>
            </c:ext>
          </c:extLst>
        </c:ser>
        <c:ser>
          <c:idx val="1"/>
          <c:order val="1"/>
          <c:tx>
            <c:strRef>
              <c:f>Interims!$EQ$91</c:f>
              <c:strCache>
                <c:ptCount val="1"/>
                <c:pt idx="0">
                  <c:v>SKY EBITDA</c:v>
                </c:pt>
              </c:strCache>
            </c:strRef>
          </c:tx>
          <c:spPr>
            <a:solidFill>
              <a:srgbClr val="9999FF"/>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Interims!$ER$91:$EY$91</c:f>
              <c:numCache>
                <c:formatCode>0%</c:formatCode>
                <c:ptCount val="8"/>
                <c:pt idx="0">
                  <c:v>-3.1600849625037952E-2</c:v>
                </c:pt>
                <c:pt idx="1">
                  <c:v>6.8528799444831368E-3</c:v>
                </c:pt>
                <c:pt idx="2">
                  <c:v>1.5333972248843697E-2</c:v>
                </c:pt>
                <c:pt idx="3">
                  <c:v>1.6501493669685452E-2</c:v>
                </c:pt>
                <c:pt idx="4">
                  <c:v>-3.558639212175474E-2</c:v>
                </c:pt>
                <c:pt idx="5">
                  <c:v>-3.3901955716378218E-2</c:v>
                </c:pt>
                <c:pt idx="6">
                  <c:v>-7.1818442976156249E-2</c:v>
                </c:pt>
                <c:pt idx="7">
                  <c:v>-0.13915193357279454</c:v>
                </c:pt>
              </c:numCache>
            </c:numRef>
          </c:val>
          <c:extLst>
            <c:ext xmlns:c15="http://schemas.microsoft.com/office/drawing/2012/chart" uri="{02D57815-91ED-43cb-92C2-25804820EDAC}">
              <c15:filteredCategoryTitle>
                <c15:cat>
                  <c:multiLvlStrRef>
                    <c:extLst>
                      <c:ext uri="{02D57815-91ED-43cb-92C2-25804820EDAC}">
                        <c15:formulaRef>
                          <c15:sqref>Interims!$ER$42:$EY$42</c15:sqref>
                        </c15:formulaRef>
                      </c:ext>
                    </c:extLst>
                  </c:multiLvlStrRef>
                </c15:cat>
              </c15:filteredCategoryTitle>
            </c:ext>
            <c:ext xmlns:c16="http://schemas.microsoft.com/office/drawing/2014/chart" uri="{C3380CC4-5D6E-409C-BE32-E72D297353CC}">
              <c16:uniqueId val="{00000003-308B-4D58-B356-164022603921}"/>
            </c:ext>
          </c:extLst>
        </c:ser>
        <c:dLbls>
          <c:showLegendKey val="0"/>
          <c:showVal val="0"/>
          <c:showCatName val="0"/>
          <c:showSerName val="0"/>
          <c:showPercent val="0"/>
          <c:showBubbleSize val="0"/>
        </c:dLbls>
        <c:gapWidth val="219"/>
        <c:overlap val="-27"/>
        <c:axId val="625265264"/>
        <c:axId val="625264280"/>
      </c:barChart>
      <c:catAx>
        <c:axId val="62526526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25264280"/>
        <c:crosses val="autoZero"/>
        <c:auto val="1"/>
        <c:lblAlgn val="ctr"/>
        <c:lblOffset val="100"/>
        <c:noMultiLvlLbl val="0"/>
      </c:catAx>
      <c:valAx>
        <c:axId val="625264280"/>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y/y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2526526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Interims!$EQ$123</c:f>
              <c:strCache>
                <c:ptCount val="1"/>
                <c:pt idx="0">
                  <c:v>Revenue</c:v>
                </c:pt>
              </c:strCache>
            </c:strRef>
          </c:tx>
          <c:spPr>
            <a:ln w="25400" cap="rnd">
              <a:solidFill>
                <a:srgbClr val="333399"/>
              </a:solidFill>
              <a:prstDash val="solid"/>
              <a:round/>
            </a:ln>
            <a:effectLst/>
          </c:spPr>
          <c:marker>
            <c:symbol val="none"/>
          </c:marker>
          <c:cat>
            <c:strRef>
              <c:f>Interims!$ER$122:$EZ$122</c:f>
              <c:strCache>
                <c:ptCount val="9"/>
                <c:pt idx="0">
                  <c:v>Q1 20</c:v>
                </c:pt>
                <c:pt idx="1">
                  <c:v>Q2 20</c:v>
                </c:pt>
                <c:pt idx="2">
                  <c:v>Q3 20</c:v>
                </c:pt>
                <c:pt idx="3">
                  <c:v>Q4 20</c:v>
                </c:pt>
                <c:pt idx="4">
                  <c:v>Q1 21</c:v>
                </c:pt>
                <c:pt idx="5">
                  <c:v>Q2 21</c:v>
                </c:pt>
                <c:pt idx="6">
                  <c:v>Q3 21</c:v>
                </c:pt>
                <c:pt idx="7">
                  <c:v>Q4 21</c:v>
                </c:pt>
                <c:pt idx="8">
                  <c:v>Q1 22</c:v>
                </c:pt>
              </c:strCache>
            </c:strRef>
          </c:cat>
          <c:val>
            <c:numRef>
              <c:f>Interims!$ER$123:$EZ$123</c:f>
              <c:numCache>
                <c:formatCode>0.0%</c:formatCode>
                <c:ptCount val="9"/>
                <c:pt idx="0">
                  <c:v>2.3420933050590786E-2</c:v>
                </c:pt>
                <c:pt idx="1">
                  <c:v>3.1151249976627104E-2</c:v>
                </c:pt>
                <c:pt idx="2">
                  <c:v>4.8629713579229294E-2</c:v>
                </c:pt>
                <c:pt idx="3">
                  <c:v>4.4189548437471027E-2</c:v>
                </c:pt>
                <c:pt idx="4">
                  <c:v>4.0608291861691237E-2</c:v>
                </c:pt>
                <c:pt idx="5">
                  <c:v>1.0045877382269364E-2</c:v>
                </c:pt>
                <c:pt idx="6">
                  <c:v>-2.4741420889976551E-2</c:v>
                </c:pt>
                <c:pt idx="7">
                  <c:v>-4.3530123913972485E-2</c:v>
                </c:pt>
                <c:pt idx="8">
                  <c:v>-6.2064428957474105E-2</c:v>
                </c:pt>
              </c:numCache>
            </c:numRef>
          </c:val>
          <c:smooth val="0"/>
          <c:extLst>
            <c:ext xmlns:c16="http://schemas.microsoft.com/office/drawing/2014/chart" uri="{C3380CC4-5D6E-409C-BE32-E72D297353CC}">
              <c16:uniqueId val="{00000000-A40D-4602-A395-135A8B35F5F5}"/>
            </c:ext>
          </c:extLst>
        </c:ser>
        <c:ser>
          <c:idx val="1"/>
          <c:order val="1"/>
          <c:tx>
            <c:strRef>
              <c:f>Interims!$EQ$124</c:f>
              <c:strCache>
                <c:ptCount val="1"/>
                <c:pt idx="0">
                  <c:v>EBITDA</c:v>
                </c:pt>
              </c:strCache>
            </c:strRef>
          </c:tx>
          <c:spPr>
            <a:ln w="25400" cap="rnd">
              <a:solidFill>
                <a:srgbClr val="99CCFF"/>
              </a:solidFill>
              <a:prstDash val="solid"/>
              <a:round/>
            </a:ln>
            <a:effectLst/>
          </c:spPr>
          <c:marker>
            <c:symbol val="none"/>
          </c:marker>
          <c:cat>
            <c:strRef>
              <c:f>Interims!$ER$122:$EZ$122</c:f>
              <c:strCache>
                <c:ptCount val="9"/>
                <c:pt idx="0">
                  <c:v>Q1 20</c:v>
                </c:pt>
                <c:pt idx="1">
                  <c:v>Q2 20</c:v>
                </c:pt>
                <c:pt idx="2">
                  <c:v>Q3 20</c:v>
                </c:pt>
                <c:pt idx="3">
                  <c:v>Q4 20</c:v>
                </c:pt>
                <c:pt idx="4">
                  <c:v>Q1 21</c:v>
                </c:pt>
                <c:pt idx="5">
                  <c:v>Q2 21</c:v>
                </c:pt>
                <c:pt idx="6">
                  <c:v>Q3 21</c:v>
                </c:pt>
                <c:pt idx="7">
                  <c:v>Q4 21</c:v>
                </c:pt>
                <c:pt idx="8">
                  <c:v>Q1 22</c:v>
                </c:pt>
              </c:strCache>
            </c:strRef>
          </c:cat>
          <c:val>
            <c:numRef>
              <c:f>Interims!$ER$124:$EZ$124</c:f>
              <c:numCache>
                <c:formatCode>0%</c:formatCode>
                <c:ptCount val="9"/>
                <c:pt idx="0">
                  <c:v>-3.1600849625037952E-2</c:v>
                </c:pt>
                <c:pt idx="1">
                  <c:v>6.8528799444831368E-3</c:v>
                </c:pt>
                <c:pt idx="2">
                  <c:v>1.5333972248843697E-2</c:v>
                </c:pt>
                <c:pt idx="3">
                  <c:v>1.6501493669685452E-2</c:v>
                </c:pt>
                <c:pt idx="4">
                  <c:v>-3.558639212175474E-2</c:v>
                </c:pt>
                <c:pt idx="5">
                  <c:v>-3.3901955716378218E-2</c:v>
                </c:pt>
                <c:pt idx="6">
                  <c:v>-7.1818442976156249E-2</c:v>
                </c:pt>
                <c:pt idx="7">
                  <c:v>-0.13915193357279454</c:v>
                </c:pt>
                <c:pt idx="8">
                  <c:v>-0.13604084474355993</c:v>
                </c:pt>
              </c:numCache>
            </c:numRef>
          </c:val>
          <c:smooth val="0"/>
          <c:extLst>
            <c:ext xmlns:c16="http://schemas.microsoft.com/office/drawing/2014/chart" uri="{C3380CC4-5D6E-409C-BE32-E72D297353CC}">
              <c16:uniqueId val="{00000001-A40D-4602-A395-135A8B35F5F5}"/>
            </c:ext>
          </c:extLst>
        </c:ser>
        <c:dLbls>
          <c:showLegendKey val="0"/>
          <c:showVal val="0"/>
          <c:showCatName val="0"/>
          <c:showSerName val="0"/>
          <c:showPercent val="0"/>
          <c:showBubbleSize val="0"/>
        </c:dLbls>
        <c:smooth val="0"/>
        <c:axId val="1470027712"/>
        <c:axId val="1470024384"/>
      </c:lineChart>
      <c:catAx>
        <c:axId val="14700277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470024384"/>
        <c:crosses val="autoZero"/>
        <c:auto val="1"/>
        <c:lblAlgn val="ctr"/>
        <c:lblOffset val="100"/>
        <c:noMultiLvlLbl val="0"/>
      </c:catAx>
      <c:valAx>
        <c:axId val="1470024384"/>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y/y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47002771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'Earnings Snaps'!$A$12</c:f>
              <c:strCache>
                <c:ptCount val="1"/>
                <c:pt idx="0">
                  <c:v>Net adds, 000s</c:v>
                </c:pt>
              </c:strCache>
            </c:strRef>
          </c:tx>
          <c:spPr>
            <a:solidFill>
              <a:srgbClr val="263238"/>
            </a:solidFill>
            <a:ln w="25400">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Snaps'!$AT$6:$BF$6</c:f>
              <c:strCache>
                <c:ptCount val="13"/>
                <c:pt idx="0">
                  <c:v>Q1 21</c:v>
                </c:pt>
                <c:pt idx="1">
                  <c:v>Q2 21</c:v>
                </c:pt>
                <c:pt idx="2">
                  <c:v>Q3 21</c:v>
                </c:pt>
                <c:pt idx="3">
                  <c:v>Q4 21</c:v>
                </c:pt>
                <c:pt idx="4">
                  <c:v>Q1 22</c:v>
                </c:pt>
                <c:pt idx="5">
                  <c:v>Q2 22</c:v>
                </c:pt>
                <c:pt idx="6">
                  <c:v>Q3 22</c:v>
                </c:pt>
                <c:pt idx="7">
                  <c:v>Q4 22</c:v>
                </c:pt>
                <c:pt idx="8">
                  <c:v>Q1 23</c:v>
                </c:pt>
                <c:pt idx="9">
                  <c:v>Q2 23</c:v>
                </c:pt>
                <c:pt idx="10">
                  <c:v>Q3 23</c:v>
                </c:pt>
                <c:pt idx="11">
                  <c:v>Q4 23</c:v>
                </c:pt>
                <c:pt idx="12">
                  <c:v>Q1 24</c:v>
                </c:pt>
              </c:strCache>
            </c:strRef>
          </c:cat>
          <c:val>
            <c:numRef>
              <c:f>'Earnings Snaps'!$AT$12:$BF$12</c:f>
              <c:numCache>
                <c:formatCode>#,##0</c:formatCode>
                <c:ptCount val="13"/>
                <c:pt idx="0">
                  <c:v>10</c:v>
                </c:pt>
                <c:pt idx="1">
                  <c:v>2.8760000000002037</c:v>
                </c:pt>
                <c:pt idx="2">
                  <c:v>-1.5979999999999563</c:v>
                </c:pt>
                <c:pt idx="3">
                  <c:v>-80.203000000000429</c:v>
                </c:pt>
                <c:pt idx="4">
                  <c:v>-163.82899999999972</c:v>
                </c:pt>
                <c:pt idx="5">
                  <c:v>-224.87700000000041</c:v>
                </c:pt>
                <c:pt idx="6">
                  <c:v>-380.76699999999983</c:v>
                </c:pt>
                <c:pt idx="7">
                  <c:v>-381.60199999999986</c:v>
                </c:pt>
                <c:pt idx="8">
                  <c:v>-183.67799999999988</c:v>
                </c:pt>
                <c:pt idx="9">
                  <c:v>-164.09400000000005</c:v>
                </c:pt>
                <c:pt idx="10">
                  <c:v>-211.28099999999995</c:v>
                </c:pt>
                <c:pt idx="11">
                  <c:v>-130.52099999999973</c:v>
                </c:pt>
                <c:pt idx="12">
                  <c:v>-212.4320000000007</c:v>
                </c:pt>
              </c:numCache>
            </c:numRef>
          </c:val>
          <c:extLst>
            <c:ext xmlns:c16="http://schemas.microsoft.com/office/drawing/2014/chart" uri="{C3380CC4-5D6E-409C-BE32-E72D297353CC}">
              <c16:uniqueId val="{00000000-E09A-4249-8416-CC784B88FFAC}"/>
            </c:ext>
          </c:extLst>
        </c:ser>
        <c:ser>
          <c:idx val="1"/>
          <c:order val="1"/>
          <c:tx>
            <c:strRef>
              <c:f>'Earnings Snaps'!$A$17</c:f>
              <c:strCache>
                <c:ptCount val="1"/>
                <c:pt idx="0">
                  <c:v>Broadband adds, 000s</c:v>
                </c:pt>
              </c:strCache>
            </c:strRef>
          </c:tx>
          <c:spPr>
            <a:solidFill>
              <a:srgbClr val="799098"/>
            </a:solidFill>
            <a:ln w="25400">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Snaps'!$AT$6:$BF$6</c:f>
              <c:strCache>
                <c:ptCount val="13"/>
                <c:pt idx="0">
                  <c:v>Q1 21</c:v>
                </c:pt>
                <c:pt idx="1">
                  <c:v>Q2 21</c:v>
                </c:pt>
                <c:pt idx="2">
                  <c:v>Q3 21</c:v>
                </c:pt>
                <c:pt idx="3">
                  <c:v>Q4 21</c:v>
                </c:pt>
                <c:pt idx="4">
                  <c:v>Q1 22</c:v>
                </c:pt>
                <c:pt idx="5">
                  <c:v>Q2 22</c:v>
                </c:pt>
                <c:pt idx="6">
                  <c:v>Q3 22</c:v>
                </c:pt>
                <c:pt idx="7">
                  <c:v>Q4 22</c:v>
                </c:pt>
                <c:pt idx="8">
                  <c:v>Q1 23</c:v>
                </c:pt>
                <c:pt idx="9">
                  <c:v>Q2 23</c:v>
                </c:pt>
                <c:pt idx="10">
                  <c:v>Q3 23</c:v>
                </c:pt>
                <c:pt idx="11">
                  <c:v>Q4 23</c:v>
                </c:pt>
                <c:pt idx="12">
                  <c:v>Q1 24</c:v>
                </c:pt>
              </c:strCache>
            </c:strRef>
          </c:cat>
          <c:val>
            <c:numRef>
              <c:f>'Earnings Snaps'!$AT$17:$BF$17</c:f>
              <c:numCache>
                <c:formatCode>0</c:formatCode>
                <c:ptCount val="13"/>
                <c:pt idx="0">
                  <c:v>32</c:v>
                </c:pt>
                <c:pt idx="1">
                  <c:v>9</c:v>
                </c:pt>
                <c:pt idx="2">
                  <c:v>15.480999999999995</c:v>
                </c:pt>
                <c:pt idx="3">
                  <c:v>4.7450000000000045</c:v>
                </c:pt>
                <c:pt idx="4">
                  <c:v>-8.0030000000000427</c:v>
                </c:pt>
                <c:pt idx="5">
                  <c:v>-26.455999999999904</c:v>
                </c:pt>
                <c:pt idx="6">
                  <c:v>-25.754000000000019</c:v>
                </c:pt>
                <c:pt idx="7">
                  <c:v>-26.719000000000051</c:v>
                </c:pt>
                <c:pt idx="8">
                  <c:v>-32.172000000000025</c:v>
                </c:pt>
                <c:pt idx="9">
                  <c:v>-32.860000000000014</c:v>
                </c:pt>
                <c:pt idx="10">
                  <c:v>-30.307999999999993</c:v>
                </c:pt>
                <c:pt idx="11">
                  <c:v>-29.864999999999895</c:v>
                </c:pt>
                <c:pt idx="12">
                  <c:v>-34.214000000000055</c:v>
                </c:pt>
              </c:numCache>
            </c:numRef>
          </c:val>
          <c:extLst>
            <c:ext xmlns:c16="http://schemas.microsoft.com/office/drawing/2014/chart" uri="{C3380CC4-5D6E-409C-BE32-E72D297353CC}">
              <c16:uniqueId val="{00000001-E09A-4249-8416-CC784B88FFAC}"/>
            </c:ext>
          </c:extLst>
        </c:ser>
        <c:dLbls>
          <c:showLegendKey val="0"/>
          <c:showVal val="0"/>
          <c:showCatName val="0"/>
          <c:showSerName val="0"/>
          <c:showPercent val="0"/>
          <c:showBubbleSize val="0"/>
        </c:dLbls>
        <c:gapWidth val="30"/>
        <c:overlap val="-27"/>
        <c:axId val="1057922632"/>
        <c:axId val="1057916400"/>
      </c:barChart>
      <c:catAx>
        <c:axId val="1057922632"/>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057916400"/>
        <c:crosses val="autoZero"/>
        <c:auto val="1"/>
        <c:lblAlgn val="ctr"/>
        <c:lblOffset val="100"/>
        <c:noMultiLvlLbl val="0"/>
      </c:catAx>
      <c:valAx>
        <c:axId val="1057916400"/>
        <c:scaling>
          <c:orientation val="minMax"/>
        </c:scaling>
        <c:delete val="1"/>
        <c:axPos val="l"/>
        <c:numFmt formatCode="#,##0" sourceLinked="1"/>
        <c:majorTickMark val="out"/>
        <c:minorTickMark val="none"/>
        <c:tickLblPos val="nextTo"/>
        <c:crossAx val="105792263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'Earnings Snaps'!$A$9</c:f>
              <c:strCache>
                <c:ptCount val="1"/>
                <c:pt idx="0">
                  <c:v>Revenue, y/y</c:v>
                </c:pt>
              </c:strCache>
            </c:strRef>
          </c:tx>
          <c:spPr>
            <a:ln w="25400" cap="rnd">
              <a:solidFill>
                <a:srgbClr val="263238"/>
              </a:solidFill>
              <a:prstDash val="solid"/>
              <a:round/>
            </a:ln>
            <a:effectLst/>
          </c:spPr>
          <c:marker>
            <c:symbol val="none"/>
          </c:marker>
          <c:dPt>
            <c:idx val="8"/>
            <c:marker>
              <c:symbol val="none"/>
            </c:marker>
            <c:bubble3D val="0"/>
            <c:extLst>
              <c:ext xmlns:c16="http://schemas.microsoft.com/office/drawing/2014/chart" uri="{C3380CC4-5D6E-409C-BE32-E72D297353CC}">
                <c16:uniqueId val="{00000001-EE9E-439C-8AE4-C8E909F04669}"/>
              </c:ext>
            </c:extLst>
          </c:dPt>
          <c:dLbls>
            <c:dLbl>
              <c:idx val="6"/>
              <c:layout>
                <c:manualLayout>
                  <c:x val="-0.10784608342644092"/>
                  <c:y val="-2.415916591145494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C7-4B6A-B9A5-AB1E87F818A8}"/>
                </c:ext>
              </c:extLst>
            </c:dLbl>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Snaps'!$AP$6:$BD$6</c:f>
              <c:strCache>
                <c:ptCount val="15"/>
                <c:pt idx="0">
                  <c:v>Q1 20</c:v>
                </c:pt>
                <c:pt idx="1">
                  <c:v>Q2 20</c:v>
                </c:pt>
                <c:pt idx="2">
                  <c:v>Q3 20</c:v>
                </c:pt>
                <c:pt idx="3">
                  <c:v>Q4 20</c:v>
                </c:pt>
                <c:pt idx="4">
                  <c:v>Q1 21</c:v>
                </c:pt>
                <c:pt idx="5">
                  <c:v>Q2 21</c:v>
                </c:pt>
                <c:pt idx="6">
                  <c:v>Q3 21</c:v>
                </c:pt>
                <c:pt idx="7">
                  <c:v>Q4 21</c:v>
                </c:pt>
                <c:pt idx="8">
                  <c:v>Q1 22</c:v>
                </c:pt>
                <c:pt idx="9">
                  <c:v>Q2 22</c:v>
                </c:pt>
                <c:pt idx="10">
                  <c:v>Q3 22</c:v>
                </c:pt>
                <c:pt idx="11">
                  <c:v>Q4 22</c:v>
                </c:pt>
                <c:pt idx="12">
                  <c:v>Q1 23</c:v>
                </c:pt>
                <c:pt idx="13">
                  <c:v>Q2 23</c:v>
                </c:pt>
                <c:pt idx="14">
                  <c:v>Q3 23</c:v>
                </c:pt>
              </c:strCache>
            </c:strRef>
          </c:cat>
          <c:val>
            <c:numRef>
              <c:f>'Earnings Snaps'!$AP$9:$BD$9</c:f>
              <c:numCache>
                <c:formatCode>0.0%</c:formatCode>
                <c:ptCount val="15"/>
                <c:pt idx="0">
                  <c:v>2.3420933050590786E-2</c:v>
                </c:pt>
                <c:pt idx="1">
                  <c:v>3.1151249976627104E-2</c:v>
                </c:pt>
                <c:pt idx="2">
                  <c:v>4.8629713579229294E-2</c:v>
                </c:pt>
                <c:pt idx="3">
                  <c:v>4.4189548437471027E-2</c:v>
                </c:pt>
                <c:pt idx="4">
                  <c:v>4.0608291861691237E-2</c:v>
                </c:pt>
                <c:pt idx="5">
                  <c:v>1.0045877382269364E-2</c:v>
                </c:pt>
                <c:pt idx="6">
                  <c:v>-2.4741420889976551E-2</c:v>
                </c:pt>
                <c:pt idx="7">
                  <c:v>-4.3530123913972485E-2</c:v>
                </c:pt>
                <c:pt idx="8">
                  <c:v>-6.2064428957474105E-2</c:v>
                </c:pt>
                <c:pt idx="9">
                  <c:v>-7.719789590851156E-2</c:v>
                </c:pt>
                <c:pt idx="10">
                  <c:v>-8.6602923398175546E-2</c:v>
                </c:pt>
                <c:pt idx="11">
                  <c:v>-8.110120432589385E-2</c:v>
                </c:pt>
                <c:pt idx="12">
                  <c:v>-0.1171598081771138</c:v>
                </c:pt>
                <c:pt idx="13">
                  <c:v>-0.13435536273613358</c:v>
                </c:pt>
                <c:pt idx="14">
                  <c:v>-0.13837083383467697</c:v>
                </c:pt>
              </c:numCache>
            </c:numRef>
          </c:val>
          <c:smooth val="0"/>
          <c:extLst>
            <c:ext xmlns:c16="http://schemas.microsoft.com/office/drawing/2014/chart" uri="{C3380CC4-5D6E-409C-BE32-E72D297353CC}">
              <c16:uniqueId val="{00000002-EE9E-439C-8AE4-C8E909F04669}"/>
            </c:ext>
          </c:extLst>
        </c:ser>
        <c:dLbls>
          <c:showLegendKey val="0"/>
          <c:showVal val="0"/>
          <c:showCatName val="0"/>
          <c:showSerName val="0"/>
          <c:showPercent val="0"/>
          <c:showBubbleSize val="0"/>
        </c:dLbls>
        <c:smooth val="0"/>
        <c:axId val="605615568"/>
        <c:axId val="602398432"/>
      </c:lineChart>
      <c:catAx>
        <c:axId val="605615568"/>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602398432"/>
        <c:crosses val="autoZero"/>
        <c:auto val="1"/>
        <c:lblAlgn val="ctr"/>
        <c:lblOffset val="100"/>
        <c:noMultiLvlLbl val="0"/>
      </c:catAx>
      <c:valAx>
        <c:axId val="602398432"/>
        <c:scaling>
          <c:orientation val="minMax"/>
        </c:scaling>
        <c:delete val="1"/>
        <c:axPos val="l"/>
        <c:numFmt formatCode="0.0%" sourceLinked="1"/>
        <c:majorTickMark val="out"/>
        <c:minorTickMark val="none"/>
        <c:tickLblPos val="nextTo"/>
        <c:crossAx val="605615568"/>
        <c:crosses val="autoZero"/>
        <c:crossBetween val="between"/>
      </c:valAx>
      <c:spPr>
        <a:noFill/>
        <a:ln w="25400">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'Earnings Snaps'!$A$89</c:f>
              <c:strCache>
                <c:ptCount val="1"/>
                <c:pt idx="0">
                  <c:v>Video</c:v>
                </c:pt>
              </c:strCache>
            </c:strRef>
          </c:tx>
          <c:spPr>
            <a:solidFill>
              <a:srgbClr val="263238"/>
            </a:solidFill>
            <a:ln w="25400">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E466-417B-8B82-6433552AE616}"/>
                </c:ext>
              </c:extLst>
            </c:dLbl>
            <c:dLbl>
              <c:idx val="2"/>
              <c:delete val="1"/>
              <c:extLst>
                <c:ext xmlns:c15="http://schemas.microsoft.com/office/drawing/2012/chart" uri="{CE6537A1-D6FC-4f65-9D91-7224C49458BB}"/>
                <c:ext xmlns:c16="http://schemas.microsoft.com/office/drawing/2014/chart" uri="{C3380CC4-5D6E-409C-BE32-E72D297353CC}">
                  <c16:uniqueId val="{00000004-E466-417B-8B82-6433552AE616}"/>
                </c:ext>
              </c:extLst>
            </c:dLbl>
            <c:dLbl>
              <c:idx val="7"/>
              <c:delete val="1"/>
              <c:extLst>
                <c:ext xmlns:c15="http://schemas.microsoft.com/office/drawing/2012/chart" uri="{CE6537A1-D6FC-4f65-9D91-7224C49458BB}"/>
                <c:ext xmlns:c16="http://schemas.microsoft.com/office/drawing/2014/chart" uri="{C3380CC4-5D6E-409C-BE32-E72D297353CC}">
                  <c16:uniqueId val="{00000006-E466-417B-8B82-6433552AE616}"/>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Roboto" panose="02000000000000000000" pitchFamily="2" charset="0"/>
                    <a:ea typeface="Roboto" panose="02000000000000000000" pitchFamily="2" charset="0"/>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Snaps'!$AH$88:$AT$88</c:f>
              <c:strCache>
                <c:ptCount val="13"/>
                <c:pt idx="0">
                  <c:v>Q1 21</c:v>
                </c:pt>
                <c:pt idx="1">
                  <c:v>Q2 21</c:v>
                </c:pt>
                <c:pt idx="2">
                  <c:v>Q3 21</c:v>
                </c:pt>
                <c:pt idx="3">
                  <c:v>Q4 21</c:v>
                </c:pt>
                <c:pt idx="4">
                  <c:v>Q1 22</c:v>
                </c:pt>
                <c:pt idx="5">
                  <c:v>Q2 22</c:v>
                </c:pt>
                <c:pt idx="6">
                  <c:v>Q3 22</c:v>
                </c:pt>
                <c:pt idx="7">
                  <c:v>Q4 22</c:v>
                </c:pt>
                <c:pt idx="8">
                  <c:v>Q1 23</c:v>
                </c:pt>
                <c:pt idx="9">
                  <c:v>Q2 23</c:v>
                </c:pt>
                <c:pt idx="10">
                  <c:v>Q3 23</c:v>
                </c:pt>
                <c:pt idx="11">
                  <c:v>Q4 23</c:v>
                </c:pt>
                <c:pt idx="12">
                  <c:v>Q1 24</c:v>
                </c:pt>
              </c:strCache>
            </c:strRef>
          </c:cat>
          <c:val>
            <c:numRef>
              <c:f>'Earnings Snaps'!$AH$89:$AT$89</c:f>
              <c:numCache>
                <c:formatCode>0</c:formatCode>
                <c:ptCount val="13"/>
                <c:pt idx="0">
                  <c:v>-38.59900000000016</c:v>
                </c:pt>
                <c:pt idx="1">
                  <c:v>-31.505000000000109</c:v>
                </c:pt>
                <c:pt idx="2">
                  <c:v>-59.066999999999098</c:v>
                </c:pt>
                <c:pt idx="3">
                  <c:v>10.930999999999585</c:v>
                </c:pt>
                <c:pt idx="4">
                  <c:v>89.041000000000167</c:v>
                </c:pt>
                <c:pt idx="5">
                  <c:v>79.146999999999935</c:v>
                </c:pt>
                <c:pt idx="6">
                  <c:v>71.046999999999571</c:v>
                </c:pt>
                <c:pt idx="7">
                  <c:v>52.525000000000546</c:v>
                </c:pt>
                <c:pt idx="8">
                  <c:v>30.869999999999891</c:v>
                </c:pt>
                <c:pt idx="9">
                  <c:v>-46.190000000000509</c:v>
                </c:pt>
                <c:pt idx="10">
                  <c:v>-383.50999999999976</c:v>
                </c:pt>
                <c:pt idx="11">
                  <c:v>0.10400000000026921</c:v>
                </c:pt>
                <c:pt idx="12">
                  <c:v>2.7539999999999054</c:v>
                </c:pt>
              </c:numCache>
            </c:numRef>
          </c:val>
          <c:extLst>
            <c:ext xmlns:c16="http://schemas.microsoft.com/office/drawing/2014/chart" uri="{C3380CC4-5D6E-409C-BE32-E72D297353CC}">
              <c16:uniqueId val="{00000000-6097-45B7-894F-B20DF6E2F311}"/>
            </c:ext>
          </c:extLst>
        </c:ser>
        <c:ser>
          <c:idx val="1"/>
          <c:order val="1"/>
          <c:tx>
            <c:strRef>
              <c:f>'Earnings Snaps'!$A$90</c:f>
              <c:strCache>
                <c:ptCount val="1"/>
                <c:pt idx="0">
                  <c:v>Internet</c:v>
                </c:pt>
              </c:strCache>
            </c:strRef>
          </c:tx>
          <c:spPr>
            <a:solidFill>
              <a:srgbClr val="F9663E"/>
            </a:solidFill>
            <a:ln w="25400">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Snaps'!$AH$88:$AT$88</c:f>
              <c:strCache>
                <c:ptCount val="13"/>
                <c:pt idx="0">
                  <c:v>Q1 21</c:v>
                </c:pt>
                <c:pt idx="1">
                  <c:v>Q2 21</c:v>
                </c:pt>
                <c:pt idx="2">
                  <c:v>Q3 21</c:v>
                </c:pt>
                <c:pt idx="3">
                  <c:v>Q4 21</c:v>
                </c:pt>
                <c:pt idx="4">
                  <c:v>Q1 22</c:v>
                </c:pt>
                <c:pt idx="5">
                  <c:v>Q2 22</c:v>
                </c:pt>
                <c:pt idx="6">
                  <c:v>Q3 22</c:v>
                </c:pt>
                <c:pt idx="7">
                  <c:v>Q4 22</c:v>
                </c:pt>
                <c:pt idx="8">
                  <c:v>Q1 23</c:v>
                </c:pt>
                <c:pt idx="9">
                  <c:v>Q2 23</c:v>
                </c:pt>
                <c:pt idx="10">
                  <c:v>Q3 23</c:v>
                </c:pt>
                <c:pt idx="11">
                  <c:v>Q4 23</c:v>
                </c:pt>
                <c:pt idx="12">
                  <c:v>Q1 24</c:v>
                </c:pt>
              </c:strCache>
            </c:strRef>
          </c:cat>
          <c:val>
            <c:numRef>
              <c:f>'Earnings Snaps'!$AH$90:$AT$90</c:f>
              <c:numCache>
                <c:formatCode>0</c:formatCode>
                <c:ptCount val="13"/>
                <c:pt idx="0">
                  <c:v>103.96000000000004</c:v>
                </c:pt>
                <c:pt idx="1">
                  <c:v>31.368999999999687</c:v>
                </c:pt>
                <c:pt idx="2">
                  <c:v>24.595000000000255</c:v>
                </c:pt>
                <c:pt idx="3">
                  <c:v>58.318999999999505</c:v>
                </c:pt>
                <c:pt idx="4">
                  <c:v>82.923999999999978</c:v>
                </c:pt>
                <c:pt idx="5">
                  <c:v>77.564000000000306</c:v>
                </c:pt>
                <c:pt idx="6">
                  <c:v>96.233999999999469</c:v>
                </c:pt>
                <c:pt idx="7">
                  <c:v>78.327000000000226</c:v>
                </c:pt>
                <c:pt idx="8">
                  <c:v>84.71100000000024</c:v>
                </c:pt>
                <c:pt idx="9">
                  <c:v>-37.76299999999992</c:v>
                </c:pt>
                <c:pt idx="10">
                  <c:v>-353.26299999999992</c:v>
                </c:pt>
                <c:pt idx="11">
                  <c:v>0.59499999999934516</c:v>
                </c:pt>
                <c:pt idx="12">
                  <c:v>10.712000000000444</c:v>
                </c:pt>
              </c:numCache>
            </c:numRef>
          </c:val>
          <c:extLst>
            <c:ext xmlns:c16="http://schemas.microsoft.com/office/drawing/2014/chart" uri="{C3380CC4-5D6E-409C-BE32-E72D297353CC}">
              <c16:uniqueId val="{00000001-6097-45B7-894F-B20DF6E2F311}"/>
            </c:ext>
          </c:extLst>
        </c:ser>
        <c:ser>
          <c:idx val="2"/>
          <c:order val="2"/>
          <c:tx>
            <c:strRef>
              <c:f>'Earnings Snaps'!$A$91</c:f>
              <c:strCache>
                <c:ptCount val="1"/>
                <c:pt idx="0">
                  <c:v>Voice</c:v>
                </c:pt>
              </c:strCache>
            </c:strRef>
          </c:tx>
          <c:spPr>
            <a:solidFill>
              <a:srgbClr val="C7FE02"/>
            </a:solidFill>
            <a:ln w="25400">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Snaps'!$AH$88:$AT$88</c:f>
              <c:strCache>
                <c:ptCount val="13"/>
                <c:pt idx="0">
                  <c:v>Q1 21</c:v>
                </c:pt>
                <c:pt idx="1">
                  <c:v>Q2 21</c:v>
                </c:pt>
                <c:pt idx="2">
                  <c:v>Q3 21</c:v>
                </c:pt>
                <c:pt idx="3">
                  <c:v>Q4 21</c:v>
                </c:pt>
                <c:pt idx="4">
                  <c:v>Q1 22</c:v>
                </c:pt>
                <c:pt idx="5">
                  <c:v>Q2 22</c:v>
                </c:pt>
                <c:pt idx="6">
                  <c:v>Q3 22</c:v>
                </c:pt>
                <c:pt idx="7">
                  <c:v>Q4 22</c:v>
                </c:pt>
                <c:pt idx="8">
                  <c:v>Q1 23</c:v>
                </c:pt>
                <c:pt idx="9">
                  <c:v>Q2 23</c:v>
                </c:pt>
                <c:pt idx="10">
                  <c:v>Q3 23</c:v>
                </c:pt>
                <c:pt idx="11">
                  <c:v>Q4 23</c:v>
                </c:pt>
                <c:pt idx="12">
                  <c:v>Q1 24</c:v>
                </c:pt>
              </c:strCache>
            </c:strRef>
          </c:cat>
          <c:val>
            <c:numRef>
              <c:f>'Earnings Snaps'!$AH$91:$AT$91</c:f>
              <c:numCache>
                <c:formatCode>0</c:formatCode>
                <c:ptCount val="13"/>
                <c:pt idx="0">
                  <c:v>85.875</c:v>
                </c:pt>
                <c:pt idx="1">
                  <c:v>35.033000000000357</c:v>
                </c:pt>
                <c:pt idx="2">
                  <c:v>68.300000000000182</c:v>
                </c:pt>
                <c:pt idx="3">
                  <c:v>131.52700000000004</c:v>
                </c:pt>
                <c:pt idx="4">
                  <c:v>147.32699999999932</c:v>
                </c:pt>
                <c:pt idx="5">
                  <c:v>147.13500000000022</c:v>
                </c:pt>
                <c:pt idx="6">
                  <c:v>152.34799999999996</c:v>
                </c:pt>
                <c:pt idx="7">
                  <c:v>169.64900000000034</c:v>
                </c:pt>
                <c:pt idx="8">
                  <c:v>174.83600000000024</c:v>
                </c:pt>
                <c:pt idx="9">
                  <c:v>57.473999999999251</c:v>
                </c:pt>
                <c:pt idx="10">
                  <c:v>-115.27700000000004</c:v>
                </c:pt>
                <c:pt idx="11">
                  <c:v>0.38800000000082946</c:v>
                </c:pt>
                <c:pt idx="12">
                  <c:v>4.3049999999993815</c:v>
                </c:pt>
              </c:numCache>
            </c:numRef>
          </c:val>
          <c:extLst>
            <c:ext xmlns:c16="http://schemas.microsoft.com/office/drawing/2014/chart" uri="{C3380CC4-5D6E-409C-BE32-E72D297353CC}">
              <c16:uniqueId val="{00000002-6097-45B7-894F-B20DF6E2F311}"/>
            </c:ext>
          </c:extLst>
        </c:ser>
        <c:dLbls>
          <c:showLegendKey val="0"/>
          <c:showVal val="0"/>
          <c:showCatName val="0"/>
          <c:showSerName val="0"/>
          <c:showPercent val="0"/>
          <c:showBubbleSize val="0"/>
        </c:dLbls>
        <c:gapWidth val="30"/>
        <c:overlap val="100"/>
        <c:axId val="1007561176"/>
        <c:axId val="1007561832"/>
      </c:barChart>
      <c:catAx>
        <c:axId val="1007561176"/>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007561832"/>
        <c:crosses val="autoZero"/>
        <c:auto val="1"/>
        <c:lblAlgn val="ctr"/>
        <c:lblOffset val="100"/>
        <c:tickLblSkip val="1"/>
        <c:tickMarkSkip val="21"/>
        <c:noMultiLvlLbl val="0"/>
      </c:catAx>
      <c:valAx>
        <c:axId val="1007561832"/>
        <c:scaling>
          <c:orientation val="minMax"/>
        </c:scaling>
        <c:delete val="1"/>
        <c:axPos val="l"/>
        <c:numFmt formatCode="0" sourceLinked="1"/>
        <c:majorTickMark val="out"/>
        <c:minorTickMark val="none"/>
        <c:tickLblPos val="nextTo"/>
        <c:crossAx val="100756117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'Earnings Snaps'!$A$89</c:f>
              <c:strCache>
                <c:ptCount val="1"/>
                <c:pt idx="0">
                  <c:v>Video</c:v>
                </c:pt>
              </c:strCache>
            </c:strRef>
          </c:tx>
          <c:spPr>
            <a:solidFill>
              <a:srgbClr val="263238"/>
            </a:solidFill>
            <a:ln w="25400">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Snaps'!$AD$88:$AO$88</c:f>
              <c:strCache>
                <c:ptCount val="12"/>
                <c:pt idx="0">
                  <c:v>Q1 20</c:v>
                </c:pt>
                <c:pt idx="1">
                  <c:v>Q2 20</c:v>
                </c:pt>
                <c:pt idx="2">
                  <c:v>Q3 20</c:v>
                </c:pt>
                <c:pt idx="3">
                  <c:v>Q4 20</c:v>
                </c:pt>
                <c:pt idx="4">
                  <c:v>Q1 21</c:v>
                </c:pt>
                <c:pt idx="5">
                  <c:v>Q2 21</c:v>
                </c:pt>
                <c:pt idx="6">
                  <c:v>Q3 21</c:v>
                </c:pt>
                <c:pt idx="7">
                  <c:v>Q4 21</c:v>
                </c:pt>
                <c:pt idx="8">
                  <c:v>Q1 22</c:v>
                </c:pt>
                <c:pt idx="9">
                  <c:v>Q2 22</c:v>
                </c:pt>
                <c:pt idx="10">
                  <c:v>Q3 22</c:v>
                </c:pt>
                <c:pt idx="11">
                  <c:v>Q4 22</c:v>
                </c:pt>
              </c:strCache>
            </c:strRef>
          </c:cat>
          <c:val>
            <c:numRef>
              <c:f>'Earnings Snaps'!$AD$96:$AO$96</c:f>
              <c:numCache>
                <c:formatCode>0</c:formatCode>
                <c:ptCount val="12"/>
                <c:pt idx="0">
                  <c:v>8.705000000000382</c:v>
                </c:pt>
                <c:pt idx="1">
                  <c:v>27.896999999999935</c:v>
                </c:pt>
                <c:pt idx="2">
                  <c:v>100.07200000000012</c:v>
                </c:pt>
                <c:pt idx="3">
                  <c:v>51.174999999999727</c:v>
                </c:pt>
                <c:pt idx="4">
                  <c:v>23.619999999999891</c:v>
                </c:pt>
                <c:pt idx="5">
                  <c:v>21.733000000000175</c:v>
                </c:pt>
                <c:pt idx="6">
                  <c:v>58</c:v>
                </c:pt>
                <c:pt idx="7">
                  <c:v>23.626000000000204</c:v>
                </c:pt>
                <c:pt idx="8">
                  <c:v>2.1779999999998836</c:v>
                </c:pt>
                <c:pt idx="9">
                  <c:v>1.4800000000000182</c:v>
                </c:pt>
                <c:pt idx="10">
                  <c:v>48.710000000000036</c:v>
                </c:pt>
                <c:pt idx="11">
                  <c:v>83.42699999999968</c:v>
                </c:pt>
              </c:numCache>
            </c:numRef>
          </c:val>
          <c:extLst>
            <c:ext xmlns:c16="http://schemas.microsoft.com/office/drawing/2014/chart" uri="{C3380CC4-5D6E-409C-BE32-E72D297353CC}">
              <c16:uniqueId val="{00000000-7D39-4D8A-81CB-66C0727FFDAE}"/>
            </c:ext>
          </c:extLst>
        </c:ser>
        <c:ser>
          <c:idx val="1"/>
          <c:order val="1"/>
          <c:tx>
            <c:strRef>
              <c:f>'Earnings Snaps'!$A$90</c:f>
              <c:strCache>
                <c:ptCount val="1"/>
                <c:pt idx="0">
                  <c:v>Internet</c:v>
                </c:pt>
              </c:strCache>
            </c:strRef>
          </c:tx>
          <c:spPr>
            <a:solidFill>
              <a:srgbClr val="F9663E"/>
            </a:solidFill>
            <a:ln w="25400">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Snaps'!$AD$88:$AO$88</c:f>
              <c:strCache>
                <c:ptCount val="12"/>
                <c:pt idx="0">
                  <c:v>Q1 20</c:v>
                </c:pt>
                <c:pt idx="1">
                  <c:v>Q2 20</c:v>
                </c:pt>
                <c:pt idx="2">
                  <c:v>Q3 20</c:v>
                </c:pt>
                <c:pt idx="3">
                  <c:v>Q4 20</c:v>
                </c:pt>
                <c:pt idx="4">
                  <c:v>Q1 21</c:v>
                </c:pt>
                <c:pt idx="5">
                  <c:v>Q2 21</c:v>
                </c:pt>
                <c:pt idx="6">
                  <c:v>Q3 21</c:v>
                </c:pt>
                <c:pt idx="7">
                  <c:v>Q4 21</c:v>
                </c:pt>
                <c:pt idx="8">
                  <c:v>Q1 22</c:v>
                </c:pt>
                <c:pt idx="9">
                  <c:v>Q2 22</c:v>
                </c:pt>
                <c:pt idx="10">
                  <c:v>Q3 22</c:v>
                </c:pt>
                <c:pt idx="11">
                  <c:v>Q4 22</c:v>
                </c:pt>
              </c:strCache>
            </c:strRef>
          </c:cat>
          <c:val>
            <c:numRef>
              <c:f>'Earnings Snaps'!$AD$97:$AO$97</c:f>
              <c:numCache>
                <c:formatCode>0</c:formatCode>
                <c:ptCount val="12"/>
                <c:pt idx="0">
                  <c:v>48.752999999999702</c:v>
                </c:pt>
                <c:pt idx="1">
                  <c:v>83.019000000000233</c:v>
                </c:pt>
                <c:pt idx="2">
                  <c:v>184.5949999999998</c:v>
                </c:pt>
                <c:pt idx="3">
                  <c:v>96.329000000000178</c:v>
                </c:pt>
                <c:pt idx="4">
                  <c:v>79.415999999999713</c:v>
                </c:pt>
                <c:pt idx="5">
                  <c:v>58.160000000000309</c:v>
                </c:pt>
                <c:pt idx="6">
                  <c:v>105</c:v>
                </c:pt>
                <c:pt idx="7">
                  <c:v>80.981000000000222</c:v>
                </c:pt>
                <c:pt idx="8">
                  <c:v>59.403999999999996</c:v>
                </c:pt>
                <c:pt idx="9">
                  <c:v>19.177999999999884</c:v>
                </c:pt>
                <c:pt idx="10">
                  <c:v>100.65700000000015</c:v>
                </c:pt>
                <c:pt idx="11">
                  <c:v>124.72799999999961</c:v>
                </c:pt>
              </c:numCache>
            </c:numRef>
          </c:val>
          <c:extLst>
            <c:ext xmlns:c16="http://schemas.microsoft.com/office/drawing/2014/chart" uri="{C3380CC4-5D6E-409C-BE32-E72D297353CC}">
              <c16:uniqueId val="{00000001-7D39-4D8A-81CB-66C0727FFDAE}"/>
            </c:ext>
          </c:extLst>
        </c:ser>
        <c:ser>
          <c:idx val="2"/>
          <c:order val="2"/>
          <c:tx>
            <c:strRef>
              <c:f>'Earnings Snaps'!$A$91</c:f>
              <c:strCache>
                <c:ptCount val="1"/>
                <c:pt idx="0">
                  <c:v>Voice</c:v>
                </c:pt>
              </c:strCache>
            </c:strRef>
          </c:tx>
          <c:spPr>
            <a:solidFill>
              <a:srgbClr val="C7FE02"/>
            </a:solidFill>
            <a:ln w="25400">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Snaps'!$AD$88:$AO$88</c:f>
              <c:strCache>
                <c:ptCount val="12"/>
                <c:pt idx="0">
                  <c:v>Q1 20</c:v>
                </c:pt>
                <c:pt idx="1">
                  <c:v>Q2 20</c:v>
                </c:pt>
                <c:pt idx="2">
                  <c:v>Q3 20</c:v>
                </c:pt>
                <c:pt idx="3">
                  <c:v>Q4 20</c:v>
                </c:pt>
                <c:pt idx="4">
                  <c:v>Q1 21</c:v>
                </c:pt>
                <c:pt idx="5">
                  <c:v>Q2 21</c:v>
                </c:pt>
                <c:pt idx="6">
                  <c:v>Q3 21</c:v>
                </c:pt>
                <c:pt idx="7">
                  <c:v>Q4 21</c:v>
                </c:pt>
                <c:pt idx="8">
                  <c:v>Q1 22</c:v>
                </c:pt>
                <c:pt idx="9">
                  <c:v>Q2 22</c:v>
                </c:pt>
                <c:pt idx="10">
                  <c:v>Q3 22</c:v>
                </c:pt>
                <c:pt idx="11">
                  <c:v>Q4 22</c:v>
                </c:pt>
              </c:strCache>
            </c:strRef>
          </c:cat>
          <c:val>
            <c:numRef>
              <c:f>'Earnings Snaps'!$AD$98:$AO$98</c:f>
              <c:numCache>
                <c:formatCode>0</c:formatCode>
                <c:ptCount val="12"/>
                <c:pt idx="0">
                  <c:v>55.963000000000193</c:v>
                </c:pt>
                <c:pt idx="1">
                  <c:v>81.598999999999705</c:v>
                </c:pt>
                <c:pt idx="2">
                  <c:v>243.48100000000022</c:v>
                </c:pt>
                <c:pt idx="3">
                  <c:v>115.21699999999964</c:v>
                </c:pt>
                <c:pt idx="4">
                  <c:v>100.67900000000009</c:v>
                </c:pt>
                <c:pt idx="5">
                  <c:v>78.423000000000229</c:v>
                </c:pt>
                <c:pt idx="6">
                  <c:v>129</c:v>
                </c:pt>
                <c:pt idx="7">
                  <c:v>96.579000000000178</c:v>
                </c:pt>
                <c:pt idx="8">
                  <c:v>58.096999999999753</c:v>
                </c:pt>
                <c:pt idx="9">
                  <c:v>45.121000000000095</c:v>
                </c:pt>
                <c:pt idx="10">
                  <c:v>128.92599999999993</c:v>
                </c:pt>
                <c:pt idx="11">
                  <c:v>140.86200000000008</c:v>
                </c:pt>
              </c:numCache>
            </c:numRef>
          </c:val>
          <c:extLst>
            <c:ext xmlns:c16="http://schemas.microsoft.com/office/drawing/2014/chart" uri="{C3380CC4-5D6E-409C-BE32-E72D297353CC}">
              <c16:uniqueId val="{00000002-7D39-4D8A-81CB-66C0727FFDAE}"/>
            </c:ext>
          </c:extLst>
        </c:ser>
        <c:dLbls>
          <c:showLegendKey val="0"/>
          <c:showVal val="0"/>
          <c:showCatName val="0"/>
          <c:showSerName val="0"/>
          <c:showPercent val="0"/>
          <c:showBubbleSize val="0"/>
        </c:dLbls>
        <c:gapWidth val="30"/>
        <c:overlap val="100"/>
        <c:axId val="1007561176"/>
        <c:axId val="1007561832"/>
      </c:barChart>
      <c:catAx>
        <c:axId val="1007561176"/>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007561832"/>
        <c:crosses val="autoZero"/>
        <c:auto val="1"/>
        <c:lblAlgn val="ctr"/>
        <c:lblOffset val="100"/>
        <c:noMultiLvlLbl val="0"/>
      </c:catAx>
      <c:valAx>
        <c:axId val="1007561832"/>
        <c:scaling>
          <c:orientation val="minMax"/>
        </c:scaling>
        <c:delete val="1"/>
        <c:axPos val="l"/>
        <c:numFmt formatCode="0" sourceLinked="1"/>
        <c:majorTickMark val="out"/>
        <c:minorTickMark val="none"/>
        <c:tickLblPos val="nextTo"/>
        <c:crossAx val="100756117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'Earnings Snaps'!$A$118</c:f>
              <c:strCache>
                <c:ptCount val="1"/>
                <c:pt idx="0">
                  <c:v>Televisa</c:v>
                </c:pt>
              </c:strCache>
            </c:strRef>
          </c:tx>
          <c:spPr>
            <a:solidFill>
              <a:srgbClr val="000080"/>
            </a:solidFill>
            <a:ln w="25400">
              <a:noFill/>
            </a:ln>
            <a:effectLst/>
          </c:spPr>
          <c:invertIfNegative val="0"/>
          <c:cat>
            <c:multiLvlStrRef>
              <c:f>'Earnings Snaps'!$B$117:$R$117</c:f>
            </c:multiLvlStrRef>
          </c:cat>
          <c:val>
            <c:numRef>
              <c:f>'Earnings Snaps'!$B$118:$R$118</c:f>
            </c:numRef>
          </c:val>
          <c:extLst>
            <c:ext xmlns:c16="http://schemas.microsoft.com/office/drawing/2014/chart" uri="{C3380CC4-5D6E-409C-BE32-E72D297353CC}">
              <c16:uniqueId val="{00000000-8B91-44F0-92C2-8D780426902F}"/>
            </c:ext>
          </c:extLst>
        </c:ser>
        <c:ser>
          <c:idx val="1"/>
          <c:order val="1"/>
          <c:tx>
            <c:strRef>
              <c:f>'Earnings Snaps'!$A$119</c:f>
              <c:strCache>
                <c:ptCount val="1"/>
                <c:pt idx="0">
                  <c:v>Megacable</c:v>
                </c:pt>
              </c:strCache>
            </c:strRef>
          </c:tx>
          <c:spPr>
            <a:solidFill>
              <a:srgbClr val="9999FF"/>
            </a:solidFill>
            <a:ln w="25400">
              <a:noFill/>
            </a:ln>
            <a:effectLst/>
          </c:spPr>
          <c:invertIfNegative val="0"/>
          <c:cat>
            <c:multiLvlStrRef>
              <c:f>'Earnings Snaps'!$B$117:$R$117</c:f>
            </c:multiLvlStrRef>
          </c:cat>
          <c:val>
            <c:numRef>
              <c:f>'Earnings Snaps'!$B$119:$R$119</c:f>
            </c:numRef>
          </c:val>
          <c:extLst>
            <c:ext xmlns:c16="http://schemas.microsoft.com/office/drawing/2014/chart" uri="{C3380CC4-5D6E-409C-BE32-E72D297353CC}">
              <c16:uniqueId val="{00000001-8B91-44F0-92C2-8D780426902F}"/>
            </c:ext>
          </c:extLst>
        </c:ser>
        <c:dLbls>
          <c:showLegendKey val="0"/>
          <c:showVal val="0"/>
          <c:showCatName val="0"/>
          <c:showSerName val="0"/>
          <c:showPercent val="0"/>
          <c:showBubbleSize val="0"/>
        </c:dLbls>
        <c:gapWidth val="219"/>
        <c:overlap val="-27"/>
        <c:axId val="629854336"/>
        <c:axId val="629854008"/>
      </c:barChart>
      <c:catAx>
        <c:axId val="62985433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29854008"/>
        <c:crosses val="autoZero"/>
        <c:auto val="1"/>
        <c:lblAlgn val="ctr"/>
        <c:lblOffset val="100"/>
        <c:noMultiLvlLbl val="0"/>
      </c:catAx>
      <c:valAx>
        <c:axId val="62985400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2985433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'Earnings Snaps'!$A$89</c:f>
              <c:strCache>
                <c:ptCount val="1"/>
                <c:pt idx="0">
                  <c:v>Video</c:v>
                </c:pt>
              </c:strCache>
            </c:strRef>
          </c:tx>
          <c:spPr>
            <a:solidFill>
              <a:srgbClr val="263238"/>
            </a:solidFill>
            <a:ln w="25400">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Snaps'!$AD$88:$AS$88</c:f>
              <c:strCache>
                <c:ptCount val="16"/>
                <c:pt idx="0">
                  <c:v>Q1 20</c:v>
                </c:pt>
                <c:pt idx="1">
                  <c:v>Q2 20</c:v>
                </c:pt>
                <c:pt idx="2">
                  <c:v>Q3 20</c:v>
                </c:pt>
                <c:pt idx="3">
                  <c:v>Q4 20</c:v>
                </c:pt>
                <c:pt idx="4">
                  <c:v>Q1 21</c:v>
                </c:pt>
                <c:pt idx="5">
                  <c:v>Q2 21</c:v>
                </c:pt>
                <c:pt idx="6">
                  <c:v>Q3 21</c:v>
                </c:pt>
                <c:pt idx="7">
                  <c:v>Q4 21</c:v>
                </c:pt>
                <c:pt idx="8">
                  <c:v>Q1 22</c:v>
                </c:pt>
                <c:pt idx="9">
                  <c:v>Q2 22</c:v>
                </c:pt>
                <c:pt idx="10">
                  <c:v>Q3 22</c:v>
                </c:pt>
                <c:pt idx="11">
                  <c:v>Q4 22</c:v>
                </c:pt>
                <c:pt idx="12">
                  <c:v>Q1 23</c:v>
                </c:pt>
                <c:pt idx="13">
                  <c:v>Q2 23</c:v>
                </c:pt>
                <c:pt idx="14">
                  <c:v>Q3 23</c:v>
                </c:pt>
                <c:pt idx="15">
                  <c:v>Q4 23</c:v>
                </c:pt>
              </c:strCache>
            </c:strRef>
          </c:cat>
          <c:val>
            <c:numRef>
              <c:f>'Earnings Snaps'!$AD$89:$AS$89</c:f>
              <c:numCache>
                <c:formatCode>0</c:formatCode>
                <c:ptCount val="16"/>
                <c:pt idx="0">
                  <c:v>-10.805000000000291</c:v>
                </c:pt>
                <c:pt idx="1">
                  <c:v>27.420000000000073</c:v>
                </c:pt>
                <c:pt idx="2">
                  <c:v>-1.569999999999709</c:v>
                </c:pt>
                <c:pt idx="3">
                  <c:v>-49.226000000000568</c:v>
                </c:pt>
                <c:pt idx="4">
                  <c:v>-38.59900000000016</c:v>
                </c:pt>
                <c:pt idx="5">
                  <c:v>-31.505000000000109</c:v>
                </c:pt>
                <c:pt idx="6">
                  <c:v>-59.066999999999098</c:v>
                </c:pt>
                <c:pt idx="7">
                  <c:v>10.930999999999585</c:v>
                </c:pt>
                <c:pt idx="8">
                  <c:v>89.041000000000167</c:v>
                </c:pt>
                <c:pt idx="9">
                  <c:v>79.146999999999935</c:v>
                </c:pt>
                <c:pt idx="10">
                  <c:v>71.046999999999571</c:v>
                </c:pt>
                <c:pt idx="11">
                  <c:v>52.525000000000546</c:v>
                </c:pt>
                <c:pt idx="12">
                  <c:v>30.869999999999891</c:v>
                </c:pt>
                <c:pt idx="13">
                  <c:v>-46.190000000000509</c:v>
                </c:pt>
                <c:pt idx="14">
                  <c:v>-383.50999999999976</c:v>
                </c:pt>
                <c:pt idx="15">
                  <c:v>0.10400000000026921</c:v>
                </c:pt>
              </c:numCache>
            </c:numRef>
          </c:val>
          <c:extLst>
            <c:ext xmlns:c16="http://schemas.microsoft.com/office/drawing/2014/chart" uri="{C3380CC4-5D6E-409C-BE32-E72D297353CC}">
              <c16:uniqueId val="{00000000-11BB-4D14-98AC-2D679C734AEA}"/>
            </c:ext>
          </c:extLst>
        </c:ser>
        <c:ser>
          <c:idx val="1"/>
          <c:order val="1"/>
          <c:tx>
            <c:strRef>
              <c:f>'Earnings Snaps'!$A$90</c:f>
              <c:strCache>
                <c:ptCount val="1"/>
                <c:pt idx="0">
                  <c:v>Internet</c:v>
                </c:pt>
              </c:strCache>
            </c:strRef>
          </c:tx>
          <c:spPr>
            <a:solidFill>
              <a:srgbClr val="F9663E"/>
            </a:solidFill>
            <a:ln w="25400">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Snaps'!$AD$88:$AS$88</c:f>
              <c:strCache>
                <c:ptCount val="16"/>
                <c:pt idx="0">
                  <c:v>Q1 20</c:v>
                </c:pt>
                <c:pt idx="1">
                  <c:v>Q2 20</c:v>
                </c:pt>
                <c:pt idx="2">
                  <c:v>Q3 20</c:v>
                </c:pt>
                <c:pt idx="3">
                  <c:v>Q4 20</c:v>
                </c:pt>
                <c:pt idx="4">
                  <c:v>Q1 21</c:v>
                </c:pt>
                <c:pt idx="5">
                  <c:v>Q2 21</c:v>
                </c:pt>
                <c:pt idx="6">
                  <c:v>Q3 21</c:v>
                </c:pt>
                <c:pt idx="7">
                  <c:v>Q4 21</c:v>
                </c:pt>
                <c:pt idx="8">
                  <c:v>Q1 22</c:v>
                </c:pt>
                <c:pt idx="9">
                  <c:v>Q2 22</c:v>
                </c:pt>
                <c:pt idx="10">
                  <c:v>Q3 22</c:v>
                </c:pt>
                <c:pt idx="11">
                  <c:v>Q4 22</c:v>
                </c:pt>
                <c:pt idx="12">
                  <c:v>Q1 23</c:v>
                </c:pt>
                <c:pt idx="13">
                  <c:v>Q2 23</c:v>
                </c:pt>
                <c:pt idx="14">
                  <c:v>Q3 23</c:v>
                </c:pt>
                <c:pt idx="15">
                  <c:v>Q4 23</c:v>
                </c:pt>
              </c:strCache>
            </c:strRef>
          </c:cat>
          <c:val>
            <c:numRef>
              <c:f>'Earnings Snaps'!$AD$90:$AS$90</c:f>
              <c:numCache>
                <c:formatCode>0</c:formatCode>
                <c:ptCount val="16"/>
                <c:pt idx="0">
                  <c:v>121.04899999999998</c:v>
                </c:pt>
                <c:pt idx="1">
                  <c:v>252.17399999999998</c:v>
                </c:pt>
                <c:pt idx="2">
                  <c:v>233.96799999999985</c:v>
                </c:pt>
                <c:pt idx="3">
                  <c:v>127.61400000000049</c:v>
                </c:pt>
                <c:pt idx="4">
                  <c:v>103.96000000000004</c:v>
                </c:pt>
                <c:pt idx="5">
                  <c:v>31.368999999999687</c:v>
                </c:pt>
                <c:pt idx="6">
                  <c:v>24.595000000000255</c:v>
                </c:pt>
                <c:pt idx="7">
                  <c:v>58.318999999999505</c:v>
                </c:pt>
                <c:pt idx="8">
                  <c:v>82.923999999999978</c:v>
                </c:pt>
                <c:pt idx="9">
                  <c:v>77.564000000000306</c:v>
                </c:pt>
                <c:pt idx="10">
                  <c:v>96.233999999999469</c:v>
                </c:pt>
                <c:pt idx="11">
                  <c:v>78.327000000000226</c:v>
                </c:pt>
                <c:pt idx="12">
                  <c:v>84.71100000000024</c:v>
                </c:pt>
                <c:pt idx="13">
                  <c:v>-37.76299999999992</c:v>
                </c:pt>
                <c:pt idx="14">
                  <c:v>-353.26299999999992</c:v>
                </c:pt>
                <c:pt idx="15">
                  <c:v>0.59499999999934516</c:v>
                </c:pt>
              </c:numCache>
            </c:numRef>
          </c:val>
          <c:extLst>
            <c:ext xmlns:c16="http://schemas.microsoft.com/office/drawing/2014/chart" uri="{C3380CC4-5D6E-409C-BE32-E72D297353CC}">
              <c16:uniqueId val="{00000001-11BB-4D14-98AC-2D679C734AEA}"/>
            </c:ext>
          </c:extLst>
        </c:ser>
        <c:ser>
          <c:idx val="2"/>
          <c:order val="2"/>
          <c:tx>
            <c:strRef>
              <c:f>'Earnings Snaps'!$A$91</c:f>
              <c:strCache>
                <c:ptCount val="1"/>
                <c:pt idx="0">
                  <c:v>Voice</c:v>
                </c:pt>
              </c:strCache>
            </c:strRef>
          </c:tx>
          <c:spPr>
            <a:solidFill>
              <a:srgbClr val="C7FE02"/>
            </a:solidFill>
            <a:ln w="25400">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Snaps'!$AD$88:$AS$88</c:f>
              <c:strCache>
                <c:ptCount val="16"/>
                <c:pt idx="0">
                  <c:v>Q1 20</c:v>
                </c:pt>
                <c:pt idx="1">
                  <c:v>Q2 20</c:v>
                </c:pt>
                <c:pt idx="2">
                  <c:v>Q3 20</c:v>
                </c:pt>
                <c:pt idx="3">
                  <c:v>Q4 20</c:v>
                </c:pt>
                <c:pt idx="4">
                  <c:v>Q1 21</c:v>
                </c:pt>
                <c:pt idx="5">
                  <c:v>Q2 21</c:v>
                </c:pt>
                <c:pt idx="6">
                  <c:v>Q3 21</c:v>
                </c:pt>
                <c:pt idx="7">
                  <c:v>Q4 21</c:v>
                </c:pt>
                <c:pt idx="8">
                  <c:v>Q1 22</c:v>
                </c:pt>
                <c:pt idx="9">
                  <c:v>Q2 22</c:v>
                </c:pt>
                <c:pt idx="10">
                  <c:v>Q3 22</c:v>
                </c:pt>
                <c:pt idx="11">
                  <c:v>Q4 22</c:v>
                </c:pt>
                <c:pt idx="12">
                  <c:v>Q1 23</c:v>
                </c:pt>
                <c:pt idx="13">
                  <c:v>Q2 23</c:v>
                </c:pt>
                <c:pt idx="14">
                  <c:v>Q3 23</c:v>
                </c:pt>
                <c:pt idx="15">
                  <c:v>Q4 23</c:v>
                </c:pt>
              </c:strCache>
            </c:strRef>
          </c:cat>
          <c:val>
            <c:numRef>
              <c:f>'Earnings Snaps'!$AD$91:$AS$91</c:f>
              <c:numCache>
                <c:formatCode>0</c:formatCode>
                <c:ptCount val="16"/>
                <c:pt idx="0">
                  <c:v>145.52699999999959</c:v>
                </c:pt>
                <c:pt idx="1">
                  <c:v>214.52800000000025</c:v>
                </c:pt>
                <c:pt idx="2">
                  <c:v>189.2170000000001</c:v>
                </c:pt>
                <c:pt idx="3">
                  <c:v>109.26599999999962</c:v>
                </c:pt>
                <c:pt idx="4">
                  <c:v>85.875</c:v>
                </c:pt>
                <c:pt idx="5">
                  <c:v>35.033000000000357</c:v>
                </c:pt>
                <c:pt idx="6">
                  <c:v>68.300000000000182</c:v>
                </c:pt>
                <c:pt idx="7">
                  <c:v>131.52700000000004</c:v>
                </c:pt>
                <c:pt idx="8">
                  <c:v>147.32699999999932</c:v>
                </c:pt>
                <c:pt idx="9">
                  <c:v>147.13500000000022</c:v>
                </c:pt>
                <c:pt idx="10">
                  <c:v>152.34799999999996</c:v>
                </c:pt>
                <c:pt idx="11">
                  <c:v>169.64900000000034</c:v>
                </c:pt>
                <c:pt idx="12">
                  <c:v>174.83600000000024</c:v>
                </c:pt>
                <c:pt idx="13">
                  <c:v>57.473999999999251</c:v>
                </c:pt>
                <c:pt idx="14">
                  <c:v>-115.27700000000004</c:v>
                </c:pt>
                <c:pt idx="15">
                  <c:v>0.38800000000082946</c:v>
                </c:pt>
              </c:numCache>
            </c:numRef>
          </c:val>
          <c:extLst>
            <c:ext xmlns:c16="http://schemas.microsoft.com/office/drawing/2014/chart" uri="{C3380CC4-5D6E-409C-BE32-E72D297353CC}">
              <c16:uniqueId val="{00000002-11BB-4D14-98AC-2D679C734AEA}"/>
            </c:ext>
          </c:extLst>
        </c:ser>
        <c:dLbls>
          <c:showLegendKey val="0"/>
          <c:showVal val="0"/>
          <c:showCatName val="0"/>
          <c:showSerName val="0"/>
          <c:showPercent val="0"/>
          <c:showBubbleSize val="0"/>
        </c:dLbls>
        <c:gapWidth val="30"/>
        <c:overlap val="-27"/>
        <c:axId val="749532744"/>
        <c:axId val="749537992"/>
      </c:barChart>
      <c:catAx>
        <c:axId val="749532744"/>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749537992"/>
        <c:crosses val="autoZero"/>
        <c:auto val="1"/>
        <c:lblAlgn val="ctr"/>
        <c:lblOffset val="100"/>
        <c:noMultiLvlLbl val="0"/>
      </c:catAx>
      <c:valAx>
        <c:axId val="749537992"/>
        <c:scaling>
          <c:orientation val="minMax"/>
        </c:scaling>
        <c:delete val="1"/>
        <c:axPos val="l"/>
        <c:numFmt formatCode="0" sourceLinked="1"/>
        <c:majorTickMark val="out"/>
        <c:minorTickMark val="none"/>
        <c:tickLblPos val="nextTo"/>
        <c:crossAx val="74953274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Analysis!$E$82</c:f>
              <c:strCache>
                <c:ptCount val="1"/>
                <c:pt idx="0">
                  <c:v>Capex</c:v>
                </c:pt>
              </c:strCache>
            </c:strRef>
          </c:tx>
          <c:spPr>
            <a:solidFill>
              <a:srgbClr val="000080"/>
            </a:solidFill>
            <a:ln w="25400">
              <a:noFill/>
            </a:ln>
          </c:spPr>
          <c:invertIfNegative val="0"/>
          <c:cat>
            <c:numRef>
              <c:f>Analysis!$F$81:$J$81</c:f>
              <c:numCache>
                <c:formatCode>0</c:formatCode>
                <c:ptCount val="5"/>
                <c:pt idx="0">
                  <c:v>2012</c:v>
                </c:pt>
                <c:pt idx="1">
                  <c:v>2013</c:v>
                </c:pt>
                <c:pt idx="2">
                  <c:v>2014</c:v>
                </c:pt>
                <c:pt idx="3">
                  <c:v>2015</c:v>
                </c:pt>
                <c:pt idx="4">
                  <c:v>2016</c:v>
                </c:pt>
              </c:numCache>
            </c:numRef>
          </c:cat>
          <c:val>
            <c:numRef>
              <c:f>Analysis!$F$82:$J$82</c:f>
              <c:numCache>
                <c:formatCode>0</c:formatCode>
                <c:ptCount val="5"/>
                <c:pt idx="0">
                  <c:v>455</c:v>
                </c:pt>
                <c:pt idx="1">
                  <c:v>599.9</c:v>
                </c:pt>
                <c:pt idx="2">
                  <c:v>702.9</c:v>
                </c:pt>
                <c:pt idx="3">
                  <c:v>1077.2</c:v>
                </c:pt>
                <c:pt idx="4">
                  <c:v>984.2</c:v>
                </c:pt>
              </c:numCache>
            </c:numRef>
          </c:val>
          <c:extLst>
            <c:ext xmlns:c16="http://schemas.microsoft.com/office/drawing/2014/chart" uri="{C3380CC4-5D6E-409C-BE32-E72D297353CC}">
              <c16:uniqueId val="{00000000-0886-4211-96E5-A8984D903E4E}"/>
            </c:ext>
          </c:extLst>
        </c:ser>
        <c:dLbls>
          <c:showLegendKey val="0"/>
          <c:showVal val="0"/>
          <c:showCatName val="0"/>
          <c:showSerName val="0"/>
          <c:showPercent val="0"/>
          <c:showBubbleSize val="0"/>
        </c:dLbls>
        <c:gapWidth val="150"/>
        <c:axId val="118836608"/>
        <c:axId val="118838400"/>
      </c:barChart>
      <c:lineChart>
        <c:grouping val="standard"/>
        <c:varyColors val="0"/>
        <c:ser>
          <c:idx val="1"/>
          <c:order val="1"/>
          <c:tx>
            <c:strRef>
              <c:f>Analysis!$E$83</c:f>
              <c:strCache>
                <c:ptCount val="1"/>
                <c:pt idx="0">
                  <c:v>OpFCF margin</c:v>
                </c:pt>
              </c:strCache>
            </c:strRef>
          </c:tx>
          <c:spPr>
            <a:ln w="25400">
              <a:solidFill>
                <a:srgbClr val="000080"/>
              </a:solidFill>
              <a:prstDash val="solid"/>
            </a:ln>
            <a:effectLst/>
          </c:spPr>
          <c:marker>
            <c:symbol val="none"/>
          </c:marker>
          <c:cat>
            <c:numRef>
              <c:f>Analysis!$F$81:$J$81</c:f>
              <c:numCache>
                <c:formatCode>0</c:formatCode>
                <c:ptCount val="5"/>
                <c:pt idx="0">
                  <c:v>2012</c:v>
                </c:pt>
                <c:pt idx="1">
                  <c:v>2013</c:v>
                </c:pt>
                <c:pt idx="2">
                  <c:v>2014</c:v>
                </c:pt>
                <c:pt idx="3">
                  <c:v>2015</c:v>
                </c:pt>
                <c:pt idx="4">
                  <c:v>2016</c:v>
                </c:pt>
              </c:numCache>
            </c:numRef>
          </c:cat>
          <c:val>
            <c:numRef>
              <c:f>Analysis!$F$83:$J$83</c:f>
              <c:numCache>
                <c:formatCode>0%</c:formatCode>
                <c:ptCount val="5"/>
                <c:pt idx="0">
                  <c:v>-1.1239274520885842E-2</c:v>
                </c:pt>
                <c:pt idx="1">
                  <c:v>-8.8858263122272227E-2</c:v>
                </c:pt>
                <c:pt idx="2">
                  <c:v>-7.0338870527100111E-2</c:v>
                </c:pt>
                <c:pt idx="3">
                  <c:v>-0.19971581315838433</c:v>
                </c:pt>
                <c:pt idx="4">
                  <c:v>-0.16669185616275137</c:v>
                </c:pt>
              </c:numCache>
            </c:numRef>
          </c:val>
          <c:smooth val="0"/>
          <c:extLst>
            <c:ext xmlns:c16="http://schemas.microsoft.com/office/drawing/2014/chart" uri="{C3380CC4-5D6E-409C-BE32-E72D297353CC}">
              <c16:uniqueId val="{00000001-0886-4211-96E5-A8984D903E4E}"/>
            </c:ext>
          </c:extLst>
        </c:ser>
        <c:dLbls>
          <c:showLegendKey val="0"/>
          <c:showVal val="0"/>
          <c:showCatName val="0"/>
          <c:showSerName val="0"/>
          <c:showPercent val="0"/>
          <c:showBubbleSize val="0"/>
        </c:dLbls>
        <c:marker val="1"/>
        <c:smooth val="0"/>
        <c:axId val="118845824"/>
        <c:axId val="118839936"/>
      </c:lineChart>
      <c:catAx>
        <c:axId val="118836608"/>
        <c:scaling>
          <c:orientation val="minMax"/>
        </c:scaling>
        <c:delete val="0"/>
        <c:axPos val="b"/>
        <c:numFmt formatCode="0" sourceLinked="1"/>
        <c:majorTickMark val="out"/>
        <c:minorTickMark val="none"/>
        <c:tickLblPos val="nextTo"/>
        <c:crossAx val="118838400"/>
        <c:crosses val="autoZero"/>
        <c:auto val="1"/>
        <c:lblAlgn val="ctr"/>
        <c:lblOffset val="100"/>
        <c:noMultiLvlLbl val="0"/>
      </c:catAx>
      <c:valAx>
        <c:axId val="118838400"/>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crossAx val="118836608"/>
        <c:crosses val="autoZero"/>
        <c:crossBetween val="between"/>
      </c:valAx>
      <c:valAx>
        <c:axId val="118839936"/>
        <c:scaling>
          <c:orientation val="minMax"/>
        </c:scaling>
        <c:delete val="0"/>
        <c:axPos val="r"/>
        <c:numFmt formatCode="0%" sourceLinked="1"/>
        <c:majorTickMark val="out"/>
        <c:minorTickMark val="none"/>
        <c:tickLblPos val="nextTo"/>
        <c:crossAx val="118845824"/>
        <c:crosses val="max"/>
        <c:crossBetween val="between"/>
      </c:valAx>
      <c:catAx>
        <c:axId val="118845824"/>
        <c:scaling>
          <c:orientation val="minMax"/>
        </c:scaling>
        <c:delete val="1"/>
        <c:axPos val="b"/>
        <c:numFmt formatCode="0" sourceLinked="1"/>
        <c:majorTickMark val="out"/>
        <c:minorTickMark val="none"/>
        <c:tickLblPos val="nextTo"/>
        <c:crossAx val="118839936"/>
        <c:crosses val="autoZero"/>
        <c:auto val="1"/>
        <c:lblAlgn val="ctr"/>
        <c:lblOffset val="100"/>
        <c:noMultiLvlLbl val="0"/>
      </c:cat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'Earnings Snaps'!$A$96</c:f>
              <c:strCache>
                <c:ptCount val="1"/>
                <c:pt idx="0">
                  <c:v>Video</c:v>
                </c:pt>
              </c:strCache>
            </c:strRef>
          </c:tx>
          <c:spPr>
            <a:solidFill>
              <a:srgbClr val="000080"/>
            </a:solidFill>
            <a:ln w="25400">
              <a:noFill/>
            </a:ln>
            <a:effectLst/>
          </c:spPr>
          <c:invertIfNegative val="0"/>
          <c:cat>
            <c:strRef>
              <c:f>'Earnings Snaps'!$AD$88:$AL$88</c:f>
              <c:strCache>
                <c:ptCount val="9"/>
                <c:pt idx="0">
                  <c:v>Q1 20</c:v>
                </c:pt>
                <c:pt idx="1">
                  <c:v>Q2 20</c:v>
                </c:pt>
                <c:pt idx="2">
                  <c:v>Q3 20</c:v>
                </c:pt>
                <c:pt idx="3">
                  <c:v>Q4 20</c:v>
                </c:pt>
                <c:pt idx="4">
                  <c:v>Q1 21</c:v>
                </c:pt>
                <c:pt idx="5">
                  <c:v>Q2 21</c:v>
                </c:pt>
                <c:pt idx="6">
                  <c:v>Q3 21</c:v>
                </c:pt>
                <c:pt idx="7">
                  <c:v>Q4 21</c:v>
                </c:pt>
                <c:pt idx="8">
                  <c:v>Q1 22</c:v>
                </c:pt>
              </c:strCache>
            </c:strRef>
          </c:cat>
          <c:val>
            <c:numRef>
              <c:f>'Earnings Snaps'!$AD$96:$AK$96</c:f>
              <c:numCache>
                <c:formatCode>0</c:formatCode>
                <c:ptCount val="8"/>
                <c:pt idx="0">
                  <c:v>8.705000000000382</c:v>
                </c:pt>
                <c:pt idx="1">
                  <c:v>27.896999999999935</c:v>
                </c:pt>
                <c:pt idx="2">
                  <c:v>100.07200000000012</c:v>
                </c:pt>
                <c:pt idx="3">
                  <c:v>51.174999999999727</c:v>
                </c:pt>
                <c:pt idx="4">
                  <c:v>23.619999999999891</c:v>
                </c:pt>
                <c:pt idx="5">
                  <c:v>21.733000000000175</c:v>
                </c:pt>
                <c:pt idx="6">
                  <c:v>58</c:v>
                </c:pt>
                <c:pt idx="7">
                  <c:v>23.626000000000204</c:v>
                </c:pt>
              </c:numCache>
            </c:numRef>
          </c:val>
          <c:extLst>
            <c:ext xmlns:c16="http://schemas.microsoft.com/office/drawing/2014/chart" uri="{C3380CC4-5D6E-409C-BE32-E72D297353CC}">
              <c16:uniqueId val="{00000000-D154-47D0-A475-7C91C97C8955}"/>
            </c:ext>
          </c:extLst>
        </c:ser>
        <c:ser>
          <c:idx val="1"/>
          <c:order val="1"/>
          <c:tx>
            <c:strRef>
              <c:f>'Earnings Snaps'!$A$97</c:f>
              <c:strCache>
                <c:ptCount val="1"/>
                <c:pt idx="0">
                  <c:v>Internet</c:v>
                </c:pt>
              </c:strCache>
            </c:strRef>
          </c:tx>
          <c:spPr>
            <a:solidFill>
              <a:srgbClr val="9999FF"/>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Snaps'!$AD$88:$AL$88</c:f>
              <c:strCache>
                <c:ptCount val="9"/>
                <c:pt idx="0">
                  <c:v>Q1 20</c:v>
                </c:pt>
                <c:pt idx="1">
                  <c:v>Q2 20</c:v>
                </c:pt>
                <c:pt idx="2">
                  <c:v>Q3 20</c:v>
                </c:pt>
                <c:pt idx="3">
                  <c:v>Q4 20</c:v>
                </c:pt>
                <c:pt idx="4">
                  <c:v>Q1 21</c:v>
                </c:pt>
                <c:pt idx="5">
                  <c:v>Q2 21</c:v>
                </c:pt>
                <c:pt idx="6">
                  <c:v>Q3 21</c:v>
                </c:pt>
                <c:pt idx="7">
                  <c:v>Q4 21</c:v>
                </c:pt>
                <c:pt idx="8">
                  <c:v>Q1 22</c:v>
                </c:pt>
              </c:strCache>
            </c:strRef>
          </c:cat>
          <c:val>
            <c:numRef>
              <c:f>'Earnings Snaps'!$AD$97:$AL$97</c:f>
              <c:numCache>
                <c:formatCode>0</c:formatCode>
                <c:ptCount val="9"/>
                <c:pt idx="0">
                  <c:v>48.752999999999702</c:v>
                </c:pt>
                <c:pt idx="1">
                  <c:v>83.019000000000233</c:v>
                </c:pt>
                <c:pt idx="2">
                  <c:v>184.5949999999998</c:v>
                </c:pt>
                <c:pt idx="3">
                  <c:v>96.329000000000178</c:v>
                </c:pt>
                <c:pt idx="4">
                  <c:v>79.415999999999713</c:v>
                </c:pt>
                <c:pt idx="5">
                  <c:v>58.160000000000309</c:v>
                </c:pt>
                <c:pt idx="6">
                  <c:v>105</c:v>
                </c:pt>
                <c:pt idx="7">
                  <c:v>80.981000000000222</c:v>
                </c:pt>
                <c:pt idx="8">
                  <c:v>59.403999999999996</c:v>
                </c:pt>
              </c:numCache>
            </c:numRef>
          </c:val>
          <c:extLst>
            <c:ext xmlns:c16="http://schemas.microsoft.com/office/drawing/2014/chart" uri="{C3380CC4-5D6E-409C-BE32-E72D297353CC}">
              <c16:uniqueId val="{00000001-D154-47D0-A475-7C91C97C8955}"/>
            </c:ext>
          </c:extLst>
        </c:ser>
        <c:ser>
          <c:idx val="2"/>
          <c:order val="2"/>
          <c:tx>
            <c:strRef>
              <c:f>'Earnings Snaps'!$A$98</c:f>
              <c:strCache>
                <c:ptCount val="1"/>
                <c:pt idx="0">
                  <c:v>Voice</c:v>
                </c:pt>
              </c:strCache>
            </c:strRef>
          </c:tx>
          <c:spPr>
            <a:solidFill>
              <a:srgbClr val="3366FF"/>
            </a:solidFill>
            <a:ln w="25400">
              <a:noFill/>
            </a:ln>
            <a:effectLst/>
          </c:spPr>
          <c:invertIfNegative val="0"/>
          <c:cat>
            <c:strRef>
              <c:f>'Earnings Snaps'!$AD$88:$AL$88</c:f>
              <c:strCache>
                <c:ptCount val="9"/>
                <c:pt idx="0">
                  <c:v>Q1 20</c:v>
                </c:pt>
                <c:pt idx="1">
                  <c:v>Q2 20</c:v>
                </c:pt>
                <c:pt idx="2">
                  <c:v>Q3 20</c:v>
                </c:pt>
                <c:pt idx="3">
                  <c:v>Q4 20</c:v>
                </c:pt>
                <c:pt idx="4">
                  <c:v>Q1 21</c:v>
                </c:pt>
                <c:pt idx="5">
                  <c:v>Q2 21</c:v>
                </c:pt>
                <c:pt idx="6">
                  <c:v>Q3 21</c:v>
                </c:pt>
                <c:pt idx="7">
                  <c:v>Q4 21</c:v>
                </c:pt>
                <c:pt idx="8">
                  <c:v>Q1 22</c:v>
                </c:pt>
              </c:strCache>
            </c:strRef>
          </c:cat>
          <c:val>
            <c:numRef>
              <c:f>'Earnings Snaps'!$AC$98:$AK$98</c:f>
              <c:numCache>
                <c:formatCode>0</c:formatCode>
                <c:ptCount val="8"/>
                <c:pt idx="0">
                  <c:v>55.963000000000193</c:v>
                </c:pt>
                <c:pt idx="1">
                  <c:v>81.598999999999705</c:v>
                </c:pt>
                <c:pt idx="2">
                  <c:v>243.48100000000022</c:v>
                </c:pt>
                <c:pt idx="3">
                  <c:v>115.21699999999964</c:v>
                </c:pt>
                <c:pt idx="4">
                  <c:v>100.67900000000009</c:v>
                </c:pt>
                <c:pt idx="5">
                  <c:v>78.423000000000229</c:v>
                </c:pt>
                <c:pt idx="6">
                  <c:v>129</c:v>
                </c:pt>
                <c:pt idx="7">
                  <c:v>96.579000000000178</c:v>
                </c:pt>
              </c:numCache>
            </c:numRef>
          </c:val>
          <c:extLst>
            <c:ext xmlns:c16="http://schemas.microsoft.com/office/drawing/2014/chart" uri="{C3380CC4-5D6E-409C-BE32-E72D297353CC}">
              <c16:uniqueId val="{00000002-D154-47D0-A475-7C91C97C8955}"/>
            </c:ext>
          </c:extLst>
        </c:ser>
        <c:dLbls>
          <c:showLegendKey val="0"/>
          <c:showVal val="0"/>
          <c:showCatName val="0"/>
          <c:showSerName val="0"/>
          <c:showPercent val="0"/>
          <c:showBubbleSize val="0"/>
        </c:dLbls>
        <c:gapWidth val="219"/>
        <c:overlap val="-27"/>
        <c:axId val="749532744"/>
        <c:axId val="749537992"/>
      </c:barChart>
      <c:catAx>
        <c:axId val="74953274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49537992"/>
        <c:crosses val="autoZero"/>
        <c:auto val="1"/>
        <c:lblAlgn val="ctr"/>
        <c:lblOffset val="100"/>
        <c:noMultiLvlLbl val="0"/>
      </c:catAx>
      <c:valAx>
        <c:axId val="74953799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4953274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'Earnings Snaps'!$A$109</c:f>
              <c:strCache>
                <c:ptCount val="1"/>
                <c:pt idx="0">
                  <c:v>Televisa</c:v>
                </c:pt>
              </c:strCache>
            </c:strRef>
          </c:tx>
          <c:spPr>
            <a:ln w="28575" cap="rnd">
              <a:solidFill>
                <a:srgbClr val="263238"/>
              </a:solidFill>
              <a:round/>
            </a:ln>
            <a:effectLst/>
          </c:spPr>
          <c:marker>
            <c:symbol val="none"/>
          </c:marker>
          <c:cat>
            <c:strRef>
              <c:f>'Earnings Snaps'!$AL$101:$AT$101</c:f>
              <c:strCache>
                <c:ptCount val="9"/>
                <c:pt idx="0">
                  <c:v>Q1 22</c:v>
                </c:pt>
                <c:pt idx="1">
                  <c:v>Q2 22</c:v>
                </c:pt>
                <c:pt idx="2">
                  <c:v>Q3 22</c:v>
                </c:pt>
                <c:pt idx="3">
                  <c:v>Q4 22</c:v>
                </c:pt>
                <c:pt idx="4">
                  <c:v>Q1 23</c:v>
                </c:pt>
                <c:pt idx="5">
                  <c:v>Q2 23</c:v>
                </c:pt>
                <c:pt idx="6">
                  <c:v>Q3 23</c:v>
                </c:pt>
                <c:pt idx="7">
                  <c:v>Q4 23</c:v>
                </c:pt>
                <c:pt idx="8">
                  <c:v>Q1 24</c:v>
                </c:pt>
              </c:strCache>
            </c:strRef>
          </c:cat>
          <c:val>
            <c:numRef>
              <c:f>'Earnings Snaps'!$AL$109:$AT$109</c:f>
              <c:numCache>
                <c:formatCode>0.0%</c:formatCode>
                <c:ptCount val="9"/>
                <c:pt idx="0">
                  <c:v>2.9930087287469487E-2</c:v>
                </c:pt>
                <c:pt idx="1">
                  <c:v>-1.3605306667197947E-2</c:v>
                </c:pt>
                <c:pt idx="2">
                  <c:v>-3.0032579721591568E-2</c:v>
                </c:pt>
                <c:pt idx="3">
                  <c:v>-5.7121025755712096E-2</c:v>
                </c:pt>
                <c:pt idx="4">
                  <c:v>-4.478541160404137E-3</c:v>
                </c:pt>
                <c:pt idx="5">
                  <c:v>-2.2294923058281957E-2</c:v>
                </c:pt>
                <c:pt idx="6">
                  <c:v>-0.12042993241592692</c:v>
                </c:pt>
                <c:pt idx="7">
                  <c:v>-7.0661949281521141E-2</c:v>
                </c:pt>
                <c:pt idx="8">
                  <c:v>-8.6999999999999994E-2</c:v>
                </c:pt>
              </c:numCache>
            </c:numRef>
          </c:val>
          <c:smooth val="0"/>
          <c:extLst>
            <c:ext xmlns:c16="http://schemas.microsoft.com/office/drawing/2014/chart" uri="{C3380CC4-5D6E-409C-BE32-E72D297353CC}">
              <c16:uniqueId val="{00000000-96AF-4D4E-A9CA-D5AA75EDF64E}"/>
            </c:ext>
          </c:extLst>
        </c:ser>
        <c:ser>
          <c:idx val="1"/>
          <c:order val="1"/>
          <c:tx>
            <c:strRef>
              <c:f>'Earnings Snaps'!$A$110</c:f>
              <c:strCache>
                <c:ptCount val="1"/>
                <c:pt idx="0">
                  <c:v>Televisa MSO</c:v>
                </c:pt>
              </c:strCache>
            </c:strRef>
          </c:tx>
          <c:spPr>
            <a:ln w="28575" cap="rnd">
              <a:solidFill>
                <a:srgbClr val="799098"/>
              </a:solidFill>
              <a:prstDash val="solid"/>
              <a:round/>
            </a:ln>
            <a:effectLst/>
          </c:spPr>
          <c:marker>
            <c:symbol val="none"/>
          </c:marker>
          <c:cat>
            <c:strRef>
              <c:f>'Earnings Snaps'!$AL$101:$AT$101</c:f>
              <c:strCache>
                <c:ptCount val="9"/>
                <c:pt idx="0">
                  <c:v>Q1 22</c:v>
                </c:pt>
                <c:pt idx="1">
                  <c:v>Q2 22</c:v>
                </c:pt>
                <c:pt idx="2">
                  <c:v>Q3 22</c:v>
                </c:pt>
                <c:pt idx="3">
                  <c:v>Q4 22</c:v>
                </c:pt>
                <c:pt idx="4">
                  <c:v>Q1 23</c:v>
                </c:pt>
                <c:pt idx="5">
                  <c:v>Q2 23</c:v>
                </c:pt>
                <c:pt idx="6">
                  <c:v>Q3 23</c:v>
                </c:pt>
                <c:pt idx="7">
                  <c:v>Q4 23</c:v>
                </c:pt>
                <c:pt idx="8">
                  <c:v>Q1 24</c:v>
                </c:pt>
              </c:strCache>
            </c:strRef>
          </c:cat>
          <c:val>
            <c:numRef>
              <c:f>'Earnings Snaps'!$AL$110:$AT$110</c:f>
              <c:numCache>
                <c:formatCode>0.0%</c:formatCode>
                <c:ptCount val="9"/>
                <c:pt idx="0">
                  <c:v>4.2647157227934773E-2</c:v>
                </c:pt>
                <c:pt idx="1">
                  <c:v>4.983574317831363E-2</c:v>
                </c:pt>
                <c:pt idx="2">
                  <c:v>2.9017759741676308E-3</c:v>
                </c:pt>
                <c:pt idx="3">
                  <c:v>1.0338210107096124E-2</c:v>
                </c:pt>
                <c:pt idx="4">
                  <c:v>1.4375869076906689E-2</c:v>
                </c:pt>
                <c:pt idx="5">
                  <c:v>-1.4347446622815396E-2</c:v>
                </c:pt>
                <c:pt idx="6">
                  <c:v>-7.3139426110035433E-2</c:v>
                </c:pt>
                <c:pt idx="7">
                  <c:v>-6.6745639475511709E-2</c:v>
                </c:pt>
                <c:pt idx="8">
                  <c:v>-0.10348507919100747</c:v>
                </c:pt>
              </c:numCache>
            </c:numRef>
          </c:val>
          <c:smooth val="0"/>
          <c:extLst>
            <c:ext xmlns:c16="http://schemas.microsoft.com/office/drawing/2014/chart" uri="{C3380CC4-5D6E-409C-BE32-E72D297353CC}">
              <c16:uniqueId val="{00000001-96AF-4D4E-A9CA-D5AA75EDF64E}"/>
            </c:ext>
          </c:extLst>
        </c:ser>
        <c:ser>
          <c:idx val="2"/>
          <c:order val="2"/>
          <c:tx>
            <c:strRef>
              <c:f>'Earnings Snaps'!$A$111</c:f>
              <c:strCache>
                <c:ptCount val="1"/>
                <c:pt idx="0">
                  <c:v>MEGA</c:v>
                </c:pt>
              </c:strCache>
            </c:strRef>
          </c:tx>
          <c:spPr>
            <a:ln w="28575" cap="rnd">
              <a:solidFill>
                <a:srgbClr val="F9663E"/>
              </a:solidFill>
              <a:round/>
            </a:ln>
            <a:effectLst/>
          </c:spPr>
          <c:marker>
            <c:symbol val="none"/>
          </c:marker>
          <c:cat>
            <c:strRef>
              <c:f>'Earnings Snaps'!$AL$101:$AT$101</c:f>
              <c:strCache>
                <c:ptCount val="9"/>
                <c:pt idx="0">
                  <c:v>Q1 22</c:v>
                </c:pt>
                <c:pt idx="1">
                  <c:v>Q2 22</c:v>
                </c:pt>
                <c:pt idx="2">
                  <c:v>Q3 22</c:v>
                </c:pt>
                <c:pt idx="3">
                  <c:v>Q4 22</c:v>
                </c:pt>
                <c:pt idx="4">
                  <c:v>Q1 23</c:v>
                </c:pt>
                <c:pt idx="5">
                  <c:v>Q2 23</c:v>
                </c:pt>
                <c:pt idx="6">
                  <c:v>Q3 23</c:v>
                </c:pt>
                <c:pt idx="7">
                  <c:v>Q4 23</c:v>
                </c:pt>
                <c:pt idx="8">
                  <c:v>Q1 24</c:v>
                </c:pt>
              </c:strCache>
            </c:strRef>
          </c:cat>
          <c:val>
            <c:numRef>
              <c:f>'Earnings Snaps'!$AL$111:$AT$111</c:f>
              <c:numCache>
                <c:formatCode>0.0%</c:formatCode>
                <c:ptCount val="9"/>
                <c:pt idx="0">
                  <c:v>7.8632397287918154E-2</c:v>
                </c:pt>
                <c:pt idx="1">
                  <c:v>8.0107822410147897E-2</c:v>
                </c:pt>
                <c:pt idx="2">
                  <c:v>4.6471352287487333E-2</c:v>
                </c:pt>
                <c:pt idx="3">
                  <c:v>2.9770583408494922E-3</c:v>
                </c:pt>
                <c:pt idx="4">
                  <c:v>8.0529148597552336E-3</c:v>
                </c:pt>
                <c:pt idx="5">
                  <c:v>9.2038549644968271E-3</c:v>
                </c:pt>
                <c:pt idx="6">
                  <c:v>5.3525631668893014E-2</c:v>
                </c:pt>
                <c:pt idx="7">
                  <c:v>0.11403042596348878</c:v>
                </c:pt>
                <c:pt idx="8">
                  <c:v>0.12387491360451675</c:v>
                </c:pt>
              </c:numCache>
            </c:numRef>
          </c:val>
          <c:smooth val="0"/>
          <c:extLst>
            <c:ext xmlns:c16="http://schemas.microsoft.com/office/drawing/2014/chart" uri="{C3380CC4-5D6E-409C-BE32-E72D297353CC}">
              <c16:uniqueId val="{00000002-96AF-4D4E-A9CA-D5AA75EDF64E}"/>
            </c:ext>
          </c:extLst>
        </c:ser>
        <c:ser>
          <c:idx val="3"/>
          <c:order val="3"/>
          <c:tx>
            <c:strRef>
              <c:f>'Earnings Snaps'!$A$112</c:f>
              <c:strCache>
                <c:ptCount val="1"/>
                <c:pt idx="0">
                  <c:v>Totalplay</c:v>
                </c:pt>
              </c:strCache>
            </c:strRef>
          </c:tx>
          <c:spPr>
            <a:ln w="28575" cap="rnd">
              <a:solidFill>
                <a:srgbClr val="08C47C"/>
              </a:solidFill>
              <a:round/>
            </a:ln>
            <a:effectLst/>
          </c:spPr>
          <c:marker>
            <c:symbol val="none"/>
          </c:marker>
          <c:cat>
            <c:strRef>
              <c:f>'Earnings Snaps'!$AL$101:$AT$101</c:f>
              <c:strCache>
                <c:ptCount val="9"/>
                <c:pt idx="0">
                  <c:v>Q1 22</c:v>
                </c:pt>
                <c:pt idx="1">
                  <c:v>Q2 22</c:v>
                </c:pt>
                <c:pt idx="2">
                  <c:v>Q3 22</c:v>
                </c:pt>
                <c:pt idx="3">
                  <c:v>Q4 22</c:v>
                </c:pt>
                <c:pt idx="4">
                  <c:v>Q1 23</c:v>
                </c:pt>
                <c:pt idx="5">
                  <c:v>Q2 23</c:v>
                </c:pt>
                <c:pt idx="6">
                  <c:v>Q3 23</c:v>
                </c:pt>
                <c:pt idx="7">
                  <c:v>Q4 23</c:v>
                </c:pt>
                <c:pt idx="8">
                  <c:v>Q1 24</c:v>
                </c:pt>
              </c:strCache>
            </c:strRef>
          </c:cat>
          <c:val>
            <c:numRef>
              <c:f>'Earnings Snaps'!$AL$112:$AT$112</c:f>
              <c:numCache>
                <c:formatCode>0.0%</c:formatCode>
                <c:ptCount val="9"/>
                <c:pt idx="0">
                  <c:v>0.39260366081434439</c:v>
                </c:pt>
                <c:pt idx="1">
                  <c:v>0.28677713899222179</c:v>
                </c:pt>
                <c:pt idx="2">
                  <c:v>0.32689790575916233</c:v>
                </c:pt>
                <c:pt idx="3">
                  <c:v>0.31462023416391482</c:v>
                </c:pt>
                <c:pt idx="4">
                  <c:v>0.18937768240343344</c:v>
                </c:pt>
                <c:pt idx="5">
                  <c:v>0.15032851511169509</c:v>
                </c:pt>
                <c:pt idx="6">
                  <c:v>0.1871763255240444</c:v>
                </c:pt>
                <c:pt idx="7">
                  <c:v>8.1525462434345775E-2</c:v>
                </c:pt>
                <c:pt idx="8">
                  <c:v>0.12494361750112759</c:v>
                </c:pt>
              </c:numCache>
            </c:numRef>
          </c:val>
          <c:smooth val="0"/>
          <c:extLst>
            <c:ext xmlns:c16="http://schemas.microsoft.com/office/drawing/2014/chart" uri="{C3380CC4-5D6E-409C-BE32-E72D297353CC}">
              <c16:uniqueId val="{00000003-96AF-4D4E-A9CA-D5AA75EDF64E}"/>
            </c:ext>
          </c:extLst>
        </c:ser>
        <c:dLbls>
          <c:showLegendKey val="0"/>
          <c:showVal val="0"/>
          <c:showCatName val="0"/>
          <c:showSerName val="0"/>
          <c:showPercent val="0"/>
          <c:showBubbleSize val="0"/>
        </c:dLbls>
        <c:smooth val="0"/>
        <c:axId val="1495160607"/>
        <c:axId val="1495161855"/>
      </c:lineChart>
      <c:catAx>
        <c:axId val="14951606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'Earnings Snaps'!$A$102</c:f>
              <c:strCache>
                <c:ptCount val="1"/>
                <c:pt idx="0">
                  <c:v>Televisa</c:v>
                </c:pt>
              </c:strCache>
            </c:strRef>
          </c:tx>
          <c:spPr>
            <a:ln w="28575" cap="rnd">
              <a:solidFill>
                <a:srgbClr val="263238"/>
              </a:solidFill>
              <a:round/>
            </a:ln>
            <a:effectLst/>
          </c:spPr>
          <c:marker>
            <c:symbol val="none"/>
          </c:marker>
          <c:cat>
            <c:strRef>
              <c:f>'Earnings Snaps'!$AL$101:$AT$101</c:f>
              <c:strCache>
                <c:ptCount val="9"/>
                <c:pt idx="0">
                  <c:v>Q1 22</c:v>
                </c:pt>
                <c:pt idx="1">
                  <c:v>Q2 22</c:v>
                </c:pt>
                <c:pt idx="2">
                  <c:v>Q3 22</c:v>
                </c:pt>
                <c:pt idx="3">
                  <c:v>Q4 22</c:v>
                </c:pt>
                <c:pt idx="4">
                  <c:v>Q1 23</c:v>
                </c:pt>
                <c:pt idx="5">
                  <c:v>Q2 23</c:v>
                </c:pt>
                <c:pt idx="6">
                  <c:v>Q3 23</c:v>
                </c:pt>
                <c:pt idx="7">
                  <c:v>Q4 23</c:v>
                </c:pt>
                <c:pt idx="8">
                  <c:v>Q1 24</c:v>
                </c:pt>
              </c:strCache>
            </c:strRef>
          </c:cat>
          <c:val>
            <c:numRef>
              <c:f>'Earnings Snaps'!$AL$102:$AT$102</c:f>
              <c:numCache>
                <c:formatCode>0.0%</c:formatCode>
                <c:ptCount val="9"/>
                <c:pt idx="0">
                  <c:v>1.0962189012118317E-2</c:v>
                </c:pt>
                <c:pt idx="1">
                  <c:v>-1.9329638779461922E-2</c:v>
                </c:pt>
                <c:pt idx="2">
                  <c:v>2.7132746589760171E-2</c:v>
                </c:pt>
                <c:pt idx="3">
                  <c:v>1.3589564255623632E-2</c:v>
                </c:pt>
                <c:pt idx="4">
                  <c:v>2.695582193231405E-2</c:v>
                </c:pt>
                <c:pt idx="5">
                  <c:v>4.6085106382978802E-2</c:v>
                </c:pt>
                <c:pt idx="6">
                  <c:v>-1.9856382120380878E-2</c:v>
                </c:pt>
                <c:pt idx="7">
                  <c:v>-1.7884508918183717E-2</c:v>
                </c:pt>
                <c:pt idx="8">
                  <c:v>-1.76528331147352E-2</c:v>
                </c:pt>
              </c:numCache>
            </c:numRef>
          </c:val>
          <c:smooth val="0"/>
          <c:extLst>
            <c:ext xmlns:c16="http://schemas.microsoft.com/office/drawing/2014/chart" uri="{C3380CC4-5D6E-409C-BE32-E72D297353CC}">
              <c16:uniqueId val="{00000000-96AF-4D4E-A9CA-D5AA75EDF64E}"/>
            </c:ext>
          </c:extLst>
        </c:ser>
        <c:ser>
          <c:idx val="1"/>
          <c:order val="1"/>
          <c:tx>
            <c:strRef>
              <c:f>'Earnings Snaps'!$A$103</c:f>
              <c:strCache>
                <c:ptCount val="1"/>
                <c:pt idx="0">
                  <c:v>Televisa MSO</c:v>
                </c:pt>
              </c:strCache>
            </c:strRef>
          </c:tx>
          <c:spPr>
            <a:ln w="28575" cap="rnd">
              <a:solidFill>
                <a:srgbClr val="799098"/>
              </a:solidFill>
              <a:prstDash val="solid"/>
              <a:round/>
            </a:ln>
            <a:effectLst/>
          </c:spPr>
          <c:marker>
            <c:symbol val="none"/>
          </c:marker>
          <c:cat>
            <c:strRef>
              <c:f>'Earnings Snaps'!$AL$101:$AT$101</c:f>
              <c:strCache>
                <c:ptCount val="9"/>
                <c:pt idx="0">
                  <c:v>Q1 22</c:v>
                </c:pt>
                <c:pt idx="1">
                  <c:v>Q2 22</c:v>
                </c:pt>
                <c:pt idx="2">
                  <c:v>Q3 22</c:v>
                </c:pt>
                <c:pt idx="3">
                  <c:v>Q4 22</c:v>
                </c:pt>
                <c:pt idx="4">
                  <c:v>Q1 23</c:v>
                </c:pt>
                <c:pt idx="5">
                  <c:v>Q2 23</c:v>
                </c:pt>
                <c:pt idx="6">
                  <c:v>Q3 23</c:v>
                </c:pt>
                <c:pt idx="7">
                  <c:v>Q4 23</c:v>
                </c:pt>
                <c:pt idx="8">
                  <c:v>Q1 24</c:v>
                </c:pt>
              </c:strCache>
            </c:strRef>
          </c:cat>
          <c:val>
            <c:numRef>
              <c:f>'Earnings Snaps'!$AL$103:$AT$103</c:f>
              <c:numCache>
                <c:formatCode>0.0%</c:formatCode>
                <c:ptCount val="9"/>
                <c:pt idx="0">
                  <c:v>3.3940413171020811E-2</c:v>
                </c:pt>
                <c:pt idx="1">
                  <c:v>3.7947125805749327E-2</c:v>
                </c:pt>
                <c:pt idx="2">
                  <c:v>1.9495518802550071E-2</c:v>
                </c:pt>
                <c:pt idx="3">
                  <c:v>9.1783018782449766E-3</c:v>
                </c:pt>
                <c:pt idx="4">
                  <c:v>4.0164131379036405E-2</c:v>
                </c:pt>
                <c:pt idx="5">
                  <c:v>4.3153133435470892E-2</c:v>
                </c:pt>
                <c:pt idx="6">
                  <c:v>1.7808591625883663E-2</c:v>
                </c:pt>
                <c:pt idx="7">
                  <c:v>-2.6485428525255816E-3</c:v>
                </c:pt>
                <c:pt idx="8">
                  <c:v>-3.649868505224263E-2</c:v>
                </c:pt>
              </c:numCache>
            </c:numRef>
          </c:val>
          <c:smooth val="0"/>
          <c:extLst>
            <c:ext xmlns:c16="http://schemas.microsoft.com/office/drawing/2014/chart" uri="{C3380CC4-5D6E-409C-BE32-E72D297353CC}">
              <c16:uniqueId val="{00000001-96AF-4D4E-A9CA-D5AA75EDF64E}"/>
            </c:ext>
          </c:extLst>
        </c:ser>
        <c:ser>
          <c:idx val="2"/>
          <c:order val="2"/>
          <c:tx>
            <c:strRef>
              <c:f>'Earnings Snaps'!$A$104</c:f>
              <c:strCache>
                <c:ptCount val="1"/>
                <c:pt idx="0">
                  <c:v>MEGA cable</c:v>
                </c:pt>
              </c:strCache>
            </c:strRef>
          </c:tx>
          <c:spPr>
            <a:ln w="28575" cap="rnd">
              <a:solidFill>
                <a:srgbClr val="F9663E"/>
              </a:solidFill>
              <a:round/>
            </a:ln>
            <a:effectLst/>
          </c:spPr>
          <c:marker>
            <c:symbol val="none"/>
          </c:marker>
          <c:cat>
            <c:strRef>
              <c:f>'Earnings Snaps'!$AL$101:$AT$101</c:f>
              <c:strCache>
                <c:ptCount val="9"/>
                <c:pt idx="0">
                  <c:v>Q1 22</c:v>
                </c:pt>
                <c:pt idx="1">
                  <c:v>Q2 22</c:v>
                </c:pt>
                <c:pt idx="2">
                  <c:v>Q3 22</c:v>
                </c:pt>
                <c:pt idx="3">
                  <c:v>Q4 22</c:v>
                </c:pt>
                <c:pt idx="4">
                  <c:v>Q1 23</c:v>
                </c:pt>
                <c:pt idx="5">
                  <c:v>Q2 23</c:v>
                </c:pt>
                <c:pt idx="6">
                  <c:v>Q3 23</c:v>
                </c:pt>
                <c:pt idx="7">
                  <c:v>Q4 23</c:v>
                </c:pt>
                <c:pt idx="8">
                  <c:v>Q1 24</c:v>
                </c:pt>
              </c:strCache>
            </c:strRef>
          </c:cat>
          <c:val>
            <c:numRef>
              <c:f>'Earnings Snaps'!$AL$104:$AT$104</c:f>
              <c:numCache>
                <c:formatCode>0.0%</c:formatCode>
                <c:ptCount val="9"/>
                <c:pt idx="0">
                  <c:v>0.10316272509113578</c:v>
                </c:pt>
                <c:pt idx="1">
                  <c:v>0.10100000000000001</c:v>
                </c:pt>
                <c:pt idx="2">
                  <c:v>9.0518041451565612E-2</c:v>
                </c:pt>
                <c:pt idx="3">
                  <c:v>6.6835881134052588E-2</c:v>
                </c:pt>
                <c:pt idx="4">
                  <c:v>8.2097888511479811E-2</c:v>
                </c:pt>
                <c:pt idx="5">
                  <c:v>0.10045330199814262</c:v>
                </c:pt>
                <c:pt idx="6">
                  <c:v>0.12617952559748669</c:v>
                </c:pt>
                <c:pt idx="7">
                  <c:v>0.1363249841471148</c:v>
                </c:pt>
                <c:pt idx="8">
                  <c:v>0.12489002836358964</c:v>
                </c:pt>
              </c:numCache>
            </c:numRef>
          </c:val>
          <c:smooth val="0"/>
          <c:extLst>
            <c:ext xmlns:c16="http://schemas.microsoft.com/office/drawing/2014/chart" uri="{C3380CC4-5D6E-409C-BE32-E72D297353CC}">
              <c16:uniqueId val="{00000002-96AF-4D4E-A9CA-D5AA75EDF64E}"/>
            </c:ext>
          </c:extLst>
        </c:ser>
        <c:ser>
          <c:idx val="3"/>
          <c:order val="3"/>
          <c:tx>
            <c:strRef>
              <c:f>'Earnings Snaps'!$A$105</c:f>
              <c:strCache>
                <c:ptCount val="1"/>
                <c:pt idx="0">
                  <c:v>Telmex</c:v>
                </c:pt>
              </c:strCache>
            </c:strRef>
          </c:tx>
          <c:spPr>
            <a:ln w="28575" cap="rnd">
              <a:solidFill>
                <a:srgbClr val="C7FE02"/>
              </a:solidFill>
              <a:round/>
            </a:ln>
            <a:effectLst/>
          </c:spPr>
          <c:marker>
            <c:symbol val="none"/>
          </c:marker>
          <c:cat>
            <c:strRef>
              <c:f>'Earnings Snaps'!$AL$101:$AT$101</c:f>
              <c:strCache>
                <c:ptCount val="9"/>
                <c:pt idx="0">
                  <c:v>Q1 22</c:v>
                </c:pt>
                <c:pt idx="1">
                  <c:v>Q2 22</c:v>
                </c:pt>
                <c:pt idx="2">
                  <c:v>Q3 22</c:v>
                </c:pt>
                <c:pt idx="3">
                  <c:v>Q4 22</c:v>
                </c:pt>
                <c:pt idx="4">
                  <c:v>Q1 23</c:v>
                </c:pt>
                <c:pt idx="5">
                  <c:v>Q2 23</c:v>
                </c:pt>
                <c:pt idx="6">
                  <c:v>Q3 23</c:v>
                </c:pt>
                <c:pt idx="7">
                  <c:v>Q4 23</c:v>
                </c:pt>
                <c:pt idx="8">
                  <c:v>Q1 24</c:v>
                </c:pt>
              </c:strCache>
            </c:strRef>
          </c:cat>
          <c:val>
            <c:numRef>
              <c:f>'Earnings Snaps'!$AL$105:$AT$105</c:f>
              <c:numCache>
                <c:formatCode>0.0%</c:formatCode>
                <c:ptCount val="9"/>
                <c:pt idx="0">
                  <c:v>-3.1724355270760007E-2</c:v>
                </c:pt>
                <c:pt idx="1">
                  <c:v>-2.5000000000000001E-2</c:v>
                </c:pt>
                <c:pt idx="2">
                  <c:v>2.6353238813050517E-3</c:v>
                </c:pt>
                <c:pt idx="3">
                  <c:v>-1.2732870636121718E-2</c:v>
                </c:pt>
                <c:pt idx="4">
                  <c:v>4.1117439652834209E-2</c:v>
                </c:pt>
                <c:pt idx="5">
                  <c:v>5.589189189189181E-2</c:v>
                </c:pt>
                <c:pt idx="6">
                  <c:v>3.5903905798244207E-2</c:v>
                </c:pt>
                <c:pt idx="7">
                  <c:v>5.9358317035784092E-2</c:v>
                </c:pt>
                <c:pt idx="8">
                  <c:v>9.717084353670602E-2</c:v>
                </c:pt>
              </c:numCache>
            </c:numRef>
          </c:val>
          <c:smooth val="0"/>
          <c:extLst>
            <c:ext xmlns:c16="http://schemas.microsoft.com/office/drawing/2014/chart" uri="{C3380CC4-5D6E-409C-BE32-E72D297353CC}">
              <c16:uniqueId val="{00000003-96AF-4D4E-A9CA-D5AA75EDF64E}"/>
            </c:ext>
          </c:extLst>
        </c:ser>
        <c:ser>
          <c:idx val="4"/>
          <c:order val="4"/>
          <c:tx>
            <c:strRef>
              <c:f>'Earnings Snaps'!$A$106</c:f>
              <c:strCache>
                <c:ptCount val="1"/>
                <c:pt idx="0">
                  <c:v>Totalplay Residential</c:v>
                </c:pt>
              </c:strCache>
            </c:strRef>
          </c:tx>
          <c:spPr>
            <a:ln w="28575" cap="rnd">
              <a:solidFill>
                <a:schemeClr val="accent5"/>
              </a:solidFill>
              <a:round/>
            </a:ln>
            <a:effectLst/>
          </c:spPr>
          <c:marker>
            <c:symbol val="none"/>
          </c:marker>
          <c:cat>
            <c:strRef>
              <c:f>'Earnings Snaps'!$AL$101:$AT$101</c:f>
              <c:strCache>
                <c:ptCount val="9"/>
                <c:pt idx="0">
                  <c:v>Q1 22</c:v>
                </c:pt>
                <c:pt idx="1">
                  <c:v>Q2 22</c:v>
                </c:pt>
                <c:pt idx="2">
                  <c:v>Q3 22</c:v>
                </c:pt>
                <c:pt idx="3">
                  <c:v>Q4 22</c:v>
                </c:pt>
                <c:pt idx="4">
                  <c:v>Q1 23</c:v>
                </c:pt>
                <c:pt idx="5">
                  <c:v>Q2 23</c:v>
                </c:pt>
                <c:pt idx="6">
                  <c:v>Q3 23</c:v>
                </c:pt>
                <c:pt idx="7">
                  <c:v>Q4 23</c:v>
                </c:pt>
                <c:pt idx="8">
                  <c:v>Q1 24</c:v>
                </c:pt>
              </c:strCache>
            </c:strRef>
          </c:cat>
          <c:val>
            <c:numRef>
              <c:f>'Earnings Snaps'!$AL$106:$AT$106</c:f>
              <c:numCache>
                <c:formatCode>0.0%</c:formatCode>
                <c:ptCount val="9"/>
                <c:pt idx="0">
                  <c:v>0.44080183754437252</c:v>
                </c:pt>
                <c:pt idx="1">
                  <c:v>0.39863065804488396</c:v>
                </c:pt>
                <c:pt idx="2">
                  <c:v>0.40641711229946531</c:v>
                </c:pt>
                <c:pt idx="3">
                  <c:v>0.37559377559377549</c:v>
                </c:pt>
                <c:pt idx="4">
                  <c:v>0.18840579710144922</c:v>
                </c:pt>
                <c:pt idx="5">
                  <c:v>0.15868914876257811</c:v>
                </c:pt>
                <c:pt idx="6">
                  <c:v>0.1212927756653992</c:v>
                </c:pt>
                <c:pt idx="7">
                  <c:v>6.5134555846630082E-2</c:v>
                </c:pt>
                <c:pt idx="8">
                  <c:v>0.1</c:v>
                </c:pt>
              </c:numCache>
            </c:numRef>
          </c:val>
          <c:smooth val="0"/>
          <c:extLst>
            <c:ext xmlns:c16="http://schemas.microsoft.com/office/drawing/2014/chart" uri="{C3380CC4-5D6E-409C-BE32-E72D297353CC}">
              <c16:uniqueId val="{00000006-E8AA-4807-AC22-D02B510A42E6}"/>
            </c:ext>
          </c:extLst>
        </c:ser>
        <c:dLbls>
          <c:showLegendKey val="0"/>
          <c:showVal val="0"/>
          <c:showCatName val="0"/>
          <c:showSerName val="0"/>
          <c:showPercent val="0"/>
          <c:showBubbleSize val="0"/>
        </c:dLbls>
        <c:smooth val="0"/>
        <c:axId val="1495160607"/>
        <c:axId val="1495161855"/>
      </c:lineChart>
      <c:catAx>
        <c:axId val="14951606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'Earnings Snaps'!$AX$89</c:f>
              <c:strCache>
                <c:ptCount val="1"/>
                <c:pt idx="0">
                  <c:v>Televisa</c:v>
                </c:pt>
              </c:strCache>
            </c:strRef>
          </c:tx>
          <c:spPr>
            <a:solidFill>
              <a:srgbClr val="263238"/>
            </a:solidFill>
            <a:ln w="25400">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Snaps'!$BI$88:$BU$88</c:f>
              <c:strCache>
                <c:ptCount val="13"/>
                <c:pt idx="0">
                  <c:v>Q1 20</c:v>
                </c:pt>
                <c:pt idx="1">
                  <c:v>Q2 20</c:v>
                </c:pt>
                <c:pt idx="2">
                  <c:v>Q3 20</c:v>
                </c:pt>
                <c:pt idx="3">
                  <c:v>Q4 20</c:v>
                </c:pt>
                <c:pt idx="4">
                  <c:v>Q1 21</c:v>
                </c:pt>
                <c:pt idx="5">
                  <c:v>Q2 21</c:v>
                </c:pt>
                <c:pt idx="6">
                  <c:v>Q3 21</c:v>
                </c:pt>
                <c:pt idx="7">
                  <c:v>Q4 21</c:v>
                </c:pt>
                <c:pt idx="8">
                  <c:v>Q1 22</c:v>
                </c:pt>
                <c:pt idx="9">
                  <c:v>Q2 22</c:v>
                </c:pt>
                <c:pt idx="10">
                  <c:v>Q3 22</c:v>
                </c:pt>
                <c:pt idx="11">
                  <c:v>Q4 22</c:v>
                </c:pt>
                <c:pt idx="12">
                  <c:v>Q1 23</c:v>
                </c:pt>
              </c:strCache>
            </c:strRef>
          </c:cat>
          <c:val>
            <c:numRef>
              <c:f>'Earnings Snaps'!$BI$89:$BU$89</c:f>
              <c:numCache>
                <c:formatCode>0</c:formatCode>
                <c:ptCount val="13"/>
                <c:pt idx="0">
                  <c:v>121.04899999999998</c:v>
                </c:pt>
                <c:pt idx="1">
                  <c:v>252.17399999999998</c:v>
                </c:pt>
                <c:pt idx="2">
                  <c:v>233.96799999999985</c:v>
                </c:pt>
                <c:pt idx="3">
                  <c:v>127.61400000000049</c:v>
                </c:pt>
                <c:pt idx="4">
                  <c:v>103.96000000000004</c:v>
                </c:pt>
                <c:pt idx="5">
                  <c:v>31.368999999999687</c:v>
                </c:pt>
                <c:pt idx="6">
                  <c:v>24.595000000000255</c:v>
                </c:pt>
                <c:pt idx="7">
                  <c:v>58.318999999999505</c:v>
                </c:pt>
                <c:pt idx="8">
                  <c:v>82.923999999999978</c:v>
                </c:pt>
                <c:pt idx="9">
                  <c:v>77.564000000000306</c:v>
                </c:pt>
                <c:pt idx="10">
                  <c:v>96.233999999999469</c:v>
                </c:pt>
                <c:pt idx="11">
                  <c:v>78.327000000000226</c:v>
                </c:pt>
                <c:pt idx="12">
                  <c:v>84.71100000000024</c:v>
                </c:pt>
              </c:numCache>
            </c:numRef>
          </c:val>
          <c:extLst>
            <c:ext xmlns:c16="http://schemas.microsoft.com/office/drawing/2014/chart" uri="{C3380CC4-5D6E-409C-BE32-E72D297353CC}">
              <c16:uniqueId val="{00000000-3979-47D0-9BAC-FB0441BAAD11}"/>
            </c:ext>
          </c:extLst>
        </c:ser>
        <c:ser>
          <c:idx val="1"/>
          <c:order val="1"/>
          <c:tx>
            <c:strRef>
              <c:f>'Earnings Snaps'!$AX$90</c:f>
              <c:strCache>
                <c:ptCount val="1"/>
                <c:pt idx="0">
                  <c:v>MEGA</c:v>
                </c:pt>
              </c:strCache>
            </c:strRef>
          </c:tx>
          <c:spPr>
            <a:solidFill>
              <a:srgbClr val="799098"/>
            </a:solidFill>
            <a:ln w="25400">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Snaps'!$BI$88:$BU$88</c:f>
              <c:strCache>
                <c:ptCount val="13"/>
                <c:pt idx="0">
                  <c:v>Q1 20</c:v>
                </c:pt>
                <c:pt idx="1">
                  <c:v>Q2 20</c:v>
                </c:pt>
                <c:pt idx="2">
                  <c:v>Q3 20</c:v>
                </c:pt>
                <c:pt idx="3">
                  <c:v>Q4 20</c:v>
                </c:pt>
                <c:pt idx="4">
                  <c:v>Q1 21</c:v>
                </c:pt>
                <c:pt idx="5">
                  <c:v>Q2 21</c:v>
                </c:pt>
                <c:pt idx="6">
                  <c:v>Q3 21</c:v>
                </c:pt>
                <c:pt idx="7">
                  <c:v>Q4 21</c:v>
                </c:pt>
                <c:pt idx="8">
                  <c:v>Q1 22</c:v>
                </c:pt>
                <c:pt idx="9">
                  <c:v>Q2 22</c:v>
                </c:pt>
                <c:pt idx="10">
                  <c:v>Q3 22</c:v>
                </c:pt>
                <c:pt idx="11">
                  <c:v>Q4 22</c:v>
                </c:pt>
                <c:pt idx="12">
                  <c:v>Q1 23</c:v>
                </c:pt>
              </c:strCache>
            </c:strRef>
          </c:cat>
          <c:val>
            <c:numRef>
              <c:f>'Earnings Snaps'!$BI$90:$BU$90</c:f>
              <c:numCache>
                <c:formatCode>0</c:formatCode>
                <c:ptCount val="13"/>
                <c:pt idx="0">
                  <c:v>48.752999999999702</c:v>
                </c:pt>
                <c:pt idx="1">
                  <c:v>83.019000000000233</c:v>
                </c:pt>
                <c:pt idx="2">
                  <c:v>184.5949999999998</c:v>
                </c:pt>
                <c:pt idx="3">
                  <c:v>96.329000000000178</c:v>
                </c:pt>
                <c:pt idx="4">
                  <c:v>79.415999999999713</c:v>
                </c:pt>
                <c:pt idx="5">
                  <c:v>58.160000000000309</c:v>
                </c:pt>
                <c:pt idx="6">
                  <c:v>105</c:v>
                </c:pt>
                <c:pt idx="7">
                  <c:v>80.981000000000222</c:v>
                </c:pt>
                <c:pt idx="8">
                  <c:v>59.403999999999996</c:v>
                </c:pt>
                <c:pt idx="9">
                  <c:v>19.177999999999884</c:v>
                </c:pt>
                <c:pt idx="10">
                  <c:v>100.65700000000015</c:v>
                </c:pt>
                <c:pt idx="11">
                  <c:v>124.72799999999961</c:v>
                </c:pt>
                <c:pt idx="12">
                  <c:v>147.30500000000029</c:v>
                </c:pt>
              </c:numCache>
            </c:numRef>
          </c:val>
          <c:extLst>
            <c:ext xmlns:c16="http://schemas.microsoft.com/office/drawing/2014/chart" uri="{C3380CC4-5D6E-409C-BE32-E72D297353CC}">
              <c16:uniqueId val="{00000001-3979-47D0-9BAC-FB0441BAAD11}"/>
            </c:ext>
          </c:extLst>
        </c:ser>
        <c:dLbls>
          <c:dLblPos val="outEnd"/>
          <c:showLegendKey val="0"/>
          <c:showVal val="1"/>
          <c:showCatName val="0"/>
          <c:showSerName val="0"/>
          <c:showPercent val="0"/>
          <c:showBubbleSize val="0"/>
        </c:dLbls>
        <c:gapWidth val="30"/>
        <c:overlap val="-27"/>
        <c:axId val="1000432832"/>
        <c:axId val="954181136"/>
      </c:barChart>
      <c:catAx>
        <c:axId val="1000432832"/>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954181136"/>
        <c:crosses val="autoZero"/>
        <c:auto val="1"/>
        <c:lblAlgn val="ctr"/>
        <c:lblOffset val="100"/>
        <c:noMultiLvlLbl val="0"/>
      </c:catAx>
      <c:valAx>
        <c:axId val="954181136"/>
        <c:scaling>
          <c:orientation val="minMax"/>
        </c:scaling>
        <c:delete val="1"/>
        <c:axPos val="l"/>
        <c:title>
          <c:tx>
            <c:rich>
              <a:bodyPr rot="-54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r>
                  <a:rPr lang="en-US"/>
                  <a:t>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title>
        <c:numFmt formatCode="0" sourceLinked="1"/>
        <c:majorTickMark val="out"/>
        <c:minorTickMark val="none"/>
        <c:tickLblPos val="nextTo"/>
        <c:crossAx val="100043283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353232319258312E-2"/>
          <c:y val="3.5531866514128048E-2"/>
          <c:w val="0.95988192593175448"/>
          <c:h val="0.85179981493925505"/>
        </c:manualLayout>
      </c:layout>
      <c:lineChart>
        <c:grouping val="standard"/>
        <c:varyColors val="0"/>
        <c:ser>
          <c:idx val="0"/>
          <c:order val="0"/>
          <c:tx>
            <c:strRef>
              <c:f>'Earnings Snaps'!$A$137</c:f>
              <c:strCache>
                <c:ptCount val="1"/>
                <c:pt idx="0">
                  <c:v>Retail</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Snaps'!$AD$136:$AT$136</c:f>
              <c:strCache>
                <c:ptCount val="17"/>
                <c:pt idx="0">
                  <c:v>Q1 20</c:v>
                </c:pt>
                <c:pt idx="1">
                  <c:v>Q2 20</c:v>
                </c:pt>
                <c:pt idx="2">
                  <c:v>Q3 20</c:v>
                </c:pt>
                <c:pt idx="3">
                  <c:v>Q4 20</c:v>
                </c:pt>
                <c:pt idx="4">
                  <c:v>Q1 21</c:v>
                </c:pt>
                <c:pt idx="5">
                  <c:v>Q2 21</c:v>
                </c:pt>
                <c:pt idx="6">
                  <c:v>Q3 21</c:v>
                </c:pt>
                <c:pt idx="7">
                  <c:v>Q4 21</c:v>
                </c:pt>
                <c:pt idx="8">
                  <c:v>Q1 22</c:v>
                </c:pt>
                <c:pt idx="9">
                  <c:v>Q2 22</c:v>
                </c:pt>
                <c:pt idx="10">
                  <c:v>Q3 22</c:v>
                </c:pt>
                <c:pt idx="11">
                  <c:v>Q4 22</c:v>
                </c:pt>
                <c:pt idx="12">
                  <c:v>Q1 23</c:v>
                </c:pt>
                <c:pt idx="13">
                  <c:v>Q2 23</c:v>
                </c:pt>
                <c:pt idx="14">
                  <c:v>Q3 23</c:v>
                </c:pt>
                <c:pt idx="15">
                  <c:v>Q4 23</c:v>
                </c:pt>
                <c:pt idx="16">
                  <c:v>Q1 24</c:v>
                </c:pt>
              </c:strCache>
            </c:strRef>
          </c:cat>
          <c:val>
            <c:numRef>
              <c:f>'Earnings Snaps'!$AD$137:$AT$137</c:f>
              <c:numCache>
                <c:formatCode>0.0%</c:formatCode>
                <c:ptCount val="17"/>
                <c:pt idx="0">
                  <c:v>9.9344166234702769E-2</c:v>
                </c:pt>
                <c:pt idx="1">
                  <c:v>7.7261088447183379E-2</c:v>
                </c:pt>
                <c:pt idx="2">
                  <c:v>6.4932630833628435E-2</c:v>
                </c:pt>
                <c:pt idx="3">
                  <c:v>7.4329908477792861E-2</c:v>
                </c:pt>
                <c:pt idx="4">
                  <c:v>7.2736218454662938E-2</c:v>
                </c:pt>
                <c:pt idx="5">
                  <c:v>6.4035290918430077E-2</c:v>
                </c:pt>
                <c:pt idx="6">
                  <c:v>5.823571973326569E-2</c:v>
                </c:pt>
                <c:pt idx="7">
                  <c:v>4.8198377875282583E-2</c:v>
                </c:pt>
                <c:pt idx="8">
                  <c:v>3.3940413171020811E-2</c:v>
                </c:pt>
                <c:pt idx="9">
                  <c:v>3.7947125805749327E-2</c:v>
                </c:pt>
                <c:pt idx="10">
                  <c:v>1.9495518802550071E-2</c:v>
                </c:pt>
                <c:pt idx="11">
                  <c:v>9.1783018782449766E-3</c:v>
                </c:pt>
                <c:pt idx="12">
                  <c:v>4.0164131379036405E-2</c:v>
                </c:pt>
                <c:pt idx="13">
                  <c:v>4.3153133435470892E-2</c:v>
                </c:pt>
                <c:pt idx="14">
                  <c:v>1.7808591625883663E-2</c:v>
                </c:pt>
                <c:pt idx="15">
                  <c:v>-2.6485428525255816E-3</c:v>
                </c:pt>
                <c:pt idx="16">
                  <c:v>-3.649868505224263E-2</c:v>
                </c:pt>
              </c:numCache>
            </c:numRef>
          </c:val>
          <c:smooth val="0"/>
          <c:extLst>
            <c:ext xmlns:c16="http://schemas.microsoft.com/office/drawing/2014/chart" uri="{C3380CC4-5D6E-409C-BE32-E72D297353CC}">
              <c16:uniqueId val="{00000000-A530-412B-A294-D6F26595B46D}"/>
            </c:ext>
          </c:extLst>
        </c:ser>
        <c:ser>
          <c:idx val="1"/>
          <c:order val="1"/>
          <c:tx>
            <c:strRef>
              <c:f>'Earnings Snaps'!$A$138</c:f>
              <c:strCache>
                <c:ptCount val="1"/>
                <c:pt idx="0">
                  <c:v>Wholesale</c:v>
                </c:pt>
              </c:strCache>
            </c:strRef>
          </c:tx>
          <c:spPr>
            <a:ln w="25400" cap="rnd">
              <a:solidFill>
                <a:srgbClr val="F9663E"/>
              </a:solidFill>
              <a:prstDash val="solid"/>
              <a:round/>
            </a:ln>
            <a:effectLst/>
          </c:spPr>
          <c:marker>
            <c:symbol val="none"/>
          </c:marker>
          <c:dLbls>
            <c:dLbl>
              <c:idx val="0"/>
              <c:layout>
                <c:manualLayout>
                  <c:x val="-5.281539385089274E-2"/>
                  <c:y val="-4.29580929258642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30-412B-A294-D6F26595B46D}"/>
                </c:ext>
              </c:extLst>
            </c:dLbl>
            <c:dLbl>
              <c:idx val="3"/>
              <c:layout>
                <c:manualLayout>
                  <c:x val="-2.7724945465670538E-2"/>
                  <c:y val="-7.04512723984173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30-412B-A294-D6F26595B46D}"/>
                </c:ext>
              </c:extLst>
            </c:dLbl>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'Earnings Snaps'!$AD$136:$AT$136</c:f>
              <c:strCache>
                <c:ptCount val="17"/>
                <c:pt idx="0">
                  <c:v>Q1 20</c:v>
                </c:pt>
                <c:pt idx="1">
                  <c:v>Q2 20</c:v>
                </c:pt>
                <c:pt idx="2">
                  <c:v>Q3 20</c:v>
                </c:pt>
                <c:pt idx="3">
                  <c:v>Q4 20</c:v>
                </c:pt>
                <c:pt idx="4">
                  <c:v>Q1 21</c:v>
                </c:pt>
                <c:pt idx="5">
                  <c:v>Q2 21</c:v>
                </c:pt>
                <c:pt idx="6">
                  <c:v>Q3 21</c:v>
                </c:pt>
                <c:pt idx="7">
                  <c:v>Q4 21</c:v>
                </c:pt>
                <c:pt idx="8">
                  <c:v>Q1 22</c:v>
                </c:pt>
                <c:pt idx="9">
                  <c:v>Q2 22</c:v>
                </c:pt>
                <c:pt idx="10">
                  <c:v>Q3 22</c:v>
                </c:pt>
                <c:pt idx="11">
                  <c:v>Q4 22</c:v>
                </c:pt>
                <c:pt idx="12">
                  <c:v>Q1 23</c:v>
                </c:pt>
                <c:pt idx="13">
                  <c:v>Q2 23</c:v>
                </c:pt>
                <c:pt idx="14">
                  <c:v>Q3 23</c:v>
                </c:pt>
                <c:pt idx="15">
                  <c:v>Q4 23</c:v>
                </c:pt>
                <c:pt idx="16">
                  <c:v>Q1 24</c:v>
                </c:pt>
              </c:strCache>
            </c:strRef>
          </c:cat>
          <c:val>
            <c:numRef>
              <c:f>'Earnings Snaps'!$AD$138:$AT$138</c:f>
              <c:numCache>
                <c:formatCode>0.0%</c:formatCode>
                <c:ptCount val="17"/>
                <c:pt idx="0">
                  <c:v>6.4388773239537844E-2</c:v>
                </c:pt>
                <c:pt idx="1">
                  <c:v>0.26627972819932055</c:v>
                </c:pt>
                <c:pt idx="2">
                  <c:v>0.20609306531265204</c:v>
                </c:pt>
                <c:pt idx="3">
                  <c:v>9.0190067443286281E-2</c:v>
                </c:pt>
                <c:pt idx="4">
                  <c:v>0.14668195306177512</c:v>
                </c:pt>
                <c:pt idx="5">
                  <c:v>4.2537730575740618E-2</c:v>
                </c:pt>
                <c:pt idx="6">
                  <c:v>5.9976931949250467E-3</c:v>
                </c:pt>
                <c:pt idx="7">
                  <c:v>0.10359372363759123</c:v>
                </c:pt>
                <c:pt idx="8">
                  <c:v>-0.10109980591660284</c:v>
                </c:pt>
                <c:pt idx="9">
                  <c:v>-0.18760388182939247</c:v>
                </c:pt>
                <c:pt idx="10">
                  <c:v>3.8179316670488461E-2</c:v>
                </c:pt>
                <c:pt idx="11">
                  <c:v>-4.8514498292820063E-2</c:v>
                </c:pt>
                <c:pt idx="12">
                  <c:v>-4.0499869144203116E-2</c:v>
                </c:pt>
                <c:pt idx="13">
                  <c:v>-7.9989440337909223E-2</c:v>
                </c:pt>
                <c:pt idx="14">
                  <c:v>-0.24014356709000562</c:v>
                </c:pt>
                <c:pt idx="15">
                  <c:v>-0.16067698569974831</c:v>
                </c:pt>
                <c:pt idx="16">
                  <c:v>-0.27425843845891584</c:v>
                </c:pt>
              </c:numCache>
            </c:numRef>
          </c:val>
          <c:smooth val="0"/>
          <c:extLst>
            <c:ext xmlns:c16="http://schemas.microsoft.com/office/drawing/2014/chart" uri="{C3380CC4-5D6E-409C-BE32-E72D297353CC}">
              <c16:uniqueId val="{00000001-A530-412B-A294-D6F26595B46D}"/>
            </c:ext>
          </c:extLst>
        </c:ser>
        <c:ser>
          <c:idx val="2"/>
          <c:order val="2"/>
          <c:tx>
            <c:strRef>
              <c:f>'Earnings Snaps'!$A$139</c:f>
              <c:strCache>
                <c:ptCount val="1"/>
                <c:pt idx="0">
                  <c:v>Total Cable (gross)</c:v>
                </c:pt>
              </c:strCache>
            </c:strRef>
          </c:tx>
          <c:spPr>
            <a:ln w="25400" cap="rnd">
              <a:solidFill>
                <a:srgbClr val="C7FE02"/>
              </a:solidFill>
              <a:prstDash val="solid"/>
              <a:round/>
            </a:ln>
            <a:effectLst/>
          </c:spPr>
          <c:marker>
            <c:symbol val="none"/>
          </c:marker>
          <c:dLbls>
            <c:dLbl>
              <c:idx val="8"/>
              <c:layout>
                <c:manualLayout>
                  <c:x val="-2.7724945465670538E-2"/>
                  <c:y val="2.233820832144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30-412B-A294-D6F26595B46D}"/>
                </c:ext>
              </c:extLst>
            </c:dLbl>
            <c:dLbl>
              <c:idx val="9"/>
              <c:layout>
                <c:manualLayout>
                  <c:x val="-2.4821622152523527E-2"/>
                  <c:y val="-2.57748557555185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30-412B-A294-D6F26595B46D}"/>
                </c:ext>
              </c:extLst>
            </c:dLbl>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'Earnings Snaps'!$AD$136:$AT$136</c:f>
              <c:strCache>
                <c:ptCount val="17"/>
                <c:pt idx="0">
                  <c:v>Q1 20</c:v>
                </c:pt>
                <c:pt idx="1">
                  <c:v>Q2 20</c:v>
                </c:pt>
                <c:pt idx="2">
                  <c:v>Q3 20</c:v>
                </c:pt>
                <c:pt idx="3">
                  <c:v>Q4 20</c:v>
                </c:pt>
                <c:pt idx="4">
                  <c:v>Q1 21</c:v>
                </c:pt>
                <c:pt idx="5">
                  <c:v>Q2 21</c:v>
                </c:pt>
                <c:pt idx="6">
                  <c:v>Q3 21</c:v>
                </c:pt>
                <c:pt idx="7">
                  <c:v>Q4 21</c:v>
                </c:pt>
                <c:pt idx="8">
                  <c:v>Q1 22</c:v>
                </c:pt>
                <c:pt idx="9">
                  <c:v>Q2 22</c:v>
                </c:pt>
                <c:pt idx="10">
                  <c:v>Q3 22</c:v>
                </c:pt>
                <c:pt idx="11">
                  <c:v>Q4 22</c:v>
                </c:pt>
                <c:pt idx="12">
                  <c:v>Q1 23</c:v>
                </c:pt>
                <c:pt idx="13">
                  <c:v>Q2 23</c:v>
                </c:pt>
                <c:pt idx="14">
                  <c:v>Q3 23</c:v>
                </c:pt>
                <c:pt idx="15">
                  <c:v>Q4 23</c:v>
                </c:pt>
                <c:pt idx="16">
                  <c:v>Q1 24</c:v>
                </c:pt>
              </c:strCache>
            </c:strRef>
          </c:cat>
          <c:val>
            <c:numRef>
              <c:f>'Earnings Snaps'!$AD$139:$AT$139</c:f>
              <c:numCache>
                <c:formatCode>0.0%</c:formatCode>
                <c:ptCount val="17"/>
                <c:pt idx="0">
                  <c:v>9.460130706222647E-2</c:v>
                </c:pt>
                <c:pt idx="1">
                  <c:v>0.10238390908406725</c:v>
                </c:pt>
                <c:pt idx="2">
                  <c:v>8.3312955667255384E-2</c:v>
                </c:pt>
                <c:pt idx="3">
                  <c:v>7.6592692378344873E-2</c:v>
                </c:pt>
                <c:pt idx="4">
                  <c:v>8.2492481269909046E-2</c:v>
                </c:pt>
                <c:pt idx="5">
                  <c:v>6.0753206632587986E-2</c:v>
                </c:pt>
                <c:pt idx="6">
                  <c:v>5.0662965873560006E-2</c:v>
                </c:pt>
                <c:pt idx="7">
                  <c:v>5.620150314848682E-2</c:v>
                </c:pt>
                <c:pt idx="8">
                  <c:v>1.506695052483642E-2</c:v>
                </c:pt>
                <c:pt idx="9">
                  <c:v>4.1030426877344262E-3</c:v>
                </c:pt>
                <c:pt idx="10">
                  <c:v>2.2088896669159919E-2</c:v>
                </c:pt>
                <c:pt idx="11">
                  <c:v>4.6925964674748855E-4</c:v>
                </c:pt>
                <c:pt idx="12">
                  <c:v>3.0180581423597141E-2</c:v>
                </c:pt>
                <c:pt idx="13">
                  <c:v>2.8203320299980517E-2</c:v>
                </c:pt>
                <c:pt idx="14">
                  <c:v>-1.8559750875827175E-2</c:v>
                </c:pt>
                <c:pt idx="15">
                  <c:v>-2.5335824625345005E-2</c:v>
                </c:pt>
                <c:pt idx="16">
                  <c:v>-6.3906553369439734E-2</c:v>
                </c:pt>
              </c:numCache>
            </c:numRef>
          </c:val>
          <c:smooth val="0"/>
          <c:extLst>
            <c:ext xmlns:c16="http://schemas.microsoft.com/office/drawing/2014/chart" uri="{C3380CC4-5D6E-409C-BE32-E72D297353CC}">
              <c16:uniqueId val="{00000002-A530-412B-A294-D6F26595B46D}"/>
            </c:ext>
          </c:extLst>
        </c:ser>
        <c:dLbls>
          <c:showLegendKey val="0"/>
          <c:showVal val="0"/>
          <c:showCatName val="0"/>
          <c:showSerName val="0"/>
          <c:showPercent val="0"/>
          <c:showBubbleSize val="0"/>
        </c:dLbls>
        <c:smooth val="0"/>
        <c:axId val="35666880"/>
        <c:axId val="35649408"/>
      </c:lineChart>
      <c:catAx>
        <c:axId val="35666880"/>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35649408"/>
        <c:crosses val="autoZero"/>
        <c:auto val="1"/>
        <c:lblAlgn val="ctr"/>
        <c:lblOffset val="100"/>
        <c:noMultiLvlLbl val="0"/>
      </c:catAx>
      <c:valAx>
        <c:axId val="35649408"/>
        <c:scaling>
          <c:orientation val="minMax"/>
        </c:scaling>
        <c:delete val="1"/>
        <c:axPos val="l"/>
        <c:numFmt formatCode="0.0%" sourceLinked="1"/>
        <c:majorTickMark val="out"/>
        <c:minorTickMark val="none"/>
        <c:tickLblPos val="nextTo"/>
        <c:crossAx val="3566688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14382785956965E-2"/>
          <c:y val="4.4897959183673466E-2"/>
          <c:w val="0.9377123442808607"/>
          <c:h val="0.72361947613691147"/>
        </c:manualLayout>
      </c:layout>
      <c:lineChart>
        <c:grouping val="standard"/>
        <c:varyColors val="0"/>
        <c:ser>
          <c:idx val="0"/>
          <c:order val="0"/>
          <c:tx>
            <c:strRef>
              <c:f>'Earnings Snaps'!$A$9</c:f>
              <c:strCache>
                <c:ptCount val="1"/>
                <c:pt idx="0">
                  <c:v>Revenue, y/y</c:v>
                </c:pt>
              </c:strCache>
            </c:strRef>
          </c:tx>
          <c:spPr>
            <a:ln w="25400" cap="rnd">
              <a:solidFill>
                <a:srgbClr val="263238"/>
              </a:solidFill>
              <a:prstDash val="solid"/>
              <a:round/>
            </a:ln>
            <a:effectLst/>
          </c:spPr>
          <c:marker>
            <c:symbol val="none"/>
          </c:marker>
          <c:dLbls>
            <c:dLbl>
              <c:idx val="6"/>
              <c:layout>
                <c:manualLayout>
                  <c:x val="-6.3945775045342712E-2"/>
                  <c:y val="3.9351851851851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E0-41F2-9A34-3588868EF3CF}"/>
                </c:ext>
              </c:extLst>
            </c:dLbl>
            <c:dLbl>
              <c:idx val="7"/>
              <c:layout>
                <c:manualLayout>
                  <c:x val="-6.6729351941654469E-2"/>
                  <c:y val="3.0092592592592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E0-41F2-9A34-3588868EF3CF}"/>
                </c:ext>
              </c:extLst>
            </c:dLbl>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Snaps'!$AT$6:$BF$6</c:f>
              <c:strCache>
                <c:ptCount val="13"/>
                <c:pt idx="0">
                  <c:v>Q1 21</c:v>
                </c:pt>
                <c:pt idx="1">
                  <c:v>Q2 21</c:v>
                </c:pt>
                <c:pt idx="2">
                  <c:v>Q3 21</c:v>
                </c:pt>
                <c:pt idx="3">
                  <c:v>Q4 21</c:v>
                </c:pt>
                <c:pt idx="4">
                  <c:v>Q1 22</c:v>
                </c:pt>
                <c:pt idx="5">
                  <c:v>Q2 22</c:v>
                </c:pt>
                <c:pt idx="6">
                  <c:v>Q3 22</c:v>
                </c:pt>
                <c:pt idx="7">
                  <c:v>Q4 22</c:v>
                </c:pt>
                <c:pt idx="8">
                  <c:v>Q1 23</c:v>
                </c:pt>
                <c:pt idx="9">
                  <c:v>Q2 23</c:v>
                </c:pt>
                <c:pt idx="10">
                  <c:v>Q3 23</c:v>
                </c:pt>
                <c:pt idx="11">
                  <c:v>Q4 23</c:v>
                </c:pt>
                <c:pt idx="12">
                  <c:v>Q1 24</c:v>
                </c:pt>
              </c:strCache>
            </c:strRef>
          </c:cat>
          <c:val>
            <c:numRef>
              <c:f>'Earnings Snaps'!$AT$9:$BF$9</c:f>
              <c:numCache>
                <c:formatCode>0.0%</c:formatCode>
                <c:ptCount val="13"/>
                <c:pt idx="0">
                  <c:v>4.0608291861691237E-2</c:v>
                </c:pt>
                <c:pt idx="1">
                  <c:v>1.0045877382269364E-2</c:v>
                </c:pt>
                <c:pt idx="2">
                  <c:v>-2.4741420889976551E-2</c:v>
                </c:pt>
                <c:pt idx="3">
                  <c:v>-4.3530123913972485E-2</c:v>
                </c:pt>
                <c:pt idx="4">
                  <c:v>-6.2064428957474105E-2</c:v>
                </c:pt>
                <c:pt idx="5">
                  <c:v>-7.719789590851156E-2</c:v>
                </c:pt>
                <c:pt idx="6">
                  <c:v>-8.6602923398175546E-2</c:v>
                </c:pt>
                <c:pt idx="7">
                  <c:v>-8.110120432589385E-2</c:v>
                </c:pt>
                <c:pt idx="8">
                  <c:v>-0.1171598081771138</c:v>
                </c:pt>
                <c:pt idx="9">
                  <c:v>-0.13435536273613358</c:v>
                </c:pt>
                <c:pt idx="10">
                  <c:v>-0.13837083383467697</c:v>
                </c:pt>
                <c:pt idx="11">
                  <c:v>-0.15293926994287566</c:v>
                </c:pt>
                <c:pt idx="12">
                  <c:v>-8.2233958871783419E-2</c:v>
                </c:pt>
              </c:numCache>
            </c:numRef>
          </c:val>
          <c:smooth val="0"/>
          <c:extLst>
            <c:ext xmlns:c16="http://schemas.microsoft.com/office/drawing/2014/chart" uri="{C3380CC4-5D6E-409C-BE32-E72D297353CC}">
              <c16:uniqueId val="{00000000-88E0-41F2-9A34-3588868EF3CF}"/>
            </c:ext>
          </c:extLst>
        </c:ser>
        <c:ser>
          <c:idx val="1"/>
          <c:order val="1"/>
          <c:tx>
            <c:strRef>
              <c:f>'Earnings Snaps'!$A$10</c:f>
              <c:strCache>
                <c:ptCount val="1"/>
                <c:pt idx="0">
                  <c:v>EBITDA, y/y</c:v>
                </c:pt>
              </c:strCache>
            </c:strRef>
          </c:tx>
          <c:spPr>
            <a:ln w="25400" cap="rnd">
              <a:solidFill>
                <a:srgbClr val="799098"/>
              </a:solidFill>
              <a:prstDash val="solid"/>
              <a:round/>
            </a:ln>
            <a:effectLst/>
          </c:spPr>
          <c:marker>
            <c:symbol val="none"/>
          </c:marker>
          <c:dLbls>
            <c:dLbl>
              <c:idx val="1"/>
              <c:layout>
                <c:manualLayout>
                  <c:x val="-5.1753708239497202E-2"/>
                  <c:y val="3.4722222222222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E0-41F2-9A34-3588868EF3CF}"/>
                </c:ext>
              </c:extLst>
            </c:dLbl>
            <c:dLbl>
              <c:idx val="2"/>
              <c:layout>
                <c:manualLayout>
                  <c:x val="-5.4537285135808966E-2"/>
                  <c:y val="4.3981481481481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E0-41F2-9A34-3588868EF3CF}"/>
                </c:ext>
              </c:extLst>
            </c:dLbl>
            <c:dLbl>
              <c:idx val="3"/>
              <c:layout>
                <c:manualLayout>
                  <c:x val="-5.4537285135809015E-2"/>
                  <c:y val="4.8611111111111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E0-41F2-9A34-3588868EF3CF}"/>
                </c:ext>
              </c:extLst>
            </c:dLbl>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Snaps'!$AT$6:$BF$6</c:f>
              <c:strCache>
                <c:ptCount val="13"/>
                <c:pt idx="0">
                  <c:v>Q1 21</c:v>
                </c:pt>
                <c:pt idx="1">
                  <c:v>Q2 21</c:v>
                </c:pt>
                <c:pt idx="2">
                  <c:v>Q3 21</c:v>
                </c:pt>
                <c:pt idx="3">
                  <c:v>Q4 21</c:v>
                </c:pt>
                <c:pt idx="4">
                  <c:v>Q1 22</c:v>
                </c:pt>
                <c:pt idx="5">
                  <c:v>Q2 22</c:v>
                </c:pt>
                <c:pt idx="6">
                  <c:v>Q3 22</c:v>
                </c:pt>
                <c:pt idx="7">
                  <c:v>Q4 22</c:v>
                </c:pt>
                <c:pt idx="8">
                  <c:v>Q1 23</c:v>
                </c:pt>
                <c:pt idx="9">
                  <c:v>Q2 23</c:v>
                </c:pt>
                <c:pt idx="10">
                  <c:v>Q3 23</c:v>
                </c:pt>
                <c:pt idx="11">
                  <c:v>Q4 23</c:v>
                </c:pt>
                <c:pt idx="12">
                  <c:v>Q1 24</c:v>
                </c:pt>
              </c:strCache>
            </c:strRef>
          </c:cat>
          <c:val>
            <c:numRef>
              <c:f>'Earnings Snaps'!$AT$10:$BF$10</c:f>
              <c:numCache>
                <c:formatCode>0.0%</c:formatCode>
                <c:ptCount val="13"/>
                <c:pt idx="0">
                  <c:v>-3.558639212175474E-2</c:v>
                </c:pt>
                <c:pt idx="1">
                  <c:v>-3.3901955716378218E-2</c:v>
                </c:pt>
                <c:pt idx="2">
                  <c:v>-7.1818442976156249E-2</c:v>
                </c:pt>
                <c:pt idx="3">
                  <c:v>-0.13915193357279454</c:v>
                </c:pt>
                <c:pt idx="4">
                  <c:v>-0.13604084474355993</c:v>
                </c:pt>
                <c:pt idx="5">
                  <c:v>-0.24095955767601551</c:v>
                </c:pt>
                <c:pt idx="6">
                  <c:v>-0.24791086350974922</c:v>
                </c:pt>
                <c:pt idx="7">
                  <c:v>-0.37596185108919489</c:v>
                </c:pt>
                <c:pt idx="8">
                  <c:v>-0.13565058558074572</c:v>
                </c:pt>
                <c:pt idx="9">
                  <c:v>-0.14915114844621979</c:v>
                </c:pt>
                <c:pt idx="10">
                  <c:v>-9.8647854203409713E-2</c:v>
                </c:pt>
                <c:pt idx="11">
                  <c:v>-9.291420632163816E-3</c:v>
                </c:pt>
                <c:pt idx="12">
                  <c:v>-0.16072908036454026</c:v>
                </c:pt>
              </c:numCache>
            </c:numRef>
          </c:val>
          <c:smooth val="0"/>
          <c:extLst>
            <c:ext xmlns:c16="http://schemas.microsoft.com/office/drawing/2014/chart" uri="{C3380CC4-5D6E-409C-BE32-E72D297353CC}">
              <c16:uniqueId val="{00000001-88E0-41F2-9A34-3588868EF3CF}"/>
            </c:ext>
          </c:extLst>
        </c:ser>
        <c:dLbls>
          <c:showLegendKey val="0"/>
          <c:showVal val="0"/>
          <c:showCatName val="0"/>
          <c:showSerName val="0"/>
          <c:showPercent val="0"/>
          <c:showBubbleSize val="0"/>
        </c:dLbls>
        <c:smooth val="0"/>
        <c:axId val="29848144"/>
        <c:axId val="29848976"/>
      </c:lineChart>
      <c:catAx>
        <c:axId val="29848144"/>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29848976"/>
        <c:crosses val="autoZero"/>
        <c:auto val="1"/>
        <c:lblAlgn val="ctr"/>
        <c:lblOffset val="100"/>
        <c:noMultiLvlLbl val="0"/>
      </c:catAx>
      <c:valAx>
        <c:axId val="29848976"/>
        <c:scaling>
          <c:orientation val="minMax"/>
        </c:scaling>
        <c:delete val="1"/>
        <c:axPos val="l"/>
        <c:numFmt formatCode="0.0%" sourceLinked="1"/>
        <c:majorTickMark val="out"/>
        <c:minorTickMark val="none"/>
        <c:tickLblPos val="nextTo"/>
        <c:crossAx val="2984814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180044614489304E-3"/>
          <c:y val="6.1505320936701822E-2"/>
          <c:w val="0.93973463394937451"/>
          <c:h val="0.75515458175897465"/>
        </c:manualLayout>
      </c:layout>
      <c:barChart>
        <c:barDir val="col"/>
        <c:grouping val="clustered"/>
        <c:varyColors val="0"/>
        <c:ser>
          <c:idx val="0"/>
          <c:order val="0"/>
          <c:tx>
            <c:strRef>
              <c:f>'Earnings Snaps'!$A$166</c:f>
              <c:strCache>
                <c:ptCount val="1"/>
                <c:pt idx="0">
                  <c:v>TV</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'Earnings Snaps'!$AE$165:$AH$165</c:f>
              <c:numCache>
                <c:formatCode>General</c:formatCode>
                <c:ptCount val="4"/>
                <c:pt idx="0">
                  <c:v>2023</c:v>
                </c:pt>
                <c:pt idx="1">
                  <c:v>2024</c:v>
                </c:pt>
                <c:pt idx="2">
                  <c:v>2025</c:v>
                </c:pt>
                <c:pt idx="3">
                  <c:v>2026</c:v>
                </c:pt>
              </c:numCache>
            </c:numRef>
          </c:cat>
          <c:val>
            <c:numRef>
              <c:f>'Earnings Snaps'!$AE$166:$AH$166</c:f>
              <c:numCache>
                <c:formatCode>0.0%</c:formatCode>
                <c:ptCount val="4"/>
                <c:pt idx="0">
                  <c:v>-0.132252069390766</c:v>
                </c:pt>
                <c:pt idx="1">
                  <c:v>7.5729833548540598E-2</c:v>
                </c:pt>
                <c:pt idx="2">
                  <c:v>0.12975315128700435</c:v>
                </c:pt>
                <c:pt idx="3">
                  <c:v>0.14685757872123367</c:v>
                </c:pt>
              </c:numCache>
            </c:numRef>
          </c:val>
          <c:extLst>
            <c:ext xmlns:c16="http://schemas.microsoft.com/office/drawing/2014/chart" uri="{C3380CC4-5D6E-409C-BE32-E72D297353CC}">
              <c16:uniqueId val="{00000000-8DA7-4994-BD3F-E6FB61AD6F88}"/>
            </c:ext>
          </c:extLst>
        </c:ser>
        <c:ser>
          <c:idx val="1"/>
          <c:order val="1"/>
          <c:tx>
            <c:strRef>
              <c:f>'Earnings Snaps'!$A$167</c:f>
              <c:strCache>
                <c:ptCount val="1"/>
                <c:pt idx="0">
                  <c:v>MEGA</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'Earnings Snaps'!$AE$165:$AH$165</c:f>
              <c:numCache>
                <c:formatCode>General</c:formatCode>
                <c:ptCount val="4"/>
                <c:pt idx="0">
                  <c:v>2023</c:v>
                </c:pt>
                <c:pt idx="1">
                  <c:v>2024</c:v>
                </c:pt>
                <c:pt idx="2">
                  <c:v>2025</c:v>
                </c:pt>
                <c:pt idx="3">
                  <c:v>2026</c:v>
                </c:pt>
              </c:numCache>
            </c:numRef>
          </c:cat>
          <c:val>
            <c:numRef>
              <c:f>'Earnings Snaps'!$AE$167:$AH$167</c:f>
              <c:numCache>
                <c:formatCode>0.0%</c:formatCode>
                <c:ptCount val="4"/>
                <c:pt idx="0">
                  <c:v>-8.8484984705841825E-3</c:v>
                </c:pt>
                <c:pt idx="1">
                  <c:v>3.7129766922799838E-2</c:v>
                </c:pt>
                <c:pt idx="2">
                  <c:v>0.10052678170534821</c:v>
                </c:pt>
                <c:pt idx="3">
                  <c:v>0.14276765466158792</c:v>
                </c:pt>
              </c:numCache>
            </c:numRef>
          </c:val>
          <c:extLst>
            <c:ext xmlns:c16="http://schemas.microsoft.com/office/drawing/2014/chart" uri="{C3380CC4-5D6E-409C-BE32-E72D297353CC}">
              <c16:uniqueId val="{00000001-8DA7-4994-BD3F-E6FB61AD6F88}"/>
            </c:ext>
          </c:extLst>
        </c:ser>
        <c:dLbls>
          <c:showLegendKey val="0"/>
          <c:showVal val="0"/>
          <c:showCatName val="0"/>
          <c:showSerName val="0"/>
          <c:showPercent val="0"/>
          <c:showBubbleSize val="0"/>
        </c:dLbls>
        <c:gapWidth val="30"/>
        <c:overlap val="-27"/>
        <c:axId val="369721695"/>
        <c:axId val="369712959"/>
      </c:barChart>
      <c:catAx>
        <c:axId val="369721695"/>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369712959"/>
        <c:crosses val="autoZero"/>
        <c:auto val="1"/>
        <c:lblAlgn val="ctr"/>
        <c:lblOffset val="100"/>
        <c:noMultiLvlLbl val="0"/>
      </c:catAx>
      <c:valAx>
        <c:axId val="369712959"/>
        <c:scaling>
          <c:orientation val="minMax"/>
        </c:scaling>
        <c:delete val="1"/>
        <c:axPos val="l"/>
        <c:numFmt formatCode="0.0%" sourceLinked="1"/>
        <c:majorTickMark val="out"/>
        <c:minorTickMark val="none"/>
        <c:tickLblPos val="nextTo"/>
        <c:crossAx val="369721695"/>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Megacable</c:v>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Snaps'!$AD$88:$AO$88</c:f>
              <c:strCache>
                <c:ptCount val="12"/>
                <c:pt idx="0">
                  <c:v>Q1 20</c:v>
                </c:pt>
                <c:pt idx="1">
                  <c:v>Q2 20</c:v>
                </c:pt>
                <c:pt idx="2">
                  <c:v>Q3 20</c:v>
                </c:pt>
                <c:pt idx="3">
                  <c:v>Q4 20</c:v>
                </c:pt>
                <c:pt idx="4">
                  <c:v>Q1 21</c:v>
                </c:pt>
                <c:pt idx="5">
                  <c:v>Q2 21</c:v>
                </c:pt>
                <c:pt idx="6">
                  <c:v>Q3 21</c:v>
                </c:pt>
                <c:pt idx="7">
                  <c:v>Q4 21</c:v>
                </c:pt>
                <c:pt idx="8">
                  <c:v>Q1 22</c:v>
                </c:pt>
                <c:pt idx="9">
                  <c:v>Q2 22</c:v>
                </c:pt>
                <c:pt idx="10">
                  <c:v>Q3 22</c:v>
                </c:pt>
                <c:pt idx="11">
                  <c:v>Q4 22</c:v>
                </c:pt>
              </c:strCache>
            </c:strRef>
          </c:cat>
          <c:val>
            <c:numRef>
              <c:f>'Earnings Snaps'!$AD$97:$AO$97</c:f>
              <c:numCache>
                <c:formatCode>0</c:formatCode>
                <c:ptCount val="12"/>
                <c:pt idx="0">
                  <c:v>48.752999999999702</c:v>
                </c:pt>
                <c:pt idx="1">
                  <c:v>83.019000000000233</c:v>
                </c:pt>
                <c:pt idx="2">
                  <c:v>184.5949999999998</c:v>
                </c:pt>
                <c:pt idx="3">
                  <c:v>96.329000000000178</c:v>
                </c:pt>
                <c:pt idx="4">
                  <c:v>79.415999999999713</c:v>
                </c:pt>
                <c:pt idx="5">
                  <c:v>58.160000000000309</c:v>
                </c:pt>
                <c:pt idx="6">
                  <c:v>105</c:v>
                </c:pt>
                <c:pt idx="7">
                  <c:v>80.981000000000222</c:v>
                </c:pt>
                <c:pt idx="8">
                  <c:v>59.403999999999996</c:v>
                </c:pt>
                <c:pt idx="9">
                  <c:v>19.177999999999884</c:v>
                </c:pt>
                <c:pt idx="10">
                  <c:v>100.65700000000015</c:v>
                </c:pt>
                <c:pt idx="11">
                  <c:v>124.72799999999961</c:v>
                </c:pt>
              </c:numCache>
            </c:numRef>
          </c:val>
          <c:extLst>
            <c:ext xmlns:c16="http://schemas.microsoft.com/office/drawing/2014/chart" uri="{C3380CC4-5D6E-409C-BE32-E72D297353CC}">
              <c16:uniqueId val="{00000000-63CD-4C20-8ECF-C009D94430C5}"/>
            </c:ext>
          </c:extLst>
        </c:ser>
        <c:ser>
          <c:idx val="1"/>
          <c:order val="1"/>
          <c:tx>
            <c:v>Izzy</c:v>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Snaps'!$AD$88:$AO$88</c:f>
              <c:strCache>
                <c:ptCount val="12"/>
                <c:pt idx="0">
                  <c:v>Q1 20</c:v>
                </c:pt>
                <c:pt idx="1">
                  <c:v>Q2 20</c:v>
                </c:pt>
                <c:pt idx="2">
                  <c:v>Q3 20</c:v>
                </c:pt>
                <c:pt idx="3">
                  <c:v>Q4 20</c:v>
                </c:pt>
                <c:pt idx="4">
                  <c:v>Q1 21</c:v>
                </c:pt>
                <c:pt idx="5">
                  <c:v>Q2 21</c:v>
                </c:pt>
                <c:pt idx="6">
                  <c:v>Q3 21</c:v>
                </c:pt>
                <c:pt idx="7">
                  <c:v>Q4 21</c:v>
                </c:pt>
                <c:pt idx="8">
                  <c:v>Q1 22</c:v>
                </c:pt>
                <c:pt idx="9">
                  <c:v>Q2 22</c:v>
                </c:pt>
                <c:pt idx="10">
                  <c:v>Q3 22</c:v>
                </c:pt>
                <c:pt idx="11">
                  <c:v>Q4 22</c:v>
                </c:pt>
              </c:strCache>
            </c:strRef>
          </c:cat>
          <c:val>
            <c:numRef>
              <c:f>'Earnings Snaps'!$AD$90:$AO$90</c:f>
              <c:numCache>
                <c:formatCode>0</c:formatCode>
                <c:ptCount val="12"/>
                <c:pt idx="0">
                  <c:v>121.04899999999998</c:v>
                </c:pt>
                <c:pt idx="1">
                  <c:v>252.17399999999998</c:v>
                </c:pt>
                <c:pt idx="2">
                  <c:v>233.96799999999985</c:v>
                </c:pt>
                <c:pt idx="3">
                  <c:v>127.61400000000049</c:v>
                </c:pt>
                <c:pt idx="4">
                  <c:v>103.96000000000004</c:v>
                </c:pt>
                <c:pt idx="5">
                  <c:v>31.368999999999687</c:v>
                </c:pt>
                <c:pt idx="6">
                  <c:v>24.595000000000255</c:v>
                </c:pt>
                <c:pt idx="7">
                  <c:v>58.318999999999505</c:v>
                </c:pt>
                <c:pt idx="8">
                  <c:v>82.923999999999978</c:v>
                </c:pt>
                <c:pt idx="9">
                  <c:v>77.564000000000306</c:v>
                </c:pt>
                <c:pt idx="10">
                  <c:v>96.233999999999469</c:v>
                </c:pt>
                <c:pt idx="11">
                  <c:v>78.327000000000226</c:v>
                </c:pt>
              </c:numCache>
            </c:numRef>
          </c:val>
          <c:extLst>
            <c:ext xmlns:c16="http://schemas.microsoft.com/office/drawing/2014/chart" uri="{C3380CC4-5D6E-409C-BE32-E72D297353CC}">
              <c16:uniqueId val="{00000001-63CD-4C20-8ECF-C009D94430C5}"/>
            </c:ext>
          </c:extLst>
        </c:ser>
        <c:dLbls>
          <c:showLegendKey val="0"/>
          <c:showVal val="0"/>
          <c:showCatName val="0"/>
          <c:showSerName val="0"/>
          <c:showPercent val="0"/>
          <c:showBubbleSize val="0"/>
        </c:dLbls>
        <c:gapWidth val="30"/>
        <c:overlap val="-27"/>
        <c:axId val="1621016751"/>
        <c:axId val="1621013839"/>
      </c:barChart>
      <c:catAx>
        <c:axId val="1621016751"/>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621013839"/>
        <c:crosses val="autoZero"/>
        <c:auto val="1"/>
        <c:lblAlgn val="ctr"/>
        <c:lblOffset val="100"/>
        <c:noMultiLvlLbl val="0"/>
      </c:catAx>
      <c:valAx>
        <c:axId val="1621013839"/>
        <c:scaling>
          <c:orientation val="minMax"/>
        </c:scaling>
        <c:delete val="1"/>
        <c:axPos val="l"/>
        <c:numFmt formatCode="0" sourceLinked="1"/>
        <c:majorTickMark val="out"/>
        <c:minorTickMark val="none"/>
        <c:tickLblPos val="nextTo"/>
        <c:crossAx val="1621016751"/>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Snaps'!$AD$175:$AJ$175</c:f>
              <c:strCache>
                <c:ptCount val="7"/>
                <c:pt idx="0">
                  <c:v>Q1 22</c:v>
                </c:pt>
                <c:pt idx="1">
                  <c:v>Q2 22</c:v>
                </c:pt>
                <c:pt idx="2">
                  <c:v>Q3 22</c:v>
                </c:pt>
                <c:pt idx="3">
                  <c:v>Q4 22</c:v>
                </c:pt>
                <c:pt idx="4">
                  <c:v>Q1 23</c:v>
                </c:pt>
                <c:pt idx="5">
                  <c:v>Q2 23</c:v>
                </c:pt>
                <c:pt idx="6">
                  <c:v>Q3 23</c:v>
                </c:pt>
              </c:strCache>
            </c:strRef>
          </c:cat>
          <c:val>
            <c:numRef>
              <c:f>'Earnings Snaps'!$AD$176:$AJ$176</c:f>
              <c:numCache>
                <c:formatCode>0.00</c:formatCode>
                <c:ptCount val="7"/>
                <c:pt idx="0">
                  <c:v>2.1202493000536129</c:v>
                </c:pt>
                <c:pt idx="1">
                  <c:v>2.1988741219192756</c:v>
                </c:pt>
                <c:pt idx="2">
                  <c:v>2.2718424678505817</c:v>
                </c:pt>
                <c:pt idx="3">
                  <c:v>2.6523995044794342</c:v>
                </c:pt>
                <c:pt idx="4">
                  <c:v>2.3832494622382727</c:v>
                </c:pt>
                <c:pt idx="5">
                  <c:v>2.46690060166158</c:v>
                </c:pt>
                <c:pt idx="6">
                  <c:v>2.6314437303340701</c:v>
                </c:pt>
              </c:numCache>
            </c:numRef>
          </c:val>
          <c:extLst>
            <c:ext xmlns:c16="http://schemas.microsoft.com/office/drawing/2014/chart" uri="{C3380CC4-5D6E-409C-BE32-E72D297353CC}">
              <c16:uniqueId val="{00000000-8591-401B-8023-7054D915B9DB}"/>
            </c:ext>
          </c:extLst>
        </c:ser>
        <c:dLbls>
          <c:showLegendKey val="0"/>
          <c:showVal val="0"/>
          <c:showCatName val="0"/>
          <c:showSerName val="0"/>
          <c:showPercent val="0"/>
          <c:showBubbleSize val="0"/>
        </c:dLbls>
        <c:gapWidth val="30"/>
        <c:overlap val="-27"/>
        <c:axId val="1655562207"/>
        <c:axId val="1609001967"/>
      </c:barChart>
      <c:catAx>
        <c:axId val="1655562207"/>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609001967"/>
        <c:crosses val="autoZero"/>
        <c:auto val="1"/>
        <c:lblAlgn val="ctr"/>
        <c:lblOffset val="100"/>
        <c:noMultiLvlLbl val="0"/>
      </c:catAx>
      <c:valAx>
        <c:axId val="1609001967"/>
        <c:scaling>
          <c:orientation val="minMax"/>
        </c:scaling>
        <c:delete val="1"/>
        <c:axPos val="l"/>
        <c:numFmt formatCode="0.00" sourceLinked="1"/>
        <c:majorTickMark val="out"/>
        <c:minorTickMark val="none"/>
        <c:tickLblPos val="nextTo"/>
        <c:crossAx val="1655562207"/>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32587155947564E-2"/>
          <c:y val="3.3360434214304104E-2"/>
          <c:w val="0.9268759551196154"/>
          <c:h val="0.65222259175950192"/>
        </c:manualLayout>
      </c:layout>
      <c:lineChart>
        <c:grouping val="standard"/>
        <c:varyColors val="0"/>
        <c:ser>
          <c:idx val="0"/>
          <c:order val="0"/>
          <c:tx>
            <c:strRef>
              <c:f>'Earnings Snaps'!$A$102</c:f>
              <c:strCache>
                <c:ptCount val="1"/>
                <c:pt idx="0">
                  <c:v>Televisa</c:v>
                </c:pt>
              </c:strCache>
            </c:strRef>
          </c:tx>
          <c:spPr>
            <a:ln w="25400" cap="rnd">
              <a:solidFill>
                <a:srgbClr val="263238"/>
              </a:solidFill>
              <a:prstDash val="solid"/>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0-9F48-42CF-8BB0-90D068F26CE1}"/>
                </c:ext>
              </c:extLst>
            </c:dLbl>
            <c:dLbl>
              <c:idx val="2"/>
              <c:delete val="1"/>
              <c:extLst>
                <c:ext xmlns:c15="http://schemas.microsoft.com/office/drawing/2012/chart" uri="{CE6537A1-D6FC-4f65-9D91-7224C49458BB}"/>
                <c:ext xmlns:c16="http://schemas.microsoft.com/office/drawing/2014/chart" uri="{C3380CC4-5D6E-409C-BE32-E72D297353CC}">
                  <c16:uniqueId val="{00000001-9F48-42CF-8BB0-90D068F26CE1}"/>
                </c:ext>
              </c:extLst>
            </c:dLbl>
            <c:dLbl>
              <c:idx val="6"/>
              <c:delete val="1"/>
              <c:extLst>
                <c:ext xmlns:c15="http://schemas.microsoft.com/office/drawing/2012/chart" uri="{CE6537A1-D6FC-4f65-9D91-7224C49458BB}"/>
                <c:ext xmlns:c16="http://schemas.microsoft.com/office/drawing/2014/chart" uri="{C3380CC4-5D6E-409C-BE32-E72D297353CC}">
                  <c16:uniqueId val="{00000002-9F48-42CF-8BB0-90D068F26CE1}"/>
                </c:ext>
              </c:extLst>
            </c:dLbl>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Snaps'!$AE$101:$AS$101</c:f>
              <c:strCache>
                <c:ptCount val="15"/>
                <c:pt idx="0">
                  <c:v>Q2 20</c:v>
                </c:pt>
                <c:pt idx="1">
                  <c:v>Q3 20</c:v>
                </c:pt>
                <c:pt idx="2">
                  <c:v>Q4 20</c:v>
                </c:pt>
                <c:pt idx="3">
                  <c:v>Q1 21</c:v>
                </c:pt>
                <c:pt idx="4">
                  <c:v>Q2 21</c:v>
                </c:pt>
                <c:pt idx="5">
                  <c:v>Q3 21</c:v>
                </c:pt>
                <c:pt idx="6">
                  <c:v>Q4 21</c:v>
                </c:pt>
                <c:pt idx="7">
                  <c:v>Q1 22</c:v>
                </c:pt>
                <c:pt idx="8">
                  <c:v>Q2 22</c:v>
                </c:pt>
                <c:pt idx="9">
                  <c:v>Q3 22</c:v>
                </c:pt>
                <c:pt idx="10">
                  <c:v>Q4 22</c:v>
                </c:pt>
                <c:pt idx="11">
                  <c:v>Q1 23</c:v>
                </c:pt>
                <c:pt idx="12">
                  <c:v>Q2 23</c:v>
                </c:pt>
                <c:pt idx="13">
                  <c:v>Q3 23</c:v>
                </c:pt>
                <c:pt idx="14">
                  <c:v>Q4 23</c:v>
                </c:pt>
              </c:strCache>
            </c:strRef>
          </c:cat>
          <c:val>
            <c:numRef>
              <c:f>'Earnings Snaps'!$AE$102:$AS$102</c:f>
              <c:numCache>
                <c:formatCode>0.0%</c:formatCode>
                <c:ptCount val="15"/>
                <c:pt idx="0">
                  <c:v>0.10700196755973623</c:v>
                </c:pt>
                <c:pt idx="1">
                  <c:v>7.9057140965371087E-2</c:v>
                </c:pt>
                <c:pt idx="2">
                  <c:v>7.3492433801435553E-2</c:v>
                </c:pt>
                <c:pt idx="3">
                  <c:v>7.8690402505381174E-2</c:v>
                </c:pt>
                <c:pt idx="4">
                  <c:v>5.9493491794001319E-2</c:v>
                </c:pt>
                <c:pt idx="5">
                  <c:v>5.7740688470270696E-2</c:v>
                </c:pt>
                <c:pt idx="6">
                  <c:v>3.9786228299382387E-2</c:v>
                </c:pt>
                <c:pt idx="7">
                  <c:v>1.0962189012118317E-2</c:v>
                </c:pt>
                <c:pt idx="8">
                  <c:v>-1.9329638779461922E-2</c:v>
                </c:pt>
                <c:pt idx="9">
                  <c:v>2.7132746589760171E-2</c:v>
                </c:pt>
                <c:pt idx="10">
                  <c:v>1.3589564255623632E-2</c:v>
                </c:pt>
                <c:pt idx="11">
                  <c:v>2.695582193231405E-2</c:v>
                </c:pt>
                <c:pt idx="12">
                  <c:v>4.6085106382978802E-2</c:v>
                </c:pt>
                <c:pt idx="13">
                  <c:v>-1.9856382120380878E-2</c:v>
                </c:pt>
                <c:pt idx="14">
                  <c:v>-1.7884508918183717E-2</c:v>
                </c:pt>
              </c:numCache>
            </c:numRef>
          </c:val>
          <c:smooth val="0"/>
          <c:extLst>
            <c:ext xmlns:c16="http://schemas.microsoft.com/office/drawing/2014/chart" uri="{C3380CC4-5D6E-409C-BE32-E72D297353CC}">
              <c16:uniqueId val="{00000003-9F48-42CF-8BB0-90D068F26CE1}"/>
            </c:ext>
          </c:extLst>
        </c:ser>
        <c:ser>
          <c:idx val="1"/>
          <c:order val="1"/>
          <c:tx>
            <c:strRef>
              <c:f>'Earnings Snaps'!$A$103</c:f>
              <c:strCache>
                <c:ptCount val="1"/>
                <c:pt idx="0">
                  <c:v>Televisa MSO</c:v>
                </c:pt>
              </c:strCache>
            </c:strRef>
          </c:tx>
          <c:spPr>
            <a:ln w="25400" cap="rnd">
              <a:solidFill>
                <a:srgbClr val="799098"/>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9F48-42CF-8BB0-90D068F26CE1}"/>
                </c:ext>
              </c:extLst>
            </c:dLbl>
            <c:dLbl>
              <c:idx val="2"/>
              <c:delete val="1"/>
              <c:extLst>
                <c:ext xmlns:c15="http://schemas.microsoft.com/office/drawing/2012/chart" uri="{CE6537A1-D6FC-4f65-9D91-7224C49458BB}"/>
                <c:ext xmlns:c16="http://schemas.microsoft.com/office/drawing/2014/chart" uri="{C3380CC4-5D6E-409C-BE32-E72D297353CC}">
                  <c16:uniqueId val="{00000005-9F48-42CF-8BB0-90D068F26CE1}"/>
                </c:ext>
              </c:extLst>
            </c:dLbl>
            <c:dLbl>
              <c:idx val="3"/>
              <c:delete val="1"/>
              <c:extLst>
                <c:ext xmlns:c15="http://schemas.microsoft.com/office/drawing/2012/chart" uri="{CE6537A1-D6FC-4f65-9D91-7224C49458BB}"/>
                <c:ext xmlns:c16="http://schemas.microsoft.com/office/drawing/2014/chart" uri="{C3380CC4-5D6E-409C-BE32-E72D297353CC}">
                  <c16:uniqueId val="{00000006-9F48-42CF-8BB0-90D068F26CE1}"/>
                </c:ext>
              </c:extLst>
            </c:dLbl>
            <c:dLbl>
              <c:idx val="4"/>
              <c:delete val="1"/>
              <c:extLst>
                <c:ext xmlns:c15="http://schemas.microsoft.com/office/drawing/2012/chart" uri="{CE6537A1-D6FC-4f65-9D91-7224C49458BB}"/>
                <c:ext xmlns:c16="http://schemas.microsoft.com/office/drawing/2014/chart" uri="{C3380CC4-5D6E-409C-BE32-E72D297353CC}">
                  <c16:uniqueId val="{00000007-9F48-42CF-8BB0-90D068F26CE1}"/>
                </c:ext>
              </c:extLst>
            </c:dLbl>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Snaps'!$AE$101:$AS$101</c:f>
              <c:strCache>
                <c:ptCount val="15"/>
                <c:pt idx="0">
                  <c:v>Q2 20</c:v>
                </c:pt>
                <c:pt idx="1">
                  <c:v>Q3 20</c:v>
                </c:pt>
                <c:pt idx="2">
                  <c:v>Q4 20</c:v>
                </c:pt>
                <c:pt idx="3">
                  <c:v>Q1 21</c:v>
                </c:pt>
                <c:pt idx="4">
                  <c:v>Q2 21</c:v>
                </c:pt>
                <c:pt idx="5">
                  <c:v>Q3 21</c:v>
                </c:pt>
                <c:pt idx="6">
                  <c:v>Q4 21</c:v>
                </c:pt>
                <c:pt idx="7">
                  <c:v>Q1 22</c:v>
                </c:pt>
                <c:pt idx="8">
                  <c:v>Q2 22</c:v>
                </c:pt>
                <c:pt idx="9">
                  <c:v>Q3 22</c:v>
                </c:pt>
                <c:pt idx="10">
                  <c:v>Q4 22</c:v>
                </c:pt>
                <c:pt idx="11">
                  <c:v>Q1 23</c:v>
                </c:pt>
                <c:pt idx="12">
                  <c:v>Q2 23</c:v>
                </c:pt>
                <c:pt idx="13">
                  <c:v>Q3 23</c:v>
                </c:pt>
                <c:pt idx="14">
                  <c:v>Q4 23</c:v>
                </c:pt>
              </c:strCache>
            </c:strRef>
          </c:cat>
          <c:val>
            <c:numRef>
              <c:f>'Earnings Snaps'!$AE$103:$AS$103</c:f>
              <c:numCache>
                <c:formatCode>0.0%</c:formatCode>
                <c:ptCount val="15"/>
                <c:pt idx="0">
                  <c:v>7.7261088447183379E-2</c:v>
                </c:pt>
                <c:pt idx="1">
                  <c:v>6.4932630833628435E-2</c:v>
                </c:pt>
                <c:pt idx="2">
                  <c:v>7.4329908477792861E-2</c:v>
                </c:pt>
                <c:pt idx="3">
                  <c:v>7.2736218454662938E-2</c:v>
                </c:pt>
                <c:pt idx="4">
                  <c:v>6.4035290918430077E-2</c:v>
                </c:pt>
                <c:pt idx="5">
                  <c:v>5.823571973326569E-2</c:v>
                </c:pt>
                <c:pt idx="6">
                  <c:v>4.8198377875282583E-2</c:v>
                </c:pt>
                <c:pt idx="7">
                  <c:v>3.3940413171020811E-2</c:v>
                </c:pt>
                <c:pt idx="8">
                  <c:v>3.7947125805749327E-2</c:v>
                </c:pt>
                <c:pt idx="9">
                  <c:v>1.9495518802550071E-2</c:v>
                </c:pt>
                <c:pt idx="10">
                  <c:v>9.1783018782449766E-3</c:v>
                </c:pt>
                <c:pt idx="11">
                  <c:v>4.0164131379036405E-2</c:v>
                </c:pt>
                <c:pt idx="12">
                  <c:v>4.3153133435470892E-2</c:v>
                </c:pt>
                <c:pt idx="13">
                  <c:v>1.7808591625883663E-2</c:v>
                </c:pt>
                <c:pt idx="14">
                  <c:v>-2.6485428525255816E-3</c:v>
                </c:pt>
              </c:numCache>
            </c:numRef>
          </c:val>
          <c:smooth val="0"/>
          <c:extLst>
            <c:ext xmlns:c16="http://schemas.microsoft.com/office/drawing/2014/chart" uri="{C3380CC4-5D6E-409C-BE32-E72D297353CC}">
              <c16:uniqueId val="{00000008-9F48-42CF-8BB0-90D068F26CE1}"/>
            </c:ext>
          </c:extLst>
        </c:ser>
        <c:ser>
          <c:idx val="2"/>
          <c:order val="2"/>
          <c:tx>
            <c:strRef>
              <c:f>'Earnings Snaps'!$A$104</c:f>
              <c:strCache>
                <c:ptCount val="1"/>
                <c:pt idx="0">
                  <c:v>MEGA cable</c:v>
                </c:pt>
              </c:strCache>
            </c:strRef>
          </c:tx>
          <c:spPr>
            <a:ln w="25400" cap="rnd">
              <a:solidFill>
                <a:srgbClr val="F9663E"/>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9-9F48-42CF-8BB0-90D068F26CE1}"/>
                </c:ext>
              </c:extLst>
            </c:dLbl>
            <c:dLbl>
              <c:idx val="2"/>
              <c:delete val="1"/>
              <c:extLst>
                <c:ext xmlns:c15="http://schemas.microsoft.com/office/drawing/2012/chart" uri="{CE6537A1-D6FC-4f65-9D91-7224C49458BB}"/>
                <c:ext xmlns:c16="http://schemas.microsoft.com/office/drawing/2014/chart" uri="{C3380CC4-5D6E-409C-BE32-E72D297353CC}">
                  <c16:uniqueId val="{0000000A-9F48-42CF-8BB0-90D068F26CE1}"/>
                </c:ext>
              </c:extLst>
            </c:dLbl>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Snaps'!$AE$101:$AS$101</c:f>
              <c:strCache>
                <c:ptCount val="15"/>
                <c:pt idx="0">
                  <c:v>Q2 20</c:v>
                </c:pt>
                <c:pt idx="1">
                  <c:v>Q3 20</c:v>
                </c:pt>
                <c:pt idx="2">
                  <c:v>Q4 20</c:v>
                </c:pt>
                <c:pt idx="3">
                  <c:v>Q1 21</c:v>
                </c:pt>
                <c:pt idx="4">
                  <c:v>Q2 21</c:v>
                </c:pt>
                <c:pt idx="5">
                  <c:v>Q3 21</c:v>
                </c:pt>
                <c:pt idx="6">
                  <c:v>Q4 21</c:v>
                </c:pt>
                <c:pt idx="7">
                  <c:v>Q1 22</c:v>
                </c:pt>
                <c:pt idx="8">
                  <c:v>Q2 22</c:v>
                </c:pt>
                <c:pt idx="9">
                  <c:v>Q3 22</c:v>
                </c:pt>
                <c:pt idx="10">
                  <c:v>Q4 22</c:v>
                </c:pt>
                <c:pt idx="11">
                  <c:v>Q1 23</c:v>
                </c:pt>
                <c:pt idx="12">
                  <c:v>Q2 23</c:v>
                </c:pt>
                <c:pt idx="13">
                  <c:v>Q3 23</c:v>
                </c:pt>
                <c:pt idx="14">
                  <c:v>Q4 23</c:v>
                </c:pt>
              </c:strCache>
            </c:strRef>
          </c:cat>
          <c:val>
            <c:numRef>
              <c:f>'Earnings Snaps'!$AE$104:$AS$104</c:f>
              <c:numCache>
                <c:formatCode>0.0%</c:formatCode>
                <c:ptCount val="15"/>
                <c:pt idx="0">
                  <c:v>1.350615526185317E-2</c:v>
                </c:pt>
                <c:pt idx="1">
                  <c:v>6.7481874999999913E-2</c:v>
                </c:pt>
                <c:pt idx="2">
                  <c:v>8.5060236050259919E-2</c:v>
                </c:pt>
                <c:pt idx="3">
                  <c:v>8.9488805042994501E-2</c:v>
                </c:pt>
                <c:pt idx="4">
                  <c:v>0.11933043688411837</c:v>
                </c:pt>
                <c:pt idx="5">
                  <c:v>9.7694672021168438E-2</c:v>
                </c:pt>
                <c:pt idx="6">
                  <c:v>0.12241253664376783</c:v>
                </c:pt>
                <c:pt idx="7">
                  <c:v>0.10316272509113578</c:v>
                </c:pt>
                <c:pt idx="8">
                  <c:v>0.10100000000000001</c:v>
                </c:pt>
                <c:pt idx="9">
                  <c:v>9.0518041451565612E-2</c:v>
                </c:pt>
                <c:pt idx="10">
                  <c:v>6.6835881134052588E-2</c:v>
                </c:pt>
                <c:pt idx="11">
                  <c:v>8.2097888511479811E-2</c:v>
                </c:pt>
                <c:pt idx="12">
                  <c:v>0.10045330199814262</c:v>
                </c:pt>
                <c:pt idx="13">
                  <c:v>0.12617952559748669</c:v>
                </c:pt>
                <c:pt idx="14">
                  <c:v>0.1363249841471148</c:v>
                </c:pt>
              </c:numCache>
            </c:numRef>
          </c:val>
          <c:smooth val="0"/>
          <c:extLst>
            <c:ext xmlns:c16="http://schemas.microsoft.com/office/drawing/2014/chart" uri="{C3380CC4-5D6E-409C-BE32-E72D297353CC}">
              <c16:uniqueId val="{0000000B-9F48-42CF-8BB0-90D068F26CE1}"/>
            </c:ext>
          </c:extLst>
        </c:ser>
        <c:ser>
          <c:idx val="3"/>
          <c:order val="3"/>
          <c:tx>
            <c:strRef>
              <c:f>'Earnings Snaps'!$A$105</c:f>
              <c:strCache>
                <c:ptCount val="1"/>
                <c:pt idx="0">
                  <c:v>Telmex</c:v>
                </c:pt>
              </c:strCache>
            </c:strRef>
          </c:tx>
          <c:spPr>
            <a:ln w="25400" cap="rnd">
              <a:solidFill>
                <a:srgbClr val="C7FE02"/>
              </a:solidFill>
              <a:prstDash val="solid"/>
              <a:round/>
            </a:ln>
            <a:effectLst/>
          </c:spPr>
          <c:marker>
            <c:symbol val="none"/>
          </c:marker>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Snaps'!$AE$101:$AS$101</c:f>
              <c:strCache>
                <c:ptCount val="15"/>
                <c:pt idx="0">
                  <c:v>Q2 20</c:v>
                </c:pt>
                <c:pt idx="1">
                  <c:v>Q3 20</c:v>
                </c:pt>
                <c:pt idx="2">
                  <c:v>Q4 20</c:v>
                </c:pt>
                <c:pt idx="3">
                  <c:v>Q1 21</c:v>
                </c:pt>
                <c:pt idx="4">
                  <c:v>Q2 21</c:v>
                </c:pt>
                <c:pt idx="5">
                  <c:v>Q3 21</c:v>
                </c:pt>
                <c:pt idx="6">
                  <c:v>Q4 21</c:v>
                </c:pt>
                <c:pt idx="7">
                  <c:v>Q1 22</c:v>
                </c:pt>
                <c:pt idx="8">
                  <c:v>Q2 22</c:v>
                </c:pt>
                <c:pt idx="9">
                  <c:v>Q3 22</c:v>
                </c:pt>
                <c:pt idx="10">
                  <c:v>Q4 22</c:v>
                </c:pt>
                <c:pt idx="11">
                  <c:v>Q1 23</c:v>
                </c:pt>
                <c:pt idx="12">
                  <c:v>Q2 23</c:v>
                </c:pt>
                <c:pt idx="13">
                  <c:v>Q3 23</c:v>
                </c:pt>
                <c:pt idx="14">
                  <c:v>Q4 23</c:v>
                </c:pt>
              </c:strCache>
            </c:strRef>
          </c:cat>
          <c:val>
            <c:numRef>
              <c:f>'Earnings Snaps'!$AE$105:$AS$105</c:f>
              <c:numCache>
                <c:formatCode>0.0%</c:formatCode>
                <c:ptCount val="15"/>
                <c:pt idx="0">
                  <c:v>-5.9119621002763467E-2</c:v>
                </c:pt>
                <c:pt idx="1">
                  <c:v>-4.7392394697783891E-2</c:v>
                </c:pt>
                <c:pt idx="2">
                  <c:v>-2.5054129291679605E-2</c:v>
                </c:pt>
                <c:pt idx="3">
                  <c:v>-2.6254988447804717E-4</c:v>
                </c:pt>
                <c:pt idx="4">
                  <c:v>-4.300849680058727E-3</c:v>
                </c:pt>
                <c:pt idx="5">
                  <c:v>1.9341320582388688E-2</c:v>
                </c:pt>
                <c:pt idx="6">
                  <c:v>1.3271996615905168E-2</c:v>
                </c:pt>
                <c:pt idx="7">
                  <c:v>-3.1724355270760007E-2</c:v>
                </c:pt>
                <c:pt idx="8">
                  <c:v>-2.5000000000000001E-2</c:v>
                </c:pt>
                <c:pt idx="9">
                  <c:v>2.6353238813050517E-3</c:v>
                </c:pt>
                <c:pt idx="10">
                  <c:v>-1.2732870636121718E-2</c:v>
                </c:pt>
                <c:pt idx="11">
                  <c:v>4.1117439652834209E-2</c:v>
                </c:pt>
                <c:pt idx="12">
                  <c:v>5.589189189189181E-2</c:v>
                </c:pt>
                <c:pt idx="13">
                  <c:v>3.5903905798244207E-2</c:v>
                </c:pt>
                <c:pt idx="14">
                  <c:v>5.9358317035784092E-2</c:v>
                </c:pt>
              </c:numCache>
            </c:numRef>
          </c:val>
          <c:smooth val="0"/>
          <c:extLst>
            <c:ext xmlns:c16="http://schemas.microsoft.com/office/drawing/2014/chart" uri="{C3380CC4-5D6E-409C-BE32-E72D297353CC}">
              <c16:uniqueId val="{0000000C-9F48-42CF-8BB0-90D068F26CE1}"/>
            </c:ext>
          </c:extLst>
        </c:ser>
        <c:dLbls>
          <c:showLegendKey val="0"/>
          <c:showVal val="0"/>
          <c:showCatName val="0"/>
          <c:showSerName val="0"/>
          <c:showPercent val="0"/>
          <c:showBubbleSize val="0"/>
        </c:dLbls>
        <c:smooth val="0"/>
        <c:axId val="1183144960"/>
        <c:axId val="1178271328"/>
      </c:lineChart>
      <c:catAx>
        <c:axId val="1183144960"/>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178271328"/>
        <c:crosses val="autoZero"/>
        <c:auto val="1"/>
        <c:lblAlgn val="ctr"/>
        <c:lblOffset val="100"/>
        <c:noMultiLvlLbl val="0"/>
      </c:catAx>
      <c:valAx>
        <c:axId val="1178271328"/>
        <c:scaling>
          <c:orientation val="minMax"/>
        </c:scaling>
        <c:delete val="1"/>
        <c:axPos val="l"/>
        <c:numFmt formatCode="0%" sourceLinked="0"/>
        <c:majorTickMark val="out"/>
        <c:minorTickMark val="none"/>
        <c:tickLblPos val="nextTo"/>
        <c:crossAx val="1183144960"/>
        <c:crosses val="autoZero"/>
        <c:crossBetween val="between"/>
      </c:valAx>
      <c:spPr>
        <a:noFill/>
        <a:ln w="25400">
          <a:noFill/>
        </a:ln>
        <a:effectLst/>
      </c:spPr>
    </c:plotArea>
    <c:legend>
      <c:legendPos val="b"/>
      <c:layout>
        <c:manualLayout>
          <c:xMode val="edge"/>
          <c:yMode val="edge"/>
          <c:x val="5.2814478187122482E-2"/>
          <c:y val="0.85590470787578099"/>
          <c:w val="0.90159097802409904"/>
          <c:h val="0.11552385283983986"/>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ster!A1"/><Relationship Id="rId2" Type="http://schemas.openxmlformats.org/officeDocument/2006/relationships/image" Target="../media/image1.png"/><Relationship Id="rId1" Type="http://schemas.openxmlformats.org/officeDocument/2006/relationships/hyperlink" Target="http://www.newstreetresearch.com/" TargetMode="External"/><Relationship Id="rId6" Type="http://schemas.openxmlformats.org/officeDocument/2006/relationships/hyperlink" Target="#VOD!A112"/><Relationship Id="rId5" Type="http://schemas.openxmlformats.org/officeDocument/2006/relationships/hyperlink" Target="#Valuation!A1"/><Relationship Id="rId4" Type="http://schemas.openxmlformats.org/officeDocument/2006/relationships/hyperlink" Target="#Interims!A1"/></Relationships>
</file>

<file path=xl/drawings/_rels/drawing10.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11.xml"/><Relationship Id="rId3" Type="http://schemas.openxmlformats.org/officeDocument/2006/relationships/chart" Target="../charts/chart106.xml"/><Relationship Id="rId7" Type="http://schemas.openxmlformats.org/officeDocument/2006/relationships/chart" Target="../charts/chart110.xml"/><Relationship Id="rId2" Type="http://schemas.openxmlformats.org/officeDocument/2006/relationships/chart" Target="../charts/chart105.xml"/><Relationship Id="rId1" Type="http://schemas.openxmlformats.org/officeDocument/2006/relationships/chart" Target="../charts/chart104.xml"/><Relationship Id="rId6" Type="http://schemas.openxmlformats.org/officeDocument/2006/relationships/chart" Target="../charts/chart109.xml"/><Relationship Id="rId11" Type="http://schemas.openxmlformats.org/officeDocument/2006/relationships/chart" Target="../charts/chart114.xml"/><Relationship Id="rId5" Type="http://schemas.openxmlformats.org/officeDocument/2006/relationships/chart" Target="../charts/chart108.xml"/><Relationship Id="rId10" Type="http://schemas.openxmlformats.org/officeDocument/2006/relationships/chart" Target="../charts/chart113.xml"/><Relationship Id="rId4" Type="http://schemas.openxmlformats.org/officeDocument/2006/relationships/chart" Target="../charts/chart107.xml"/><Relationship Id="rId9" Type="http://schemas.openxmlformats.org/officeDocument/2006/relationships/chart" Target="../charts/chart1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6" Type="http://schemas.openxmlformats.org/officeDocument/2006/relationships/chart" Target="../charts/chart27.xml"/><Relationship Id="rId21" Type="http://schemas.openxmlformats.org/officeDocument/2006/relationships/chart" Target="../charts/chart22.xml"/><Relationship Id="rId42" Type="http://schemas.openxmlformats.org/officeDocument/2006/relationships/chart" Target="../charts/chart43.xml"/><Relationship Id="rId47" Type="http://schemas.openxmlformats.org/officeDocument/2006/relationships/chart" Target="../charts/chart48.xml"/><Relationship Id="rId63" Type="http://schemas.openxmlformats.org/officeDocument/2006/relationships/chart" Target="../charts/chart64.xml"/><Relationship Id="rId68" Type="http://schemas.openxmlformats.org/officeDocument/2006/relationships/chart" Target="../charts/chart69.xml"/><Relationship Id="rId7" Type="http://schemas.openxmlformats.org/officeDocument/2006/relationships/chart" Target="../charts/chart8.xml"/><Relationship Id="rId2" Type="http://schemas.openxmlformats.org/officeDocument/2006/relationships/chart" Target="../charts/chart3.xml"/><Relationship Id="rId16" Type="http://schemas.openxmlformats.org/officeDocument/2006/relationships/chart" Target="../charts/chart17.xml"/><Relationship Id="rId29" Type="http://schemas.openxmlformats.org/officeDocument/2006/relationships/chart" Target="../charts/chart30.xml"/><Relationship Id="rId11" Type="http://schemas.openxmlformats.org/officeDocument/2006/relationships/chart" Target="../charts/chart12.xml"/><Relationship Id="rId24" Type="http://schemas.openxmlformats.org/officeDocument/2006/relationships/chart" Target="../charts/chart25.xml"/><Relationship Id="rId32" Type="http://schemas.openxmlformats.org/officeDocument/2006/relationships/chart" Target="../charts/chart33.xml"/><Relationship Id="rId37" Type="http://schemas.openxmlformats.org/officeDocument/2006/relationships/chart" Target="../charts/chart38.xml"/><Relationship Id="rId40" Type="http://schemas.openxmlformats.org/officeDocument/2006/relationships/chart" Target="../charts/chart41.xml"/><Relationship Id="rId45" Type="http://schemas.openxmlformats.org/officeDocument/2006/relationships/chart" Target="../charts/chart46.xml"/><Relationship Id="rId53" Type="http://schemas.openxmlformats.org/officeDocument/2006/relationships/chart" Target="../charts/chart54.xml"/><Relationship Id="rId58" Type="http://schemas.openxmlformats.org/officeDocument/2006/relationships/chart" Target="../charts/chart59.xml"/><Relationship Id="rId66" Type="http://schemas.openxmlformats.org/officeDocument/2006/relationships/chart" Target="../charts/chart67.xml"/><Relationship Id="rId5" Type="http://schemas.openxmlformats.org/officeDocument/2006/relationships/chart" Target="../charts/chart6.xml"/><Relationship Id="rId61" Type="http://schemas.openxmlformats.org/officeDocument/2006/relationships/chart" Target="../charts/chart62.xml"/><Relationship Id="rId19" Type="http://schemas.openxmlformats.org/officeDocument/2006/relationships/chart" Target="../charts/chart2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 Id="rId35" Type="http://schemas.openxmlformats.org/officeDocument/2006/relationships/chart" Target="../charts/chart36.xml"/><Relationship Id="rId43" Type="http://schemas.openxmlformats.org/officeDocument/2006/relationships/chart" Target="../charts/chart44.xml"/><Relationship Id="rId48" Type="http://schemas.openxmlformats.org/officeDocument/2006/relationships/chart" Target="../charts/chart49.xml"/><Relationship Id="rId56" Type="http://schemas.openxmlformats.org/officeDocument/2006/relationships/chart" Target="../charts/chart57.xml"/><Relationship Id="rId64" Type="http://schemas.openxmlformats.org/officeDocument/2006/relationships/chart" Target="../charts/chart65.xml"/><Relationship Id="rId69" Type="http://schemas.openxmlformats.org/officeDocument/2006/relationships/chart" Target="../charts/chart70.xml"/><Relationship Id="rId8" Type="http://schemas.openxmlformats.org/officeDocument/2006/relationships/chart" Target="../charts/chart9.xml"/><Relationship Id="rId51" Type="http://schemas.openxmlformats.org/officeDocument/2006/relationships/chart" Target="../charts/chart52.xml"/><Relationship Id="rId3" Type="http://schemas.openxmlformats.org/officeDocument/2006/relationships/chart" Target="../charts/chart4.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33" Type="http://schemas.openxmlformats.org/officeDocument/2006/relationships/chart" Target="../charts/chart34.xml"/><Relationship Id="rId38" Type="http://schemas.openxmlformats.org/officeDocument/2006/relationships/chart" Target="../charts/chart39.xml"/><Relationship Id="rId46" Type="http://schemas.openxmlformats.org/officeDocument/2006/relationships/chart" Target="../charts/chart47.xml"/><Relationship Id="rId59" Type="http://schemas.openxmlformats.org/officeDocument/2006/relationships/chart" Target="../charts/chart60.xml"/><Relationship Id="rId67" Type="http://schemas.openxmlformats.org/officeDocument/2006/relationships/chart" Target="../charts/chart68.xml"/><Relationship Id="rId20" Type="http://schemas.openxmlformats.org/officeDocument/2006/relationships/chart" Target="../charts/chart21.xml"/><Relationship Id="rId41" Type="http://schemas.openxmlformats.org/officeDocument/2006/relationships/chart" Target="../charts/chart42.xml"/><Relationship Id="rId54" Type="http://schemas.openxmlformats.org/officeDocument/2006/relationships/chart" Target="../charts/chart55.xml"/><Relationship Id="rId62" Type="http://schemas.openxmlformats.org/officeDocument/2006/relationships/chart" Target="../charts/chart63.xml"/><Relationship Id="rId1" Type="http://schemas.openxmlformats.org/officeDocument/2006/relationships/chart" Target="../charts/chart2.xml"/><Relationship Id="rId6" Type="http://schemas.openxmlformats.org/officeDocument/2006/relationships/chart" Target="../charts/chart7.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36" Type="http://schemas.openxmlformats.org/officeDocument/2006/relationships/chart" Target="../charts/chart37.xml"/><Relationship Id="rId49" Type="http://schemas.openxmlformats.org/officeDocument/2006/relationships/chart" Target="../charts/chart50.xml"/><Relationship Id="rId57" Type="http://schemas.openxmlformats.org/officeDocument/2006/relationships/chart" Target="../charts/chart58.xml"/><Relationship Id="rId10" Type="http://schemas.openxmlformats.org/officeDocument/2006/relationships/chart" Target="../charts/chart11.xml"/><Relationship Id="rId31" Type="http://schemas.openxmlformats.org/officeDocument/2006/relationships/chart" Target="../charts/chart32.xml"/><Relationship Id="rId44" Type="http://schemas.openxmlformats.org/officeDocument/2006/relationships/chart" Target="../charts/chart45.xml"/><Relationship Id="rId52" Type="http://schemas.openxmlformats.org/officeDocument/2006/relationships/chart" Target="../charts/chart53.xml"/><Relationship Id="rId60" Type="http://schemas.openxmlformats.org/officeDocument/2006/relationships/chart" Target="../charts/chart61.xml"/><Relationship Id="rId65" Type="http://schemas.openxmlformats.org/officeDocument/2006/relationships/chart" Target="../charts/chart66.xml"/><Relationship Id="rId4" Type="http://schemas.openxmlformats.org/officeDocument/2006/relationships/chart" Target="../charts/chart5.xml"/><Relationship Id="rId9" Type="http://schemas.openxmlformats.org/officeDocument/2006/relationships/chart" Target="../charts/chart10.xml"/><Relationship Id="rId13" Type="http://schemas.openxmlformats.org/officeDocument/2006/relationships/chart" Target="../charts/chart14.xml"/><Relationship Id="rId18" Type="http://schemas.openxmlformats.org/officeDocument/2006/relationships/chart" Target="../charts/chart19.xml"/><Relationship Id="rId39" Type="http://schemas.openxmlformats.org/officeDocument/2006/relationships/chart" Target="../charts/chart40.xml"/><Relationship Id="rId34" Type="http://schemas.openxmlformats.org/officeDocument/2006/relationships/chart" Target="../charts/chart35.xml"/><Relationship Id="rId50" Type="http://schemas.openxmlformats.org/officeDocument/2006/relationships/chart" Target="../charts/chart51.xml"/><Relationship Id="rId55" Type="http://schemas.openxmlformats.org/officeDocument/2006/relationships/chart" Target="../charts/chart5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chart" Target="../charts/chart7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5" Type="http://schemas.openxmlformats.org/officeDocument/2006/relationships/chart" Target="../charts/chart83.xml"/><Relationship Id="rId4" Type="http://schemas.openxmlformats.org/officeDocument/2006/relationships/chart" Target="../charts/chart8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91.xml"/><Relationship Id="rId13" Type="http://schemas.openxmlformats.org/officeDocument/2006/relationships/chart" Target="../charts/chart96.xml"/><Relationship Id="rId3" Type="http://schemas.openxmlformats.org/officeDocument/2006/relationships/chart" Target="../charts/chart86.xml"/><Relationship Id="rId7" Type="http://schemas.openxmlformats.org/officeDocument/2006/relationships/chart" Target="../charts/chart90.xml"/><Relationship Id="rId12" Type="http://schemas.openxmlformats.org/officeDocument/2006/relationships/chart" Target="../charts/chart95.xml"/><Relationship Id="rId17" Type="http://schemas.openxmlformats.org/officeDocument/2006/relationships/chart" Target="../charts/chart100.xml"/><Relationship Id="rId2" Type="http://schemas.openxmlformats.org/officeDocument/2006/relationships/chart" Target="../charts/chart85.xml"/><Relationship Id="rId16" Type="http://schemas.openxmlformats.org/officeDocument/2006/relationships/chart" Target="../charts/chart99.xml"/><Relationship Id="rId1" Type="http://schemas.openxmlformats.org/officeDocument/2006/relationships/chart" Target="../charts/chart84.xml"/><Relationship Id="rId6" Type="http://schemas.openxmlformats.org/officeDocument/2006/relationships/chart" Target="../charts/chart89.xml"/><Relationship Id="rId11" Type="http://schemas.openxmlformats.org/officeDocument/2006/relationships/chart" Target="../charts/chart94.xml"/><Relationship Id="rId5" Type="http://schemas.openxmlformats.org/officeDocument/2006/relationships/chart" Target="../charts/chart88.xml"/><Relationship Id="rId15" Type="http://schemas.openxmlformats.org/officeDocument/2006/relationships/chart" Target="../charts/chart98.xml"/><Relationship Id="rId10" Type="http://schemas.openxmlformats.org/officeDocument/2006/relationships/chart" Target="../charts/chart93.xml"/><Relationship Id="rId4" Type="http://schemas.openxmlformats.org/officeDocument/2006/relationships/chart" Target="../charts/chart87.xml"/><Relationship Id="rId9" Type="http://schemas.openxmlformats.org/officeDocument/2006/relationships/chart" Target="../charts/chart92.xml"/><Relationship Id="rId14" Type="http://schemas.openxmlformats.org/officeDocument/2006/relationships/chart" Target="../charts/chart9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28575</xdr:colOff>
      <xdr:row>5</xdr:row>
      <xdr:rowOff>0</xdr:rowOff>
    </xdr:to>
    <xdr:pic>
      <xdr:nvPicPr>
        <xdr:cNvPr id="4" name="Picture 3" descr="signature_534858453">
          <a:hlinkClick xmlns:r="http://schemas.openxmlformats.org/officeDocument/2006/relationships" r:id="rId1"/>
          <a:extLst>
            <a:ext uri="{FF2B5EF4-FFF2-40B4-BE49-F238E27FC236}">
              <a16:creationId xmlns:a16="http://schemas.microsoft.com/office/drawing/2014/main" id="{DC5524F5-CCAE-4ADB-9BA1-8B2B4822BC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209925" cy="762000"/>
        </a:xfrm>
        <a:prstGeom prst="rect">
          <a:avLst/>
        </a:prstGeom>
        <a:noFill/>
        <a:ln>
          <a:noFill/>
        </a:ln>
      </xdr:spPr>
    </xdr:pic>
    <xdr:clientData/>
  </xdr:twoCellAnchor>
  <xdr:twoCellAnchor>
    <xdr:from>
      <xdr:col>1</xdr:col>
      <xdr:colOff>0</xdr:colOff>
      <xdr:row>29</xdr:row>
      <xdr:rowOff>2602</xdr:rowOff>
    </xdr:from>
    <xdr:to>
      <xdr:col>3</xdr:col>
      <xdr:colOff>15240</xdr:colOff>
      <xdr:row>32</xdr:row>
      <xdr:rowOff>78802</xdr:rowOff>
    </xdr:to>
    <xdr:sp macro="" textlink="">
      <xdr:nvSpPr>
        <xdr:cNvPr id="2" name="Rectangle 1">
          <a:hlinkClick xmlns:r="http://schemas.openxmlformats.org/officeDocument/2006/relationships" r:id="rId3"/>
          <a:extLst>
            <a:ext uri="{FF2B5EF4-FFF2-40B4-BE49-F238E27FC236}">
              <a16:creationId xmlns:a16="http://schemas.microsoft.com/office/drawing/2014/main" id="{283BED9B-A574-445C-8767-DCD3D6A2AB90}"/>
            </a:ext>
          </a:extLst>
        </xdr:cNvPr>
        <xdr:cNvSpPr/>
      </xdr:nvSpPr>
      <xdr:spPr>
        <a:xfrm>
          <a:off x="1129061" y="4574602"/>
          <a:ext cx="1599642" cy="522249"/>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GB" sz="1100"/>
            <a:t>Main model</a:t>
          </a:r>
        </a:p>
      </xdr:txBody>
    </xdr:sp>
    <xdr:clientData/>
  </xdr:twoCellAnchor>
  <xdr:twoCellAnchor>
    <xdr:from>
      <xdr:col>3</xdr:col>
      <xdr:colOff>447675</xdr:colOff>
      <xdr:row>29</xdr:row>
      <xdr:rowOff>7620</xdr:rowOff>
    </xdr:from>
    <xdr:to>
      <xdr:col>6</xdr:col>
      <xdr:colOff>93345</xdr:colOff>
      <xdr:row>32</xdr:row>
      <xdr:rowOff>83820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D796D3B6-3DA7-49F4-A371-0F81359AEF10}"/>
            </a:ext>
          </a:extLst>
        </xdr:cNvPr>
        <xdr:cNvSpPr/>
      </xdr:nvSpPr>
      <xdr:spPr>
        <a:xfrm>
          <a:off x="3015615" y="4762500"/>
          <a:ext cx="1474470" cy="533400"/>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GB" sz="1100"/>
            <a:t>Interims</a:t>
          </a:r>
        </a:p>
      </xdr:txBody>
    </xdr:sp>
    <xdr:clientData/>
  </xdr:twoCellAnchor>
  <xdr:twoCellAnchor>
    <xdr:from>
      <xdr:col>7</xdr:col>
      <xdr:colOff>45720</xdr:colOff>
      <xdr:row>29</xdr:row>
      <xdr:rowOff>0</xdr:rowOff>
    </xdr:from>
    <xdr:to>
      <xdr:col>9</xdr:col>
      <xdr:colOff>308610</xdr:colOff>
      <xdr:row>32</xdr:row>
      <xdr:rowOff>76200</xdr:rowOff>
    </xdr:to>
    <xdr:sp macro="" textlink="">
      <xdr:nvSpPr>
        <xdr:cNvPr id="5" name="Rectangle 4">
          <a:hlinkClick xmlns:r="http://schemas.openxmlformats.org/officeDocument/2006/relationships" r:id="rId5"/>
          <a:extLst>
            <a:ext uri="{FF2B5EF4-FFF2-40B4-BE49-F238E27FC236}">
              <a16:creationId xmlns:a16="http://schemas.microsoft.com/office/drawing/2014/main" id="{41FE2986-A254-44A4-804C-D8CD5C56891F}"/>
            </a:ext>
          </a:extLst>
        </xdr:cNvPr>
        <xdr:cNvSpPr/>
      </xdr:nvSpPr>
      <xdr:spPr>
        <a:xfrm>
          <a:off x="5052060" y="4754880"/>
          <a:ext cx="1482090" cy="533400"/>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GB" sz="1100"/>
            <a:t>Valuation</a:t>
          </a:r>
        </a:p>
      </xdr:txBody>
    </xdr:sp>
    <xdr:clientData/>
  </xdr:twoCellAnchor>
  <xdr:twoCellAnchor>
    <xdr:from>
      <xdr:col>1</xdr:col>
      <xdr:colOff>0</xdr:colOff>
      <xdr:row>34</xdr:row>
      <xdr:rowOff>0</xdr:rowOff>
    </xdr:from>
    <xdr:to>
      <xdr:col>3</xdr:col>
      <xdr:colOff>15240</xdr:colOff>
      <xdr:row>37</xdr:row>
      <xdr:rowOff>76199</xdr:rowOff>
    </xdr:to>
    <xdr:sp macro="" textlink="">
      <xdr:nvSpPr>
        <xdr:cNvPr id="6" name="Rectangle 5">
          <a:hlinkClick xmlns:r="http://schemas.openxmlformats.org/officeDocument/2006/relationships" r:id="rId6"/>
          <a:extLst>
            <a:ext uri="{FF2B5EF4-FFF2-40B4-BE49-F238E27FC236}">
              <a16:creationId xmlns:a16="http://schemas.microsoft.com/office/drawing/2014/main" id="{F8D28B30-6E03-4839-91CC-4E0EB2006F5C}"/>
            </a:ext>
          </a:extLst>
        </xdr:cNvPr>
        <xdr:cNvSpPr/>
      </xdr:nvSpPr>
      <xdr:spPr>
        <a:xfrm>
          <a:off x="1126958" y="5321968"/>
          <a:ext cx="1599398" cy="521368"/>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GB" sz="1100"/>
            <a:t>Content / Streaming</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19050</xdr:colOff>
      <xdr:row>171</xdr:row>
      <xdr:rowOff>33337</xdr:rowOff>
    </xdr:from>
    <xdr:to>
      <xdr:col>9</xdr:col>
      <xdr:colOff>600075</xdr:colOff>
      <xdr:row>185</xdr:row>
      <xdr:rowOff>123825</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217714</xdr:colOff>
      <xdr:row>3110</xdr:row>
      <xdr:rowOff>179613</xdr:rowOff>
    </xdr:from>
    <xdr:to>
      <xdr:col>16</xdr:col>
      <xdr:colOff>27215</xdr:colOff>
      <xdr:row>3126</xdr:row>
      <xdr:rowOff>13606</xdr:rowOff>
    </xdr:to>
    <xdr:graphicFrame macro="">
      <xdr:nvGraphicFramePr>
        <xdr:cNvPr id="3" name="Chart 2">
          <a:extLst>
            <a:ext uri="{FF2B5EF4-FFF2-40B4-BE49-F238E27FC236}">
              <a16:creationId xmlns:a16="http://schemas.microsoft.com/office/drawing/2014/main" id="{E42E24AA-7068-4FA7-9817-045075F932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34017</xdr:colOff>
      <xdr:row>3738</xdr:row>
      <xdr:rowOff>136071</xdr:rowOff>
    </xdr:from>
    <xdr:to>
      <xdr:col>19</xdr:col>
      <xdr:colOff>197304</xdr:colOff>
      <xdr:row>3750</xdr:row>
      <xdr:rowOff>176892</xdr:rowOff>
    </xdr:to>
    <xdr:graphicFrame macro="">
      <xdr:nvGraphicFramePr>
        <xdr:cNvPr id="4" name="Chart 3">
          <a:extLst>
            <a:ext uri="{FF2B5EF4-FFF2-40B4-BE49-F238E27FC236}">
              <a16:creationId xmlns:a16="http://schemas.microsoft.com/office/drawing/2014/main" id="{9C47CA75-4BBE-4280-A0A0-35BE768244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83736</xdr:colOff>
      <xdr:row>5958</xdr:row>
      <xdr:rowOff>94203</xdr:rowOff>
    </xdr:from>
    <xdr:to>
      <xdr:col>18</xdr:col>
      <xdr:colOff>397748</xdr:colOff>
      <xdr:row>5981</xdr:row>
      <xdr:rowOff>83736</xdr:rowOff>
    </xdr:to>
    <xdr:sp macro="" textlink="">
      <xdr:nvSpPr>
        <xdr:cNvPr id="5" name="TextBox 4">
          <a:extLst>
            <a:ext uri="{FF2B5EF4-FFF2-40B4-BE49-F238E27FC236}">
              <a16:creationId xmlns:a16="http://schemas.microsoft.com/office/drawing/2014/main" id="{74817414-AD9F-6F54-D75D-92CF1CABF16E}"/>
            </a:ext>
          </a:extLst>
        </xdr:cNvPr>
        <xdr:cNvSpPr txBox="1"/>
      </xdr:nvSpPr>
      <xdr:spPr>
        <a:xfrm>
          <a:off x="690824" y="1123426648"/>
          <a:ext cx="12246429" cy="4322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Intro comments: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pPr lvl="0"/>
          <a:r>
            <a:rPr lang="en-US" sz="1100">
              <a:solidFill>
                <a:schemeClr val="dk1"/>
              </a:solidFill>
              <a:effectLst/>
              <a:latin typeface="+mn-lt"/>
              <a:ea typeface="+mn-ea"/>
              <a:cs typeface="+mn-cs"/>
            </a:rPr>
            <a:t>Valim introduction.</a:t>
          </a:r>
          <a:endParaRPr lang="en-GB" sz="1100">
            <a:solidFill>
              <a:schemeClr val="dk1"/>
            </a:solidFill>
            <a:effectLst/>
            <a:latin typeface="+mn-lt"/>
            <a:ea typeface="+mn-ea"/>
            <a:cs typeface="+mn-cs"/>
          </a:endParaRPr>
        </a:p>
        <a:p>
          <a:pPr lvl="0"/>
          <a:r>
            <a:rPr lang="en-US" sz="1100">
              <a:solidFill>
                <a:schemeClr val="dk1"/>
              </a:solidFill>
              <a:effectLst/>
              <a:latin typeface="+mn-lt"/>
              <a:ea typeface="+mn-ea"/>
              <a:cs typeface="+mn-cs"/>
            </a:rPr>
            <a:t>Univision a key asset for Televisa shares. 2</a:t>
          </a:r>
          <a:r>
            <a:rPr lang="en-US" sz="1100" baseline="30000">
              <a:solidFill>
                <a:schemeClr val="dk1"/>
              </a:solidFill>
              <a:effectLst/>
              <a:latin typeface="+mn-lt"/>
              <a:ea typeface="+mn-ea"/>
              <a:cs typeface="+mn-cs"/>
            </a:rPr>
            <a:t>nd</a:t>
          </a:r>
          <a:r>
            <a:rPr lang="en-US" sz="1100">
              <a:solidFill>
                <a:schemeClr val="dk1"/>
              </a:solidFill>
              <a:effectLst/>
              <a:latin typeface="+mn-lt"/>
              <a:ea typeface="+mn-ea"/>
              <a:cs typeface="+mn-cs"/>
            </a:rPr>
            <a:t> largest contribution after cable asset.</a:t>
          </a:r>
          <a:endParaRPr lang="en-GB" sz="1100">
            <a:solidFill>
              <a:schemeClr val="dk1"/>
            </a:solidFill>
            <a:effectLst/>
            <a:latin typeface="+mn-lt"/>
            <a:ea typeface="+mn-ea"/>
            <a:cs typeface="+mn-cs"/>
          </a:endParaRPr>
        </a:p>
        <a:p>
          <a:pPr lvl="0"/>
          <a:r>
            <a:rPr lang="en-US" sz="1100">
              <a:solidFill>
                <a:schemeClr val="dk1"/>
              </a:solidFill>
              <a:effectLst/>
              <a:latin typeface="+mn-lt"/>
              <a:ea typeface="+mn-ea"/>
              <a:cs typeface="+mn-cs"/>
            </a:rPr>
            <a:t>Univision: Closing upfront at the pace of the US industry. Rectifying pricing gap, expect volumes to finish up msd.</a:t>
          </a:r>
          <a:endParaRPr lang="en-GB" sz="1100">
            <a:solidFill>
              <a:schemeClr val="dk1"/>
            </a:solidFill>
            <a:effectLst/>
            <a:latin typeface="+mn-lt"/>
            <a:ea typeface="+mn-ea"/>
            <a:cs typeface="+mn-cs"/>
          </a:endParaRPr>
        </a:p>
        <a:p>
          <a:pPr lvl="0"/>
          <a:r>
            <a:rPr lang="en-US" sz="1100">
              <a:solidFill>
                <a:schemeClr val="dk1"/>
              </a:solidFill>
              <a:effectLst/>
              <a:latin typeface="+mn-lt"/>
              <a:ea typeface="+mn-ea"/>
              <a:cs typeface="+mn-cs"/>
            </a:rPr>
            <a:t>Televisa: Valim in transition period these last few weeks. </a:t>
          </a:r>
          <a:endParaRPr lang="en-GB" sz="1100">
            <a:solidFill>
              <a:schemeClr val="dk1"/>
            </a:solidFill>
            <a:effectLst/>
            <a:latin typeface="+mn-lt"/>
            <a:ea typeface="+mn-ea"/>
            <a:cs typeface="+mn-cs"/>
          </a:endParaRPr>
        </a:p>
        <a:p>
          <a:pPr lvl="0"/>
          <a:r>
            <a:rPr lang="en-US" sz="1100">
              <a:solidFill>
                <a:schemeClr val="dk1"/>
              </a:solidFill>
              <a:effectLst/>
              <a:latin typeface="+mn-lt"/>
              <a:ea typeface="+mn-ea"/>
              <a:cs typeface="+mn-cs"/>
            </a:rPr>
            <a:t>Sky: Improve churn for both prepaid and postpaid DTH, subs base declined as a result of the program to enhance quality. Loss of RGUs mitigated by new pdct offering, Sky cellular, Sky mobile growing. OTT +21k RGU. BB: decline in the subs base due to the limited network availability which restricted new sales. Optimistic about launch of new fixed BB services in partnership w/ Izzy, Sky Internet  (FWA?) with Izzy. </a:t>
          </a:r>
          <a:endParaRPr lang="en-GB" sz="1100">
            <a:solidFill>
              <a:schemeClr val="dk1"/>
            </a:solidFill>
            <a:effectLst/>
            <a:latin typeface="+mn-lt"/>
            <a:ea typeface="+mn-ea"/>
            <a:cs typeface="+mn-cs"/>
          </a:endParaRPr>
        </a:p>
        <a:p>
          <a:pPr lvl="0"/>
          <a:r>
            <a:rPr lang="en-US" sz="1100">
              <a:solidFill>
                <a:schemeClr val="dk1"/>
              </a:solidFill>
              <a:effectLst/>
              <a:latin typeface="+mn-lt"/>
              <a:ea typeface="+mn-ea"/>
              <a:cs typeface="+mn-cs"/>
            </a:rPr>
            <a:t>Group: Optimistic about MT growth. Vix profitable in H2 24. Cable far from reaching full potential, focused on reducing churn, reforms to enhance FCF.</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b="1">
              <a:solidFill>
                <a:schemeClr val="dk1"/>
              </a:solidFill>
              <a:effectLst/>
              <a:latin typeface="+mn-lt"/>
              <a:ea typeface="+mn-ea"/>
              <a:cs typeface="+mn-cs"/>
            </a:rPr>
            <a:t>Q&amp;A:</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pPr lvl="0"/>
          <a:r>
            <a:rPr lang="en-US" sz="1100" b="1">
              <a:solidFill>
                <a:schemeClr val="dk1"/>
              </a:solidFill>
              <a:effectLst/>
              <a:latin typeface="+mn-lt"/>
              <a:ea typeface="+mn-ea"/>
              <a:cs typeface="+mn-cs"/>
            </a:rPr>
            <a:t>Driver of high margin in other</a:t>
          </a:r>
          <a:r>
            <a:rPr lang="en-US" sz="1100">
              <a:solidFill>
                <a:schemeClr val="dk1"/>
              </a:solidFill>
              <a:effectLst/>
              <a:latin typeface="+mn-lt"/>
              <a:ea typeface="+mn-ea"/>
              <a:cs typeface="+mn-cs"/>
            </a:rPr>
            <a:t>: Gaming rev up 22%, no activity during covid etc, also team sponsorship, also magazines did well. Translated into EBITDA.</a:t>
          </a:r>
          <a:endParaRPr lang="en-GB" sz="1100">
            <a:solidFill>
              <a:schemeClr val="dk1"/>
            </a:solidFill>
            <a:effectLst/>
            <a:latin typeface="+mn-lt"/>
            <a:ea typeface="+mn-ea"/>
            <a:cs typeface="+mn-cs"/>
          </a:endParaRPr>
        </a:p>
        <a:p>
          <a:pPr lvl="0"/>
          <a:r>
            <a:rPr lang="en-US" sz="1100" b="1">
              <a:solidFill>
                <a:schemeClr val="dk1"/>
              </a:solidFill>
              <a:effectLst/>
              <a:latin typeface="+mn-lt"/>
              <a:ea typeface="+mn-ea"/>
              <a:cs typeface="+mn-cs"/>
            </a:rPr>
            <a:t>Capex guidance given strong peso</a:t>
          </a:r>
          <a:r>
            <a:rPr lang="en-US" sz="1100">
              <a:solidFill>
                <a:schemeClr val="dk1"/>
              </a:solidFill>
              <a:effectLst/>
              <a:latin typeface="+mn-lt"/>
              <a:ea typeface="+mn-ea"/>
              <a:cs typeface="+mn-cs"/>
            </a:rPr>
            <a:t>: $620m to be invested this year, around that even capex.</a:t>
          </a:r>
          <a:endParaRPr lang="en-GB" sz="1100">
            <a:solidFill>
              <a:schemeClr val="dk1"/>
            </a:solidFill>
            <a:effectLst/>
            <a:latin typeface="+mn-lt"/>
            <a:ea typeface="+mn-ea"/>
            <a:cs typeface="+mn-cs"/>
          </a:endParaRPr>
        </a:p>
        <a:p>
          <a:pPr lvl="0"/>
          <a:r>
            <a:rPr lang="en-US" sz="1100" b="1">
              <a:solidFill>
                <a:schemeClr val="dk1"/>
              </a:solidFill>
              <a:effectLst/>
              <a:latin typeface="+mn-lt"/>
              <a:ea typeface="+mn-ea"/>
              <a:cs typeface="+mn-cs"/>
            </a:rPr>
            <a:t>MSO margins next quarter</a:t>
          </a:r>
          <a:r>
            <a:rPr lang="en-US" sz="1100">
              <a:solidFill>
                <a:schemeClr val="dk1"/>
              </a:solidFill>
              <a:effectLst/>
              <a:latin typeface="+mn-lt"/>
              <a:ea typeface="+mn-ea"/>
              <a:cs typeface="+mn-cs"/>
            </a:rPr>
            <a:t>: all cost reflected, no pass through inflation going forward.</a:t>
          </a:r>
          <a:endParaRPr lang="en-GB" sz="1100">
            <a:solidFill>
              <a:schemeClr val="dk1"/>
            </a:solidFill>
            <a:effectLst/>
            <a:latin typeface="+mn-lt"/>
            <a:ea typeface="+mn-ea"/>
            <a:cs typeface="+mn-cs"/>
          </a:endParaRPr>
        </a:p>
        <a:p>
          <a:pPr lvl="0"/>
          <a:r>
            <a:rPr lang="en-US" sz="1100" b="1">
              <a:solidFill>
                <a:schemeClr val="dk1"/>
              </a:solidFill>
              <a:effectLst/>
              <a:latin typeface="+mn-lt"/>
              <a:ea typeface="+mn-ea"/>
              <a:cs typeface="+mn-cs"/>
            </a:rPr>
            <a:t>Izzy churn vs compet churn, Telmex deployment</a:t>
          </a:r>
          <a:r>
            <a:rPr lang="en-US" sz="1100">
              <a:solidFill>
                <a:schemeClr val="dk1"/>
              </a:solidFill>
              <a:effectLst/>
              <a:latin typeface="+mn-lt"/>
              <a:ea typeface="+mn-ea"/>
              <a:cs typeface="+mn-cs"/>
            </a:rPr>
            <a:t>: churn bcs price up and especially end of promo.</a:t>
          </a:r>
          <a:endParaRPr lang="en-GB" sz="1100">
            <a:solidFill>
              <a:schemeClr val="dk1"/>
            </a:solidFill>
            <a:effectLst/>
            <a:latin typeface="+mn-lt"/>
            <a:ea typeface="+mn-ea"/>
            <a:cs typeface="+mn-cs"/>
          </a:endParaRPr>
        </a:p>
        <a:p>
          <a:pPr lvl="0"/>
          <a:r>
            <a:rPr lang="en-US" sz="1100" b="1">
              <a:solidFill>
                <a:schemeClr val="dk1"/>
              </a:solidFill>
              <a:effectLst/>
              <a:latin typeface="+mn-lt"/>
              <a:ea typeface="+mn-ea"/>
              <a:cs typeface="+mn-cs"/>
            </a:rPr>
            <a:t>Valim’s first diagnostic</a:t>
          </a:r>
          <a:r>
            <a:rPr lang="en-US" sz="1100">
              <a:solidFill>
                <a:schemeClr val="dk1"/>
              </a:solidFill>
              <a:effectLst/>
              <a:latin typeface="+mn-lt"/>
              <a:ea typeface="+mn-ea"/>
              <a:cs typeface="+mn-cs"/>
            </a:rPr>
            <a:t>: Opportunities in costs that can be done quickly</a:t>
          </a:r>
          <a:endParaRPr lang="en-GB" sz="1100">
            <a:solidFill>
              <a:schemeClr val="dk1"/>
            </a:solidFill>
            <a:effectLst/>
            <a:latin typeface="+mn-lt"/>
            <a:ea typeface="+mn-ea"/>
            <a:cs typeface="+mn-cs"/>
          </a:endParaRPr>
        </a:p>
        <a:p>
          <a:pPr lvl="0"/>
          <a:r>
            <a:rPr lang="en-US" sz="1100" b="1">
              <a:solidFill>
                <a:schemeClr val="dk1"/>
              </a:solidFill>
              <a:effectLst/>
              <a:latin typeface="+mn-lt"/>
              <a:ea typeface="+mn-ea"/>
              <a:cs typeface="+mn-cs"/>
            </a:rPr>
            <a:t>Cable HP strong developments in H1</a:t>
          </a:r>
          <a:r>
            <a:rPr lang="en-US" sz="1100">
              <a:solidFill>
                <a:schemeClr val="dk1"/>
              </a:solidFill>
              <a:effectLst/>
              <a:latin typeface="+mn-lt"/>
              <a:ea typeface="+mn-ea"/>
              <a:cs typeface="+mn-cs"/>
            </a:rPr>
            <a:t>: 7-800k HP expected this year, this tgt still remains </a:t>
          </a:r>
          <a:endParaRPr lang="en-GB" sz="1100">
            <a:solidFill>
              <a:schemeClr val="dk1"/>
            </a:solidFill>
            <a:effectLst/>
            <a:latin typeface="+mn-lt"/>
            <a:ea typeface="+mn-ea"/>
            <a:cs typeface="+mn-cs"/>
          </a:endParaRPr>
        </a:p>
        <a:p>
          <a:pPr lvl="0"/>
          <a:r>
            <a:rPr lang="en-US" sz="1100" b="1">
              <a:solidFill>
                <a:schemeClr val="dk1"/>
              </a:solidFill>
              <a:effectLst/>
              <a:latin typeface="+mn-lt"/>
              <a:ea typeface="+mn-ea"/>
              <a:cs typeface="+mn-cs"/>
            </a:rPr>
            <a:t>Cable net adds</a:t>
          </a:r>
          <a:r>
            <a:rPr lang="en-US" sz="1100">
              <a:solidFill>
                <a:schemeClr val="dk1"/>
              </a:solidFill>
              <a:effectLst/>
              <a:latin typeface="+mn-lt"/>
              <a:ea typeface="+mn-ea"/>
              <a:cs typeface="+mn-cs"/>
            </a:rPr>
            <a:t>: Gross adds good at 1.3m, in line w/ avg of L3Q, brought &gt;5m RGUs in  L12m, of which 2.2m BB subs. Izzy has 6.6m subs base w/ 35% penetration which is very good. Demand is robust, problem was churn. July is vacation month in Mexico and maybe some high churn too (not higher than June), August is a good month as it is back to school. Focused on getting back clients.</a:t>
          </a:r>
          <a:endParaRPr lang="en-GB" sz="1100">
            <a:solidFill>
              <a:schemeClr val="dk1"/>
            </a:solidFill>
            <a:effectLst/>
            <a:latin typeface="+mn-lt"/>
            <a:ea typeface="+mn-ea"/>
            <a:cs typeface="+mn-cs"/>
          </a:endParaRPr>
        </a:p>
        <a:p>
          <a:endParaRPr lang="en-GB" sz="1100"/>
        </a:p>
      </xdr:txBody>
    </xdr:sp>
    <xdr:clientData/>
  </xdr:twoCellAnchor>
  <xdr:twoCellAnchor>
    <xdr:from>
      <xdr:col>1</xdr:col>
      <xdr:colOff>136071</xdr:colOff>
      <xdr:row>6093</xdr:row>
      <xdr:rowOff>83736</xdr:rowOff>
    </xdr:from>
    <xdr:to>
      <xdr:col>14</xdr:col>
      <xdr:colOff>491950</xdr:colOff>
      <xdr:row>6120</xdr:row>
      <xdr:rowOff>31401</xdr:rowOff>
    </xdr:to>
    <xdr:sp macro="" textlink="">
      <xdr:nvSpPr>
        <xdr:cNvPr id="6" name="TextBox 5">
          <a:extLst>
            <a:ext uri="{FF2B5EF4-FFF2-40B4-BE49-F238E27FC236}">
              <a16:creationId xmlns:a16="http://schemas.microsoft.com/office/drawing/2014/main" id="{64B4238B-9B91-2A27-5117-BBF6E76B2B81}"/>
            </a:ext>
          </a:extLst>
        </xdr:cNvPr>
        <xdr:cNvSpPr txBox="1"/>
      </xdr:nvSpPr>
      <xdr:spPr>
        <a:xfrm>
          <a:off x="743159" y="1148851071"/>
          <a:ext cx="9859945" cy="5034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TVUNI Q3 23 call</a:t>
          </a:r>
        </a:p>
        <a:p>
          <a:endParaRPr lang="en-GB" sz="1100"/>
        </a:p>
        <a:p>
          <a:pPr rtl="0" eaLnBrk="1" latinLnBrk="0" hangingPunct="1"/>
          <a:r>
            <a:rPr lang="en-US" sz="1100" b="0">
              <a:solidFill>
                <a:schemeClr val="dk1"/>
              </a:solidFill>
              <a:effectLst/>
              <a:latin typeface="+mn-lt"/>
              <a:ea typeface="+mn-ea"/>
              <a:cs typeface="+mn-cs"/>
            </a:rPr>
            <a:t>Ad markets: Some softness this quarter, mainly on Linear but TVUNI continues to outperform peers. The US ads market was relatively soft in Q3, but the company grew by 3% excluding political and advocacy. Also, TVUNI outperformed the broader market by 800bps (according to the Magna reporting) which is an expansion vs. Q2. In Mexico, management seemed pleased with the performance/new clients activation given how concentrated the market is; performance was driven by new client activations as well as new advance solutions.</a:t>
          </a:r>
          <a:endParaRPr lang="en-GB" sz="1100">
            <a:effectLst/>
          </a:endParaRPr>
        </a:p>
        <a:p>
          <a:pPr rtl="0" eaLnBrk="1" latinLnBrk="0" hangingPunct="1"/>
          <a:r>
            <a:rPr lang="en-US" sz="1100" b="0">
              <a:solidFill>
                <a:schemeClr val="dk1"/>
              </a:solidFill>
              <a:effectLst/>
              <a:latin typeface="+mn-lt"/>
              <a:ea typeface="+mn-ea"/>
              <a:cs typeface="+mn-cs"/>
            </a:rPr>
            <a:t>Linear: Remains fundamentally healthy and a large opportunity going forward as it represents $600m to $700m of revenue opportunity at today’s viewership share. About US Linear, they put national/local TV and radio in Linear, and if you take political and advocacy and adjust for the radio station sold, Linear would be down a little less than 2%. From an Upfronts standpoint, Q4 should benefit from this as the Upfront are good. Overall, up high single digit in Upfronts in a market that is probably up low single digits.</a:t>
          </a:r>
          <a:endParaRPr lang="en-GB">
            <a:effectLst/>
          </a:endParaRPr>
        </a:p>
        <a:p>
          <a:pPr rtl="0" eaLnBrk="1" latinLnBrk="0" hangingPunct="1"/>
          <a:r>
            <a:rPr lang="en-GB" sz="1100" b="0">
              <a:solidFill>
                <a:schemeClr val="dk1"/>
              </a:solidFill>
              <a:effectLst/>
              <a:latin typeface="+mn-lt"/>
              <a:ea typeface="+mn-ea"/>
              <a:cs typeface="+mn-cs"/>
            </a:rPr>
            <a:t>ViX : Still early in launch and low in penetration. Emphasising the content offering and also adding features such as improving the content recommendations, multiple profiles, which helps with customer engagement and retention. Also improving distribution: they had only 60% of the connected TV market, now it is close to 100% coverage. Launching with MercadoLibre, one of the largest source of streaming subscriptions in LatAm. </a:t>
          </a:r>
          <a:endParaRPr lang="en-GB">
            <a:effectLst/>
          </a:endParaRPr>
        </a:p>
        <a:p>
          <a:pPr rtl="0" eaLnBrk="1" latinLnBrk="0" hangingPunct="1"/>
          <a:r>
            <a:rPr lang="en-GB" sz="1100" b="0">
              <a:solidFill>
                <a:schemeClr val="dk1"/>
              </a:solidFill>
              <a:effectLst/>
              <a:latin typeface="+mn-lt"/>
              <a:ea typeface="+mn-ea"/>
              <a:cs typeface="+mn-cs"/>
            </a:rPr>
            <a:t>ViX profitability: Management reiterated expectations about ViX being profitable in H2 2024 but one should not expect operating margins to be at 25% in H2 next year. Over time, as Streaming gets scale, management expects best in class margins.</a:t>
          </a:r>
          <a:endParaRPr lang="en-GB">
            <a:effectLst/>
          </a:endParaRPr>
        </a:p>
        <a:p>
          <a:pPr rtl="0" eaLnBrk="1" latinLnBrk="0" hangingPunct="1"/>
          <a:r>
            <a:rPr lang="en-US" sz="1100" b="0">
              <a:solidFill>
                <a:schemeClr val="dk1"/>
              </a:solidFill>
              <a:effectLst/>
              <a:latin typeface="+mn-lt"/>
              <a:ea typeface="+mn-ea"/>
              <a:cs typeface="+mn-cs"/>
            </a:rPr>
            <a:t>Sport remains strategic/critical for both Linear and Streaming. Focus is almost exclusively on soccer, have comprehensive and compelling offering. Home of Mexican football, have rights for 17 out of 18 teams and have the most important global tournament play (including UEFA champions etc), there is nobody else who have this volume. About right renewals, TVUNI has rights until the end of the decade in most cases.  </a:t>
          </a:r>
          <a:endParaRPr lang="en-GB">
            <a:effectLst/>
          </a:endParaRPr>
        </a:p>
        <a:p>
          <a:pPr rtl="0" eaLnBrk="1" latinLnBrk="0" hangingPunct="1"/>
          <a:r>
            <a:rPr lang="en-US" sz="1100" b="0">
              <a:solidFill>
                <a:schemeClr val="dk1"/>
              </a:solidFill>
              <a:effectLst/>
              <a:latin typeface="+mn-lt"/>
              <a:ea typeface="+mn-ea"/>
              <a:cs typeface="+mn-cs"/>
            </a:rPr>
            <a:t>Capex: Q3 23 capex was consistent with last year’s capex and management continues to expect FY23 capex to be roughly in line with FY22 at $150m.</a:t>
          </a:r>
          <a:endParaRPr lang="en-GB">
            <a:effectLst/>
          </a:endParaRPr>
        </a:p>
        <a:p>
          <a:pPr rtl="0" eaLnBrk="1" latinLnBrk="0" hangingPunct="1"/>
          <a:r>
            <a:rPr lang="en-US" sz="1100" b="0">
              <a:solidFill>
                <a:schemeClr val="dk1"/>
              </a:solidFill>
              <a:effectLst/>
              <a:latin typeface="+mn-lt"/>
              <a:ea typeface="+mn-ea"/>
              <a:cs typeface="+mn-cs"/>
            </a:rPr>
            <a:t>Balance sheet/ leverage (5.9x): Leverage remains one of the main focus. Management expects  leverage to remain around 6 times in Q4 and will start to improve next year as the Streaming profitability improves. Over the medium term, the company targets a net leverage ratio of &lt;4x. About the debt profile, $700m have been refinanced during Q3 and $1 billion will mature in Q1 2025.</a:t>
          </a:r>
          <a:endParaRPr lang="en-GB">
            <a:effectLst/>
          </a:endParaRPr>
        </a:p>
        <a:p>
          <a:pPr rtl="0" eaLnBrk="1" latinLnBrk="0" hangingPunct="1"/>
          <a:r>
            <a:rPr lang="en-US" sz="1100" b="0">
              <a:solidFill>
                <a:schemeClr val="dk1"/>
              </a:solidFill>
              <a:effectLst/>
              <a:latin typeface="+mn-lt"/>
              <a:ea typeface="+mn-ea"/>
              <a:cs typeface="+mn-cs"/>
            </a:rPr>
            <a:t>Q4 23: There are some challenging comps as Q4 last year benefited from the World Cup and the US mid term elections.</a:t>
          </a:r>
          <a:endParaRPr lang="en-GB">
            <a:effectLst/>
          </a:endParaRPr>
        </a:p>
        <a:p>
          <a:endParaRPr lang="en-GB" sz="1100"/>
        </a:p>
      </xdr:txBody>
    </xdr:sp>
    <xdr:clientData/>
  </xdr:twoCellAnchor>
  <xdr:twoCellAnchor>
    <xdr:from>
      <xdr:col>1</xdr:col>
      <xdr:colOff>261675</xdr:colOff>
      <xdr:row>6122</xdr:row>
      <xdr:rowOff>73270</xdr:rowOff>
    </xdr:from>
    <xdr:to>
      <xdr:col>26</xdr:col>
      <xdr:colOff>544286</xdr:colOff>
      <xdr:row>6167</xdr:row>
      <xdr:rowOff>104670</xdr:rowOff>
    </xdr:to>
    <xdr:sp macro="" textlink="">
      <xdr:nvSpPr>
        <xdr:cNvPr id="7" name="TextBox 6">
          <a:extLst>
            <a:ext uri="{FF2B5EF4-FFF2-40B4-BE49-F238E27FC236}">
              <a16:creationId xmlns:a16="http://schemas.microsoft.com/office/drawing/2014/main" id="{A0E3B87E-0251-FC21-4961-FEE307AFFC8C}"/>
            </a:ext>
          </a:extLst>
        </xdr:cNvPr>
        <xdr:cNvSpPr txBox="1"/>
      </xdr:nvSpPr>
      <xdr:spPr>
        <a:xfrm>
          <a:off x="868763" y="1154304396"/>
          <a:ext cx="17071732" cy="85096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GB" sz="1600">
              <a:solidFill>
                <a:schemeClr val="dk1"/>
              </a:solidFill>
              <a:effectLst/>
              <a:latin typeface="+mn-lt"/>
              <a:ea typeface="+mn-ea"/>
              <a:cs typeface="+mn-cs"/>
            </a:rPr>
            <a:t>Q3 23 call</a:t>
          </a:r>
        </a:p>
        <a:p>
          <a:pPr lvl="0"/>
          <a:endParaRPr lang="en-GB" sz="1600">
            <a:solidFill>
              <a:schemeClr val="dk1"/>
            </a:solidFill>
            <a:effectLst/>
            <a:latin typeface="+mn-lt"/>
            <a:ea typeface="+mn-ea"/>
            <a:cs typeface="+mn-cs"/>
          </a:endParaRPr>
        </a:p>
        <a:p>
          <a:pPr lvl="0"/>
          <a:r>
            <a:rPr lang="en-GB" sz="1600">
              <a:solidFill>
                <a:schemeClr val="dk1"/>
              </a:solidFill>
              <a:effectLst/>
              <a:latin typeface="+mn-lt"/>
              <a:ea typeface="+mn-ea"/>
              <a:cs typeface="+mn-cs"/>
            </a:rPr>
            <a:t>Valim: Market is mature. 70% penetration of homes. Customers need more speed. Capex deployment need to be strategic given current rates etc. Given the market structure currently, it is likely to lead to potential consolidation. Global macro and structure of the market currently call for reflection and our role in the coming years. Deep assessment of our cable business shows a change in strategy is needed for Televisa; now instead of rapid expansion the company will focus on quality of customers as well as on profitability/FCF.</a:t>
          </a:r>
        </a:p>
        <a:p>
          <a:pPr lvl="0"/>
          <a:r>
            <a:rPr lang="en-GB" sz="1600">
              <a:solidFill>
                <a:schemeClr val="dk1"/>
              </a:solidFill>
              <a:effectLst/>
              <a:latin typeface="+mn-lt"/>
              <a:ea typeface="+mn-ea"/>
              <a:cs typeface="+mn-cs"/>
            </a:rPr>
            <a:t>Enterprise segment failed to maintain key contracts and suffers from inflationary pressure. </a:t>
          </a:r>
        </a:p>
        <a:p>
          <a:pPr lvl="0"/>
          <a:r>
            <a:rPr lang="en-GB" sz="1600">
              <a:solidFill>
                <a:schemeClr val="dk1"/>
              </a:solidFill>
              <a:effectLst/>
              <a:latin typeface="+mn-lt"/>
              <a:ea typeface="+mn-ea"/>
              <a:cs typeface="+mn-cs"/>
            </a:rPr>
            <a:t>Pillars of the new strategy: 1-Focus on customer retention / 2-Sales quality to push customers to higher speeds / 3-Management the subs base to increase ARPU / 4-Enhance video offering / 5-Grow SME / 6-Turnaround enterprise, revamp commercial strategy.</a:t>
          </a:r>
        </a:p>
        <a:p>
          <a:pPr lvl="0"/>
          <a:r>
            <a:rPr lang="en-GB" sz="1600">
              <a:solidFill>
                <a:schemeClr val="dk1"/>
              </a:solidFill>
              <a:effectLst/>
              <a:latin typeface="+mn-lt"/>
              <a:ea typeface="+mn-ea"/>
              <a:cs typeface="+mn-cs"/>
            </a:rPr>
            <a:t>They will also: 1-Focus more in local than national in terms of marketing and subscriber gains / 2-Use new subs base management tools (big data) and push for more for more strategy / 3-Sales channels: digitalisation / 4-Cost structure review: opex/capex. Have started on opex (12% payroll); for capex, they are looking at it. Also, they are relocating HQ to save rent.</a:t>
          </a:r>
        </a:p>
        <a:p>
          <a:pPr lvl="0"/>
          <a:r>
            <a:rPr lang="en-GB" sz="1600">
              <a:solidFill>
                <a:schemeClr val="dk1"/>
              </a:solidFill>
              <a:effectLst/>
              <a:latin typeface="+mn-lt"/>
              <a:ea typeface="+mn-ea"/>
              <a:cs typeface="+mn-cs"/>
            </a:rPr>
            <a:t>Renew focus on revenue and EBITDA growth.</a:t>
          </a:r>
        </a:p>
        <a:p>
          <a:pPr lvl="0"/>
          <a:r>
            <a:rPr lang="en-GB" sz="1600">
              <a:solidFill>
                <a:schemeClr val="dk1"/>
              </a:solidFill>
              <a:effectLst/>
              <a:latin typeface="+mn-lt"/>
              <a:ea typeface="+mn-ea"/>
              <a:cs typeface="+mn-cs"/>
            </a:rPr>
            <a:t>Will do price increase to pass through inflation.</a:t>
          </a:r>
        </a:p>
        <a:p>
          <a:pPr lvl="0"/>
          <a:r>
            <a:rPr lang="en-GB" sz="1600">
              <a:solidFill>
                <a:schemeClr val="dk1"/>
              </a:solidFill>
              <a:effectLst/>
              <a:latin typeface="+mn-lt"/>
              <a:ea typeface="+mn-ea"/>
              <a:cs typeface="+mn-cs"/>
            </a:rPr>
            <a:t>Target for HP: 400k new homes per year. Less volume, more focus on quality.</a:t>
          </a:r>
        </a:p>
        <a:p>
          <a:pPr lvl="0"/>
          <a:r>
            <a:rPr lang="en-GB" sz="1600">
              <a:solidFill>
                <a:schemeClr val="dk1"/>
              </a:solidFill>
              <a:effectLst/>
              <a:latin typeface="+mn-lt"/>
              <a:ea typeface="+mn-ea"/>
              <a:cs typeface="+mn-cs"/>
            </a:rPr>
            <a:t>Expect </a:t>
          </a:r>
          <a:r>
            <a:rPr lang="en-GB" sz="1600" b="0">
              <a:solidFill>
                <a:schemeClr val="dk1"/>
              </a:solidFill>
              <a:effectLst/>
              <a:latin typeface="+mn-lt"/>
              <a:ea typeface="+mn-ea"/>
              <a:cs typeface="+mn-cs"/>
            </a:rPr>
            <a:t>Q4 margins to expand by </a:t>
          </a:r>
          <a:r>
            <a:rPr lang="en-GB" sz="1600">
              <a:solidFill>
                <a:schemeClr val="dk1"/>
              </a:solidFill>
              <a:effectLst/>
              <a:latin typeface="+mn-lt"/>
              <a:ea typeface="+mn-ea"/>
              <a:cs typeface="+mn-cs"/>
            </a:rPr>
            <a:t>200bps in residential thanks to 12% payroll savings.</a:t>
          </a:r>
        </a:p>
        <a:p>
          <a:pPr lvl="0"/>
          <a:r>
            <a:rPr lang="en-GB" sz="1600">
              <a:solidFill>
                <a:schemeClr val="dk1"/>
              </a:solidFill>
              <a:effectLst/>
              <a:latin typeface="+mn-lt"/>
              <a:ea typeface="+mn-ea"/>
              <a:cs typeface="+mn-cs"/>
            </a:rPr>
            <a:t>Global macro more challenging than expected. Putting effort in restructuring the business. This will help FCF generation. </a:t>
          </a:r>
        </a:p>
        <a:p>
          <a:pPr lvl="0"/>
          <a:r>
            <a:rPr lang="en-GB" sz="1600">
              <a:solidFill>
                <a:schemeClr val="dk1"/>
              </a:solidFill>
              <a:effectLst/>
              <a:latin typeface="+mn-lt"/>
              <a:ea typeface="+mn-ea"/>
              <a:cs typeface="+mn-cs"/>
            </a:rPr>
            <a:t>TVUNI: Narrowed DTC losses this quarter and continue to target profitability in H2 2024.</a:t>
          </a:r>
        </a:p>
        <a:p>
          <a:pPr lvl="0"/>
          <a:r>
            <a:rPr lang="en-GB" sz="1600">
              <a:solidFill>
                <a:schemeClr val="dk1"/>
              </a:solidFill>
              <a:effectLst/>
              <a:latin typeface="+mn-lt"/>
              <a:ea typeface="+mn-ea"/>
              <a:cs typeface="+mn-cs"/>
            </a:rPr>
            <a:t>ViX: Focus on whole business. ViX is aligned, will be a key engine for rev and EBITDA growth, also in longer term. 1) Customer engagement 2) marketing 3) monetising. In 2024 matrix to cover these 3 points.</a:t>
          </a:r>
        </a:p>
        <a:p>
          <a:pPr lvl="0"/>
          <a:r>
            <a:rPr lang="en-GB" sz="1600">
              <a:solidFill>
                <a:schemeClr val="dk1"/>
              </a:solidFill>
              <a:effectLst/>
              <a:latin typeface="+mn-lt"/>
              <a:ea typeface="+mn-ea"/>
              <a:cs typeface="+mn-cs"/>
            </a:rPr>
            <a:t>Shift in cable strategy: FCF generation and capex optimisation. </a:t>
          </a:r>
        </a:p>
        <a:p>
          <a:pPr lvl="0"/>
          <a:r>
            <a:rPr lang="en-GB" sz="1600" b="0">
              <a:solidFill>
                <a:schemeClr val="dk1"/>
              </a:solidFill>
              <a:effectLst/>
              <a:latin typeface="+mn-lt"/>
              <a:ea typeface="+mn-ea"/>
              <a:cs typeface="+mn-cs"/>
            </a:rPr>
            <a:t>Still some pressure in Q4, finalising headcount reduction as still implementing a few things. After that 40% range EBITDA and revenue to grow low single digit in the next 2-3 years. We see sequential improvements for the foreseeable future.</a:t>
          </a:r>
        </a:p>
        <a:p>
          <a:pPr lvl="0"/>
          <a:r>
            <a:rPr lang="en-GB" sz="1600">
              <a:solidFill>
                <a:schemeClr val="dk1"/>
              </a:solidFill>
              <a:effectLst/>
              <a:latin typeface="+mn-lt"/>
              <a:ea typeface="+mn-ea"/>
              <a:cs typeface="+mn-cs"/>
            </a:rPr>
            <a:t>M&amp;A in Mexico: We tried hard, we put an attractive offer on table… 4 players market doesn’t last long, some competitors already facing challenges (financing etc) think there will be M&amp;A at some point. Some players developing ftth like crazy without being able to pay for this. Conso will happen eventually.</a:t>
          </a:r>
        </a:p>
        <a:p>
          <a:pPr lvl="0"/>
          <a:r>
            <a:rPr lang="en-GB" sz="1600">
              <a:solidFill>
                <a:schemeClr val="dk1"/>
              </a:solidFill>
              <a:effectLst/>
              <a:latin typeface="+mn-lt"/>
              <a:ea typeface="+mn-ea"/>
              <a:cs typeface="+mn-cs"/>
            </a:rPr>
            <a:t>TVUNI/ Capital structure of JV, how to raise capital: focus is to max shareholder value. Time is when deliver DTC profitability. So far only Netflix has done that. In the next 9 months will start to be profitable and there will be an inflection point. Have lots of liquidity/plenty of cash to be patient to wait for the right timing. After that focused on deleveraging the company. Orga deleveraging will also happen.</a:t>
          </a:r>
        </a:p>
        <a:p>
          <a:pPr lvl="0"/>
          <a:r>
            <a:rPr lang="en-GB" sz="1600">
              <a:solidFill>
                <a:schemeClr val="dk1"/>
              </a:solidFill>
              <a:effectLst/>
              <a:latin typeface="+mn-lt"/>
              <a:ea typeface="+mn-ea"/>
              <a:cs typeface="+mn-cs"/>
            </a:rPr>
            <a:t>Televisa not considering putting more money in TVUNI. Not considering consolidating TVUNI at this stage.</a:t>
          </a:r>
        </a:p>
        <a:p>
          <a:pPr lvl="0"/>
          <a:r>
            <a:rPr lang="en-GB" sz="1600">
              <a:solidFill>
                <a:schemeClr val="dk1"/>
              </a:solidFill>
              <a:effectLst/>
              <a:latin typeface="+mn-lt"/>
              <a:ea typeface="+mn-ea"/>
              <a:cs typeface="+mn-cs"/>
            </a:rPr>
            <a:t>Cable unique subs post clean-up? Unique users/households of 6.252m after clean-up. HH penetration: for “the more legacy customers” it is close to 40% and they represent ~80% of our customer base and then lower cities this is around 10-15-20% penetration.</a:t>
          </a:r>
        </a:p>
        <a:p>
          <a:r>
            <a:rPr lang="en-GB" sz="1600">
              <a:solidFill>
                <a:schemeClr val="dk1"/>
              </a:solidFill>
              <a:effectLst/>
              <a:latin typeface="+mn-lt"/>
              <a:ea typeface="+mn-ea"/>
              <a:cs typeface="+mn-cs"/>
            </a:rPr>
            <a:t> </a:t>
          </a:r>
        </a:p>
        <a:p>
          <a:pPr lvl="0"/>
          <a:r>
            <a:rPr lang="en-GB" sz="1600">
              <a:solidFill>
                <a:schemeClr val="dk1"/>
              </a:solidFill>
              <a:effectLst/>
              <a:latin typeface="+mn-lt"/>
              <a:ea typeface="+mn-ea"/>
              <a:cs typeface="+mn-cs"/>
            </a:rPr>
            <a:t>Competitive environment: Stable mkt;  compet on promotions, no price deterioration. Px stable over last several quarters.</a:t>
          </a:r>
        </a:p>
        <a:p>
          <a:pPr lvl="0"/>
          <a:r>
            <a:rPr lang="en-GB" sz="1600">
              <a:solidFill>
                <a:schemeClr val="dk1"/>
              </a:solidFill>
              <a:effectLst/>
              <a:latin typeface="+mn-lt"/>
              <a:ea typeface="+mn-ea"/>
              <a:cs typeface="+mn-cs"/>
            </a:rPr>
            <a:t>Fibre upgrade: our network can deliver 1gps, 200+ video channels, more than enough.</a:t>
          </a:r>
        </a:p>
        <a:p>
          <a:pPr lvl="0"/>
          <a:r>
            <a:rPr lang="en-GB" sz="1600">
              <a:solidFill>
                <a:schemeClr val="dk1"/>
              </a:solidFill>
              <a:effectLst/>
              <a:latin typeface="+mn-lt"/>
              <a:ea typeface="+mn-ea"/>
              <a:cs typeface="+mn-cs"/>
            </a:rPr>
            <a:t>Tax next year: income tax line included non-recurring exp of 900m which is reduction of historic deferred asset.</a:t>
          </a:r>
        </a:p>
        <a:p>
          <a:pPr lvl="0"/>
          <a:r>
            <a:rPr lang="en-GB" sz="1600" b="0">
              <a:solidFill>
                <a:schemeClr val="dk1"/>
              </a:solidFill>
              <a:effectLst/>
              <a:latin typeface="+mn-lt"/>
              <a:ea typeface="+mn-ea"/>
              <a:cs typeface="+mn-cs"/>
            </a:rPr>
            <a:t>Capex/leverage: capex to go to close to 20% (from 26% today).</a:t>
          </a:r>
        </a:p>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42</xdr:col>
      <xdr:colOff>312966</xdr:colOff>
      <xdr:row>239</xdr:row>
      <xdr:rowOff>108856</xdr:rowOff>
    </xdr:from>
    <xdr:to>
      <xdr:col>50</xdr:col>
      <xdr:colOff>54428</xdr:colOff>
      <xdr:row>259</xdr:row>
      <xdr:rowOff>17687</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108855</xdr:colOff>
      <xdr:row>18</xdr:row>
      <xdr:rowOff>50345</xdr:rowOff>
    </xdr:from>
    <xdr:to>
      <xdr:col>49</xdr:col>
      <xdr:colOff>326570</xdr:colOff>
      <xdr:row>35</xdr:row>
      <xdr:rowOff>108857</xdr:rowOff>
    </xdr:to>
    <xdr:graphicFrame macro="">
      <xdr:nvGraphicFramePr>
        <xdr:cNvPr id="3" name="Chart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68035</xdr:colOff>
      <xdr:row>261</xdr:row>
      <xdr:rowOff>23131</xdr:rowOff>
    </xdr:from>
    <xdr:to>
      <xdr:col>50</xdr:col>
      <xdr:colOff>163286</xdr:colOff>
      <xdr:row>283</xdr:row>
      <xdr:rowOff>112939</xdr:rowOff>
    </xdr:to>
    <xdr:graphicFrame macro="">
      <xdr:nvGraphicFramePr>
        <xdr:cNvPr id="4" name="Chart 3">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421821</xdr:colOff>
      <xdr:row>190</xdr:row>
      <xdr:rowOff>77559</xdr:rowOff>
    </xdr:from>
    <xdr:to>
      <xdr:col>8</xdr:col>
      <xdr:colOff>204107</xdr:colOff>
      <xdr:row>207</xdr:row>
      <xdr:rowOff>108856</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51</xdr:col>
      <xdr:colOff>122464</xdr:colOff>
      <xdr:row>261</xdr:row>
      <xdr:rowOff>9523</xdr:rowOff>
    </xdr:from>
    <xdr:to>
      <xdr:col>58</xdr:col>
      <xdr:colOff>176893</xdr:colOff>
      <xdr:row>279</xdr:row>
      <xdr:rowOff>122463</xdr:rowOff>
    </xdr:to>
    <xdr:graphicFrame macro="">
      <xdr:nvGraphicFramePr>
        <xdr:cNvPr id="6" name="Chart 5">
          <a:extLst>
            <a:ext uri="{FF2B5EF4-FFF2-40B4-BE49-F238E27FC236}">
              <a16:creationId xmlns:a16="http://schemas.microsoft.com/office/drawing/2014/main" id="{00000000-0008-0000-0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51</xdr:col>
      <xdr:colOff>244929</xdr:colOff>
      <xdr:row>243</xdr:row>
      <xdr:rowOff>104775</xdr:rowOff>
    </xdr:from>
    <xdr:to>
      <xdr:col>58</xdr:col>
      <xdr:colOff>353785</xdr:colOff>
      <xdr:row>258</xdr:row>
      <xdr:rowOff>136071</xdr:rowOff>
    </xdr:to>
    <xdr:graphicFrame macro="">
      <xdr:nvGraphicFramePr>
        <xdr:cNvPr id="8" name="Chart 7">
          <a:extLst>
            <a:ext uri="{FF2B5EF4-FFF2-40B4-BE49-F238E27FC236}">
              <a16:creationId xmlns:a16="http://schemas.microsoft.com/office/drawing/2014/main" id="{00000000-0008-0000-0F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149679</xdr:colOff>
      <xdr:row>215</xdr:row>
      <xdr:rowOff>179613</xdr:rowOff>
    </xdr:from>
    <xdr:to>
      <xdr:col>77</xdr:col>
      <xdr:colOff>326571</xdr:colOff>
      <xdr:row>232</xdr:row>
      <xdr:rowOff>122464</xdr:rowOff>
    </xdr:to>
    <xdr:graphicFrame macro="">
      <xdr:nvGraphicFramePr>
        <xdr:cNvPr id="7" name="Chart 6">
          <a:extLst>
            <a:ext uri="{FF2B5EF4-FFF2-40B4-BE49-F238E27FC236}">
              <a16:creationId xmlns:a16="http://schemas.microsoft.com/office/drawing/2014/main" id="{00000000-0008-0000-0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70</xdr:col>
      <xdr:colOff>476251</xdr:colOff>
      <xdr:row>251</xdr:row>
      <xdr:rowOff>40821</xdr:rowOff>
    </xdr:from>
    <xdr:to>
      <xdr:col>77</xdr:col>
      <xdr:colOff>40821</xdr:colOff>
      <xdr:row>268</xdr:row>
      <xdr:rowOff>130628</xdr:rowOff>
    </xdr:to>
    <xdr:graphicFrame macro="">
      <xdr:nvGraphicFramePr>
        <xdr:cNvPr id="9" name="Chart 8">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79</xdr:col>
      <xdr:colOff>54428</xdr:colOff>
      <xdr:row>216</xdr:row>
      <xdr:rowOff>40821</xdr:rowOff>
    </xdr:from>
    <xdr:to>
      <xdr:col>85</xdr:col>
      <xdr:colOff>231320</xdr:colOff>
      <xdr:row>232</xdr:row>
      <xdr:rowOff>176893</xdr:rowOff>
    </xdr:to>
    <xdr:graphicFrame macro="">
      <xdr:nvGraphicFramePr>
        <xdr:cNvPr id="10" name="Chart 9">
          <a:extLst>
            <a:ext uri="{FF2B5EF4-FFF2-40B4-BE49-F238E27FC236}">
              <a16:creationId xmlns:a16="http://schemas.microsoft.com/office/drawing/2014/main" id="{63927127-E8E0-4946-8236-545A13CF4B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41413</xdr:colOff>
      <xdr:row>262</xdr:row>
      <xdr:rowOff>24848</xdr:rowOff>
    </xdr:from>
    <xdr:to>
      <xdr:col>30</xdr:col>
      <xdr:colOff>75728</xdr:colOff>
      <xdr:row>276</xdr:row>
      <xdr:rowOff>109981</xdr:rowOff>
    </xdr:to>
    <xdr:graphicFrame macro="">
      <xdr:nvGraphicFramePr>
        <xdr:cNvPr id="11" name="Chart 10">
          <a:extLst>
            <a:ext uri="{FF2B5EF4-FFF2-40B4-BE49-F238E27FC236}">
              <a16:creationId xmlns:a16="http://schemas.microsoft.com/office/drawing/2014/main" id="{767FB204-7B4C-4E28-A4E3-F9EB035743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31</xdr:col>
      <xdr:colOff>25335</xdr:colOff>
      <xdr:row>262</xdr:row>
      <xdr:rowOff>12668</xdr:rowOff>
    </xdr:from>
    <xdr:to>
      <xdr:col>35</xdr:col>
      <xdr:colOff>563217</xdr:colOff>
      <xdr:row>276</xdr:row>
      <xdr:rowOff>124240</xdr:rowOff>
    </xdr:to>
    <xdr:graphicFrame macro="">
      <xdr:nvGraphicFramePr>
        <xdr:cNvPr id="13" name="Chart 12">
          <a:extLst>
            <a:ext uri="{FF2B5EF4-FFF2-40B4-BE49-F238E27FC236}">
              <a16:creationId xmlns:a16="http://schemas.microsoft.com/office/drawing/2014/main" id="{9D79CDD8-57AD-495E-AE17-8F97BC8656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32</xdr:col>
      <xdr:colOff>436414</xdr:colOff>
      <xdr:row>13</xdr:row>
      <xdr:rowOff>93059</xdr:rowOff>
    </xdr:from>
    <xdr:to>
      <xdr:col>36</xdr:col>
      <xdr:colOff>406930</xdr:colOff>
      <xdr:row>27</xdr:row>
      <xdr:rowOff>106665</xdr:rowOff>
    </xdr:to>
    <xdr:graphicFrame macro="">
      <xdr:nvGraphicFramePr>
        <xdr:cNvPr id="3" name="Chart 2">
          <a:extLst>
            <a:ext uri="{FF2B5EF4-FFF2-40B4-BE49-F238E27FC236}">
              <a16:creationId xmlns:a16="http://schemas.microsoft.com/office/drawing/2014/main" id="{0DE0D558-BAFE-4E68-ABFD-3C9CB4E52F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33618</xdr:colOff>
      <xdr:row>21</xdr:row>
      <xdr:rowOff>122463</xdr:rowOff>
    </xdr:from>
    <xdr:to>
      <xdr:col>12</xdr:col>
      <xdr:colOff>369794</xdr:colOff>
      <xdr:row>34</xdr:row>
      <xdr:rowOff>122142</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217713</xdr:colOff>
      <xdr:row>57</xdr:row>
      <xdr:rowOff>104774</xdr:rowOff>
    </xdr:from>
    <xdr:to>
      <xdr:col>16</xdr:col>
      <xdr:colOff>557892</xdr:colOff>
      <xdr:row>73</xdr:row>
      <xdr:rowOff>176893</xdr:rowOff>
    </xdr:to>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449036</xdr:colOff>
      <xdr:row>177</xdr:row>
      <xdr:rowOff>9525</xdr:rowOff>
    </xdr:from>
    <xdr:to>
      <xdr:col>23</xdr:col>
      <xdr:colOff>0</xdr:colOff>
      <xdr:row>192</xdr:row>
      <xdr:rowOff>81644</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530678</xdr:colOff>
      <xdr:row>191</xdr:row>
      <xdr:rowOff>186415</xdr:rowOff>
    </xdr:from>
    <xdr:to>
      <xdr:col>23</xdr:col>
      <xdr:colOff>0</xdr:colOff>
      <xdr:row>206</xdr:row>
      <xdr:rowOff>68035</xdr:rowOff>
    </xdr:to>
    <xdr:graphicFrame macro="">
      <xdr:nvGraphicFramePr>
        <xdr:cNvPr id="6" name="Chart 5">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68036</xdr:colOff>
      <xdr:row>223</xdr:row>
      <xdr:rowOff>50345</xdr:rowOff>
    </xdr:from>
    <xdr:to>
      <xdr:col>7</xdr:col>
      <xdr:colOff>54429</xdr:colOff>
      <xdr:row>236</xdr:row>
      <xdr:rowOff>136071</xdr:rowOff>
    </xdr:to>
    <xdr:graphicFrame macro="">
      <xdr:nvGraphicFramePr>
        <xdr:cNvPr id="7" name="Chart 6">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81642</xdr:colOff>
      <xdr:row>229</xdr:row>
      <xdr:rowOff>176893</xdr:rowOff>
    </xdr:from>
    <xdr:to>
      <xdr:col>15</xdr:col>
      <xdr:colOff>476250</xdr:colOff>
      <xdr:row>241</xdr:row>
      <xdr:rowOff>163284</xdr:rowOff>
    </xdr:to>
    <xdr:graphicFrame macro="">
      <xdr:nvGraphicFramePr>
        <xdr:cNvPr id="8" name="Chart 7">
          <a:extLst>
            <a:ext uri="{FF2B5EF4-FFF2-40B4-BE49-F238E27FC236}">
              <a16:creationId xmlns:a16="http://schemas.microsoft.com/office/drawing/2014/main" id="{00000000-0008-0000-0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108857</xdr:colOff>
      <xdr:row>242</xdr:row>
      <xdr:rowOff>204106</xdr:rowOff>
    </xdr:from>
    <xdr:to>
      <xdr:col>15</xdr:col>
      <xdr:colOff>503465</xdr:colOff>
      <xdr:row>254</xdr:row>
      <xdr:rowOff>149678</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54429</xdr:colOff>
      <xdr:row>84</xdr:row>
      <xdr:rowOff>36739</xdr:rowOff>
    </xdr:from>
    <xdr:to>
      <xdr:col>12</xdr:col>
      <xdr:colOff>340179</xdr:colOff>
      <xdr:row>98</xdr:row>
      <xdr:rowOff>112939</xdr:rowOff>
    </xdr:to>
    <xdr:graphicFrame macro="">
      <xdr:nvGraphicFramePr>
        <xdr:cNvPr id="10" name="Chart 9">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1088571</xdr:colOff>
      <xdr:row>697</xdr:row>
      <xdr:rowOff>40820</xdr:rowOff>
    </xdr:from>
    <xdr:to>
      <xdr:col>16</xdr:col>
      <xdr:colOff>95250</xdr:colOff>
      <xdr:row>719</xdr:row>
      <xdr:rowOff>179294</xdr:rowOff>
    </xdr:to>
    <xdr:graphicFrame macro="">
      <xdr:nvGraphicFramePr>
        <xdr:cNvPr id="11" name="Chart 10">
          <a:extLst>
            <a:ext uri="{FF2B5EF4-FFF2-40B4-BE49-F238E27FC236}">
              <a16:creationId xmlns:a16="http://schemas.microsoft.com/office/drawing/2014/main" id="{00000000-0008-0000-0A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462644</xdr:colOff>
      <xdr:row>772</xdr:row>
      <xdr:rowOff>44824</xdr:rowOff>
    </xdr:from>
    <xdr:to>
      <xdr:col>14</xdr:col>
      <xdr:colOff>122465</xdr:colOff>
      <xdr:row>786</xdr:row>
      <xdr:rowOff>0</xdr:rowOff>
    </xdr:to>
    <xdr:graphicFrame macro="">
      <xdr:nvGraphicFramePr>
        <xdr:cNvPr id="5" name="Chart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795</xdr:row>
      <xdr:rowOff>0</xdr:rowOff>
    </xdr:from>
    <xdr:to>
      <xdr:col>14</xdr:col>
      <xdr:colOff>272143</xdr:colOff>
      <xdr:row>809</xdr:row>
      <xdr:rowOff>76200</xdr:rowOff>
    </xdr:to>
    <xdr:graphicFrame macro="">
      <xdr:nvGraphicFramePr>
        <xdr:cNvPr id="12" name="Chart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68036</xdr:colOff>
      <xdr:row>814</xdr:row>
      <xdr:rowOff>13607</xdr:rowOff>
    </xdr:from>
    <xdr:to>
      <xdr:col>19</xdr:col>
      <xdr:colOff>585107</xdr:colOff>
      <xdr:row>827</xdr:row>
      <xdr:rowOff>119743</xdr:rowOff>
    </xdr:to>
    <xdr:graphicFrame macro="">
      <xdr:nvGraphicFramePr>
        <xdr:cNvPr id="13" name="Chart 12">
          <a:extLst>
            <a:ext uri="{FF2B5EF4-FFF2-40B4-BE49-F238E27FC236}">
              <a16:creationId xmlns:a16="http://schemas.microsoft.com/office/drawing/2014/main" id="{00000000-0008-0000-0A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394607</xdr:colOff>
      <xdr:row>833</xdr:row>
      <xdr:rowOff>84365</xdr:rowOff>
    </xdr:from>
    <xdr:to>
      <xdr:col>10</xdr:col>
      <xdr:colOff>190500</xdr:colOff>
      <xdr:row>847</xdr:row>
      <xdr:rowOff>160565</xdr:rowOff>
    </xdr:to>
    <xdr:graphicFrame macro="">
      <xdr:nvGraphicFramePr>
        <xdr:cNvPr id="15" name="Chart 14">
          <a:extLst>
            <a:ext uri="{FF2B5EF4-FFF2-40B4-BE49-F238E27FC236}">
              <a16:creationId xmlns:a16="http://schemas.microsoft.com/office/drawing/2014/main" id="{00000000-0008-0000-0A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1120588</xdr:colOff>
      <xdr:row>737</xdr:row>
      <xdr:rowOff>85165</xdr:rowOff>
    </xdr:from>
    <xdr:to>
      <xdr:col>14</xdr:col>
      <xdr:colOff>324971</xdr:colOff>
      <xdr:row>756</xdr:row>
      <xdr:rowOff>156883</xdr:rowOff>
    </xdr:to>
    <xdr:graphicFrame macro="">
      <xdr:nvGraphicFramePr>
        <xdr:cNvPr id="20" name="Chart 19">
          <a:extLst>
            <a:ext uri="{FF2B5EF4-FFF2-40B4-BE49-F238E27FC236}">
              <a16:creationId xmlns:a16="http://schemas.microsoft.com/office/drawing/2014/main" id="{00000000-0008-0000-0A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33618</xdr:colOff>
      <xdr:row>879</xdr:row>
      <xdr:rowOff>174811</xdr:rowOff>
    </xdr:from>
    <xdr:to>
      <xdr:col>9</xdr:col>
      <xdr:colOff>268941</xdr:colOff>
      <xdr:row>894</xdr:row>
      <xdr:rowOff>60511</xdr:rowOff>
    </xdr:to>
    <xdr:graphicFrame macro="">
      <xdr:nvGraphicFramePr>
        <xdr:cNvPr id="18" name="Chart 17">
          <a:extLst>
            <a:ext uri="{FF2B5EF4-FFF2-40B4-BE49-F238E27FC236}">
              <a16:creationId xmlns:a16="http://schemas.microsoft.com/office/drawing/2014/main" id="{00000000-0008-0000-0A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335189</xdr:colOff>
      <xdr:row>1079</xdr:row>
      <xdr:rowOff>168728</xdr:rowOff>
    </xdr:from>
    <xdr:to>
      <xdr:col>18</xdr:col>
      <xdr:colOff>435428</xdr:colOff>
      <xdr:row>1097</xdr:row>
      <xdr:rowOff>54427</xdr:rowOff>
    </xdr:to>
    <xdr:graphicFrame macro="">
      <xdr:nvGraphicFramePr>
        <xdr:cNvPr id="17" name="Chart 16">
          <a:extLst>
            <a:ext uri="{FF2B5EF4-FFF2-40B4-BE49-F238E27FC236}">
              <a16:creationId xmlns:a16="http://schemas.microsoft.com/office/drawing/2014/main" id="{00000000-0008-0000-0A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68036</xdr:colOff>
      <xdr:row>1100</xdr:row>
      <xdr:rowOff>125186</xdr:rowOff>
    </xdr:from>
    <xdr:to>
      <xdr:col>23</xdr:col>
      <xdr:colOff>0</xdr:colOff>
      <xdr:row>1116</xdr:row>
      <xdr:rowOff>10886</xdr:rowOff>
    </xdr:to>
    <xdr:graphicFrame macro="">
      <xdr:nvGraphicFramePr>
        <xdr:cNvPr id="14" name="Chart 13">
          <a:extLst>
            <a:ext uri="{FF2B5EF4-FFF2-40B4-BE49-F238E27FC236}">
              <a16:creationId xmlns:a16="http://schemas.microsoft.com/office/drawing/2014/main" id="{00000000-0008-0000-0A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394607</xdr:colOff>
      <xdr:row>1300</xdr:row>
      <xdr:rowOff>84363</xdr:rowOff>
    </xdr:from>
    <xdr:to>
      <xdr:col>23</xdr:col>
      <xdr:colOff>299357</xdr:colOff>
      <xdr:row>1319</xdr:row>
      <xdr:rowOff>163284</xdr:rowOff>
    </xdr:to>
    <xdr:graphicFrame macro="">
      <xdr:nvGraphicFramePr>
        <xdr:cNvPr id="16" name="Chart 15">
          <a:extLst>
            <a:ext uri="{FF2B5EF4-FFF2-40B4-BE49-F238E27FC236}">
              <a16:creationId xmlns:a16="http://schemas.microsoft.com/office/drawing/2014/main" id="{34A6ED91-7DE8-4B99-9927-B45F9AD607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1300</xdr:row>
      <xdr:rowOff>0</xdr:rowOff>
    </xdr:from>
    <xdr:to>
      <xdr:col>31</xdr:col>
      <xdr:colOff>517072</xdr:colOff>
      <xdr:row>1316</xdr:row>
      <xdr:rowOff>163285</xdr:rowOff>
    </xdr:to>
    <xdr:graphicFrame macro="">
      <xdr:nvGraphicFramePr>
        <xdr:cNvPr id="21" name="Chart 20">
          <a:extLst>
            <a:ext uri="{FF2B5EF4-FFF2-40B4-BE49-F238E27FC236}">
              <a16:creationId xmlns:a16="http://schemas.microsoft.com/office/drawing/2014/main" id="{DD8CE93B-DE53-4E05-98C6-BFCD59F57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1347107</xdr:colOff>
      <xdr:row>1265</xdr:row>
      <xdr:rowOff>179614</xdr:rowOff>
    </xdr:from>
    <xdr:to>
      <xdr:col>7</xdr:col>
      <xdr:colOff>653143</xdr:colOff>
      <xdr:row>1279</xdr:row>
      <xdr:rowOff>65314</xdr:rowOff>
    </xdr:to>
    <xdr:graphicFrame macro="">
      <xdr:nvGraphicFramePr>
        <xdr:cNvPr id="19" name="Chart 18">
          <a:extLst>
            <a:ext uri="{FF2B5EF4-FFF2-40B4-BE49-F238E27FC236}">
              <a16:creationId xmlns:a16="http://schemas.microsoft.com/office/drawing/2014/main" id="{996BF3B7-0375-41CC-93FC-208AF891A1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0</xdr:colOff>
      <xdr:row>1281</xdr:row>
      <xdr:rowOff>0</xdr:rowOff>
    </xdr:from>
    <xdr:to>
      <xdr:col>7</xdr:col>
      <xdr:colOff>666750</xdr:colOff>
      <xdr:row>1294</xdr:row>
      <xdr:rowOff>89807</xdr:rowOff>
    </xdr:to>
    <xdr:graphicFrame macro="">
      <xdr:nvGraphicFramePr>
        <xdr:cNvPr id="22" name="Chart 21">
          <a:extLst>
            <a:ext uri="{FF2B5EF4-FFF2-40B4-BE49-F238E27FC236}">
              <a16:creationId xmlns:a16="http://schemas.microsoft.com/office/drawing/2014/main" id="{BABB85EE-C68E-4500-A926-C8D4B1398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435428</xdr:colOff>
      <xdr:row>1387</xdr:row>
      <xdr:rowOff>70757</xdr:rowOff>
    </xdr:from>
    <xdr:to>
      <xdr:col>7</xdr:col>
      <xdr:colOff>136071</xdr:colOff>
      <xdr:row>1401</xdr:row>
      <xdr:rowOff>146957</xdr:rowOff>
    </xdr:to>
    <xdr:graphicFrame macro="">
      <xdr:nvGraphicFramePr>
        <xdr:cNvPr id="23" name="Chart 22">
          <a:extLst>
            <a:ext uri="{FF2B5EF4-FFF2-40B4-BE49-F238E27FC236}">
              <a16:creationId xmlns:a16="http://schemas.microsoft.com/office/drawing/2014/main" id="{20FAB8D6-CBDF-4B36-891D-E5C4ECF68C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517071</xdr:colOff>
      <xdr:row>1387</xdr:row>
      <xdr:rowOff>84363</xdr:rowOff>
    </xdr:from>
    <xdr:to>
      <xdr:col>12</xdr:col>
      <xdr:colOff>163286</xdr:colOff>
      <xdr:row>1401</xdr:row>
      <xdr:rowOff>160563</xdr:rowOff>
    </xdr:to>
    <xdr:graphicFrame macro="">
      <xdr:nvGraphicFramePr>
        <xdr:cNvPr id="24" name="Chart 23">
          <a:extLst>
            <a:ext uri="{FF2B5EF4-FFF2-40B4-BE49-F238E27FC236}">
              <a16:creationId xmlns:a16="http://schemas.microsoft.com/office/drawing/2014/main" id="{86D0820C-E921-49C2-A9B1-44C3D4C82E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326572</xdr:colOff>
      <xdr:row>1416</xdr:row>
      <xdr:rowOff>149678</xdr:rowOff>
    </xdr:from>
    <xdr:to>
      <xdr:col>13</xdr:col>
      <xdr:colOff>1027338</xdr:colOff>
      <xdr:row>1434</xdr:row>
      <xdr:rowOff>133349</xdr:rowOff>
    </xdr:to>
    <xdr:graphicFrame macro="">
      <xdr:nvGraphicFramePr>
        <xdr:cNvPr id="25" name="Chart 24">
          <a:extLst>
            <a:ext uri="{FF2B5EF4-FFF2-40B4-BE49-F238E27FC236}">
              <a16:creationId xmlns:a16="http://schemas.microsoft.com/office/drawing/2014/main" id="{91F1AFD0-DB21-4496-84EF-86CF5653C7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136072</xdr:colOff>
      <xdr:row>1418</xdr:row>
      <xdr:rowOff>163285</xdr:rowOff>
    </xdr:from>
    <xdr:to>
      <xdr:col>21</xdr:col>
      <xdr:colOff>163286</xdr:colOff>
      <xdr:row>1436</xdr:row>
      <xdr:rowOff>65314</xdr:rowOff>
    </xdr:to>
    <xdr:graphicFrame macro="">
      <xdr:nvGraphicFramePr>
        <xdr:cNvPr id="26" name="Chart 25">
          <a:extLst>
            <a:ext uri="{FF2B5EF4-FFF2-40B4-BE49-F238E27FC236}">
              <a16:creationId xmlns:a16="http://schemas.microsoft.com/office/drawing/2014/main" id="{F1AF4CAB-3DCA-4E37-AAAD-C3C1119CDB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557890</xdr:colOff>
      <xdr:row>1478</xdr:row>
      <xdr:rowOff>40821</xdr:rowOff>
    </xdr:from>
    <xdr:to>
      <xdr:col>14</xdr:col>
      <xdr:colOff>421820</xdr:colOff>
      <xdr:row>1493</xdr:row>
      <xdr:rowOff>163286</xdr:rowOff>
    </xdr:to>
    <xdr:graphicFrame macro="">
      <xdr:nvGraphicFramePr>
        <xdr:cNvPr id="27" name="Chart 26">
          <a:extLst>
            <a:ext uri="{FF2B5EF4-FFF2-40B4-BE49-F238E27FC236}">
              <a16:creationId xmlns:a16="http://schemas.microsoft.com/office/drawing/2014/main" id="{624F1DFE-453B-4320-B851-7E76E10804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476250</xdr:colOff>
      <xdr:row>1496</xdr:row>
      <xdr:rowOff>68034</xdr:rowOff>
    </xdr:from>
    <xdr:to>
      <xdr:col>13</xdr:col>
      <xdr:colOff>1197429</xdr:colOff>
      <xdr:row>1510</xdr:row>
      <xdr:rowOff>40821</xdr:rowOff>
    </xdr:to>
    <xdr:graphicFrame macro="">
      <xdr:nvGraphicFramePr>
        <xdr:cNvPr id="28" name="Chart 27">
          <a:extLst>
            <a:ext uri="{FF2B5EF4-FFF2-40B4-BE49-F238E27FC236}">
              <a16:creationId xmlns:a16="http://schemas.microsoft.com/office/drawing/2014/main" id="{A00276DD-0095-4723-AF0C-BF389FCCA0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380999</xdr:colOff>
      <xdr:row>1513</xdr:row>
      <xdr:rowOff>84364</xdr:rowOff>
    </xdr:from>
    <xdr:to>
      <xdr:col>13</xdr:col>
      <xdr:colOff>1211035</xdr:colOff>
      <xdr:row>1527</xdr:row>
      <xdr:rowOff>160564</xdr:rowOff>
    </xdr:to>
    <xdr:graphicFrame macro="">
      <xdr:nvGraphicFramePr>
        <xdr:cNvPr id="29" name="Chart 28">
          <a:extLst>
            <a:ext uri="{FF2B5EF4-FFF2-40B4-BE49-F238E27FC236}">
              <a16:creationId xmlns:a16="http://schemas.microsoft.com/office/drawing/2014/main" id="{6E60A65C-70BD-46AE-ADD9-646DF14200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353786</xdr:colOff>
      <xdr:row>1490</xdr:row>
      <xdr:rowOff>57151</xdr:rowOff>
    </xdr:from>
    <xdr:to>
      <xdr:col>2</xdr:col>
      <xdr:colOff>312964</xdr:colOff>
      <xdr:row>1507</xdr:row>
      <xdr:rowOff>149679</xdr:rowOff>
    </xdr:to>
    <xdr:graphicFrame macro="">
      <xdr:nvGraphicFramePr>
        <xdr:cNvPr id="30" name="Chart 29">
          <a:extLst>
            <a:ext uri="{FF2B5EF4-FFF2-40B4-BE49-F238E27FC236}">
              <a16:creationId xmlns:a16="http://schemas.microsoft.com/office/drawing/2014/main" id="{3512BBCA-4809-4FFA-8FB9-A24778B2B5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12</xdr:col>
      <xdr:colOff>6802</xdr:colOff>
      <xdr:row>1101</xdr:row>
      <xdr:rowOff>159203</xdr:rowOff>
    </xdr:from>
    <xdr:to>
      <xdr:col>15</xdr:col>
      <xdr:colOff>353785</xdr:colOff>
      <xdr:row>1116</xdr:row>
      <xdr:rowOff>44903</xdr:rowOff>
    </xdr:to>
    <xdr:graphicFrame macro="">
      <xdr:nvGraphicFramePr>
        <xdr:cNvPr id="31" name="Chart 30">
          <a:extLst>
            <a:ext uri="{FF2B5EF4-FFF2-40B4-BE49-F238E27FC236}">
              <a16:creationId xmlns:a16="http://schemas.microsoft.com/office/drawing/2014/main" id="{B152EFAD-84E5-4710-A308-FEBE837F77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523874</xdr:colOff>
      <xdr:row>1596</xdr:row>
      <xdr:rowOff>95250</xdr:rowOff>
    </xdr:from>
    <xdr:to>
      <xdr:col>19</xdr:col>
      <xdr:colOff>299357</xdr:colOff>
      <xdr:row>1610</xdr:row>
      <xdr:rowOff>176892</xdr:rowOff>
    </xdr:to>
    <xdr:graphicFrame macro="">
      <xdr:nvGraphicFramePr>
        <xdr:cNvPr id="32" name="Chart 31">
          <a:extLst>
            <a:ext uri="{FF2B5EF4-FFF2-40B4-BE49-F238E27FC236}">
              <a16:creationId xmlns:a16="http://schemas.microsoft.com/office/drawing/2014/main" id="{44B212E8-6F2C-467A-B5AC-A43C59B52A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142875</xdr:colOff>
      <xdr:row>1611</xdr:row>
      <xdr:rowOff>81643</xdr:rowOff>
    </xdr:from>
    <xdr:to>
      <xdr:col>14</xdr:col>
      <xdr:colOff>210910</xdr:colOff>
      <xdr:row>1626</xdr:row>
      <xdr:rowOff>126546</xdr:rowOff>
    </xdr:to>
    <xdr:graphicFrame macro="">
      <xdr:nvGraphicFramePr>
        <xdr:cNvPr id="33" name="Chart 32">
          <a:extLst>
            <a:ext uri="{FF2B5EF4-FFF2-40B4-BE49-F238E27FC236}">
              <a16:creationId xmlns:a16="http://schemas.microsoft.com/office/drawing/2014/main" id="{78DEAE15-9436-4CF5-8EF3-590FBB5BA5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12</xdr:col>
      <xdr:colOff>142875</xdr:colOff>
      <xdr:row>1655</xdr:row>
      <xdr:rowOff>111579</xdr:rowOff>
    </xdr:from>
    <xdr:to>
      <xdr:col>17</xdr:col>
      <xdr:colOff>340179</xdr:colOff>
      <xdr:row>1669</xdr:row>
      <xdr:rowOff>24493</xdr:rowOff>
    </xdr:to>
    <xdr:graphicFrame macro="">
      <xdr:nvGraphicFramePr>
        <xdr:cNvPr id="34" name="Chart 33">
          <a:extLst>
            <a:ext uri="{FF2B5EF4-FFF2-40B4-BE49-F238E27FC236}">
              <a16:creationId xmlns:a16="http://schemas.microsoft.com/office/drawing/2014/main" id="{A19453B0-7F26-489C-BC08-7006BA7D65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12</xdr:col>
      <xdr:colOff>0</xdr:colOff>
      <xdr:row>1671</xdr:row>
      <xdr:rowOff>0</xdr:rowOff>
    </xdr:from>
    <xdr:to>
      <xdr:col>17</xdr:col>
      <xdr:colOff>197304</xdr:colOff>
      <xdr:row>1685</xdr:row>
      <xdr:rowOff>76200</xdr:rowOff>
    </xdr:to>
    <xdr:graphicFrame macro="">
      <xdr:nvGraphicFramePr>
        <xdr:cNvPr id="35" name="Chart 34">
          <a:extLst>
            <a:ext uri="{FF2B5EF4-FFF2-40B4-BE49-F238E27FC236}">
              <a16:creationId xmlns:a16="http://schemas.microsoft.com/office/drawing/2014/main" id="{F565280C-D528-41F0-8768-932159C05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0</xdr:colOff>
      <xdr:row>1675</xdr:row>
      <xdr:rowOff>0</xdr:rowOff>
    </xdr:from>
    <xdr:to>
      <xdr:col>9</xdr:col>
      <xdr:colOff>285750</xdr:colOff>
      <xdr:row>1689</xdr:row>
      <xdr:rowOff>89807</xdr:rowOff>
    </xdr:to>
    <xdr:graphicFrame macro="">
      <xdr:nvGraphicFramePr>
        <xdr:cNvPr id="36" name="Chart 35">
          <a:extLst>
            <a:ext uri="{FF2B5EF4-FFF2-40B4-BE49-F238E27FC236}">
              <a16:creationId xmlns:a16="http://schemas.microsoft.com/office/drawing/2014/main" id="{B90E9B3F-7815-4BF8-9135-2536F9866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74839</xdr:colOff>
      <xdr:row>1688</xdr:row>
      <xdr:rowOff>43542</xdr:rowOff>
    </xdr:from>
    <xdr:to>
      <xdr:col>19</xdr:col>
      <xdr:colOff>367393</xdr:colOff>
      <xdr:row>1703</xdr:row>
      <xdr:rowOff>176892</xdr:rowOff>
    </xdr:to>
    <xdr:graphicFrame macro="">
      <xdr:nvGraphicFramePr>
        <xdr:cNvPr id="37" name="Chart 36">
          <a:extLst>
            <a:ext uri="{FF2B5EF4-FFF2-40B4-BE49-F238E27FC236}">
              <a16:creationId xmlns:a16="http://schemas.microsoft.com/office/drawing/2014/main" id="{D77FB63C-2EBF-49C2-97A3-4BC9BE2920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xdr:col>
      <xdr:colOff>20409</xdr:colOff>
      <xdr:row>1707</xdr:row>
      <xdr:rowOff>2721</xdr:rowOff>
    </xdr:from>
    <xdr:to>
      <xdr:col>8</xdr:col>
      <xdr:colOff>108857</xdr:colOff>
      <xdr:row>1720</xdr:row>
      <xdr:rowOff>174171</xdr:rowOff>
    </xdr:to>
    <xdr:graphicFrame macro="">
      <xdr:nvGraphicFramePr>
        <xdr:cNvPr id="38" name="Chart 37">
          <a:extLst>
            <a:ext uri="{FF2B5EF4-FFF2-40B4-BE49-F238E27FC236}">
              <a16:creationId xmlns:a16="http://schemas.microsoft.com/office/drawing/2014/main" id="{FCE260F7-D1DF-4E06-A776-68D309A062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6803</xdr:colOff>
      <xdr:row>1730</xdr:row>
      <xdr:rowOff>57149</xdr:rowOff>
    </xdr:from>
    <xdr:to>
      <xdr:col>12</xdr:col>
      <xdr:colOff>762000</xdr:colOff>
      <xdr:row>1745</xdr:row>
      <xdr:rowOff>176892</xdr:rowOff>
    </xdr:to>
    <xdr:graphicFrame macro="">
      <xdr:nvGraphicFramePr>
        <xdr:cNvPr id="39" name="Chart 38">
          <a:extLst>
            <a:ext uri="{FF2B5EF4-FFF2-40B4-BE49-F238E27FC236}">
              <a16:creationId xmlns:a16="http://schemas.microsoft.com/office/drawing/2014/main" id="{6EDBC31B-2E76-47C2-AD84-3FD3F2FB4E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12</xdr:col>
      <xdr:colOff>496660</xdr:colOff>
      <xdr:row>1758</xdr:row>
      <xdr:rowOff>152400</xdr:rowOff>
    </xdr:from>
    <xdr:to>
      <xdr:col>18</xdr:col>
      <xdr:colOff>435429</xdr:colOff>
      <xdr:row>1772</xdr:row>
      <xdr:rowOff>38100</xdr:rowOff>
    </xdr:to>
    <xdr:graphicFrame macro="">
      <xdr:nvGraphicFramePr>
        <xdr:cNvPr id="40" name="Chart 39">
          <a:extLst>
            <a:ext uri="{FF2B5EF4-FFF2-40B4-BE49-F238E27FC236}">
              <a16:creationId xmlns:a16="http://schemas.microsoft.com/office/drawing/2014/main" id="{A9780C5A-3597-44D5-8B90-F837EE0B0F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149033</xdr:colOff>
      <xdr:row>2025</xdr:row>
      <xdr:rowOff>27983</xdr:rowOff>
    </xdr:from>
    <xdr:to>
      <xdr:col>26</xdr:col>
      <xdr:colOff>37506</xdr:colOff>
      <xdr:row>2043</xdr:row>
      <xdr:rowOff>166569</xdr:rowOff>
    </xdr:to>
    <xdr:graphicFrame macro="">
      <xdr:nvGraphicFramePr>
        <xdr:cNvPr id="41" name="Chart 40">
          <a:extLst>
            <a:ext uri="{FF2B5EF4-FFF2-40B4-BE49-F238E27FC236}">
              <a16:creationId xmlns:a16="http://schemas.microsoft.com/office/drawing/2014/main" id="{66672862-65F5-4886-8F92-E230D38697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16</xdr:col>
      <xdr:colOff>449035</xdr:colOff>
      <xdr:row>2007</xdr:row>
      <xdr:rowOff>81641</xdr:rowOff>
    </xdr:from>
    <xdr:to>
      <xdr:col>22</xdr:col>
      <xdr:colOff>166378</xdr:colOff>
      <xdr:row>2023</xdr:row>
      <xdr:rowOff>182829</xdr:rowOff>
    </xdr:to>
    <xdr:graphicFrame macro="">
      <xdr:nvGraphicFramePr>
        <xdr:cNvPr id="42" name="Chart 41">
          <a:extLst>
            <a:ext uri="{FF2B5EF4-FFF2-40B4-BE49-F238E27FC236}">
              <a16:creationId xmlns:a16="http://schemas.microsoft.com/office/drawing/2014/main" id="{4A56E577-E30C-48CA-8D87-780316D04A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476248</xdr:colOff>
      <xdr:row>1988</xdr:row>
      <xdr:rowOff>117763</xdr:rowOff>
    </xdr:from>
    <xdr:to>
      <xdr:col>13</xdr:col>
      <xdr:colOff>415636</xdr:colOff>
      <xdr:row>2006</xdr:row>
      <xdr:rowOff>34636</xdr:rowOff>
    </xdr:to>
    <xdr:graphicFrame macro="">
      <xdr:nvGraphicFramePr>
        <xdr:cNvPr id="43" name="Chart 42">
          <a:extLst>
            <a:ext uri="{FF2B5EF4-FFF2-40B4-BE49-F238E27FC236}">
              <a16:creationId xmlns:a16="http://schemas.microsoft.com/office/drawing/2014/main" id="{9CFD5B09-00CB-4125-B811-F8264F2055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14</xdr:col>
      <xdr:colOff>242454</xdr:colOff>
      <xdr:row>1988</xdr:row>
      <xdr:rowOff>97105</xdr:rowOff>
    </xdr:from>
    <xdr:to>
      <xdr:col>20</xdr:col>
      <xdr:colOff>95251</xdr:colOff>
      <xdr:row>2006</xdr:row>
      <xdr:rowOff>13978</xdr:rowOff>
    </xdr:to>
    <xdr:graphicFrame macro="">
      <xdr:nvGraphicFramePr>
        <xdr:cNvPr id="44" name="Chart 43">
          <a:extLst>
            <a:ext uri="{FF2B5EF4-FFF2-40B4-BE49-F238E27FC236}">
              <a16:creationId xmlns:a16="http://schemas.microsoft.com/office/drawing/2014/main" id="{B9710A63-6072-4A39-AA27-FB221FE718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xdr:col>
      <xdr:colOff>181839</xdr:colOff>
      <xdr:row>2044</xdr:row>
      <xdr:rowOff>187036</xdr:rowOff>
    </xdr:from>
    <xdr:to>
      <xdr:col>14</xdr:col>
      <xdr:colOff>346363</xdr:colOff>
      <xdr:row>2065</xdr:row>
      <xdr:rowOff>69272</xdr:rowOff>
    </xdr:to>
    <xdr:graphicFrame macro="">
      <xdr:nvGraphicFramePr>
        <xdr:cNvPr id="45" name="Chart 44">
          <a:extLst>
            <a:ext uri="{FF2B5EF4-FFF2-40B4-BE49-F238E27FC236}">
              <a16:creationId xmlns:a16="http://schemas.microsoft.com/office/drawing/2014/main" id="{08B5DFF0-5FB4-4C43-A415-90DB0D3F20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17</xdr:col>
      <xdr:colOff>199157</xdr:colOff>
      <xdr:row>2043</xdr:row>
      <xdr:rowOff>117763</xdr:rowOff>
    </xdr:from>
    <xdr:to>
      <xdr:col>22</xdr:col>
      <xdr:colOff>467590</xdr:colOff>
      <xdr:row>2060</xdr:row>
      <xdr:rowOff>173181</xdr:rowOff>
    </xdr:to>
    <xdr:graphicFrame macro="">
      <xdr:nvGraphicFramePr>
        <xdr:cNvPr id="46" name="Chart 45">
          <a:extLst>
            <a:ext uri="{FF2B5EF4-FFF2-40B4-BE49-F238E27FC236}">
              <a16:creationId xmlns:a16="http://schemas.microsoft.com/office/drawing/2014/main" id="{65B29125-DFD6-40A1-B075-9061A0AC76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22</xdr:col>
      <xdr:colOff>1</xdr:colOff>
      <xdr:row>2063</xdr:row>
      <xdr:rowOff>-1</xdr:rowOff>
    </xdr:from>
    <xdr:to>
      <xdr:col>25</xdr:col>
      <xdr:colOff>398320</xdr:colOff>
      <xdr:row>2081</xdr:row>
      <xdr:rowOff>103908</xdr:rowOff>
    </xdr:to>
    <xdr:graphicFrame macro="">
      <xdr:nvGraphicFramePr>
        <xdr:cNvPr id="47" name="Chart 46">
          <a:extLst>
            <a:ext uri="{FF2B5EF4-FFF2-40B4-BE49-F238E27FC236}">
              <a16:creationId xmlns:a16="http://schemas.microsoft.com/office/drawing/2014/main" id="{FCD63926-A4E3-4D17-9E81-6227B55E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95248</xdr:colOff>
      <xdr:row>2086</xdr:row>
      <xdr:rowOff>117763</xdr:rowOff>
    </xdr:from>
    <xdr:to>
      <xdr:col>12</xdr:col>
      <xdr:colOff>190500</xdr:colOff>
      <xdr:row>2105</xdr:row>
      <xdr:rowOff>34636</xdr:rowOff>
    </xdr:to>
    <xdr:graphicFrame macro="">
      <xdr:nvGraphicFramePr>
        <xdr:cNvPr id="48" name="Chart 47">
          <a:extLst>
            <a:ext uri="{FF2B5EF4-FFF2-40B4-BE49-F238E27FC236}">
              <a16:creationId xmlns:a16="http://schemas.microsoft.com/office/drawing/2014/main" id="{FDEF57FF-4279-4361-856F-9D0FC243C7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6801</xdr:colOff>
      <xdr:row>2125</xdr:row>
      <xdr:rowOff>108857</xdr:rowOff>
    </xdr:from>
    <xdr:to>
      <xdr:col>10</xdr:col>
      <xdr:colOff>27214</xdr:colOff>
      <xdr:row>2142</xdr:row>
      <xdr:rowOff>95250</xdr:rowOff>
    </xdr:to>
    <xdr:graphicFrame macro="">
      <xdr:nvGraphicFramePr>
        <xdr:cNvPr id="49" name="Chart 48">
          <a:extLst>
            <a:ext uri="{FF2B5EF4-FFF2-40B4-BE49-F238E27FC236}">
              <a16:creationId xmlns:a16="http://schemas.microsoft.com/office/drawing/2014/main" id="{6F76CAC3-BA76-49F1-B671-4CEBE0D104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551087</xdr:colOff>
      <xdr:row>2157</xdr:row>
      <xdr:rowOff>152399</xdr:rowOff>
    </xdr:from>
    <xdr:to>
      <xdr:col>10</xdr:col>
      <xdr:colOff>285749</xdr:colOff>
      <xdr:row>2173</xdr:row>
      <xdr:rowOff>136070</xdr:rowOff>
    </xdr:to>
    <xdr:graphicFrame macro="">
      <xdr:nvGraphicFramePr>
        <xdr:cNvPr id="50" name="Chart 49">
          <a:extLst>
            <a:ext uri="{FF2B5EF4-FFF2-40B4-BE49-F238E27FC236}">
              <a16:creationId xmlns:a16="http://schemas.microsoft.com/office/drawing/2014/main" id="{D176CFC1-A28E-42B7-965A-2753FC8EB7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xdr:col>
      <xdr:colOff>469445</xdr:colOff>
      <xdr:row>2187</xdr:row>
      <xdr:rowOff>179614</xdr:rowOff>
    </xdr:from>
    <xdr:to>
      <xdr:col>10</xdr:col>
      <xdr:colOff>517071</xdr:colOff>
      <xdr:row>2203</xdr:row>
      <xdr:rowOff>149678</xdr:rowOff>
    </xdr:to>
    <xdr:graphicFrame macro="">
      <xdr:nvGraphicFramePr>
        <xdr:cNvPr id="51" name="Chart 50">
          <a:extLst>
            <a:ext uri="{FF2B5EF4-FFF2-40B4-BE49-F238E27FC236}">
              <a16:creationId xmlns:a16="http://schemas.microsoft.com/office/drawing/2014/main" id="{13C6B261-193F-4030-AE73-1444587CB3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12</xdr:col>
      <xdr:colOff>27215</xdr:colOff>
      <xdr:row>2189</xdr:row>
      <xdr:rowOff>108858</xdr:rowOff>
    </xdr:from>
    <xdr:to>
      <xdr:col>18</xdr:col>
      <xdr:colOff>115661</xdr:colOff>
      <xdr:row>2204</xdr:row>
      <xdr:rowOff>106136</xdr:rowOff>
    </xdr:to>
    <xdr:graphicFrame macro="">
      <xdr:nvGraphicFramePr>
        <xdr:cNvPr id="52" name="Chart 51">
          <a:extLst>
            <a:ext uri="{FF2B5EF4-FFF2-40B4-BE49-F238E27FC236}">
              <a16:creationId xmlns:a16="http://schemas.microsoft.com/office/drawing/2014/main" id="{BC9774A9-7716-47D3-9716-750686E18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15</xdr:col>
      <xdr:colOff>479651</xdr:colOff>
      <xdr:row>2238</xdr:row>
      <xdr:rowOff>104773</xdr:rowOff>
    </xdr:from>
    <xdr:to>
      <xdr:col>22</xdr:col>
      <xdr:colOff>503463</xdr:colOff>
      <xdr:row>2257</xdr:row>
      <xdr:rowOff>68033</xdr:rowOff>
    </xdr:to>
    <xdr:graphicFrame macro="">
      <xdr:nvGraphicFramePr>
        <xdr:cNvPr id="53" name="Chart 52">
          <a:extLst>
            <a:ext uri="{FF2B5EF4-FFF2-40B4-BE49-F238E27FC236}">
              <a16:creationId xmlns:a16="http://schemas.microsoft.com/office/drawing/2014/main" id="{246169A0-AD7B-4999-95FA-6F77F05F2A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8</xdr:col>
      <xdr:colOff>357187</xdr:colOff>
      <xdr:row>2253</xdr:row>
      <xdr:rowOff>27214</xdr:rowOff>
    </xdr:from>
    <xdr:to>
      <xdr:col>16</xdr:col>
      <xdr:colOff>81642</xdr:colOff>
      <xdr:row>2286</xdr:row>
      <xdr:rowOff>163286</xdr:rowOff>
    </xdr:to>
    <xdr:graphicFrame macro="">
      <xdr:nvGraphicFramePr>
        <xdr:cNvPr id="56" name="Chart 55">
          <a:extLst>
            <a:ext uri="{FF2B5EF4-FFF2-40B4-BE49-F238E27FC236}">
              <a16:creationId xmlns:a16="http://schemas.microsoft.com/office/drawing/2014/main" id="{1662DD49-B5B4-4A03-9811-F17F8A6BD5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15</xdr:col>
      <xdr:colOff>51027</xdr:colOff>
      <xdr:row>2217</xdr:row>
      <xdr:rowOff>16327</xdr:rowOff>
    </xdr:from>
    <xdr:to>
      <xdr:col>22</xdr:col>
      <xdr:colOff>238124</xdr:colOff>
      <xdr:row>2236</xdr:row>
      <xdr:rowOff>61231</xdr:rowOff>
    </xdr:to>
    <xdr:graphicFrame macro="">
      <xdr:nvGraphicFramePr>
        <xdr:cNvPr id="57" name="Chart 56">
          <a:extLst>
            <a:ext uri="{FF2B5EF4-FFF2-40B4-BE49-F238E27FC236}">
              <a16:creationId xmlns:a16="http://schemas.microsoft.com/office/drawing/2014/main" id="{FFD62B22-CC09-41C1-A91C-D6B7588532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xdr:col>
      <xdr:colOff>166684</xdr:colOff>
      <xdr:row>2296</xdr:row>
      <xdr:rowOff>23131</xdr:rowOff>
    </xdr:from>
    <xdr:to>
      <xdr:col>17</xdr:col>
      <xdr:colOff>136070</xdr:colOff>
      <xdr:row>2320</xdr:row>
      <xdr:rowOff>0</xdr:rowOff>
    </xdr:to>
    <xdr:graphicFrame macro="">
      <xdr:nvGraphicFramePr>
        <xdr:cNvPr id="55" name="Chart 54">
          <a:extLst>
            <a:ext uri="{FF2B5EF4-FFF2-40B4-BE49-F238E27FC236}">
              <a16:creationId xmlns:a16="http://schemas.microsoft.com/office/drawing/2014/main" id="{90FAC933-BBEF-4061-BE98-BBBEA076EC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13</xdr:col>
      <xdr:colOff>255134</xdr:colOff>
      <xdr:row>2375</xdr:row>
      <xdr:rowOff>108176</xdr:rowOff>
    </xdr:from>
    <xdr:to>
      <xdr:col>20</xdr:col>
      <xdr:colOff>632733</xdr:colOff>
      <xdr:row>2391</xdr:row>
      <xdr:rowOff>115660</xdr:rowOff>
    </xdr:to>
    <xdr:graphicFrame macro="">
      <xdr:nvGraphicFramePr>
        <xdr:cNvPr id="54" name="Chart 53">
          <a:extLst>
            <a:ext uri="{FF2B5EF4-FFF2-40B4-BE49-F238E27FC236}">
              <a16:creationId xmlns:a16="http://schemas.microsoft.com/office/drawing/2014/main" id="{4DB583BB-6CEA-4F1E-95D7-85C20F2663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609598</xdr:colOff>
      <xdr:row>2410</xdr:row>
      <xdr:rowOff>174171</xdr:rowOff>
    </xdr:from>
    <xdr:to>
      <xdr:col>15</xdr:col>
      <xdr:colOff>304799</xdr:colOff>
      <xdr:row>2429</xdr:row>
      <xdr:rowOff>13607</xdr:rowOff>
    </xdr:to>
    <xdr:graphicFrame macro="">
      <xdr:nvGraphicFramePr>
        <xdr:cNvPr id="58" name="Chart 57">
          <a:extLst>
            <a:ext uri="{FF2B5EF4-FFF2-40B4-BE49-F238E27FC236}">
              <a16:creationId xmlns:a16="http://schemas.microsoft.com/office/drawing/2014/main" id="{E6D41853-66F3-4E37-996B-7386521223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4</xdr:col>
      <xdr:colOff>593272</xdr:colOff>
      <xdr:row>2445</xdr:row>
      <xdr:rowOff>73478</xdr:rowOff>
    </xdr:from>
    <xdr:to>
      <xdr:col>11</xdr:col>
      <xdr:colOff>522514</xdr:colOff>
      <xdr:row>2462</xdr:row>
      <xdr:rowOff>136071</xdr:rowOff>
    </xdr:to>
    <xdr:graphicFrame macro="">
      <xdr:nvGraphicFramePr>
        <xdr:cNvPr id="59" name="Chart 58">
          <a:extLst>
            <a:ext uri="{FF2B5EF4-FFF2-40B4-BE49-F238E27FC236}">
              <a16:creationId xmlns:a16="http://schemas.microsoft.com/office/drawing/2014/main" id="{BFB49B59-C0CC-4494-B073-CA85E1C8D6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15</xdr:col>
      <xdr:colOff>462642</xdr:colOff>
      <xdr:row>2463</xdr:row>
      <xdr:rowOff>144235</xdr:rowOff>
    </xdr:from>
    <xdr:to>
      <xdr:col>23</xdr:col>
      <xdr:colOff>0</xdr:colOff>
      <xdr:row>2483</xdr:row>
      <xdr:rowOff>174171</xdr:rowOff>
    </xdr:to>
    <xdr:graphicFrame macro="">
      <xdr:nvGraphicFramePr>
        <xdr:cNvPr id="60" name="Chart 59">
          <a:extLst>
            <a:ext uri="{FF2B5EF4-FFF2-40B4-BE49-F238E27FC236}">
              <a16:creationId xmlns:a16="http://schemas.microsoft.com/office/drawing/2014/main" id="{449701D2-16F1-4387-A744-915A2458CC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15</xdr:col>
      <xdr:colOff>212270</xdr:colOff>
      <xdr:row>2487</xdr:row>
      <xdr:rowOff>19048</xdr:rowOff>
    </xdr:from>
    <xdr:to>
      <xdr:col>22</xdr:col>
      <xdr:colOff>462643</xdr:colOff>
      <xdr:row>2505</xdr:row>
      <xdr:rowOff>179614</xdr:rowOff>
    </xdr:to>
    <xdr:graphicFrame macro="">
      <xdr:nvGraphicFramePr>
        <xdr:cNvPr id="61" name="Chart 60">
          <a:extLst>
            <a:ext uri="{FF2B5EF4-FFF2-40B4-BE49-F238E27FC236}">
              <a16:creationId xmlns:a16="http://schemas.microsoft.com/office/drawing/2014/main" id="{185A57C3-E884-4DF6-9C1E-5D5A48584B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xdr:col>
      <xdr:colOff>302077</xdr:colOff>
      <xdr:row>2506</xdr:row>
      <xdr:rowOff>155122</xdr:rowOff>
    </xdr:from>
    <xdr:to>
      <xdr:col>9</xdr:col>
      <xdr:colOff>206828</xdr:colOff>
      <xdr:row>2524</xdr:row>
      <xdr:rowOff>59871</xdr:rowOff>
    </xdr:to>
    <xdr:graphicFrame macro="">
      <xdr:nvGraphicFramePr>
        <xdr:cNvPr id="62" name="Chart 61">
          <a:extLst>
            <a:ext uri="{FF2B5EF4-FFF2-40B4-BE49-F238E27FC236}">
              <a16:creationId xmlns:a16="http://schemas.microsoft.com/office/drawing/2014/main" id="{0E3E9066-E2C2-4E6C-B058-E28627D757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9</xdr:col>
      <xdr:colOff>625928</xdr:colOff>
      <xdr:row>2523</xdr:row>
      <xdr:rowOff>89807</xdr:rowOff>
    </xdr:from>
    <xdr:to>
      <xdr:col>16</xdr:col>
      <xdr:colOff>375557</xdr:colOff>
      <xdr:row>2540</xdr:row>
      <xdr:rowOff>146957</xdr:rowOff>
    </xdr:to>
    <xdr:graphicFrame macro="">
      <xdr:nvGraphicFramePr>
        <xdr:cNvPr id="63" name="Chart 62">
          <a:extLst>
            <a:ext uri="{FF2B5EF4-FFF2-40B4-BE49-F238E27FC236}">
              <a16:creationId xmlns:a16="http://schemas.microsoft.com/office/drawing/2014/main" id="{A7E26FAB-5BA4-4996-A605-4E05156129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14</xdr:col>
      <xdr:colOff>108857</xdr:colOff>
      <xdr:row>2589</xdr:row>
      <xdr:rowOff>59873</xdr:rowOff>
    </xdr:from>
    <xdr:to>
      <xdr:col>21</xdr:col>
      <xdr:colOff>620486</xdr:colOff>
      <xdr:row>2606</xdr:row>
      <xdr:rowOff>157843</xdr:rowOff>
    </xdr:to>
    <xdr:graphicFrame macro="">
      <xdr:nvGraphicFramePr>
        <xdr:cNvPr id="64" name="Chart 63">
          <a:extLst>
            <a:ext uri="{FF2B5EF4-FFF2-40B4-BE49-F238E27FC236}">
              <a16:creationId xmlns:a16="http://schemas.microsoft.com/office/drawing/2014/main" id="{4736EC3E-1446-47D2-8D21-11BC0D8284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15</xdr:col>
      <xdr:colOff>0</xdr:colOff>
      <xdr:row>2610</xdr:row>
      <xdr:rowOff>0</xdr:rowOff>
    </xdr:from>
    <xdr:to>
      <xdr:col>22</xdr:col>
      <xdr:colOff>272143</xdr:colOff>
      <xdr:row>2628</xdr:row>
      <xdr:rowOff>127907</xdr:rowOff>
    </xdr:to>
    <xdr:graphicFrame macro="">
      <xdr:nvGraphicFramePr>
        <xdr:cNvPr id="65" name="Chart 64">
          <a:extLst>
            <a:ext uri="{FF2B5EF4-FFF2-40B4-BE49-F238E27FC236}">
              <a16:creationId xmlns:a16="http://schemas.microsoft.com/office/drawing/2014/main" id="{530A30A7-0044-467D-9272-8F36676002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15</xdr:col>
      <xdr:colOff>5443</xdr:colOff>
      <xdr:row>2631</xdr:row>
      <xdr:rowOff>0</xdr:rowOff>
    </xdr:from>
    <xdr:to>
      <xdr:col>22</xdr:col>
      <xdr:colOff>277586</xdr:colOff>
      <xdr:row>2647</xdr:row>
      <xdr:rowOff>127907</xdr:rowOff>
    </xdr:to>
    <xdr:graphicFrame macro="">
      <xdr:nvGraphicFramePr>
        <xdr:cNvPr id="66" name="Chart 65">
          <a:extLst>
            <a:ext uri="{FF2B5EF4-FFF2-40B4-BE49-F238E27FC236}">
              <a16:creationId xmlns:a16="http://schemas.microsoft.com/office/drawing/2014/main" id="{5568F3D0-697B-4A09-B0FF-A297F4042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15</xdr:col>
      <xdr:colOff>0</xdr:colOff>
      <xdr:row>2649</xdr:row>
      <xdr:rowOff>0</xdr:rowOff>
    </xdr:from>
    <xdr:to>
      <xdr:col>22</xdr:col>
      <xdr:colOff>272143</xdr:colOff>
      <xdr:row>2665</xdr:row>
      <xdr:rowOff>127906</xdr:rowOff>
    </xdr:to>
    <xdr:graphicFrame macro="">
      <xdr:nvGraphicFramePr>
        <xdr:cNvPr id="67" name="Chart 66">
          <a:extLst>
            <a:ext uri="{FF2B5EF4-FFF2-40B4-BE49-F238E27FC236}">
              <a16:creationId xmlns:a16="http://schemas.microsoft.com/office/drawing/2014/main" id="{4922AF64-7C71-4646-852A-742E38A3EF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xdr:col>
      <xdr:colOff>81642</xdr:colOff>
      <xdr:row>2652</xdr:row>
      <xdr:rowOff>182334</xdr:rowOff>
    </xdr:from>
    <xdr:to>
      <xdr:col>11</xdr:col>
      <xdr:colOff>538843</xdr:colOff>
      <xdr:row>2673</xdr:row>
      <xdr:rowOff>76200</xdr:rowOff>
    </xdr:to>
    <xdr:graphicFrame macro="">
      <xdr:nvGraphicFramePr>
        <xdr:cNvPr id="68" name="Chart 67">
          <a:extLst>
            <a:ext uri="{FF2B5EF4-FFF2-40B4-BE49-F238E27FC236}">
              <a16:creationId xmlns:a16="http://schemas.microsoft.com/office/drawing/2014/main" id="{28AB0BEE-B96B-481E-BF7D-DE14B8A122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20</xdr:col>
      <xdr:colOff>189451</xdr:colOff>
      <xdr:row>2843</xdr:row>
      <xdr:rowOff>96630</xdr:rowOff>
    </xdr:from>
    <xdr:to>
      <xdr:col>24</xdr:col>
      <xdr:colOff>476982</xdr:colOff>
      <xdr:row>2862</xdr:row>
      <xdr:rowOff>36092</xdr:rowOff>
    </xdr:to>
    <xdr:graphicFrame macro="">
      <xdr:nvGraphicFramePr>
        <xdr:cNvPr id="69" name="Chart 68">
          <a:extLst>
            <a:ext uri="{FF2B5EF4-FFF2-40B4-BE49-F238E27FC236}">
              <a16:creationId xmlns:a16="http://schemas.microsoft.com/office/drawing/2014/main" id="{C37ACCEC-A8FA-401F-81DF-D74868F33F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10</xdr:col>
      <xdr:colOff>107577</xdr:colOff>
      <xdr:row>3064</xdr:row>
      <xdr:rowOff>38100</xdr:rowOff>
    </xdr:from>
    <xdr:to>
      <xdr:col>20</xdr:col>
      <xdr:colOff>618565</xdr:colOff>
      <xdr:row>3079</xdr:row>
      <xdr:rowOff>20170</xdr:rowOff>
    </xdr:to>
    <xdr:graphicFrame macro="">
      <xdr:nvGraphicFramePr>
        <xdr:cNvPr id="70" name="Chart 69">
          <a:extLst>
            <a:ext uri="{FF2B5EF4-FFF2-40B4-BE49-F238E27FC236}">
              <a16:creationId xmlns:a16="http://schemas.microsoft.com/office/drawing/2014/main" id="{9C9C4BB7-38E9-18A7-5EBB-E60C45EBC9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29</xdr:col>
      <xdr:colOff>143388</xdr:colOff>
      <xdr:row>59</xdr:row>
      <xdr:rowOff>86823</xdr:rowOff>
    </xdr:from>
    <xdr:to>
      <xdr:col>33</xdr:col>
      <xdr:colOff>117890</xdr:colOff>
      <xdr:row>79</xdr:row>
      <xdr:rowOff>74074</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16</xdr:col>
      <xdr:colOff>557892</xdr:colOff>
      <xdr:row>184</xdr:row>
      <xdr:rowOff>2721</xdr:rowOff>
    </xdr:from>
    <xdr:to>
      <xdr:col>26</xdr:col>
      <xdr:colOff>122463</xdr:colOff>
      <xdr:row>203</xdr:row>
      <xdr:rowOff>108857</xdr:rowOff>
    </xdr:to>
    <xdr:graphicFrame macro="">
      <xdr:nvGraphicFramePr>
        <xdr:cNvPr id="2" name="Chart 1">
          <a:extLst>
            <a:ext uri="{FF2B5EF4-FFF2-40B4-BE49-F238E27FC236}">
              <a16:creationId xmlns:a16="http://schemas.microsoft.com/office/drawing/2014/main" id="{B111EBF7-10BD-4561-AA80-D693831578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277813</xdr:colOff>
      <xdr:row>101</xdr:row>
      <xdr:rowOff>123297</xdr:rowOff>
    </xdr:from>
    <xdr:to>
      <xdr:col>26</xdr:col>
      <xdr:colOff>238126</xdr:colOff>
      <xdr:row>115</xdr:row>
      <xdr:rowOff>13228</xdr:rowOff>
    </xdr:to>
    <xdr:graphicFrame macro="">
      <xdr:nvGraphicFramePr>
        <xdr:cNvPr id="2" name="Chart 1">
          <a:extLst>
            <a:ext uri="{FF2B5EF4-FFF2-40B4-BE49-F238E27FC236}">
              <a16:creationId xmlns:a16="http://schemas.microsoft.com/office/drawing/2014/main" id="{7C9EDCB2-C671-E09E-A225-869B678D22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119063</xdr:colOff>
      <xdr:row>117</xdr:row>
      <xdr:rowOff>198436</xdr:rowOff>
    </xdr:from>
    <xdr:to>
      <xdr:col>26</xdr:col>
      <xdr:colOff>330729</xdr:colOff>
      <xdr:row>132</xdr:row>
      <xdr:rowOff>145521</xdr:rowOff>
    </xdr:to>
    <xdr:graphicFrame macro="">
      <xdr:nvGraphicFramePr>
        <xdr:cNvPr id="4" name="Chart 3">
          <a:extLst>
            <a:ext uri="{FF2B5EF4-FFF2-40B4-BE49-F238E27FC236}">
              <a16:creationId xmlns:a16="http://schemas.microsoft.com/office/drawing/2014/main" id="{C688CD6A-E062-4720-BA05-DA1BE6B820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256644</xdr:colOff>
      <xdr:row>135</xdr:row>
      <xdr:rowOff>104775</xdr:rowOff>
    </xdr:from>
    <xdr:to>
      <xdr:col>27</xdr:col>
      <xdr:colOff>317499</xdr:colOff>
      <xdr:row>152</xdr:row>
      <xdr:rowOff>132292</xdr:rowOff>
    </xdr:to>
    <xdr:graphicFrame macro="">
      <xdr:nvGraphicFramePr>
        <xdr:cNvPr id="5" name="Chart 4">
          <a:extLst>
            <a:ext uri="{FF2B5EF4-FFF2-40B4-BE49-F238E27FC236}">
              <a16:creationId xmlns:a16="http://schemas.microsoft.com/office/drawing/2014/main" id="{CB5B8CAE-0547-DD22-8000-74770AF72D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52916</xdr:colOff>
      <xdr:row>12</xdr:row>
      <xdr:rowOff>176213</xdr:rowOff>
    </xdr:from>
    <xdr:to>
      <xdr:col>26</xdr:col>
      <xdr:colOff>568855</xdr:colOff>
      <xdr:row>29</xdr:row>
      <xdr:rowOff>92605</xdr:rowOff>
    </xdr:to>
    <xdr:graphicFrame macro="">
      <xdr:nvGraphicFramePr>
        <xdr:cNvPr id="6" name="Chart 5">
          <a:extLst>
            <a:ext uri="{FF2B5EF4-FFF2-40B4-BE49-F238E27FC236}">
              <a16:creationId xmlns:a16="http://schemas.microsoft.com/office/drawing/2014/main" id="{F1884E40-656C-828F-2B3E-1E8AC07BE2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26</xdr:col>
      <xdr:colOff>544285</xdr:colOff>
      <xdr:row>93</xdr:row>
      <xdr:rowOff>9524</xdr:rowOff>
    </xdr:from>
    <xdr:to>
      <xdr:col>34</xdr:col>
      <xdr:colOff>353785</xdr:colOff>
      <xdr:row>108</xdr:row>
      <xdr:rowOff>122464</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401410</xdr:colOff>
      <xdr:row>9</xdr:row>
      <xdr:rowOff>16327</xdr:rowOff>
    </xdr:from>
    <xdr:to>
      <xdr:col>34</xdr:col>
      <xdr:colOff>163286</xdr:colOff>
      <xdr:row>27</xdr:row>
      <xdr:rowOff>95250</xdr:rowOff>
    </xdr:to>
    <xdr:graphicFrame macro="">
      <xdr:nvGraphicFramePr>
        <xdr:cNvPr id="4" name="Chart 3">
          <a:extLst>
            <a:ext uri="{FF2B5EF4-FFF2-40B4-BE49-F238E27FC236}">
              <a16:creationId xmlns:a16="http://schemas.microsoft.com/office/drawing/2014/main" id="{689A3176-DFE8-4AF3-A385-52E81FCA96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147</xdr:col>
      <xdr:colOff>238124</xdr:colOff>
      <xdr:row>45</xdr:row>
      <xdr:rowOff>27222</xdr:rowOff>
    </xdr:from>
    <xdr:to>
      <xdr:col>154</xdr:col>
      <xdr:colOff>119062</xdr:colOff>
      <xdr:row>61</xdr:row>
      <xdr:rowOff>171981</xdr:rowOff>
    </xdr:to>
    <xdr:graphicFrame macro="">
      <xdr:nvGraphicFramePr>
        <xdr:cNvPr id="13" name="Chart 12">
          <a:extLst>
            <a:ext uri="{FF2B5EF4-FFF2-40B4-BE49-F238E27FC236}">
              <a16:creationId xmlns:a16="http://schemas.microsoft.com/office/drawing/2014/main" id="{A28B95FC-6234-4966-A4AA-719D8B41CB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147</xdr:col>
      <xdr:colOff>463396</xdr:colOff>
      <xdr:row>21</xdr:row>
      <xdr:rowOff>76047</xdr:rowOff>
    </xdr:from>
    <xdr:to>
      <xdr:col>154</xdr:col>
      <xdr:colOff>105834</xdr:colOff>
      <xdr:row>37</xdr:row>
      <xdr:rowOff>26458</xdr:rowOff>
    </xdr:to>
    <xdr:graphicFrame macro="">
      <xdr:nvGraphicFramePr>
        <xdr:cNvPr id="10" name="Chart 9">
          <a:extLst>
            <a:ext uri="{FF2B5EF4-FFF2-40B4-BE49-F238E27FC236}">
              <a16:creationId xmlns:a16="http://schemas.microsoft.com/office/drawing/2014/main" id="{384C693C-7478-4B71-B614-4F7DCD132D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147</xdr:col>
      <xdr:colOff>333375</xdr:colOff>
      <xdr:row>69</xdr:row>
      <xdr:rowOff>81642</xdr:rowOff>
    </xdr:from>
    <xdr:to>
      <xdr:col>154</xdr:col>
      <xdr:colOff>357188</xdr:colOff>
      <xdr:row>86</xdr:row>
      <xdr:rowOff>132292</xdr:rowOff>
    </xdr:to>
    <xdr:graphicFrame macro="">
      <xdr:nvGraphicFramePr>
        <xdr:cNvPr id="18" name="Chart 17">
          <a:extLst>
            <a:ext uri="{FF2B5EF4-FFF2-40B4-BE49-F238E27FC236}">
              <a16:creationId xmlns:a16="http://schemas.microsoft.com/office/drawing/2014/main" id="{EA569EE2-586D-40A9-951C-1F43A60C1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147</xdr:col>
      <xdr:colOff>383644</xdr:colOff>
      <xdr:row>95</xdr:row>
      <xdr:rowOff>0</xdr:rowOff>
    </xdr:from>
    <xdr:to>
      <xdr:col>154</xdr:col>
      <xdr:colOff>370416</xdr:colOff>
      <xdr:row>112</xdr:row>
      <xdr:rowOff>13229</xdr:rowOff>
    </xdr:to>
    <xdr:graphicFrame macro="">
      <xdr:nvGraphicFramePr>
        <xdr:cNvPr id="19" name="Chart 18">
          <a:extLst>
            <a:ext uri="{FF2B5EF4-FFF2-40B4-BE49-F238E27FC236}">
              <a16:creationId xmlns:a16="http://schemas.microsoft.com/office/drawing/2014/main" id="{0AD4632A-2547-47D4-B571-ACF1BDFEF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147</xdr:col>
      <xdr:colOff>426431</xdr:colOff>
      <xdr:row>126</xdr:row>
      <xdr:rowOff>106891</xdr:rowOff>
    </xdr:from>
    <xdr:to>
      <xdr:col>154</xdr:col>
      <xdr:colOff>423334</xdr:colOff>
      <xdr:row>143</xdr:row>
      <xdr:rowOff>92605</xdr:rowOff>
    </xdr:to>
    <xdr:graphicFrame macro="">
      <xdr:nvGraphicFramePr>
        <xdr:cNvPr id="4" name="Chart 3">
          <a:extLst>
            <a:ext uri="{FF2B5EF4-FFF2-40B4-BE49-F238E27FC236}">
              <a16:creationId xmlns:a16="http://schemas.microsoft.com/office/drawing/2014/main" id="{A24BAA69-68A9-400A-BD31-D24F515016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59</xdr:col>
      <xdr:colOff>88898</xdr:colOff>
      <xdr:row>23</xdr:row>
      <xdr:rowOff>73932</xdr:rowOff>
    </xdr:from>
    <xdr:to>
      <xdr:col>66</xdr:col>
      <xdr:colOff>1117600</xdr:colOff>
      <xdr:row>40</xdr:row>
      <xdr:rowOff>66373</xdr:rowOff>
    </xdr:to>
    <xdr:graphicFrame macro="">
      <xdr:nvGraphicFramePr>
        <xdr:cNvPr id="2" name="Chart 1">
          <a:extLst>
            <a:ext uri="{FF2B5EF4-FFF2-40B4-BE49-F238E27FC236}">
              <a16:creationId xmlns:a16="http://schemas.microsoft.com/office/drawing/2014/main" id="{07E88013-88D0-4D95-8D70-10FBB6D23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59</xdr:col>
      <xdr:colOff>403299</xdr:colOff>
      <xdr:row>41</xdr:row>
      <xdr:rowOff>124126</xdr:rowOff>
    </xdr:from>
    <xdr:to>
      <xdr:col>66</xdr:col>
      <xdr:colOff>1087967</xdr:colOff>
      <xdr:row>58</xdr:row>
      <xdr:rowOff>22754</xdr:rowOff>
    </xdr:to>
    <xdr:graphicFrame macro="">
      <xdr:nvGraphicFramePr>
        <xdr:cNvPr id="3" name="Chart 2">
          <a:extLst>
            <a:ext uri="{FF2B5EF4-FFF2-40B4-BE49-F238E27FC236}">
              <a16:creationId xmlns:a16="http://schemas.microsoft.com/office/drawing/2014/main" id="{EBFB777B-D28C-47A8-97C4-D00CB13DC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485897</xdr:colOff>
      <xdr:row>66</xdr:row>
      <xdr:rowOff>0</xdr:rowOff>
    </xdr:from>
    <xdr:to>
      <xdr:col>42</xdr:col>
      <xdr:colOff>330728</xdr:colOff>
      <xdr:row>83</xdr:row>
      <xdr:rowOff>145522</xdr:rowOff>
    </xdr:to>
    <xdr:graphicFrame macro="">
      <xdr:nvGraphicFramePr>
        <xdr:cNvPr id="6" name="Chart 5">
          <a:extLst>
            <a:ext uri="{FF2B5EF4-FFF2-40B4-BE49-F238E27FC236}">
              <a16:creationId xmlns:a16="http://schemas.microsoft.com/office/drawing/2014/main" id="{20C9CFEF-1F31-403A-9C3A-B641CFCD65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586004</xdr:colOff>
      <xdr:row>65</xdr:row>
      <xdr:rowOff>88900</xdr:rowOff>
    </xdr:from>
    <xdr:to>
      <xdr:col>51</xdr:col>
      <xdr:colOff>581924</xdr:colOff>
      <xdr:row>83</xdr:row>
      <xdr:rowOff>180066</xdr:rowOff>
    </xdr:to>
    <xdr:graphicFrame macro="">
      <xdr:nvGraphicFramePr>
        <xdr:cNvPr id="7" name="Chart 6">
          <a:extLst>
            <a:ext uri="{FF2B5EF4-FFF2-40B4-BE49-F238E27FC236}">
              <a16:creationId xmlns:a16="http://schemas.microsoft.com/office/drawing/2014/main" id="{A620E5E7-733D-4ACE-ACFD-497CD36DC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355297</xdr:colOff>
      <xdr:row>120</xdr:row>
      <xdr:rowOff>181428</xdr:rowOff>
    </xdr:from>
    <xdr:to>
      <xdr:col>18</xdr:col>
      <xdr:colOff>376464</xdr:colOff>
      <xdr:row>139</xdr:row>
      <xdr:rowOff>22678</xdr:rowOff>
    </xdr:to>
    <xdr:graphicFrame macro="">
      <xdr:nvGraphicFramePr>
        <xdr:cNvPr id="8" name="Chart 7">
          <a:extLst>
            <a:ext uri="{FF2B5EF4-FFF2-40B4-BE49-F238E27FC236}">
              <a16:creationId xmlns:a16="http://schemas.microsoft.com/office/drawing/2014/main" id="{863F9C0B-0D72-4A03-ACD3-E67903B4A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47</xdr:col>
      <xdr:colOff>386439</xdr:colOff>
      <xdr:row>96</xdr:row>
      <xdr:rowOff>54652</xdr:rowOff>
    </xdr:from>
    <xdr:to>
      <xdr:col>55</xdr:col>
      <xdr:colOff>343958</xdr:colOff>
      <xdr:row>113</xdr:row>
      <xdr:rowOff>13229</xdr:rowOff>
    </xdr:to>
    <xdr:graphicFrame macro="">
      <xdr:nvGraphicFramePr>
        <xdr:cNvPr id="9" name="Chart 8">
          <a:extLst>
            <a:ext uri="{FF2B5EF4-FFF2-40B4-BE49-F238E27FC236}">
              <a16:creationId xmlns:a16="http://schemas.microsoft.com/office/drawing/2014/main" id="{38D81E6D-94D8-455A-839A-E0A99352DB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55</xdr:col>
      <xdr:colOff>420911</xdr:colOff>
      <xdr:row>95</xdr:row>
      <xdr:rowOff>24492</xdr:rowOff>
    </xdr:from>
    <xdr:to>
      <xdr:col>63</xdr:col>
      <xdr:colOff>544886</xdr:colOff>
      <xdr:row>115</xdr:row>
      <xdr:rowOff>140833</xdr:rowOff>
    </xdr:to>
    <xdr:graphicFrame macro="">
      <xdr:nvGraphicFramePr>
        <xdr:cNvPr id="10" name="Chart 9">
          <a:extLst>
            <a:ext uri="{FF2B5EF4-FFF2-40B4-BE49-F238E27FC236}">
              <a16:creationId xmlns:a16="http://schemas.microsoft.com/office/drawing/2014/main" id="{0B25E68C-2C13-4E51-BFDD-F8E73CDE74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425829</xdr:colOff>
      <xdr:row>116</xdr:row>
      <xdr:rowOff>57074</xdr:rowOff>
    </xdr:from>
    <xdr:to>
      <xdr:col>53</xdr:col>
      <xdr:colOff>17993</xdr:colOff>
      <xdr:row>131</xdr:row>
      <xdr:rowOff>143404</xdr:rowOff>
    </xdr:to>
    <xdr:graphicFrame macro="">
      <xdr:nvGraphicFramePr>
        <xdr:cNvPr id="11" name="Chart 10">
          <a:extLst>
            <a:ext uri="{FF2B5EF4-FFF2-40B4-BE49-F238E27FC236}">
              <a16:creationId xmlns:a16="http://schemas.microsoft.com/office/drawing/2014/main" id="{FCAF6BE5-D16C-4457-BD11-A1F8818553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38</xdr:col>
      <xdr:colOff>114072</xdr:colOff>
      <xdr:row>115</xdr:row>
      <xdr:rowOff>129041</xdr:rowOff>
    </xdr:from>
    <xdr:to>
      <xdr:col>45</xdr:col>
      <xdr:colOff>317500</xdr:colOff>
      <xdr:row>131</xdr:row>
      <xdr:rowOff>138112</xdr:rowOff>
    </xdr:to>
    <xdr:graphicFrame macro="">
      <xdr:nvGraphicFramePr>
        <xdr:cNvPr id="12" name="Chart 11">
          <a:extLst>
            <a:ext uri="{FF2B5EF4-FFF2-40B4-BE49-F238E27FC236}">
              <a16:creationId xmlns:a16="http://schemas.microsoft.com/office/drawing/2014/main" id="{649CCE71-E465-4731-88B6-A563665C9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55</xdr:col>
      <xdr:colOff>435417</xdr:colOff>
      <xdr:row>68</xdr:row>
      <xdr:rowOff>0</xdr:rowOff>
    </xdr:from>
    <xdr:to>
      <xdr:col>62</xdr:col>
      <xdr:colOff>482600</xdr:colOff>
      <xdr:row>85</xdr:row>
      <xdr:rowOff>12700</xdr:rowOff>
    </xdr:to>
    <xdr:graphicFrame macro="">
      <xdr:nvGraphicFramePr>
        <xdr:cNvPr id="13" name="Chart 12">
          <a:extLst>
            <a:ext uri="{FF2B5EF4-FFF2-40B4-BE49-F238E27FC236}">
              <a16:creationId xmlns:a16="http://schemas.microsoft.com/office/drawing/2014/main" id="{5AD29C1C-DCC6-480A-B0D1-879404167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39</xdr:col>
      <xdr:colOff>391239</xdr:colOff>
      <xdr:row>141</xdr:row>
      <xdr:rowOff>33893</xdr:rowOff>
    </xdr:from>
    <xdr:to>
      <xdr:col>48</xdr:col>
      <xdr:colOff>203200</xdr:colOff>
      <xdr:row>162</xdr:row>
      <xdr:rowOff>12701</xdr:rowOff>
    </xdr:to>
    <xdr:graphicFrame macro="">
      <xdr:nvGraphicFramePr>
        <xdr:cNvPr id="4" name="Chart 3">
          <a:extLst>
            <a:ext uri="{FF2B5EF4-FFF2-40B4-BE49-F238E27FC236}">
              <a16:creationId xmlns:a16="http://schemas.microsoft.com/office/drawing/2014/main" id="{E972D18D-1F7B-3E32-9F5C-42ECF29BF7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59</xdr:col>
      <xdr:colOff>117342</xdr:colOff>
      <xdr:row>6</xdr:row>
      <xdr:rowOff>188038</xdr:rowOff>
    </xdr:from>
    <xdr:to>
      <xdr:col>66</xdr:col>
      <xdr:colOff>626294</xdr:colOff>
      <xdr:row>22</xdr:row>
      <xdr:rowOff>73738</xdr:rowOff>
    </xdr:to>
    <xdr:graphicFrame macro="">
      <xdr:nvGraphicFramePr>
        <xdr:cNvPr id="14" name="Chart 13">
          <a:extLst>
            <a:ext uri="{FF2B5EF4-FFF2-40B4-BE49-F238E27FC236}">
              <a16:creationId xmlns:a16="http://schemas.microsoft.com/office/drawing/2014/main" id="{AE3751CA-E153-A684-C9C6-3FB40C733D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39</xdr:col>
      <xdr:colOff>473470</xdr:colOff>
      <xdr:row>164</xdr:row>
      <xdr:rowOff>77706</xdr:rowOff>
    </xdr:from>
    <xdr:to>
      <xdr:col>47</xdr:col>
      <xdr:colOff>368299</xdr:colOff>
      <xdr:row>180</xdr:row>
      <xdr:rowOff>126999</xdr:rowOff>
    </xdr:to>
    <xdr:graphicFrame macro="">
      <xdr:nvGraphicFramePr>
        <xdr:cNvPr id="5" name="Chart 4">
          <a:extLst>
            <a:ext uri="{FF2B5EF4-FFF2-40B4-BE49-F238E27FC236}">
              <a16:creationId xmlns:a16="http://schemas.microsoft.com/office/drawing/2014/main" id="{174899B3-D5A6-E46A-E230-7643F6D0D9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742951</xdr:colOff>
      <xdr:row>71</xdr:row>
      <xdr:rowOff>57150</xdr:rowOff>
    </xdr:from>
    <xdr:to>
      <xdr:col>33</xdr:col>
      <xdr:colOff>233363</xdr:colOff>
      <xdr:row>86</xdr:row>
      <xdr:rowOff>85725</xdr:rowOff>
    </xdr:to>
    <xdr:graphicFrame macro="">
      <xdr:nvGraphicFramePr>
        <xdr:cNvPr id="15" name="Chart 14">
          <a:extLst>
            <a:ext uri="{FF2B5EF4-FFF2-40B4-BE49-F238E27FC236}">
              <a16:creationId xmlns:a16="http://schemas.microsoft.com/office/drawing/2014/main" id="{40E6B5B1-E974-7BBF-3DDE-1365D47F1A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31</xdr:col>
      <xdr:colOff>78740</xdr:colOff>
      <xdr:row>178</xdr:row>
      <xdr:rowOff>101600</xdr:rowOff>
    </xdr:from>
    <xdr:to>
      <xdr:col>38</xdr:col>
      <xdr:colOff>170180</xdr:colOff>
      <xdr:row>194</xdr:row>
      <xdr:rowOff>0</xdr:rowOff>
    </xdr:to>
    <xdr:graphicFrame macro="">
      <xdr:nvGraphicFramePr>
        <xdr:cNvPr id="16" name="Chart 15">
          <a:extLst>
            <a:ext uri="{FF2B5EF4-FFF2-40B4-BE49-F238E27FC236}">
              <a16:creationId xmlns:a16="http://schemas.microsoft.com/office/drawing/2014/main" id="{711AC3C6-8125-75EF-5FAE-5D99A86326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203201</xdr:colOff>
      <xdr:row>113</xdr:row>
      <xdr:rowOff>63501</xdr:rowOff>
    </xdr:from>
    <xdr:to>
      <xdr:col>28</xdr:col>
      <xdr:colOff>63500</xdr:colOff>
      <xdr:row>127</xdr:row>
      <xdr:rowOff>63500</xdr:rowOff>
    </xdr:to>
    <xdr:graphicFrame macro="">
      <xdr:nvGraphicFramePr>
        <xdr:cNvPr id="17" name="Chart 16">
          <a:extLst>
            <a:ext uri="{FF2B5EF4-FFF2-40B4-BE49-F238E27FC236}">
              <a16:creationId xmlns:a16="http://schemas.microsoft.com/office/drawing/2014/main" id="{85364111-4B92-45B9-8CFF-5EB833652D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30</xdr:col>
      <xdr:colOff>79375</xdr:colOff>
      <xdr:row>114</xdr:row>
      <xdr:rowOff>167216</xdr:rowOff>
    </xdr:from>
    <xdr:to>
      <xdr:col>37</xdr:col>
      <xdr:colOff>211667</xdr:colOff>
      <xdr:row>131</xdr:row>
      <xdr:rowOff>105833</xdr:rowOff>
    </xdr:to>
    <xdr:graphicFrame macro="">
      <xdr:nvGraphicFramePr>
        <xdr:cNvPr id="18" name="Chart 17">
          <a:extLst>
            <a:ext uri="{FF2B5EF4-FFF2-40B4-BE49-F238E27FC236}">
              <a16:creationId xmlns:a16="http://schemas.microsoft.com/office/drawing/2014/main" id="{C07434D6-D01D-404A-9497-15C020F92D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dcfil02\CHQ_users\ghorn00\My%20Documents\VoIP%20Model\Cisco%20VoIP%20Model%20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ell-Us%20Adm-Store-Kunder/&#216;konomi/Periodeavslutning/Res%20Kundedimensjon%202002P2%20EBITD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STAB-U2-50-002\DATA1\KOE\KATALOG\GENERELL\ARKIV-ID\TTSEFJ\AARSPAK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jsv002\user%20folder2\Planning\FLASH%20SUMMARY\050912%20Flash%20Daily%20Report\Back%20Up&#29992;\Back%20Up&#29992;\EMM%20%20&#23455;&#32318;Review.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TELCO/MODELS/Emerging/TPSA_WI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ble\finance\TAX51A\COBB\EXCEL\CASHFLOW\2005\1st%20Qtr%202005\FAS%20115%20Tax%201Q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jsv002\user%20folder2\Accounting\&#20104;&#23455;&#38306;&#36899;\_FY06&#20104;&#23455;\_Reporting\_&#12381;&#12398;&#20182;BS&#12539;CF&#12539;Inventory\&#12381;&#12398;&#20182;&#12524;&#12509;&#12540;&#12488;&#12501;&#12449;&#12452;&#12523;-&#26368;&#26032;&#2925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able\corp-dfs\Financial%20Planning\REPORTING\2016\1Q16\Below%20the%20Line\Support\Net_IncomeBridge.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able\Documents%20and%20Settings\PurvisR\Local%20Settings\Temporary%20Internet%20Files\OLK7F\Documents%20and%20Settings\PreeceS\Local%20Settings\Temporary%20Internet%20Files\OLK22\Overhead%20Consolidation%20December%2020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jsv002\user%20folder2\Accounting\&#20104;&#23455;&#38306;&#36899;\_FY04&#20104;&#23455;\_&#12381;&#12398;&#20182;\200405&#35211;&#36796;&#12415;&#1238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jsv002\user%20folder2\Accounting\&#20104;&#23455;&#38306;&#36899;\_FY06&#20104;&#23455;\_Reporting\_PL&#38306;&#36899;\FY06_&#37096;&#38263;&#20250;&#29992;&#36039;&#26009;&#20316;&#25104;&#65420;&#65383;&#65394;&#65433;-&#26368;&#26032;&#2925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t539562/Local%20Settings/Temporary%20Internet%20Files/OLK9/&#216;k%20per%20kontrakt%20-%20tapsavsetn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My%20Documents\Country%20models\workspace\fixed%20seeds%20v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App3\common\CORPACCT\Financial%20Reporting\SEC\FORM10-Q\2004\3Q%202004\Corporate\workpapers\Debt%20Report%209-30-2004%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jsv002\user%20folder2\Accounting\&#20104;&#23455;&#38306;&#36899;\_FY05&#20104;&#23455;\_Package\&#20840;&#31038;&#65381;&#37096;&#21029;&#22522;&#30990;Data&#21152;&#24037;&#20966;&#29702;_&#26368;&#26032;&#2925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OCKS/EUROPE/Norway/TNOR/Models/Current/TNOR_curre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OCKS/EUROPE/UK/BT/Models/Current/BT5%20Broadband%20Scenari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oe/Katalog/RAPPORT/Mnd-00/Diverse/maler/Rapportpakke%20Excel%20kvart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TOCKS/EUROPE/UK/VOD/Models/Current/Vodafone(2sep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ELECOMS/STOCKS/ASIA%20(ex-Japan)%20Internet/Tech%20analyser%20v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gb24506\restore\23010101\TELC\TELCOS\UK\BT\NEWERA\BTMODEL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K_OKOK/Bud_rapp/MNDRAPP/2000/0004/Utrapportert/pres0004%20Business%20Solu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ment"/>
      <sheetName val="Model"/>
      <sheetName val="Financial Statements"/>
      <sheetName val="Capex"/>
      <sheetName val="Capex Input"/>
      <sheetName val="Results"/>
      <sheetName val="BTS Tabl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ITDA"/>
      <sheetName val="2002 Total"/>
      <sheetName val="EBITDA mnd"/>
      <sheetName val="R2002"/>
      <sheetName val="B2002"/>
      <sheetName val="ASK"/>
      <sheetName val="Standardkalkyle"/>
      <sheetName val="Diagram DB"/>
      <sheetName val="Omsetning diagram"/>
      <sheetName val="Grunnlag diagram"/>
      <sheetName val="Grunndata"/>
      <sheetName val="A-sted"/>
      <sheetName val="K-kost"/>
    </sheetNames>
    <sheetDataSet>
      <sheetData sheetId="0" refreshError="1"/>
      <sheetData sheetId="1"/>
      <sheetData sheetId="2" refreshError="1"/>
      <sheetData sheetId="3"/>
      <sheetData sheetId="4"/>
      <sheetData sheetId="5" refreshError="1"/>
      <sheetData sheetId="6"/>
      <sheetData sheetId="7" refreshError="1"/>
      <sheetData sheetId="8" refreshError="1"/>
      <sheetData sheetId="9" refreshError="1"/>
      <sheetData sheetId="10">
        <row r="3">
          <cell r="A3">
            <v>1</v>
          </cell>
          <cell r="B3" t="str">
            <v>Januar</v>
          </cell>
          <cell r="C3">
            <v>1</v>
          </cell>
        </row>
        <row r="4">
          <cell r="A4">
            <v>2</v>
          </cell>
          <cell r="B4" t="str">
            <v>Februar</v>
          </cell>
          <cell r="C4">
            <v>2</v>
          </cell>
        </row>
        <row r="5">
          <cell r="A5">
            <v>3</v>
          </cell>
          <cell r="B5" t="str">
            <v>Mars</v>
          </cell>
          <cell r="C5">
            <v>3</v>
          </cell>
        </row>
        <row r="6">
          <cell r="A6">
            <v>4</v>
          </cell>
          <cell r="B6" t="str">
            <v>April</v>
          </cell>
          <cell r="C6">
            <v>4</v>
          </cell>
        </row>
        <row r="7">
          <cell r="A7">
            <v>5</v>
          </cell>
          <cell r="B7" t="str">
            <v>Mai</v>
          </cell>
          <cell r="C7">
            <v>5</v>
          </cell>
        </row>
        <row r="8">
          <cell r="A8">
            <v>6</v>
          </cell>
          <cell r="B8" t="str">
            <v>Juni</v>
          </cell>
          <cell r="C8">
            <v>6</v>
          </cell>
        </row>
        <row r="9">
          <cell r="A9">
            <v>7</v>
          </cell>
          <cell r="B9" t="str">
            <v>Juli</v>
          </cell>
          <cell r="C9">
            <v>7</v>
          </cell>
        </row>
        <row r="10">
          <cell r="A10">
            <v>8</v>
          </cell>
          <cell r="B10" t="str">
            <v>August</v>
          </cell>
          <cell r="C10">
            <v>8</v>
          </cell>
        </row>
        <row r="11">
          <cell r="A11">
            <v>9</v>
          </cell>
          <cell r="B11" t="str">
            <v>September</v>
          </cell>
          <cell r="C11">
            <v>9</v>
          </cell>
        </row>
        <row r="12">
          <cell r="A12">
            <v>10</v>
          </cell>
          <cell r="B12" t="str">
            <v>Oktober</v>
          </cell>
          <cell r="C12">
            <v>10</v>
          </cell>
        </row>
        <row r="13">
          <cell r="A13">
            <v>11</v>
          </cell>
          <cell r="B13" t="str">
            <v>November</v>
          </cell>
          <cell r="C13">
            <v>11</v>
          </cell>
        </row>
        <row r="14">
          <cell r="A14">
            <v>12</v>
          </cell>
          <cell r="B14" t="str">
            <v>Desember</v>
          </cell>
          <cell r="C14">
            <v>12</v>
          </cell>
        </row>
      </sheetData>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orma"/>
      <sheetName val="Grunndata"/>
      <sheetName val="tot"/>
      <sheetName val="CAPEX LRBP_Input"/>
      <sheetName val="Forside"/>
      <sheetName val="Front"/>
      <sheetName val="Sheet-8"/>
      <sheetName val="สรุปราคาค่าก่อสร้าง"/>
      <sheetName val="TB-2001-Apr'01"/>
      <sheetName val="TrialBalance Q3-2002"/>
      <sheetName val="1602-97"/>
      <sheetName val="19"/>
      <sheetName val="K-8"/>
      <sheetName val="เงินกู้ธนชาติ"/>
      <sheetName val="List_of_New_Sites_Propose2"/>
      <sheetName val="ADJ - RATE"/>
      <sheetName val="TOTAL PGS Group"/>
      <sheetName val="Sheet3"/>
      <sheetName val="Mar21"/>
      <sheetName val="Dtn-Jan 21  "/>
      <sheetName val="DTAC Telenor"/>
      <sheetName val="Account code for NewERP"/>
      <sheetName val="RC-New (VF.Feb21)"/>
      <sheetName val="list"/>
      <sheetName val="AARSPAK2"/>
      <sheetName val="Sheet1"/>
      <sheetName val="Employees"/>
      <sheetName val="UAD"/>
      <sheetName val="Basis P&amp;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FY 2nd Hafl Latest Estimate"/>
      <sheetName val="WeeklyData"/>
      <sheetName val="Sheet3"/>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stats"/>
      <sheetName val="Report Template"/>
      <sheetName val="Shareholder Structure"/>
      <sheetName val="Tariffs&amp;Traffic"/>
      <sheetName val="TPSA_Model"/>
      <sheetName val="__FDSCACHE__"/>
      <sheetName val="GSM"/>
      <sheetName val="Centertel_Model"/>
      <sheetName val="Centertel Consolidations"/>
      <sheetName val="TPSA_Capex"/>
      <sheetName val="TPSA_Group"/>
      <sheetName val="mwareValPrintout"/>
      <sheetName val="mwareTaxoPres"/>
      <sheetName val="Group_DCF"/>
      <sheetName val="Valuation Multiples"/>
      <sheetName val="Valuation Chart"/>
      <sheetName val="TPSA Q"/>
      <sheetName val="Dividend Chart"/>
      <sheetName val="Quarterly"/>
      <sheetName val="Consensus"/>
      <sheetName val="Mobile Ops Summary"/>
      <sheetName val="Centertel_Fins"/>
      <sheetName val="IS(PAS)consol"/>
      <sheetName val="CF(PAS)unconsol"/>
      <sheetName val="IS(PAS)unconsol"/>
      <sheetName val="GE 2"/>
      <sheetName val="Debt Summary"/>
      <sheetName val="Changes"/>
      <sheetName val="Benchmarking"/>
      <sheetName val="Chart Data"/>
      <sheetName val="Charts"/>
      <sheetName val="Sublink churn"/>
      <sheetName val="Link"/>
      <sheetName val="GE Upload"/>
      <sheetName val="FT-Link"/>
      <sheetName val="mwareDates"/>
      <sheetName val="Operational Changes"/>
      <sheetName val="mwarePreview"/>
      <sheetName val="Taglink"/>
      <sheetName val="MSAM Link"/>
      <sheetName val="TPSAQ link"/>
      <sheetName val="Quarterly_Table"/>
      <sheetName val="Quarterly Segments"/>
      <sheetName val="BS(PAS)unconsol"/>
      <sheetName val="CF(PAS)consol"/>
      <sheetName val="BS(PAS)consol"/>
      <sheetName val="Proportional"/>
      <sheetName val="Centertel_DCF"/>
      <sheetName val="TPSA_DCF"/>
      <sheetName val="mwareSettings"/>
      <sheetName val="Cellular_Market"/>
      <sheetName val="NMT"/>
      <sheetName val="Relative Pricing"/>
      <sheetName val="Sheet1"/>
      <sheetName val="xbrldates"/>
      <sheetName val="xbrlPreview"/>
      <sheetName val="xbrlSettings"/>
      <sheetName val="TPSA_WIP"/>
      <sheetName val="Macro_Assumptions"/>
      <sheetName val="MWare_Cached"/>
    </sheetNames>
    <sheetDataSet>
      <sheetData sheetId="0" refreshError="1"/>
      <sheetData sheetId="1" refreshError="1"/>
      <sheetData sheetId="2" refreshError="1"/>
      <sheetData sheetId="3" refreshError="1"/>
      <sheetData sheetId="4" refreshError="1">
        <row r="468">
          <cell r="O468">
            <v>7427.9247366746959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Cost Report"/>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_ID"/>
      <sheetName val="★ﾒﾆｭｰ"/>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
      <sheetName val="Ref"/>
      <sheetName val="WaterFall_Prep"/>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Z"/>
      <sheetName val="BEN"/>
      <sheetName val="BRA"/>
      <sheetName val="CE"/>
      <sheetName val="FRA"/>
      <sheetName val="ITA"/>
      <sheetName val="JPN"/>
      <sheetName val="KOR"/>
      <sheetName val="MEX"/>
      <sheetName val="NOR"/>
      <sheetName val="SPA"/>
      <sheetName val="UK"/>
      <sheetName val="UPIBV"/>
      <sheetName val="UPIO"/>
      <sheetName val="UPV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ﾃﾞｰﾀ"/>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ITDA"/>
      <sheetName val="2002 Total"/>
      <sheetName val="EBITDA mnd"/>
      <sheetName val="R2002"/>
      <sheetName val="B2002"/>
      <sheetName val="ASK"/>
      <sheetName val="Standardkalkyle"/>
      <sheetName val="Diagram DB"/>
      <sheetName val="Omsetning diagram"/>
      <sheetName val="Grunnlag diagram"/>
      <sheetName val="Grunndata"/>
      <sheetName val="A-sted"/>
      <sheetName val="K-kost"/>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refreshError="1"/>
      <sheetData sheetId="10"/>
      <sheetData sheetId="11">
        <row r="8">
          <cell r="A8" t="str">
            <v>92000</v>
          </cell>
          <cell r="B8">
            <v>572754.43999999994</v>
          </cell>
          <cell r="C8">
            <v>638109.75</v>
          </cell>
          <cell r="D8">
            <v>455414.35</v>
          </cell>
          <cell r="E8">
            <v>633339.72</v>
          </cell>
          <cell r="F8">
            <v>1213897.45</v>
          </cell>
          <cell r="G8">
            <v>1357058.72</v>
          </cell>
          <cell r="H8">
            <v>906607.45</v>
          </cell>
          <cell r="I8">
            <v>1485501.87</v>
          </cell>
          <cell r="J8">
            <v>1471471.16</v>
          </cell>
          <cell r="O8" t="str">
            <v>92000</v>
          </cell>
          <cell r="P8">
            <v>572754.43999999994</v>
          </cell>
          <cell r="Q8">
            <v>1210864.19</v>
          </cell>
          <cell r="R8">
            <v>1666278.54</v>
          </cell>
          <cell r="S8">
            <v>2299618.2599999998</v>
          </cell>
          <cell r="T8">
            <v>3513515.71</v>
          </cell>
          <cell r="U8">
            <v>4870574.43</v>
          </cell>
          <cell r="V8">
            <v>5777181.8799999999</v>
          </cell>
          <cell r="W8">
            <v>7262683.75</v>
          </cell>
          <cell r="X8">
            <v>8734154.9100000001</v>
          </cell>
          <cell r="Y8">
            <v>8734154.9100000001</v>
          </cell>
          <cell r="Z8">
            <v>8734154.9100000001</v>
          </cell>
          <cell r="AA8">
            <v>8734154.9100000001</v>
          </cell>
        </row>
        <row r="9">
          <cell r="A9" t="str">
            <v>92100</v>
          </cell>
          <cell r="B9">
            <v>154549.20000000001</v>
          </cell>
          <cell r="C9">
            <v>181790.48</v>
          </cell>
          <cell r="D9">
            <v>-52647.27</v>
          </cell>
          <cell r="E9">
            <v>94947.77</v>
          </cell>
          <cell r="F9">
            <v>104831.27</v>
          </cell>
          <cell r="G9">
            <v>84803.5</v>
          </cell>
          <cell r="H9">
            <v>80114.16</v>
          </cell>
          <cell r="I9">
            <v>83136.800000000003</v>
          </cell>
          <cell r="J9">
            <v>102074.35</v>
          </cell>
          <cell r="O9" t="str">
            <v>92100</v>
          </cell>
          <cell r="P9">
            <v>154549.20000000001</v>
          </cell>
          <cell r="Q9">
            <v>336339.68000000005</v>
          </cell>
          <cell r="R9">
            <v>283692.41000000003</v>
          </cell>
          <cell r="S9">
            <v>378640.18000000005</v>
          </cell>
          <cell r="T9">
            <v>483471.45000000007</v>
          </cell>
          <cell r="U9">
            <v>568274.95000000007</v>
          </cell>
          <cell r="V9">
            <v>648389.1100000001</v>
          </cell>
          <cell r="W9">
            <v>731525.91000000015</v>
          </cell>
          <cell r="X9">
            <v>833600.26000000013</v>
          </cell>
          <cell r="Y9">
            <v>833600.26000000013</v>
          </cell>
          <cell r="Z9">
            <v>833600.26000000013</v>
          </cell>
          <cell r="AA9">
            <v>833600.26000000013</v>
          </cell>
        </row>
        <row r="10">
          <cell r="A10" t="str">
            <v>92200</v>
          </cell>
          <cell r="B10">
            <v>808138.91</v>
          </cell>
          <cell r="C10">
            <v>978397.38</v>
          </cell>
          <cell r="D10">
            <v>1381144</v>
          </cell>
          <cell r="E10">
            <v>1168586.22</v>
          </cell>
          <cell r="F10">
            <v>373605.36</v>
          </cell>
          <cell r="G10">
            <v>887938.18</v>
          </cell>
          <cell r="H10">
            <v>652326.82999999996</v>
          </cell>
          <cell r="I10">
            <v>485790.25</v>
          </cell>
          <cell r="J10">
            <v>856444.17</v>
          </cell>
          <cell r="O10" t="str">
            <v>92200</v>
          </cell>
          <cell r="P10">
            <v>808138.91</v>
          </cell>
          <cell r="Q10">
            <v>1786536.29</v>
          </cell>
          <cell r="R10">
            <v>3167680.29</v>
          </cell>
          <cell r="S10">
            <v>4336266.51</v>
          </cell>
          <cell r="T10">
            <v>4709871.87</v>
          </cell>
          <cell r="U10">
            <v>5597810.0499999998</v>
          </cell>
          <cell r="V10">
            <v>6250136.8799999999</v>
          </cell>
          <cell r="W10">
            <v>6735927.1299999999</v>
          </cell>
          <cell r="X10">
            <v>7592371.2999999998</v>
          </cell>
          <cell r="Y10">
            <v>7592371.2999999998</v>
          </cell>
          <cell r="Z10">
            <v>7592371.2999999998</v>
          </cell>
          <cell r="AA10">
            <v>7592371.2999999998</v>
          </cell>
        </row>
        <row r="11">
          <cell r="A11" t="str">
            <v>92305</v>
          </cell>
          <cell r="C11">
            <v>813.5</v>
          </cell>
          <cell r="D11">
            <v>-300000</v>
          </cell>
          <cell r="G11">
            <v>2325000</v>
          </cell>
          <cell r="H11">
            <v>1666</v>
          </cell>
          <cell r="O11" t="str">
            <v>92305</v>
          </cell>
          <cell r="P11">
            <v>0</v>
          </cell>
          <cell r="Q11">
            <v>813.5</v>
          </cell>
          <cell r="R11">
            <v>-299186.5</v>
          </cell>
          <cell r="S11">
            <v>-299186.5</v>
          </cell>
          <cell r="T11">
            <v>-299186.5</v>
          </cell>
          <cell r="U11">
            <v>2025813.5</v>
          </cell>
          <cell r="V11">
            <v>2027479.5</v>
          </cell>
          <cell r="W11">
            <v>2027479.5</v>
          </cell>
          <cell r="X11">
            <v>2027479.5</v>
          </cell>
          <cell r="Y11">
            <v>2027479.5</v>
          </cell>
          <cell r="Z11">
            <v>2027479.5</v>
          </cell>
          <cell r="AA11">
            <v>2027479.5</v>
          </cell>
        </row>
        <row r="12">
          <cell r="A12" t="str">
            <v>92310</v>
          </cell>
          <cell r="C12">
            <v>-0.16000000000349246</v>
          </cell>
          <cell r="D12">
            <v>767</v>
          </cell>
          <cell r="H12">
            <v>1153</v>
          </cell>
          <cell r="I12">
            <v>83760</v>
          </cell>
          <cell r="J12">
            <v>34276.18</v>
          </cell>
          <cell r="O12" t="str">
            <v>92310</v>
          </cell>
          <cell r="P12">
            <v>0</v>
          </cell>
          <cell r="Q12">
            <v>-0.16000000000349246</v>
          </cell>
          <cell r="R12">
            <v>766.83999999999651</v>
          </cell>
          <cell r="S12">
            <v>766.83999999999651</v>
          </cell>
          <cell r="T12">
            <v>766.83999999999651</v>
          </cell>
          <cell r="U12">
            <v>766.83999999999651</v>
          </cell>
          <cell r="V12">
            <v>1919.8399999999965</v>
          </cell>
          <cell r="W12">
            <v>85679.84</v>
          </cell>
          <cell r="X12">
            <v>119956.01999999999</v>
          </cell>
          <cell r="Y12">
            <v>119956.01999999999</v>
          </cell>
          <cell r="Z12">
            <v>119956.01999999999</v>
          </cell>
          <cell r="AA12">
            <v>119956.01999999999</v>
          </cell>
        </row>
        <row r="13">
          <cell r="A13" t="str">
            <v>92320</v>
          </cell>
          <cell r="G13">
            <v>767.21</v>
          </cell>
          <cell r="J13">
            <v>32395.7</v>
          </cell>
          <cell r="O13" t="str">
            <v>92320</v>
          </cell>
          <cell r="P13">
            <v>0</v>
          </cell>
          <cell r="Q13">
            <v>0</v>
          </cell>
          <cell r="R13">
            <v>0</v>
          </cell>
          <cell r="S13">
            <v>0</v>
          </cell>
          <cell r="T13">
            <v>0</v>
          </cell>
          <cell r="U13">
            <v>767.21</v>
          </cell>
          <cell r="V13">
            <v>767.21</v>
          </cell>
          <cell r="W13">
            <v>767.21</v>
          </cell>
          <cell r="X13">
            <v>33162.910000000003</v>
          </cell>
          <cell r="Y13">
            <v>33162.910000000003</v>
          </cell>
          <cell r="Z13">
            <v>33162.910000000003</v>
          </cell>
          <cell r="AA13">
            <v>33162.910000000003</v>
          </cell>
        </row>
        <row r="14">
          <cell r="A14" t="str">
            <v>92325</v>
          </cell>
          <cell r="B14">
            <v>2310</v>
          </cell>
          <cell r="C14">
            <v>1970</v>
          </cell>
          <cell r="D14">
            <v>5995.72</v>
          </cell>
          <cell r="E14">
            <v>11770</v>
          </cell>
          <cell r="F14">
            <v>30554</v>
          </cell>
          <cell r="G14">
            <v>44286.95</v>
          </cell>
          <cell r="H14">
            <v>86700</v>
          </cell>
          <cell r="I14">
            <v>162097.73000000001</v>
          </cell>
          <cell r="J14">
            <v>163630.28</v>
          </cell>
          <cell r="O14" t="str">
            <v>92325</v>
          </cell>
          <cell r="P14">
            <v>2310</v>
          </cell>
          <cell r="Q14">
            <v>4280</v>
          </cell>
          <cell r="R14">
            <v>10275.720000000001</v>
          </cell>
          <cell r="S14">
            <v>22045.72</v>
          </cell>
          <cell r="T14">
            <v>52599.72</v>
          </cell>
          <cell r="U14">
            <v>96886.67</v>
          </cell>
          <cell r="V14">
            <v>183586.66999999998</v>
          </cell>
          <cell r="W14">
            <v>345684.4</v>
          </cell>
          <cell r="X14">
            <v>509314.68000000005</v>
          </cell>
          <cell r="Y14">
            <v>509314.68000000005</v>
          </cell>
          <cell r="Z14">
            <v>509314.68000000005</v>
          </cell>
          <cell r="AA14">
            <v>509314.68000000005</v>
          </cell>
        </row>
        <row r="15">
          <cell r="A15" t="str">
            <v>92330</v>
          </cell>
          <cell r="F15">
            <v>1942.25</v>
          </cell>
          <cell r="O15" t="str">
            <v>92330</v>
          </cell>
          <cell r="P15">
            <v>0</v>
          </cell>
          <cell r="Q15">
            <v>0</v>
          </cell>
          <cell r="R15">
            <v>0</v>
          </cell>
          <cell r="S15">
            <v>0</v>
          </cell>
          <cell r="T15">
            <v>1942.25</v>
          </cell>
          <cell r="U15">
            <v>1942.25</v>
          </cell>
          <cell r="V15">
            <v>1942.25</v>
          </cell>
          <cell r="W15">
            <v>1942.25</v>
          </cell>
          <cell r="X15">
            <v>1942.25</v>
          </cell>
          <cell r="Y15">
            <v>1942.25</v>
          </cell>
          <cell r="Z15">
            <v>1942.25</v>
          </cell>
          <cell r="AA15">
            <v>1942.25</v>
          </cell>
        </row>
        <row r="16">
          <cell r="A16" t="str">
            <v>92335</v>
          </cell>
          <cell r="D16">
            <v>55633.68</v>
          </cell>
          <cell r="E16">
            <v>1743.93</v>
          </cell>
          <cell r="O16" t="str">
            <v>92335</v>
          </cell>
          <cell r="P16">
            <v>0</v>
          </cell>
          <cell r="Q16">
            <v>0</v>
          </cell>
          <cell r="R16">
            <v>55633.68</v>
          </cell>
          <cell r="S16">
            <v>57377.61</v>
          </cell>
          <cell r="T16">
            <v>57377.61</v>
          </cell>
          <cell r="U16">
            <v>57377.61</v>
          </cell>
          <cell r="V16">
            <v>57377.61</v>
          </cell>
          <cell r="W16">
            <v>57377.61</v>
          </cell>
          <cell r="X16">
            <v>57377.61</v>
          </cell>
          <cell r="Y16">
            <v>57377.61</v>
          </cell>
          <cell r="Z16">
            <v>57377.61</v>
          </cell>
          <cell r="AA16">
            <v>57377.61</v>
          </cell>
        </row>
        <row r="17">
          <cell r="A17" t="str">
            <v>92340</v>
          </cell>
          <cell r="C17">
            <v>64</v>
          </cell>
          <cell r="O17" t="str">
            <v>92340</v>
          </cell>
          <cell r="P17">
            <v>0</v>
          </cell>
          <cell r="Q17">
            <v>64</v>
          </cell>
          <cell r="R17">
            <v>64</v>
          </cell>
          <cell r="S17">
            <v>64</v>
          </cell>
          <cell r="T17">
            <v>64</v>
          </cell>
          <cell r="U17">
            <v>64</v>
          </cell>
          <cell r="V17">
            <v>64</v>
          </cell>
          <cell r="W17">
            <v>64</v>
          </cell>
          <cell r="X17">
            <v>64</v>
          </cell>
          <cell r="Y17">
            <v>64</v>
          </cell>
          <cell r="Z17">
            <v>64</v>
          </cell>
          <cell r="AA17">
            <v>64</v>
          </cell>
        </row>
        <row r="18">
          <cell r="A18" t="str">
            <v>92350</v>
          </cell>
          <cell r="F18">
            <v>258</v>
          </cell>
          <cell r="G18">
            <v>140</v>
          </cell>
          <cell r="O18" t="str">
            <v>92350</v>
          </cell>
          <cell r="P18">
            <v>0</v>
          </cell>
          <cell r="Q18">
            <v>0</v>
          </cell>
          <cell r="R18">
            <v>0</v>
          </cell>
          <cell r="S18">
            <v>0</v>
          </cell>
          <cell r="T18">
            <v>258</v>
          </cell>
          <cell r="U18">
            <v>398</v>
          </cell>
          <cell r="V18">
            <v>398</v>
          </cell>
          <cell r="W18">
            <v>398</v>
          </cell>
          <cell r="X18">
            <v>398</v>
          </cell>
          <cell r="Y18">
            <v>398</v>
          </cell>
          <cell r="Z18">
            <v>398</v>
          </cell>
          <cell r="AA18">
            <v>398</v>
          </cell>
        </row>
        <row r="19">
          <cell r="A19" t="str">
            <v>92355</v>
          </cell>
          <cell r="C19">
            <v>2995.3499999999767</v>
          </cell>
          <cell r="D19">
            <v>4280.38</v>
          </cell>
          <cell r="E19">
            <v>88460.32</v>
          </cell>
          <cell r="F19">
            <v>22633.599999999999</v>
          </cell>
          <cell r="G19">
            <v>276.91000000000003</v>
          </cell>
          <cell r="H19">
            <v>464.1</v>
          </cell>
          <cell r="O19" t="str">
            <v>92355</v>
          </cell>
          <cell r="P19">
            <v>0</v>
          </cell>
          <cell r="Q19">
            <v>2995.3499999999767</v>
          </cell>
          <cell r="R19">
            <v>7275.7299999999768</v>
          </cell>
          <cell r="S19">
            <v>95736.049999999988</v>
          </cell>
          <cell r="T19">
            <v>118369.65</v>
          </cell>
          <cell r="U19">
            <v>118646.56</v>
          </cell>
          <cell r="V19">
            <v>119110.66</v>
          </cell>
          <cell r="W19">
            <v>119110.66</v>
          </cell>
          <cell r="X19">
            <v>119110.66</v>
          </cell>
          <cell r="Y19">
            <v>119110.66</v>
          </cell>
          <cell r="Z19">
            <v>119110.66</v>
          </cell>
          <cell r="AA19">
            <v>119110.66</v>
          </cell>
        </row>
        <row r="20">
          <cell r="A20" t="str">
            <v>92360</v>
          </cell>
          <cell r="C20">
            <v>784.68</v>
          </cell>
          <cell r="O20" t="str">
            <v>92360</v>
          </cell>
          <cell r="P20">
            <v>0</v>
          </cell>
          <cell r="Q20">
            <v>784.68</v>
          </cell>
          <cell r="R20">
            <v>784.68</v>
          </cell>
          <cell r="S20">
            <v>784.68</v>
          </cell>
          <cell r="T20">
            <v>784.68</v>
          </cell>
          <cell r="U20">
            <v>784.68</v>
          </cell>
          <cell r="V20">
            <v>784.68</v>
          </cell>
          <cell r="W20">
            <v>784.68</v>
          </cell>
          <cell r="X20">
            <v>784.68</v>
          </cell>
          <cell r="Y20">
            <v>784.68</v>
          </cell>
          <cell r="Z20">
            <v>784.68</v>
          </cell>
          <cell r="AA20">
            <v>784.68</v>
          </cell>
        </row>
        <row r="21">
          <cell r="A21" t="str">
            <v>92365</v>
          </cell>
          <cell r="J21">
            <v>0</v>
          </cell>
          <cell r="O21" t="str">
            <v>92365</v>
          </cell>
          <cell r="P21">
            <v>0</v>
          </cell>
          <cell r="Q21">
            <v>0</v>
          </cell>
          <cell r="R21">
            <v>0</v>
          </cell>
          <cell r="S21">
            <v>0</v>
          </cell>
          <cell r="T21">
            <v>0</v>
          </cell>
          <cell r="U21">
            <v>0</v>
          </cell>
          <cell r="V21">
            <v>0</v>
          </cell>
          <cell r="W21">
            <v>0</v>
          </cell>
          <cell r="X21">
            <v>0</v>
          </cell>
          <cell r="Y21">
            <v>0</v>
          </cell>
          <cell r="Z21">
            <v>0</v>
          </cell>
          <cell r="AA21">
            <v>0</v>
          </cell>
        </row>
        <row r="22">
          <cell r="A22" t="str">
            <v>92370</v>
          </cell>
          <cell r="C22">
            <v>5334</v>
          </cell>
          <cell r="D22">
            <v>0</v>
          </cell>
          <cell r="I22">
            <v>406.5</v>
          </cell>
          <cell r="O22" t="str">
            <v>92370</v>
          </cell>
          <cell r="P22">
            <v>0</v>
          </cell>
          <cell r="Q22">
            <v>5334</v>
          </cell>
          <cell r="R22">
            <v>5334</v>
          </cell>
          <cell r="S22">
            <v>5334</v>
          </cell>
          <cell r="T22">
            <v>5334</v>
          </cell>
          <cell r="U22">
            <v>5334</v>
          </cell>
          <cell r="V22">
            <v>5334</v>
          </cell>
          <cell r="W22">
            <v>5740.5</v>
          </cell>
          <cell r="X22">
            <v>5740.5</v>
          </cell>
          <cell r="Y22">
            <v>5740.5</v>
          </cell>
          <cell r="Z22">
            <v>5740.5</v>
          </cell>
          <cell r="AA22">
            <v>5740.5</v>
          </cell>
        </row>
        <row r="23">
          <cell r="A23" t="str">
            <v>92375</v>
          </cell>
          <cell r="C23">
            <v>5069.76</v>
          </cell>
          <cell r="D23">
            <v>863.71</v>
          </cell>
          <cell r="F23">
            <v>4700.6499999999996</v>
          </cell>
          <cell r="H23">
            <v>101.82</v>
          </cell>
          <cell r="O23" t="str">
            <v>92375</v>
          </cell>
          <cell r="P23">
            <v>0</v>
          </cell>
          <cell r="Q23">
            <v>5069.76</v>
          </cell>
          <cell r="R23">
            <v>5933.47</v>
          </cell>
          <cell r="S23">
            <v>5933.47</v>
          </cell>
          <cell r="T23">
            <v>10634.119999999999</v>
          </cell>
          <cell r="U23">
            <v>10634.119999999999</v>
          </cell>
          <cell r="V23">
            <v>10735.939999999999</v>
          </cell>
          <cell r="W23">
            <v>10735.939999999999</v>
          </cell>
          <cell r="X23">
            <v>10735.939999999999</v>
          </cell>
          <cell r="Y23">
            <v>10735.939999999999</v>
          </cell>
          <cell r="Z23">
            <v>10735.939999999999</v>
          </cell>
          <cell r="AA23">
            <v>10735.939999999999</v>
          </cell>
        </row>
        <row r="24">
          <cell r="A24" t="str">
            <v>92387</v>
          </cell>
          <cell r="G24">
            <v>12181.01</v>
          </cell>
          <cell r="J24">
            <v>1330</v>
          </cell>
          <cell r="O24" t="str">
            <v>92387</v>
          </cell>
          <cell r="P24">
            <v>0</v>
          </cell>
          <cell r="Q24">
            <v>0</v>
          </cell>
          <cell r="R24">
            <v>0</v>
          </cell>
          <cell r="S24">
            <v>0</v>
          </cell>
          <cell r="T24">
            <v>0</v>
          </cell>
          <cell r="U24">
            <v>12181.01</v>
          </cell>
          <cell r="V24">
            <v>12181.01</v>
          </cell>
          <cell r="W24">
            <v>12181.01</v>
          </cell>
          <cell r="X24">
            <v>13511.01</v>
          </cell>
          <cell r="Y24">
            <v>13511.01</v>
          </cell>
          <cell r="Z24">
            <v>13511.01</v>
          </cell>
          <cell r="AA24">
            <v>13511.01</v>
          </cell>
        </row>
        <row r="25">
          <cell r="A25" t="str">
            <v>92390</v>
          </cell>
          <cell r="B25">
            <v>67167.44</v>
          </cell>
          <cell r="C25">
            <v>58636.98</v>
          </cell>
          <cell r="D25">
            <v>232738</v>
          </cell>
          <cell r="E25">
            <v>29266.03</v>
          </cell>
          <cell r="F25">
            <v>330.5</v>
          </cell>
          <cell r="H25">
            <v>1764.53</v>
          </cell>
          <cell r="I25">
            <v>87348.58</v>
          </cell>
          <cell r="J25">
            <v>17985.02</v>
          </cell>
          <cell r="O25" t="str">
            <v>92390</v>
          </cell>
          <cell r="P25">
            <v>67167.44</v>
          </cell>
          <cell r="Q25">
            <v>125804.42000000001</v>
          </cell>
          <cell r="R25">
            <v>358542.42000000004</v>
          </cell>
          <cell r="S25">
            <v>387808.45000000007</v>
          </cell>
          <cell r="T25">
            <v>388138.95000000007</v>
          </cell>
          <cell r="U25">
            <v>388138.95000000007</v>
          </cell>
          <cell r="V25">
            <v>389903.4800000001</v>
          </cell>
          <cell r="W25">
            <v>477252.06000000011</v>
          </cell>
          <cell r="X25">
            <v>495237.08000000013</v>
          </cell>
          <cell r="Y25">
            <v>495237.08000000013</v>
          </cell>
          <cell r="Z25">
            <v>495237.08000000013</v>
          </cell>
          <cell r="AA25">
            <v>495237.08000000013</v>
          </cell>
        </row>
        <row r="26">
          <cell r="A26" t="str">
            <v>92395</v>
          </cell>
          <cell r="D26">
            <v>494</v>
          </cell>
          <cell r="E26">
            <v>655.35</v>
          </cell>
          <cell r="H26">
            <v>666.4</v>
          </cell>
          <cell r="O26" t="str">
            <v>92395</v>
          </cell>
          <cell r="P26">
            <v>0</v>
          </cell>
          <cell r="Q26">
            <v>0</v>
          </cell>
          <cell r="R26">
            <v>494</v>
          </cell>
          <cell r="S26">
            <v>1149.3499999999999</v>
          </cell>
          <cell r="T26">
            <v>1149.3499999999999</v>
          </cell>
          <cell r="U26">
            <v>1149.3499999999999</v>
          </cell>
          <cell r="V26">
            <v>1815.75</v>
          </cell>
          <cell r="W26">
            <v>1815.75</v>
          </cell>
          <cell r="X26">
            <v>1815.75</v>
          </cell>
          <cell r="Y26">
            <v>1815.75</v>
          </cell>
          <cell r="Z26">
            <v>1815.75</v>
          </cell>
          <cell r="AA26">
            <v>1815.75</v>
          </cell>
        </row>
        <row r="27">
          <cell r="A27" t="str">
            <v>93000</v>
          </cell>
          <cell r="B27">
            <v>148262.76999999999</v>
          </cell>
          <cell r="C27">
            <v>230750.43</v>
          </cell>
          <cell r="D27">
            <v>250927.11</v>
          </cell>
          <cell r="E27">
            <v>250453.09</v>
          </cell>
          <cell r="F27">
            <v>163469.38</v>
          </cell>
          <cell r="G27">
            <v>218457.27</v>
          </cell>
          <cell r="H27">
            <v>210941.85</v>
          </cell>
          <cell r="I27">
            <v>144187.63</v>
          </cell>
          <cell r="J27">
            <v>221217.87</v>
          </cell>
          <cell r="O27" t="str">
            <v>93000</v>
          </cell>
          <cell r="P27">
            <v>148262.76999999999</v>
          </cell>
          <cell r="Q27">
            <v>379013.19999999995</v>
          </cell>
          <cell r="R27">
            <v>629940.30999999994</v>
          </cell>
          <cell r="S27">
            <v>880393.39999999991</v>
          </cell>
          <cell r="T27">
            <v>1043862.7799999999</v>
          </cell>
          <cell r="U27">
            <v>1262320.0499999998</v>
          </cell>
          <cell r="V27">
            <v>1473261.9</v>
          </cell>
          <cell r="W27">
            <v>1617449.5299999998</v>
          </cell>
          <cell r="X27">
            <v>1838667.4</v>
          </cell>
          <cell r="Y27">
            <v>1838667.4</v>
          </cell>
          <cell r="Z27">
            <v>1838667.4</v>
          </cell>
          <cell r="AA27">
            <v>1838667.4</v>
          </cell>
        </row>
        <row r="28">
          <cell r="A28" t="str">
            <v>93110</v>
          </cell>
          <cell r="B28">
            <v>838111.01</v>
          </cell>
          <cell r="C28">
            <v>-350432.81</v>
          </cell>
          <cell r="D28">
            <v>275632.12</v>
          </cell>
          <cell r="E28">
            <v>316121.59999999998</v>
          </cell>
          <cell r="F28">
            <v>246404.74</v>
          </cell>
          <cell r="G28">
            <v>179780.08</v>
          </cell>
          <cell r="H28">
            <v>179511.45</v>
          </cell>
          <cell r="I28">
            <v>266467.59000000003</v>
          </cell>
          <cell r="J28">
            <v>253212.84</v>
          </cell>
          <cell r="O28" t="str">
            <v>93110</v>
          </cell>
          <cell r="P28">
            <v>838111.01</v>
          </cell>
          <cell r="Q28">
            <v>487678.2</v>
          </cell>
          <cell r="R28">
            <v>763310.32000000007</v>
          </cell>
          <cell r="S28">
            <v>1079431.92</v>
          </cell>
          <cell r="T28">
            <v>1325836.6599999999</v>
          </cell>
          <cell r="U28">
            <v>1505616.74</v>
          </cell>
          <cell r="V28">
            <v>1685128.19</v>
          </cell>
          <cell r="W28">
            <v>1951595.78</v>
          </cell>
          <cell r="X28">
            <v>2204808.62</v>
          </cell>
          <cell r="Y28">
            <v>2204808.62</v>
          </cell>
          <cell r="Z28">
            <v>2204808.62</v>
          </cell>
          <cell r="AA28">
            <v>2204808.62</v>
          </cell>
        </row>
        <row r="29">
          <cell r="A29" t="str">
            <v>93120</v>
          </cell>
          <cell r="B29">
            <v>35616.31</v>
          </cell>
          <cell r="C29">
            <v>437094.41</v>
          </cell>
          <cell r="D29">
            <v>147177.75</v>
          </cell>
          <cell r="E29">
            <v>250063.59</v>
          </cell>
          <cell r="F29">
            <v>234113.01</v>
          </cell>
          <cell r="G29">
            <v>207419.15</v>
          </cell>
          <cell r="H29">
            <v>153930.07999999999</v>
          </cell>
          <cell r="I29">
            <v>281520.03000000003</v>
          </cell>
          <cell r="J29">
            <v>246177.5</v>
          </cell>
          <cell r="O29" t="str">
            <v>93120</v>
          </cell>
          <cell r="P29">
            <v>35616.31</v>
          </cell>
          <cell r="Q29">
            <v>472710.72</v>
          </cell>
          <cell r="R29">
            <v>619888.47</v>
          </cell>
          <cell r="S29">
            <v>869952.05999999994</v>
          </cell>
          <cell r="T29">
            <v>1104065.0699999998</v>
          </cell>
          <cell r="U29">
            <v>1311484.2199999997</v>
          </cell>
          <cell r="V29">
            <v>1465414.2999999998</v>
          </cell>
          <cell r="W29">
            <v>1746934.3299999998</v>
          </cell>
          <cell r="X29">
            <v>1993111.8299999998</v>
          </cell>
          <cell r="Y29">
            <v>1993111.8299999998</v>
          </cell>
          <cell r="Z29">
            <v>1993111.8299999998</v>
          </cell>
          <cell r="AA29">
            <v>1993111.8299999998</v>
          </cell>
        </row>
        <row r="30">
          <cell r="A30" t="str">
            <v>93130</v>
          </cell>
          <cell r="B30">
            <v>402161.65</v>
          </cell>
          <cell r="C30">
            <v>316456.31</v>
          </cell>
          <cell r="D30">
            <v>255215.4</v>
          </cell>
          <cell r="E30">
            <v>331939.51</v>
          </cell>
          <cell r="F30">
            <v>319634.78999999998</v>
          </cell>
          <cell r="G30">
            <v>220350.23</v>
          </cell>
          <cell r="H30">
            <v>217547.94</v>
          </cell>
          <cell r="I30">
            <v>301201.89</v>
          </cell>
          <cell r="J30">
            <v>336939.35</v>
          </cell>
          <cell r="O30" t="str">
            <v>93130</v>
          </cell>
          <cell r="P30">
            <v>402161.65</v>
          </cell>
          <cell r="Q30">
            <v>718617.96</v>
          </cell>
          <cell r="R30">
            <v>973833.36</v>
          </cell>
          <cell r="S30">
            <v>1305772.8700000001</v>
          </cell>
          <cell r="T30">
            <v>1625407.6600000001</v>
          </cell>
          <cell r="U30">
            <v>1845757.8900000001</v>
          </cell>
          <cell r="V30">
            <v>2063305.83</v>
          </cell>
          <cell r="W30">
            <v>2364507.7200000002</v>
          </cell>
          <cell r="X30">
            <v>2701447.0700000003</v>
          </cell>
          <cell r="Y30">
            <v>2701447.0700000003</v>
          </cell>
          <cell r="Z30">
            <v>2701447.0700000003</v>
          </cell>
          <cell r="AA30">
            <v>2701447.0700000003</v>
          </cell>
        </row>
        <row r="31">
          <cell r="A31" t="str">
            <v>93150</v>
          </cell>
          <cell r="B31">
            <v>40482.629999999997</v>
          </cell>
          <cell r="C31">
            <v>174544.55</v>
          </cell>
          <cell r="D31">
            <v>144281.84</v>
          </cell>
          <cell r="E31">
            <v>9173.06</v>
          </cell>
          <cell r="F31">
            <v>107321.3</v>
          </cell>
          <cell r="G31">
            <v>68657.23</v>
          </cell>
          <cell r="H31">
            <v>100005.52</v>
          </cell>
          <cell r="I31">
            <v>120258.91</v>
          </cell>
          <cell r="J31">
            <v>121412.44</v>
          </cell>
          <cell r="O31" t="str">
            <v>93150</v>
          </cell>
          <cell r="P31">
            <v>40482.629999999997</v>
          </cell>
          <cell r="Q31">
            <v>215027.18</v>
          </cell>
          <cell r="R31">
            <v>359309.02</v>
          </cell>
          <cell r="S31">
            <v>368482.08</v>
          </cell>
          <cell r="T31">
            <v>475803.38</v>
          </cell>
          <cell r="U31">
            <v>544460.61</v>
          </cell>
          <cell r="V31">
            <v>644466.13</v>
          </cell>
          <cell r="W31">
            <v>764725.04</v>
          </cell>
          <cell r="X31">
            <v>886137.48</v>
          </cell>
          <cell r="Y31">
            <v>886137.48</v>
          </cell>
          <cell r="Z31">
            <v>886137.48</v>
          </cell>
          <cell r="AA31">
            <v>886137.48</v>
          </cell>
        </row>
        <row r="32">
          <cell r="A32" t="str">
            <v>93200</v>
          </cell>
          <cell r="B32">
            <v>466430.75</v>
          </cell>
          <cell r="C32">
            <v>632403.06999999995</v>
          </cell>
          <cell r="D32">
            <v>534486.89</v>
          </cell>
          <cell r="E32">
            <v>607306.52</v>
          </cell>
          <cell r="F32">
            <v>549195.06999999995</v>
          </cell>
          <cell r="G32">
            <v>462982.16</v>
          </cell>
          <cell r="H32">
            <v>328035.63</v>
          </cell>
          <cell r="I32">
            <v>571094.92000000004</v>
          </cell>
          <cell r="J32">
            <v>615783.69999999995</v>
          </cell>
          <cell r="O32" t="str">
            <v>93200</v>
          </cell>
          <cell r="P32">
            <v>466430.75</v>
          </cell>
          <cell r="Q32">
            <v>1098833.8199999998</v>
          </cell>
          <cell r="R32">
            <v>1633320.71</v>
          </cell>
          <cell r="S32">
            <v>2240627.23</v>
          </cell>
          <cell r="T32">
            <v>2789822.3</v>
          </cell>
          <cell r="U32">
            <v>3252804.46</v>
          </cell>
          <cell r="V32">
            <v>3580840.09</v>
          </cell>
          <cell r="W32">
            <v>4151935.01</v>
          </cell>
          <cell r="X32">
            <v>4767718.71</v>
          </cell>
          <cell r="Y32">
            <v>4767718.71</v>
          </cell>
          <cell r="Z32">
            <v>4767718.71</v>
          </cell>
          <cell r="AA32">
            <v>4767718.71</v>
          </cell>
        </row>
        <row r="33">
          <cell r="A33" t="str">
            <v>93300</v>
          </cell>
          <cell r="B33">
            <v>318087.92</v>
          </cell>
          <cell r="C33">
            <v>399476.15</v>
          </cell>
          <cell r="D33">
            <v>423306.91</v>
          </cell>
          <cell r="E33">
            <v>418291.79</v>
          </cell>
          <cell r="F33">
            <v>353357.96</v>
          </cell>
          <cell r="G33">
            <v>384061.18</v>
          </cell>
          <cell r="H33">
            <v>258426.69</v>
          </cell>
          <cell r="I33">
            <v>385136.55</v>
          </cell>
          <cell r="J33">
            <v>434136.87</v>
          </cell>
          <cell r="O33" t="str">
            <v>93300</v>
          </cell>
          <cell r="P33">
            <v>318087.92</v>
          </cell>
          <cell r="Q33">
            <v>717564.07000000007</v>
          </cell>
          <cell r="R33">
            <v>1140870.98</v>
          </cell>
          <cell r="S33">
            <v>1559162.77</v>
          </cell>
          <cell r="T33">
            <v>1912520.73</v>
          </cell>
          <cell r="U33">
            <v>2296581.91</v>
          </cell>
          <cell r="V33">
            <v>2555008.6</v>
          </cell>
          <cell r="W33">
            <v>2940145.15</v>
          </cell>
          <cell r="X33">
            <v>3374282.02</v>
          </cell>
          <cell r="Y33">
            <v>3374282.02</v>
          </cell>
          <cell r="Z33">
            <v>3374282.02</v>
          </cell>
          <cell r="AA33">
            <v>3374282.02</v>
          </cell>
        </row>
        <row r="34">
          <cell r="A34" t="str">
            <v>93400</v>
          </cell>
          <cell r="B34">
            <v>166675.70000000001</v>
          </cell>
          <cell r="C34">
            <v>884139.99</v>
          </cell>
          <cell r="D34">
            <v>446130.11</v>
          </cell>
          <cell r="E34">
            <v>350469.27</v>
          </cell>
          <cell r="F34">
            <v>414043.75</v>
          </cell>
          <cell r="G34">
            <v>479006.54</v>
          </cell>
          <cell r="H34">
            <v>396794.95</v>
          </cell>
          <cell r="I34">
            <v>494917.31</v>
          </cell>
          <cell r="J34">
            <v>410201.34</v>
          </cell>
          <cell r="O34" t="str">
            <v>93400</v>
          </cell>
          <cell r="P34">
            <v>166675.70000000001</v>
          </cell>
          <cell r="Q34">
            <v>1050815.69</v>
          </cell>
          <cell r="R34">
            <v>1496945.7999999998</v>
          </cell>
          <cell r="S34">
            <v>1847415.0699999998</v>
          </cell>
          <cell r="T34">
            <v>2261458.8199999998</v>
          </cell>
          <cell r="U34">
            <v>2740465.36</v>
          </cell>
          <cell r="V34">
            <v>3137260.31</v>
          </cell>
          <cell r="W34">
            <v>3632177.62</v>
          </cell>
          <cell r="X34">
            <v>4042378.96</v>
          </cell>
          <cell r="Y34">
            <v>4042378.96</v>
          </cell>
          <cell r="Z34">
            <v>4042378.96</v>
          </cell>
          <cell r="AA34">
            <v>4042378.96</v>
          </cell>
        </row>
        <row r="35">
          <cell r="A35" t="str">
            <v>93500</v>
          </cell>
          <cell r="B35">
            <v>574802.68000000005</v>
          </cell>
          <cell r="C35">
            <v>56956.49</v>
          </cell>
          <cell r="D35">
            <v>187665.51</v>
          </cell>
          <cell r="E35">
            <v>448583.7</v>
          </cell>
          <cell r="F35">
            <v>967807.07</v>
          </cell>
          <cell r="G35">
            <v>86891.040000000066</v>
          </cell>
          <cell r="H35">
            <v>980962.6</v>
          </cell>
          <cell r="I35">
            <v>473239.34</v>
          </cell>
          <cell r="J35">
            <v>544567.19999999995</v>
          </cell>
          <cell r="O35" t="str">
            <v>93500</v>
          </cell>
          <cell r="P35">
            <v>574802.68000000005</v>
          </cell>
          <cell r="Q35">
            <v>631759.17000000004</v>
          </cell>
          <cell r="R35">
            <v>819424.68</v>
          </cell>
          <cell r="S35">
            <v>1268008.3800000001</v>
          </cell>
          <cell r="T35">
            <v>2235815.4500000002</v>
          </cell>
          <cell r="U35">
            <v>2322706.4900000002</v>
          </cell>
          <cell r="V35">
            <v>3303669.0900000003</v>
          </cell>
          <cell r="W35">
            <v>3776908.43</v>
          </cell>
          <cell r="X35">
            <v>4321475.63</v>
          </cell>
          <cell r="Y35">
            <v>4321475.63</v>
          </cell>
          <cell r="Z35">
            <v>4321475.63</v>
          </cell>
          <cell r="AA35">
            <v>4321475.63</v>
          </cell>
        </row>
        <row r="36">
          <cell r="A36" t="str">
            <v>93550</v>
          </cell>
          <cell r="B36">
            <v>775470.37</v>
          </cell>
          <cell r="C36">
            <v>660106.03</v>
          </cell>
          <cell r="D36">
            <v>677748.4</v>
          </cell>
          <cell r="E36">
            <v>801176.83</v>
          </cell>
          <cell r="F36">
            <v>735927.51</v>
          </cell>
          <cell r="G36">
            <v>547091.32999999996</v>
          </cell>
          <cell r="H36">
            <v>858161.08</v>
          </cell>
          <cell r="I36">
            <v>625363.65</v>
          </cell>
          <cell r="J36">
            <v>715900.49</v>
          </cell>
          <cell r="O36" t="str">
            <v>93550</v>
          </cell>
          <cell r="P36">
            <v>775470.37</v>
          </cell>
          <cell r="Q36">
            <v>1435576.4</v>
          </cell>
          <cell r="R36">
            <v>2113324.7999999998</v>
          </cell>
          <cell r="S36">
            <v>2914501.63</v>
          </cell>
          <cell r="T36">
            <v>3650429.1399999997</v>
          </cell>
          <cell r="U36">
            <v>4197520.47</v>
          </cell>
          <cell r="V36">
            <v>5055681.55</v>
          </cell>
          <cell r="W36">
            <v>5681045.2000000002</v>
          </cell>
          <cell r="X36">
            <v>6396945.6900000004</v>
          </cell>
          <cell r="Y36">
            <v>6396945.6900000004</v>
          </cell>
          <cell r="Z36">
            <v>6396945.6900000004</v>
          </cell>
          <cell r="AA36">
            <v>6396945.6900000004</v>
          </cell>
        </row>
        <row r="37">
          <cell r="A37" t="str">
            <v>93600</v>
          </cell>
          <cell r="B37">
            <v>1218911.99</v>
          </cell>
          <cell r="C37">
            <v>1194422.7</v>
          </cell>
          <cell r="D37">
            <v>1061550.6100000001</v>
          </cell>
          <cell r="E37">
            <v>1060979.99</v>
          </cell>
          <cell r="F37">
            <v>1203023.8600000001</v>
          </cell>
          <cell r="G37">
            <v>1165314.1499999999</v>
          </cell>
          <cell r="H37">
            <v>1165579.3899999999</v>
          </cell>
          <cell r="I37">
            <v>1294197.93</v>
          </cell>
          <cell r="J37">
            <v>1133771.8</v>
          </cell>
          <cell r="O37" t="str">
            <v>93600</v>
          </cell>
          <cell r="P37">
            <v>1218911.99</v>
          </cell>
          <cell r="Q37">
            <v>2413334.69</v>
          </cell>
          <cell r="R37">
            <v>3474885.3</v>
          </cell>
          <cell r="S37">
            <v>4535865.29</v>
          </cell>
          <cell r="T37">
            <v>5738889.1500000004</v>
          </cell>
          <cell r="U37">
            <v>6904203.3000000007</v>
          </cell>
          <cell r="V37">
            <v>8069782.6900000004</v>
          </cell>
          <cell r="W37">
            <v>9363980.620000001</v>
          </cell>
          <cell r="X37">
            <v>10497752.420000002</v>
          </cell>
          <cell r="Y37">
            <v>10497752.420000002</v>
          </cell>
          <cell r="Z37">
            <v>10497752.420000002</v>
          </cell>
          <cell r="AA37">
            <v>10497752.420000002</v>
          </cell>
        </row>
        <row r="38">
          <cell r="A38" t="str">
            <v>93650</v>
          </cell>
          <cell r="B38">
            <v>2358279.0499999998</v>
          </cell>
          <cell r="C38">
            <v>1683877.04</v>
          </cell>
          <cell r="D38">
            <v>2202545.4700000002</v>
          </cell>
          <cell r="E38">
            <v>2226436.61</v>
          </cell>
          <cell r="F38">
            <v>1716917.06</v>
          </cell>
          <cell r="G38">
            <v>3140712.33</v>
          </cell>
          <cell r="H38">
            <v>2456515.4700000002</v>
          </cell>
          <cell r="I38">
            <v>2209956.81</v>
          </cell>
          <cell r="J38">
            <v>5419539.0000000019</v>
          </cell>
          <cell r="O38" t="str">
            <v>93650</v>
          </cell>
          <cell r="P38">
            <v>2358279.0499999998</v>
          </cell>
          <cell r="Q38">
            <v>4042156.09</v>
          </cell>
          <cell r="R38">
            <v>6244701.5600000005</v>
          </cell>
          <cell r="S38">
            <v>8471138.1699999999</v>
          </cell>
          <cell r="T38">
            <v>10188055.23</v>
          </cell>
          <cell r="U38">
            <v>13328767.560000001</v>
          </cell>
          <cell r="V38">
            <v>15785283.030000001</v>
          </cell>
          <cell r="W38">
            <v>17995239.84</v>
          </cell>
          <cell r="X38">
            <v>23414778.840000004</v>
          </cell>
          <cell r="Y38">
            <v>23414778.840000004</v>
          </cell>
          <cell r="Z38">
            <v>23414778.840000004</v>
          </cell>
          <cell r="AA38">
            <v>23414778.840000004</v>
          </cell>
        </row>
        <row r="39">
          <cell r="A39" t="str">
            <v>93700</v>
          </cell>
          <cell r="B39">
            <v>727319.35</v>
          </cell>
          <cell r="C39">
            <v>438319.41</v>
          </cell>
          <cell r="D39">
            <v>780954.1</v>
          </cell>
          <cell r="E39">
            <v>671152.48</v>
          </cell>
          <cell r="F39">
            <v>670773.32999999996</v>
          </cell>
          <cell r="G39">
            <v>669424.89</v>
          </cell>
          <cell r="H39">
            <v>532002.03</v>
          </cell>
          <cell r="I39">
            <v>598141.31000000006</v>
          </cell>
          <cell r="J39">
            <v>678485.71</v>
          </cell>
          <cell r="O39" t="str">
            <v>93700</v>
          </cell>
          <cell r="P39">
            <v>727319.35</v>
          </cell>
          <cell r="Q39">
            <v>1165638.76</v>
          </cell>
          <cell r="R39">
            <v>1946592.8599999999</v>
          </cell>
          <cell r="S39">
            <v>2617745.34</v>
          </cell>
          <cell r="T39">
            <v>3288518.67</v>
          </cell>
          <cell r="U39">
            <v>3957943.56</v>
          </cell>
          <cell r="V39">
            <v>4489945.59</v>
          </cell>
          <cell r="W39">
            <v>5088086.9000000004</v>
          </cell>
          <cell r="X39">
            <v>5766572.6100000003</v>
          </cell>
          <cell r="Y39">
            <v>5766572.6100000003</v>
          </cell>
          <cell r="Z39">
            <v>5766572.6100000003</v>
          </cell>
          <cell r="AA39">
            <v>5766572.6100000003</v>
          </cell>
        </row>
        <row r="40">
          <cell r="A40" t="str">
            <v>93750</v>
          </cell>
          <cell r="B40">
            <v>1111973.77</v>
          </cell>
          <cell r="C40">
            <v>1498143.25</v>
          </cell>
          <cell r="D40">
            <v>999781.04</v>
          </cell>
          <cell r="E40">
            <v>1300780.54</v>
          </cell>
          <cell r="F40">
            <v>1240287.68</v>
          </cell>
          <cell r="G40">
            <v>1044857.09</v>
          </cell>
          <cell r="H40">
            <v>944630.37</v>
          </cell>
          <cell r="I40">
            <v>1405966.99</v>
          </cell>
          <cell r="J40">
            <v>1240348.3400000001</v>
          </cell>
          <cell r="O40" t="str">
            <v>93750</v>
          </cell>
          <cell r="P40">
            <v>1111973.77</v>
          </cell>
          <cell r="Q40">
            <v>2610117.02</v>
          </cell>
          <cell r="R40">
            <v>3609898.06</v>
          </cell>
          <cell r="S40">
            <v>4910678.5999999996</v>
          </cell>
          <cell r="T40">
            <v>6150966.2799999993</v>
          </cell>
          <cell r="U40">
            <v>7195823.3699999992</v>
          </cell>
          <cell r="V40">
            <v>8140453.7399999993</v>
          </cell>
          <cell r="W40">
            <v>9546420.7299999986</v>
          </cell>
          <cell r="X40">
            <v>10786769.069999998</v>
          </cell>
          <cell r="Y40">
            <v>10786769.069999998</v>
          </cell>
          <cell r="Z40">
            <v>10786769.069999998</v>
          </cell>
          <cell r="AA40">
            <v>10786769.069999998</v>
          </cell>
        </row>
        <row r="41">
          <cell r="A41" t="str">
            <v>93755</v>
          </cell>
          <cell r="E41">
            <v>511881.91</v>
          </cell>
          <cell r="F41">
            <v>368461.5</v>
          </cell>
          <cell r="G41">
            <v>360739.09</v>
          </cell>
          <cell r="H41">
            <v>307714.59999999998</v>
          </cell>
          <cell r="I41">
            <v>450936.79</v>
          </cell>
          <cell r="J41">
            <v>539852.43000000005</v>
          </cell>
          <cell r="O41" t="str">
            <v>93755</v>
          </cell>
          <cell r="P41">
            <v>0</v>
          </cell>
          <cell r="Q41">
            <v>0</v>
          </cell>
          <cell r="R41">
            <v>0</v>
          </cell>
          <cell r="S41">
            <v>511881.91</v>
          </cell>
          <cell r="T41">
            <v>880343.40999999992</v>
          </cell>
          <cell r="U41">
            <v>1241082.5</v>
          </cell>
          <cell r="V41">
            <v>1548797.1</v>
          </cell>
          <cell r="W41">
            <v>1999733.8900000001</v>
          </cell>
          <cell r="X41">
            <v>2539586.3200000003</v>
          </cell>
          <cell r="Y41">
            <v>2539586.3200000003</v>
          </cell>
          <cell r="Z41">
            <v>2539586.3200000003</v>
          </cell>
          <cell r="AA41">
            <v>2539586.3200000003</v>
          </cell>
        </row>
        <row r="42">
          <cell r="A42" t="str">
            <v>93800</v>
          </cell>
          <cell r="B42">
            <v>572866.98</v>
          </cell>
          <cell r="C42">
            <v>1369316.31</v>
          </cell>
          <cell r="D42">
            <v>758405.56</v>
          </cell>
          <cell r="E42">
            <v>1106107.7</v>
          </cell>
          <cell r="F42">
            <v>638145.28000000003</v>
          </cell>
          <cell r="G42">
            <v>715703.27</v>
          </cell>
          <cell r="H42">
            <v>474723</v>
          </cell>
          <cell r="I42">
            <v>821912.5</v>
          </cell>
          <cell r="J42">
            <v>598235.06000000006</v>
          </cell>
          <cell r="O42" t="str">
            <v>93800</v>
          </cell>
          <cell r="P42">
            <v>572866.98</v>
          </cell>
          <cell r="Q42">
            <v>1942183.29</v>
          </cell>
          <cell r="R42">
            <v>2700588.85</v>
          </cell>
          <cell r="S42">
            <v>3806696.55</v>
          </cell>
          <cell r="T42">
            <v>4444841.83</v>
          </cell>
          <cell r="U42">
            <v>5160545.0999999996</v>
          </cell>
          <cell r="V42">
            <v>5635268.0999999996</v>
          </cell>
          <cell r="W42">
            <v>6457180.5999999996</v>
          </cell>
          <cell r="X42">
            <v>7055415.6600000001</v>
          </cell>
          <cell r="Y42">
            <v>7055415.6600000001</v>
          </cell>
          <cell r="Z42">
            <v>7055415.6600000001</v>
          </cell>
          <cell r="AA42">
            <v>7055415.6600000001</v>
          </cell>
        </row>
        <row r="43">
          <cell r="A43" t="str">
            <v>93850</v>
          </cell>
          <cell r="B43">
            <v>759733.8</v>
          </cell>
          <cell r="C43">
            <v>800381.13</v>
          </cell>
          <cell r="D43">
            <v>750862.33</v>
          </cell>
          <cell r="E43">
            <v>645342.57999999996</v>
          </cell>
          <cell r="F43">
            <v>740134.77</v>
          </cell>
          <cell r="G43">
            <v>622517.11</v>
          </cell>
          <cell r="H43">
            <v>602597.02</v>
          </cell>
          <cell r="I43">
            <v>633334.91</v>
          </cell>
          <cell r="J43">
            <v>553335.21</v>
          </cell>
          <cell r="O43" t="str">
            <v>93850</v>
          </cell>
          <cell r="P43">
            <v>759733.8</v>
          </cell>
          <cell r="Q43">
            <v>1560114.9300000002</v>
          </cell>
          <cell r="R43">
            <v>2310977.2600000002</v>
          </cell>
          <cell r="S43">
            <v>2956319.8400000003</v>
          </cell>
          <cell r="T43">
            <v>3696454.6100000003</v>
          </cell>
          <cell r="U43">
            <v>4318971.7200000007</v>
          </cell>
          <cell r="V43">
            <v>4921568.74</v>
          </cell>
          <cell r="W43">
            <v>5554903.6500000004</v>
          </cell>
          <cell r="X43">
            <v>6108238.8600000003</v>
          </cell>
          <cell r="Y43">
            <v>6108238.8600000003</v>
          </cell>
          <cell r="Z43">
            <v>6108238.8600000003</v>
          </cell>
          <cell r="AA43">
            <v>6108238.8600000003</v>
          </cell>
        </row>
        <row r="44">
          <cell r="A44" t="str">
            <v>93900</v>
          </cell>
          <cell r="B44">
            <v>197200.52</v>
          </cell>
          <cell r="C44">
            <v>149903.72</v>
          </cell>
          <cell r="D44">
            <v>139839.48000000001</v>
          </cell>
          <cell r="E44">
            <v>172218.21</v>
          </cell>
          <cell r="F44">
            <v>196478.18</v>
          </cell>
          <cell r="G44">
            <v>168157.74</v>
          </cell>
          <cell r="H44">
            <v>184461.13</v>
          </cell>
          <cell r="I44">
            <v>183368.55</v>
          </cell>
          <cell r="J44">
            <v>102828.86</v>
          </cell>
          <cell r="O44" t="str">
            <v>93900</v>
          </cell>
          <cell r="P44">
            <v>197200.52</v>
          </cell>
          <cell r="Q44">
            <v>347104.24</v>
          </cell>
          <cell r="R44">
            <v>486943.72</v>
          </cell>
          <cell r="S44">
            <v>659161.92999999993</v>
          </cell>
          <cell r="T44">
            <v>855640.10999999987</v>
          </cell>
          <cell r="U44">
            <v>1023797.8499999999</v>
          </cell>
          <cell r="V44">
            <v>1208258.98</v>
          </cell>
          <cell r="W44">
            <v>1391627.53</v>
          </cell>
          <cell r="X44">
            <v>1494456.3900000001</v>
          </cell>
          <cell r="Y44">
            <v>1494456.3900000001</v>
          </cell>
          <cell r="Z44">
            <v>1494456.3900000001</v>
          </cell>
          <cell r="AA44">
            <v>1494456.3900000001</v>
          </cell>
        </row>
        <row r="45">
          <cell r="A45" t="str">
            <v>93910</v>
          </cell>
          <cell r="B45">
            <v>463042.39</v>
          </cell>
          <cell r="C45">
            <v>739315.9</v>
          </cell>
          <cell r="D45">
            <v>624629.06000000006</v>
          </cell>
          <cell r="E45">
            <v>515284.52</v>
          </cell>
          <cell r="F45">
            <v>647018.17000000004</v>
          </cell>
          <cell r="G45">
            <v>701803.98</v>
          </cell>
          <cell r="H45">
            <v>607567.79</v>
          </cell>
          <cell r="I45">
            <v>596272.54</v>
          </cell>
          <cell r="J45">
            <v>510434.79</v>
          </cell>
          <cell r="O45" t="str">
            <v>93910</v>
          </cell>
          <cell r="P45">
            <v>463042.39</v>
          </cell>
          <cell r="Q45">
            <v>1202358.29</v>
          </cell>
          <cell r="R45">
            <v>1826987.35</v>
          </cell>
          <cell r="S45">
            <v>2342271.87</v>
          </cell>
          <cell r="T45">
            <v>2989290.04</v>
          </cell>
          <cell r="U45">
            <v>3691094.02</v>
          </cell>
          <cell r="V45">
            <v>4298661.8100000005</v>
          </cell>
          <cell r="W45">
            <v>4894934.3500000006</v>
          </cell>
          <cell r="X45">
            <v>5405369.1400000006</v>
          </cell>
          <cell r="Y45">
            <v>5405369.1400000006</v>
          </cell>
          <cell r="Z45">
            <v>5405369.1400000006</v>
          </cell>
          <cell r="AA45">
            <v>5405369.1400000006</v>
          </cell>
        </row>
        <row r="46">
          <cell r="A46" t="str">
            <v>93920</v>
          </cell>
          <cell r="B46">
            <v>1083120.26</v>
          </cell>
          <cell r="C46">
            <v>375386.28</v>
          </cell>
          <cell r="D46">
            <v>227947.08</v>
          </cell>
          <cell r="E46">
            <v>682570.17</v>
          </cell>
          <cell r="F46">
            <v>622381.71</v>
          </cell>
          <cell r="G46">
            <v>587426.86</v>
          </cell>
          <cell r="H46">
            <v>1097771.8500000001</v>
          </cell>
          <cell r="I46">
            <v>557018.4</v>
          </cell>
          <cell r="J46">
            <v>1241134.95</v>
          </cell>
          <cell r="O46" t="str">
            <v>93920</v>
          </cell>
          <cell r="P46">
            <v>1083120.26</v>
          </cell>
          <cell r="Q46">
            <v>1458506.54</v>
          </cell>
          <cell r="R46">
            <v>1686453.62</v>
          </cell>
          <cell r="S46">
            <v>2369023.79</v>
          </cell>
          <cell r="T46">
            <v>2991405.5</v>
          </cell>
          <cell r="U46">
            <v>3578832.36</v>
          </cell>
          <cell r="V46">
            <v>4676604.21</v>
          </cell>
          <cell r="W46">
            <v>5233622.6100000003</v>
          </cell>
          <cell r="X46">
            <v>6474757.5600000005</v>
          </cell>
          <cell r="Y46">
            <v>6474757.5600000005</v>
          </cell>
          <cell r="Z46">
            <v>6474757.5600000005</v>
          </cell>
          <cell r="AA46">
            <v>6474757.5600000005</v>
          </cell>
        </row>
        <row r="47">
          <cell r="A47" t="str">
            <v>93930</v>
          </cell>
          <cell r="B47">
            <v>503253.07</v>
          </cell>
          <cell r="C47">
            <v>649279.89</v>
          </cell>
          <cell r="D47">
            <v>173137.34</v>
          </cell>
          <cell r="E47">
            <v>723989.02</v>
          </cell>
          <cell r="F47">
            <v>392686.9</v>
          </cell>
          <cell r="G47">
            <v>581295.93999999994</v>
          </cell>
          <cell r="H47">
            <v>565798.24</v>
          </cell>
          <cell r="I47">
            <v>501445.91</v>
          </cell>
          <cell r="J47">
            <v>572687</v>
          </cell>
          <cell r="O47" t="str">
            <v>93930</v>
          </cell>
          <cell r="P47">
            <v>503253.07</v>
          </cell>
          <cell r="Q47">
            <v>1152532.96</v>
          </cell>
          <cell r="R47">
            <v>1325670.3</v>
          </cell>
          <cell r="S47">
            <v>2049659.32</v>
          </cell>
          <cell r="T47">
            <v>2442346.2200000002</v>
          </cell>
          <cell r="U47">
            <v>3023642.16</v>
          </cell>
          <cell r="V47">
            <v>3589440.4000000004</v>
          </cell>
          <cell r="W47">
            <v>4090886.3100000005</v>
          </cell>
          <cell r="X47">
            <v>4663573.3100000005</v>
          </cell>
          <cell r="Y47">
            <v>4663573.3100000005</v>
          </cell>
          <cell r="Z47">
            <v>4663573.3100000005</v>
          </cell>
          <cell r="AA47">
            <v>4663573.3100000005</v>
          </cell>
        </row>
        <row r="48">
          <cell r="A48" t="str">
            <v>93940</v>
          </cell>
          <cell r="B48">
            <v>252585.82</v>
          </cell>
          <cell r="C48">
            <v>411386.43</v>
          </cell>
          <cell r="D48">
            <v>258155.07</v>
          </cell>
          <cell r="E48">
            <v>292729.99</v>
          </cell>
          <cell r="F48">
            <v>345405.52</v>
          </cell>
          <cell r="G48">
            <v>333705.39</v>
          </cell>
          <cell r="H48">
            <v>274337.63</v>
          </cell>
          <cell r="I48">
            <v>295643.25</v>
          </cell>
          <cell r="J48">
            <v>308278.09000000003</v>
          </cell>
          <cell r="O48" t="str">
            <v>93940</v>
          </cell>
          <cell r="P48">
            <v>252585.82</v>
          </cell>
          <cell r="Q48">
            <v>663972.25</v>
          </cell>
          <cell r="R48">
            <v>922127.32000000007</v>
          </cell>
          <cell r="S48">
            <v>1214857.31</v>
          </cell>
          <cell r="T48">
            <v>1560262.83</v>
          </cell>
          <cell r="U48">
            <v>1893968.2200000002</v>
          </cell>
          <cell r="V48">
            <v>2168305.85</v>
          </cell>
          <cell r="W48">
            <v>2463949.1</v>
          </cell>
          <cell r="X48">
            <v>2772227.19</v>
          </cell>
          <cell r="Y48">
            <v>2772227.19</v>
          </cell>
          <cell r="Z48">
            <v>2772227.19</v>
          </cell>
          <cell r="AA48">
            <v>2772227.19</v>
          </cell>
        </row>
        <row r="49">
          <cell r="A49" t="str">
            <v>93950</v>
          </cell>
          <cell r="B49">
            <v>538864.72</v>
          </cell>
          <cell r="C49">
            <v>456766.91</v>
          </cell>
          <cell r="D49">
            <v>678204.88</v>
          </cell>
          <cell r="E49">
            <v>262510.24</v>
          </cell>
          <cell r="F49">
            <v>240521.89</v>
          </cell>
          <cell r="G49">
            <v>375490.56</v>
          </cell>
          <cell r="H49">
            <v>374488.03</v>
          </cell>
          <cell r="I49">
            <v>434291.88</v>
          </cell>
          <cell r="J49">
            <v>327398.58</v>
          </cell>
          <cell r="O49" t="str">
            <v>93950</v>
          </cell>
          <cell r="P49">
            <v>538864.72</v>
          </cell>
          <cell r="Q49">
            <v>995631.62999999989</v>
          </cell>
          <cell r="R49">
            <v>1673836.5099999998</v>
          </cell>
          <cell r="S49">
            <v>1936346.7499999998</v>
          </cell>
          <cell r="T49">
            <v>2176868.6399999997</v>
          </cell>
          <cell r="U49">
            <v>2552359.1999999997</v>
          </cell>
          <cell r="V49">
            <v>2926847.2299999995</v>
          </cell>
          <cell r="W49">
            <v>3361139.1099999994</v>
          </cell>
          <cell r="X49">
            <v>3688537.6899999995</v>
          </cell>
          <cell r="Y49">
            <v>3688537.6899999995</v>
          </cell>
          <cell r="Z49">
            <v>3688537.6899999995</v>
          </cell>
          <cell r="AA49">
            <v>3688537.6899999995</v>
          </cell>
        </row>
        <row r="50">
          <cell r="A50" t="str">
            <v>92345</v>
          </cell>
          <cell r="J50">
            <v>10595</v>
          </cell>
          <cell r="O50" t="str">
            <v>92345</v>
          </cell>
          <cell r="P50">
            <v>0</v>
          </cell>
          <cell r="Q50">
            <v>0</v>
          </cell>
          <cell r="R50">
            <v>0</v>
          </cell>
          <cell r="S50">
            <v>0</v>
          </cell>
          <cell r="T50">
            <v>0</v>
          </cell>
          <cell r="U50">
            <v>0</v>
          </cell>
          <cell r="V50">
            <v>0</v>
          </cell>
          <cell r="W50">
            <v>0</v>
          </cell>
          <cell r="X50">
            <v>10595</v>
          </cell>
          <cell r="Y50">
            <v>10595</v>
          </cell>
          <cell r="Z50">
            <v>10595</v>
          </cell>
          <cell r="AA50">
            <v>10595</v>
          </cell>
        </row>
        <row r="51">
          <cell r="A51" t="str">
            <v>92356</v>
          </cell>
          <cell r="I51">
            <v>2011.79</v>
          </cell>
          <cell r="J51">
            <v>-105.85</v>
          </cell>
          <cell r="O51" t="str">
            <v>92356</v>
          </cell>
          <cell r="P51">
            <v>0</v>
          </cell>
          <cell r="Q51">
            <v>0</v>
          </cell>
          <cell r="R51">
            <v>0</v>
          </cell>
          <cell r="S51">
            <v>0</v>
          </cell>
          <cell r="T51">
            <v>0</v>
          </cell>
          <cell r="U51">
            <v>0</v>
          </cell>
          <cell r="V51">
            <v>0</v>
          </cell>
          <cell r="W51">
            <v>2011.79</v>
          </cell>
          <cell r="X51">
            <v>1905.94</v>
          </cell>
          <cell r="Y51">
            <v>1905.94</v>
          </cell>
          <cell r="Z51">
            <v>1905.94</v>
          </cell>
          <cell r="AA51">
            <v>1905.94</v>
          </cell>
        </row>
        <row r="52">
          <cell r="A52" t="str">
            <v>92394</v>
          </cell>
          <cell r="J52">
            <v>2261.09</v>
          </cell>
          <cell r="O52" t="str">
            <v>92394</v>
          </cell>
          <cell r="P52">
            <v>0</v>
          </cell>
          <cell r="Q52">
            <v>0</v>
          </cell>
          <cell r="R52">
            <v>0</v>
          </cell>
          <cell r="S52">
            <v>0</v>
          </cell>
          <cell r="T52">
            <v>0</v>
          </cell>
          <cell r="U52">
            <v>0</v>
          </cell>
          <cell r="V52">
            <v>0</v>
          </cell>
          <cell r="W52">
            <v>0</v>
          </cell>
          <cell r="X52">
            <v>2261.09</v>
          </cell>
          <cell r="Y52">
            <v>2261.09</v>
          </cell>
          <cell r="Z52">
            <v>2261.09</v>
          </cell>
          <cell r="AA52">
            <v>2261.09</v>
          </cell>
        </row>
        <row r="53">
          <cell r="O53" t="str">
            <v>Totalt</v>
          </cell>
          <cell r="P53">
            <v>15158173.500000002</v>
          </cell>
          <cell r="Q53">
            <v>30240132.810000002</v>
          </cell>
          <cell r="R53">
            <v>44023400.440000005</v>
          </cell>
          <cell r="S53">
            <v>60007732.700000003</v>
          </cell>
          <cell r="T53">
            <v>74873996.210000008</v>
          </cell>
          <cell r="U53">
            <v>92908293.300000012</v>
          </cell>
          <cell r="V53">
            <v>107912361.93000001</v>
          </cell>
          <cell r="W53">
            <v>123948291.04000001</v>
          </cell>
          <cell r="X53">
            <v>143766527.56</v>
          </cell>
          <cell r="Y53">
            <v>143766527.56</v>
          </cell>
          <cell r="Z53">
            <v>143766527.56</v>
          </cell>
          <cell r="AA53">
            <v>143766527.56</v>
          </cell>
        </row>
        <row r="54">
          <cell r="O54">
            <v>0</v>
          </cell>
          <cell r="P54">
            <v>0</v>
          </cell>
          <cell r="Q54">
            <v>0</v>
          </cell>
          <cell r="R54">
            <v>0</v>
          </cell>
          <cell r="S54">
            <v>0</v>
          </cell>
          <cell r="T54">
            <v>0</v>
          </cell>
          <cell r="U54">
            <v>0</v>
          </cell>
          <cell r="V54">
            <v>0</v>
          </cell>
          <cell r="W54">
            <v>0</v>
          </cell>
          <cell r="X54">
            <v>0</v>
          </cell>
          <cell r="Y54">
            <v>0</v>
          </cell>
          <cell r="Z54">
            <v>0</v>
          </cell>
          <cell r="AA54">
            <v>0</v>
          </cell>
        </row>
        <row r="55">
          <cell r="O55">
            <v>0</v>
          </cell>
          <cell r="P55">
            <v>0</v>
          </cell>
          <cell r="Q55">
            <v>0</v>
          </cell>
          <cell r="R55">
            <v>0</v>
          </cell>
          <cell r="S55">
            <v>0</v>
          </cell>
          <cell r="T55">
            <v>0</v>
          </cell>
          <cell r="U55">
            <v>0</v>
          </cell>
          <cell r="V55">
            <v>0</v>
          </cell>
          <cell r="W55">
            <v>0</v>
          </cell>
          <cell r="X55">
            <v>0</v>
          </cell>
          <cell r="Y55">
            <v>0</v>
          </cell>
          <cell r="Z55">
            <v>0</v>
          </cell>
          <cell r="AA55">
            <v>0</v>
          </cell>
        </row>
        <row r="56">
          <cell r="O56">
            <v>0</v>
          </cell>
          <cell r="P56">
            <v>0</v>
          </cell>
          <cell r="Q56">
            <v>0</v>
          </cell>
          <cell r="R56">
            <v>0</v>
          </cell>
          <cell r="S56">
            <v>0</v>
          </cell>
          <cell r="T56">
            <v>0</v>
          </cell>
          <cell r="U56">
            <v>0</v>
          </cell>
          <cell r="V56">
            <v>0</v>
          </cell>
          <cell r="W56">
            <v>0</v>
          </cell>
          <cell r="X56">
            <v>0</v>
          </cell>
          <cell r="Y56">
            <v>0</v>
          </cell>
          <cell r="Z56">
            <v>0</v>
          </cell>
          <cell r="AA56">
            <v>0</v>
          </cell>
        </row>
        <row r="57">
          <cell r="O57">
            <v>0</v>
          </cell>
          <cell r="P57">
            <v>0</v>
          </cell>
          <cell r="Q57">
            <v>0</v>
          </cell>
          <cell r="R57">
            <v>0</v>
          </cell>
          <cell r="S57">
            <v>0</v>
          </cell>
          <cell r="T57">
            <v>0</v>
          </cell>
          <cell r="U57">
            <v>0</v>
          </cell>
          <cell r="V57">
            <v>0</v>
          </cell>
          <cell r="W57">
            <v>0</v>
          </cell>
          <cell r="X57">
            <v>0</v>
          </cell>
          <cell r="Y57">
            <v>0</v>
          </cell>
          <cell r="Z57">
            <v>0</v>
          </cell>
          <cell r="AA57">
            <v>0</v>
          </cell>
        </row>
        <row r="58">
          <cell r="O58">
            <v>0</v>
          </cell>
          <cell r="P58">
            <v>0</v>
          </cell>
          <cell r="Q58">
            <v>0</v>
          </cell>
          <cell r="R58">
            <v>0</v>
          </cell>
          <cell r="S58">
            <v>0</v>
          </cell>
          <cell r="T58">
            <v>0</v>
          </cell>
          <cell r="U58">
            <v>0</v>
          </cell>
          <cell r="V58">
            <v>0</v>
          </cell>
          <cell r="W58">
            <v>0</v>
          </cell>
          <cell r="X58">
            <v>0</v>
          </cell>
          <cell r="Y58">
            <v>0</v>
          </cell>
          <cell r="Z58">
            <v>0</v>
          </cell>
          <cell r="AA58">
            <v>0</v>
          </cell>
        </row>
        <row r="59">
          <cell r="O59">
            <v>0</v>
          </cell>
          <cell r="P59">
            <v>0</v>
          </cell>
          <cell r="Q59">
            <v>0</v>
          </cell>
          <cell r="R59">
            <v>0</v>
          </cell>
          <cell r="S59">
            <v>0</v>
          </cell>
          <cell r="T59">
            <v>0</v>
          </cell>
          <cell r="U59">
            <v>0</v>
          </cell>
          <cell r="V59">
            <v>0</v>
          </cell>
          <cell r="W59">
            <v>0</v>
          </cell>
          <cell r="X59">
            <v>0</v>
          </cell>
          <cell r="Y59">
            <v>0</v>
          </cell>
          <cell r="Z59">
            <v>0</v>
          </cell>
          <cell r="AA59">
            <v>0</v>
          </cell>
        </row>
      </sheetData>
      <sheetData sheetId="12">
        <row r="8">
          <cell r="O8">
            <v>0</v>
          </cell>
          <cell r="P8">
            <v>-3253058.74</v>
          </cell>
          <cell r="Q8">
            <v>-6804979.9000000004</v>
          </cell>
          <cell r="R8">
            <v>-5587279.3100000005</v>
          </cell>
          <cell r="S8">
            <v>-4555082.0100000007</v>
          </cell>
          <cell r="T8">
            <v>-4029511.3200000008</v>
          </cell>
          <cell r="U8">
            <v>-1975689.6800000009</v>
          </cell>
          <cell r="V8">
            <v>-1862725.9000000008</v>
          </cell>
          <cell r="W8">
            <v>-801891.48000000091</v>
          </cell>
          <cell r="X8">
            <v>-226879.35000000149</v>
          </cell>
          <cell r="Y8">
            <v>-226879.35000000149</v>
          </cell>
          <cell r="Z8">
            <v>-226879.35000000149</v>
          </cell>
          <cell r="AA8">
            <v>-226879.35000000149</v>
          </cell>
        </row>
        <row r="9">
          <cell r="A9" t="str">
            <v>1000</v>
          </cell>
          <cell r="C9">
            <v>10734.55</v>
          </cell>
          <cell r="D9">
            <v>99372.68</v>
          </cell>
          <cell r="E9">
            <v>105783.9</v>
          </cell>
          <cell r="F9">
            <v>1945.82</v>
          </cell>
          <cell r="G9">
            <v>105987.06</v>
          </cell>
          <cell r="H9">
            <v>310557.03000000003</v>
          </cell>
          <cell r="I9">
            <v>30048.79</v>
          </cell>
          <cell r="J9">
            <v>69861.3</v>
          </cell>
          <cell r="O9" t="str">
            <v>1000</v>
          </cell>
          <cell r="P9">
            <v>0</v>
          </cell>
          <cell r="Q9">
            <v>10734.55</v>
          </cell>
          <cell r="R9">
            <v>110107.23</v>
          </cell>
          <cell r="S9">
            <v>215891.13</v>
          </cell>
          <cell r="T9">
            <v>217836.95</v>
          </cell>
          <cell r="U9">
            <v>323824.01</v>
          </cell>
          <cell r="V9">
            <v>634381.04</v>
          </cell>
          <cell r="W9">
            <v>664429.83000000007</v>
          </cell>
          <cell r="X9">
            <v>734291.13000000012</v>
          </cell>
          <cell r="Y9">
            <v>734291.13000000012</v>
          </cell>
          <cell r="Z9">
            <v>734291.13000000012</v>
          </cell>
          <cell r="AA9">
            <v>734291.13000000012</v>
          </cell>
        </row>
        <row r="10">
          <cell r="A10" t="str">
            <v>1001</v>
          </cell>
          <cell r="C10">
            <v>783</v>
          </cell>
          <cell r="D10">
            <v>13757.66</v>
          </cell>
          <cell r="E10">
            <v>980.31</v>
          </cell>
          <cell r="G10">
            <v>6624.6</v>
          </cell>
          <cell r="H10">
            <v>9402.5</v>
          </cell>
          <cell r="J10">
            <v>4466.13</v>
          </cell>
          <cell r="O10" t="str">
            <v>1001</v>
          </cell>
          <cell r="P10">
            <v>0</v>
          </cell>
          <cell r="Q10">
            <v>783</v>
          </cell>
          <cell r="R10">
            <v>14540.66</v>
          </cell>
          <cell r="S10">
            <v>15520.97</v>
          </cell>
          <cell r="T10">
            <v>15520.97</v>
          </cell>
          <cell r="U10">
            <v>22145.57</v>
          </cell>
          <cell r="V10">
            <v>31548.07</v>
          </cell>
          <cell r="W10">
            <v>31548.07</v>
          </cell>
          <cell r="X10">
            <v>36014.199999999997</v>
          </cell>
          <cell r="Y10">
            <v>36014.199999999997</v>
          </cell>
          <cell r="Z10">
            <v>36014.199999999997</v>
          </cell>
          <cell r="AA10">
            <v>36014.199999999997</v>
          </cell>
        </row>
        <row r="11">
          <cell r="A11" t="str">
            <v>1003</v>
          </cell>
          <cell r="B11">
            <v>7252.82</v>
          </cell>
          <cell r="C11">
            <v>11719.36</v>
          </cell>
          <cell r="H11">
            <v>16566.939999999999</v>
          </cell>
          <cell r="O11" t="str">
            <v>1003</v>
          </cell>
          <cell r="P11">
            <v>7252.82</v>
          </cell>
          <cell r="Q11">
            <v>18972.18</v>
          </cell>
          <cell r="R11">
            <v>18972.18</v>
          </cell>
          <cell r="S11">
            <v>18972.18</v>
          </cell>
          <cell r="T11">
            <v>18972.18</v>
          </cell>
          <cell r="U11">
            <v>18972.18</v>
          </cell>
          <cell r="V11">
            <v>35539.119999999995</v>
          </cell>
          <cell r="W11">
            <v>35539.119999999995</v>
          </cell>
          <cell r="X11">
            <v>35539.119999999995</v>
          </cell>
          <cell r="Y11">
            <v>35539.119999999995</v>
          </cell>
          <cell r="Z11">
            <v>35539.119999999995</v>
          </cell>
          <cell r="AA11">
            <v>35539.119999999995</v>
          </cell>
        </row>
        <row r="12">
          <cell r="A12" t="str">
            <v>1004</v>
          </cell>
          <cell r="B12">
            <v>125256.69</v>
          </cell>
          <cell r="C12">
            <v>152568.29</v>
          </cell>
          <cell r="D12">
            <v>254694.15</v>
          </cell>
          <cell r="E12">
            <v>255796.06</v>
          </cell>
          <cell r="F12">
            <v>373843.05</v>
          </cell>
          <cell r="G12">
            <v>218222.04</v>
          </cell>
          <cell r="H12">
            <v>193944.73</v>
          </cell>
          <cell r="I12">
            <v>230540.95</v>
          </cell>
          <cell r="J12">
            <v>231949.71</v>
          </cell>
          <cell r="O12" t="str">
            <v>1004</v>
          </cell>
          <cell r="P12">
            <v>125256.69</v>
          </cell>
          <cell r="Q12">
            <v>277824.98</v>
          </cell>
          <cell r="R12">
            <v>532519.13</v>
          </cell>
          <cell r="S12">
            <v>788315.19</v>
          </cell>
          <cell r="T12">
            <v>1162158.24</v>
          </cell>
          <cell r="U12">
            <v>1380380.28</v>
          </cell>
          <cell r="V12">
            <v>1574325.01</v>
          </cell>
          <cell r="W12">
            <v>1804865.96</v>
          </cell>
          <cell r="X12">
            <v>2036815.67</v>
          </cell>
          <cell r="Y12">
            <v>2036815.67</v>
          </cell>
          <cell r="Z12">
            <v>2036815.67</v>
          </cell>
          <cell r="AA12">
            <v>2036815.67</v>
          </cell>
        </row>
        <row r="13">
          <cell r="A13" t="str">
            <v>1005</v>
          </cell>
          <cell r="C13">
            <v>70422.179999999993</v>
          </cell>
          <cell r="E13">
            <v>0</v>
          </cell>
          <cell r="O13" t="str">
            <v>1005</v>
          </cell>
          <cell r="P13">
            <v>0</v>
          </cell>
          <cell r="Q13">
            <v>70422.179999999993</v>
          </cell>
          <cell r="R13">
            <v>70422.179999999993</v>
          </cell>
          <cell r="S13">
            <v>70422.179999999993</v>
          </cell>
          <cell r="T13">
            <v>70422.179999999993</v>
          </cell>
          <cell r="U13">
            <v>70422.179999999993</v>
          </cell>
          <cell r="V13">
            <v>70422.179999999993</v>
          </cell>
          <cell r="W13">
            <v>70422.179999999993</v>
          </cell>
          <cell r="X13">
            <v>70422.179999999993</v>
          </cell>
          <cell r="Y13">
            <v>70422.179999999993</v>
          </cell>
          <cell r="Z13">
            <v>70422.179999999993</v>
          </cell>
          <cell r="AA13">
            <v>70422.179999999993</v>
          </cell>
        </row>
        <row r="14">
          <cell r="A14" t="str">
            <v>1006</v>
          </cell>
          <cell r="B14">
            <v>125329.58</v>
          </cell>
          <cell r="C14">
            <v>72683.47</v>
          </cell>
          <cell r="D14">
            <v>2657.66</v>
          </cell>
          <cell r="E14">
            <v>97391.8</v>
          </cell>
          <cell r="F14">
            <v>32741.93</v>
          </cell>
          <cell r="G14">
            <v>79330.53</v>
          </cell>
          <cell r="H14">
            <v>96612.89</v>
          </cell>
          <cell r="I14">
            <v>9633.06</v>
          </cell>
          <cell r="J14">
            <v>50100.41</v>
          </cell>
          <cell r="O14" t="str">
            <v>1006</v>
          </cell>
          <cell r="P14">
            <v>125329.58</v>
          </cell>
          <cell r="Q14">
            <v>198013.05</v>
          </cell>
          <cell r="R14">
            <v>200670.71</v>
          </cell>
          <cell r="S14">
            <v>298062.51</v>
          </cell>
          <cell r="T14">
            <v>330804.44</v>
          </cell>
          <cell r="U14">
            <v>410134.97</v>
          </cell>
          <cell r="V14">
            <v>506747.86</v>
          </cell>
          <cell r="W14">
            <v>516380.92</v>
          </cell>
          <cell r="X14">
            <v>566481.32999999996</v>
          </cell>
          <cell r="Y14">
            <v>566481.32999999996</v>
          </cell>
          <cell r="Z14">
            <v>566481.32999999996</v>
          </cell>
          <cell r="AA14">
            <v>566481.32999999996</v>
          </cell>
        </row>
        <row r="15">
          <cell r="A15" t="str">
            <v>1007</v>
          </cell>
          <cell r="C15">
            <v>93265.33</v>
          </cell>
          <cell r="D15">
            <v>104084.64</v>
          </cell>
          <cell r="F15">
            <v>67436.7</v>
          </cell>
          <cell r="H15">
            <v>6677.42</v>
          </cell>
          <cell r="J15">
            <v>71000.009999999995</v>
          </cell>
          <cell r="O15" t="str">
            <v>1007</v>
          </cell>
          <cell r="P15">
            <v>0</v>
          </cell>
          <cell r="Q15">
            <v>93265.33</v>
          </cell>
          <cell r="R15">
            <v>197349.97</v>
          </cell>
          <cell r="S15">
            <v>197349.97</v>
          </cell>
          <cell r="T15">
            <v>264786.67</v>
          </cell>
          <cell r="U15">
            <v>264786.67</v>
          </cell>
          <cell r="V15">
            <v>271464.08999999997</v>
          </cell>
          <cell r="W15">
            <v>271464.08999999997</v>
          </cell>
          <cell r="X15">
            <v>342464.1</v>
          </cell>
          <cell r="Y15">
            <v>342464.1</v>
          </cell>
          <cell r="Z15">
            <v>342464.1</v>
          </cell>
          <cell r="AA15">
            <v>342464.1</v>
          </cell>
        </row>
        <row r="16">
          <cell r="A16" t="str">
            <v>1008</v>
          </cell>
          <cell r="B16">
            <v>65075.49</v>
          </cell>
          <cell r="C16">
            <v>4339.5200000000004</v>
          </cell>
          <cell r="D16">
            <v>1577.82</v>
          </cell>
          <cell r="E16">
            <v>20674.13</v>
          </cell>
          <cell r="F16">
            <v>433.87</v>
          </cell>
          <cell r="G16">
            <v>1880.24</v>
          </cell>
          <cell r="H16">
            <v>51478.720000000001</v>
          </cell>
          <cell r="J16">
            <v>1446.37</v>
          </cell>
          <cell r="O16" t="str">
            <v>1008</v>
          </cell>
          <cell r="P16">
            <v>65075.49</v>
          </cell>
          <cell r="Q16">
            <v>69415.009999999995</v>
          </cell>
          <cell r="R16">
            <v>70992.83</v>
          </cell>
          <cell r="S16">
            <v>91666.96</v>
          </cell>
          <cell r="T16">
            <v>92100.83</v>
          </cell>
          <cell r="U16">
            <v>93981.07</v>
          </cell>
          <cell r="V16">
            <v>145459.79</v>
          </cell>
          <cell r="W16">
            <v>145459.79</v>
          </cell>
          <cell r="X16">
            <v>146906.16</v>
          </cell>
          <cell r="Y16">
            <v>146906.16</v>
          </cell>
          <cell r="Z16">
            <v>146906.16</v>
          </cell>
          <cell r="AA16">
            <v>146906.16</v>
          </cell>
        </row>
        <row r="17">
          <cell r="A17" t="str">
            <v>1012</v>
          </cell>
          <cell r="B17">
            <v>43359.92</v>
          </cell>
          <cell r="C17">
            <v>1703.22</v>
          </cell>
          <cell r="D17">
            <v>1883.87</v>
          </cell>
          <cell r="F17">
            <v>570.53</v>
          </cell>
          <cell r="H17">
            <v>465.56</v>
          </cell>
          <cell r="O17" t="str">
            <v>1012</v>
          </cell>
          <cell r="P17">
            <v>43359.92</v>
          </cell>
          <cell r="Q17">
            <v>45063.14</v>
          </cell>
          <cell r="R17">
            <v>46947.01</v>
          </cell>
          <cell r="S17">
            <v>46947.01</v>
          </cell>
          <cell r="T17">
            <v>47517.54</v>
          </cell>
          <cell r="U17">
            <v>47517.54</v>
          </cell>
          <cell r="V17">
            <v>47983.1</v>
          </cell>
          <cell r="W17">
            <v>47983.1</v>
          </cell>
          <cell r="X17">
            <v>47983.1</v>
          </cell>
          <cell r="Y17">
            <v>47983.1</v>
          </cell>
          <cell r="Z17">
            <v>47983.1</v>
          </cell>
          <cell r="AA17">
            <v>47983.1</v>
          </cell>
        </row>
        <row r="18">
          <cell r="A18" t="str">
            <v>1013</v>
          </cell>
          <cell r="C18">
            <v>3800</v>
          </cell>
          <cell r="D18">
            <v>10462.9</v>
          </cell>
          <cell r="E18">
            <v>13703.63</v>
          </cell>
          <cell r="F18">
            <v>13165.73</v>
          </cell>
          <cell r="G18">
            <v>3600</v>
          </cell>
          <cell r="H18">
            <v>1923.79</v>
          </cell>
          <cell r="O18" t="str">
            <v>1013</v>
          </cell>
          <cell r="P18">
            <v>0</v>
          </cell>
          <cell r="Q18">
            <v>3800</v>
          </cell>
          <cell r="R18">
            <v>14262.9</v>
          </cell>
          <cell r="S18">
            <v>27966.53</v>
          </cell>
          <cell r="T18">
            <v>41132.259999999995</v>
          </cell>
          <cell r="U18">
            <v>44732.259999999995</v>
          </cell>
          <cell r="V18">
            <v>46656.049999999996</v>
          </cell>
          <cell r="W18">
            <v>46656.049999999996</v>
          </cell>
          <cell r="X18">
            <v>46656.049999999996</v>
          </cell>
          <cell r="Y18">
            <v>46656.049999999996</v>
          </cell>
          <cell r="Z18">
            <v>46656.049999999996</v>
          </cell>
          <cell r="AA18">
            <v>46656.049999999996</v>
          </cell>
        </row>
        <row r="19">
          <cell r="A19" t="str">
            <v>1016</v>
          </cell>
          <cell r="D19">
            <v>3514.5</v>
          </cell>
          <cell r="O19" t="str">
            <v>1016</v>
          </cell>
          <cell r="P19">
            <v>0</v>
          </cell>
          <cell r="Q19">
            <v>0</v>
          </cell>
          <cell r="R19">
            <v>3514.5</v>
          </cell>
          <cell r="S19">
            <v>3514.5</v>
          </cell>
          <cell r="T19">
            <v>3514.5</v>
          </cell>
          <cell r="U19">
            <v>3514.5</v>
          </cell>
          <cell r="V19">
            <v>3514.5</v>
          </cell>
          <cell r="W19">
            <v>3514.5</v>
          </cell>
          <cell r="X19">
            <v>3514.5</v>
          </cell>
          <cell r="Y19">
            <v>3514.5</v>
          </cell>
          <cell r="Z19">
            <v>3514.5</v>
          </cell>
          <cell r="AA19">
            <v>3514.5</v>
          </cell>
        </row>
        <row r="20">
          <cell r="A20" t="str">
            <v>1017</v>
          </cell>
          <cell r="C20">
            <v>240346.37</v>
          </cell>
          <cell r="D20">
            <v>5232.26</v>
          </cell>
          <cell r="F20">
            <v>4409.68</v>
          </cell>
          <cell r="G20">
            <v>54895.97</v>
          </cell>
          <cell r="H20">
            <v>79080</v>
          </cell>
          <cell r="I20">
            <v>8561.69</v>
          </cell>
          <cell r="J20">
            <v>55701.61</v>
          </cell>
          <cell r="O20" t="str">
            <v>1017</v>
          </cell>
          <cell r="P20">
            <v>0</v>
          </cell>
          <cell r="Q20">
            <v>240346.37</v>
          </cell>
          <cell r="R20">
            <v>245578.63</v>
          </cell>
          <cell r="S20">
            <v>245578.63</v>
          </cell>
          <cell r="T20">
            <v>249988.31</v>
          </cell>
          <cell r="U20">
            <v>304884.28000000003</v>
          </cell>
          <cell r="V20">
            <v>383964.28</v>
          </cell>
          <cell r="W20">
            <v>392525.97000000003</v>
          </cell>
          <cell r="X20">
            <v>448227.58</v>
          </cell>
          <cell r="Y20">
            <v>448227.58</v>
          </cell>
          <cell r="Z20">
            <v>448227.58</v>
          </cell>
          <cell r="AA20">
            <v>448227.58</v>
          </cell>
        </row>
        <row r="21">
          <cell r="A21" t="str">
            <v>1020</v>
          </cell>
          <cell r="F21">
            <v>8747.98</v>
          </cell>
          <cell r="O21" t="str">
            <v>1020</v>
          </cell>
          <cell r="P21">
            <v>0</v>
          </cell>
          <cell r="Q21">
            <v>0</v>
          </cell>
          <cell r="R21">
            <v>0</v>
          </cell>
          <cell r="S21">
            <v>0</v>
          </cell>
          <cell r="T21">
            <v>8747.98</v>
          </cell>
          <cell r="U21">
            <v>8747.98</v>
          </cell>
          <cell r="V21">
            <v>8747.98</v>
          </cell>
          <cell r="W21">
            <v>8747.98</v>
          </cell>
          <cell r="X21">
            <v>8747.98</v>
          </cell>
          <cell r="Y21">
            <v>8747.98</v>
          </cell>
          <cell r="Z21">
            <v>8747.98</v>
          </cell>
          <cell r="AA21">
            <v>8747.98</v>
          </cell>
        </row>
        <row r="22">
          <cell r="A22" t="str">
            <v>1023</v>
          </cell>
          <cell r="B22">
            <v>186060.88</v>
          </cell>
          <cell r="C22">
            <v>273755.46999999997</v>
          </cell>
          <cell r="D22">
            <v>146726.29</v>
          </cell>
          <cell r="E22">
            <v>13760.05</v>
          </cell>
          <cell r="F22">
            <v>92150</v>
          </cell>
          <cell r="O22" t="str">
            <v>1023</v>
          </cell>
          <cell r="P22">
            <v>186060.88</v>
          </cell>
          <cell r="Q22">
            <v>459816.35</v>
          </cell>
          <cell r="R22">
            <v>606542.64</v>
          </cell>
          <cell r="S22">
            <v>620302.69000000006</v>
          </cell>
          <cell r="T22">
            <v>712452.69000000006</v>
          </cell>
          <cell r="U22">
            <v>712452.69000000006</v>
          </cell>
          <cell r="V22">
            <v>712452.69000000006</v>
          </cell>
          <cell r="W22">
            <v>712452.69000000006</v>
          </cell>
          <cell r="X22">
            <v>712452.69000000006</v>
          </cell>
          <cell r="Y22">
            <v>712452.69000000006</v>
          </cell>
          <cell r="Z22">
            <v>712452.69000000006</v>
          </cell>
          <cell r="AA22">
            <v>712452.69000000006</v>
          </cell>
        </row>
        <row r="23">
          <cell r="A23" t="str">
            <v>1026</v>
          </cell>
          <cell r="B23">
            <v>62901.73</v>
          </cell>
          <cell r="C23">
            <v>38014.53</v>
          </cell>
          <cell r="D23">
            <v>34565.15</v>
          </cell>
          <cell r="E23">
            <v>81638.86</v>
          </cell>
          <cell r="F23">
            <v>2472.1799999999998</v>
          </cell>
          <cell r="G23">
            <v>7131.05</v>
          </cell>
          <cell r="H23">
            <v>35044.94</v>
          </cell>
          <cell r="I23">
            <v>32319.35</v>
          </cell>
          <cell r="J23">
            <v>5726.61</v>
          </cell>
          <cell r="O23" t="str">
            <v>1026</v>
          </cell>
          <cell r="P23">
            <v>62901.73</v>
          </cell>
          <cell r="Q23">
            <v>100916.26000000001</v>
          </cell>
          <cell r="R23">
            <v>135481.41</v>
          </cell>
          <cell r="S23">
            <v>217120.27000000002</v>
          </cell>
          <cell r="T23">
            <v>219592.45</v>
          </cell>
          <cell r="U23">
            <v>226723.5</v>
          </cell>
          <cell r="V23">
            <v>261768.44</v>
          </cell>
          <cell r="W23">
            <v>294087.78999999998</v>
          </cell>
          <cell r="X23">
            <v>299814.39999999997</v>
          </cell>
          <cell r="Y23">
            <v>299814.39999999997</v>
          </cell>
          <cell r="Z23">
            <v>299814.39999999997</v>
          </cell>
          <cell r="AA23">
            <v>299814.39999999997</v>
          </cell>
        </row>
        <row r="24">
          <cell r="A24" t="str">
            <v>1027</v>
          </cell>
          <cell r="B24">
            <v>695086.45</v>
          </cell>
          <cell r="C24">
            <v>115326.13</v>
          </cell>
          <cell r="D24">
            <v>760261.6</v>
          </cell>
          <cell r="E24">
            <v>297089.65000000002</v>
          </cell>
          <cell r="F24">
            <v>326701.17</v>
          </cell>
          <cell r="G24">
            <v>232835.29</v>
          </cell>
          <cell r="H24">
            <v>484816.37</v>
          </cell>
          <cell r="I24">
            <v>9011.7799999999897</v>
          </cell>
          <cell r="J24">
            <v>300199.38</v>
          </cell>
          <cell r="O24" t="str">
            <v>1027</v>
          </cell>
          <cell r="P24">
            <v>695086.45</v>
          </cell>
          <cell r="Q24">
            <v>810412.58</v>
          </cell>
          <cell r="R24">
            <v>1570674.18</v>
          </cell>
          <cell r="S24">
            <v>1867763.83</v>
          </cell>
          <cell r="T24">
            <v>2194465</v>
          </cell>
          <cell r="U24">
            <v>2427300.29</v>
          </cell>
          <cell r="V24">
            <v>2912116.66</v>
          </cell>
          <cell r="W24">
            <v>2921128.44</v>
          </cell>
          <cell r="X24">
            <v>3221327.82</v>
          </cell>
          <cell r="Y24">
            <v>3221327.82</v>
          </cell>
          <cell r="Z24">
            <v>3221327.82</v>
          </cell>
          <cell r="AA24">
            <v>3221327.82</v>
          </cell>
        </row>
        <row r="25">
          <cell r="A25" t="str">
            <v>1029</v>
          </cell>
          <cell r="B25">
            <v>376376.57</v>
          </cell>
          <cell r="C25">
            <v>576810.86</v>
          </cell>
          <cell r="D25">
            <v>461804.34</v>
          </cell>
          <cell r="E25">
            <v>420383.84</v>
          </cell>
          <cell r="F25">
            <v>451789.49</v>
          </cell>
          <cell r="G25">
            <v>613153.30000000005</v>
          </cell>
          <cell r="H25">
            <v>328829.34000000003</v>
          </cell>
          <cell r="I25">
            <v>473806.46</v>
          </cell>
          <cell r="J25">
            <v>330743.55</v>
          </cell>
          <cell r="O25" t="str">
            <v>1029</v>
          </cell>
          <cell r="P25">
            <v>376376.57</v>
          </cell>
          <cell r="Q25">
            <v>953187.42999999993</v>
          </cell>
          <cell r="R25">
            <v>1414991.77</v>
          </cell>
          <cell r="S25">
            <v>1835375.61</v>
          </cell>
          <cell r="T25">
            <v>2287165.1</v>
          </cell>
          <cell r="U25">
            <v>2900318.4000000004</v>
          </cell>
          <cell r="V25">
            <v>3229147.74</v>
          </cell>
          <cell r="W25">
            <v>3702954.2</v>
          </cell>
          <cell r="X25">
            <v>4033697.75</v>
          </cell>
          <cell r="Y25">
            <v>4033697.75</v>
          </cell>
          <cell r="Z25">
            <v>4033697.75</v>
          </cell>
          <cell r="AA25">
            <v>4033697.75</v>
          </cell>
        </row>
        <row r="26">
          <cell r="A26" t="str">
            <v>1032</v>
          </cell>
          <cell r="C26">
            <v>14815</v>
          </cell>
          <cell r="D26">
            <v>2037.9</v>
          </cell>
          <cell r="E26">
            <v>2037.9</v>
          </cell>
          <cell r="F26">
            <v>2037.9</v>
          </cell>
          <cell r="G26">
            <v>2037.9</v>
          </cell>
          <cell r="H26">
            <v>61294.35</v>
          </cell>
          <cell r="I26">
            <v>6113.71</v>
          </cell>
          <cell r="O26" t="str">
            <v>1032</v>
          </cell>
          <cell r="P26">
            <v>0</v>
          </cell>
          <cell r="Q26">
            <v>14815</v>
          </cell>
          <cell r="R26">
            <v>16852.900000000001</v>
          </cell>
          <cell r="S26">
            <v>18890.800000000003</v>
          </cell>
          <cell r="T26">
            <v>20928.700000000004</v>
          </cell>
          <cell r="U26">
            <v>22966.600000000006</v>
          </cell>
          <cell r="V26">
            <v>84260.950000000012</v>
          </cell>
          <cell r="W26">
            <v>90374.660000000018</v>
          </cell>
          <cell r="X26">
            <v>90374.660000000018</v>
          </cell>
          <cell r="Y26">
            <v>90374.660000000018</v>
          </cell>
          <cell r="Z26">
            <v>90374.660000000018</v>
          </cell>
          <cell r="AA26">
            <v>90374.660000000018</v>
          </cell>
        </row>
        <row r="27">
          <cell r="A27" t="str">
            <v>1033</v>
          </cell>
          <cell r="C27">
            <v>5635.5</v>
          </cell>
          <cell r="E27">
            <v>10967.04</v>
          </cell>
          <cell r="G27">
            <v>5369.89</v>
          </cell>
          <cell r="H27">
            <v>3882.51</v>
          </cell>
          <cell r="J27">
            <v>660.98</v>
          </cell>
          <cell r="O27" t="str">
            <v>1033</v>
          </cell>
          <cell r="P27">
            <v>0</v>
          </cell>
          <cell r="Q27">
            <v>5635.5</v>
          </cell>
          <cell r="R27">
            <v>5635.5</v>
          </cell>
          <cell r="S27">
            <v>16602.54</v>
          </cell>
          <cell r="T27">
            <v>16602.54</v>
          </cell>
          <cell r="U27">
            <v>21972.43</v>
          </cell>
          <cell r="V27">
            <v>25854.940000000002</v>
          </cell>
          <cell r="W27">
            <v>25854.940000000002</v>
          </cell>
          <cell r="X27">
            <v>26515.920000000002</v>
          </cell>
          <cell r="Y27">
            <v>26515.920000000002</v>
          </cell>
          <cell r="Z27">
            <v>26515.920000000002</v>
          </cell>
          <cell r="AA27">
            <v>26515.920000000002</v>
          </cell>
        </row>
        <row r="28">
          <cell r="A28" t="str">
            <v>1035</v>
          </cell>
          <cell r="D28">
            <v>74637</v>
          </cell>
          <cell r="O28" t="str">
            <v>1035</v>
          </cell>
          <cell r="P28">
            <v>0</v>
          </cell>
          <cell r="Q28">
            <v>0</v>
          </cell>
          <cell r="R28">
            <v>74637</v>
          </cell>
          <cell r="S28">
            <v>74637</v>
          </cell>
          <cell r="T28">
            <v>74637</v>
          </cell>
          <cell r="U28">
            <v>74637</v>
          </cell>
          <cell r="V28">
            <v>74637</v>
          </cell>
          <cell r="W28">
            <v>74637</v>
          </cell>
          <cell r="X28">
            <v>74637</v>
          </cell>
          <cell r="Y28">
            <v>74637</v>
          </cell>
          <cell r="Z28">
            <v>74637</v>
          </cell>
          <cell r="AA28">
            <v>74637</v>
          </cell>
        </row>
        <row r="29">
          <cell r="A29" t="str">
            <v>1036</v>
          </cell>
          <cell r="D29">
            <v>36366.379999999997</v>
          </cell>
          <cell r="O29" t="str">
            <v>1036</v>
          </cell>
          <cell r="P29">
            <v>0</v>
          </cell>
          <cell r="Q29">
            <v>0</v>
          </cell>
          <cell r="R29">
            <v>36366.379999999997</v>
          </cell>
          <cell r="S29">
            <v>36366.379999999997</v>
          </cell>
          <cell r="T29">
            <v>36366.379999999997</v>
          </cell>
          <cell r="U29">
            <v>36366.379999999997</v>
          </cell>
          <cell r="V29">
            <v>36366.379999999997</v>
          </cell>
          <cell r="W29">
            <v>36366.379999999997</v>
          </cell>
          <cell r="X29">
            <v>36366.379999999997</v>
          </cell>
          <cell r="Y29">
            <v>36366.379999999997</v>
          </cell>
          <cell r="Z29">
            <v>36366.379999999997</v>
          </cell>
          <cell r="AA29">
            <v>36366.379999999997</v>
          </cell>
        </row>
        <row r="30">
          <cell r="A30" t="str">
            <v>1037</v>
          </cell>
          <cell r="E30">
            <v>-14702.36</v>
          </cell>
          <cell r="H30">
            <v>1922.08</v>
          </cell>
          <cell r="I30">
            <v>2108.29</v>
          </cell>
          <cell r="J30">
            <v>7333.49</v>
          </cell>
          <cell r="O30" t="str">
            <v>1037</v>
          </cell>
          <cell r="P30">
            <v>0</v>
          </cell>
          <cell r="Q30">
            <v>0</v>
          </cell>
          <cell r="R30">
            <v>0</v>
          </cell>
          <cell r="S30">
            <v>-14702.36</v>
          </cell>
          <cell r="T30">
            <v>-14702.36</v>
          </cell>
          <cell r="U30">
            <v>-14702.36</v>
          </cell>
          <cell r="V30">
            <v>-12780.28</v>
          </cell>
          <cell r="W30">
            <v>-10671.990000000002</v>
          </cell>
          <cell r="X30">
            <v>-3338.5000000000018</v>
          </cell>
          <cell r="Y30">
            <v>-3338.5000000000018</v>
          </cell>
          <cell r="Z30">
            <v>-3338.5000000000018</v>
          </cell>
          <cell r="AA30">
            <v>-3338.5000000000018</v>
          </cell>
        </row>
        <row r="31">
          <cell r="A31" t="str">
            <v>1038</v>
          </cell>
          <cell r="E31">
            <v>-10429.4</v>
          </cell>
          <cell r="O31" t="str">
            <v>1038</v>
          </cell>
          <cell r="P31">
            <v>0</v>
          </cell>
          <cell r="Q31">
            <v>0</v>
          </cell>
          <cell r="R31">
            <v>0</v>
          </cell>
          <cell r="S31">
            <v>-10429.4</v>
          </cell>
          <cell r="T31">
            <v>-10429.4</v>
          </cell>
          <cell r="U31">
            <v>-10429.4</v>
          </cell>
          <cell r="V31">
            <v>-10429.4</v>
          </cell>
          <cell r="W31">
            <v>-10429.4</v>
          </cell>
          <cell r="X31">
            <v>-10429.4</v>
          </cell>
          <cell r="Y31">
            <v>-10429.4</v>
          </cell>
          <cell r="Z31">
            <v>-10429.4</v>
          </cell>
          <cell r="AA31">
            <v>-10429.4</v>
          </cell>
        </row>
        <row r="32">
          <cell r="A32" t="str">
            <v>1040</v>
          </cell>
          <cell r="D32">
            <v>145</v>
          </cell>
          <cell r="E32">
            <v>4817.68</v>
          </cell>
          <cell r="I32">
            <v>450</v>
          </cell>
          <cell r="O32" t="str">
            <v>1040</v>
          </cell>
          <cell r="P32">
            <v>0</v>
          </cell>
          <cell r="Q32">
            <v>0</v>
          </cell>
          <cell r="R32">
            <v>145</v>
          </cell>
          <cell r="S32">
            <v>4962.68</v>
          </cell>
          <cell r="T32">
            <v>4962.68</v>
          </cell>
          <cell r="U32">
            <v>4962.68</v>
          </cell>
          <cell r="V32">
            <v>4962.68</v>
          </cell>
          <cell r="W32">
            <v>5412.68</v>
          </cell>
          <cell r="X32">
            <v>5412.68</v>
          </cell>
          <cell r="Y32">
            <v>5412.68</v>
          </cell>
          <cell r="Z32">
            <v>5412.68</v>
          </cell>
          <cell r="AA32">
            <v>5412.68</v>
          </cell>
        </row>
        <row r="33">
          <cell r="A33" t="str">
            <v>1041</v>
          </cell>
          <cell r="C33">
            <v>23551.18</v>
          </cell>
          <cell r="E33">
            <v>-1.0000000002037268E-2</v>
          </cell>
          <cell r="O33" t="str">
            <v>1041</v>
          </cell>
          <cell r="P33">
            <v>0</v>
          </cell>
          <cell r="Q33">
            <v>23551.18</v>
          </cell>
          <cell r="R33">
            <v>23551.18</v>
          </cell>
          <cell r="S33">
            <v>23551.17</v>
          </cell>
          <cell r="T33">
            <v>23551.17</v>
          </cell>
          <cell r="U33">
            <v>23551.17</v>
          </cell>
          <cell r="V33">
            <v>23551.17</v>
          </cell>
          <cell r="W33">
            <v>23551.17</v>
          </cell>
          <cell r="X33">
            <v>23551.17</v>
          </cell>
          <cell r="Y33">
            <v>23551.17</v>
          </cell>
          <cell r="Z33">
            <v>23551.17</v>
          </cell>
          <cell r="AA33">
            <v>23551.17</v>
          </cell>
        </row>
        <row r="34">
          <cell r="A34" t="str">
            <v>1046</v>
          </cell>
          <cell r="D34">
            <v>136259.07</v>
          </cell>
          <cell r="F34">
            <v>3348.79</v>
          </cell>
          <cell r="O34" t="str">
            <v>1046</v>
          </cell>
          <cell r="P34">
            <v>0</v>
          </cell>
          <cell r="Q34">
            <v>0</v>
          </cell>
          <cell r="R34">
            <v>136259.07</v>
          </cell>
          <cell r="S34">
            <v>136259.07</v>
          </cell>
          <cell r="T34">
            <v>139607.86000000002</v>
          </cell>
          <cell r="U34">
            <v>139607.86000000002</v>
          </cell>
          <cell r="V34">
            <v>139607.86000000002</v>
          </cell>
          <cell r="W34">
            <v>139607.86000000002</v>
          </cell>
          <cell r="X34">
            <v>139607.86000000002</v>
          </cell>
          <cell r="Y34">
            <v>139607.86000000002</v>
          </cell>
          <cell r="Z34">
            <v>139607.86000000002</v>
          </cell>
          <cell r="AA34">
            <v>139607.86000000002</v>
          </cell>
        </row>
        <row r="35">
          <cell r="A35" t="str">
            <v>1048</v>
          </cell>
          <cell r="C35">
            <v>21662</v>
          </cell>
          <cell r="O35" t="str">
            <v>1048</v>
          </cell>
          <cell r="P35">
            <v>0</v>
          </cell>
          <cell r="Q35">
            <v>21662</v>
          </cell>
          <cell r="R35">
            <v>21662</v>
          </cell>
          <cell r="S35">
            <v>21662</v>
          </cell>
          <cell r="T35">
            <v>21662</v>
          </cell>
          <cell r="U35">
            <v>21662</v>
          </cell>
          <cell r="V35">
            <v>21662</v>
          </cell>
          <cell r="W35">
            <v>21662</v>
          </cell>
          <cell r="X35">
            <v>21662</v>
          </cell>
          <cell r="Y35">
            <v>21662</v>
          </cell>
          <cell r="Z35">
            <v>21662</v>
          </cell>
          <cell r="AA35">
            <v>21662</v>
          </cell>
        </row>
        <row r="36">
          <cell r="A36" t="str">
            <v>1053</v>
          </cell>
          <cell r="E36">
            <v>350</v>
          </cell>
          <cell r="O36" t="str">
            <v>1053</v>
          </cell>
          <cell r="P36">
            <v>0</v>
          </cell>
          <cell r="Q36">
            <v>0</v>
          </cell>
          <cell r="R36">
            <v>0</v>
          </cell>
          <cell r="S36">
            <v>350</v>
          </cell>
          <cell r="T36">
            <v>350</v>
          </cell>
          <cell r="U36">
            <v>350</v>
          </cell>
          <cell r="V36">
            <v>350</v>
          </cell>
          <cell r="W36">
            <v>350</v>
          </cell>
          <cell r="X36">
            <v>350</v>
          </cell>
          <cell r="Y36">
            <v>350</v>
          </cell>
          <cell r="Z36">
            <v>350</v>
          </cell>
          <cell r="AA36">
            <v>350</v>
          </cell>
        </row>
        <row r="37">
          <cell r="A37" t="str">
            <v>1055</v>
          </cell>
          <cell r="G37">
            <v>143.69</v>
          </cell>
          <cell r="H37">
            <v>2095.75</v>
          </cell>
          <cell r="I37">
            <v>2204.84</v>
          </cell>
          <cell r="J37">
            <v>133127.01</v>
          </cell>
          <cell r="O37" t="str">
            <v>1055</v>
          </cell>
          <cell r="P37">
            <v>0</v>
          </cell>
          <cell r="Q37">
            <v>0</v>
          </cell>
          <cell r="R37">
            <v>0</v>
          </cell>
          <cell r="S37">
            <v>0</v>
          </cell>
          <cell r="T37">
            <v>0</v>
          </cell>
          <cell r="U37">
            <v>143.69</v>
          </cell>
          <cell r="V37">
            <v>2239.44</v>
          </cell>
          <cell r="W37">
            <v>4444.2800000000007</v>
          </cell>
          <cell r="X37">
            <v>137571.29</v>
          </cell>
          <cell r="Y37">
            <v>137571.29</v>
          </cell>
          <cell r="Z37">
            <v>137571.29</v>
          </cell>
          <cell r="AA37">
            <v>137571.29</v>
          </cell>
        </row>
        <row r="38">
          <cell r="O38" t="str">
            <v>Totalt</v>
          </cell>
          <cell r="P38">
            <v>-1566358.61</v>
          </cell>
          <cell r="Q38">
            <v>-3386343.81</v>
          </cell>
          <cell r="R38">
            <v>-18602.350000000093</v>
          </cell>
          <cell r="S38">
            <v>2313838.0299999998</v>
          </cell>
          <cell r="T38">
            <v>4221203.54</v>
          </cell>
          <cell r="U38">
            <v>7606236.7400000002</v>
          </cell>
          <cell r="V38">
            <v>9403795.4399999995</v>
          </cell>
          <cell r="W38">
            <v>11269428.779999999</v>
          </cell>
          <cell r="X38">
            <v>13106757.469999999</v>
          </cell>
          <cell r="Y38">
            <v>13106757.469999999</v>
          </cell>
          <cell r="Z38">
            <v>13106757.469999999</v>
          </cell>
          <cell r="AA38">
            <v>13106757.469999999</v>
          </cell>
        </row>
        <row r="39">
          <cell r="O39">
            <v>0</v>
          </cell>
          <cell r="P39">
            <v>0</v>
          </cell>
          <cell r="Q39">
            <v>0</v>
          </cell>
          <cell r="R39">
            <v>0</v>
          </cell>
          <cell r="S39">
            <v>0</v>
          </cell>
          <cell r="T39">
            <v>0</v>
          </cell>
          <cell r="U39">
            <v>0</v>
          </cell>
          <cell r="V39">
            <v>0</v>
          </cell>
          <cell r="W39">
            <v>0</v>
          </cell>
          <cell r="X39">
            <v>0</v>
          </cell>
          <cell r="Y39">
            <v>0</v>
          </cell>
          <cell r="Z39">
            <v>0</v>
          </cell>
          <cell r="AA39">
            <v>0</v>
          </cell>
        </row>
        <row r="40">
          <cell r="O40">
            <v>0</v>
          </cell>
          <cell r="P40">
            <v>0</v>
          </cell>
          <cell r="Q40">
            <v>0</v>
          </cell>
          <cell r="R40">
            <v>0</v>
          </cell>
          <cell r="S40">
            <v>0</v>
          </cell>
          <cell r="T40">
            <v>0</v>
          </cell>
          <cell r="U40">
            <v>0</v>
          </cell>
          <cell r="V40">
            <v>0</v>
          </cell>
          <cell r="W40">
            <v>0</v>
          </cell>
          <cell r="X40">
            <v>0</v>
          </cell>
          <cell r="Y40">
            <v>0</v>
          </cell>
          <cell r="Z40">
            <v>0</v>
          </cell>
          <cell r="AA40">
            <v>0</v>
          </cell>
        </row>
        <row r="41">
          <cell r="O41">
            <v>0</v>
          </cell>
          <cell r="P41">
            <v>0</v>
          </cell>
          <cell r="Q41">
            <v>0</v>
          </cell>
          <cell r="R41">
            <v>0</v>
          </cell>
          <cell r="S41">
            <v>0</v>
          </cell>
          <cell r="T41">
            <v>0</v>
          </cell>
          <cell r="U41">
            <v>0</v>
          </cell>
          <cell r="V41">
            <v>0</v>
          </cell>
          <cell r="W41">
            <v>0</v>
          </cell>
          <cell r="X41">
            <v>0</v>
          </cell>
          <cell r="Y41">
            <v>0</v>
          </cell>
          <cell r="Z41">
            <v>0</v>
          </cell>
          <cell r="AA41">
            <v>0</v>
          </cell>
        </row>
        <row r="42">
          <cell r="O42">
            <v>0</v>
          </cell>
          <cell r="P42">
            <v>0</v>
          </cell>
          <cell r="Q42">
            <v>0</v>
          </cell>
          <cell r="R42">
            <v>0</v>
          </cell>
          <cell r="S42">
            <v>0</v>
          </cell>
          <cell r="T42">
            <v>0</v>
          </cell>
          <cell r="U42">
            <v>0</v>
          </cell>
          <cell r="V42">
            <v>0</v>
          </cell>
          <cell r="W42">
            <v>0</v>
          </cell>
          <cell r="X42">
            <v>0</v>
          </cell>
          <cell r="Y42">
            <v>0</v>
          </cell>
          <cell r="Z42">
            <v>0</v>
          </cell>
          <cell r="AA42">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Version History"/>
      <sheetName val="imports"/>
      <sheetName val="C5"/>
      <sheetName val="other sources"/>
      <sheetName val="HH"/>
      <sheetName val="S"/>
      <sheetName val="M"/>
      <sheetName val="L"/>
      <sheetName val="FREV1"/>
      <sheetName val="FREV2"/>
      <sheetName val="FREV3"/>
      <sheetName val="foldback"/>
      <sheetName val="C1"/>
      <sheetName val="C2"/>
      <sheetName val="C3"/>
      <sheetName val="C4"/>
      <sheetName val="C6"/>
      <sheetName val="C7"/>
      <sheetName val="C8"/>
      <sheetName val="C-Por"/>
      <sheetName val="C-Gr"/>
      <sheetName val="C-Swi"/>
      <sheetName val="C-Swe"/>
      <sheetName val="C-No"/>
      <sheetName val="C-Ne"/>
      <sheetName val="C-Fi"/>
      <sheetName val="C-Dk"/>
      <sheetName val="C-Os"/>
      <sheetName val="C-UK"/>
      <sheetName val="C-Ar"/>
      <sheetName val="C-Fr"/>
      <sheetName val="C-Ge"/>
      <sheetName val="C-It"/>
      <sheetName val="C-J"/>
      <sheetName val="C-US"/>
    </sheetNames>
    <sheetDataSet>
      <sheetData sheetId="0">
        <row r="5">
          <cell r="B5" t="str">
            <v>fixed seeds</v>
          </cell>
        </row>
        <row r="6">
          <cell r="B6" t="str">
            <v>models site numbers and spend per site for seed countries</v>
          </cell>
        </row>
        <row r="8">
          <cell r="B8" t="str">
            <v>v0</v>
          </cell>
        </row>
        <row r="9">
          <cell r="B9" t="str">
            <v>Under construction</v>
          </cell>
        </row>
        <row r="14">
          <cell r="B14" t="str">
            <v>andrew entwistle</v>
          </cell>
        </row>
        <row r="15">
          <cell r="B15" t="str">
            <v>andrew@newstreetresearch.com</v>
          </cell>
        </row>
      </sheetData>
      <sheetData sheetId="1" refreshError="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 Debt Roll"/>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ﾃﾞｰﾀ加工(MTD)"/>
      <sheetName val="ﾃﾞｰﾀ加工(YTD)"/>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Fixed"/>
      <sheetName val="ConsQ107"/>
      <sheetName val="Interims_IFRS"/>
      <sheetName val="Mobile_new"/>
      <sheetName val="Analysis"/>
      <sheetName val="Interims"/>
      <sheetName val="Pen modeller"/>
      <sheetName val="Valuation"/>
      <sheetName val="George"/>
      <sheetName val="SOP"/>
      <sheetName val="Graphs"/>
      <sheetName val="quarterly"/>
      <sheetName val="Mob Norway"/>
      <sheetName val="Thai"/>
      <sheetName val="Kyiv"/>
      <sheetName val="Gram"/>
      <sheetName val="Digi"/>
      <sheetName val="Sweden"/>
      <sheetName val="Pak"/>
      <sheetName val="networks II - OLD"/>
      <sheetName val="Sonofon"/>
      <sheetName val="Pannon"/>
      <sheetName val="Serbia"/>
      <sheetName val="GDP sense check"/>
      <sheetName val="Other unts"/>
      <sheetName val="2003 deals"/>
      <sheetName val="changes q32003"/>
      <sheetName val="Notes"/>
      <sheetName val="ITU inputs for mobile"/>
      <sheetName val="buyback"/>
      <sheetName val="restated prior years"/>
      <sheetName val="Industry Model"/>
      <sheetName val="Debt"/>
      <sheetName val="Debt ratios"/>
      <sheetName val="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Group"/>
      <sheetName val="Quarterlies"/>
      <sheetName val="Valuation"/>
      <sheetName val="Wireline"/>
      <sheetName val="Market"/>
      <sheetName val="Outpayments"/>
      <sheetName val="Sheet1"/>
      <sheetName val="Global Services"/>
      <sheetName val="FRS17"/>
      <sheetName val="George"/>
      <sheetName val="Cost Analy"/>
      <sheetName val="charts"/>
      <sheetName val="questions"/>
      <sheetName val="IM"/>
      <sheetName val="Debt"/>
      <sheetName val="debt 20F"/>
      <sheetName val="Debt ratios"/>
      <sheetName val="Charts Jan 05"/>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row r="12">
          <cell r="K12" t="str">
            <v>UKP millions</v>
          </cell>
          <cell r="L12" t="str">
            <v>v3</v>
          </cell>
          <cell r="M12">
            <v>38008.59294386574</v>
          </cell>
        </row>
        <row r="13">
          <cell r="K13" t="str">
            <v>UKP millions</v>
          </cell>
          <cell r="L13" t="str">
            <v>v3</v>
          </cell>
          <cell r="M13">
            <v>38008.59294386574</v>
          </cell>
        </row>
        <row r="14">
          <cell r="K14" t="str">
            <v>UKP millions</v>
          </cell>
          <cell r="L14" t="str">
            <v>v3</v>
          </cell>
          <cell r="M14">
            <v>38008.59294386574</v>
          </cell>
          <cell r="AA14">
            <v>12387.769999999999</v>
          </cell>
          <cell r="AB14">
            <v>13370</v>
          </cell>
          <cell r="AC14">
            <v>14067.191011100091</v>
          </cell>
          <cell r="AD14">
            <v>13817.320772919136</v>
          </cell>
          <cell r="AE14">
            <v>13809.68496666932</v>
          </cell>
          <cell r="AF14">
            <v>14082.449148150023</v>
          </cell>
          <cell r="AG14">
            <v>14129.228105830436</v>
          </cell>
          <cell r="AH14">
            <v>14140.064355242996</v>
          </cell>
          <cell r="AI14">
            <v>14087.20710586432</v>
          </cell>
          <cell r="AJ14">
            <v>14021.5411091519</v>
          </cell>
          <cell r="AK14">
            <v>13940.313693105927</v>
          </cell>
          <cell r="AL14">
            <v>13823.741864644662</v>
          </cell>
        </row>
        <row r="15">
          <cell r="K15" t="str">
            <v>UKP millions</v>
          </cell>
          <cell r="L15" t="str">
            <v>v3</v>
          </cell>
          <cell r="M15">
            <v>38008.59294386574</v>
          </cell>
          <cell r="AA15">
            <v>344.75</v>
          </cell>
          <cell r="AB15">
            <v>361.17999999999984</v>
          </cell>
          <cell r="AC15">
            <v>330.4422676171057</v>
          </cell>
          <cell r="AD15">
            <v>394.19119123862538</v>
          </cell>
          <cell r="AE15">
            <v>354.05332148453499</v>
          </cell>
          <cell r="AF15">
            <v>162.16521066052019</v>
          </cell>
          <cell r="AG15">
            <v>124.76613676321813</v>
          </cell>
          <cell r="AH15">
            <v>167.77386253554914</v>
          </cell>
          <cell r="AI15">
            <v>194.12031483954661</v>
          </cell>
          <cell r="AJ15">
            <v>214.03415076793772</v>
          </cell>
          <cell r="AK15">
            <v>226.06293048617135</v>
          </cell>
          <cell r="AL15">
            <v>226.34094569312174</v>
          </cell>
        </row>
        <row r="16">
          <cell r="K16" t="str">
            <v>UKP millions</v>
          </cell>
          <cell r="L16" t="str">
            <v>v3</v>
          </cell>
          <cell r="M16">
            <v>38008.59294386574</v>
          </cell>
        </row>
        <row r="17">
          <cell r="K17" t="str">
            <v>UKP millions</v>
          </cell>
          <cell r="L17" t="str">
            <v>v3</v>
          </cell>
          <cell r="M17">
            <v>38008.59294386574</v>
          </cell>
          <cell r="W17">
            <v>721.7593283582089</v>
          </cell>
          <cell r="X17">
            <v>810.6343283582089</v>
          </cell>
          <cell r="Y17">
            <v>1081.6809701492537</v>
          </cell>
          <cell r="Z17">
            <v>1535.1940298507461</v>
          </cell>
          <cell r="AA17">
            <v>1941.75</v>
          </cell>
          <cell r="AB17">
            <v>1898.57</v>
          </cell>
          <cell r="AC17">
            <v>1769.3858</v>
          </cell>
          <cell r="AD17">
            <v>1663.2226519999999</v>
          </cell>
          <cell r="AE17">
            <v>1587.9857739199999</v>
          </cell>
          <cell r="AF17">
            <v>1524.4663429631996</v>
          </cell>
          <cell r="AG17">
            <v>1463.4876892446719</v>
          </cell>
          <cell r="AH17">
            <v>1404.9481816748851</v>
          </cell>
          <cell r="AI17">
            <v>1348.7502544078893</v>
          </cell>
          <cell r="AJ17">
            <v>1294.8002442315737</v>
          </cell>
          <cell r="AK17">
            <v>1243.0082344623108</v>
          </cell>
          <cell r="AL17">
            <v>1193.2879050838183</v>
          </cell>
        </row>
        <row r="18">
          <cell r="K18" t="str">
            <v>UKP millions</v>
          </cell>
          <cell r="L18" t="str">
            <v>v3</v>
          </cell>
          <cell r="M18">
            <v>38008.59294386574</v>
          </cell>
          <cell r="W18">
            <v>448.97867803837971</v>
          </cell>
          <cell r="X18">
            <v>504.26439232409399</v>
          </cell>
          <cell r="Y18">
            <v>672.87206823027725</v>
          </cell>
          <cell r="Z18">
            <v>954.98507462686575</v>
          </cell>
          <cell r="AA18">
            <v>1239.75</v>
          </cell>
          <cell r="AB18">
            <v>1309</v>
          </cell>
          <cell r="AC18">
            <v>1279.5475000000001</v>
          </cell>
          <cell r="AD18">
            <v>1241.161075</v>
          </cell>
          <cell r="AE18">
            <v>1203.9262427499998</v>
          </cell>
          <cell r="AF18">
            <v>1194.6889569999998</v>
          </cell>
          <cell r="AG18">
            <v>1194.6889569999998</v>
          </cell>
          <cell r="AH18">
            <v>1194.6889569999998</v>
          </cell>
          <cell r="AI18">
            <v>1194.6889569999998</v>
          </cell>
          <cell r="AJ18">
            <v>1194.6889569999998</v>
          </cell>
          <cell r="AK18">
            <v>1194.6889569999998</v>
          </cell>
          <cell r="AL18">
            <v>1194.6889569999998</v>
          </cell>
        </row>
        <row r="19">
          <cell r="K19" t="str">
            <v>UKP millions</v>
          </cell>
          <cell r="L19" t="str">
            <v>v3</v>
          </cell>
          <cell r="M19">
            <v>38008.59294386574</v>
          </cell>
          <cell r="W19">
            <v>1170.7380063965884</v>
          </cell>
          <cell r="X19">
            <v>1314.8987206823028</v>
          </cell>
          <cell r="Y19">
            <v>1754.553038379531</v>
          </cell>
          <cell r="Z19">
            <v>2490.1791044776119</v>
          </cell>
          <cell r="AA19">
            <v>3181.5</v>
          </cell>
          <cell r="AB19">
            <v>3207.57</v>
          </cell>
          <cell r="AC19">
            <v>3048.9333000000001</v>
          </cell>
          <cell r="AD19">
            <v>2904.3837269999999</v>
          </cell>
          <cell r="AE19">
            <v>2791.91201667</v>
          </cell>
          <cell r="AF19">
            <v>2719.1552999631995</v>
          </cell>
          <cell r="AG19">
            <v>2658.1766462446712</v>
          </cell>
          <cell r="AH19">
            <v>2599.6371386748847</v>
          </cell>
          <cell r="AI19">
            <v>2543.4392114078892</v>
          </cell>
          <cell r="AJ19">
            <v>2489.4892012315736</v>
          </cell>
          <cell r="AK19">
            <v>2437.6971914623105</v>
          </cell>
          <cell r="AL19">
            <v>2387.9768620838181</v>
          </cell>
        </row>
        <row r="20">
          <cell r="K20" t="str">
            <v>UKP millions</v>
          </cell>
          <cell r="L20" t="str">
            <v>v3</v>
          </cell>
          <cell r="M20">
            <v>38008.59294386574</v>
          </cell>
          <cell r="AA20">
            <v>3526.25</v>
          </cell>
          <cell r="AB20">
            <v>3568.75</v>
          </cell>
          <cell r="AC20">
            <v>3379.3755676171058</v>
          </cell>
          <cell r="AD20">
            <v>3298.5749182386253</v>
          </cell>
          <cell r="AE20">
            <v>3145.9653381545349</v>
          </cell>
          <cell r="AF20">
            <v>2881.3205106237197</v>
          </cell>
          <cell r="AG20">
            <v>2782.9427830078894</v>
          </cell>
          <cell r="AH20">
            <v>2767.4110012104338</v>
          </cell>
          <cell r="AI20">
            <v>2737.5595262474358</v>
          </cell>
          <cell r="AJ20">
            <v>2703.5233519995113</v>
          </cell>
          <cell r="AK20">
            <v>2663.7601219484818</v>
          </cell>
          <cell r="AL20">
            <v>2614.3178077769398</v>
          </cell>
        </row>
        <row r="21">
          <cell r="K21" t="str">
            <v>UKP millions</v>
          </cell>
          <cell r="L21" t="str">
            <v>v3</v>
          </cell>
          <cell r="M21">
            <v>38008.59294386574</v>
          </cell>
          <cell r="AA21">
            <v>819.37999999999988</v>
          </cell>
          <cell r="AB21">
            <v>445.25</v>
          </cell>
          <cell r="AC21">
            <v>582.88414993538868</v>
          </cell>
          <cell r="AD21">
            <v>641.48201070082541</v>
          </cell>
          <cell r="AE21">
            <v>699.17210170468263</v>
          </cell>
          <cell r="AF21">
            <v>755.82983505789366</v>
          </cell>
          <cell r="AG21">
            <v>809.80310581909021</v>
          </cell>
          <cell r="AH21">
            <v>853.8763578963642</v>
          </cell>
          <cell r="AI21">
            <v>888.39280864194222</v>
          </cell>
          <cell r="AJ21">
            <v>919.94926442896531</v>
          </cell>
          <cell r="AK21">
            <v>950.43277877101912</v>
          </cell>
          <cell r="AL21">
            <v>975.29784627268793</v>
          </cell>
        </row>
        <row r="22">
          <cell r="K22" t="str">
            <v>UKP millions</v>
          </cell>
          <cell r="L22" t="str">
            <v>v3</v>
          </cell>
          <cell r="M22">
            <v>38008.59294386574</v>
          </cell>
          <cell r="AA22">
            <v>16733.399999999998</v>
          </cell>
          <cell r="AB22">
            <v>17384</v>
          </cell>
          <cell r="AC22">
            <v>18029.450728652584</v>
          </cell>
          <cell r="AD22">
            <v>17757.37770185859</v>
          </cell>
          <cell r="AE22">
            <v>17654.822406528539</v>
          </cell>
          <cell r="AF22">
            <v>17719.599493831636</v>
          </cell>
          <cell r="AG22">
            <v>17721.973994657415</v>
          </cell>
          <cell r="AH22">
            <v>17761.351714349792</v>
          </cell>
          <cell r="AI22">
            <v>17713.159440753698</v>
          </cell>
          <cell r="AJ22">
            <v>17645.013725580375</v>
          </cell>
          <cell r="AK22">
            <v>17554.50659382543</v>
          </cell>
          <cell r="AL22">
            <v>17413.357518694291</v>
          </cell>
        </row>
        <row r="24">
          <cell r="L24" t="str">
            <v>v3</v>
          </cell>
          <cell r="M24">
            <v>38008.59294386574</v>
          </cell>
        </row>
        <row r="25">
          <cell r="L25" t="str">
            <v>v3</v>
          </cell>
          <cell r="M25">
            <v>38008.59294386574</v>
          </cell>
        </row>
        <row r="26">
          <cell r="L26" t="str">
            <v>v3</v>
          </cell>
          <cell r="M26">
            <v>38008.59294386574</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row>
        <row r="27">
          <cell r="K27" t="str">
            <v>UKP millions</v>
          </cell>
          <cell r="L27" t="str">
            <v>v3</v>
          </cell>
          <cell r="M27">
            <v>38008.59294386574</v>
          </cell>
        </row>
        <row r="28">
          <cell r="K28" t="str">
            <v>UKP millions</v>
          </cell>
          <cell r="L28" t="str">
            <v>v3</v>
          </cell>
          <cell r="M28">
            <v>38008.59294386574</v>
          </cell>
        </row>
        <row r="29">
          <cell r="K29" t="str">
            <v>UKP millions</v>
          </cell>
          <cell r="L29" t="str">
            <v>v3</v>
          </cell>
          <cell r="M29">
            <v>38008.59294386574</v>
          </cell>
          <cell r="AA29" t="e">
            <v>#REF!</v>
          </cell>
          <cell r="AB29" t="e">
            <v>#REF!</v>
          </cell>
          <cell r="AC29" t="e">
            <v>#REF!</v>
          </cell>
          <cell r="AD29" t="e">
            <v>#REF!</v>
          </cell>
          <cell r="AE29" t="e">
            <v>#REF!</v>
          </cell>
          <cell r="AF29" t="e">
            <v>#REF!</v>
          </cell>
          <cell r="AG29" t="e">
            <v>#REF!</v>
          </cell>
          <cell r="AH29" t="e">
            <v>#REF!</v>
          </cell>
          <cell r="AI29" t="e">
            <v>#REF!</v>
          </cell>
          <cell r="AJ29" t="e">
            <v>#REF!</v>
          </cell>
          <cell r="AK29" t="e">
            <v>#REF!</v>
          </cell>
          <cell r="AL29" t="e">
            <v>#REF!</v>
          </cell>
        </row>
        <row r="31">
          <cell r="L31" t="str">
            <v>v3</v>
          </cell>
          <cell r="M31">
            <v>38008.59294386574</v>
          </cell>
        </row>
        <row r="32">
          <cell r="L32" t="str">
            <v>v3</v>
          </cell>
          <cell r="M32">
            <v>38008.59294386574</v>
          </cell>
        </row>
        <row r="33">
          <cell r="L33" t="str">
            <v>v3</v>
          </cell>
          <cell r="M33">
            <v>38008.59294386574</v>
          </cell>
        </row>
        <row r="34">
          <cell r="L34" t="str">
            <v>v3</v>
          </cell>
          <cell r="M34">
            <v>38008.59294386574</v>
          </cell>
        </row>
        <row r="35">
          <cell r="L35" t="str">
            <v>v3</v>
          </cell>
          <cell r="M35">
            <v>38008.59294386574</v>
          </cell>
          <cell r="W35" t="e">
            <v>#REF!</v>
          </cell>
          <cell r="X35" t="e">
            <v>#REF!</v>
          </cell>
          <cell r="Y35" t="e">
            <v>#REF!</v>
          </cell>
          <cell r="Z35" t="e">
            <v>#REF!</v>
          </cell>
          <cell r="AA35" t="e">
            <v>#REF!</v>
          </cell>
          <cell r="AB35" t="e">
            <v>#REF!</v>
          </cell>
          <cell r="AC35" t="e">
            <v>#REF!</v>
          </cell>
          <cell r="AD35" t="e">
            <v>#REF!</v>
          </cell>
          <cell r="AE35" t="e">
            <v>#REF!</v>
          </cell>
          <cell r="AF35" t="e">
            <v>#REF!</v>
          </cell>
          <cell r="AG35" t="e">
            <v>#REF!</v>
          </cell>
          <cell r="AH35" t="e">
            <v>#REF!</v>
          </cell>
          <cell r="AI35" t="e">
            <v>#REF!</v>
          </cell>
          <cell r="AJ35" t="e">
            <v>#REF!</v>
          </cell>
          <cell r="AK35" t="e">
            <v>#REF!</v>
          </cell>
          <cell r="AL35" t="e">
            <v>#REF!</v>
          </cell>
        </row>
        <row r="36">
          <cell r="L36" t="str">
            <v>v3</v>
          </cell>
          <cell r="M36">
            <v>38008.59294386574</v>
          </cell>
        </row>
        <row r="37">
          <cell r="L37" t="str">
            <v>v3</v>
          </cell>
          <cell r="M37">
            <v>38008.59294386574</v>
          </cell>
        </row>
        <row r="38">
          <cell r="L38" t="str">
            <v>v3</v>
          </cell>
          <cell r="M38">
            <v>38008.59294386574</v>
          </cell>
        </row>
        <row r="39">
          <cell r="L39" t="str">
            <v>v3</v>
          </cell>
          <cell r="M39">
            <v>38008.59294386574</v>
          </cell>
        </row>
        <row r="40">
          <cell r="L40" t="str">
            <v>v3</v>
          </cell>
          <cell r="M40">
            <v>38008.59294386574</v>
          </cell>
        </row>
        <row r="41">
          <cell r="L41" t="str">
            <v>v3</v>
          </cell>
          <cell r="M41">
            <v>38008.59294386574</v>
          </cell>
        </row>
        <row r="42">
          <cell r="L42" t="str">
            <v>v3</v>
          </cell>
          <cell r="M42">
            <v>38008.59294386574</v>
          </cell>
        </row>
        <row r="43">
          <cell r="L43" t="str">
            <v>v3</v>
          </cell>
          <cell r="M43">
            <v>38008.59294386574</v>
          </cell>
          <cell r="W43" t="e">
            <v>#REF!</v>
          </cell>
          <cell r="X43" t="e">
            <v>#REF!</v>
          </cell>
          <cell r="Y43" t="e">
            <v>#REF!</v>
          </cell>
          <cell r="Z43" t="e">
            <v>#REF!</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row>
        <row r="44">
          <cell r="L44" t="str">
            <v>v3</v>
          </cell>
          <cell r="M44">
            <v>38008.59294386574</v>
          </cell>
          <cell r="W44">
            <v>26582</v>
          </cell>
          <cell r="X44">
            <v>25816</v>
          </cell>
          <cell r="Y44">
            <v>25703</v>
          </cell>
          <cell r="Z44">
            <v>25306</v>
          </cell>
          <cell r="AA44">
            <v>25036</v>
          </cell>
          <cell r="AB44">
            <v>25402</v>
          </cell>
          <cell r="AC44">
            <v>25345</v>
          </cell>
          <cell r="AD44">
            <v>24885.325423607123</v>
          </cell>
          <cell r="AE44">
            <v>24330.42903683228</v>
          </cell>
          <cell r="AF44">
            <v>23784.142045250574</v>
          </cell>
          <cell r="AG44">
            <v>23246.347750596819</v>
          </cell>
          <cell r="AH44">
            <v>22716.930927631613</v>
          </cell>
          <cell r="AI44">
            <v>22195.777806350652</v>
          </cell>
          <cell r="AJ44">
            <v>21682.776054402548</v>
          </cell>
          <cell r="AK44">
            <v>21177.814759712768</v>
          </cell>
          <cell r="AL44">
            <v>20680.784413311347</v>
          </cell>
        </row>
        <row r="45">
          <cell r="L45" t="str">
            <v>v3</v>
          </cell>
          <cell r="M45">
            <v>38008.59294386574</v>
          </cell>
          <cell r="W45" t="e">
            <v>#REF!</v>
          </cell>
          <cell r="X45" t="e">
            <v>#REF!</v>
          </cell>
          <cell r="Y45" t="e">
            <v>#REF!</v>
          </cell>
          <cell r="Z45" t="e">
            <v>#REF!</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row>
        <row r="46">
          <cell r="L46" t="str">
            <v>v3</v>
          </cell>
          <cell r="M46">
            <v>38008.59294386574</v>
          </cell>
          <cell r="W46" t="e">
            <v>#REF!</v>
          </cell>
          <cell r="X46" t="e">
            <v>#REF!</v>
          </cell>
          <cell r="Y46" t="e">
            <v>#REF!</v>
          </cell>
          <cell r="Z46" t="e">
            <v>#REF!</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row>
        <row r="48">
          <cell r="L48" t="str">
            <v>v3</v>
          </cell>
          <cell r="M48">
            <v>38008.59294386574</v>
          </cell>
          <cell r="AA48">
            <v>85523</v>
          </cell>
          <cell r="AB48">
            <v>82490</v>
          </cell>
        </row>
      </sheetData>
      <sheetData sheetId="15"/>
      <sheetData sheetId="16"/>
      <sheetData sheetId="17"/>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PL"/>
      <sheetName val="IC-PL"/>
      <sheetName val="EXT-INC"/>
      <sheetName val="TRAF-COST"/>
      <sheetName val="INT-traf-cost"/>
      <sheetName val="OWN-WORK-CAP"/>
      <sheetName val="PAYROLL"/>
      <sheetName val="OPR-COST"/>
      <sheetName val="INT-OPR-COST"/>
      <sheetName val="FIN-PL"/>
      <sheetName val="Investments"/>
      <sheetName val="M-BALANCE"/>
      <sheetName val="IC-BAL"/>
      <sheetName val="CASH"/>
      <sheetName val="PROVISIONS"/>
      <sheetName val="EQUITY"/>
      <sheetName val="COMMITMENTS"/>
      <sheetName val="PERS-ADD"/>
      <sheetName val="AQUISITIONS"/>
      <sheetName val="Statistics"/>
      <sheetName val="Definitions"/>
    </sheetNames>
    <sheetDataSet>
      <sheetData sheetId="0">
        <row r="10">
          <cell r="E10" t="str">
            <v>&lt;Code&gt;</v>
          </cell>
        </row>
        <row r="11">
          <cell r="E11" t="str">
            <v>&lt;Name&gt;</v>
          </cell>
        </row>
        <row r="12">
          <cell r="E12" t="str">
            <v>0006</v>
          </cell>
        </row>
        <row r="15">
          <cell r="E15" t="str">
            <v>NOK</v>
          </cell>
        </row>
        <row r="16">
          <cell r="E16">
            <v>36692</v>
          </cell>
        </row>
        <row r="20">
          <cell r="E20" t="str">
            <v>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TP"/>
      <sheetName val="P&amp;L"/>
      <sheetName val="BS"/>
      <sheetName val="CF"/>
      <sheetName val="Cons. Revs"/>
      <sheetName val="Prop. Revs"/>
      <sheetName val="Cons. EBITDA"/>
      <sheetName val="Prop. EBITDA"/>
      <sheetName val="EBITDA Margins"/>
      <sheetName val="Capex"/>
      <sheetName val="USA"/>
      <sheetName val="UK"/>
      <sheetName val="Germany"/>
      <sheetName val="Italy"/>
      <sheetName val="J-Phone"/>
      <sheetName val="Spain"/>
      <sheetName val="Ireland"/>
      <sheetName val="Egypt"/>
      <sheetName val="Australia"/>
      <sheetName val="NZ"/>
      <sheetName val="NL"/>
      <sheetName val="Greece"/>
      <sheetName val="Portugal"/>
      <sheetName val="Sweden"/>
      <sheetName val="Switzerland"/>
      <sheetName val="Jap Fixed"/>
      <sheetName val="SFR"/>
      <sheetName val="Belgium"/>
      <sheetName val="Arcor"/>
      <sheetName val="Cegetel7"/>
      <sheetName val="Depreciaton schedule"/>
      <sheetName val="Cash Tax"/>
      <sheetName val="Bill"/>
      <sheetName val="Multip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TOW"/>
      <sheetName val="MELI"/>
      <sheetName val="BAI"/>
      <sheetName val="TC"/>
      <sheetName val="QH"/>
      <sheetName val="REN"/>
      <sheetName val="SINA"/>
      <sheetName val="WB"/>
      <sheetName val="CA"/>
      <sheetName val="DNA"/>
      <sheetName val="GR"/>
      <sheetName val="NEX"/>
      <sheetName val="RAK"/>
      <sheetName val="YJP"/>
      <sheetName val="BTOW1"/>
      <sheetName val="MELI1"/>
      <sheetName val="BAI1"/>
      <sheetName val="TC1"/>
      <sheetName val="QH1"/>
      <sheetName val="REN1"/>
      <sheetName val="SINA1"/>
      <sheetName val="WB1"/>
      <sheetName val="CA1"/>
      <sheetName val="DNA1"/>
      <sheetName val="GR1"/>
      <sheetName val="NEX1"/>
      <sheetName val="RAK1"/>
      <sheetName val="YJP1"/>
      <sheetName val="Global comps"/>
      <sheetName val="Consensus data"/>
      <sheetName val="Share prices"/>
    </sheetNames>
    <sheetDataSet>
      <sheetData sheetId="0">
        <row r="84">
          <cell r="C84">
            <v>1.52207</v>
          </cell>
        </row>
        <row r="86">
          <cell r="C86">
            <v>2.2357999999999998</v>
          </cell>
        </row>
        <row r="87">
          <cell r="C87">
            <v>99.71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1">
          <cell r="C41">
            <v>0.39643310566492568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link"/>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VEDMENY"/>
      <sheetName val="Omsres"/>
      <sheetName val="BUS SOL Årsverk og ansatte"/>
      <sheetName val="Årsverk og ansatte"/>
      <sheetName val="InvesteringerBUS SOL"/>
      <sheetName val="Investeringer"/>
      <sheetName val="Business Sol"/>
      <sheetName val="Annualiseringstabell"/>
      <sheetName val="Oms.avvik (2)"/>
      <sheetName val="Driftsinntekter"/>
      <sheetName val="Res.avvik (2)"/>
      <sheetName val="Res. før skatt"/>
      <sheetName val="SKILLEARK"/>
      <sheetName val="Årsverk"/>
      <sheetName val="Res. et. felleskost (2)"/>
      <sheetName val=" UTSTYR"/>
      <sheetName val="BD_KOMM."/>
      <sheetName val="BD_KOMM. (2)"/>
      <sheetName val="SI STORK"/>
      <sheetName val=" BASIS"/>
      <sheetName val="DATAN."/>
      <sheetName val="BK_TALE"/>
      <sheetName val=" DKL"/>
      <sheetName val="IDT"/>
      <sheetName val="DR.TJ"/>
      <sheetName val="SENT.ENH"/>
      <sheetName val="TELF.SELSK"/>
      <sheetName val="Elimineringer"/>
      <sheetName val="Res.avvik"/>
      <sheetName val="Oms.avvik"/>
    </sheetNames>
    <sheetDataSet>
      <sheetData sheetId="0"/>
      <sheetData sheetId="1"/>
      <sheetData sheetId="2"/>
      <sheetData sheetId="3"/>
      <sheetData sheetId="4"/>
      <sheetData sheetId="5"/>
      <sheetData sheetId="6">
        <row r="8">
          <cell r="F8" t="str">
            <v>Denne periode</v>
          </cell>
          <cell r="I8" t="str">
            <v>Hittil i år</v>
          </cell>
          <cell r="K8" t="str">
            <v xml:space="preserve">Årsbudsjett </v>
          </cell>
        </row>
        <row r="10">
          <cell r="A10" t="str">
            <v>Mill. kr.</v>
          </cell>
          <cell r="E10" t="str">
            <v>F04</v>
          </cell>
          <cell r="F10" t="str">
            <v>B04</v>
          </cell>
          <cell r="G10" t="str">
            <v>Avvik</v>
          </cell>
          <cell r="H10" t="str">
            <v>F04</v>
          </cell>
          <cell r="I10" t="str">
            <v>B04</v>
          </cell>
          <cell r="J10" t="str">
            <v>Avvik</v>
          </cell>
          <cell r="K10">
            <v>2000</v>
          </cell>
        </row>
        <row r="12">
          <cell r="A12" t="str">
            <v>Eksterne driftsinntekter</v>
          </cell>
          <cell r="E12">
            <v>91.320999999999998</v>
          </cell>
          <cell r="F12">
            <v>136.584</v>
          </cell>
          <cell r="G12">
            <v>-45.263000000000005</v>
          </cell>
          <cell r="H12">
            <v>372.24400000000003</v>
          </cell>
          <cell r="I12">
            <v>486.55200000000002</v>
          </cell>
          <cell r="J12">
            <v>-114.30799999999999</v>
          </cell>
          <cell r="K12">
            <v>1759.3979999999999</v>
          </cell>
        </row>
        <row r="13">
          <cell r="A13" t="str">
            <v>Driftsinntekter innen Telenor</v>
          </cell>
          <cell r="E13">
            <v>81.988</v>
          </cell>
          <cell r="F13">
            <v>119.511</v>
          </cell>
          <cell r="G13">
            <v>-37.522999999999996</v>
          </cell>
          <cell r="H13">
            <v>375.31900000000002</v>
          </cell>
          <cell r="I13">
            <v>459.3</v>
          </cell>
          <cell r="J13">
            <v>-83.980999999999995</v>
          </cell>
          <cell r="K13">
            <v>1552.173</v>
          </cell>
        </row>
        <row r="14">
          <cell r="A14" t="str">
            <v>Driftsinntekter innen Business Solution</v>
          </cell>
          <cell r="E14">
            <v>0</v>
          </cell>
          <cell r="F14">
            <v>0</v>
          </cell>
          <cell r="G14">
            <v>0</v>
          </cell>
          <cell r="H14">
            <v>0</v>
          </cell>
          <cell r="I14">
            <v>0</v>
          </cell>
          <cell r="J14">
            <v>0</v>
          </cell>
          <cell r="K14">
            <v>0</v>
          </cell>
        </row>
        <row r="15">
          <cell r="A15" t="str">
            <v>Gevinst ved salg av VDM og virksomhet eksternt</v>
          </cell>
          <cell r="E15">
            <v>0</v>
          </cell>
          <cell r="F15">
            <v>0</v>
          </cell>
          <cell r="G15">
            <v>0</v>
          </cell>
          <cell r="H15">
            <v>0</v>
          </cell>
          <cell r="I15">
            <v>0</v>
          </cell>
          <cell r="J15">
            <v>0</v>
          </cell>
          <cell r="K15">
            <v>0</v>
          </cell>
        </row>
        <row r="16">
          <cell r="A16" t="str">
            <v>SUM OMSETNING</v>
          </cell>
          <cell r="E16">
            <v>173.309</v>
          </cell>
          <cell r="F16">
            <v>256.09500000000003</v>
          </cell>
          <cell r="G16">
            <v>-82.786000000000001</v>
          </cell>
          <cell r="H16">
            <v>747.5630000000001</v>
          </cell>
          <cell r="I16">
            <v>945.85200000000009</v>
          </cell>
          <cell r="J16">
            <v>-198.28899999999999</v>
          </cell>
          <cell r="K16">
            <v>3311.5709999999999</v>
          </cell>
        </row>
        <row r="18">
          <cell r="A18" t="str">
            <v>Eksterne vare- og trafikkostnader</v>
          </cell>
          <cell r="E18">
            <v>82.016000000000005</v>
          </cell>
          <cell r="F18">
            <v>139.30600000000001</v>
          </cell>
          <cell r="G18">
            <v>57.290000000000006</v>
          </cell>
          <cell r="H18">
            <v>378.68400000000003</v>
          </cell>
          <cell r="I18">
            <v>517.95600000000002</v>
          </cell>
          <cell r="J18">
            <v>139.27199999999999</v>
          </cell>
          <cell r="K18">
            <v>1788.82</v>
          </cell>
        </row>
        <row r="19">
          <cell r="A19" t="str">
            <v>Vare- og trafikkostnad innen Telenor</v>
          </cell>
          <cell r="E19">
            <v>27.591999999999999</v>
          </cell>
          <cell r="F19">
            <v>30.11</v>
          </cell>
          <cell r="G19">
            <v>2.5180000000000007</v>
          </cell>
          <cell r="H19">
            <v>123.145</v>
          </cell>
          <cell r="I19">
            <v>115.96299999999999</v>
          </cell>
          <cell r="J19">
            <v>-7.1820000000000022</v>
          </cell>
          <cell r="K19">
            <v>393.41800000000001</v>
          </cell>
        </row>
        <row r="20">
          <cell r="A20" t="str">
            <v>Vare- og trafikkostnad innen Business Solution</v>
          </cell>
          <cell r="E20">
            <v>0</v>
          </cell>
          <cell r="F20">
            <v>0</v>
          </cell>
          <cell r="G20">
            <v>0</v>
          </cell>
          <cell r="H20">
            <v>0</v>
          </cell>
          <cell r="I20">
            <v>0</v>
          </cell>
          <cell r="J20">
            <v>0</v>
          </cell>
          <cell r="K20">
            <v>0</v>
          </cell>
        </row>
        <row r="21">
          <cell r="A21" t="str">
            <v>SUM VAREKOST</v>
          </cell>
          <cell r="E21">
            <v>109.608</v>
          </cell>
          <cell r="F21">
            <v>169.416</v>
          </cell>
          <cell r="G21">
            <v>59.808000000000007</v>
          </cell>
          <cell r="H21">
            <v>501.82900000000001</v>
          </cell>
          <cell r="I21">
            <v>633.91899999999998</v>
          </cell>
          <cell r="J21">
            <v>132.08999999999997</v>
          </cell>
          <cell r="K21">
            <v>2182.2379999999998</v>
          </cell>
        </row>
        <row r="23">
          <cell r="A23" t="str">
            <v>DEKNINGSBIDRAG</v>
          </cell>
          <cell r="E23">
            <v>63.700999999999993</v>
          </cell>
          <cell r="F23">
            <v>86.67900000000003</v>
          </cell>
          <cell r="G23">
            <v>-22.978000000000037</v>
          </cell>
          <cell r="H23">
            <v>245.73400000000009</v>
          </cell>
          <cell r="I23">
            <v>311.93300000000011</v>
          </cell>
          <cell r="J23">
            <v>-66.199000000000012</v>
          </cell>
          <cell r="K23">
            <v>1129.3330000000001</v>
          </cell>
        </row>
        <row r="25">
          <cell r="A25" t="str">
            <v>Beh.endring egentilvirkede amidl</v>
          </cell>
          <cell r="E25">
            <v>0</v>
          </cell>
          <cell r="F25">
            <v>0</v>
          </cell>
          <cell r="G25">
            <v>0</v>
          </cell>
          <cell r="H25">
            <v>0</v>
          </cell>
          <cell r="I25">
            <v>0</v>
          </cell>
          <cell r="J25">
            <v>0</v>
          </cell>
          <cell r="K25">
            <v>0</v>
          </cell>
        </row>
        <row r="26">
          <cell r="A26" t="str">
            <v>Lønns- og personalkostnader eksternt</v>
          </cell>
          <cell r="E26">
            <v>56.027000000000001</v>
          </cell>
          <cell r="F26">
            <v>61.064999999999998</v>
          </cell>
          <cell r="G26">
            <v>5.0379999999999967</v>
          </cell>
          <cell r="H26">
            <v>224.292</v>
          </cell>
          <cell r="I26">
            <v>248.75700000000001</v>
          </cell>
          <cell r="J26">
            <v>24.465000000000003</v>
          </cell>
          <cell r="K26">
            <v>726.31299999999999</v>
          </cell>
        </row>
        <row r="27">
          <cell r="A27" t="str">
            <v>Lønns- og personalkostnader innen Telenor</v>
          </cell>
          <cell r="E27">
            <v>-5.7000000000000002E-2</v>
          </cell>
          <cell r="F27">
            <v>0.94799999999999995</v>
          </cell>
          <cell r="G27">
            <v>1.0049999999999999</v>
          </cell>
          <cell r="H27">
            <v>3.2949999999999999</v>
          </cell>
          <cell r="I27">
            <v>3.746</v>
          </cell>
          <cell r="J27">
            <v>0.45100000000000007</v>
          </cell>
          <cell r="K27">
            <v>11.271000000000001</v>
          </cell>
        </row>
        <row r="28">
          <cell r="A28" t="str">
            <v>Lønns- og personalkostnader innen Business Solution</v>
          </cell>
          <cell r="E28">
            <v>0</v>
          </cell>
          <cell r="F28">
            <v>0</v>
          </cell>
          <cell r="G28">
            <v>0</v>
          </cell>
          <cell r="H28">
            <v>0</v>
          </cell>
          <cell r="I28">
            <v>0</v>
          </cell>
          <cell r="J28">
            <v>0</v>
          </cell>
          <cell r="K28">
            <v>0</v>
          </cell>
        </row>
        <row r="29">
          <cell r="A29" t="str">
            <v>Andre eksterne driftskostnader</v>
          </cell>
          <cell r="E29">
            <v>18.728999999999999</v>
          </cell>
          <cell r="F29">
            <v>23.719000000000001</v>
          </cell>
          <cell r="G29">
            <v>4.990000000000002</v>
          </cell>
          <cell r="H29">
            <v>91.078000000000003</v>
          </cell>
          <cell r="I29">
            <v>105.411</v>
          </cell>
          <cell r="J29">
            <v>14.332999999999998</v>
          </cell>
          <cell r="K29">
            <v>303.50400000000002</v>
          </cell>
        </row>
        <row r="30">
          <cell r="A30" t="str">
            <v>Andre driftskostnader innen Telenor</v>
          </cell>
          <cell r="E30">
            <v>12.3</v>
          </cell>
          <cell r="F30">
            <v>15.862</v>
          </cell>
          <cell r="G30">
            <v>3.5619999999999994</v>
          </cell>
          <cell r="H30">
            <v>56.222999999999999</v>
          </cell>
          <cell r="I30">
            <v>58.762</v>
          </cell>
          <cell r="J30">
            <v>2.5390000000000015</v>
          </cell>
          <cell r="K30">
            <v>180.798</v>
          </cell>
        </row>
        <row r="31">
          <cell r="A31" t="str">
            <v>Andre driftskostnader innen Business Solution</v>
          </cell>
          <cell r="E31">
            <v>0</v>
          </cell>
          <cell r="F31">
            <v>0</v>
          </cell>
          <cell r="G31">
            <v>0</v>
          </cell>
          <cell r="H31">
            <v>0</v>
          </cell>
          <cell r="I31">
            <v>0</v>
          </cell>
          <cell r="J31">
            <v>0</v>
          </cell>
          <cell r="K31">
            <v>0</v>
          </cell>
        </row>
        <row r="32">
          <cell r="A32" t="str">
            <v>Avskrivninger</v>
          </cell>
          <cell r="E32">
            <v>5.12</v>
          </cell>
          <cell r="F32">
            <v>6.6550000000000002</v>
          </cell>
          <cell r="G32">
            <v>1.5350000000000001</v>
          </cell>
          <cell r="H32">
            <v>20.376999999999999</v>
          </cell>
          <cell r="I32">
            <v>25.831</v>
          </cell>
          <cell r="J32">
            <v>5.4540000000000006</v>
          </cell>
          <cell r="K32">
            <v>84.128</v>
          </cell>
        </row>
        <row r="33">
          <cell r="A33" t="str">
            <v>Nedskrivninger</v>
          </cell>
        </row>
        <row r="34">
          <cell r="A34" t="str">
            <v>Tap ved salg av VDM og virksomhet eksternt</v>
          </cell>
        </row>
        <row r="35">
          <cell r="A35" t="str">
            <v>Sum Andre driftskostnader</v>
          </cell>
          <cell r="E35">
            <v>92.119</v>
          </cell>
          <cell r="F35">
            <v>108.249</v>
          </cell>
          <cell r="G35">
            <v>16.129999999999995</v>
          </cell>
          <cell r="H35">
            <v>395.26499999999999</v>
          </cell>
          <cell r="I35">
            <v>442.50700000000001</v>
          </cell>
          <cell r="J35">
            <v>47.242000000000004</v>
          </cell>
          <cell r="K35">
            <v>1306.0139999999999</v>
          </cell>
        </row>
        <row r="37">
          <cell r="A37" t="str">
            <v>DRIFTSRESULTAT</v>
          </cell>
          <cell r="E37">
            <v>-28.418000000000006</v>
          </cell>
          <cell r="F37">
            <v>-21.569999999999965</v>
          </cell>
          <cell r="G37">
            <v>-6.8480000000000416</v>
          </cell>
          <cell r="H37">
            <v>-149.53099999999989</v>
          </cell>
          <cell r="I37">
            <v>-130.5739999999999</v>
          </cell>
          <cell r="J37">
            <v>-18.956999999999994</v>
          </cell>
          <cell r="K37">
            <v>-176.68099999999981</v>
          </cell>
        </row>
        <row r="39">
          <cell r="A39" t="str">
            <v>Andel resultat tilknyttede selskaper</v>
          </cell>
          <cell r="E39">
            <v>-0.99299999999999999</v>
          </cell>
          <cell r="F39">
            <v>-0.16900000000000001</v>
          </cell>
          <cell r="G39">
            <v>-0.82399999999999995</v>
          </cell>
          <cell r="H39">
            <v>-3.2850000000000001</v>
          </cell>
          <cell r="I39">
            <v>-0.222</v>
          </cell>
          <cell r="J39">
            <v>-3.0630000000000002</v>
          </cell>
          <cell r="K39">
            <v>-4.4160000000000004</v>
          </cell>
        </row>
        <row r="41">
          <cell r="A41" t="str">
            <v>Eksterne finansinntekter</v>
          </cell>
          <cell r="E41">
            <v>0.85799999999999998</v>
          </cell>
          <cell r="F41">
            <v>0.03</v>
          </cell>
          <cell r="G41">
            <v>0.82799999999999996</v>
          </cell>
          <cell r="H41">
            <v>1.841</v>
          </cell>
          <cell r="I41">
            <v>0.12</v>
          </cell>
          <cell r="J41">
            <v>1.7210000000000001</v>
          </cell>
          <cell r="K41">
            <v>0.36</v>
          </cell>
        </row>
        <row r="42">
          <cell r="A42" t="str">
            <v>Finansinntekter innen Telenor</v>
          </cell>
          <cell r="E42">
            <v>1.8140000000000001</v>
          </cell>
          <cell r="F42">
            <v>0.66200000000000003</v>
          </cell>
          <cell r="G42">
            <v>1.1520000000000001</v>
          </cell>
          <cell r="H42">
            <v>6.95</v>
          </cell>
          <cell r="I42">
            <v>2.6459999999999999</v>
          </cell>
          <cell r="J42">
            <v>4.3040000000000003</v>
          </cell>
          <cell r="K42">
            <v>7.9379999999999988</v>
          </cell>
        </row>
        <row r="43">
          <cell r="A43" t="str">
            <v>Gevinst ved salg av finansielle omløpsmidler og anleggsmidler eksternt</v>
          </cell>
          <cell r="E43">
            <v>0</v>
          </cell>
          <cell r="F43">
            <v>0</v>
          </cell>
          <cell r="G43">
            <v>0</v>
          </cell>
          <cell r="H43">
            <v>0</v>
          </cell>
          <cell r="I43">
            <v>0</v>
          </cell>
          <cell r="J43">
            <v>0</v>
          </cell>
          <cell r="K43">
            <v>0</v>
          </cell>
        </row>
        <row r="44">
          <cell r="A44" t="str">
            <v>Eksterne finanskostnader</v>
          </cell>
          <cell r="E44">
            <v>-1.8009999999999999</v>
          </cell>
          <cell r="F44">
            <v>-2.9000000000000001E-2</v>
          </cell>
          <cell r="G44">
            <v>-1.772</v>
          </cell>
          <cell r="H44">
            <v>-5.2569999999999997</v>
          </cell>
          <cell r="I44">
            <v>-0.11799999999999999</v>
          </cell>
          <cell r="J44">
            <v>-5.1389999999999993</v>
          </cell>
          <cell r="K44">
            <v>-0.35499999999999998</v>
          </cell>
        </row>
        <row r="45">
          <cell r="A45" t="str">
            <v>Finanskostnader innen Telenor</v>
          </cell>
          <cell r="E45">
            <v>-0.67900000000000005</v>
          </cell>
          <cell r="F45">
            <v>0</v>
          </cell>
          <cell r="G45">
            <v>-0.67900000000000005</v>
          </cell>
          <cell r="H45">
            <v>-1.7390000000000001</v>
          </cell>
          <cell r="I45">
            <v>0</v>
          </cell>
          <cell r="J45">
            <v>-1.7390000000000001</v>
          </cell>
          <cell r="K45">
            <v>0</v>
          </cell>
        </row>
        <row r="46">
          <cell r="A46" t="str">
            <v>Tap ved salg av finansielle omløpsmidler og anleggsmidler eksternt</v>
          </cell>
          <cell r="E46">
            <v>0</v>
          </cell>
          <cell r="F46">
            <v>0</v>
          </cell>
          <cell r="H46">
            <v>0</v>
          </cell>
          <cell r="I46">
            <v>0</v>
          </cell>
          <cell r="J46">
            <v>0</v>
          </cell>
          <cell r="K46">
            <v>0</v>
          </cell>
        </row>
        <row r="47">
          <cell r="A47" t="str">
            <v>Netto finansposter</v>
          </cell>
          <cell r="E47">
            <v>0.19200000000000017</v>
          </cell>
          <cell r="F47">
            <v>0.66300000000000003</v>
          </cell>
          <cell r="G47">
            <v>-0.47099999999999986</v>
          </cell>
          <cell r="H47">
            <v>1.7950000000000006</v>
          </cell>
          <cell r="I47">
            <v>2.6480000000000001</v>
          </cell>
          <cell r="J47">
            <v>-0.85299999999999954</v>
          </cell>
          <cell r="K47">
            <v>7.9429999999999978</v>
          </cell>
        </row>
        <row r="49">
          <cell r="A49" t="str">
            <v>RESULTAT FØR FORDELTE FELLESKOSTNADER</v>
          </cell>
          <cell r="E49">
            <v>-29.219000000000005</v>
          </cell>
          <cell r="F49">
            <v>-21.075999999999965</v>
          </cell>
          <cell r="G49">
            <v>-8.1430000000000415</v>
          </cell>
          <cell r="H49">
            <v>-151.0209999999999</v>
          </cell>
          <cell r="I49">
            <v>-128.14799999999991</v>
          </cell>
          <cell r="J49">
            <v>-22.87299999999999</v>
          </cell>
        </row>
        <row r="51">
          <cell r="A51" t="str">
            <v>Fordelte felleskostnader</v>
          </cell>
          <cell r="E51">
            <v>0</v>
          </cell>
          <cell r="F51">
            <v>0</v>
          </cell>
          <cell r="G51">
            <v>0</v>
          </cell>
          <cell r="H51">
            <v>0</v>
          </cell>
          <cell r="I51">
            <v>0</v>
          </cell>
          <cell r="J51">
            <v>0</v>
          </cell>
        </row>
        <row r="53">
          <cell r="A53" t="str">
            <v>RESULTAT FØR SKATT</v>
          </cell>
          <cell r="E53">
            <v>-29.219000000000005</v>
          </cell>
          <cell r="F53">
            <v>-21.075999999999965</v>
          </cell>
          <cell r="G53">
            <v>-8.1430000000000415</v>
          </cell>
          <cell r="H53">
            <v>-151.0209999999999</v>
          </cell>
          <cell r="I53">
            <v>-128.14799999999991</v>
          </cell>
          <cell r="J53">
            <v>-22.87299999999999</v>
          </cell>
          <cell r="K53">
            <v>-173.15399999999983</v>
          </cell>
        </row>
        <row r="55">
          <cell r="A55" t="str">
            <v>Skatt</v>
          </cell>
        </row>
        <row r="57">
          <cell r="A57" t="str">
            <v>Minoritetsinteresser</v>
          </cell>
        </row>
        <row r="59">
          <cell r="A59" t="str">
            <v>Resultat etter skatt (årsresultat)</v>
          </cell>
        </row>
        <row r="61">
          <cell r="A61" t="str">
            <v>NØKKELTALL:</v>
          </cell>
        </row>
        <row r="62">
          <cell r="A62" t="str">
            <v>Dekningsgrad</v>
          </cell>
          <cell r="E62">
            <v>0.36755736863059618</v>
          </cell>
          <cell r="F62">
            <v>0.33846424178527507</v>
          </cell>
          <cell r="G62">
            <v>0.27755900756166546</v>
          </cell>
          <cell r="H62">
            <v>0.32871343284780019</v>
          </cell>
          <cell r="I62">
            <v>0.32979049576466518</v>
          </cell>
          <cell r="J62">
            <v>0.33385109612736974</v>
          </cell>
          <cell r="K62">
            <v>0.34102635878862331</v>
          </cell>
        </row>
        <row r="63">
          <cell r="A63" t="str">
            <v>Driftsmargin</v>
          </cell>
          <cell r="E63">
            <v>-0.1639730192892464</v>
          </cell>
          <cell r="F63">
            <v>-8.4226556551279655E-2</v>
          </cell>
          <cell r="G63">
            <v>8.271930036479648E-2</v>
          </cell>
          <cell r="H63">
            <v>-0.20002461331018237</v>
          </cell>
          <cell r="I63">
            <v>-0.13804908167451133</v>
          </cell>
          <cell r="J63">
            <v>9.5602882661166247E-2</v>
          </cell>
          <cell r="K63">
            <v>-5.3352623271552935E-2</v>
          </cell>
        </row>
        <row r="64">
          <cell r="A64" t="str">
            <v>Resultatmargin</v>
          </cell>
          <cell r="E64">
            <v>-0.16859482196539133</v>
          </cell>
          <cell r="F64">
            <v>-8.2297584880610564E-2</v>
          </cell>
          <cell r="G64">
            <v>9.8362041891141519E-2</v>
          </cell>
          <cell r="H64">
            <v>-0.2020177563630087</v>
          </cell>
          <cell r="I64">
            <v>-0.13548419837352979</v>
          </cell>
          <cell r="J64">
            <v>0.11535183494797993</v>
          </cell>
          <cell r="K64">
            <v>-5.2287569857327486E-2</v>
          </cell>
        </row>
        <row r="65">
          <cell r="A65" t="str">
            <v>Resultatmargin etter fordelte kostnader</v>
          </cell>
          <cell r="E65">
            <v>-0.16859482196539133</v>
          </cell>
          <cell r="F65">
            <v>-8.2297584880610564E-2</v>
          </cell>
          <cell r="G65">
            <v>9.8362041891141519E-2</v>
          </cell>
          <cell r="H65">
            <v>-0.2020177563630087</v>
          </cell>
          <cell r="I65">
            <v>-0.13548419837352979</v>
          </cell>
          <cell r="J65">
            <v>0.11535183494797993</v>
          </cell>
          <cell r="K65">
            <v>-5.2287569857327486E-2</v>
          </cell>
        </row>
        <row r="66">
          <cell r="A66" t="str">
            <v>Driftskostnad i % av omsetning 1)</v>
          </cell>
          <cell r="E66">
            <v>0.43134516961034913</v>
          </cell>
          <cell r="F66">
            <v>0.33106464397977309</v>
          </cell>
          <cell r="G66">
            <v>-0.12113159229821466</v>
          </cell>
          <cell r="H66">
            <v>0.42186411044955402</v>
          </cell>
          <cell r="I66">
            <v>0.37444335900331127</v>
          </cell>
          <cell r="J66">
            <v>-0.19566390470474915</v>
          </cell>
          <cell r="K66">
            <v>0.31097536486459149</v>
          </cell>
        </row>
        <row r="67">
          <cell r="A67" t="str">
            <v>Pers.kost pr. årsverk 2) 3)</v>
          </cell>
          <cell r="E67">
            <v>0.2795617817916457</v>
          </cell>
          <cell r="F67">
            <v>0.27260063898778492</v>
          </cell>
          <cell r="G67">
            <v>-6.961142803860787E-3</v>
          </cell>
          <cell r="H67">
            <v>0.27430440039273279</v>
          </cell>
          <cell r="I67">
            <v>0.28494292301723145</v>
          </cell>
          <cell r="J67">
            <v>1.0638522624498659E-2</v>
          </cell>
          <cell r="K67">
            <v>797.12128362435112</v>
          </cell>
        </row>
        <row r="68">
          <cell r="A68" t="str">
            <v>Andre dr.kost. pr. årsverk 2) 3)</v>
          </cell>
          <cell r="E68">
            <v>0</v>
          </cell>
          <cell r="F68" t="e">
            <v>#DIV/0!</v>
          </cell>
          <cell r="G68" t="e">
            <v>#DIV/0!</v>
          </cell>
          <cell r="J68">
            <v>0</v>
          </cell>
          <cell r="K68">
            <v>333.09261718449909</v>
          </cell>
        </row>
        <row r="70">
          <cell r="A70" t="str">
            <v>Årsverk - egne</v>
          </cell>
          <cell r="H70">
            <v>1057</v>
          </cell>
          <cell r="I70">
            <v>1195</v>
          </cell>
          <cell r="J70">
            <v>138</v>
          </cell>
          <cell r="K70">
            <v>1224</v>
          </cell>
        </row>
        <row r="71">
          <cell r="A71" t="str">
            <v>Årsverk - innleide</v>
          </cell>
          <cell r="H71">
            <v>59</v>
          </cell>
          <cell r="I71">
            <v>31</v>
          </cell>
          <cell r="J71">
            <v>-28</v>
          </cell>
          <cell r="K71">
            <v>21</v>
          </cell>
        </row>
        <row r="73">
          <cell r="A73" t="str">
            <v>Investeringer</v>
          </cell>
          <cell r="H73">
            <v>13</v>
          </cell>
          <cell r="I73">
            <v>93</v>
          </cell>
          <cell r="J73">
            <v>80</v>
          </cell>
          <cell r="K73">
            <v>263</v>
          </cell>
        </row>
        <row r="75">
          <cell r="A75" t="str">
            <v>1) Driftskostnad = Pers.kost. + andre driftskostnader</v>
          </cell>
        </row>
        <row r="76">
          <cell r="A76" t="str">
            <v>2) Annualisert</v>
          </cell>
        </row>
        <row r="77">
          <cell r="A77" t="str">
            <v>3) Tusen kr.</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hyperlink" Target="http://www.guardian.co.uk/world/2012/jun/26/spotlight-televisa-mexico-tv-station" TargetMode="External"/><Relationship Id="rId7" Type="http://schemas.openxmlformats.org/officeDocument/2006/relationships/comments" Target="../comments11.xml"/><Relationship Id="rId2" Type="http://schemas.openxmlformats.org/officeDocument/2006/relationships/hyperlink" Target="http://home.millsaps.edu/paxmaa/eltigre/id5.htm" TargetMode="External"/><Relationship Id="rId1" Type="http://schemas.openxmlformats.org/officeDocument/2006/relationships/hyperlink" Target="http://en.wikipedia.org/wiki/Emilio_Azc%C3%A1rraga_Jean" TargetMode="External"/><Relationship Id="rId6" Type="http://schemas.openxmlformats.org/officeDocument/2006/relationships/vmlDrawing" Target="../drawings/vmlDrawing11.vml"/><Relationship Id="rId5" Type="http://schemas.openxmlformats.org/officeDocument/2006/relationships/drawing" Target="../drawings/drawing10.xml"/><Relationship Id="rId4"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B340E-2DEB-48E6-A1FD-C4B38922A24C}">
  <dimension ref="A8:AU39"/>
  <sheetViews>
    <sheetView showGridLines="0" tabSelected="1" zoomScale="82" zoomScaleNormal="145" workbookViewId="0">
      <selection activeCell="B11" sqref="B11"/>
    </sheetView>
  </sheetViews>
  <sheetFormatPr defaultColWidth="8.85546875" defaultRowHeight="12"/>
  <cols>
    <col min="1" max="1" width="15.5703125" style="626" customWidth="1"/>
    <col min="2" max="2" width="13" style="626" customWidth="1"/>
    <col min="3" max="9" width="8.85546875" style="626"/>
    <col min="10" max="10" width="9.85546875" style="626" bestFit="1" customWidth="1"/>
    <col min="11" max="12" width="8.85546875" style="626"/>
    <col min="13" max="13" width="10.7109375" style="626" bestFit="1" customWidth="1"/>
    <col min="14" max="20" width="8.85546875" style="626"/>
    <col min="21" max="21" width="7.5703125" style="626" bestFit="1" customWidth="1"/>
    <col min="22" max="16384" width="8.85546875" style="626"/>
  </cols>
  <sheetData>
    <row r="8" spans="1:20" ht="13.5" thickBot="1">
      <c r="A8" s="624"/>
      <c r="B8" s="625"/>
      <c r="C8" s="625"/>
      <c r="D8" s="625"/>
      <c r="E8" s="625"/>
      <c r="F8" s="625"/>
      <c r="G8" s="625"/>
      <c r="H8" s="625"/>
      <c r="I8" s="625"/>
      <c r="J8" s="625"/>
      <c r="K8" s="625"/>
      <c r="L8" s="625"/>
      <c r="M8" s="625"/>
      <c r="N8" s="625"/>
      <c r="O8" s="625"/>
      <c r="P8" s="625"/>
      <c r="Q8" s="625"/>
      <c r="R8" s="625"/>
      <c r="S8" s="625"/>
      <c r="T8" s="625"/>
    </row>
    <row r="9" spans="1:20">
      <c r="A9" s="627"/>
      <c r="B9" s="627"/>
      <c r="C9" s="627"/>
      <c r="D9" s="627"/>
      <c r="E9" s="627"/>
      <c r="F9" s="627"/>
      <c r="G9" s="627"/>
      <c r="H9" s="627"/>
      <c r="I9" s="627"/>
      <c r="J9" s="627"/>
      <c r="K9" s="627"/>
      <c r="L9" s="627"/>
      <c r="M9" s="627"/>
      <c r="N9" s="627"/>
      <c r="O9" s="627"/>
      <c r="P9" s="627"/>
      <c r="Q9" s="627"/>
      <c r="R9" s="627"/>
      <c r="S9" s="627"/>
      <c r="T9" s="627"/>
    </row>
    <row r="10" spans="1:20">
      <c r="A10" s="627"/>
      <c r="B10" s="627"/>
      <c r="C10" s="627"/>
      <c r="D10" s="627"/>
      <c r="E10" s="627"/>
      <c r="F10" s="627"/>
      <c r="G10" s="627"/>
      <c r="H10" s="627"/>
      <c r="I10" s="627"/>
      <c r="J10" s="627"/>
      <c r="K10" s="627"/>
      <c r="L10" s="627"/>
      <c r="M10" s="627"/>
      <c r="N10" s="627"/>
      <c r="O10" s="627"/>
      <c r="P10" s="627"/>
      <c r="Q10" s="627"/>
      <c r="R10" s="627"/>
      <c r="S10" s="627"/>
      <c r="T10" s="627"/>
    </row>
    <row r="11" spans="1:20">
      <c r="A11" s="627"/>
      <c r="B11" s="627"/>
      <c r="C11" s="627"/>
      <c r="D11" s="627"/>
      <c r="E11" s="627"/>
      <c r="F11" s="627"/>
      <c r="G11" s="627"/>
      <c r="H11" s="627"/>
      <c r="I11" s="627"/>
      <c r="J11" s="627"/>
      <c r="K11" s="627"/>
      <c r="L11" s="627"/>
      <c r="M11" s="627"/>
      <c r="N11" s="627"/>
      <c r="O11" s="627"/>
      <c r="P11" s="627"/>
      <c r="Q11" s="627"/>
      <c r="R11" s="627"/>
      <c r="S11" s="627"/>
      <c r="T11" s="627"/>
    </row>
    <row r="12" spans="1:20">
      <c r="A12" s="627"/>
      <c r="B12" s="627"/>
      <c r="C12" s="627"/>
      <c r="D12" s="627"/>
      <c r="E12" s="627"/>
      <c r="F12" s="627"/>
      <c r="G12" s="627"/>
      <c r="H12" s="627"/>
      <c r="I12" s="627"/>
      <c r="J12" s="627"/>
      <c r="K12" s="627"/>
      <c r="L12" s="627"/>
      <c r="M12" s="627"/>
      <c r="N12" s="627"/>
      <c r="O12" s="627"/>
      <c r="P12" s="627"/>
      <c r="Q12" s="627"/>
      <c r="R12" s="627"/>
      <c r="S12" s="627"/>
      <c r="T12" s="627"/>
    </row>
    <row r="13" spans="1:20" ht="23.25">
      <c r="A13" s="627"/>
      <c r="B13" s="628" t="s">
        <v>6358</v>
      </c>
      <c r="C13" s="627"/>
      <c r="D13" s="627"/>
      <c r="E13" s="627"/>
      <c r="F13" s="627"/>
      <c r="G13" s="627"/>
      <c r="H13" s="627"/>
      <c r="I13" s="627"/>
      <c r="J13" s="627"/>
      <c r="K13" s="627"/>
      <c r="L13" s="627"/>
      <c r="M13" s="627"/>
      <c r="N13" s="627"/>
      <c r="O13" s="627"/>
      <c r="P13" s="627"/>
      <c r="Q13" s="627"/>
      <c r="R13" s="627"/>
      <c r="S13" s="627"/>
      <c r="T13" s="627"/>
    </row>
    <row r="14" spans="1:20">
      <c r="A14" s="627"/>
      <c r="B14" s="627"/>
      <c r="C14" s="627"/>
      <c r="D14" s="627"/>
      <c r="E14" s="627"/>
      <c r="F14" s="627"/>
      <c r="G14" s="627"/>
      <c r="H14" s="627"/>
      <c r="I14" s="627"/>
      <c r="J14" s="627"/>
      <c r="K14" s="627"/>
      <c r="L14" s="627"/>
      <c r="M14" s="627"/>
      <c r="N14" s="627"/>
      <c r="O14" s="627"/>
      <c r="P14" s="627"/>
      <c r="Q14" s="627"/>
      <c r="R14" s="627"/>
      <c r="S14" s="627"/>
      <c r="T14" s="627"/>
    </row>
    <row r="15" spans="1:20">
      <c r="A15" s="627"/>
      <c r="B15" s="627"/>
      <c r="C15" s="627"/>
      <c r="D15" s="627"/>
      <c r="E15" s="627"/>
      <c r="F15" s="627"/>
      <c r="G15" s="627"/>
      <c r="H15" s="627"/>
      <c r="I15" s="627"/>
      <c r="J15" s="627"/>
      <c r="K15" s="627"/>
      <c r="L15" s="627"/>
      <c r="M15" s="627"/>
      <c r="N15" s="627"/>
      <c r="O15" s="627"/>
      <c r="P15" s="627"/>
      <c r="Q15" s="627"/>
      <c r="R15" s="627"/>
      <c r="S15" s="627"/>
      <c r="T15" s="627"/>
    </row>
    <row r="16" spans="1:20">
      <c r="A16" s="627"/>
      <c r="B16" s="629">
        <f ca="1">+TODAY()</f>
        <v>45412</v>
      </c>
      <c r="C16" s="627"/>
      <c r="D16" s="627"/>
      <c r="E16" s="627"/>
      <c r="F16" s="627"/>
      <c r="G16" s="627"/>
      <c r="H16" s="627"/>
      <c r="I16" s="627"/>
      <c r="J16" s="627"/>
      <c r="K16" s="627"/>
      <c r="L16" s="627"/>
      <c r="M16" s="627"/>
      <c r="N16" s="627"/>
      <c r="O16" s="627"/>
      <c r="P16" s="627"/>
      <c r="Q16" s="627"/>
      <c r="R16" s="627"/>
      <c r="S16" s="627"/>
      <c r="T16" s="627"/>
    </row>
    <row r="17" spans="1:47" ht="12.75">
      <c r="A17" s="627"/>
      <c r="B17" s="630"/>
      <c r="C17" s="627"/>
      <c r="D17" s="627"/>
      <c r="E17" s="627"/>
      <c r="F17" s="627"/>
      <c r="G17" s="627"/>
      <c r="H17" s="627"/>
      <c r="I17" s="627"/>
      <c r="J17" s="627"/>
      <c r="K17" s="627"/>
      <c r="L17" s="627"/>
      <c r="M17" s="627"/>
      <c r="N17" s="627"/>
      <c r="O17" s="627"/>
      <c r="P17" s="627"/>
      <c r="Q17" s="627"/>
      <c r="R17" s="627"/>
      <c r="S17" s="627"/>
      <c r="T17" s="627"/>
    </row>
    <row r="18" spans="1:47" ht="12.75">
      <c r="A18" s="627"/>
      <c r="B18" s="630"/>
      <c r="C18" s="627"/>
      <c r="D18" s="627"/>
      <c r="E18" s="627"/>
      <c r="F18" s="627"/>
      <c r="G18" s="627"/>
      <c r="H18" s="627"/>
      <c r="I18" s="627"/>
      <c r="J18" s="627"/>
      <c r="K18" s="627"/>
      <c r="L18" s="627"/>
      <c r="M18" s="627"/>
      <c r="N18" s="627"/>
      <c r="O18" s="627"/>
      <c r="P18" s="627"/>
      <c r="Q18" s="627"/>
      <c r="R18" s="627"/>
      <c r="S18" s="627"/>
      <c r="T18" s="627"/>
      <c r="U18" s="631"/>
      <c r="V18" s="631"/>
      <c r="W18" s="631"/>
      <c r="X18" s="631"/>
      <c r="Y18" s="631"/>
      <c r="Z18" s="631"/>
      <c r="AA18" s="631"/>
      <c r="AB18" s="631"/>
      <c r="AC18" s="631"/>
      <c r="AD18" s="631"/>
      <c r="AE18" s="631"/>
      <c r="AF18" s="631"/>
      <c r="AG18" s="631"/>
      <c r="AH18" s="631"/>
      <c r="AI18" s="631"/>
      <c r="AJ18" s="631"/>
      <c r="AK18" s="631"/>
      <c r="AL18" s="631"/>
      <c r="AM18" s="631"/>
      <c r="AN18" s="631"/>
      <c r="AO18" s="631"/>
      <c r="AP18" s="631"/>
      <c r="AQ18" s="631"/>
      <c r="AR18" s="631"/>
      <c r="AS18" s="631"/>
      <c r="AT18" s="631"/>
      <c r="AU18" s="631"/>
    </row>
    <row r="19" spans="1:47" ht="12.75">
      <c r="A19" s="627"/>
      <c r="B19" s="632" t="s">
        <v>6241</v>
      </c>
      <c r="C19" s="627"/>
      <c r="D19" s="627"/>
      <c r="E19" s="627"/>
      <c r="F19" s="627"/>
      <c r="G19" s="627"/>
      <c r="H19" s="633"/>
      <c r="I19" s="627"/>
      <c r="J19" s="627"/>
      <c r="K19" s="627"/>
      <c r="L19" s="627"/>
      <c r="M19" s="627"/>
      <c r="N19" s="627"/>
      <c r="O19" s="627"/>
      <c r="P19" s="627"/>
      <c r="Q19" s="627"/>
      <c r="R19" s="627"/>
      <c r="S19" s="627"/>
      <c r="T19" s="627"/>
      <c r="U19" s="631"/>
      <c r="V19" s="631"/>
    </row>
    <row r="20" spans="1:47" ht="12.75">
      <c r="A20" s="627"/>
      <c r="B20" s="634" t="s">
        <v>6354</v>
      </c>
      <c r="C20" s="627"/>
      <c r="D20" s="627"/>
      <c r="E20" s="627"/>
      <c r="F20" s="627"/>
      <c r="G20" s="627"/>
      <c r="H20" s="627"/>
      <c r="I20" s="627"/>
      <c r="J20" s="627"/>
      <c r="K20" s="627"/>
      <c r="L20" s="627"/>
      <c r="M20" s="627"/>
      <c r="N20" s="627"/>
      <c r="O20" s="627"/>
      <c r="P20" s="627"/>
      <c r="Q20" s="627"/>
      <c r="R20" s="631"/>
      <c r="S20" s="631"/>
      <c r="T20" s="631"/>
      <c r="U20" s="631"/>
      <c r="V20" s="631"/>
    </row>
    <row r="21" spans="1:47" ht="12.75">
      <c r="A21" s="627"/>
      <c r="B21" s="635" t="s">
        <v>6355</v>
      </c>
      <c r="C21" s="636"/>
      <c r="D21" s="636"/>
      <c r="E21" s="627"/>
      <c r="F21" s="627"/>
      <c r="G21" s="627"/>
      <c r="H21" s="627"/>
      <c r="I21" s="627"/>
      <c r="J21" s="627"/>
      <c r="K21" s="627"/>
      <c r="L21" s="627"/>
      <c r="M21" s="627"/>
      <c r="N21" s="627"/>
      <c r="O21" s="627"/>
      <c r="P21" s="627"/>
      <c r="Q21" s="627"/>
      <c r="R21" s="627"/>
      <c r="S21" s="627"/>
      <c r="T21" s="627"/>
    </row>
    <row r="22" spans="1:47" ht="12.75">
      <c r="A22" s="627"/>
      <c r="B22" s="630" t="s">
        <v>6356</v>
      </c>
      <c r="C22" s="636"/>
      <c r="D22" s="636"/>
      <c r="E22" s="627"/>
      <c r="F22" s="627"/>
      <c r="G22" s="627"/>
      <c r="H22" s="627"/>
      <c r="I22" s="627"/>
      <c r="J22" s="627"/>
      <c r="K22" s="627"/>
      <c r="L22" s="627"/>
      <c r="M22" s="627"/>
      <c r="N22" s="627"/>
      <c r="O22" s="627"/>
      <c r="P22" s="627"/>
      <c r="Q22" s="627"/>
      <c r="R22" s="627"/>
      <c r="S22" s="627"/>
      <c r="T22" s="627"/>
    </row>
    <row r="23" spans="1:47" ht="12.75">
      <c r="A23" s="627"/>
      <c r="B23" s="630"/>
      <c r="C23" s="636"/>
      <c r="D23" s="636"/>
      <c r="E23" s="627"/>
      <c r="F23" s="627"/>
      <c r="G23" s="627"/>
      <c r="H23" s="627"/>
      <c r="I23" s="627"/>
      <c r="J23" s="627"/>
      <c r="K23" s="627"/>
      <c r="L23" s="627"/>
      <c r="M23" s="627"/>
      <c r="N23" s="627"/>
      <c r="O23" s="627"/>
      <c r="P23" s="627"/>
      <c r="Q23" s="627"/>
      <c r="R23" s="627"/>
      <c r="S23" s="627"/>
      <c r="T23" s="627"/>
    </row>
    <row r="24" spans="1:47">
      <c r="A24" s="627"/>
      <c r="B24" s="637"/>
      <c r="C24" s="636"/>
      <c r="D24" s="636"/>
      <c r="E24" s="627"/>
      <c r="F24" s="627"/>
      <c r="G24" s="627"/>
      <c r="H24" s="627"/>
      <c r="I24" s="627"/>
      <c r="J24" s="638"/>
      <c r="K24" s="627"/>
      <c r="L24" s="627"/>
      <c r="M24" s="627"/>
      <c r="N24" s="627"/>
      <c r="O24" s="627"/>
      <c r="P24" s="627"/>
      <c r="Q24" s="627"/>
      <c r="R24" s="627"/>
      <c r="S24" s="627"/>
      <c r="T24" s="627"/>
    </row>
    <row r="25" spans="1:47">
      <c r="A25" s="627"/>
      <c r="B25" s="636" t="s">
        <v>6357</v>
      </c>
      <c r="C25" s="639" t="s">
        <v>74</v>
      </c>
      <c r="D25" s="627"/>
      <c r="E25" s="627"/>
      <c r="F25" s="627"/>
      <c r="G25" s="627"/>
      <c r="H25" s="627"/>
      <c r="I25" s="627"/>
      <c r="J25" s="627"/>
      <c r="K25" s="627"/>
      <c r="L25" s="627"/>
      <c r="M25" s="638"/>
      <c r="N25" s="627"/>
      <c r="O25" s="627"/>
      <c r="P25" s="627"/>
      <c r="Q25" s="627"/>
      <c r="R25" s="627"/>
      <c r="S25" s="627"/>
      <c r="T25" s="627"/>
    </row>
    <row r="26" spans="1:47">
      <c r="A26" s="627"/>
      <c r="B26" s="636" t="s">
        <v>6205</v>
      </c>
      <c r="C26" s="639" t="s">
        <v>7362</v>
      </c>
      <c r="D26" s="627"/>
      <c r="E26" s="627"/>
      <c r="F26" s="627"/>
      <c r="G26" s="627"/>
      <c r="H26" s="627"/>
      <c r="I26" s="627"/>
      <c r="J26" s="627"/>
      <c r="K26" s="627"/>
      <c r="L26" s="627"/>
      <c r="M26" s="638"/>
      <c r="N26" s="627"/>
      <c r="O26" s="627"/>
      <c r="P26" s="627"/>
      <c r="Q26" s="627"/>
      <c r="R26" s="627"/>
      <c r="S26" s="627"/>
      <c r="T26" s="627"/>
    </row>
    <row r="27" spans="1:47">
      <c r="A27" s="627"/>
      <c r="B27" s="636" t="s">
        <v>6204</v>
      </c>
      <c r="C27" s="641">
        <v>3.5</v>
      </c>
      <c r="D27" s="633"/>
      <c r="E27" s="633"/>
      <c r="F27" s="627"/>
      <c r="G27" s="627"/>
      <c r="H27" s="627"/>
      <c r="I27" s="627"/>
      <c r="J27" s="627"/>
      <c r="K27" s="627"/>
      <c r="L27" s="627"/>
      <c r="M27" s="627"/>
      <c r="N27" s="627"/>
      <c r="O27" s="627"/>
      <c r="P27" s="627"/>
      <c r="Q27" s="627"/>
      <c r="R27" s="627"/>
      <c r="S27" s="627"/>
      <c r="T27" s="627"/>
    </row>
    <row r="28" spans="1:47">
      <c r="A28" s="627"/>
      <c r="B28" s="636"/>
      <c r="C28" s="640"/>
      <c r="D28" s="633"/>
      <c r="E28" s="633"/>
      <c r="F28" s="633"/>
      <c r="G28" s="633"/>
      <c r="H28" s="633"/>
      <c r="I28" s="633"/>
      <c r="J28" s="633"/>
      <c r="K28" s="633"/>
      <c r="L28" s="633"/>
      <c r="M28" s="633"/>
      <c r="N28" s="633"/>
      <c r="O28" s="633"/>
      <c r="P28" s="627"/>
      <c r="Q28" s="627"/>
      <c r="R28" s="627"/>
      <c r="S28" s="627"/>
      <c r="T28" s="627"/>
    </row>
    <row r="29" spans="1:47">
      <c r="A29" s="627"/>
      <c r="B29" s="636"/>
      <c r="C29" s="640"/>
      <c r="D29" s="633"/>
      <c r="E29" s="633"/>
      <c r="F29" s="633"/>
      <c r="G29" s="633"/>
      <c r="H29" s="633"/>
      <c r="I29" s="633"/>
      <c r="J29" s="633"/>
      <c r="K29" s="633"/>
      <c r="L29" s="633"/>
      <c r="M29" s="633"/>
      <c r="N29" s="633"/>
      <c r="O29" s="633"/>
      <c r="P29" s="627"/>
      <c r="Q29" s="627"/>
      <c r="R29" s="627"/>
      <c r="S29" s="627"/>
      <c r="T29" s="627"/>
    </row>
    <row r="30" spans="1:47">
      <c r="A30" s="627"/>
      <c r="B30" s="636"/>
      <c r="C30" s="640"/>
      <c r="D30" s="627"/>
      <c r="E30" s="627"/>
      <c r="F30" s="627"/>
      <c r="G30" s="627"/>
      <c r="H30" s="627"/>
      <c r="I30" s="627"/>
      <c r="J30" s="627"/>
      <c r="K30" s="627"/>
      <c r="L30" s="627"/>
      <c r="M30" s="627"/>
      <c r="N30" s="627"/>
      <c r="O30" s="627"/>
      <c r="P30" s="627"/>
      <c r="Q30" s="627"/>
      <c r="R30" s="627"/>
      <c r="S30" s="627"/>
      <c r="T30" s="627"/>
    </row>
    <row r="31" spans="1:47">
      <c r="A31" s="627"/>
      <c r="B31" s="627"/>
      <c r="C31" s="627"/>
      <c r="D31" s="627"/>
      <c r="E31" s="627"/>
      <c r="F31" s="627"/>
      <c r="G31" s="627"/>
      <c r="H31" s="627"/>
      <c r="I31" s="627"/>
      <c r="J31" s="627"/>
      <c r="K31" s="627"/>
      <c r="L31" s="627"/>
      <c r="M31" s="627"/>
      <c r="N31" s="627"/>
      <c r="O31" s="627"/>
      <c r="P31" s="627"/>
      <c r="Q31" s="627"/>
      <c r="R31" s="627"/>
      <c r="S31" s="627"/>
      <c r="T31" s="627"/>
    </row>
    <row r="32" spans="1:47">
      <c r="A32" s="627"/>
      <c r="B32" s="627"/>
      <c r="C32" s="627"/>
      <c r="D32" s="627"/>
      <c r="E32" s="627"/>
      <c r="F32" s="627"/>
      <c r="G32" s="627"/>
      <c r="H32" s="627"/>
      <c r="I32" s="627"/>
      <c r="J32" s="627"/>
      <c r="K32" s="627"/>
      <c r="L32" s="627"/>
      <c r="M32" s="627"/>
      <c r="N32" s="627"/>
      <c r="O32" s="627"/>
      <c r="P32" s="627"/>
      <c r="Q32" s="627"/>
      <c r="R32" s="627"/>
      <c r="S32" s="627"/>
      <c r="T32" s="627"/>
    </row>
    <row r="33" spans="1:20">
      <c r="A33" s="627"/>
      <c r="B33" s="627"/>
      <c r="C33" s="627"/>
      <c r="D33" s="627"/>
      <c r="E33" s="627"/>
      <c r="F33" s="627"/>
      <c r="G33" s="627"/>
      <c r="H33" s="627"/>
      <c r="I33" s="627"/>
      <c r="J33" s="627"/>
      <c r="K33" s="627"/>
      <c r="L33" s="627"/>
      <c r="M33" s="627"/>
      <c r="N33" s="627"/>
      <c r="O33" s="627"/>
      <c r="P33" s="627"/>
      <c r="Q33" s="627"/>
      <c r="R33" s="627"/>
      <c r="S33" s="627"/>
      <c r="T33" s="627"/>
    </row>
    <row r="34" spans="1:20">
      <c r="A34" s="627"/>
      <c r="B34" s="627"/>
      <c r="C34" s="627"/>
      <c r="D34" s="627"/>
      <c r="E34" s="627"/>
      <c r="F34" s="627"/>
      <c r="G34" s="627"/>
      <c r="H34" s="627"/>
      <c r="I34" s="627"/>
      <c r="J34" s="627"/>
      <c r="K34" s="627"/>
      <c r="L34" s="627"/>
      <c r="M34" s="627"/>
      <c r="N34" s="627"/>
      <c r="O34" s="627"/>
      <c r="P34" s="627"/>
      <c r="Q34" s="627"/>
      <c r="R34" s="627"/>
      <c r="S34" s="627"/>
      <c r="T34" s="627"/>
    </row>
    <row r="35" spans="1:20">
      <c r="A35" s="627"/>
      <c r="B35" s="627"/>
      <c r="C35" s="627"/>
      <c r="D35" s="627"/>
      <c r="E35" s="627"/>
      <c r="F35" s="627"/>
      <c r="G35" s="627"/>
      <c r="H35" s="627"/>
      <c r="I35" s="627"/>
      <c r="J35" s="627"/>
      <c r="K35" s="627"/>
      <c r="L35" s="627"/>
      <c r="M35" s="627"/>
      <c r="N35" s="627"/>
      <c r="O35" s="627"/>
      <c r="P35" s="627"/>
      <c r="Q35" s="627"/>
      <c r="R35" s="627"/>
      <c r="S35" s="627"/>
      <c r="T35" s="627"/>
    </row>
    <row r="36" spans="1:20">
      <c r="A36" s="627"/>
      <c r="B36" s="627"/>
      <c r="C36" s="627"/>
      <c r="D36" s="627"/>
      <c r="E36" s="627"/>
      <c r="F36" s="627"/>
      <c r="G36" s="627"/>
      <c r="H36" s="627"/>
      <c r="I36" s="627"/>
      <c r="J36" s="627"/>
      <c r="K36" s="627"/>
      <c r="L36" s="627"/>
      <c r="M36" s="627"/>
      <c r="N36" s="627"/>
      <c r="O36" s="627"/>
      <c r="P36" s="627"/>
      <c r="Q36" s="627"/>
      <c r="R36" s="627"/>
      <c r="S36" s="627"/>
      <c r="T36" s="627"/>
    </row>
    <row r="37" spans="1:20">
      <c r="A37" s="627"/>
      <c r="B37" s="627"/>
      <c r="C37" s="627"/>
      <c r="D37" s="627"/>
      <c r="E37" s="627"/>
      <c r="F37" s="627"/>
      <c r="G37" s="627"/>
      <c r="H37" s="627"/>
      <c r="I37" s="627"/>
      <c r="J37" s="627"/>
      <c r="K37" s="627"/>
      <c r="L37" s="627"/>
      <c r="M37" s="627"/>
      <c r="N37" s="627"/>
      <c r="O37" s="627"/>
      <c r="P37" s="627"/>
      <c r="Q37" s="627"/>
      <c r="R37" s="627"/>
      <c r="S37" s="627"/>
      <c r="T37" s="627"/>
    </row>
    <row r="38" spans="1:20">
      <c r="A38" s="627"/>
      <c r="B38" s="627"/>
      <c r="C38" s="627"/>
      <c r="D38" s="627"/>
      <c r="E38" s="627"/>
      <c r="F38" s="627"/>
      <c r="G38" s="627"/>
      <c r="H38" s="627"/>
      <c r="I38" s="627"/>
      <c r="J38" s="627"/>
      <c r="K38" s="627"/>
      <c r="L38" s="627"/>
      <c r="M38" s="627"/>
      <c r="N38" s="627"/>
      <c r="O38" s="627"/>
      <c r="P38" s="627"/>
      <c r="Q38" s="627"/>
      <c r="R38" s="627"/>
      <c r="S38" s="627"/>
      <c r="T38" s="627"/>
    </row>
    <row r="39" spans="1:20" ht="12.75" thickBot="1">
      <c r="A39" s="625"/>
      <c r="B39" s="625"/>
      <c r="C39" s="625"/>
      <c r="D39" s="625"/>
      <c r="E39" s="625"/>
      <c r="F39" s="625"/>
      <c r="G39" s="625"/>
      <c r="H39" s="625"/>
      <c r="I39" s="625"/>
      <c r="J39" s="625"/>
      <c r="K39" s="625"/>
      <c r="L39" s="625"/>
      <c r="M39" s="625"/>
      <c r="N39" s="625"/>
      <c r="O39" s="625"/>
      <c r="P39" s="625"/>
      <c r="Q39" s="625"/>
      <c r="R39" s="625"/>
      <c r="S39" s="625"/>
      <c r="T39" s="625"/>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AEC11-5DC7-4B70-BCBC-D3D77A10FA05}">
  <sheetPr>
    <tabColor theme="9" tint="0.59999389629810485"/>
  </sheetPr>
  <dimension ref="A1:BB303"/>
  <sheetViews>
    <sheetView showGridLines="0" zoomScale="72" zoomScaleNormal="72" workbookViewId="0">
      <pane ySplit="2" topLeftCell="A41" activePane="bottomLeft" state="frozen"/>
      <selection pane="bottomLeft" activeCell="O54" sqref="O54"/>
    </sheetView>
  </sheetViews>
  <sheetFormatPr defaultColWidth="9.140625" defaultRowHeight="16.5"/>
  <cols>
    <col min="1" max="1" width="3" style="115" customWidth="1"/>
    <col min="2" max="2" width="43.28515625" style="115" customWidth="1"/>
    <col min="3" max="4" width="8.7109375" style="115" customWidth="1"/>
    <col min="5" max="5" width="9" style="115" customWidth="1"/>
    <col min="6" max="8" width="8.7109375" style="115" customWidth="1"/>
    <col min="9" max="15" width="9" style="115" customWidth="1"/>
    <col min="16" max="19" width="8.7109375" style="115" customWidth="1"/>
    <col min="22" max="52" width="9.140625" style="115"/>
    <col min="53" max="53" width="7.7109375" style="115" customWidth="1"/>
    <col min="54" max="54" width="9" style="115" customWidth="1"/>
    <col min="55" max="16384" width="9.140625" style="115"/>
  </cols>
  <sheetData>
    <row r="1" spans="1:54">
      <c r="A1" s="763"/>
      <c r="B1" s="763"/>
      <c r="C1" s="763"/>
      <c r="D1" s="685"/>
      <c r="E1" s="763"/>
      <c r="F1" s="763"/>
      <c r="G1" s="763"/>
      <c r="H1" s="763"/>
      <c r="I1" s="763"/>
      <c r="J1" s="763"/>
      <c r="K1" s="763"/>
      <c r="L1" s="763"/>
      <c r="M1" s="763"/>
      <c r="N1" s="763"/>
      <c r="O1" s="763"/>
      <c r="P1" s="763"/>
      <c r="Q1" s="763"/>
      <c r="R1" s="763"/>
      <c r="S1" s="763"/>
      <c r="V1" s="763"/>
      <c r="W1" s="763"/>
      <c r="X1" s="763"/>
      <c r="Y1" s="763"/>
      <c r="Z1" s="685"/>
      <c r="AA1" s="685"/>
      <c r="AB1" s="685"/>
      <c r="AC1" s="685"/>
      <c r="AD1" s="685"/>
      <c r="AE1" s="685"/>
      <c r="AF1" s="685"/>
      <c r="AG1" s="685"/>
      <c r="AH1" s="685"/>
      <c r="AI1" s="685"/>
      <c r="AJ1" s="685"/>
      <c r="AK1" s="685"/>
      <c r="AL1" s="685"/>
      <c r="AM1" s="685"/>
      <c r="AN1" s="685"/>
      <c r="AO1" s="685"/>
      <c r="AP1" s="685"/>
      <c r="BA1" s="763"/>
      <c r="BB1" s="1077" t="s">
        <v>7666</v>
      </c>
    </row>
    <row r="2" spans="1:54" s="408" customFormat="1">
      <c r="A2" s="767"/>
      <c r="B2" s="857" t="s">
        <v>6487</v>
      </c>
      <c r="C2" s="858" t="s">
        <v>6007</v>
      </c>
      <c r="D2" s="858" t="s">
        <v>6242</v>
      </c>
      <c r="E2" s="858" t="s">
        <v>6243</v>
      </c>
      <c r="F2" s="858" t="s">
        <v>6244</v>
      </c>
      <c r="G2" s="858" t="s">
        <v>6473</v>
      </c>
      <c r="H2" s="858" t="s">
        <v>6474</v>
      </c>
      <c r="I2" s="858" t="s">
        <v>6475</v>
      </c>
      <c r="J2" s="858" t="s">
        <v>6476</v>
      </c>
      <c r="K2" s="858" t="s">
        <v>7046</v>
      </c>
      <c r="L2" s="858" t="s">
        <v>7463</v>
      </c>
      <c r="M2" s="858" t="s">
        <v>7592</v>
      </c>
      <c r="N2" s="858" t="s">
        <v>7615</v>
      </c>
      <c r="O2" s="858" t="s">
        <v>7687</v>
      </c>
      <c r="P2" s="858"/>
      <c r="Q2" s="743"/>
      <c r="R2" s="767"/>
      <c r="S2" s="743"/>
      <c r="V2" s="763"/>
      <c r="W2" s="763"/>
      <c r="X2" s="763"/>
      <c r="Y2" s="763"/>
      <c r="Z2" s="685"/>
      <c r="AA2" s="685"/>
      <c r="AB2" s="685"/>
      <c r="AC2" s="685"/>
      <c r="AD2" s="685"/>
      <c r="AE2" s="685"/>
      <c r="AF2" s="685"/>
      <c r="AG2" s="743"/>
      <c r="AH2" s="743"/>
      <c r="AI2" s="743"/>
      <c r="AJ2" s="743"/>
      <c r="AK2" s="743"/>
      <c r="AL2" s="743"/>
      <c r="AM2" s="743"/>
      <c r="AN2" s="743"/>
      <c r="AO2" s="743"/>
      <c r="AP2" s="743"/>
      <c r="BA2" s="763"/>
      <c r="BB2" s="1078" t="s">
        <v>7465</v>
      </c>
    </row>
    <row r="3" spans="1:54">
      <c r="A3" s="763"/>
      <c r="B3" s="846" t="s">
        <v>200</v>
      </c>
      <c r="C3" s="846">
        <v>896</v>
      </c>
      <c r="D3" s="847">
        <v>991.2</v>
      </c>
      <c r="E3" s="846">
        <v>1099</v>
      </c>
      <c r="F3" s="847">
        <v>1195.5999999999999</v>
      </c>
      <c r="G3" s="851">
        <v>1010.6</v>
      </c>
      <c r="H3" s="851">
        <v>1096.2</v>
      </c>
      <c r="I3" s="851">
        <v>1151.5</v>
      </c>
      <c r="J3" s="851">
        <v>1453.5</v>
      </c>
      <c r="K3" s="851">
        <v>1070.9000000000001</v>
      </c>
      <c r="L3" s="851">
        <v>1219.8</v>
      </c>
      <c r="M3" s="851">
        <v>1280.5</v>
      </c>
      <c r="N3" s="851">
        <v>1356.8</v>
      </c>
      <c r="O3" s="851">
        <v>1149</v>
      </c>
      <c r="P3" s="685"/>
      <c r="Q3" s="685"/>
      <c r="R3" s="763"/>
      <c r="S3" s="685"/>
      <c r="V3" s="763"/>
      <c r="W3" s="763"/>
      <c r="X3" s="763"/>
      <c r="Y3" s="763"/>
      <c r="Z3" s="685"/>
      <c r="AA3" s="685"/>
      <c r="AB3" s="685"/>
      <c r="AC3" s="685"/>
      <c r="AD3" s="685"/>
      <c r="AE3" s="685"/>
      <c r="AF3" s="685"/>
      <c r="AG3" s="685"/>
      <c r="AH3" s="685"/>
      <c r="AI3" s="685"/>
      <c r="AJ3" s="685"/>
      <c r="AK3" s="685"/>
      <c r="AL3" s="685"/>
      <c r="AM3" s="685"/>
      <c r="AN3" s="685"/>
      <c r="AO3" s="685"/>
      <c r="AP3" s="685"/>
      <c r="BA3" s="1076">
        <f>N3/BB3-1</f>
        <v>-6.1484132701091987E-2</v>
      </c>
      <c r="BB3" s="851">
        <v>1445.6867989935354</v>
      </c>
    </row>
    <row r="4" spans="1:54">
      <c r="A4" s="763"/>
      <c r="B4" s="749" t="s">
        <v>35</v>
      </c>
      <c r="C4" s="848">
        <v>634</v>
      </c>
      <c r="D4" s="848">
        <v>700.2</v>
      </c>
      <c r="E4" s="849">
        <v>754.7</v>
      </c>
      <c r="F4" s="849">
        <v>752.4</v>
      </c>
      <c r="G4" s="848">
        <v>713</v>
      </c>
      <c r="H4" s="848">
        <v>747.5</v>
      </c>
      <c r="I4" s="848">
        <v>769.3</v>
      </c>
      <c r="J4" s="848">
        <v>963.2</v>
      </c>
      <c r="K4" s="848">
        <v>739.1</v>
      </c>
      <c r="L4" s="848">
        <v>793.6</v>
      </c>
      <c r="M4" s="848">
        <v>806.3</v>
      </c>
      <c r="N4" s="848">
        <v>820.7</v>
      </c>
      <c r="O4" s="848">
        <v>739.9</v>
      </c>
      <c r="P4" s="685"/>
      <c r="Q4" s="685"/>
      <c r="R4" s="763"/>
      <c r="S4" s="685"/>
      <c r="V4" s="763"/>
      <c r="W4" s="763"/>
      <c r="X4" s="763"/>
      <c r="Y4" s="763"/>
      <c r="Z4" s="685"/>
      <c r="AA4" s="685"/>
      <c r="AB4" s="685"/>
      <c r="AC4" s="685"/>
      <c r="AD4" s="685"/>
      <c r="AE4" s="685"/>
      <c r="AF4" s="685"/>
      <c r="AG4" s="685"/>
      <c r="AH4" s="685"/>
      <c r="AI4" s="685"/>
      <c r="AJ4" s="685"/>
      <c r="AK4" s="685"/>
      <c r="AL4" s="685"/>
      <c r="AM4" s="685"/>
      <c r="AN4" s="685"/>
      <c r="AO4" s="685"/>
      <c r="AP4" s="685"/>
      <c r="BA4" s="763"/>
      <c r="BB4" s="763"/>
    </row>
    <row r="5" spans="1:54">
      <c r="A5" s="763"/>
      <c r="B5" s="850" t="s">
        <v>2238</v>
      </c>
      <c r="C5" s="851">
        <v>262</v>
      </c>
      <c r="D5" s="851">
        <v>291.10000000000002</v>
      </c>
      <c r="E5" s="847">
        <v>344.7</v>
      </c>
      <c r="F5" s="847">
        <v>443.2</v>
      </c>
      <c r="G5" s="851">
        <v>297</v>
      </c>
      <c r="H5" s="851">
        <v>348.7</v>
      </c>
      <c r="I5" s="851">
        <v>382.2</v>
      </c>
      <c r="J5" s="851">
        <v>490.3</v>
      </c>
      <c r="K5" s="851">
        <v>331.8</v>
      </c>
      <c r="L5" s="851">
        <v>426.2</v>
      </c>
      <c r="M5" s="851">
        <v>474.2</v>
      </c>
      <c r="N5" s="851">
        <v>536.1</v>
      </c>
      <c r="O5" s="851">
        <v>409.1</v>
      </c>
      <c r="P5" s="685"/>
      <c r="Q5" s="685"/>
      <c r="R5" s="763"/>
      <c r="S5" s="685"/>
      <c r="V5" s="763"/>
      <c r="W5" s="763"/>
      <c r="X5" s="763"/>
      <c r="Y5" s="763"/>
      <c r="Z5" s="685"/>
      <c r="AA5" s="685"/>
      <c r="AB5" s="685"/>
      <c r="AC5" s="685"/>
      <c r="AD5" s="685"/>
      <c r="AE5" s="685"/>
      <c r="AF5" s="685"/>
      <c r="AG5" s="685"/>
      <c r="AH5" s="685"/>
      <c r="AI5" s="685"/>
      <c r="AJ5" s="685"/>
      <c r="AK5" s="685"/>
      <c r="AL5" s="685"/>
      <c r="AM5" s="685"/>
      <c r="AN5" s="685"/>
      <c r="AO5" s="685"/>
      <c r="AP5" s="685"/>
      <c r="BA5" s="763"/>
      <c r="BB5" s="763"/>
    </row>
    <row r="6" spans="1:54">
      <c r="A6" s="763"/>
      <c r="B6" s="685" t="s">
        <v>6874</v>
      </c>
      <c r="C6" s="852"/>
      <c r="D6" s="852"/>
      <c r="E6" s="852"/>
      <c r="F6" s="852"/>
      <c r="G6" s="852">
        <f>G3/VOD!$F138</f>
        <v>0.21447368421052632</v>
      </c>
      <c r="H6" s="852">
        <f>H3/VOD!$F138</f>
        <v>0.23264006791171479</v>
      </c>
      <c r="I6" s="852">
        <f>I3/VOD!$F138</f>
        <v>0.2443760611205433</v>
      </c>
      <c r="J6" s="852">
        <f>J3/VOD!$F138</f>
        <v>0.30846774193548387</v>
      </c>
      <c r="K6" s="852">
        <f>K3/VOD!$G138</f>
        <v>0.21730925324675326</v>
      </c>
      <c r="L6" s="852">
        <f>L3/VOD!$G138</f>
        <v>0.24752435064935063</v>
      </c>
      <c r="M6" s="852">
        <f>M3/VOD!$G138</f>
        <v>0.2598417207792208</v>
      </c>
      <c r="N6" s="852">
        <f>N3/VOD!$G138</f>
        <v>0.27532467532467531</v>
      </c>
      <c r="O6" s="852">
        <f>O3/VOD!$H138</f>
        <v>0.2182814784629489</v>
      </c>
      <c r="P6" s="685"/>
      <c r="Q6" s="685"/>
      <c r="R6" s="763"/>
      <c r="S6" s="685"/>
      <c r="V6" s="763"/>
      <c r="W6" s="763"/>
      <c r="X6" s="763"/>
      <c r="Y6" s="763"/>
      <c r="Z6" s="685"/>
      <c r="AA6" s="685"/>
      <c r="AB6" s="685"/>
      <c r="AC6" s="685"/>
      <c r="AD6" s="685"/>
      <c r="AE6" s="685"/>
      <c r="AF6" s="685"/>
      <c r="AG6" s="685"/>
      <c r="AH6" s="685"/>
      <c r="AI6" s="685"/>
      <c r="AJ6" s="685"/>
      <c r="AK6" s="685"/>
      <c r="AL6" s="685"/>
      <c r="AM6" s="685"/>
      <c r="AN6" s="685"/>
      <c r="AO6" s="685"/>
      <c r="AP6" s="685"/>
      <c r="BA6" s="763"/>
      <c r="BB6" s="852">
        <v>0.28816412586458245</v>
      </c>
    </row>
    <row r="7" spans="1:54">
      <c r="A7" s="763"/>
      <c r="B7" s="846"/>
      <c r="C7" s="853"/>
      <c r="D7" s="853"/>
      <c r="E7" s="853"/>
      <c r="F7" s="853"/>
      <c r="G7" s="853"/>
      <c r="H7" s="853"/>
      <c r="I7" s="853"/>
      <c r="J7" s="853"/>
      <c r="K7" s="853"/>
      <c r="L7" s="853"/>
      <c r="M7" s="853"/>
      <c r="N7" s="853"/>
      <c r="O7" s="853"/>
      <c r="P7" s="685"/>
      <c r="Q7" s="685"/>
      <c r="R7" s="763"/>
      <c r="S7" s="685"/>
      <c r="V7" s="763"/>
      <c r="W7" s="763"/>
      <c r="X7" s="763"/>
      <c r="Y7" s="763"/>
      <c r="Z7" s="685"/>
      <c r="AA7" s="685"/>
      <c r="AB7" s="685"/>
      <c r="AC7" s="685"/>
      <c r="AD7" s="685"/>
      <c r="AE7" s="685"/>
      <c r="AF7" s="685"/>
      <c r="AG7" s="685"/>
      <c r="AH7" s="685"/>
      <c r="AI7" s="685"/>
      <c r="AJ7" s="685"/>
      <c r="AK7" s="685"/>
      <c r="AL7" s="685"/>
      <c r="AM7" s="685"/>
      <c r="AN7" s="685"/>
      <c r="AO7" s="685"/>
      <c r="AP7" s="685"/>
      <c r="BA7" s="763"/>
      <c r="BB7" s="763"/>
    </row>
    <row r="8" spans="1:54">
      <c r="A8" s="763"/>
      <c r="B8" s="743" t="s">
        <v>4865</v>
      </c>
      <c r="C8" s="854"/>
      <c r="D8" s="854"/>
      <c r="E8" s="854"/>
      <c r="F8" s="854"/>
      <c r="G8" s="854"/>
      <c r="H8" s="854"/>
      <c r="I8" s="854"/>
      <c r="J8" s="854"/>
      <c r="K8" s="854"/>
      <c r="L8" s="854"/>
      <c r="M8" s="854"/>
      <c r="N8" s="854"/>
      <c r="O8" s="854"/>
      <c r="P8" s="685"/>
      <c r="Q8" s="685"/>
      <c r="R8" s="763"/>
      <c r="S8" s="685"/>
      <c r="V8" s="763"/>
      <c r="W8" s="763"/>
      <c r="X8" s="763"/>
      <c r="Y8" s="763"/>
      <c r="Z8" s="685"/>
      <c r="AA8" s="685"/>
      <c r="AB8" s="685"/>
      <c r="AC8" s="685"/>
      <c r="AD8" s="685"/>
      <c r="AE8" s="685"/>
      <c r="AF8" s="685"/>
      <c r="AG8" s="685"/>
      <c r="AH8" s="685"/>
      <c r="AI8" s="685"/>
      <c r="AJ8" s="685"/>
      <c r="AK8" s="685"/>
      <c r="AL8" s="685"/>
      <c r="AM8" s="685"/>
      <c r="AN8" s="685"/>
      <c r="AO8" s="685"/>
      <c r="AP8" s="685"/>
      <c r="BA8" s="763"/>
      <c r="BB8" s="763"/>
    </row>
    <row r="9" spans="1:54">
      <c r="A9" s="763"/>
      <c r="B9" s="850" t="s">
        <v>35</v>
      </c>
      <c r="C9" s="853">
        <f t="shared" ref="C9:L9" si="0">C4/C$3</f>
        <v>0.7075892857142857</v>
      </c>
      <c r="D9" s="853">
        <f t="shared" si="0"/>
        <v>0.70641646489104115</v>
      </c>
      <c r="E9" s="853">
        <f t="shared" si="0"/>
        <v>0.68671519563239314</v>
      </c>
      <c r="F9" s="853">
        <f t="shared" si="0"/>
        <v>0.62930746068919374</v>
      </c>
      <c r="G9" s="853">
        <f t="shared" si="0"/>
        <v>0.70552147239263807</v>
      </c>
      <c r="H9" s="853">
        <f t="shared" si="0"/>
        <v>0.68190111293559563</v>
      </c>
      <c r="I9" s="853">
        <f t="shared" si="0"/>
        <v>0.66808510638297869</v>
      </c>
      <c r="J9" s="853">
        <f t="shared" si="0"/>
        <v>0.6626762985896113</v>
      </c>
      <c r="K9" s="853">
        <f t="shared" si="0"/>
        <v>0.69016714912690258</v>
      </c>
      <c r="L9" s="853">
        <f t="shared" si="0"/>
        <v>0.65059845876373179</v>
      </c>
      <c r="M9" s="853">
        <f t="shared" ref="M9:N9" si="1">M4/M$3</f>
        <v>0.6296759078484967</v>
      </c>
      <c r="N9" s="853">
        <f t="shared" si="1"/>
        <v>0.60487912735849059</v>
      </c>
      <c r="O9" s="853">
        <f t="shared" ref="O9" si="2">O4/O$3</f>
        <v>0.64395126196692776</v>
      </c>
      <c r="P9" s="685"/>
      <c r="Q9" s="685"/>
      <c r="R9" s="763"/>
      <c r="S9" s="685"/>
      <c r="V9" s="763"/>
      <c r="W9" s="763"/>
      <c r="X9" s="763"/>
      <c r="Y9" s="763"/>
      <c r="Z9" s="685"/>
      <c r="AA9" s="685"/>
      <c r="AB9" s="685"/>
      <c r="AC9" s="685"/>
      <c r="AD9" s="685"/>
      <c r="AE9" s="685"/>
      <c r="AF9" s="685"/>
      <c r="AG9" s="685"/>
      <c r="AH9" s="685"/>
      <c r="AI9" s="685"/>
      <c r="AJ9" s="685"/>
      <c r="AK9" s="685"/>
      <c r="AL9" s="685"/>
      <c r="AM9" s="685"/>
      <c r="AN9" s="685"/>
      <c r="AO9" s="685"/>
      <c r="AP9" s="685"/>
      <c r="BA9" s="763"/>
      <c r="BB9" s="763"/>
    </row>
    <row r="10" spans="1:54">
      <c r="A10" s="763"/>
      <c r="B10" s="749" t="s">
        <v>2238</v>
      </c>
      <c r="C10" s="852">
        <f t="shared" ref="C10:L10" si="3">C5/C$3</f>
        <v>0.2924107142857143</v>
      </c>
      <c r="D10" s="852">
        <f t="shared" si="3"/>
        <v>0.29368442292171104</v>
      </c>
      <c r="E10" s="852">
        <f t="shared" si="3"/>
        <v>0.31364877161055504</v>
      </c>
      <c r="F10" s="852">
        <f t="shared" si="3"/>
        <v>0.37069253931080631</v>
      </c>
      <c r="G10" s="852">
        <f t="shared" si="3"/>
        <v>0.29388482089847617</v>
      </c>
      <c r="H10" s="852">
        <f t="shared" si="3"/>
        <v>0.31809888706440426</v>
      </c>
      <c r="I10" s="852">
        <f t="shared" si="3"/>
        <v>0.33191489361702126</v>
      </c>
      <c r="J10" s="852">
        <f t="shared" si="3"/>
        <v>0.3373237014103887</v>
      </c>
      <c r="K10" s="852">
        <f t="shared" si="3"/>
        <v>0.30983285087309737</v>
      </c>
      <c r="L10" s="852">
        <f t="shared" si="3"/>
        <v>0.34940154123626826</v>
      </c>
      <c r="M10" s="852">
        <f t="shared" ref="M10:N10" si="4">M5/M$3</f>
        <v>0.3703240921515033</v>
      </c>
      <c r="N10" s="852">
        <f t="shared" si="4"/>
        <v>0.39512087264150947</v>
      </c>
      <c r="O10" s="852">
        <f t="shared" ref="O10" si="5">O5/O$3</f>
        <v>0.35604873803307224</v>
      </c>
      <c r="P10" s="685"/>
      <c r="Q10" s="685"/>
      <c r="R10" s="763"/>
      <c r="S10" s="685"/>
      <c r="V10" s="763"/>
      <c r="W10" s="763"/>
      <c r="X10" s="763"/>
      <c r="Y10" s="763"/>
      <c r="Z10" s="685"/>
      <c r="AA10" s="685"/>
      <c r="AB10" s="685"/>
      <c r="AC10" s="685"/>
      <c r="AD10" s="685"/>
      <c r="AE10" s="685"/>
      <c r="AF10" s="685"/>
      <c r="AG10" s="685"/>
      <c r="AH10" s="685"/>
      <c r="AI10" s="685"/>
      <c r="AJ10" s="685"/>
      <c r="AK10" s="685"/>
      <c r="AL10" s="685"/>
      <c r="AM10" s="685"/>
      <c r="AN10" s="685"/>
      <c r="AO10" s="685"/>
      <c r="AP10" s="685"/>
      <c r="BA10" s="763"/>
      <c r="BB10" s="763"/>
    </row>
    <row r="11" spans="1:54">
      <c r="A11" s="763"/>
      <c r="B11" s="846"/>
      <c r="C11" s="846"/>
      <c r="D11" s="846"/>
      <c r="E11" s="846"/>
      <c r="F11" s="846"/>
      <c r="G11" s="846"/>
      <c r="H11" s="846"/>
      <c r="I11" s="846"/>
      <c r="J11" s="846"/>
      <c r="K11" s="846"/>
      <c r="L11" s="846"/>
      <c r="M11" s="846"/>
      <c r="N11" s="846"/>
      <c r="O11" s="846"/>
      <c r="P11" s="685"/>
      <c r="Q11" s="685"/>
      <c r="R11" s="763"/>
      <c r="S11" s="685"/>
      <c r="V11" s="763"/>
      <c r="W11" s="763"/>
      <c r="X11" s="763"/>
      <c r="Y11" s="763"/>
      <c r="Z11" s="685"/>
      <c r="AA11" s="685"/>
      <c r="AB11" s="685"/>
      <c r="AC11" s="685"/>
      <c r="AD11" s="685"/>
      <c r="AE11" s="685"/>
      <c r="AF11" s="685"/>
      <c r="AG11" s="685"/>
      <c r="AH11" s="685"/>
      <c r="AI11" s="685"/>
      <c r="AJ11" s="685"/>
      <c r="AK11" s="685"/>
      <c r="AL11" s="685"/>
      <c r="AM11" s="685"/>
      <c r="AN11" s="685"/>
      <c r="AO11" s="685"/>
      <c r="AP11" s="685"/>
      <c r="BA11" s="763"/>
      <c r="BB11" s="763"/>
    </row>
    <row r="12" spans="1:54">
      <c r="A12" s="763"/>
      <c r="B12" s="685" t="s">
        <v>57</v>
      </c>
      <c r="C12" s="685">
        <v>372</v>
      </c>
      <c r="D12" s="849">
        <v>406.4</v>
      </c>
      <c r="E12" s="849">
        <v>428.6</v>
      </c>
      <c r="F12" s="849">
        <v>478.5</v>
      </c>
      <c r="G12" s="849">
        <v>401.6</v>
      </c>
      <c r="H12" s="849">
        <v>373.3</v>
      </c>
      <c r="I12" s="849">
        <v>410.9</v>
      </c>
      <c r="J12" s="849">
        <v>504.4</v>
      </c>
      <c r="K12" s="849">
        <v>361</v>
      </c>
      <c r="L12" s="849">
        <v>373.9</v>
      </c>
      <c r="M12" s="849">
        <v>412.2</v>
      </c>
      <c r="N12" s="849">
        <v>468.1</v>
      </c>
      <c r="O12" s="849">
        <v>328.5</v>
      </c>
      <c r="P12" s="685"/>
      <c r="Q12" s="685"/>
      <c r="R12" s="763"/>
      <c r="S12" s="685"/>
      <c r="V12" s="763"/>
      <c r="W12" s="763"/>
      <c r="X12" s="763"/>
      <c r="Y12" s="763"/>
      <c r="Z12" s="685"/>
      <c r="AA12" s="685"/>
      <c r="AB12" s="685"/>
      <c r="AC12" s="685"/>
      <c r="AD12" s="685"/>
      <c r="AE12" s="685"/>
      <c r="AF12" s="685"/>
      <c r="AG12" s="685"/>
      <c r="AH12" s="685"/>
      <c r="AI12" s="685"/>
      <c r="AJ12" s="685"/>
      <c r="AK12" s="685"/>
      <c r="AL12" s="685"/>
      <c r="AM12" s="685"/>
      <c r="AN12" s="685"/>
      <c r="AO12" s="685"/>
      <c r="AP12" s="685"/>
      <c r="BA12" s="1076">
        <f>N12/BB12-1</f>
        <v>-0.12159879902420723</v>
      </c>
      <c r="BB12" s="849">
        <v>532.90000000000009</v>
      </c>
    </row>
    <row r="13" spans="1:54">
      <c r="A13" s="763"/>
      <c r="B13" s="855" t="s">
        <v>6874</v>
      </c>
      <c r="C13" s="856"/>
      <c r="D13" s="856"/>
      <c r="E13" s="856"/>
      <c r="F13" s="856"/>
      <c r="G13" s="856">
        <f>G12/VOD!$F142</f>
        <v>0.23763313609467457</v>
      </c>
      <c r="H13" s="856">
        <f>H12/VOD!$F142</f>
        <v>0.22088757396449704</v>
      </c>
      <c r="I13" s="856">
        <f>I12/VOD!$F142</f>
        <v>0.24313609467455619</v>
      </c>
      <c r="J13" s="856">
        <f>J12/VOD!$F142</f>
        <v>0.29846153846153844</v>
      </c>
      <c r="K13" s="856">
        <f>K12/VOD!$G142</f>
        <v>0.2235017335314512</v>
      </c>
      <c r="L13" s="856">
        <f>L12/VOD!$G142</f>
        <v>0.23148836057454183</v>
      </c>
      <c r="M13" s="856">
        <f>M12/VOD!$G142</f>
        <v>0.2552005943536404</v>
      </c>
      <c r="N13" s="856">
        <f>N12/VOD!$G142</f>
        <v>0.28980931154036654</v>
      </c>
      <c r="O13" s="856">
        <f>O12/VOD!$H142</f>
        <v>0.19874237517254065</v>
      </c>
      <c r="P13" s="685"/>
      <c r="Q13" s="685"/>
      <c r="R13" s="763"/>
      <c r="S13" s="685"/>
      <c r="V13" s="763"/>
      <c r="W13" s="763"/>
      <c r="X13" s="763"/>
      <c r="Y13" s="763"/>
      <c r="Z13" s="685"/>
      <c r="AA13" s="685"/>
      <c r="AB13" s="685"/>
      <c r="AC13" s="685"/>
      <c r="AD13" s="685"/>
      <c r="AE13" s="685"/>
      <c r="AF13" s="685"/>
      <c r="AG13" s="685"/>
      <c r="AH13" s="685"/>
      <c r="AI13" s="685"/>
      <c r="AJ13" s="685"/>
      <c r="AK13" s="685"/>
      <c r="AL13" s="685"/>
      <c r="AM13" s="685"/>
      <c r="AN13" s="685"/>
      <c r="AO13" s="685"/>
      <c r="AP13" s="685"/>
      <c r="BA13" s="763"/>
      <c r="BB13" s="856">
        <v>0.31720238095238101</v>
      </c>
    </row>
    <row r="14" spans="1:54">
      <c r="A14" s="763"/>
      <c r="B14" s="685"/>
      <c r="C14" s="685"/>
      <c r="D14" s="685"/>
      <c r="E14" s="685"/>
      <c r="F14" s="685"/>
      <c r="G14" s="807"/>
      <c r="H14" s="807"/>
      <c r="I14" s="807"/>
      <c r="J14" s="807"/>
      <c r="K14" s="807"/>
      <c r="L14" s="807"/>
      <c r="M14" s="807"/>
      <c r="N14" s="807"/>
      <c r="O14" s="807"/>
      <c r="P14" s="763"/>
      <c r="Q14" s="763"/>
      <c r="R14" s="763"/>
      <c r="S14" s="685"/>
      <c r="V14" s="763"/>
      <c r="W14" s="763"/>
      <c r="X14" s="763"/>
      <c r="Y14" s="763"/>
      <c r="Z14" s="685"/>
      <c r="AA14" s="685"/>
      <c r="AB14" s="685"/>
      <c r="AC14" s="685"/>
      <c r="AD14" s="685"/>
      <c r="AE14" s="685"/>
      <c r="AF14" s="685"/>
      <c r="AG14" s="685"/>
      <c r="AH14" s="685"/>
      <c r="AI14" s="685"/>
      <c r="AJ14" s="685"/>
      <c r="AK14" s="685"/>
      <c r="AL14" s="685"/>
      <c r="AM14" s="685"/>
      <c r="AN14" s="685"/>
      <c r="AO14" s="685"/>
      <c r="AP14" s="685"/>
      <c r="BA14" s="763"/>
      <c r="BB14" s="685"/>
    </row>
    <row r="15" spans="1:54">
      <c r="A15" s="763"/>
      <c r="B15" s="685"/>
      <c r="C15" s="685"/>
      <c r="D15" s="685"/>
      <c r="E15" s="685"/>
      <c r="F15" s="685"/>
      <c r="G15" s="685"/>
      <c r="H15" s="685"/>
      <c r="I15" s="685"/>
      <c r="J15" s="685"/>
      <c r="K15" s="685"/>
      <c r="L15" s="685"/>
      <c r="M15" s="685"/>
      <c r="N15" s="685"/>
      <c r="O15" s="685"/>
      <c r="P15" s="685"/>
      <c r="Q15" s="685"/>
      <c r="R15" s="685"/>
      <c r="S15" s="685"/>
      <c r="V15" s="763"/>
      <c r="W15" s="763"/>
      <c r="X15" s="763"/>
      <c r="Y15" s="763"/>
      <c r="Z15" s="685"/>
      <c r="AA15" s="685"/>
      <c r="AB15" s="685"/>
      <c r="AC15" s="685"/>
      <c r="AD15" s="685"/>
      <c r="AE15" s="685"/>
      <c r="AF15" s="685"/>
      <c r="AG15" s="685"/>
      <c r="AH15" s="685"/>
      <c r="AI15" s="685"/>
      <c r="AJ15" s="685"/>
      <c r="AK15" s="685"/>
      <c r="AL15" s="685"/>
      <c r="AM15" s="685"/>
      <c r="AN15" s="685"/>
      <c r="AO15" s="685"/>
      <c r="AP15" s="685"/>
      <c r="BA15" s="763"/>
      <c r="BB15" s="685"/>
    </row>
    <row r="16" spans="1:54">
      <c r="A16" s="763"/>
      <c r="B16" s="685" t="s">
        <v>7596</v>
      </c>
      <c r="C16" s="685"/>
      <c r="D16" s="685"/>
      <c r="E16" s="685"/>
      <c r="F16" s="685"/>
      <c r="G16" s="685"/>
      <c r="H16" s="685"/>
      <c r="I16" s="685"/>
      <c r="J16" s="685">
        <v>25</v>
      </c>
      <c r="K16" s="685"/>
      <c r="L16" s="685"/>
      <c r="M16" s="685">
        <v>40</v>
      </c>
      <c r="N16" s="685"/>
      <c r="O16" s="685"/>
      <c r="P16" s="685"/>
      <c r="Q16" s="685"/>
      <c r="R16" s="685"/>
      <c r="S16" s="685"/>
      <c r="V16" s="763"/>
      <c r="W16" s="763"/>
      <c r="X16" s="763"/>
      <c r="Y16" s="763"/>
      <c r="Z16" s="685"/>
      <c r="AA16" s="685"/>
      <c r="AB16" s="685"/>
      <c r="AC16" s="685"/>
      <c r="AD16" s="685"/>
      <c r="AE16" s="685"/>
      <c r="AF16" s="685"/>
      <c r="AG16" s="685"/>
      <c r="AH16" s="685"/>
      <c r="AI16" s="685"/>
      <c r="AJ16" s="685"/>
      <c r="AK16" s="685"/>
      <c r="AL16" s="685"/>
      <c r="AM16" s="685"/>
      <c r="AN16" s="685"/>
      <c r="AO16" s="685"/>
      <c r="AP16" s="685"/>
      <c r="BA16" s="763"/>
      <c r="BB16" s="685"/>
    </row>
    <row r="17" spans="1:54">
      <c r="A17" s="763"/>
      <c r="B17" s="685"/>
      <c r="C17" s="685"/>
      <c r="D17" s="685"/>
      <c r="E17" s="685"/>
      <c r="F17" s="685"/>
      <c r="G17" s="685"/>
      <c r="H17" s="685"/>
      <c r="I17" s="685"/>
      <c r="J17" s="685"/>
      <c r="K17" s="685"/>
      <c r="L17" s="685"/>
      <c r="M17" s="685"/>
      <c r="N17" s="685"/>
      <c r="O17" s="685"/>
      <c r="P17" s="685"/>
      <c r="Q17" s="685"/>
      <c r="R17" s="685"/>
      <c r="S17" s="685"/>
      <c r="V17" s="763"/>
      <c r="W17" s="763"/>
      <c r="X17" s="763"/>
      <c r="Y17" s="763"/>
      <c r="Z17" s="685"/>
      <c r="AA17" s="685"/>
      <c r="AB17" s="685"/>
      <c r="AC17" s="685"/>
      <c r="AD17" s="685"/>
      <c r="AE17" s="685"/>
      <c r="AF17" s="685"/>
      <c r="AG17" s="685"/>
      <c r="AH17" s="685"/>
      <c r="AI17" s="685"/>
      <c r="AJ17" s="685"/>
      <c r="AK17" s="685"/>
      <c r="AL17" s="685"/>
      <c r="AM17" s="685"/>
      <c r="AN17" s="685"/>
      <c r="AO17" s="685"/>
      <c r="AP17" s="685"/>
      <c r="BA17" s="763"/>
      <c r="BB17" s="685"/>
    </row>
    <row r="18" spans="1:54">
      <c r="A18" s="763"/>
      <c r="B18" s="857" t="s">
        <v>6487</v>
      </c>
      <c r="C18" s="858" t="s">
        <v>6007</v>
      </c>
      <c r="D18" s="858" t="s">
        <v>6242</v>
      </c>
      <c r="E18" s="858" t="s">
        <v>6243</v>
      </c>
      <c r="F18" s="858" t="s">
        <v>6244</v>
      </c>
      <c r="G18" s="858" t="str">
        <f t="shared" ref="G18:O18" si="6">G2</f>
        <v>Q1 22</v>
      </c>
      <c r="H18" s="858" t="str">
        <f t="shared" si="6"/>
        <v>Q2 22</v>
      </c>
      <c r="I18" s="858" t="str">
        <f t="shared" si="6"/>
        <v>Q3 22</v>
      </c>
      <c r="J18" s="858" t="str">
        <f t="shared" si="6"/>
        <v>Q4 22</v>
      </c>
      <c r="K18" s="858" t="str">
        <f t="shared" si="6"/>
        <v>Q1 23</v>
      </c>
      <c r="L18" s="858" t="str">
        <f t="shared" si="6"/>
        <v>Q2 23</v>
      </c>
      <c r="M18" s="858" t="str">
        <f t="shared" si="6"/>
        <v>Q3 23</v>
      </c>
      <c r="N18" s="858" t="str">
        <f t="shared" si="6"/>
        <v>Q4 23</v>
      </c>
      <c r="O18" s="858" t="str">
        <f t="shared" si="6"/>
        <v>Q1 24</v>
      </c>
      <c r="P18" s="685"/>
      <c r="Q18" s="685"/>
      <c r="R18" s="685"/>
      <c r="S18" s="685"/>
      <c r="V18" s="766"/>
      <c r="W18" s="766"/>
      <c r="X18" s="766"/>
      <c r="Y18" s="766"/>
      <c r="Z18" s="863"/>
      <c r="AA18" s="863"/>
      <c r="AB18" s="685"/>
      <c r="AC18" s="685"/>
      <c r="AD18" s="685"/>
      <c r="AE18" s="685"/>
      <c r="AF18" s="685"/>
      <c r="AG18" s="685"/>
      <c r="AH18" s="685"/>
      <c r="AI18" s="685"/>
      <c r="AJ18" s="685"/>
      <c r="AK18" s="685"/>
      <c r="AL18" s="685"/>
      <c r="AM18" s="685"/>
      <c r="AN18" s="685"/>
      <c r="AO18" s="685"/>
      <c r="AP18" s="685"/>
      <c r="BA18" s="765"/>
      <c r="BB18" s="858" t="s">
        <v>7465</v>
      </c>
    </row>
    <row r="19" spans="1:54">
      <c r="A19" s="763"/>
      <c r="B19" s="859" t="s">
        <v>200</v>
      </c>
      <c r="C19" s="860">
        <f t="shared" ref="C19:F20" si="7">C3</f>
        <v>896</v>
      </c>
      <c r="D19" s="860">
        <f t="shared" si="7"/>
        <v>991.2</v>
      </c>
      <c r="E19" s="860">
        <f t="shared" si="7"/>
        <v>1099</v>
      </c>
      <c r="F19" s="860">
        <f t="shared" si="7"/>
        <v>1195.5999999999999</v>
      </c>
      <c r="G19" s="860">
        <f t="shared" ref="G19:O19" si="8">G3</f>
        <v>1010.6</v>
      </c>
      <c r="H19" s="860">
        <f t="shared" si="8"/>
        <v>1096.2</v>
      </c>
      <c r="I19" s="860">
        <f t="shared" si="8"/>
        <v>1151.5</v>
      </c>
      <c r="J19" s="860">
        <f t="shared" si="8"/>
        <v>1453.5</v>
      </c>
      <c r="K19" s="860">
        <f t="shared" si="8"/>
        <v>1070.9000000000001</v>
      </c>
      <c r="L19" s="860">
        <f t="shared" si="8"/>
        <v>1219.8</v>
      </c>
      <c r="M19" s="860">
        <f t="shared" si="8"/>
        <v>1280.5</v>
      </c>
      <c r="N19" s="860">
        <f t="shared" si="8"/>
        <v>1356.8</v>
      </c>
      <c r="O19" s="860">
        <f t="shared" si="8"/>
        <v>1149</v>
      </c>
      <c r="P19" s="685"/>
      <c r="Q19" s="685"/>
      <c r="R19" s="685"/>
      <c r="S19" s="685"/>
      <c r="V19" s="766"/>
      <c r="W19" s="766"/>
      <c r="X19" s="766"/>
      <c r="Y19" s="766"/>
      <c r="Z19" s="863"/>
      <c r="AA19" s="863"/>
      <c r="AB19" s="685"/>
      <c r="AC19" s="685"/>
      <c r="AD19" s="685"/>
      <c r="AE19" s="685"/>
      <c r="AF19" s="685"/>
      <c r="AG19" s="685"/>
      <c r="AH19" s="685"/>
      <c r="AI19" s="685"/>
      <c r="AJ19" s="685"/>
      <c r="AK19" s="685"/>
      <c r="AL19" s="685"/>
      <c r="AM19" s="685"/>
      <c r="AN19" s="685"/>
      <c r="AO19" s="685"/>
      <c r="AP19" s="685"/>
      <c r="BA19" s="765"/>
      <c r="BB19" s="860">
        <v>1445.6867989935354</v>
      </c>
    </row>
    <row r="20" spans="1:54">
      <c r="A20" s="763"/>
      <c r="B20" s="749" t="s">
        <v>35</v>
      </c>
      <c r="C20" s="848">
        <f t="shared" si="7"/>
        <v>634</v>
      </c>
      <c r="D20" s="848">
        <f t="shared" si="7"/>
        <v>700.2</v>
      </c>
      <c r="E20" s="848">
        <f t="shared" si="7"/>
        <v>754.7</v>
      </c>
      <c r="F20" s="848">
        <f t="shared" si="7"/>
        <v>752.4</v>
      </c>
      <c r="G20" s="848">
        <f t="shared" ref="G20:O20" si="9">G4</f>
        <v>713</v>
      </c>
      <c r="H20" s="848">
        <f t="shared" si="9"/>
        <v>747.5</v>
      </c>
      <c r="I20" s="848">
        <f t="shared" si="9"/>
        <v>769.3</v>
      </c>
      <c r="J20" s="848">
        <f t="shared" si="9"/>
        <v>963.2</v>
      </c>
      <c r="K20" s="848">
        <f t="shared" si="9"/>
        <v>739.1</v>
      </c>
      <c r="L20" s="848">
        <f t="shared" si="9"/>
        <v>793.6</v>
      </c>
      <c r="M20" s="848">
        <f t="shared" si="9"/>
        <v>806.3</v>
      </c>
      <c r="N20" s="848">
        <f t="shared" si="9"/>
        <v>820.7</v>
      </c>
      <c r="O20" s="848">
        <f t="shared" si="9"/>
        <v>739.9</v>
      </c>
      <c r="P20" s="685"/>
      <c r="Q20" s="685"/>
      <c r="R20" s="685"/>
      <c r="S20" s="685"/>
      <c r="V20" s="766"/>
      <c r="W20" s="766"/>
      <c r="X20" s="766"/>
      <c r="Y20" s="766"/>
      <c r="Z20" s="863"/>
      <c r="AA20" s="863"/>
      <c r="AB20" s="685"/>
      <c r="AC20" s="685"/>
      <c r="AD20" s="685"/>
      <c r="AE20" s="685"/>
      <c r="AF20" s="685"/>
      <c r="AG20" s="685"/>
      <c r="AH20" s="685"/>
      <c r="AI20" s="685"/>
      <c r="AJ20" s="685"/>
      <c r="AK20" s="685"/>
      <c r="AL20" s="685"/>
      <c r="AM20" s="685"/>
      <c r="AN20" s="685"/>
      <c r="AO20" s="685"/>
      <c r="AP20" s="685"/>
      <c r="BA20" s="1076">
        <f>N20/BB20-1</f>
        <v>-0.11402968648493395</v>
      </c>
      <c r="BB20" s="848">
        <v>926.32900615359495</v>
      </c>
    </row>
    <row r="21" spans="1:54">
      <c r="A21" s="763"/>
      <c r="B21" s="861" t="s">
        <v>146</v>
      </c>
      <c r="C21" s="851">
        <v>343</v>
      </c>
      <c r="D21" s="851">
        <v>407.2</v>
      </c>
      <c r="E21" s="851">
        <v>442.7</v>
      </c>
      <c r="F21" s="851">
        <v>435.2</v>
      </c>
      <c r="G21" s="851">
        <v>392</v>
      </c>
      <c r="H21" s="851">
        <v>447.7</v>
      </c>
      <c r="I21" s="851">
        <v>463.4</v>
      </c>
      <c r="J21" s="851">
        <v>494.1</v>
      </c>
      <c r="K21" s="851">
        <v>398.4</v>
      </c>
      <c r="L21" s="851">
        <v>452.6</v>
      </c>
      <c r="M21" s="851">
        <v>459.4</v>
      </c>
      <c r="N21" s="851">
        <v>467.2</v>
      </c>
      <c r="O21" s="851">
        <v>399.4</v>
      </c>
      <c r="P21" s="685"/>
      <c r="Q21" s="685"/>
      <c r="R21" s="685"/>
      <c r="S21" s="685"/>
      <c r="V21" s="766"/>
      <c r="W21" s="766"/>
      <c r="X21" s="766"/>
      <c r="Y21" s="766"/>
      <c r="Z21" s="863"/>
      <c r="AA21" s="863"/>
      <c r="AB21" s="685"/>
      <c r="AC21" s="685"/>
      <c r="AD21" s="685"/>
      <c r="AE21" s="685"/>
      <c r="AF21" s="685"/>
      <c r="AG21" s="685"/>
      <c r="AH21" s="685"/>
      <c r="AI21" s="685"/>
      <c r="AJ21" s="685"/>
      <c r="AK21" s="685"/>
      <c r="AL21" s="685"/>
      <c r="AM21" s="685"/>
      <c r="AN21" s="685"/>
      <c r="AO21" s="685"/>
      <c r="AP21" s="685"/>
      <c r="BA21" s="765"/>
      <c r="BB21" s="685"/>
    </row>
    <row r="22" spans="1:54">
      <c r="A22" s="763"/>
      <c r="B22" s="862" t="s">
        <v>6884</v>
      </c>
      <c r="C22" s="848">
        <v>269</v>
      </c>
      <c r="D22" s="848">
        <v>269.2</v>
      </c>
      <c r="E22" s="848">
        <v>278</v>
      </c>
      <c r="F22" s="848">
        <v>296</v>
      </c>
      <c r="G22" s="848">
        <v>310</v>
      </c>
      <c r="H22" s="848">
        <v>296.60000000000002</v>
      </c>
      <c r="I22" s="848">
        <v>296.3</v>
      </c>
      <c r="J22" s="848">
        <v>457.6</v>
      </c>
      <c r="K22" s="848">
        <v>326.10000000000002</v>
      </c>
      <c r="L22" s="848">
        <v>324.8</v>
      </c>
      <c r="M22" s="848">
        <v>329.9</v>
      </c>
      <c r="N22" s="848">
        <v>328.5</v>
      </c>
      <c r="O22" s="848">
        <v>326.5</v>
      </c>
      <c r="P22" s="685"/>
      <c r="Q22" s="685"/>
      <c r="R22" s="685"/>
      <c r="S22" s="685"/>
      <c r="V22" s="766"/>
      <c r="W22" s="766"/>
      <c r="X22" s="766"/>
      <c r="Y22" s="766"/>
      <c r="Z22" s="863"/>
      <c r="AA22" s="863"/>
      <c r="AB22" s="685"/>
      <c r="AC22" s="685"/>
      <c r="AD22" s="685"/>
      <c r="AE22" s="685"/>
      <c r="AF22" s="685"/>
      <c r="AG22" s="685"/>
      <c r="AH22" s="685"/>
      <c r="AI22" s="685"/>
      <c r="AJ22" s="685"/>
      <c r="AK22" s="685"/>
      <c r="AL22" s="685"/>
      <c r="AM22" s="685"/>
      <c r="AN22" s="685"/>
      <c r="AO22" s="685"/>
      <c r="AP22" s="685"/>
      <c r="BA22" s="765"/>
      <c r="BB22" s="685"/>
    </row>
    <row r="23" spans="1:54">
      <c r="A23" s="763"/>
      <c r="B23" s="861" t="s">
        <v>44</v>
      </c>
      <c r="C23" s="851">
        <v>22</v>
      </c>
      <c r="D23" s="851">
        <v>23.8</v>
      </c>
      <c r="E23" s="851">
        <v>34</v>
      </c>
      <c r="F23" s="851">
        <v>21.2</v>
      </c>
      <c r="G23" s="851">
        <v>12</v>
      </c>
      <c r="H23" s="851">
        <v>3.2</v>
      </c>
      <c r="I23" s="851">
        <v>9.6</v>
      </c>
      <c r="J23" s="851">
        <v>11.5</v>
      </c>
      <c r="K23" s="851">
        <v>14.6</v>
      </c>
      <c r="L23" s="851">
        <v>16.2</v>
      </c>
      <c r="M23" s="851">
        <v>17</v>
      </c>
      <c r="N23" s="851">
        <v>25</v>
      </c>
      <c r="O23" s="851">
        <v>14</v>
      </c>
      <c r="P23" s="685"/>
      <c r="Q23" s="685"/>
      <c r="R23" s="685"/>
      <c r="S23" s="685"/>
      <c r="V23" s="766"/>
      <c r="W23" s="766"/>
      <c r="X23" s="766"/>
      <c r="Y23" s="766"/>
      <c r="Z23" s="863"/>
      <c r="AA23" s="863"/>
      <c r="AB23" s="685"/>
      <c r="AC23" s="685"/>
      <c r="AD23" s="685"/>
      <c r="AE23" s="685"/>
      <c r="AF23" s="685"/>
      <c r="AG23" s="685"/>
      <c r="AH23" s="685"/>
      <c r="AI23" s="685"/>
      <c r="AJ23" s="685"/>
      <c r="AK23" s="685"/>
      <c r="AL23" s="685"/>
      <c r="AM23" s="685"/>
      <c r="AN23" s="685"/>
      <c r="AO23" s="685"/>
      <c r="AP23" s="685"/>
      <c r="BA23" s="765"/>
      <c r="BB23" s="685"/>
    </row>
    <row r="24" spans="1:54">
      <c r="A24" s="763"/>
      <c r="B24" s="749" t="s">
        <v>2238</v>
      </c>
      <c r="C24" s="848">
        <f t="shared" ref="C24:O24" si="10">C5</f>
        <v>262</v>
      </c>
      <c r="D24" s="848">
        <f t="shared" si="10"/>
        <v>291.10000000000002</v>
      </c>
      <c r="E24" s="848">
        <f t="shared" si="10"/>
        <v>344.7</v>
      </c>
      <c r="F24" s="848">
        <f t="shared" si="10"/>
        <v>443.2</v>
      </c>
      <c r="G24" s="848">
        <f t="shared" si="10"/>
        <v>297</v>
      </c>
      <c r="H24" s="848">
        <f t="shared" si="10"/>
        <v>348.7</v>
      </c>
      <c r="I24" s="848">
        <f t="shared" si="10"/>
        <v>382.2</v>
      </c>
      <c r="J24" s="848">
        <f t="shared" si="10"/>
        <v>490.3</v>
      </c>
      <c r="K24" s="848">
        <f t="shared" si="10"/>
        <v>331.8</v>
      </c>
      <c r="L24" s="848">
        <f t="shared" si="10"/>
        <v>426.2</v>
      </c>
      <c r="M24" s="848">
        <f t="shared" si="10"/>
        <v>474.2</v>
      </c>
      <c r="N24" s="848">
        <f t="shared" si="10"/>
        <v>536.1</v>
      </c>
      <c r="O24" s="848">
        <f t="shared" si="10"/>
        <v>409.1</v>
      </c>
      <c r="P24" s="685"/>
      <c r="Q24" s="685"/>
      <c r="R24" s="685"/>
      <c r="S24" s="685"/>
      <c r="V24" s="766"/>
      <c r="W24" s="766"/>
      <c r="X24" s="766"/>
      <c r="Y24" s="766"/>
      <c r="Z24" s="863"/>
      <c r="AA24" s="863"/>
      <c r="AB24" s="685"/>
      <c r="AC24" s="685"/>
      <c r="AD24" s="685"/>
      <c r="AE24" s="685"/>
      <c r="AF24" s="685"/>
      <c r="AG24" s="685"/>
      <c r="AH24" s="685"/>
      <c r="AI24" s="685"/>
      <c r="AJ24" s="685"/>
      <c r="AK24" s="685"/>
      <c r="AL24" s="685"/>
      <c r="AM24" s="685"/>
      <c r="AN24" s="685"/>
      <c r="AO24" s="685"/>
      <c r="AP24" s="685"/>
      <c r="BA24" s="1076">
        <f>N24/BB24-1</f>
        <v>3.2236364585019883E-2</v>
      </c>
      <c r="BB24" s="848">
        <v>519.35779283994043</v>
      </c>
    </row>
    <row r="25" spans="1:54">
      <c r="A25" s="763"/>
      <c r="B25" s="861" t="s">
        <v>146</v>
      </c>
      <c r="C25" s="851">
        <v>165</v>
      </c>
      <c r="D25" s="851">
        <v>193</v>
      </c>
      <c r="E25" s="851">
        <v>241</v>
      </c>
      <c r="F25" s="851">
        <v>340.5</v>
      </c>
      <c r="G25" s="851">
        <v>177</v>
      </c>
      <c r="H25" s="851">
        <v>220.9</v>
      </c>
      <c r="I25" s="851">
        <v>261.8</v>
      </c>
      <c r="J25" s="851">
        <v>355.6</v>
      </c>
      <c r="K25" s="851">
        <v>209</v>
      </c>
      <c r="L25" s="851">
        <v>284.89999999999998</v>
      </c>
      <c r="M25" s="851">
        <v>318</v>
      </c>
      <c r="N25" s="851">
        <v>392.8</v>
      </c>
      <c r="O25" s="851">
        <v>248.5</v>
      </c>
      <c r="P25" s="685"/>
      <c r="Q25" s="685"/>
      <c r="R25" s="685"/>
      <c r="S25" s="685"/>
      <c r="V25" s="766"/>
      <c r="W25" s="766"/>
      <c r="X25" s="766"/>
      <c r="Y25" s="766"/>
      <c r="Z25" s="863"/>
      <c r="AA25" s="863"/>
      <c r="AB25" s="685"/>
      <c r="AC25" s="685"/>
      <c r="AD25" s="685"/>
      <c r="AE25" s="685"/>
      <c r="AF25" s="685"/>
      <c r="AG25" s="685"/>
      <c r="AH25" s="685"/>
      <c r="AI25" s="685"/>
      <c r="AJ25" s="685"/>
      <c r="AK25" s="685"/>
      <c r="AL25" s="685"/>
      <c r="AM25" s="685"/>
      <c r="AN25" s="685"/>
      <c r="AO25" s="685"/>
      <c r="AP25" s="685"/>
      <c r="BA25" s="765"/>
      <c r="BB25" s="685"/>
    </row>
    <row r="26" spans="1:54">
      <c r="A26" s="763"/>
      <c r="B26" s="862" t="s">
        <v>6884</v>
      </c>
      <c r="C26" s="848">
        <v>87</v>
      </c>
      <c r="D26" s="848">
        <v>91.8</v>
      </c>
      <c r="E26" s="848">
        <v>90.6</v>
      </c>
      <c r="F26" s="848">
        <v>91.6</v>
      </c>
      <c r="G26" s="848">
        <v>97</v>
      </c>
      <c r="H26" s="848">
        <v>100.8</v>
      </c>
      <c r="I26" s="848">
        <v>103.2</v>
      </c>
      <c r="J26" s="848">
        <v>110.3</v>
      </c>
      <c r="K26" s="848">
        <v>110</v>
      </c>
      <c r="L26" s="848">
        <v>128.5</v>
      </c>
      <c r="M26" s="848">
        <v>143.30000000000001</v>
      </c>
      <c r="N26" s="848">
        <v>122.3</v>
      </c>
      <c r="O26" s="848">
        <v>146.9</v>
      </c>
      <c r="P26" s="685"/>
      <c r="Q26" s="685"/>
      <c r="R26" s="685"/>
      <c r="S26" s="685"/>
      <c r="V26" s="766"/>
      <c r="W26" s="766"/>
      <c r="X26" s="766"/>
      <c r="Y26" s="766"/>
      <c r="Z26" s="863"/>
      <c r="AA26" s="863"/>
      <c r="AB26" s="685"/>
      <c r="AC26" s="685"/>
      <c r="AD26" s="685"/>
      <c r="AE26" s="685"/>
      <c r="AF26" s="685"/>
      <c r="AG26" s="685"/>
      <c r="AH26" s="685"/>
      <c r="AI26" s="685"/>
      <c r="AJ26" s="685"/>
      <c r="AK26" s="685"/>
      <c r="AL26" s="685"/>
      <c r="AM26" s="685"/>
      <c r="AN26" s="685"/>
      <c r="AO26" s="685"/>
      <c r="AP26" s="685"/>
      <c r="BA26" s="765"/>
      <c r="BB26" s="685"/>
    </row>
    <row r="27" spans="1:54">
      <c r="A27" s="763"/>
      <c r="B27" s="861" t="s">
        <v>44</v>
      </c>
      <c r="C27" s="851">
        <v>10</v>
      </c>
      <c r="D27" s="851">
        <v>6.3</v>
      </c>
      <c r="E27" s="851">
        <v>13.1</v>
      </c>
      <c r="F27" s="851">
        <v>11.1</v>
      </c>
      <c r="G27" s="851">
        <v>17</v>
      </c>
      <c r="H27" s="851">
        <v>27</v>
      </c>
      <c r="I27" s="851">
        <v>17.2</v>
      </c>
      <c r="J27" s="851">
        <v>24.4</v>
      </c>
      <c r="K27" s="851">
        <v>12.8</v>
      </c>
      <c r="L27" s="851">
        <v>12.8</v>
      </c>
      <c r="M27" s="851">
        <v>12.9</v>
      </c>
      <c r="N27" s="851">
        <v>21</v>
      </c>
      <c r="O27" s="851">
        <v>13.7</v>
      </c>
      <c r="P27" s="685"/>
      <c r="Q27" s="685"/>
      <c r="R27" s="685"/>
      <c r="S27" s="685"/>
      <c r="V27" s="766"/>
      <c r="W27" s="766"/>
      <c r="X27" s="766"/>
      <c r="Y27" s="766"/>
      <c r="Z27" s="863"/>
      <c r="AA27" s="863"/>
      <c r="AB27" s="685"/>
      <c r="AC27" s="685"/>
      <c r="AD27" s="685"/>
      <c r="AE27" s="685"/>
      <c r="AF27" s="685"/>
      <c r="AG27" s="685"/>
      <c r="AH27" s="685"/>
      <c r="AI27" s="685"/>
      <c r="AJ27" s="685"/>
      <c r="AK27" s="685"/>
      <c r="AL27" s="685"/>
      <c r="AM27" s="685"/>
      <c r="AN27" s="685"/>
      <c r="AO27" s="685"/>
      <c r="AP27" s="685"/>
      <c r="BA27" s="765"/>
      <c r="BB27" s="685"/>
    </row>
    <row r="28" spans="1:54">
      <c r="A28" s="763"/>
      <c r="B28" s="749"/>
      <c r="C28" s="848"/>
      <c r="D28" s="848"/>
      <c r="E28" s="848"/>
      <c r="F28" s="848"/>
      <c r="G28" s="848"/>
      <c r="H28" s="848"/>
      <c r="I28" s="848"/>
      <c r="J28" s="848"/>
      <c r="K28" s="848"/>
      <c r="L28" s="848"/>
      <c r="M28" s="848"/>
      <c r="N28" s="685"/>
      <c r="O28" s="685"/>
      <c r="P28" s="685"/>
      <c r="Q28" s="685"/>
      <c r="R28" s="685"/>
      <c r="S28" s="685"/>
      <c r="V28" s="766"/>
      <c r="W28" s="766"/>
      <c r="X28" s="766"/>
      <c r="Y28" s="766"/>
      <c r="Z28" s="863"/>
      <c r="AA28" s="863"/>
      <c r="AB28" s="685"/>
      <c r="AC28" s="685"/>
      <c r="AD28" s="685"/>
      <c r="AE28" s="685"/>
      <c r="AF28" s="685"/>
      <c r="AG28" s="685"/>
      <c r="AH28" s="685"/>
      <c r="AI28" s="685"/>
      <c r="AJ28" s="685"/>
      <c r="AK28" s="685"/>
      <c r="AL28" s="685"/>
      <c r="AM28" s="685"/>
      <c r="AN28" s="685"/>
      <c r="AO28" s="685"/>
      <c r="AP28" s="685"/>
      <c r="BA28" s="765"/>
      <c r="BB28" s="685"/>
    </row>
    <row r="29" spans="1:54">
      <c r="A29" s="763"/>
      <c r="B29" s="855" t="s">
        <v>4865</v>
      </c>
      <c r="C29" s="856"/>
      <c r="D29" s="856"/>
      <c r="E29" s="856"/>
      <c r="F29" s="856"/>
      <c r="G29" s="855"/>
      <c r="H29" s="856"/>
      <c r="I29" s="856"/>
      <c r="J29" s="856"/>
      <c r="K29" s="855"/>
      <c r="L29" s="856"/>
      <c r="M29" s="856"/>
      <c r="N29" s="856"/>
      <c r="O29" s="856"/>
      <c r="P29" s="685"/>
      <c r="Q29" s="685"/>
      <c r="R29" s="685"/>
      <c r="S29" s="685"/>
      <c r="V29" s="766"/>
      <c r="W29" s="766"/>
      <c r="X29" s="766"/>
      <c r="Y29" s="766"/>
      <c r="Z29" s="863"/>
      <c r="AA29" s="863"/>
      <c r="AB29" s="685"/>
      <c r="AC29" s="685"/>
      <c r="AD29" s="685"/>
      <c r="AE29" s="685"/>
      <c r="AF29" s="685"/>
      <c r="AG29" s="685"/>
      <c r="AH29" s="685"/>
      <c r="AI29" s="685"/>
      <c r="AJ29" s="685"/>
      <c r="AK29" s="685"/>
      <c r="AL29" s="685"/>
      <c r="AM29" s="685"/>
      <c r="AN29" s="685"/>
      <c r="AO29" s="685"/>
      <c r="AP29" s="685"/>
      <c r="BA29" s="765"/>
      <c r="BB29" s="856"/>
    </row>
    <row r="30" spans="1:54">
      <c r="A30" s="763"/>
      <c r="B30" s="749" t="s">
        <v>35</v>
      </c>
      <c r="C30" s="863">
        <f t="shared" ref="C30:L30" si="11">C20/C$19</f>
        <v>0.7075892857142857</v>
      </c>
      <c r="D30" s="863">
        <f t="shared" si="11"/>
        <v>0.70641646489104115</v>
      </c>
      <c r="E30" s="863">
        <f t="shared" si="11"/>
        <v>0.68671519563239314</v>
      </c>
      <c r="F30" s="863">
        <f t="shared" si="11"/>
        <v>0.62930746068919374</v>
      </c>
      <c r="G30" s="863">
        <f t="shared" si="11"/>
        <v>0.70552147239263807</v>
      </c>
      <c r="H30" s="863">
        <f t="shared" si="11"/>
        <v>0.68190111293559563</v>
      </c>
      <c r="I30" s="863">
        <f t="shared" si="11"/>
        <v>0.66808510638297869</v>
      </c>
      <c r="J30" s="863">
        <f t="shared" si="11"/>
        <v>0.6626762985896113</v>
      </c>
      <c r="K30" s="863">
        <f t="shared" si="11"/>
        <v>0.69016714912690258</v>
      </c>
      <c r="L30" s="863">
        <f t="shared" si="11"/>
        <v>0.65059845876373179</v>
      </c>
      <c r="M30" s="863">
        <f t="shared" ref="M30:N30" si="12">M20/M$19</f>
        <v>0.6296759078484967</v>
      </c>
      <c r="N30" s="863">
        <f t="shared" si="12"/>
        <v>0.60487912735849059</v>
      </c>
      <c r="O30" s="863">
        <f t="shared" ref="O30" si="13">O20/O$19</f>
        <v>0.64395126196692776</v>
      </c>
      <c r="P30" s="685"/>
      <c r="Q30" s="685"/>
      <c r="R30" s="685"/>
      <c r="S30" s="685"/>
      <c r="V30" s="766"/>
      <c r="W30" s="766"/>
      <c r="X30" s="766"/>
      <c r="Y30" s="766"/>
      <c r="Z30" s="863"/>
      <c r="AA30" s="863"/>
      <c r="AB30" s="685"/>
      <c r="AC30" s="685"/>
      <c r="AD30" s="685"/>
      <c r="AE30" s="685"/>
      <c r="AF30" s="685"/>
      <c r="AG30" s="685"/>
      <c r="AH30" s="685"/>
      <c r="AI30" s="685"/>
      <c r="AJ30" s="685"/>
      <c r="AK30" s="685"/>
      <c r="AL30" s="685"/>
      <c r="AM30" s="685"/>
      <c r="AN30" s="685"/>
      <c r="AO30" s="685"/>
      <c r="AP30" s="685"/>
      <c r="BA30" s="765"/>
      <c r="BB30" s="863">
        <v>0.64075358978064323</v>
      </c>
    </row>
    <row r="31" spans="1:54">
      <c r="A31" s="763"/>
      <c r="B31" s="850" t="s">
        <v>2238</v>
      </c>
      <c r="C31" s="853">
        <f t="shared" ref="C31:L31" si="14">C24/C$19</f>
        <v>0.2924107142857143</v>
      </c>
      <c r="D31" s="853">
        <f t="shared" si="14"/>
        <v>0.29368442292171104</v>
      </c>
      <c r="E31" s="853">
        <f t="shared" si="14"/>
        <v>0.31364877161055504</v>
      </c>
      <c r="F31" s="853">
        <f t="shared" si="14"/>
        <v>0.37069253931080631</v>
      </c>
      <c r="G31" s="853">
        <f t="shared" si="14"/>
        <v>0.29388482089847617</v>
      </c>
      <c r="H31" s="853">
        <f t="shared" si="14"/>
        <v>0.31809888706440426</v>
      </c>
      <c r="I31" s="853">
        <f t="shared" si="14"/>
        <v>0.33191489361702126</v>
      </c>
      <c r="J31" s="853">
        <f t="shared" si="14"/>
        <v>0.3373237014103887</v>
      </c>
      <c r="K31" s="853">
        <f t="shared" si="14"/>
        <v>0.30983285087309737</v>
      </c>
      <c r="L31" s="853">
        <f t="shared" si="14"/>
        <v>0.34940154123626826</v>
      </c>
      <c r="M31" s="853">
        <f t="shared" ref="M31:N31" si="15">M24/M$19</f>
        <v>0.3703240921515033</v>
      </c>
      <c r="N31" s="853">
        <f t="shared" si="15"/>
        <v>0.39512087264150947</v>
      </c>
      <c r="O31" s="853">
        <f t="shared" ref="O31" si="16">O24/O$19</f>
        <v>0.35604873803307224</v>
      </c>
      <c r="P31" s="685"/>
      <c r="Q31" s="685"/>
      <c r="R31" s="685"/>
      <c r="S31" s="685"/>
      <c r="V31" s="766"/>
      <c r="W31" s="766"/>
      <c r="X31" s="766"/>
      <c r="Y31" s="766"/>
      <c r="Z31" s="863"/>
      <c r="AA31" s="863"/>
      <c r="AB31" s="685"/>
      <c r="AC31" s="685"/>
      <c r="AD31" s="685"/>
      <c r="AE31" s="685"/>
      <c r="AF31" s="685"/>
      <c r="AG31" s="685"/>
      <c r="AH31" s="685"/>
      <c r="AI31" s="685"/>
      <c r="AJ31" s="685"/>
      <c r="AK31" s="685"/>
      <c r="AL31" s="685"/>
      <c r="AM31" s="685"/>
      <c r="AN31" s="685"/>
      <c r="AO31" s="685"/>
      <c r="AP31" s="685"/>
      <c r="BA31" s="765"/>
      <c r="BB31" s="853">
        <v>0.35924641021935683</v>
      </c>
    </row>
    <row r="32" spans="1:54">
      <c r="A32" s="763"/>
      <c r="B32" s="685"/>
      <c r="C32" s="685"/>
      <c r="D32" s="685"/>
      <c r="E32" s="685"/>
      <c r="F32" s="685"/>
      <c r="G32" s="685"/>
      <c r="H32" s="685"/>
      <c r="I32" s="685"/>
      <c r="J32" s="685"/>
      <c r="K32" s="685"/>
      <c r="L32" s="685"/>
      <c r="M32" s="685"/>
      <c r="N32" s="685"/>
      <c r="O32" s="685"/>
      <c r="P32" s="685"/>
      <c r="Q32" s="685"/>
      <c r="R32" s="685"/>
      <c r="S32" s="685"/>
      <c r="V32" s="766"/>
      <c r="W32" s="766"/>
      <c r="X32" s="766"/>
      <c r="Y32" s="766"/>
      <c r="Z32" s="863"/>
      <c r="AA32" s="863"/>
      <c r="AB32" s="685"/>
      <c r="AC32" s="685"/>
      <c r="AD32" s="685"/>
      <c r="AE32" s="685"/>
      <c r="AF32" s="685"/>
      <c r="AG32" s="685"/>
      <c r="AH32" s="685"/>
      <c r="AI32" s="685"/>
      <c r="AJ32" s="685"/>
      <c r="AK32" s="685"/>
      <c r="AL32" s="685"/>
      <c r="AM32" s="685"/>
      <c r="AN32" s="685"/>
      <c r="AO32" s="685"/>
      <c r="AP32" s="685"/>
      <c r="BA32" s="765"/>
      <c r="BB32" s="685"/>
    </row>
    <row r="33" spans="1:54">
      <c r="A33" s="763"/>
      <c r="B33" s="859" t="s">
        <v>57</v>
      </c>
      <c r="C33" s="864">
        <v>372</v>
      </c>
      <c r="D33" s="864">
        <f t="shared" ref="D33:O33" si="17">D12</f>
        <v>406.4</v>
      </c>
      <c r="E33" s="864">
        <f t="shared" si="17"/>
        <v>428.6</v>
      </c>
      <c r="F33" s="864">
        <f t="shared" si="17"/>
        <v>478.5</v>
      </c>
      <c r="G33" s="864">
        <f t="shared" si="17"/>
        <v>401.6</v>
      </c>
      <c r="H33" s="864">
        <f t="shared" si="17"/>
        <v>373.3</v>
      </c>
      <c r="I33" s="864">
        <f t="shared" si="17"/>
        <v>410.9</v>
      </c>
      <c r="J33" s="864">
        <f t="shared" si="17"/>
        <v>504.4</v>
      </c>
      <c r="K33" s="864">
        <f t="shared" si="17"/>
        <v>361</v>
      </c>
      <c r="L33" s="864">
        <f t="shared" si="17"/>
        <v>373.9</v>
      </c>
      <c r="M33" s="864">
        <f t="shared" si="17"/>
        <v>412.2</v>
      </c>
      <c r="N33" s="864">
        <f t="shared" si="17"/>
        <v>468.1</v>
      </c>
      <c r="O33" s="864">
        <f t="shared" si="17"/>
        <v>328.5</v>
      </c>
      <c r="P33" s="685"/>
      <c r="Q33" s="848"/>
      <c r="R33" s="685"/>
      <c r="S33" s="685"/>
      <c r="V33" s="766"/>
      <c r="W33" s="766"/>
      <c r="X33" s="766"/>
      <c r="Y33" s="766"/>
      <c r="Z33" s="863"/>
      <c r="AA33" s="863"/>
      <c r="AB33" s="685"/>
      <c r="AC33" s="685"/>
      <c r="AD33" s="685"/>
      <c r="AE33" s="685"/>
      <c r="AF33" s="685"/>
      <c r="AG33" s="685"/>
      <c r="AH33" s="685"/>
      <c r="AI33" s="685"/>
      <c r="AJ33" s="685"/>
      <c r="AK33" s="685"/>
      <c r="AL33" s="685"/>
      <c r="AM33" s="685"/>
      <c r="AN33" s="685"/>
      <c r="AO33" s="685"/>
      <c r="AP33" s="685"/>
      <c r="BA33" s="1076">
        <f>N33/BB33-1</f>
        <v>-0.12159879902420723</v>
      </c>
      <c r="BB33" s="864">
        <v>532.90000000000009</v>
      </c>
    </row>
    <row r="34" spans="1:54">
      <c r="A34" s="763"/>
      <c r="B34" s="865" t="s">
        <v>158</v>
      </c>
      <c r="C34" s="866">
        <f t="shared" ref="C34:N34" si="18">C33/C19</f>
        <v>0.41517857142857145</v>
      </c>
      <c r="D34" s="866">
        <f t="shared" si="18"/>
        <v>0.41000807102502013</v>
      </c>
      <c r="E34" s="866">
        <f t="shared" si="18"/>
        <v>0.38999090081892634</v>
      </c>
      <c r="F34" s="866">
        <f t="shared" si="18"/>
        <v>0.4002174640347943</v>
      </c>
      <c r="G34" s="866">
        <f t="shared" si="18"/>
        <v>0.39738769048090244</v>
      </c>
      <c r="H34" s="866">
        <f t="shared" si="18"/>
        <v>0.34054004743659916</v>
      </c>
      <c r="I34" s="866">
        <f t="shared" si="18"/>
        <v>0.35683890577507599</v>
      </c>
      <c r="J34" s="866">
        <f t="shared" si="18"/>
        <v>0.34702442380460957</v>
      </c>
      <c r="K34" s="866">
        <f t="shared" si="18"/>
        <v>0.33709963582033803</v>
      </c>
      <c r="L34" s="866">
        <f t="shared" si="18"/>
        <v>0.30652565994425313</v>
      </c>
      <c r="M34" s="866">
        <f t="shared" ref="M34" si="19">M33/M19</f>
        <v>0.32190550566185083</v>
      </c>
      <c r="N34" s="866">
        <f t="shared" si="18"/>
        <v>0.34500294811320759</v>
      </c>
      <c r="O34" s="866">
        <f t="shared" ref="O34" si="20">O33/O19</f>
        <v>0.28590078328981722</v>
      </c>
      <c r="P34" s="685"/>
      <c r="Q34" s="685"/>
      <c r="R34" s="685"/>
      <c r="S34" s="685"/>
      <c r="V34" s="766"/>
      <c r="W34" s="766"/>
      <c r="X34" s="766"/>
      <c r="Y34" s="766"/>
      <c r="Z34" s="863"/>
      <c r="AA34" s="863"/>
      <c r="AB34" s="685"/>
      <c r="AC34" s="685"/>
      <c r="AD34" s="685"/>
      <c r="AE34" s="685"/>
      <c r="AF34" s="685"/>
      <c r="AG34" s="685"/>
      <c r="AH34" s="685"/>
      <c r="AI34" s="685"/>
      <c r="AJ34" s="685"/>
      <c r="AK34" s="685"/>
      <c r="AL34" s="685"/>
      <c r="AM34" s="685"/>
      <c r="AN34" s="685"/>
      <c r="AO34" s="685"/>
      <c r="AP34" s="685"/>
      <c r="BA34" s="765"/>
      <c r="BB34" s="866">
        <v>0.36861372765594647</v>
      </c>
    </row>
    <row r="35" spans="1:54">
      <c r="A35" s="763"/>
      <c r="B35" s="685"/>
      <c r="C35" s="685"/>
      <c r="D35" s="685"/>
      <c r="E35" s="685"/>
      <c r="F35" s="685"/>
      <c r="G35" s="685"/>
      <c r="H35" s="685"/>
      <c r="I35" s="685"/>
      <c r="J35" s="685"/>
      <c r="K35" s="685"/>
      <c r="L35" s="685"/>
      <c r="M35" s="685"/>
      <c r="N35" s="685"/>
      <c r="O35" s="685"/>
      <c r="P35" s="763"/>
      <c r="Q35" s="763"/>
      <c r="R35" s="685"/>
      <c r="S35" s="763"/>
      <c r="T35" s="115"/>
      <c r="U35" s="115"/>
      <c r="V35" s="766"/>
      <c r="W35" s="766"/>
      <c r="X35" s="766"/>
      <c r="Y35" s="766"/>
      <c r="Z35" s="863"/>
      <c r="AA35" s="863"/>
      <c r="AB35" s="685"/>
      <c r="AC35" s="685"/>
      <c r="AD35" s="685"/>
      <c r="AE35" s="685"/>
      <c r="AF35" s="685"/>
      <c r="AG35" s="685"/>
      <c r="AH35" s="685"/>
      <c r="AI35" s="685"/>
      <c r="AJ35" s="685"/>
      <c r="AK35" s="685"/>
      <c r="AL35" s="685"/>
      <c r="AM35" s="685"/>
      <c r="AN35" s="685"/>
      <c r="AO35" s="685"/>
      <c r="AP35" s="685"/>
      <c r="BA35" s="765"/>
      <c r="BB35" s="685"/>
    </row>
    <row r="36" spans="1:54">
      <c r="A36" s="763"/>
      <c r="B36" s="685"/>
      <c r="C36" s="685"/>
      <c r="D36" s="685"/>
      <c r="E36" s="685"/>
      <c r="F36" s="685"/>
      <c r="G36" s="685"/>
      <c r="H36" s="685"/>
      <c r="I36" s="685"/>
      <c r="J36" s="685"/>
      <c r="K36" s="685"/>
      <c r="L36" s="685"/>
      <c r="M36" s="685"/>
      <c r="N36" s="685"/>
      <c r="O36" s="685"/>
      <c r="P36" s="763"/>
      <c r="Q36" s="763"/>
      <c r="R36" s="685"/>
      <c r="S36" s="763"/>
      <c r="T36" s="115"/>
      <c r="U36" s="115"/>
      <c r="V36" s="766"/>
      <c r="W36" s="766"/>
      <c r="X36" s="766"/>
      <c r="Y36" s="766"/>
      <c r="Z36" s="863"/>
      <c r="AA36" s="863"/>
      <c r="AB36" s="685"/>
      <c r="AC36" s="685"/>
      <c r="AD36" s="685"/>
      <c r="AE36" s="685"/>
      <c r="AF36" s="685"/>
      <c r="AG36" s="685"/>
      <c r="AH36" s="685"/>
      <c r="AI36" s="685"/>
      <c r="AJ36" s="685"/>
      <c r="AK36" s="685"/>
      <c r="AL36" s="685"/>
      <c r="AM36" s="685"/>
      <c r="AN36" s="685"/>
      <c r="AO36" s="685"/>
      <c r="AP36" s="685"/>
      <c r="BA36" s="765"/>
      <c r="BB36" s="685"/>
    </row>
    <row r="37" spans="1:54">
      <c r="A37" s="763"/>
      <c r="B37" s="685"/>
      <c r="C37" s="959" t="str">
        <f t="shared" ref="C37:N37" si="21">C18</f>
        <v>Q1 21</v>
      </c>
      <c r="D37" s="959" t="str">
        <f t="shared" si="21"/>
        <v>Q2 21</v>
      </c>
      <c r="E37" s="959" t="str">
        <f t="shared" si="21"/>
        <v>Q3 21</v>
      </c>
      <c r="F37" s="959" t="str">
        <f t="shared" si="21"/>
        <v>Q4 21</v>
      </c>
      <c r="G37" s="959" t="str">
        <f t="shared" si="21"/>
        <v>Q1 22</v>
      </c>
      <c r="H37" s="959" t="str">
        <f t="shared" si="21"/>
        <v>Q2 22</v>
      </c>
      <c r="I37" s="959" t="str">
        <f t="shared" si="21"/>
        <v>Q3 22</v>
      </c>
      <c r="J37" s="959" t="str">
        <f t="shared" si="21"/>
        <v>Q4 22</v>
      </c>
      <c r="K37" s="959" t="str">
        <f t="shared" si="21"/>
        <v>Q1 23</v>
      </c>
      <c r="L37" s="959" t="str">
        <f t="shared" si="21"/>
        <v>Q2 23</v>
      </c>
      <c r="M37" s="959" t="str">
        <f t="shared" si="21"/>
        <v>Q3 23</v>
      </c>
      <c r="N37" s="959" t="str">
        <f t="shared" si="21"/>
        <v>Q4 23</v>
      </c>
      <c r="O37" s="959" t="str">
        <f>O18</f>
        <v>Q1 24</v>
      </c>
      <c r="P37" s="763"/>
      <c r="Q37" s="763"/>
      <c r="R37" s="685"/>
      <c r="S37" s="763"/>
      <c r="T37" s="115"/>
      <c r="U37" s="115"/>
      <c r="V37" s="766"/>
      <c r="W37" s="766"/>
      <c r="X37" s="766"/>
      <c r="Y37" s="766"/>
      <c r="Z37" s="863"/>
      <c r="AA37" s="863"/>
      <c r="AB37" s="685"/>
      <c r="AC37" s="685"/>
      <c r="AD37" s="685"/>
      <c r="AE37" s="685"/>
      <c r="AF37" s="685"/>
      <c r="AG37" s="685"/>
      <c r="AH37" s="685"/>
      <c r="AI37" s="685"/>
      <c r="AJ37" s="685"/>
      <c r="AK37" s="685"/>
      <c r="AL37" s="685"/>
      <c r="AM37" s="685"/>
      <c r="AN37" s="685"/>
      <c r="AO37" s="685"/>
      <c r="AP37" s="685"/>
      <c r="BA37" s="765"/>
      <c r="BB37" s="685"/>
    </row>
    <row r="38" spans="1:54">
      <c r="A38" s="685"/>
      <c r="B38" s="685" t="s">
        <v>146</v>
      </c>
      <c r="C38" s="848">
        <f t="shared" ref="C38:O38" si="22">C21+C25</f>
        <v>508</v>
      </c>
      <c r="D38" s="848">
        <f t="shared" si="22"/>
        <v>600.20000000000005</v>
      </c>
      <c r="E38" s="848">
        <f t="shared" si="22"/>
        <v>683.7</v>
      </c>
      <c r="F38" s="848">
        <f t="shared" si="22"/>
        <v>775.7</v>
      </c>
      <c r="G38" s="848">
        <f t="shared" si="22"/>
        <v>569</v>
      </c>
      <c r="H38" s="848">
        <f t="shared" si="22"/>
        <v>668.6</v>
      </c>
      <c r="I38" s="848">
        <f t="shared" si="22"/>
        <v>725.2</v>
      </c>
      <c r="J38" s="848">
        <f t="shared" si="22"/>
        <v>849.7</v>
      </c>
      <c r="K38" s="848">
        <f t="shared" si="22"/>
        <v>607.4</v>
      </c>
      <c r="L38" s="848">
        <f t="shared" si="22"/>
        <v>737.5</v>
      </c>
      <c r="M38" s="848">
        <f t="shared" si="22"/>
        <v>777.4</v>
      </c>
      <c r="N38" s="848">
        <f t="shared" si="22"/>
        <v>860</v>
      </c>
      <c r="O38" s="848">
        <f t="shared" si="22"/>
        <v>647.9</v>
      </c>
      <c r="P38" s="685"/>
      <c r="Q38" s="685"/>
      <c r="R38" s="685"/>
      <c r="S38" s="685"/>
      <c r="T38" s="115"/>
      <c r="U38" s="115"/>
      <c r="V38" s="685"/>
      <c r="W38" s="685"/>
      <c r="X38" s="685"/>
      <c r="Y38" s="685"/>
      <c r="Z38" s="685"/>
      <c r="AA38" s="685"/>
      <c r="AB38" s="685"/>
      <c r="AC38" s="685"/>
      <c r="AD38" s="685"/>
      <c r="AE38" s="685"/>
      <c r="AF38" s="685"/>
      <c r="AG38" s="685"/>
      <c r="AH38" s="685"/>
      <c r="AI38" s="685"/>
      <c r="AJ38" s="685"/>
      <c r="AK38" s="685"/>
      <c r="AL38" s="685"/>
      <c r="AM38" s="685"/>
      <c r="AN38" s="685"/>
      <c r="AO38" s="685"/>
      <c r="AP38" s="685"/>
      <c r="BA38" s="685"/>
      <c r="BB38" s="685"/>
    </row>
    <row r="39" spans="1:54">
      <c r="A39" s="685"/>
      <c r="B39" s="685" t="s">
        <v>6884</v>
      </c>
      <c r="C39" s="848">
        <f t="shared" ref="C39:O39" si="23">C22+C26</f>
        <v>356</v>
      </c>
      <c r="D39" s="848">
        <f t="shared" si="23"/>
        <v>361</v>
      </c>
      <c r="E39" s="848">
        <f t="shared" si="23"/>
        <v>368.6</v>
      </c>
      <c r="F39" s="848">
        <f t="shared" si="23"/>
        <v>387.6</v>
      </c>
      <c r="G39" s="848">
        <f t="shared" si="23"/>
        <v>407</v>
      </c>
      <c r="H39" s="848">
        <f t="shared" si="23"/>
        <v>397.40000000000003</v>
      </c>
      <c r="I39" s="848">
        <f t="shared" si="23"/>
        <v>399.5</v>
      </c>
      <c r="J39" s="848">
        <f t="shared" si="23"/>
        <v>567.9</v>
      </c>
      <c r="K39" s="848">
        <f t="shared" si="23"/>
        <v>436.1</v>
      </c>
      <c r="L39" s="848">
        <f t="shared" si="23"/>
        <v>453.3</v>
      </c>
      <c r="M39" s="848">
        <f t="shared" si="23"/>
        <v>473.2</v>
      </c>
      <c r="N39" s="848">
        <f t="shared" si="23"/>
        <v>450.8</v>
      </c>
      <c r="O39" s="848">
        <f t="shared" si="23"/>
        <v>473.4</v>
      </c>
      <c r="P39" s="685"/>
      <c r="Q39" s="685"/>
      <c r="R39" s="685"/>
      <c r="S39" s="685"/>
      <c r="T39" s="115"/>
      <c r="U39" s="115"/>
      <c r="V39" s="685"/>
      <c r="W39" s="685"/>
      <c r="X39" s="685"/>
      <c r="Y39" s="685"/>
      <c r="Z39" s="685"/>
      <c r="AA39" s="685"/>
      <c r="AB39" s="685"/>
      <c r="AC39" s="685"/>
      <c r="AD39" s="685"/>
      <c r="AE39" s="685"/>
      <c r="AF39" s="685"/>
      <c r="AG39" s="685"/>
      <c r="AH39" s="685"/>
      <c r="AI39" s="685"/>
      <c r="AJ39" s="685"/>
      <c r="AK39" s="685"/>
      <c r="AL39" s="685"/>
      <c r="AM39" s="685"/>
      <c r="AN39" s="685"/>
      <c r="AO39" s="685"/>
      <c r="AP39" s="685"/>
      <c r="BA39" s="685"/>
      <c r="BB39" s="685"/>
    </row>
    <row r="40" spans="1:54">
      <c r="A40" s="685"/>
      <c r="B40" s="685" t="s">
        <v>44</v>
      </c>
      <c r="C40" s="848">
        <f t="shared" ref="C40:O40" si="24">C23+C27</f>
        <v>32</v>
      </c>
      <c r="D40" s="848">
        <f t="shared" si="24"/>
        <v>30.1</v>
      </c>
      <c r="E40" s="848">
        <f t="shared" si="24"/>
        <v>47.1</v>
      </c>
      <c r="F40" s="848">
        <f t="shared" si="24"/>
        <v>32.299999999999997</v>
      </c>
      <c r="G40" s="848">
        <f t="shared" si="24"/>
        <v>29</v>
      </c>
      <c r="H40" s="848">
        <f t="shared" si="24"/>
        <v>30.2</v>
      </c>
      <c r="I40" s="848">
        <f t="shared" si="24"/>
        <v>26.799999999999997</v>
      </c>
      <c r="J40" s="848">
        <f t="shared" si="24"/>
        <v>35.9</v>
      </c>
      <c r="K40" s="848">
        <f t="shared" si="24"/>
        <v>27.4</v>
      </c>
      <c r="L40" s="848">
        <f t="shared" si="24"/>
        <v>29</v>
      </c>
      <c r="M40" s="848">
        <f t="shared" si="24"/>
        <v>29.9</v>
      </c>
      <c r="N40" s="848">
        <f t="shared" si="24"/>
        <v>46</v>
      </c>
      <c r="O40" s="848">
        <f t="shared" si="24"/>
        <v>27.7</v>
      </c>
      <c r="P40" s="685"/>
      <c r="Q40" s="685"/>
      <c r="R40" s="685"/>
      <c r="S40" s="685"/>
      <c r="T40" s="115"/>
      <c r="U40" s="115"/>
      <c r="V40" s="685"/>
      <c r="W40" s="685"/>
      <c r="X40" s="685"/>
      <c r="Y40" s="685"/>
      <c r="Z40" s="685"/>
      <c r="AA40" s="685"/>
      <c r="AB40" s="685"/>
      <c r="AC40" s="685"/>
      <c r="AD40" s="685"/>
      <c r="AE40" s="685"/>
      <c r="AF40" s="685"/>
      <c r="AG40" s="685"/>
      <c r="AH40" s="685"/>
      <c r="AI40" s="685"/>
      <c r="AJ40" s="685"/>
      <c r="AK40" s="685"/>
      <c r="AL40" s="685"/>
      <c r="AM40" s="685"/>
      <c r="AN40" s="685"/>
      <c r="AO40" s="685"/>
      <c r="AP40" s="685"/>
      <c r="BA40" s="685"/>
      <c r="BB40" s="685"/>
    </row>
    <row r="41" spans="1:54">
      <c r="A41" s="685"/>
      <c r="B41" s="685"/>
      <c r="C41" s="685"/>
      <c r="D41" s="685"/>
      <c r="E41" s="685"/>
      <c r="F41" s="685"/>
      <c r="G41" s="685"/>
      <c r="H41" s="685"/>
      <c r="I41" s="685"/>
      <c r="J41" s="685"/>
      <c r="K41" s="685"/>
      <c r="L41" s="685"/>
      <c r="M41" s="685"/>
      <c r="N41" s="685"/>
      <c r="O41" s="685"/>
      <c r="P41" s="685"/>
      <c r="Q41" s="685"/>
      <c r="R41" s="685"/>
      <c r="S41" s="685"/>
      <c r="T41" s="115"/>
      <c r="U41" s="115"/>
      <c r="V41" s="685"/>
      <c r="W41" s="685"/>
      <c r="X41" s="685"/>
      <c r="Y41" s="685"/>
      <c r="Z41" s="685"/>
      <c r="AA41" s="685"/>
      <c r="AB41" s="685"/>
      <c r="AC41" s="685"/>
      <c r="AD41" s="685"/>
      <c r="AE41" s="685"/>
      <c r="AF41" s="685"/>
      <c r="AG41" s="685"/>
      <c r="AH41" s="685"/>
      <c r="AI41" s="685"/>
      <c r="AJ41" s="685"/>
      <c r="AK41" s="685"/>
      <c r="AL41" s="685"/>
      <c r="AM41" s="685"/>
      <c r="AN41" s="685"/>
      <c r="AO41" s="685"/>
      <c r="AP41" s="685"/>
      <c r="BA41" s="685"/>
      <c r="BB41" s="685"/>
    </row>
    <row r="42" spans="1:54">
      <c r="A42" s="685"/>
      <c r="B42" s="685" t="str">
        <f>B38</f>
        <v>Advertising</v>
      </c>
      <c r="C42" s="685"/>
      <c r="D42" s="685"/>
      <c r="E42" s="685"/>
      <c r="F42" s="685"/>
      <c r="G42" s="750">
        <f t="shared" ref="G42:N44" si="25">G38/C38-1</f>
        <v>0.12007874015748032</v>
      </c>
      <c r="H42" s="750">
        <f t="shared" si="25"/>
        <v>0.11396201266244588</v>
      </c>
      <c r="I42" s="750">
        <f t="shared" si="25"/>
        <v>6.0699137048413121E-2</v>
      </c>
      <c r="J42" s="750">
        <f t="shared" si="25"/>
        <v>9.539770529844005E-2</v>
      </c>
      <c r="K42" s="750">
        <f t="shared" si="25"/>
        <v>6.7486818980667884E-2</v>
      </c>
      <c r="L42" s="750">
        <f t="shared" si="25"/>
        <v>0.10305115166018552</v>
      </c>
      <c r="M42" s="750">
        <f t="shared" si="25"/>
        <v>7.1980143408714836E-2</v>
      </c>
      <c r="N42" s="750">
        <f t="shared" si="25"/>
        <v>1.212192538543011E-2</v>
      </c>
      <c r="O42" s="750">
        <f>O38/K38-1</f>
        <v>6.6677642410273297E-2</v>
      </c>
      <c r="P42" s="685"/>
      <c r="Q42" s="685"/>
      <c r="R42" s="685"/>
      <c r="S42" s="685"/>
      <c r="T42" s="115"/>
      <c r="U42" s="115"/>
      <c r="V42" s="685"/>
      <c r="W42" s="685"/>
      <c r="X42" s="685"/>
      <c r="Y42" s="685"/>
      <c r="Z42" s="685"/>
      <c r="AA42" s="685"/>
      <c r="AB42" s="685"/>
      <c r="AC42" s="685"/>
      <c r="AD42" s="685"/>
      <c r="AE42" s="685"/>
      <c r="AF42" s="685"/>
      <c r="AG42" s="685"/>
      <c r="AH42" s="685"/>
      <c r="AI42" s="685"/>
      <c r="AJ42" s="685"/>
      <c r="AK42" s="685"/>
      <c r="AL42" s="685"/>
      <c r="AM42" s="685"/>
      <c r="AN42" s="685"/>
      <c r="AO42" s="685"/>
      <c r="AP42" s="685"/>
      <c r="BA42" s="685"/>
      <c r="BB42" s="685"/>
    </row>
    <row r="43" spans="1:54">
      <c r="A43" s="685"/>
      <c r="B43" s="685" t="str">
        <f t="shared" ref="B43:B44" si="26">B39</f>
        <v>Subscription &amp; Licensing</v>
      </c>
      <c r="C43" s="685"/>
      <c r="D43" s="685"/>
      <c r="E43" s="685"/>
      <c r="F43" s="685"/>
      <c r="G43" s="750">
        <f t="shared" si="25"/>
        <v>0.14325842696629221</v>
      </c>
      <c r="H43" s="750">
        <f t="shared" si="25"/>
        <v>0.10083102493074803</v>
      </c>
      <c r="I43" s="750">
        <f t="shared" si="25"/>
        <v>8.3830710797612618E-2</v>
      </c>
      <c r="J43" s="750">
        <f t="shared" si="25"/>
        <v>0.46517027863777072</v>
      </c>
      <c r="K43" s="750">
        <f t="shared" si="25"/>
        <v>7.1498771498771596E-2</v>
      </c>
      <c r="L43" s="750">
        <f t="shared" si="25"/>
        <v>0.14066431806743829</v>
      </c>
      <c r="M43" s="750">
        <f t="shared" si="25"/>
        <v>0.18448060075093875</v>
      </c>
      <c r="N43" s="750">
        <f t="shared" si="25"/>
        <v>-0.20619827434407456</v>
      </c>
      <c r="O43" s="750">
        <f t="shared" ref="O43:O44" si="27">O39/K39-1</f>
        <v>8.5530841550103043E-2</v>
      </c>
      <c r="P43" s="685"/>
      <c r="Q43" s="685"/>
      <c r="R43" s="685"/>
      <c r="S43" s="685"/>
      <c r="T43" s="115"/>
      <c r="U43" s="115"/>
      <c r="V43" s="685"/>
      <c r="W43" s="685"/>
      <c r="X43" s="685"/>
      <c r="Y43" s="685"/>
      <c r="Z43" s="685"/>
      <c r="AA43" s="685"/>
      <c r="AB43" s="685"/>
      <c r="AC43" s="685"/>
      <c r="AD43" s="685"/>
      <c r="AE43" s="685"/>
      <c r="AF43" s="685"/>
      <c r="AG43" s="685"/>
      <c r="AH43" s="685"/>
      <c r="AI43" s="685"/>
      <c r="AJ43" s="685"/>
      <c r="AK43" s="685"/>
      <c r="AL43" s="685"/>
      <c r="AM43" s="685"/>
      <c r="AN43" s="685"/>
      <c r="AO43" s="685"/>
      <c r="AP43" s="685"/>
      <c r="BA43" s="685"/>
      <c r="BB43" s="685"/>
    </row>
    <row r="44" spans="1:54">
      <c r="A44" s="685"/>
      <c r="B44" s="685" t="str">
        <f t="shared" si="26"/>
        <v>Other</v>
      </c>
      <c r="C44" s="685"/>
      <c r="D44" s="685"/>
      <c r="E44" s="685"/>
      <c r="F44" s="685"/>
      <c r="G44" s="750">
        <f t="shared" si="25"/>
        <v>-9.375E-2</v>
      </c>
      <c r="H44" s="750">
        <f t="shared" si="25"/>
        <v>3.3222591362125353E-3</v>
      </c>
      <c r="I44" s="750">
        <f t="shared" si="25"/>
        <v>-0.4309978768577496</v>
      </c>
      <c r="J44" s="750">
        <f t="shared" si="25"/>
        <v>0.11145510835913308</v>
      </c>
      <c r="K44" s="750">
        <f t="shared" si="25"/>
        <v>-5.5172413793103448E-2</v>
      </c>
      <c r="L44" s="750">
        <f t="shared" si="25"/>
        <v>-3.9735099337748325E-2</v>
      </c>
      <c r="M44" s="750">
        <f t="shared" si="25"/>
        <v>0.11567164179104483</v>
      </c>
      <c r="N44" s="750">
        <f t="shared" si="25"/>
        <v>0.28133704735376042</v>
      </c>
      <c r="O44" s="750">
        <f t="shared" si="27"/>
        <v>1.0948905109489093E-2</v>
      </c>
      <c r="P44" s="685"/>
      <c r="Q44" s="685"/>
      <c r="R44" s="685"/>
      <c r="S44" s="685"/>
      <c r="T44" s="115"/>
      <c r="U44" s="115"/>
      <c r="V44" s="685"/>
      <c r="W44" s="685"/>
      <c r="X44" s="685"/>
      <c r="Y44" s="685"/>
      <c r="Z44" s="685"/>
      <c r="AA44" s="685"/>
      <c r="AB44" s="685"/>
      <c r="AC44" s="685"/>
      <c r="AD44" s="685"/>
      <c r="AE44" s="685"/>
      <c r="AF44" s="685"/>
      <c r="AG44" s="685"/>
      <c r="AH44" s="685"/>
      <c r="AI44" s="685"/>
      <c r="AJ44" s="685"/>
      <c r="AK44" s="685"/>
      <c r="AL44" s="685"/>
      <c r="AM44" s="685"/>
      <c r="AN44" s="685"/>
      <c r="AO44" s="685"/>
      <c r="AP44" s="685"/>
      <c r="BA44" s="685"/>
      <c r="BB44" s="685"/>
    </row>
    <row r="45" spans="1:54">
      <c r="A45" s="763"/>
      <c r="B45" s="685"/>
      <c r="C45" s="685"/>
      <c r="D45" s="685"/>
      <c r="E45" s="685"/>
      <c r="F45" s="685"/>
      <c r="G45" s="685"/>
      <c r="H45" s="685"/>
      <c r="I45" s="685"/>
      <c r="J45" s="685"/>
      <c r="K45" s="685"/>
      <c r="L45" s="685"/>
      <c r="M45" s="685"/>
      <c r="N45" s="685"/>
      <c r="O45" s="685"/>
      <c r="P45" s="763"/>
      <c r="Q45" s="763"/>
      <c r="R45" s="685"/>
      <c r="S45" s="763"/>
      <c r="T45" s="115"/>
      <c r="U45" s="115"/>
      <c r="V45" s="766"/>
      <c r="W45" s="766"/>
      <c r="X45" s="766"/>
      <c r="Y45" s="766"/>
      <c r="Z45" s="863"/>
      <c r="AA45" s="863"/>
      <c r="AB45" s="685"/>
      <c r="AC45" s="685"/>
      <c r="AD45" s="685"/>
      <c r="AE45" s="685"/>
      <c r="AF45" s="685"/>
      <c r="AG45" s="685"/>
      <c r="AH45" s="685"/>
      <c r="AI45" s="685"/>
      <c r="AJ45" s="685"/>
      <c r="AK45" s="685"/>
      <c r="AL45" s="685"/>
      <c r="AM45" s="685"/>
      <c r="AN45" s="685"/>
      <c r="AO45" s="685"/>
      <c r="AP45" s="685"/>
      <c r="BA45" s="765"/>
      <c r="BB45" s="685"/>
    </row>
    <row r="46" spans="1:54">
      <c r="A46" s="763"/>
      <c r="B46" s="685"/>
      <c r="C46" s="685"/>
      <c r="D46" s="685"/>
      <c r="E46" s="685"/>
      <c r="F46" s="685"/>
      <c r="G46" s="685"/>
      <c r="H46" s="685"/>
      <c r="I46" s="685"/>
      <c r="J46" s="685"/>
      <c r="K46" s="685"/>
      <c r="L46" s="685"/>
      <c r="M46" s="685"/>
      <c r="N46" s="685"/>
      <c r="O46" s="685"/>
      <c r="P46" s="763"/>
      <c r="Q46" s="763"/>
      <c r="R46" s="685"/>
      <c r="S46" s="763"/>
      <c r="T46" s="115"/>
      <c r="U46" s="115"/>
      <c r="V46" s="766"/>
      <c r="W46" s="766"/>
      <c r="X46" s="766"/>
      <c r="Y46" s="766"/>
      <c r="Z46" s="863"/>
      <c r="AA46" s="863"/>
      <c r="AB46" s="685"/>
      <c r="AC46" s="685"/>
      <c r="AD46" s="685"/>
      <c r="AE46" s="685"/>
      <c r="AF46" s="685"/>
      <c r="AG46" s="685"/>
      <c r="AH46" s="685"/>
      <c r="AI46" s="685"/>
      <c r="AJ46" s="685"/>
      <c r="AK46" s="685"/>
      <c r="AL46" s="685"/>
      <c r="AM46" s="685"/>
      <c r="AN46" s="685"/>
      <c r="AO46" s="685"/>
      <c r="AP46" s="685"/>
      <c r="BA46" s="765"/>
      <c r="BB46" s="685"/>
    </row>
    <row r="47" spans="1:54">
      <c r="A47" s="763"/>
      <c r="B47" s="685" t="s">
        <v>7688</v>
      </c>
      <c r="C47" s="685"/>
      <c r="D47" s="685"/>
      <c r="E47" s="685"/>
      <c r="F47" s="685"/>
      <c r="G47" s="869">
        <f t="shared" ref="G47:O47" si="28">G33/C33-1</f>
        <v>7.9569892473118298E-2</v>
      </c>
      <c r="H47" s="869">
        <f t="shared" si="28"/>
        <v>-8.1446850393700698E-2</v>
      </c>
      <c r="I47" s="869">
        <f t="shared" si="28"/>
        <v>-4.1297246850210079E-2</v>
      </c>
      <c r="J47" s="869">
        <f t="shared" si="28"/>
        <v>5.412748171368853E-2</v>
      </c>
      <c r="K47" s="869">
        <f t="shared" si="28"/>
        <v>-0.1010956175298805</v>
      </c>
      <c r="L47" s="869">
        <f t="shared" si="28"/>
        <v>1.6072863648539659E-3</v>
      </c>
      <c r="M47" s="869">
        <f t="shared" si="28"/>
        <v>3.1637868094427368E-3</v>
      </c>
      <c r="N47" s="869">
        <f t="shared" si="28"/>
        <v>-7.1966693100713686E-2</v>
      </c>
      <c r="O47" s="869">
        <f t="shared" si="28"/>
        <v>-9.0027700831024959E-2</v>
      </c>
      <c r="P47" s="845"/>
      <c r="Q47" s="763"/>
      <c r="R47" s="685"/>
      <c r="S47" s="763"/>
      <c r="T47" s="115"/>
      <c r="U47" s="115"/>
      <c r="V47" s="766"/>
      <c r="W47" s="766"/>
      <c r="X47" s="766"/>
      <c r="Y47" s="766"/>
      <c r="Z47" s="863"/>
      <c r="AA47" s="863"/>
      <c r="AB47" s="685"/>
      <c r="AC47" s="685"/>
      <c r="AD47" s="685"/>
      <c r="AE47" s="685"/>
      <c r="AF47" s="685"/>
      <c r="AG47" s="685"/>
      <c r="AH47" s="685"/>
      <c r="AI47" s="685"/>
      <c r="AJ47" s="685"/>
      <c r="AK47" s="685"/>
      <c r="AL47" s="685"/>
      <c r="AM47" s="685"/>
      <c r="AN47" s="685"/>
      <c r="AO47" s="685"/>
      <c r="AP47" s="685"/>
      <c r="BA47" s="765"/>
      <c r="BB47" s="867"/>
    </row>
    <row r="48" spans="1:54">
      <c r="A48" s="763"/>
      <c r="B48" s="685"/>
      <c r="C48" s="685"/>
      <c r="D48" s="685"/>
      <c r="E48" s="685"/>
      <c r="F48" s="685"/>
      <c r="G48" s="685"/>
      <c r="H48" s="685"/>
      <c r="I48" s="685"/>
      <c r="J48" s="685"/>
      <c r="K48" s="685"/>
      <c r="L48" s="685"/>
      <c r="M48" s="685"/>
      <c r="N48" s="685"/>
      <c r="O48" s="685"/>
      <c r="P48" s="763"/>
      <c r="Q48" s="763"/>
      <c r="R48" s="685"/>
      <c r="S48" s="763"/>
      <c r="T48" s="115"/>
      <c r="U48" s="115"/>
      <c r="V48" s="766"/>
      <c r="W48" s="766"/>
      <c r="X48" s="766"/>
      <c r="Y48" s="766"/>
      <c r="Z48" s="863"/>
      <c r="AA48" s="863"/>
      <c r="AB48" s="685"/>
      <c r="AC48" s="685"/>
      <c r="AD48" s="685"/>
      <c r="AE48" s="685"/>
      <c r="AF48" s="685"/>
      <c r="AG48" s="685"/>
      <c r="AH48" s="685"/>
      <c r="AI48" s="685"/>
      <c r="AJ48" s="685"/>
      <c r="AK48" s="685"/>
      <c r="AL48" s="685"/>
      <c r="AM48" s="685"/>
      <c r="AN48" s="685"/>
      <c r="AO48" s="685"/>
      <c r="AP48" s="685"/>
      <c r="BA48" s="765"/>
      <c r="BB48" s="685"/>
    </row>
    <row r="49" spans="1:54">
      <c r="A49" s="763"/>
      <c r="B49" s="685"/>
      <c r="C49" s="685"/>
      <c r="D49" s="685"/>
      <c r="E49" s="685"/>
      <c r="F49" s="685"/>
      <c r="G49" s="685"/>
      <c r="H49" s="685"/>
      <c r="I49" s="685"/>
      <c r="J49" s="685"/>
      <c r="K49" s="685"/>
      <c r="L49" s="685"/>
      <c r="M49" s="685"/>
      <c r="N49" s="685"/>
      <c r="O49" s="685"/>
      <c r="P49" s="763"/>
      <c r="Q49" s="763"/>
      <c r="R49" s="685"/>
      <c r="S49" s="763"/>
      <c r="T49" s="115"/>
      <c r="U49" s="115"/>
      <c r="V49" s="766"/>
      <c r="W49" s="766"/>
      <c r="X49" s="766"/>
      <c r="Y49" s="766"/>
      <c r="Z49" s="863"/>
      <c r="AA49" s="863"/>
      <c r="AB49" s="685"/>
      <c r="AC49" s="685"/>
      <c r="AD49" s="685"/>
      <c r="AE49" s="685"/>
      <c r="AF49" s="685"/>
      <c r="AG49" s="685"/>
      <c r="AH49" s="685"/>
      <c r="AI49" s="685"/>
      <c r="AJ49" s="685"/>
      <c r="AK49" s="685"/>
      <c r="AL49" s="685"/>
      <c r="AM49" s="685"/>
      <c r="AN49" s="685"/>
      <c r="AO49" s="685"/>
      <c r="AP49" s="685"/>
      <c r="BA49" s="765"/>
      <c r="BB49" s="685"/>
    </row>
    <row r="50" spans="1:54">
      <c r="A50" s="763"/>
      <c r="B50" s="685" t="s">
        <v>1654</v>
      </c>
      <c r="C50" s="848">
        <f t="shared" ref="C50:O50" si="29">C19-C33</f>
        <v>524</v>
      </c>
      <c r="D50" s="848">
        <f t="shared" si="29"/>
        <v>584.80000000000007</v>
      </c>
      <c r="E50" s="848">
        <f t="shared" si="29"/>
        <v>670.4</v>
      </c>
      <c r="F50" s="848">
        <f t="shared" si="29"/>
        <v>717.09999999999991</v>
      </c>
      <c r="G50" s="848">
        <f t="shared" si="29"/>
        <v>609</v>
      </c>
      <c r="H50" s="848">
        <f t="shared" si="29"/>
        <v>722.90000000000009</v>
      </c>
      <c r="I50" s="848">
        <f t="shared" si="29"/>
        <v>740.6</v>
      </c>
      <c r="J50" s="848">
        <f t="shared" si="29"/>
        <v>949.1</v>
      </c>
      <c r="K50" s="848">
        <f t="shared" si="29"/>
        <v>709.90000000000009</v>
      </c>
      <c r="L50" s="848">
        <f t="shared" si="29"/>
        <v>845.9</v>
      </c>
      <c r="M50" s="848">
        <f t="shared" si="29"/>
        <v>868.3</v>
      </c>
      <c r="N50" s="848">
        <f t="shared" si="29"/>
        <v>888.69999999999993</v>
      </c>
      <c r="O50" s="848">
        <f t="shared" si="29"/>
        <v>820.5</v>
      </c>
      <c r="P50" s="763"/>
      <c r="Q50" s="763"/>
      <c r="R50" s="685"/>
      <c r="S50" s="763"/>
      <c r="T50" s="115"/>
      <c r="U50" s="115"/>
      <c r="V50" s="766"/>
      <c r="W50" s="766"/>
      <c r="X50" s="766"/>
      <c r="Y50" s="766"/>
      <c r="Z50" s="863"/>
      <c r="AA50" s="863"/>
      <c r="AB50" s="685"/>
      <c r="AC50" s="685"/>
      <c r="AD50" s="685"/>
      <c r="AE50" s="685"/>
      <c r="AF50" s="685"/>
      <c r="AG50" s="685"/>
      <c r="AH50" s="685"/>
      <c r="AI50" s="685"/>
      <c r="AJ50" s="685"/>
      <c r="AK50" s="685"/>
      <c r="AL50" s="685"/>
      <c r="AM50" s="685"/>
      <c r="AN50" s="685"/>
      <c r="AO50" s="685"/>
      <c r="AP50" s="685"/>
      <c r="BA50" s="1076">
        <f>N50/BB50-1</f>
        <v>-2.6388198229963633E-2</v>
      </c>
      <c r="BB50" s="848">
        <v>912.78679899353529</v>
      </c>
    </row>
    <row r="51" spans="1:54">
      <c r="A51" s="763"/>
      <c r="B51" s="685" t="s">
        <v>7476</v>
      </c>
      <c r="C51" s="848"/>
      <c r="D51" s="848"/>
      <c r="E51" s="848"/>
      <c r="F51" s="848">
        <f t="shared" ref="F51:M51" si="30">SUM(C50:F50)</f>
        <v>2496.3000000000002</v>
      </c>
      <c r="G51" s="848">
        <f t="shared" si="30"/>
        <v>2581.3000000000002</v>
      </c>
      <c r="H51" s="848">
        <f t="shared" si="30"/>
        <v>2719.4</v>
      </c>
      <c r="I51" s="848">
        <f t="shared" si="30"/>
        <v>2789.6</v>
      </c>
      <c r="J51" s="848">
        <f t="shared" si="30"/>
        <v>3021.6</v>
      </c>
      <c r="K51" s="848">
        <f>SUM(H50:K50)</f>
        <v>3122.5</v>
      </c>
      <c r="L51" s="848">
        <f>SUM(I50:L50)</f>
        <v>3245.5000000000005</v>
      </c>
      <c r="M51" s="848">
        <f t="shared" si="30"/>
        <v>3373.2</v>
      </c>
      <c r="N51" s="848">
        <f>K50+L50+M50+N50</f>
        <v>3312.8</v>
      </c>
      <c r="O51" s="848">
        <f>L50+M50+N50+O50</f>
        <v>3423.3999999999996</v>
      </c>
      <c r="P51" s="763"/>
      <c r="Q51" s="763"/>
      <c r="R51" s="685"/>
      <c r="S51" s="763"/>
      <c r="T51" s="115"/>
      <c r="U51" s="115"/>
      <c r="V51" s="766"/>
      <c r="W51" s="766"/>
      <c r="X51" s="766"/>
      <c r="Y51" s="766"/>
      <c r="Z51" s="863"/>
      <c r="AA51" s="863"/>
      <c r="AB51" s="685"/>
      <c r="AC51" s="685"/>
      <c r="AD51" s="685"/>
      <c r="AE51" s="685"/>
      <c r="AF51" s="685"/>
      <c r="AG51" s="685"/>
      <c r="AH51" s="685"/>
      <c r="AI51" s="685"/>
      <c r="AJ51" s="685"/>
      <c r="AK51" s="685"/>
      <c r="AL51" s="685"/>
      <c r="AM51" s="685"/>
      <c r="AN51" s="685"/>
      <c r="AO51" s="685"/>
      <c r="AP51" s="685"/>
      <c r="BA51" s="1076">
        <f>N51/BB51-1</f>
        <v>-7.2183446561029374E-3</v>
      </c>
      <c r="BB51" s="848">
        <v>3336.8867989935356</v>
      </c>
    </row>
    <row r="52" spans="1:54">
      <c r="A52" s="763"/>
      <c r="B52" s="685"/>
      <c r="C52" s="685"/>
      <c r="D52" s="685"/>
      <c r="E52" s="685"/>
      <c r="F52" s="685"/>
      <c r="G52" s="685"/>
      <c r="H52" s="685"/>
      <c r="I52" s="685"/>
      <c r="J52" s="685"/>
      <c r="K52" s="685"/>
      <c r="L52" s="848">
        <f>L51-F51</f>
        <v>749.20000000000027</v>
      </c>
      <c r="M52" s="848">
        <f>M51-H51</f>
        <v>653.79999999999973</v>
      </c>
      <c r="N52" s="848">
        <f>N51-I51</f>
        <v>523.20000000000027</v>
      </c>
      <c r="O52" s="848">
        <f>O51-J51</f>
        <v>401.79999999999973</v>
      </c>
      <c r="P52" s="763"/>
      <c r="Q52" s="763"/>
      <c r="R52" s="685"/>
      <c r="S52" s="763"/>
      <c r="T52" s="115"/>
      <c r="U52" s="115"/>
      <c r="V52" s="766"/>
      <c r="W52" s="766"/>
      <c r="X52" s="766"/>
      <c r="Y52" s="766"/>
      <c r="Z52" s="863"/>
      <c r="AA52" s="863"/>
      <c r="AB52" s="685"/>
      <c r="AC52" s="685"/>
      <c r="AD52" s="685"/>
      <c r="AE52" s="685"/>
      <c r="AF52" s="685"/>
      <c r="AG52" s="685"/>
      <c r="AH52" s="685"/>
      <c r="AI52" s="685"/>
      <c r="AJ52" s="685"/>
      <c r="AK52" s="685"/>
      <c r="AL52" s="685"/>
      <c r="AM52" s="685"/>
      <c r="AN52" s="685"/>
      <c r="AO52" s="685"/>
      <c r="AP52" s="685"/>
      <c r="BA52" s="1076">
        <f>N52/BB52-1</f>
        <v>-4.4011291772122485E-2</v>
      </c>
      <c r="BB52" s="848">
        <v>547.28679899353574</v>
      </c>
    </row>
    <row r="53" spans="1:54">
      <c r="A53" s="763"/>
      <c r="B53" s="685"/>
      <c r="C53" s="685"/>
      <c r="D53" s="685"/>
      <c r="E53" s="685"/>
      <c r="F53" s="685"/>
      <c r="G53" s="685"/>
      <c r="H53" s="685"/>
      <c r="I53" s="685"/>
      <c r="J53" s="685"/>
      <c r="K53" s="685"/>
      <c r="L53" s="848"/>
      <c r="M53" s="848"/>
      <c r="N53" s="848"/>
      <c r="O53" s="848"/>
      <c r="P53" s="763"/>
      <c r="Q53" s="763"/>
      <c r="R53" s="685"/>
      <c r="S53" s="763"/>
      <c r="T53" s="115"/>
      <c r="U53" s="115"/>
      <c r="V53" s="766"/>
      <c r="W53" s="766"/>
      <c r="X53" s="766"/>
      <c r="Y53" s="766"/>
      <c r="Z53" s="863"/>
      <c r="AA53" s="863"/>
      <c r="AB53" s="685"/>
      <c r="AC53" s="685"/>
      <c r="AD53" s="685"/>
      <c r="AE53" s="685"/>
      <c r="AF53" s="685"/>
      <c r="AG53" s="685"/>
      <c r="AH53" s="685"/>
      <c r="AI53" s="685"/>
      <c r="AJ53" s="685"/>
      <c r="AK53" s="685"/>
      <c r="AL53" s="685"/>
      <c r="AM53" s="685"/>
      <c r="AN53" s="685"/>
      <c r="AO53" s="685"/>
      <c r="AP53" s="685"/>
      <c r="BA53" s="765"/>
      <c r="BB53" s="848"/>
    </row>
    <row r="54" spans="1:54">
      <c r="A54" s="763"/>
      <c r="B54" s="857" t="str">
        <f>B18</f>
        <v>USD million</v>
      </c>
      <c r="C54" s="857"/>
      <c r="D54" s="857"/>
      <c r="E54" s="857"/>
      <c r="F54" s="857"/>
      <c r="G54" s="858" t="str">
        <f t="shared" ref="G54:O54" si="31">G18</f>
        <v>Q1 22</v>
      </c>
      <c r="H54" s="858" t="str">
        <f t="shared" si="31"/>
        <v>Q2 22</v>
      </c>
      <c r="I54" s="858" t="str">
        <f t="shared" si="31"/>
        <v>Q3 22</v>
      </c>
      <c r="J54" s="858" t="str">
        <f t="shared" si="31"/>
        <v>Q4 22</v>
      </c>
      <c r="K54" s="858" t="str">
        <f t="shared" si="31"/>
        <v>Q1 23</v>
      </c>
      <c r="L54" s="858" t="str">
        <f t="shared" si="31"/>
        <v>Q2 23</v>
      </c>
      <c r="M54" s="858" t="str">
        <f t="shared" si="31"/>
        <v>Q3 23</v>
      </c>
      <c r="N54" s="858" t="str">
        <f t="shared" si="31"/>
        <v>Q4 23</v>
      </c>
      <c r="O54" s="858" t="str">
        <f t="shared" si="31"/>
        <v>Q1 24</v>
      </c>
      <c r="P54" s="763"/>
      <c r="Q54" s="763"/>
      <c r="R54" s="685"/>
      <c r="S54" s="763"/>
      <c r="T54" s="115"/>
      <c r="U54" s="115"/>
      <c r="V54" s="766"/>
      <c r="W54" s="766"/>
      <c r="X54" s="766"/>
      <c r="Y54" s="766"/>
      <c r="Z54" s="863"/>
      <c r="AA54" s="863"/>
      <c r="AB54" s="685"/>
      <c r="AC54" s="685"/>
      <c r="AD54" s="685"/>
      <c r="AE54" s="685"/>
      <c r="AF54" s="685"/>
      <c r="AG54" s="685"/>
      <c r="AH54" s="685"/>
      <c r="AI54" s="685"/>
      <c r="AJ54" s="685"/>
      <c r="AK54" s="685"/>
      <c r="AL54" s="685"/>
      <c r="AM54" s="685"/>
      <c r="AN54" s="685"/>
      <c r="AO54" s="685"/>
      <c r="AP54" s="685"/>
      <c r="BA54" s="765"/>
      <c r="BB54" s="858" t="s">
        <v>7465</v>
      </c>
    </row>
    <row r="55" spans="1:54">
      <c r="A55" s="763"/>
      <c r="B55" s="846" t="s">
        <v>57</v>
      </c>
      <c r="C55" s="846"/>
      <c r="D55" s="846"/>
      <c r="E55" s="846"/>
      <c r="F55" s="846"/>
      <c r="G55" s="847">
        <f t="shared" ref="G55:O55" si="32">G33</f>
        <v>401.6</v>
      </c>
      <c r="H55" s="847">
        <f t="shared" si="32"/>
        <v>373.3</v>
      </c>
      <c r="I55" s="847">
        <f t="shared" si="32"/>
        <v>410.9</v>
      </c>
      <c r="J55" s="847">
        <f t="shared" si="32"/>
        <v>504.4</v>
      </c>
      <c r="K55" s="847">
        <f t="shared" si="32"/>
        <v>361</v>
      </c>
      <c r="L55" s="847">
        <f t="shared" si="32"/>
        <v>373.9</v>
      </c>
      <c r="M55" s="847">
        <f t="shared" si="32"/>
        <v>412.2</v>
      </c>
      <c r="N55" s="847">
        <f t="shared" si="32"/>
        <v>468.1</v>
      </c>
      <c r="O55" s="847">
        <f t="shared" si="32"/>
        <v>328.5</v>
      </c>
      <c r="P55" s="763"/>
      <c r="Q55" s="763"/>
      <c r="R55" s="685"/>
      <c r="S55" s="763"/>
      <c r="T55" s="115"/>
      <c r="U55" s="115"/>
      <c r="V55" s="766"/>
      <c r="W55" s="766"/>
      <c r="X55" s="766"/>
      <c r="Y55" s="766"/>
      <c r="Z55" s="863"/>
      <c r="AA55" s="863"/>
      <c r="AB55" s="685"/>
      <c r="AC55" s="685"/>
      <c r="AD55" s="685"/>
      <c r="AE55" s="685"/>
      <c r="AF55" s="685"/>
      <c r="AG55" s="685"/>
      <c r="AH55" s="685"/>
      <c r="AI55" s="685"/>
      <c r="AJ55" s="685"/>
      <c r="AK55" s="685"/>
      <c r="AL55" s="685"/>
      <c r="AM55" s="685"/>
      <c r="AN55" s="685"/>
      <c r="AO55" s="685"/>
      <c r="AP55" s="685"/>
      <c r="BA55" s="1076">
        <f>N55/BB55-1</f>
        <v>-0.12159879902420723</v>
      </c>
      <c r="BB55" s="847">
        <v>532.90000000000009</v>
      </c>
    </row>
    <row r="56" spans="1:54">
      <c r="A56" s="763"/>
      <c r="B56" s="685" t="s">
        <v>201</v>
      </c>
      <c r="C56" s="685"/>
      <c r="D56" s="685"/>
      <c r="E56" s="685"/>
      <c r="F56" s="685"/>
      <c r="G56" s="848">
        <v>-26.4</v>
      </c>
      <c r="H56" s="848">
        <f>-51.8-G56</f>
        <v>-25.4</v>
      </c>
      <c r="I56" s="848">
        <f>-87.3-G56-H56</f>
        <v>-35.5</v>
      </c>
      <c r="J56" s="848">
        <f>-159.1-G56-H56-I56</f>
        <v>-71.799999999999983</v>
      </c>
      <c r="K56" s="848">
        <v>-52</v>
      </c>
      <c r="L56" s="848">
        <f>-96.7-K56</f>
        <v>-44.7</v>
      </c>
      <c r="M56" s="848">
        <f>-133.6-K56-L56</f>
        <v>-36.899999999999991</v>
      </c>
      <c r="N56" s="848">
        <f>-168.4-K56-L56-M56</f>
        <v>-34.800000000000011</v>
      </c>
      <c r="O56" s="848">
        <v>-40</v>
      </c>
      <c r="P56" s="763"/>
      <c r="Q56" s="763"/>
      <c r="R56" s="685"/>
      <c r="S56" s="763"/>
      <c r="T56" s="115"/>
      <c r="U56" s="115"/>
      <c r="V56" s="766"/>
      <c r="W56" s="766"/>
      <c r="X56" s="766"/>
      <c r="Y56" s="766"/>
      <c r="Z56" s="863"/>
      <c r="AA56" s="863"/>
      <c r="AB56" s="685"/>
      <c r="AC56" s="685"/>
      <c r="AD56" s="685"/>
      <c r="AE56" s="685"/>
      <c r="AF56" s="685"/>
      <c r="AG56" s="685"/>
      <c r="AH56" s="685"/>
      <c r="AI56" s="685"/>
      <c r="AJ56" s="685"/>
      <c r="AK56" s="685"/>
      <c r="AL56" s="685"/>
      <c r="AM56" s="685"/>
      <c r="AN56" s="685"/>
      <c r="AO56" s="685"/>
      <c r="AP56" s="685"/>
      <c r="BA56" s="1076">
        <f>N56/BB56-1</f>
        <v>-0.17125173163869656</v>
      </c>
      <c r="BB56" s="849">
        <v>-41.991037964773767</v>
      </c>
    </row>
    <row r="57" spans="1:54">
      <c r="A57" s="763"/>
      <c r="B57" s="846" t="s">
        <v>531</v>
      </c>
      <c r="C57" s="846"/>
      <c r="D57" s="846"/>
      <c r="E57" s="846"/>
      <c r="F57" s="846"/>
      <c r="G57" s="851">
        <f>-114.8+0.5</f>
        <v>-114.3</v>
      </c>
      <c r="H57" s="851">
        <f>-(239+3.3)-G57</f>
        <v>-128</v>
      </c>
      <c r="I57" s="851">
        <f>(-377+6)-G57-H57</f>
        <v>-128.69999999999999</v>
      </c>
      <c r="J57" s="851">
        <f>(-572+11)-G57-H57-I57</f>
        <v>-190</v>
      </c>
      <c r="K57" s="851">
        <f>-(160.7-2.7+3.7)</f>
        <v>-161.69999999999999</v>
      </c>
      <c r="L57" s="851">
        <f>-170.3+7.2-3.6-16.7</f>
        <v>-183.4</v>
      </c>
      <c r="M57" s="851">
        <f>(-504+15.6)-K57-L57</f>
        <v>-143.29999999999998</v>
      </c>
      <c r="N57" s="851">
        <f>(-680.4+19.8)-K57-L57-M57</f>
        <v>-172.20000000000002</v>
      </c>
      <c r="O57" s="851">
        <f>-(179.1-4+4.6-1.7)</f>
        <v>-178</v>
      </c>
      <c r="P57" s="763"/>
      <c r="Q57" s="763"/>
      <c r="R57" s="685"/>
      <c r="S57" s="763"/>
      <c r="T57" s="115"/>
      <c r="U57" s="115"/>
      <c r="V57" s="766"/>
      <c r="W57" s="766"/>
      <c r="X57" s="766"/>
      <c r="Y57" s="766"/>
      <c r="Z57" s="863"/>
      <c r="AA57" s="863"/>
      <c r="AB57" s="685"/>
      <c r="AC57" s="685"/>
      <c r="AD57" s="685"/>
      <c r="AE57" s="685"/>
      <c r="AF57" s="685"/>
      <c r="AG57" s="685"/>
      <c r="AH57" s="685"/>
      <c r="AI57" s="685"/>
      <c r="AJ57" s="685"/>
      <c r="AK57" s="685"/>
      <c r="AL57" s="685"/>
      <c r="AM57" s="685"/>
      <c r="AN57" s="685"/>
      <c r="AO57" s="685"/>
      <c r="AP57" s="685"/>
      <c r="BA57" s="1076">
        <f>N57/BB57-1</f>
        <v>-0.18620037807183354</v>
      </c>
      <c r="BB57" s="851">
        <v>-211.6</v>
      </c>
    </row>
    <row r="58" spans="1:54">
      <c r="A58" s="763"/>
      <c r="B58" s="685" t="s">
        <v>192</v>
      </c>
      <c r="C58" s="685"/>
      <c r="D58" s="685"/>
      <c r="E58" s="685"/>
      <c r="F58" s="685"/>
      <c r="G58" s="848">
        <v>-20</v>
      </c>
      <c r="H58" s="848">
        <f>-19-G58</f>
        <v>1</v>
      </c>
      <c r="I58" s="848">
        <f>-45-G58-H58</f>
        <v>-26</v>
      </c>
      <c r="J58" s="848">
        <f>-131.5-G58-H58-I58</f>
        <v>-86.5</v>
      </c>
      <c r="K58" s="848">
        <v>-41.3</v>
      </c>
      <c r="L58" s="848">
        <f>-50.3-K58</f>
        <v>-9</v>
      </c>
      <c r="M58" s="848">
        <f>-75.7-K58-L58</f>
        <v>-25.400000000000006</v>
      </c>
      <c r="N58" s="848">
        <f>-41.1-K58-L58-M58</f>
        <v>34.6</v>
      </c>
      <c r="O58" s="848">
        <v>14.8</v>
      </c>
      <c r="P58" s="763"/>
      <c r="Q58" s="763"/>
      <c r="R58" s="685"/>
      <c r="S58" s="763"/>
      <c r="T58" s="115"/>
      <c r="U58" s="115"/>
      <c r="V58" s="766"/>
      <c r="W58" s="766"/>
      <c r="X58" s="766"/>
      <c r="Y58" s="766"/>
      <c r="Z58" s="863"/>
      <c r="AA58" s="863"/>
      <c r="AB58" s="685"/>
      <c r="AC58" s="685"/>
      <c r="AD58" s="685"/>
      <c r="AE58" s="685"/>
      <c r="AF58" s="685"/>
      <c r="AG58" s="685"/>
      <c r="AH58" s="685"/>
      <c r="AI58" s="685"/>
      <c r="AJ58" s="685"/>
      <c r="AK58" s="685"/>
      <c r="AL58" s="685"/>
      <c r="AM58" s="685"/>
      <c r="AN58" s="685"/>
      <c r="AO58" s="685"/>
      <c r="AP58" s="685"/>
      <c r="BA58" s="1076">
        <f>N58/BB58-1</f>
        <v>-5.33798952813006</v>
      </c>
      <c r="BB58" s="848">
        <v>-7.9760450724081693</v>
      </c>
    </row>
    <row r="59" spans="1:54">
      <c r="A59" s="763"/>
      <c r="B59" s="846" t="s">
        <v>7464</v>
      </c>
      <c r="C59" s="846"/>
      <c r="D59" s="846"/>
      <c r="E59" s="846"/>
      <c r="F59" s="846"/>
      <c r="G59" s="851">
        <f>56+11-158-93.5+5.5+4</f>
        <v>-175</v>
      </c>
      <c r="H59" s="851">
        <f>(58+6-130+22+5-26)-G59</f>
        <v>110</v>
      </c>
      <c r="I59" s="851">
        <f>(77-14-91-24-2-14)-G59-H59</f>
        <v>-3</v>
      </c>
      <c r="J59" s="851">
        <f>(88.9-16+67-318-18-6)-G59-H59-I59</f>
        <v>-134.1</v>
      </c>
      <c r="K59" s="851">
        <f>-131-361-61-12+144+8</f>
        <v>-413</v>
      </c>
      <c r="L59" s="851">
        <f>-190-46-56+250+12-K59</f>
        <v>383</v>
      </c>
      <c r="M59" s="851">
        <f>(-115.1-40.7-58.6+174.5+34-12.1)-K59-L59</f>
        <v>12</v>
      </c>
      <c r="N59" s="851">
        <f>(-172.3-42+15.3+75.2+40.5-10.5)-K59-L59-M59</f>
        <v>-75.800000000000011</v>
      </c>
      <c r="O59" s="851">
        <f>3.9-278.2-108.1-77.3+190.6+6.6+7.3</f>
        <v>-255.2</v>
      </c>
      <c r="P59" s="763"/>
      <c r="Q59" s="763"/>
      <c r="R59" s="685"/>
      <c r="S59" s="763"/>
      <c r="T59" s="115"/>
      <c r="U59" s="115"/>
      <c r="V59" s="766"/>
      <c r="W59" s="766"/>
      <c r="X59" s="766"/>
      <c r="Y59" s="766"/>
      <c r="Z59" s="863"/>
      <c r="AA59" s="863"/>
      <c r="AB59" s="685"/>
      <c r="AC59" s="685"/>
      <c r="AD59" s="685"/>
      <c r="AE59" s="685"/>
      <c r="AF59" s="685"/>
      <c r="AG59" s="685"/>
      <c r="AH59" s="685"/>
      <c r="AI59" s="685"/>
      <c r="AJ59" s="685"/>
      <c r="AK59" s="685"/>
      <c r="AL59" s="685"/>
      <c r="AM59" s="685"/>
      <c r="AN59" s="685"/>
      <c r="AO59" s="685"/>
      <c r="AP59" s="685"/>
      <c r="BA59" s="1076"/>
      <c r="BB59" s="877">
        <v>0</v>
      </c>
    </row>
    <row r="60" spans="1:54">
      <c r="A60" s="763"/>
      <c r="B60" s="685" t="s">
        <v>7477</v>
      </c>
      <c r="C60" s="685"/>
      <c r="D60" s="685"/>
      <c r="E60" s="685"/>
      <c r="F60" s="685"/>
      <c r="G60" s="848">
        <f>-14.7+12.6</f>
        <v>-2.0999999999999996</v>
      </c>
      <c r="H60" s="848">
        <f>-32.6+9.6-G60</f>
        <v>-20.9</v>
      </c>
      <c r="I60" s="848">
        <f>-34.4+9.8-G60-H60</f>
        <v>-1.6000000000000014</v>
      </c>
      <c r="J60" s="848">
        <f>-43-G60-H60-I60</f>
        <v>-18.399999999999999</v>
      </c>
      <c r="K60" s="848">
        <v>-20.6</v>
      </c>
      <c r="L60" s="848">
        <f>-47-K60</f>
        <v>-26.4</v>
      </c>
      <c r="M60" s="848">
        <f>-52.6+1.2-K60-L60</f>
        <v>-4.3999999999999986</v>
      </c>
      <c r="N60" s="848">
        <f>-67.4-K60-L60-M60</f>
        <v>-16.000000000000007</v>
      </c>
      <c r="O60" s="848">
        <f>8.7</f>
        <v>8.6999999999999993</v>
      </c>
      <c r="P60" s="763"/>
      <c r="Q60" s="763"/>
      <c r="R60" s="685"/>
      <c r="S60" s="763"/>
      <c r="T60" s="115"/>
      <c r="U60" s="115"/>
      <c r="V60" s="766"/>
      <c r="W60" s="766"/>
      <c r="X60" s="766"/>
      <c r="Y60" s="766"/>
      <c r="Z60" s="863"/>
      <c r="AA60" s="863"/>
      <c r="AB60" s="685"/>
      <c r="AC60" s="685"/>
      <c r="AD60" s="685"/>
      <c r="AE60" s="685"/>
      <c r="AF60" s="685"/>
      <c r="AG60" s="685"/>
      <c r="AH60" s="685"/>
      <c r="AI60" s="685"/>
      <c r="AJ60" s="685"/>
      <c r="AK60" s="685"/>
      <c r="AL60" s="685"/>
      <c r="AM60" s="685"/>
      <c r="AN60" s="685"/>
      <c r="AO60" s="685"/>
      <c r="AP60" s="685"/>
      <c r="BA60" s="1076"/>
      <c r="BB60" s="902">
        <v>0</v>
      </c>
    </row>
    <row r="61" spans="1:54">
      <c r="A61" s="763"/>
      <c r="B61" s="855" t="s">
        <v>7478</v>
      </c>
      <c r="C61" s="855"/>
      <c r="D61" s="855"/>
      <c r="E61" s="855"/>
      <c r="F61" s="855"/>
      <c r="G61" s="1600"/>
      <c r="H61" s="1600">
        <f t="shared" ref="H61:O61" si="33">-(H33+SUM(H56:H60)-H62)</f>
        <v>-82.299999999999272</v>
      </c>
      <c r="I61" s="1600">
        <f t="shared" si="33"/>
        <v>-347.19999999999857</v>
      </c>
      <c r="J61" s="1600">
        <f t="shared" si="33"/>
        <v>-115.29999999999893</v>
      </c>
      <c r="K61" s="1600">
        <f t="shared" si="33"/>
        <v>138.99999999999784</v>
      </c>
      <c r="L61" s="1600">
        <f t="shared" si="33"/>
        <v>-539.59999999999889</v>
      </c>
      <c r="M61" s="1600">
        <f t="shared" si="33"/>
        <v>-243.70000000000181</v>
      </c>
      <c r="N61" s="1600">
        <f t="shared" si="33"/>
        <v>-111.69999999999925</v>
      </c>
      <c r="O61" s="1600">
        <f t="shared" si="33"/>
        <v>137.80000000000035</v>
      </c>
      <c r="P61" s="763"/>
      <c r="Q61" s="763"/>
      <c r="R61" s="685"/>
      <c r="S61" s="763"/>
      <c r="T61" s="115"/>
      <c r="U61" s="115"/>
      <c r="V61" s="766"/>
      <c r="W61" s="766"/>
      <c r="X61" s="766"/>
      <c r="Y61" s="766"/>
      <c r="Z61" s="863"/>
      <c r="AA61" s="863"/>
      <c r="AB61" s="685"/>
      <c r="AC61" s="685"/>
      <c r="AD61" s="685"/>
      <c r="AE61" s="685"/>
      <c r="AF61" s="685"/>
      <c r="AG61" s="685"/>
      <c r="AH61" s="685"/>
      <c r="AI61" s="685"/>
      <c r="AJ61" s="685"/>
      <c r="AK61" s="685"/>
      <c r="AL61" s="685"/>
      <c r="AM61" s="685"/>
      <c r="AN61" s="685"/>
      <c r="AO61" s="685"/>
      <c r="AP61" s="685"/>
      <c r="BA61" s="1076">
        <f>N61/BB61-1</f>
        <v>-0.17074981440234582</v>
      </c>
      <c r="BB61" s="1600">
        <v>-134.69999999999425</v>
      </c>
    </row>
    <row r="62" spans="1:54">
      <c r="A62" s="763"/>
      <c r="B62" s="874" t="s">
        <v>225</v>
      </c>
      <c r="C62" s="874"/>
      <c r="D62" s="874"/>
      <c r="E62" s="874"/>
      <c r="F62" s="874"/>
      <c r="G62" s="876"/>
      <c r="H62" s="876">
        <f t="shared" ref="H62:M62" si="34">-(H66-G66)</f>
        <v>227.70000000000073</v>
      </c>
      <c r="I62" s="876">
        <f t="shared" si="34"/>
        <v>-131.09999999999854</v>
      </c>
      <c r="J62" s="876">
        <f t="shared" si="34"/>
        <v>-111.69999999999891</v>
      </c>
      <c r="K62" s="876">
        <f t="shared" si="34"/>
        <v>-188.60000000000218</v>
      </c>
      <c r="L62" s="876">
        <f t="shared" si="34"/>
        <v>-46.199999999998909</v>
      </c>
      <c r="M62" s="876">
        <f t="shared" si="34"/>
        <v>-29.500000000001819</v>
      </c>
      <c r="N62" s="876">
        <f>-(N66-M66)</f>
        <v>92.200000000000728</v>
      </c>
      <c r="O62" s="876">
        <f>-(O66-N66)</f>
        <v>16.600000000000364</v>
      </c>
      <c r="P62" s="763"/>
      <c r="Q62" s="763"/>
      <c r="R62" s="685"/>
      <c r="S62" s="763"/>
      <c r="T62" s="115">
        <v>1</v>
      </c>
      <c r="U62" s="115">
        <f>T62+1</f>
        <v>2</v>
      </c>
      <c r="V62" s="115">
        <f t="shared" ref="V62:X62" si="35">U62+1</f>
        <v>3</v>
      </c>
      <c r="W62" s="115">
        <f t="shared" si="35"/>
        <v>4</v>
      </c>
      <c r="X62" s="115">
        <f t="shared" si="35"/>
        <v>5</v>
      </c>
      <c r="Y62" s="766"/>
      <c r="Z62" s="863"/>
      <c r="AA62" s="863"/>
      <c r="AB62" s="685"/>
      <c r="AC62" s="685"/>
      <c r="AD62" s="685"/>
      <c r="AE62" s="685"/>
      <c r="AF62" s="685"/>
      <c r="AG62" s="685"/>
      <c r="AH62" s="685"/>
      <c r="AI62" s="685"/>
      <c r="AJ62" s="685"/>
      <c r="AK62" s="685"/>
      <c r="AL62" s="685"/>
      <c r="AM62" s="685"/>
      <c r="AN62" s="685"/>
      <c r="AO62" s="685"/>
      <c r="AP62" s="685"/>
      <c r="BA62" s="1076">
        <f>N62/BB62-1</f>
        <v>-7.8089315043553107</v>
      </c>
      <c r="BB62" s="876">
        <v>-13.541037964771022</v>
      </c>
    </row>
    <row r="63" spans="1:54">
      <c r="A63" s="763"/>
      <c r="B63" s="846"/>
      <c r="C63" s="846"/>
      <c r="D63" s="846"/>
      <c r="E63" s="846"/>
      <c r="F63" s="846"/>
      <c r="G63" s="846"/>
      <c r="H63" s="846"/>
      <c r="I63" s="846"/>
      <c r="J63" s="846"/>
      <c r="K63" s="846"/>
      <c r="L63" s="846"/>
      <c r="M63" s="846"/>
      <c r="N63" s="846"/>
      <c r="O63" s="846"/>
      <c r="P63" s="763"/>
      <c r="Q63" s="763"/>
      <c r="R63" s="743" t="s">
        <v>7732</v>
      </c>
      <c r="S63" s="408"/>
      <c r="T63" s="767">
        <v>1000</v>
      </c>
      <c r="U63" s="767">
        <v>1000</v>
      </c>
      <c r="V63" s="767">
        <v>800</v>
      </c>
      <c r="W63" s="767">
        <v>600</v>
      </c>
      <c r="X63" s="767">
        <v>500</v>
      </c>
      <c r="Y63" s="766"/>
      <c r="Z63" s="863"/>
      <c r="AA63" s="863"/>
      <c r="AB63" s="685"/>
      <c r="AC63" s="685"/>
      <c r="AD63" s="685"/>
      <c r="AE63" s="685"/>
      <c r="AF63" s="685"/>
      <c r="AG63" s="685"/>
      <c r="AH63" s="685"/>
      <c r="AI63" s="685"/>
      <c r="AJ63" s="685"/>
      <c r="AK63" s="685"/>
      <c r="AL63" s="685"/>
      <c r="AM63" s="685"/>
      <c r="AN63" s="685"/>
      <c r="AO63" s="685"/>
      <c r="AP63" s="685"/>
      <c r="BA63" s="1076"/>
      <c r="BB63" s="846"/>
    </row>
    <row r="64" spans="1:54">
      <c r="A64" s="763"/>
      <c r="B64" s="685" t="s">
        <v>270</v>
      </c>
      <c r="C64" s="867"/>
      <c r="D64" s="867"/>
      <c r="E64" s="867"/>
      <c r="F64" s="867"/>
      <c r="G64" s="848">
        <f>9942.7+57.6</f>
        <v>10000.300000000001</v>
      </c>
      <c r="H64" s="848">
        <f>9839+89.2</f>
        <v>9928.2000000000007</v>
      </c>
      <c r="I64" s="848">
        <f>9817+89</f>
        <v>9906</v>
      </c>
      <c r="J64" s="848">
        <f>9911.4+113.8</f>
        <v>10025.199999999999</v>
      </c>
      <c r="K64" s="848">
        <f>9600+439</f>
        <v>10039</v>
      </c>
      <c r="L64" s="848">
        <f>9724.4+342.7</f>
        <v>10067.1</v>
      </c>
      <c r="M64" s="848">
        <f>9804.7+229.1</f>
        <v>10033.800000000001</v>
      </c>
      <c r="N64" s="848">
        <f>9571.1+308.5</f>
        <v>9879.6</v>
      </c>
      <c r="O64" s="848">
        <f>9653.7+213</f>
        <v>9866.7000000000007</v>
      </c>
      <c r="P64" s="763"/>
      <c r="Q64" s="763"/>
      <c r="R64" s="685"/>
      <c r="S64" s="763"/>
      <c r="T64" s="220">
        <f>T63/3</f>
        <v>333.33333333333331</v>
      </c>
      <c r="U64" s="220">
        <f>T64</f>
        <v>333.33333333333331</v>
      </c>
      <c r="V64" s="220">
        <f>U64</f>
        <v>333.33333333333331</v>
      </c>
      <c r="W64" s="766"/>
      <c r="X64" s="766"/>
      <c r="Y64" s="766"/>
      <c r="Z64" s="863"/>
      <c r="AA64" s="863"/>
      <c r="AB64" s="685"/>
      <c r="AC64" s="685"/>
      <c r="AD64" s="685"/>
      <c r="AE64" s="685"/>
      <c r="AF64" s="685"/>
      <c r="AG64" s="685"/>
      <c r="AH64" s="685"/>
      <c r="AI64" s="685"/>
      <c r="AJ64" s="685"/>
      <c r="AK64" s="685"/>
      <c r="AL64" s="685"/>
      <c r="AM64" s="685"/>
      <c r="AN64" s="685"/>
      <c r="AO64" s="685"/>
      <c r="AP64" s="685"/>
      <c r="BA64" s="1076">
        <f>N64/BB64-1</f>
        <v>-1.5368055970818695E-2</v>
      </c>
      <c r="BB64" s="848">
        <v>10033.800000000001</v>
      </c>
    </row>
    <row r="65" spans="1:54">
      <c r="A65" s="763"/>
      <c r="B65" s="846" t="s">
        <v>562</v>
      </c>
      <c r="C65" s="873"/>
      <c r="D65" s="873"/>
      <c r="E65" s="873"/>
      <c r="F65" s="873"/>
      <c r="G65" s="851">
        <v>528.79999999999995</v>
      </c>
      <c r="H65" s="851">
        <v>684.4</v>
      </c>
      <c r="I65" s="851">
        <v>531.1</v>
      </c>
      <c r="J65" s="851">
        <v>538.6</v>
      </c>
      <c r="K65" s="851">
        <v>363.8</v>
      </c>
      <c r="L65" s="851">
        <v>345.7</v>
      </c>
      <c r="M65" s="851">
        <v>282.89999999999998</v>
      </c>
      <c r="N65" s="851">
        <v>220.9</v>
      </c>
      <c r="O65" s="851">
        <v>224.6</v>
      </c>
      <c r="P65" s="763"/>
      <c r="Q65" s="763"/>
      <c r="R65" s="685"/>
      <c r="S65" s="763"/>
      <c r="T65" s="115"/>
      <c r="U65" s="220">
        <f>U63/3</f>
        <v>333.33333333333331</v>
      </c>
      <c r="V65" s="220">
        <f>U65</f>
        <v>333.33333333333331</v>
      </c>
      <c r="W65" s="220">
        <f>V65</f>
        <v>333.33333333333331</v>
      </c>
      <c r="X65" s="220"/>
      <c r="Y65" s="766"/>
      <c r="Z65" s="863"/>
      <c r="AA65" s="863"/>
      <c r="AB65" s="685"/>
      <c r="AC65" s="685"/>
      <c r="AD65" s="685"/>
      <c r="AE65" s="685"/>
      <c r="AF65" s="685"/>
      <c r="AG65" s="685"/>
      <c r="AH65" s="685"/>
      <c r="AI65" s="685"/>
      <c r="AJ65" s="685"/>
      <c r="AK65" s="685"/>
      <c r="AL65" s="685"/>
      <c r="AM65" s="685"/>
      <c r="AN65" s="685"/>
      <c r="AO65" s="685"/>
      <c r="AP65" s="685"/>
      <c r="BA65" s="1076">
        <f>N65/BB65-1</f>
        <v>-0.17990476971354985</v>
      </c>
      <c r="BB65" s="851">
        <v>269.35896203522861</v>
      </c>
    </row>
    <row r="66" spans="1:54">
      <c r="A66" s="763"/>
      <c r="B66" s="874" t="s">
        <v>224</v>
      </c>
      <c r="C66" s="875"/>
      <c r="D66" s="875"/>
      <c r="E66" s="875"/>
      <c r="F66" s="875"/>
      <c r="G66" s="876">
        <f t="shared" ref="G66:L66" si="36">G64-G65</f>
        <v>9471.5000000000018</v>
      </c>
      <c r="H66" s="876">
        <f t="shared" si="36"/>
        <v>9243.8000000000011</v>
      </c>
      <c r="I66" s="876">
        <f t="shared" si="36"/>
        <v>9374.9</v>
      </c>
      <c r="J66" s="876">
        <f t="shared" si="36"/>
        <v>9486.5999999999985</v>
      </c>
      <c r="K66" s="876">
        <f t="shared" si="36"/>
        <v>9675.2000000000007</v>
      </c>
      <c r="L66" s="876">
        <f t="shared" si="36"/>
        <v>9721.4</v>
      </c>
      <c r="M66" s="876">
        <f t="shared" ref="M66:N66" si="37">M64-M65</f>
        <v>9750.9000000000015</v>
      </c>
      <c r="N66" s="876">
        <f t="shared" si="37"/>
        <v>9658.7000000000007</v>
      </c>
      <c r="O66" s="876">
        <f t="shared" ref="O66" si="38">O64-O65</f>
        <v>9642.1</v>
      </c>
      <c r="P66" s="763"/>
      <c r="Q66" s="763"/>
      <c r="R66" s="685"/>
      <c r="S66" s="763"/>
      <c r="T66" s="115"/>
      <c r="U66" s="115"/>
      <c r="V66" s="220">
        <f>V63/3</f>
        <v>266.66666666666669</v>
      </c>
      <c r="W66" s="220">
        <f>V66</f>
        <v>266.66666666666669</v>
      </c>
      <c r="X66" s="220">
        <f>W66</f>
        <v>266.66666666666669</v>
      </c>
      <c r="Y66" s="766"/>
      <c r="Z66" s="863"/>
      <c r="AA66" s="863"/>
      <c r="AB66" s="685"/>
      <c r="AC66" s="685"/>
      <c r="AD66" s="685"/>
      <c r="AE66" s="685"/>
      <c r="AF66" s="685"/>
      <c r="AG66" s="685"/>
      <c r="AH66" s="685"/>
      <c r="AI66" s="685"/>
      <c r="AJ66" s="685"/>
      <c r="AK66" s="685"/>
      <c r="AL66" s="685"/>
      <c r="AM66" s="685"/>
      <c r="AN66" s="685"/>
      <c r="AO66" s="685"/>
      <c r="AP66" s="685"/>
      <c r="BA66" s="1076">
        <f>N66/BB66-1</f>
        <v>-1.0829195194445251E-2</v>
      </c>
      <c r="BB66" s="876">
        <v>9764.4410379647725</v>
      </c>
    </row>
    <row r="67" spans="1:54">
      <c r="A67" s="763"/>
      <c r="B67" s="855" t="s">
        <v>852</v>
      </c>
      <c r="C67" s="855"/>
      <c r="D67" s="855"/>
      <c r="E67" s="855"/>
      <c r="F67" s="855"/>
      <c r="G67" s="1601">
        <f t="shared" ref="G67:O67" si="39">G66/(D33+E33+F33+G33)</f>
        <v>5.5224185178706797</v>
      </c>
      <c r="H67" s="1601">
        <f t="shared" si="39"/>
        <v>5.4957193816884669</v>
      </c>
      <c r="I67" s="1601">
        <f t="shared" si="39"/>
        <v>5.6329387730577416</v>
      </c>
      <c r="J67" s="1601">
        <f t="shared" si="39"/>
        <v>5.612708555200566</v>
      </c>
      <c r="K67" s="1601">
        <f t="shared" si="39"/>
        <v>5.8651794374393802</v>
      </c>
      <c r="L67" s="1601">
        <f t="shared" si="39"/>
        <v>5.8910435098775906</v>
      </c>
      <c r="M67" s="1601">
        <f t="shared" si="39"/>
        <v>5.9042688465031796</v>
      </c>
      <c r="N67" s="1601">
        <f t="shared" si="39"/>
        <v>5.9798786527984165</v>
      </c>
      <c r="O67" s="1601">
        <f t="shared" si="39"/>
        <v>6.0921842421179004</v>
      </c>
      <c r="P67" s="763"/>
      <c r="Q67" s="763"/>
      <c r="W67" s="220">
        <f>W63/3</f>
        <v>200</v>
      </c>
      <c r="X67" s="220">
        <f>W67</f>
        <v>200</v>
      </c>
      <c r="Y67" s="766"/>
      <c r="Z67" s="863"/>
      <c r="AA67" s="863"/>
      <c r="AB67" s="685"/>
      <c r="AC67" s="685"/>
      <c r="AD67" s="685"/>
      <c r="AE67" s="685"/>
      <c r="AF67" s="685"/>
      <c r="AG67" s="685"/>
      <c r="AH67" s="685"/>
      <c r="AI67" s="685"/>
      <c r="AJ67" s="685"/>
      <c r="AK67" s="685"/>
      <c r="AL67" s="685"/>
      <c r="AM67" s="685"/>
      <c r="AN67" s="685"/>
      <c r="AO67" s="685"/>
      <c r="AP67" s="685"/>
      <c r="BA67" s="1076">
        <f>N67/BB67-1</f>
        <v>2.8855220451543095E-2</v>
      </c>
      <c r="BB67" s="1601">
        <v>5.8121672845028405</v>
      </c>
    </row>
    <row r="68" spans="1:54">
      <c r="A68" s="763"/>
      <c r="B68" s="685"/>
      <c r="C68" s="685"/>
      <c r="D68" s="685"/>
      <c r="E68" s="685"/>
      <c r="F68" s="685"/>
      <c r="G68" s="685"/>
      <c r="H68" s="685"/>
      <c r="I68" s="685"/>
      <c r="J68" s="808"/>
      <c r="K68" s="808"/>
      <c r="L68" s="808"/>
      <c r="M68" s="685"/>
      <c r="N68" s="685"/>
      <c r="O68" s="685"/>
      <c r="P68" s="763"/>
      <c r="Q68" s="763"/>
      <c r="R68" s="743"/>
      <c r="S68" s="767"/>
      <c r="T68" s="408"/>
      <c r="U68" s="408"/>
      <c r="V68" s="1698"/>
      <c r="W68" s="1698"/>
      <c r="X68" s="1699">
        <f>X63/3</f>
        <v>166.66666666666666</v>
      </c>
      <c r="Y68" s="766"/>
      <c r="Z68" s="863"/>
      <c r="AA68" s="863"/>
      <c r="AB68" s="685"/>
      <c r="AC68" s="685"/>
      <c r="AD68" s="685"/>
      <c r="AE68" s="685"/>
      <c r="AF68" s="685"/>
      <c r="AG68" s="685"/>
      <c r="AH68" s="685"/>
      <c r="AI68" s="685"/>
      <c r="AJ68" s="685"/>
      <c r="AK68" s="685"/>
      <c r="AL68" s="685"/>
      <c r="AM68" s="685"/>
      <c r="AN68" s="685"/>
      <c r="AO68" s="685"/>
      <c r="AP68" s="685"/>
      <c r="BA68" s="765"/>
      <c r="BB68" s="685"/>
    </row>
    <row r="69" spans="1:54">
      <c r="A69" s="763"/>
      <c r="B69" s="685" t="s">
        <v>7488</v>
      </c>
      <c r="C69" s="685"/>
      <c r="D69" s="685"/>
      <c r="E69" s="685"/>
      <c r="F69" s="685"/>
      <c r="G69" s="685"/>
      <c r="H69" s="685">
        <v>-39.799999999999997</v>
      </c>
      <c r="I69" s="685"/>
      <c r="J69" s="808"/>
      <c r="K69" s="808">
        <f>-43.5-L69</f>
        <v>-27.5</v>
      </c>
      <c r="L69" s="808">
        <v>-16</v>
      </c>
      <c r="M69" s="808">
        <f>-66.3-K69-L69</f>
        <v>-22.799999999999997</v>
      </c>
      <c r="N69" s="848">
        <f>-87.8-K69-L69-M69</f>
        <v>-21.5</v>
      </c>
      <c r="O69" s="848">
        <v>-21</v>
      </c>
      <c r="P69" s="763"/>
      <c r="Q69" s="763"/>
      <c r="R69" s="685" t="s">
        <v>7733</v>
      </c>
      <c r="S69" s="763"/>
      <c r="T69" s="220">
        <f>SUM(T64:T68)</f>
        <v>333.33333333333331</v>
      </c>
      <c r="U69" s="220">
        <f t="shared" ref="U69:X69" si="40">SUM(U64:U68)</f>
        <v>666.66666666666663</v>
      </c>
      <c r="V69" s="220">
        <f t="shared" si="40"/>
        <v>933.33333333333326</v>
      </c>
      <c r="W69" s="220">
        <f t="shared" si="40"/>
        <v>800</v>
      </c>
      <c r="X69" s="220">
        <f t="shared" si="40"/>
        <v>633.33333333333337</v>
      </c>
      <c r="Y69" s="766"/>
      <c r="Z69" s="863"/>
      <c r="AA69" s="863"/>
      <c r="AB69" s="685"/>
      <c r="AC69" s="685"/>
      <c r="AD69" s="685"/>
      <c r="AE69" s="685"/>
      <c r="AF69" s="685"/>
      <c r="AG69" s="685"/>
      <c r="AH69" s="685"/>
      <c r="AI69" s="685"/>
      <c r="AJ69" s="685"/>
      <c r="AK69" s="685"/>
      <c r="AL69" s="685"/>
      <c r="AM69" s="685"/>
      <c r="AN69" s="685"/>
      <c r="AO69" s="685"/>
      <c r="AP69" s="685"/>
      <c r="BA69" s="1076">
        <f>N69/BB69-1</f>
        <v>-0.43294210734537786</v>
      </c>
      <c r="BB69" s="848">
        <v>-37.915000000000006</v>
      </c>
    </row>
    <row r="70" spans="1:54">
      <c r="A70" s="763"/>
      <c r="B70" s="685" t="s">
        <v>7487</v>
      </c>
      <c r="C70" s="685"/>
      <c r="D70" s="685"/>
      <c r="E70" s="685"/>
      <c r="F70" s="685"/>
      <c r="G70" s="685"/>
      <c r="H70" s="685"/>
      <c r="I70" s="685"/>
      <c r="J70" s="808"/>
      <c r="K70" s="848">
        <f>-4.3-0.2-0.8-5-0.9</f>
        <v>-11.200000000000001</v>
      </c>
      <c r="L70" s="848">
        <f>-14.1-0.2</f>
        <v>-14.299999999999999</v>
      </c>
      <c r="M70" s="1075">
        <f>-10.8+29.5</f>
        <v>18.7</v>
      </c>
      <c r="N70" s="1075">
        <f>-1009.5-28.6+1.4</f>
        <v>-1036.6999999999998</v>
      </c>
      <c r="O70" s="1075">
        <f>-1-6.6+1.2-1.4-11.6</f>
        <v>-19.399999999999999</v>
      </c>
      <c r="P70" s="763"/>
      <c r="Q70" s="763"/>
      <c r="R70" s="685"/>
      <c r="S70" s="763"/>
      <c r="T70" s="115"/>
      <c r="U70" s="115"/>
      <c r="V70" s="766"/>
      <c r="W70" s="766"/>
      <c r="X70" s="766"/>
      <c r="Y70" s="766"/>
      <c r="Z70" s="863"/>
      <c r="AA70" s="863"/>
      <c r="AB70" s="685"/>
      <c r="AC70" s="685"/>
      <c r="AD70" s="685"/>
      <c r="AE70" s="685"/>
      <c r="AF70" s="685"/>
      <c r="AG70" s="685"/>
      <c r="AH70" s="685"/>
      <c r="AI70" s="685"/>
      <c r="AJ70" s="685"/>
      <c r="AK70" s="685"/>
      <c r="AL70" s="685"/>
      <c r="AM70" s="685"/>
      <c r="AN70" s="685"/>
      <c r="AO70" s="685"/>
      <c r="AP70" s="685"/>
      <c r="BA70" s="1076">
        <f>N70/BB70-1</f>
        <v>25.312182741116743</v>
      </c>
      <c r="BB70" s="1602">
        <v>-39.400000000000006</v>
      </c>
    </row>
    <row r="71" spans="1:54">
      <c r="A71" s="763"/>
      <c r="B71" s="743" t="s">
        <v>533</v>
      </c>
      <c r="C71" s="743"/>
      <c r="D71" s="743"/>
      <c r="E71" s="743"/>
      <c r="F71" s="743"/>
      <c r="G71" s="743"/>
      <c r="H71" s="743"/>
      <c r="I71" s="743">
        <v>-135.1</v>
      </c>
      <c r="J71" s="926"/>
      <c r="K71" s="901">
        <v>-135.80000000000001</v>
      </c>
      <c r="L71" s="901">
        <v>-148.4</v>
      </c>
      <c r="M71" s="1603">
        <v>-145.19999999999999</v>
      </c>
      <c r="N71" s="1603">
        <v>-141.30000000000001</v>
      </c>
      <c r="O71" s="1603">
        <v>-153.80000000000001</v>
      </c>
      <c r="P71" s="763"/>
      <c r="Q71" s="763"/>
      <c r="R71" s="685"/>
      <c r="S71" s="763"/>
      <c r="T71" s="115"/>
      <c r="U71" s="115"/>
      <c r="V71" s="766"/>
      <c r="W71" s="766"/>
      <c r="X71" s="766"/>
      <c r="Y71" s="766"/>
      <c r="Z71" s="863"/>
      <c r="AA71" s="863"/>
      <c r="AB71" s="685"/>
      <c r="AC71" s="685"/>
      <c r="AD71" s="685"/>
      <c r="AE71" s="685"/>
      <c r="AF71" s="685"/>
      <c r="AG71" s="685"/>
      <c r="AH71" s="685"/>
      <c r="AI71" s="685"/>
      <c r="AJ71" s="685"/>
      <c r="AK71" s="685"/>
      <c r="AL71" s="685"/>
      <c r="AM71" s="685"/>
      <c r="AN71" s="685"/>
      <c r="AO71" s="685"/>
      <c r="AP71" s="685"/>
      <c r="BA71" s="1076">
        <f>N71/BB71-1</f>
        <v>-4.2306479854345991E-2</v>
      </c>
      <c r="BB71" s="901">
        <v>-147.54198188425659</v>
      </c>
    </row>
    <row r="72" spans="1:54">
      <c r="A72" s="763"/>
      <c r="B72" s="685" t="s">
        <v>186</v>
      </c>
      <c r="C72" s="685"/>
      <c r="D72" s="685"/>
      <c r="E72" s="685"/>
      <c r="F72" s="685"/>
      <c r="G72" s="685"/>
      <c r="H72" s="685"/>
      <c r="I72" s="685"/>
      <c r="J72" s="808"/>
      <c r="K72" s="848">
        <f>K33+K70+K71+K69</f>
        <v>186.5</v>
      </c>
      <c r="L72" s="848">
        <f>L33+L70+L71+L69</f>
        <v>195.19999999999996</v>
      </c>
      <c r="M72" s="848">
        <f>M33+M70+M71+M69</f>
        <v>262.89999999999998</v>
      </c>
      <c r="N72" s="848">
        <f>N33+N70+N71+N69</f>
        <v>-731.39999999999986</v>
      </c>
      <c r="O72" s="848">
        <f>O33+O70+O71+O69</f>
        <v>134.30000000000001</v>
      </c>
      <c r="P72" s="763"/>
      <c r="Q72" s="763"/>
      <c r="R72" s="685"/>
      <c r="S72" s="763"/>
      <c r="T72" s="115"/>
      <c r="U72" s="115"/>
      <c r="V72" s="766"/>
      <c r="W72" s="766"/>
      <c r="X72" s="766"/>
      <c r="Y72" s="766"/>
      <c r="Z72" s="863"/>
      <c r="AA72" s="863"/>
      <c r="AB72" s="685"/>
      <c r="AC72" s="685"/>
      <c r="AD72" s="685"/>
      <c r="AE72" s="685"/>
      <c r="AF72" s="685"/>
      <c r="AG72" s="685"/>
      <c r="AH72" s="685"/>
      <c r="AI72" s="685"/>
      <c r="AJ72" s="685"/>
      <c r="AK72" s="685"/>
      <c r="AL72" s="685"/>
      <c r="AM72" s="685"/>
      <c r="AN72" s="685"/>
      <c r="AO72" s="685"/>
      <c r="AP72" s="685"/>
      <c r="BA72" s="1076">
        <f>N72/BB72-1</f>
        <v>-3.3743437019734204</v>
      </c>
      <c r="BB72" s="848">
        <v>308.04301811574351</v>
      </c>
    </row>
    <row r="73" spans="1:54">
      <c r="A73" s="763"/>
      <c r="B73" s="685" t="s">
        <v>531</v>
      </c>
      <c r="C73" s="685"/>
      <c r="D73" s="685"/>
      <c r="E73" s="685"/>
      <c r="F73" s="685"/>
      <c r="G73" s="685"/>
      <c r="H73" s="685"/>
      <c r="I73" s="685"/>
      <c r="J73" s="808"/>
      <c r="K73" s="848">
        <f>K57</f>
        <v>-161.69999999999999</v>
      </c>
      <c r="L73" s="848">
        <f>L57</f>
        <v>-183.4</v>
      </c>
      <c r="M73" s="848">
        <f>M57</f>
        <v>-143.29999999999998</v>
      </c>
      <c r="N73" s="848">
        <f>N57</f>
        <v>-172.20000000000002</v>
      </c>
      <c r="O73" s="848">
        <f>O57</f>
        <v>-178</v>
      </c>
      <c r="P73" s="763"/>
      <c r="Q73" s="763"/>
      <c r="R73" s="685"/>
      <c r="S73" s="763"/>
      <c r="T73" s="115"/>
      <c r="U73" s="115"/>
      <c r="V73" s="766"/>
      <c r="W73" s="766"/>
      <c r="X73" s="766"/>
      <c r="Y73" s="766"/>
      <c r="Z73" s="863"/>
      <c r="AA73" s="863"/>
      <c r="AB73" s="685"/>
      <c r="AC73" s="685"/>
      <c r="AD73" s="685"/>
      <c r="AE73" s="685"/>
      <c r="AF73" s="685"/>
      <c r="AG73" s="685"/>
      <c r="AH73" s="685"/>
      <c r="AI73" s="685"/>
      <c r="AJ73" s="685"/>
      <c r="AK73" s="685"/>
      <c r="AL73" s="685"/>
      <c r="AM73" s="685"/>
      <c r="AN73" s="685"/>
      <c r="AO73" s="685"/>
      <c r="AP73" s="685"/>
      <c r="BA73" s="1076">
        <f>N73/BB73-1</f>
        <v>-0.18620037807183354</v>
      </c>
      <c r="BB73" s="901">
        <v>-211.6</v>
      </c>
    </row>
    <row r="74" spans="1:54">
      <c r="A74" s="763"/>
      <c r="B74" s="685" t="s">
        <v>4748</v>
      </c>
      <c r="C74" s="685"/>
      <c r="D74" s="685"/>
      <c r="E74" s="685"/>
      <c r="F74" s="685"/>
      <c r="G74" s="685"/>
      <c r="H74" s="685"/>
      <c r="I74" s="685"/>
      <c r="J74" s="808"/>
      <c r="K74" s="848">
        <v>13.5</v>
      </c>
      <c r="L74" s="848"/>
      <c r="M74" s="848"/>
      <c r="N74" s="848"/>
      <c r="O74" s="848">
        <v>-23.1</v>
      </c>
      <c r="P74" s="763"/>
      <c r="Q74" s="763"/>
      <c r="R74" s="685"/>
      <c r="S74" s="763"/>
      <c r="T74" s="115"/>
      <c r="U74" s="115"/>
      <c r="V74" s="766"/>
      <c r="W74" s="766"/>
      <c r="X74" s="766"/>
      <c r="Y74" s="766"/>
      <c r="Z74" s="863"/>
      <c r="AA74" s="863"/>
      <c r="AB74" s="685"/>
      <c r="AC74" s="685"/>
      <c r="AD74" s="685"/>
      <c r="AE74" s="685"/>
      <c r="AF74" s="685"/>
      <c r="AG74" s="685"/>
      <c r="AH74" s="685"/>
      <c r="AI74" s="685"/>
      <c r="AJ74" s="685"/>
      <c r="AK74" s="685"/>
      <c r="AL74" s="685"/>
      <c r="AM74" s="685"/>
      <c r="AN74" s="685"/>
      <c r="AO74" s="685"/>
      <c r="AP74" s="685"/>
      <c r="BA74" s="1076"/>
      <c r="BB74" s="848"/>
    </row>
    <row r="75" spans="1:54">
      <c r="A75" s="763"/>
      <c r="B75" s="1597" t="s">
        <v>191</v>
      </c>
      <c r="C75" s="1597"/>
      <c r="D75" s="1597"/>
      <c r="E75" s="1597"/>
      <c r="F75" s="1597"/>
      <c r="G75" s="1597"/>
      <c r="H75" s="1597"/>
      <c r="I75" s="1597"/>
      <c r="J75" s="1604"/>
      <c r="K75" s="1598">
        <f>K72+K73+K74</f>
        <v>38.300000000000011</v>
      </c>
      <c r="L75" s="1598">
        <f t="shared" ref="L75:O75" si="41">L72+L73+L74</f>
        <v>11.799999999999955</v>
      </c>
      <c r="M75" s="1598">
        <f t="shared" si="41"/>
        <v>119.6</v>
      </c>
      <c r="N75" s="1598">
        <f t="shared" si="41"/>
        <v>-903.59999999999991</v>
      </c>
      <c r="O75" s="1598">
        <f t="shared" si="41"/>
        <v>-66.799999999999983</v>
      </c>
      <c r="P75" s="763"/>
      <c r="Q75" s="763"/>
      <c r="R75" s="685"/>
      <c r="S75" s="763"/>
      <c r="T75" s="115"/>
      <c r="U75" s="115"/>
      <c r="V75" s="766"/>
      <c r="W75" s="766"/>
      <c r="X75" s="766"/>
      <c r="Y75" s="766"/>
      <c r="Z75" s="863"/>
      <c r="AA75" s="863"/>
      <c r="AB75" s="685"/>
      <c r="AC75" s="685"/>
      <c r="AD75" s="685"/>
      <c r="AE75" s="685"/>
      <c r="AF75" s="685"/>
      <c r="AG75" s="685"/>
      <c r="AH75" s="685"/>
      <c r="AI75" s="685"/>
      <c r="AJ75" s="685"/>
      <c r="AK75" s="685"/>
      <c r="AL75" s="685"/>
      <c r="AM75" s="685"/>
      <c r="AN75" s="685"/>
      <c r="AO75" s="685"/>
      <c r="AP75" s="685"/>
      <c r="BA75" s="1076">
        <f>N75/BB75-1</f>
        <v>-10.369262987140951</v>
      </c>
      <c r="BB75" s="848">
        <v>96.443018115743513</v>
      </c>
    </row>
    <row r="76" spans="1:54">
      <c r="A76" s="763"/>
      <c r="B76" s="743" t="s">
        <v>192</v>
      </c>
      <c r="C76" s="743"/>
      <c r="D76" s="743"/>
      <c r="E76" s="743"/>
      <c r="F76" s="743"/>
      <c r="G76" s="743"/>
      <c r="H76" s="743"/>
      <c r="I76" s="743"/>
      <c r="J76" s="926"/>
      <c r="K76" s="901">
        <f>K58</f>
        <v>-41.3</v>
      </c>
      <c r="L76" s="901">
        <f>L58</f>
        <v>-9</v>
      </c>
      <c r="M76" s="901">
        <f>M58</f>
        <v>-25.400000000000006</v>
      </c>
      <c r="N76" s="901">
        <f>N58</f>
        <v>34.6</v>
      </c>
      <c r="O76" s="901">
        <f>O58</f>
        <v>14.8</v>
      </c>
      <c r="P76" s="763"/>
      <c r="Q76" s="763"/>
      <c r="R76" s="685"/>
      <c r="S76" s="763"/>
      <c r="T76" s="115"/>
      <c r="U76" s="115"/>
      <c r="V76" s="766"/>
      <c r="W76" s="766"/>
      <c r="X76" s="766"/>
      <c r="Y76" s="766"/>
      <c r="Z76" s="863"/>
      <c r="AA76" s="863"/>
      <c r="AB76" s="685"/>
      <c r="AC76" s="685"/>
      <c r="AD76" s="685"/>
      <c r="AE76" s="685"/>
      <c r="AF76" s="685"/>
      <c r="AG76" s="685"/>
      <c r="AH76" s="685"/>
      <c r="AI76" s="685"/>
      <c r="AJ76" s="685"/>
      <c r="AK76" s="685"/>
      <c r="AL76" s="685"/>
      <c r="AM76" s="685"/>
      <c r="AN76" s="685"/>
      <c r="AO76" s="685"/>
      <c r="AP76" s="685"/>
      <c r="BA76" s="1076">
        <f>N76/BB76-1</f>
        <v>-5.33798952813006</v>
      </c>
      <c r="BB76" s="901">
        <v>-7.9760450724081693</v>
      </c>
    </row>
    <row r="77" spans="1:54">
      <c r="A77" s="763"/>
      <c r="B77" s="685" t="s">
        <v>194</v>
      </c>
      <c r="C77" s="685"/>
      <c r="D77" s="685"/>
      <c r="E77" s="685"/>
      <c r="F77" s="685"/>
      <c r="G77" s="685"/>
      <c r="H77" s="685"/>
      <c r="I77" s="685"/>
      <c r="J77" s="808"/>
      <c r="K77" s="848">
        <f>K75+K76</f>
        <v>-2.9999999999999858</v>
      </c>
      <c r="L77" s="848">
        <f t="shared" ref="L77:O77" si="42">L75+L76</f>
        <v>2.7999999999999545</v>
      </c>
      <c r="M77" s="848">
        <f t="shared" si="42"/>
        <v>94.199999999999989</v>
      </c>
      <c r="N77" s="848">
        <f t="shared" si="42"/>
        <v>-868.99999999999989</v>
      </c>
      <c r="O77" s="848">
        <f t="shared" si="42"/>
        <v>-51.999999999999986</v>
      </c>
      <c r="P77" s="763"/>
      <c r="Q77" s="763"/>
      <c r="R77" s="685"/>
      <c r="S77" s="763"/>
      <c r="T77" s="115"/>
      <c r="U77" s="115"/>
      <c r="V77" s="766"/>
      <c r="W77" s="766"/>
      <c r="X77" s="766"/>
      <c r="Y77" s="766"/>
      <c r="Z77" s="863"/>
      <c r="AA77" s="863"/>
      <c r="AB77" s="685"/>
      <c r="AC77" s="685"/>
      <c r="AD77" s="685"/>
      <c r="AE77" s="685"/>
      <c r="AF77" s="685"/>
      <c r="AG77" s="685"/>
      <c r="AH77" s="685"/>
      <c r="AI77" s="685"/>
      <c r="AJ77" s="685"/>
      <c r="AK77" s="685"/>
      <c r="AL77" s="685"/>
      <c r="AM77" s="685"/>
      <c r="AN77" s="685"/>
      <c r="AO77" s="685"/>
      <c r="AP77" s="685"/>
      <c r="BA77" s="1076">
        <f>N77/BB77-1</f>
        <v>-10.822874798421353</v>
      </c>
      <c r="BB77" s="848">
        <v>88.466973043335344</v>
      </c>
    </row>
    <row r="78" spans="1:54">
      <c r="A78" s="763"/>
      <c r="B78" s="685"/>
      <c r="C78" s="685"/>
      <c r="D78" s="685"/>
      <c r="E78" s="685"/>
      <c r="F78" s="685"/>
      <c r="G78" s="685"/>
      <c r="H78" s="685"/>
      <c r="I78" s="685"/>
      <c r="J78" s="808"/>
      <c r="K78" s="808"/>
      <c r="L78" s="808"/>
      <c r="M78" s="685"/>
      <c r="N78" s="685"/>
      <c r="O78" s="685"/>
      <c r="P78" s="763"/>
      <c r="Q78" s="763"/>
      <c r="R78" s="685"/>
      <c r="S78" s="763"/>
      <c r="T78" s="115"/>
      <c r="U78" s="115"/>
      <c r="V78" s="766"/>
      <c r="W78" s="766"/>
      <c r="X78" s="766"/>
      <c r="Y78" s="766"/>
      <c r="Z78" s="863"/>
      <c r="AA78" s="863"/>
      <c r="AB78" s="685"/>
      <c r="AC78" s="685"/>
      <c r="AD78" s="685"/>
      <c r="AE78" s="685"/>
      <c r="AF78" s="685"/>
      <c r="AG78" s="685"/>
      <c r="AH78" s="685"/>
      <c r="AI78" s="685"/>
      <c r="AJ78" s="685"/>
      <c r="AK78" s="685"/>
      <c r="AL78" s="685"/>
      <c r="AM78" s="685"/>
      <c r="AN78" s="685"/>
      <c r="AO78" s="685"/>
      <c r="AP78" s="685"/>
      <c r="BA78" s="765"/>
      <c r="BB78" s="685"/>
    </row>
    <row r="79" spans="1:54">
      <c r="A79" s="763"/>
      <c r="B79" s="685" t="s">
        <v>7466</v>
      </c>
      <c r="C79" s="808">
        <v>20.346414062500006</v>
      </c>
      <c r="D79" s="808">
        <v>20.015915384615386</v>
      </c>
      <c r="E79" s="808">
        <v>20.040057575757579</v>
      </c>
      <c r="F79" s="808">
        <v>20.749160606060602</v>
      </c>
      <c r="G79" s="808">
        <v>20.501793749999983</v>
      </c>
      <c r="H79" s="808">
        <v>20.030058461538459</v>
      </c>
      <c r="I79" s="808">
        <v>20.23374545454546</v>
      </c>
      <c r="J79" s="808">
        <v>19.670035384615385</v>
      </c>
      <c r="K79" s="808">
        <v>18.651975384615387</v>
      </c>
      <c r="L79" s="808">
        <v>17.673632307692309</v>
      </c>
      <c r="M79" s="808">
        <v>17.07</v>
      </c>
      <c r="N79" s="1075">
        <v>17.55</v>
      </c>
      <c r="O79" s="1075">
        <f>Interims!BT180</f>
        <v>16.97</v>
      </c>
      <c r="P79" s="763"/>
      <c r="Q79" s="763"/>
      <c r="R79" s="763"/>
      <c r="S79" s="685"/>
      <c r="T79" s="115"/>
      <c r="U79" s="115"/>
      <c r="V79" s="763"/>
      <c r="W79" s="763"/>
      <c r="X79" s="763"/>
      <c r="Y79" s="763"/>
      <c r="Z79" s="685"/>
      <c r="AA79" s="685"/>
      <c r="AB79" s="685"/>
      <c r="AC79" s="685"/>
      <c r="AD79" s="685"/>
      <c r="AE79" s="685"/>
      <c r="AF79" s="685"/>
      <c r="AG79" s="685"/>
      <c r="AH79" s="685"/>
      <c r="AI79" s="685"/>
      <c r="AJ79" s="685"/>
      <c r="AK79" s="685"/>
      <c r="AL79" s="685"/>
      <c r="AM79" s="685"/>
      <c r="AN79" s="685"/>
      <c r="AO79" s="685"/>
      <c r="AP79" s="685"/>
      <c r="BA79" s="763"/>
      <c r="BB79" s="1075">
        <v>17.55</v>
      </c>
    </row>
    <row r="80" spans="1:54">
      <c r="A80" s="763"/>
      <c r="B80" s="806" t="s">
        <v>7467</v>
      </c>
      <c r="C80" s="808"/>
      <c r="D80" s="808"/>
      <c r="E80" s="808"/>
      <c r="F80" s="808"/>
      <c r="G80" s="808"/>
      <c r="H80" s="808"/>
      <c r="I80" s="808"/>
      <c r="J80" s="808"/>
      <c r="K80" s="808"/>
      <c r="L80" s="808"/>
      <c r="M80" s="868"/>
      <c r="N80" s="868"/>
      <c r="O80" s="868"/>
      <c r="P80" s="763"/>
      <c r="Q80" s="763"/>
      <c r="R80" s="763"/>
      <c r="S80" s="685"/>
      <c r="T80" s="115"/>
      <c r="U80" s="115"/>
      <c r="V80" s="763"/>
      <c r="W80" s="763"/>
      <c r="X80" s="763"/>
      <c r="Y80" s="763"/>
      <c r="Z80" s="685"/>
      <c r="AA80" s="685"/>
      <c r="AB80" s="685"/>
      <c r="AC80" s="685"/>
      <c r="AD80" s="685"/>
      <c r="AE80" s="685"/>
      <c r="AF80" s="685"/>
      <c r="AG80" s="685"/>
      <c r="AH80" s="685"/>
      <c r="AI80" s="685"/>
      <c r="AJ80" s="685"/>
      <c r="AK80" s="685"/>
      <c r="AL80" s="685"/>
      <c r="AM80" s="685"/>
      <c r="AN80" s="685"/>
      <c r="AO80" s="685"/>
      <c r="AP80" s="685"/>
      <c r="BA80" s="763"/>
      <c r="BB80" s="868"/>
    </row>
    <row r="81" spans="1:54">
      <c r="A81" s="763"/>
      <c r="B81" s="749" t="s">
        <v>98</v>
      </c>
      <c r="C81" s="808"/>
      <c r="D81" s="808"/>
      <c r="E81" s="808"/>
      <c r="F81" s="808"/>
      <c r="G81" s="849">
        <f t="shared" ref="G81:O84" si="43">G24*G$79/C$79</f>
        <v>299.26810321689788</v>
      </c>
      <c r="H81" s="849">
        <f t="shared" si="43"/>
        <v>348.94638847778435</v>
      </c>
      <c r="I81" s="849">
        <f t="shared" si="43"/>
        <v>385.89397677590904</v>
      </c>
      <c r="J81" s="849">
        <f t="shared" si="43"/>
        <v>464.80040962524305</v>
      </c>
      <c r="K81" s="849">
        <f t="shared" si="43"/>
        <v>301.86263251308878</v>
      </c>
      <c r="L81" s="849">
        <f t="shared" si="43"/>
        <v>376.05991535183512</v>
      </c>
      <c r="M81" s="849">
        <f t="shared" si="43"/>
        <v>400.05415795035464</v>
      </c>
      <c r="N81" s="849">
        <f t="shared" si="43"/>
        <v>478.31917004881223</v>
      </c>
      <c r="O81" s="849">
        <f t="shared" si="43"/>
        <v>372.2086726388394</v>
      </c>
      <c r="P81" s="763"/>
      <c r="Q81" s="763"/>
      <c r="R81" s="763"/>
      <c r="S81" s="685"/>
      <c r="T81" s="115"/>
      <c r="U81" s="115"/>
      <c r="V81" s="763"/>
      <c r="W81" s="763"/>
      <c r="X81" s="763"/>
      <c r="Y81" s="763"/>
      <c r="Z81" s="685"/>
      <c r="AA81" s="685"/>
      <c r="AB81" s="685"/>
      <c r="AC81" s="685"/>
      <c r="AD81" s="685"/>
      <c r="AE81" s="685"/>
      <c r="AF81" s="685"/>
      <c r="AG81" s="685"/>
      <c r="AH81" s="685"/>
      <c r="AI81" s="685"/>
      <c r="AJ81" s="685"/>
      <c r="AK81" s="685"/>
      <c r="AL81" s="685"/>
      <c r="AM81" s="685"/>
      <c r="AN81" s="685"/>
      <c r="AO81" s="685"/>
      <c r="AP81" s="685"/>
      <c r="BA81" s="1076">
        <f>N81/BB81-1</f>
        <v>3.2236364585019883E-2</v>
      </c>
      <c r="BB81" s="849">
        <v>463.38143710050974</v>
      </c>
    </row>
    <row r="82" spans="1:54">
      <c r="A82" s="763"/>
      <c r="B82" s="862" t="str">
        <f>B25</f>
        <v>Advertising</v>
      </c>
      <c r="C82" s="685"/>
      <c r="D82" s="685"/>
      <c r="E82" s="685"/>
      <c r="F82" s="685"/>
      <c r="G82" s="849">
        <f t="shared" si="43"/>
        <v>178.35169787673715</v>
      </c>
      <c r="H82" s="849">
        <f t="shared" si="43"/>
        <v>221.05608607611862</v>
      </c>
      <c r="I82" s="849">
        <f t="shared" si="43"/>
        <v>264.33030643624539</v>
      </c>
      <c r="J82" s="849">
        <f t="shared" si="43"/>
        <v>337.10590589993154</v>
      </c>
      <c r="K82" s="849">
        <f t="shared" si="43"/>
        <v>190.14252620625544</v>
      </c>
      <c r="L82" s="849">
        <f t="shared" si="43"/>
        <v>251.38308278680859</v>
      </c>
      <c r="M82" s="849">
        <f t="shared" si="43"/>
        <v>268.27756690892619</v>
      </c>
      <c r="N82" s="849">
        <f t="shared" si="43"/>
        <v>350.46403655134014</v>
      </c>
      <c r="O82" s="849">
        <f t="shared" si="43"/>
        <v>226.09106612259009</v>
      </c>
      <c r="P82" s="763"/>
      <c r="Q82" s="763"/>
      <c r="R82" s="763"/>
      <c r="S82" s="685"/>
      <c r="T82" s="115"/>
      <c r="U82" s="115"/>
      <c r="V82" s="763"/>
      <c r="W82" s="763"/>
      <c r="X82" s="763"/>
      <c r="Y82" s="763"/>
      <c r="Z82" s="685"/>
      <c r="AA82" s="685"/>
      <c r="AB82" s="685"/>
      <c r="AC82" s="685"/>
      <c r="AD82" s="685"/>
      <c r="AE82" s="685"/>
      <c r="AF82" s="685"/>
      <c r="AG82" s="685"/>
      <c r="AH82" s="685"/>
      <c r="AI82" s="685"/>
      <c r="AJ82" s="685"/>
      <c r="AK82" s="685"/>
      <c r="AL82" s="685"/>
      <c r="AM82" s="685"/>
      <c r="AN82" s="685"/>
      <c r="AO82" s="685"/>
      <c r="AP82" s="685"/>
      <c r="BA82" s="763"/>
      <c r="BB82" s="849"/>
    </row>
    <row r="83" spans="1:54">
      <c r="A83" s="763"/>
      <c r="B83" s="862" t="str">
        <f>B26</f>
        <v>Subscription &amp; Licensing</v>
      </c>
      <c r="C83" s="685"/>
      <c r="D83" s="685"/>
      <c r="E83" s="685"/>
      <c r="F83" s="685"/>
      <c r="G83" s="849">
        <f t="shared" si="43"/>
        <v>97.740760983296624</v>
      </c>
      <c r="H83" s="849">
        <f t="shared" si="43"/>
        <v>100.87122442948282</v>
      </c>
      <c r="I83" s="849">
        <f t="shared" si="43"/>
        <v>104.19743171971169</v>
      </c>
      <c r="J83" s="849">
        <f t="shared" si="43"/>
        <v>104.56350230810587</v>
      </c>
      <c r="K83" s="849">
        <f t="shared" si="43"/>
        <v>100.07501379276601</v>
      </c>
      <c r="L83" s="849">
        <f t="shared" si="43"/>
        <v>113.38268212743034</v>
      </c>
      <c r="M83" s="849">
        <f t="shared" si="43"/>
        <v>120.89363313851925</v>
      </c>
      <c r="N83" s="849">
        <f t="shared" si="43"/>
        <v>109.11851239874976</v>
      </c>
      <c r="O83" s="849">
        <f t="shared" si="43"/>
        <v>133.65302862538624</v>
      </c>
      <c r="P83" s="763"/>
      <c r="Q83" s="763"/>
      <c r="R83" s="763"/>
      <c r="S83" s="685"/>
      <c r="T83" s="115"/>
      <c r="U83" s="115"/>
      <c r="V83" s="763"/>
      <c r="W83" s="763"/>
      <c r="X83" s="763"/>
      <c r="Y83" s="763"/>
      <c r="Z83" s="685"/>
      <c r="AA83" s="685"/>
      <c r="AB83" s="685"/>
      <c r="AC83" s="685"/>
      <c r="AD83" s="685"/>
      <c r="AE83" s="685"/>
      <c r="AF83" s="685"/>
      <c r="AG83" s="685"/>
      <c r="AH83" s="685"/>
      <c r="AI83" s="685"/>
      <c r="AJ83" s="685"/>
      <c r="AK83" s="685"/>
      <c r="AL83" s="685"/>
      <c r="AM83" s="685"/>
      <c r="AN83" s="685"/>
      <c r="AO83" s="685"/>
      <c r="AP83" s="685"/>
      <c r="BA83" s="763"/>
      <c r="BB83" s="849"/>
    </row>
    <row r="84" spans="1:54">
      <c r="A84" s="763"/>
      <c r="B84" s="862" t="str">
        <f>B27</f>
        <v>Other</v>
      </c>
      <c r="C84" s="685"/>
      <c r="D84" s="685"/>
      <c r="E84" s="685"/>
      <c r="F84" s="685"/>
      <c r="G84" s="849">
        <f t="shared" si="43"/>
        <v>17.129824089856111</v>
      </c>
      <c r="H84" s="849">
        <f t="shared" si="43"/>
        <v>27.019077972182899</v>
      </c>
      <c r="I84" s="849">
        <f t="shared" si="43"/>
        <v>17.366238619951947</v>
      </c>
      <c r="J84" s="849">
        <f t="shared" si="43"/>
        <v>23.131001417205646</v>
      </c>
      <c r="K84" s="849">
        <f t="shared" si="43"/>
        <v>11.645092514067318</v>
      </c>
      <c r="L84" s="849">
        <f t="shared" si="43"/>
        <v>11.294150437596175</v>
      </c>
      <c r="M84" s="849">
        <f t="shared" si="43"/>
        <v>10.882957902909268</v>
      </c>
      <c r="N84" s="849">
        <f t="shared" si="43"/>
        <v>18.73662109872236</v>
      </c>
      <c r="O84" s="849">
        <f t="shared" si="43"/>
        <v>12.464577890863113</v>
      </c>
      <c r="P84" s="763"/>
      <c r="Q84" s="763"/>
      <c r="R84" s="763"/>
      <c r="S84" s="685"/>
      <c r="T84" s="115"/>
      <c r="U84" s="115"/>
      <c r="V84" s="763"/>
      <c r="W84" s="763"/>
      <c r="X84" s="763"/>
      <c r="Y84" s="763"/>
      <c r="Z84" s="685"/>
      <c r="AA84" s="685"/>
      <c r="AB84" s="685"/>
      <c r="AC84" s="685"/>
      <c r="AD84" s="685"/>
      <c r="AE84" s="685"/>
      <c r="AF84" s="685"/>
      <c r="AG84" s="685"/>
      <c r="AH84" s="685"/>
      <c r="AI84" s="685"/>
      <c r="AJ84" s="685"/>
      <c r="AK84" s="685"/>
      <c r="AL84" s="685"/>
      <c r="AM84" s="685"/>
      <c r="AN84" s="685"/>
      <c r="AO84" s="685"/>
      <c r="AP84" s="685"/>
      <c r="BA84" s="763"/>
      <c r="BB84" s="849"/>
    </row>
    <row r="85" spans="1:54">
      <c r="A85" s="763"/>
      <c r="B85" s="685"/>
      <c r="C85" s="685"/>
      <c r="D85" s="685"/>
      <c r="E85" s="685"/>
      <c r="F85" s="685"/>
      <c r="G85" s="849"/>
      <c r="H85" s="849"/>
      <c r="I85" s="849"/>
      <c r="J85" s="849"/>
      <c r="K85" s="849"/>
      <c r="L85" s="849"/>
      <c r="M85" s="685"/>
      <c r="N85" s="685"/>
      <c r="O85" s="685"/>
      <c r="P85" s="763"/>
      <c r="Q85" s="763"/>
      <c r="R85" s="763"/>
      <c r="S85" s="685"/>
      <c r="T85" s="115"/>
      <c r="U85" s="115"/>
      <c r="V85" s="763"/>
      <c r="W85" s="763"/>
      <c r="X85" s="763"/>
      <c r="Y85" s="763"/>
      <c r="Z85" s="685"/>
      <c r="AA85" s="685"/>
      <c r="AB85" s="685"/>
      <c r="AC85" s="685"/>
      <c r="AD85" s="685"/>
      <c r="AE85" s="685"/>
      <c r="AF85" s="685"/>
      <c r="AG85" s="685"/>
      <c r="AH85" s="685"/>
      <c r="AI85" s="685"/>
      <c r="AJ85" s="685"/>
      <c r="AK85" s="685"/>
      <c r="AL85" s="685"/>
      <c r="AM85" s="685"/>
      <c r="AN85" s="685"/>
      <c r="AO85" s="685"/>
      <c r="AP85" s="685"/>
      <c r="BA85" s="763"/>
      <c r="BB85" s="685"/>
    </row>
    <row r="86" spans="1:54">
      <c r="A86" s="763"/>
      <c r="B86" s="749" t="s">
        <v>564</v>
      </c>
      <c r="C86" s="685"/>
      <c r="D86" s="685"/>
      <c r="E86" s="685"/>
      <c r="F86" s="685"/>
      <c r="G86" s="685"/>
      <c r="H86" s="685"/>
      <c r="I86" s="685"/>
      <c r="J86" s="685"/>
      <c r="K86" s="685"/>
      <c r="L86" s="685"/>
      <c r="M86" s="685"/>
      <c r="N86" s="685"/>
      <c r="O86" s="685"/>
      <c r="P86" s="763"/>
      <c r="Q86" s="763"/>
      <c r="R86" s="763"/>
      <c r="S86" s="685"/>
      <c r="T86" s="115"/>
      <c r="U86" s="115"/>
      <c r="V86" s="763"/>
      <c r="W86" s="763"/>
      <c r="X86" s="763"/>
      <c r="Y86" s="763"/>
      <c r="Z86" s="685"/>
      <c r="AA86" s="685"/>
      <c r="AB86" s="685"/>
      <c r="AC86" s="685"/>
      <c r="AD86" s="685"/>
      <c r="AE86" s="685"/>
      <c r="AF86" s="685"/>
      <c r="AG86" s="685"/>
      <c r="AH86" s="685"/>
      <c r="AI86" s="685"/>
      <c r="AJ86" s="685"/>
      <c r="AK86" s="685"/>
      <c r="AL86" s="685"/>
      <c r="AM86" s="685"/>
      <c r="AN86" s="685"/>
      <c r="AO86" s="685"/>
      <c r="AP86" s="685"/>
      <c r="BA86" s="763"/>
      <c r="BB86" s="685"/>
    </row>
    <row r="87" spans="1:54">
      <c r="A87" s="763"/>
      <c r="B87" s="749" t="s">
        <v>98</v>
      </c>
      <c r="C87" s="685"/>
      <c r="D87" s="685"/>
      <c r="E87" s="685"/>
      <c r="F87" s="685"/>
      <c r="G87" s="869">
        <f t="shared" ref="G87:O90" si="44">G81/C24-1</f>
        <v>0.14224466876678576</v>
      </c>
      <c r="H87" s="869">
        <f t="shared" si="44"/>
        <v>0.19871655265470389</v>
      </c>
      <c r="I87" s="869">
        <f t="shared" si="44"/>
        <v>0.11950675014769097</v>
      </c>
      <c r="J87" s="869">
        <f t="shared" si="44"/>
        <v>4.8737386338544741E-2</v>
      </c>
      <c r="K87" s="869">
        <f t="shared" si="44"/>
        <v>1.6372500044069982E-2</v>
      </c>
      <c r="L87" s="869">
        <f t="shared" si="44"/>
        <v>7.8462619305520898E-2</v>
      </c>
      <c r="M87" s="869">
        <f t="shared" si="44"/>
        <v>4.6714175694282156E-2</v>
      </c>
      <c r="N87" s="869">
        <f t="shared" si="44"/>
        <v>-2.4435712729324433E-2</v>
      </c>
      <c r="O87" s="869">
        <f>O81/K24-1</f>
        <v>0.12178623459565818</v>
      </c>
      <c r="P87" s="763"/>
      <c r="Q87" s="763"/>
      <c r="R87" s="763"/>
      <c r="S87" s="685"/>
      <c r="T87" s="115"/>
      <c r="U87" s="115"/>
      <c r="V87" s="763"/>
      <c r="W87" s="763"/>
      <c r="X87" s="763"/>
      <c r="Y87" s="763"/>
      <c r="Z87" s="685"/>
      <c r="AA87" s="685"/>
      <c r="AB87" s="685"/>
      <c r="AC87" s="685"/>
      <c r="AD87" s="685"/>
      <c r="AE87" s="685"/>
      <c r="AF87" s="685"/>
      <c r="AG87" s="685"/>
      <c r="AH87" s="685"/>
      <c r="AI87" s="685"/>
      <c r="AJ87" s="685"/>
      <c r="AK87" s="685"/>
      <c r="AL87" s="685"/>
      <c r="AM87" s="685"/>
      <c r="AN87" s="685"/>
      <c r="AO87" s="685"/>
      <c r="AP87" s="685"/>
      <c r="BA87" s="763"/>
      <c r="BB87" s="869">
        <v>-5.4902229042403161E-2</v>
      </c>
    </row>
    <row r="88" spans="1:54">
      <c r="A88" s="763"/>
      <c r="B88" s="862" t="str">
        <f>B82</f>
        <v>Advertising</v>
      </c>
      <c r="C88" s="685"/>
      <c r="D88" s="685"/>
      <c r="E88" s="685"/>
      <c r="F88" s="685"/>
      <c r="G88" s="869">
        <f t="shared" si="44"/>
        <v>8.0919381071134167E-2</v>
      </c>
      <c r="H88" s="869">
        <f t="shared" si="44"/>
        <v>0.14536832163792024</v>
      </c>
      <c r="I88" s="869">
        <f t="shared" si="44"/>
        <v>9.6806250772802471E-2</v>
      </c>
      <c r="J88" s="869">
        <f t="shared" si="44"/>
        <v>-9.9679709253112092E-3</v>
      </c>
      <c r="K88" s="869">
        <f t="shared" si="44"/>
        <v>7.4251560487318846E-2</v>
      </c>
      <c r="L88" s="869">
        <f t="shared" si="44"/>
        <v>0.13799494244820543</v>
      </c>
      <c r="M88" s="869">
        <f t="shared" si="44"/>
        <v>2.4742425167785242E-2</v>
      </c>
      <c r="N88" s="869">
        <f t="shared" si="44"/>
        <v>-1.4443091812879283E-2</v>
      </c>
      <c r="O88" s="869">
        <f>O82/K25-1</f>
        <v>8.1775435993254098E-2</v>
      </c>
      <c r="P88" s="763"/>
      <c r="Q88" s="763"/>
      <c r="R88" s="763"/>
      <c r="S88" s="685"/>
      <c r="T88" s="115"/>
      <c r="U88" s="115"/>
      <c r="V88" s="763"/>
      <c r="W88" s="763"/>
      <c r="X88" s="763"/>
      <c r="Y88" s="763"/>
      <c r="Z88" s="685"/>
      <c r="AA88" s="685"/>
      <c r="AB88" s="685"/>
      <c r="AC88" s="685"/>
      <c r="AD88" s="685"/>
      <c r="AE88" s="685"/>
      <c r="AF88" s="685"/>
      <c r="AG88" s="685"/>
      <c r="AH88" s="685"/>
      <c r="AI88" s="685"/>
      <c r="AJ88" s="685"/>
      <c r="AK88" s="685"/>
      <c r="AL88" s="685"/>
      <c r="AM88" s="685"/>
      <c r="AN88" s="685"/>
      <c r="AO88" s="685"/>
      <c r="AP88" s="685"/>
      <c r="BA88" s="763"/>
      <c r="BB88" s="685"/>
    </row>
    <row r="89" spans="1:54">
      <c r="A89" s="763"/>
      <c r="B89" s="862" t="str">
        <f>B83</f>
        <v>Subscription &amp; Licensing</v>
      </c>
      <c r="C89" s="685"/>
      <c r="D89" s="685"/>
      <c r="E89" s="685"/>
      <c r="F89" s="685"/>
      <c r="G89" s="869">
        <f t="shared" si="44"/>
        <v>0.12345702279651283</v>
      </c>
      <c r="H89" s="869">
        <f t="shared" si="44"/>
        <v>9.8815080931185406E-2</v>
      </c>
      <c r="I89" s="869">
        <f t="shared" si="44"/>
        <v>0.15008202781138724</v>
      </c>
      <c r="J89" s="869">
        <f t="shared" si="44"/>
        <v>0.14152295096185452</v>
      </c>
      <c r="K89" s="869">
        <f t="shared" si="44"/>
        <v>3.1701173121299053E-2</v>
      </c>
      <c r="L89" s="869">
        <f t="shared" si="44"/>
        <v>0.12482819570863435</v>
      </c>
      <c r="M89" s="869">
        <f t="shared" si="44"/>
        <v>0.17144993351278348</v>
      </c>
      <c r="N89" s="869">
        <f t="shared" si="44"/>
        <v>-1.0711582966910549E-2</v>
      </c>
      <c r="O89" s="869">
        <f>O83/K26-1</f>
        <v>0.21502753295805666</v>
      </c>
      <c r="P89" s="763"/>
      <c r="Q89" s="763"/>
      <c r="R89" s="763"/>
      <c r="S89" s="685"/>
      <c r="T89" s="115"/>
      <c r="U89" s="115"/>
      <c r="V89" s="763"/>
      <c r="W89" s="763"/>
      <c r="X89" s="763"/>
      <c r="Y89" s="763"/>
      <c r="Z89" s="685"/>
      <c r="AA89" s="685"/>
      <c r="AB89" s="685"/>
      <c r="AC89" s="685"/>
      <c r="AD89" s="685"/>
      <c r="AE89" s="685"/>
      <c r="AF89" s="685"/>
      <c r="AG89" s="685"/>
      <c r="AH89" s="685"/>
      <c r="AI89" s="685"/>
      <c r="AJ89" s="685"/>
      <c r="AK89" s="685"/>
      <c r="AL89" s="685"/>
      <c r="AM89" s="685"/>
      <c r="AN89" s="685"/>
      <c r="AO89" s="685"/>
      <c r="AP89" s="685"/>
      <c r="BA89" s="763"/>
      <c r="BB89" s="685"/>
    </row>
    <row r="90" spans="1:54">
      <c r="A90" s="763"/>
      <c r="B90" s="862" t="str">
        <f>B84</f>
        <v>Other</v>
      </c>
      <c r="C90" s="685"/>
      <c r="D90" s="685"/>
      <c r="E90" s="685"/>
      <c r="F90" s="685"/>
      <c r="G90" s="869">
        <f t="shared" si="44"/>
        <v>0.71298240898561116</v>
      </c>
      <c r="H90" s="869">
        <f t="shared" si="44"/>
        <v>3.2887425352671267</v>
      </c>
      <c r="I90" s="869">
        <f t="shared" si="44"/>
        <v>0.32566707022533947</v>
      </c>
      <c r="J90" s="869">
        <f t="shared" si="44"/>
        <v>1.0838740015500581</v>
      </c>
      <c r="K90" s="869">
        <f t="shared" si="44"/>
        <v>-0.31499455799604004</v>
      </c>
      <c r="L90" s="869">
        <f t="shared" si="44"/>
        <v>-0.58169813194088249</v>
      </c>
      <c r="M90" s="869">
        <f t="shared" si="44"/>
        <v>-0.36726988936574023</v>
      </c>
      <c r="N90" s="869">
        <f t="shared" si="44"/>
        <v>-0.23210569267531311</v>
      </c>
      <c r="O90" s="869">
        <f t="shared" si="44"/>
        <v>-2.6204852276319301E-2</v>
      </c>
      <c r="P90" s="763"/>
      <c r="Q90" s="763"/>
      <c r="R90" s="763"/>
      <c r="S90" s="685"/>
      <c r="T90" s="115"/>
      <c r="U90" s="115"/>
      <c r="V90" s="763"/>
      <c r="W90" s="763"/>
      <c r="X90" s="763"/>
      <c r="Y90" s="763"/>
      <c r="Z90" s="685"/>
      <c r="AA90" s="685"/>
      <c r="AB90" s="685"/>
      <c r="AC90" s="685"/>
      <c r="AD90" s="685"/>
      <c r="AE90" s="685"/>
      <c r="AF90" s="685"/>
      <c r="AG90" s="685"/>
      <c r="AH90" s="685"/>
      <c r="AI90" s="685"/>
      <c r="AJ90" s="685"/>
      <c r="AK90" s="685"/>
      <c r="AL90" s="685"/>
      <c r="AM90" s="685"/>
      <c r="AN90" s="685"/>
      <c r="AO90" s="685"/>
      <c r="AP90" s="685"/>
      <c r="BA90" s="763"/>
      <c r="BB90" s="685"/>
    </row>
    <row r="91" spans="1:54">
      <c r="A91" s="763"/>
      <c r="B91" s="685"/>
      <c r="C91" s="685"/>
      <c r="D91" s="685"/>
      <c r="E91" s="685"/>
      <c r="F91" s="685"/>
      <c r="G91" s="685"/>
      <c r="H91" s="685"/>
      <c r="I91" s="685"/>
      <c r="J91" s="685"/>
      <c r="K91" s="685"/>
      <c r="L91" s="685"/>
      <c r="M91" s="685"/>
      <c r="N91" s="685"/>
      <c r="O91" s="685"/>
      <c r="P91" s="763"/>
      <c r="Q91" s="763"/>
      <c r="R91" s="763"/>
      <c r="S91" s="685"/>
      <c r="T91" s="115"/>
      <c r="U91" s="115"/>
      <c r="V91" s="763"/>
      <c r="W91" s="763"/>
      <c r="X91" s="763"/>
      <c r="Y91" s="763"/>
      <c r="Z91" s="685"/>
      <c r="AA91" s="685"/>
      <c r="AB91" s="685"/>
      <c r="AC91" s="685"/>
      <c r="AD91" s="685"/>
      <c r="AE91" s="685"/>
      <c r="AF91" s="685"/>
      <c r="AG91" s="685"/>
      <c r="AH91" s="685"/>
      <c r="AI91" s="685"/>
      <c r="AJ91" s="685"/>
      <c r="AK91" s="685"/>
      <c r="AL91" s="685"/>
      <c r="AM91" s="685"/>
      <c r="AN91" s="685"/>
      <c r="AO91" s="685"/>
      <c r="AP91" s="685"/>
      <c r="BA91" s="763"/>
      <c r="BB91" s="685"/>
    </row>
    <row r="92" spans="1:54">
      <c r="A92" s="763"/>
      <c r="B92" s="806" t="s">
        <v>7468</v>
      </c>
      <c r="C92" s="685"/>
      <c r="D92" s="685"/>
      <c r="E92" s="685"/>
      <c r="F92" s="685"/>
      <c r="G92" s="685"/>
      <c r="H92" s="685"/>
      <c r="I92" s="685"/>
      <c r="J92" s="685"/>
      <c r="K92" s="685"/>
      <c r="L92" s="685"/>
      <c r="M92" s="685"/>
      <c r="N92" s="685"/>
      <c r="O92" s="685"/>
      <c r="P92" s="763"/>
      <c r="Q92" s="763"/>
      <c r="R92" s="763"/>
      <c r="S92" s="685"/>
      <c r="T92" s="115"/>
      <c r="U92" s="115"/>
      <c r="V92" s="763"/>
      <c r="W92" s="763"/>
      <c r="X92" s="763"/>
      <c r="Y92" s="763"/>
      <c r="Z92" s="685"/>
      <c r="AA92" s="685"/>
      <c r="AB92" s="685"/>
      <c r="AC92" s="685"/>
      <c r="AD92" s="685"/>
      <c r="AE92" s="685"/>
      <c r="AF92" s="685"/>
      <c r="AG92" s="685"/>
      <c r="AH92" s="685"/>
      <c r="AI92" s="685"/>
      <c r="AJ92" s="685"/>
      <c r="AK92" s="685"/>
      <c r="AL92" s="685"/>
      <c r="AM92" s="685"/>
      <c r="AN92" s="685"/>
      <c r="AO92" s="685"/>
      <c r="AP92" s="685"/>
      <c r="BA92" s="763"/>
      <c r="BB92" s="685"/>
    </row>
    <row r="93" spans="1:54">
      <c r="A93" s="763"/>
      <c r="B93" s="749" t="str">
        <f>B87</f>
        <v>Total</v>
      </c>
      <c r="C93" s="685"/>
      <c r="D93" s="685"/>
      <c r="E93" s="685"/>
      <c r="F93" s="685"/>
      <c r="G93" s="848">
        <f t="shared" ref="G93:O93" si="45">G19-G24+G81</f>
        <v>1012.8681032168979</v>
      </c>
      <c r="H93" s="848">
        <f t="shared" si="45"/>
        <v>1096.4463884777842</v>
      </c>
      <c r="I93" s="848">
        <f t="shared" si="45"/>
        <v>1155.1939767759091</v>
      </c>
      <c r="J93" s="848">
        <f t="shared" si="45"/>
        <v>1428.000409625243</v>
      </c>
      <c r="K93" s="848">
        <f t="shared" si="45"/>
        <v>1040.9626325130889</v>
      </c>
      <c r="L93" s="848">
        <f t="shared" si="45"/>
        <v>1169.659915351835</v>
      </c>
      <c r="M93" s="848">
        <f t="shared" si="45"/>
        <v>1206.3541579503546</v>
      </c>
      <c r="N93" s="848">
        <f t="shared" si="45"/>
        <v>1299.0191700488122</v>
      </c>
      <c r="O93" s="848">
        <f t="shared" si="45"/>
        <v>1112.1086726388394</v>
      </c>
      <c r="P93" s="763"/>
      <c r="Q93" s="763"/>
      <c r="R93" s="763"/>
      <c r="S93" s="685"/>
      <c r="T93" s="115"/>
      <c r="U93" s="115"/>
      <c r="V93" s="763"/>
      <c r="W93" s="763"/>
      <c r="X93" s="763"/>
      <c r="Y93" s="763"/>
      <c r="Z93" s="685"/>
      <c r="AA93" s="685"/>
      <c r="AB93" s="685"/>
      <c r="AC93" s="685"/>
      <c r="AD93" s="685"/>
      <c r="AE93" s="685"/>
      <c r="AF93" s="685"/>
      <c r="AG93" s="685"/>
      <c r="AH93" s="685"/>
      <c r="AI93" s="685"/>
      <c r="AJ93" s="685"/>
      <c r="AK93" s="685"/>
      <c r="AL93" s="685"/>
      <c r="AM93" s="685"/>
      <c r="AN93" s="685"/>
      <c r="AO93" s="685"/>
      <c r="AP93" s="685"/>
      <c r="BA93" s="1076">
        <f>N93/BB93-1</f>
        <v>-6.525911469221779E-2</v>
      </c>
      <c r="BB93" s="848">
        <v>1389.7104432541046</v>
      </c>
    </row>
    <row r="94" spans="1:54">
      <c r="A94" s="763"/>
      <c r="B94" s="749" t="s">
        <v>564</v>
      </c>
      <c r="C94" s="685"/>
      <c r="D94" s="685"/>
      <c r="E94" s="685"/>
      <c r="F94" s="685"/>
      <c r="G94" s="869">
        <f t="shared" ref="G94:O94" si="46">G93/C19-1</f>
        <v>0.13043315091171648</v>
      </c>
      <c r="H94" s="869">
        <f t="shared" si="46"/>
        <v>0.10618077933594039</v>
      </c>
      <c r="I94" s="869">
        <f t="shared" si="46"/>
        <v>5.1131916993547799E-2</v>
      </c>
      <c r="J94" s="869">
        <f t="shared" si="46"/>
        <v>0.19437973371131068</v>
      </c>
      <c r="K94" s="869">
        <f t="shared" si="46"/>
        <v>3.0044164370758963E-2</v>
      </c>
      <c r="L94" s="869">
        <f t="shared" si="46"/>
        <v>6.7013241517820621E-2</v>
      </c>
      <c r="M94" s="869">
        <f t="shared" si="46"/>
        <v>4.763713239283951E-2</v>
      </c>
      <c r="N94" s="869">
        <f t="shared" si="46"/>
        <v>-0.10628196075073126</v>
      </c>
      <c r="O94" s="869">
        <f t="shared" si="46"/>
        <v>3.8480411465906528E-2</v>
      </c>
      <c r="P94" s="763"/>
      <c r="Q94" s="763"/>
      <c r="R94" s="763"/>
      <c r="S94" s="685"/>
      <c r="T94" s="115"/>
      <c r="U94" s="115"/>
      <c r="V94" s="763"/>
      <c r="W94" s="763"/>
      <c r="X94" s="763"/>
      <c r="Y94" s="763"/>
      <c r="Z94" s="685"/>
      <c r="AA94" s="685"/>
      <c r="AB94" s="685"/>
      <c r="AC94" s="685"/>
      <c r="AD94" s="685"/>
      <c r="AE94" s="685"/>
      <c r="AF94" s="685"/>
      <c r="AG94" s="685"/>
      <c r="AH94" s="685"/>
      <c r="AI94" s="685"/>
      <c r="AJ94" s="685"/>
      <c r="AK94" s="685"/>
      <c r="AL94" s="685"/>
      <c r="AM94" s="685"/>
      <c r="AN94" s="685"/>
      <c r="AO94" s="685"/>
      <c r="AP94" s="685"/>
      <c r="BA94" s="763"/>
      <c r="BB94" s="869">
        <v>-4.3886863946264509E-2</v>
      </c>
    </row>
    <row r="95" spans="1:54">
      <c r="A95" s="763"/>
      <c r="B95" s="862"/>
      <c r="C95" s="685"/>
      <c r="D95" s="685"/>
      <c r="E95" s="685"/>
      <c r="F95" s="685"/>
      <c r="G95" s="685"/>
      <c r="H95" s="685"/>
      <c r="I95" s="685"/>
      <c r="J95" s="685"/>
      <c r="K95" s="685"/>
      <c r="L95" s="869"/>
      <c r="M95" s="869"/>
      <c r="N95" s="685"/>
      <c r="O95" s="685"/>
      <c r="P95" s="763"/>
      <c r="Q95" s="763"/>
      <c r="R95" s="763"/>
      <c r="S95" s="685"/>
      <c r="T95" s="115"/>
      <c r="U95" s="115"/>
      <c r="V95" s="763"/>
      <c r="W95" s="763"/>
      <c r="X95" s="763"/>
      <c r="Y95" s="763"/>
      <c r="Z95" s="685"/>
      <c r="AA95" s="685"/>
      <c r="AB95" s="685"/>
      <c r="AC95" s="685"/>
      <c r="AD95" s="685"/>
      <c r="AE95" s="685"/>
      <c r="AF95" s="685"/>
      <c r="AG95" s="685"/>
      <c r="AH95" s="685"/>
      <c r="AI95" s="685"/>
      <c r="AJ95" s="685"/>
      <c r="AK95" s="685"/>
      <c r="AL95" s="685"/>
      <c r="AM95" s="685"/>
      <c r="AN95" s="685"/>
      <c r="AO95" s="685"/>
      <c r="AP95" s="685"/>
      <c r="BA95" s="763"/>
      <c r="BB95" s="685"/>
    </row>
    <row r="96" spans="1:54">
      <c r="A96" s="763"/>
      <c r="B96" s="806" t="s">
        <v>1083</v>
      </c>
      <c r="C96" s="685"/>
      <c r="D96" s="685"/>
      <c r="E96" s="685"/>
      <c r="F96" s="685"/>
      <c r="G96" s="685"/>
      <c r="H96" s="685"/>
      <c r="I96" s="685"/>
      <c r="J96" s="685"/>
      <c r="K96" s="685"/>
      <c r="L96" s="869"/>
      <c r="M96" s="869"/>
      <c r="N96" s="685"/>
      <c r="O96" s="685"/>
      <c r="P96" s="763"/>
      <c r="Q96" s="763"/>
      <c r="R96" s="763"/>
      <c r="S96" s="685"/>
      <c r="T96" s="115"/>
      <c r="U96" s="115"/>
      <c r="V96" s="763"/>
      <c r="W96" s="763"/>
      <c r="X96" s="763"/>
      <c r="Y96" s="763"/>
      <c r="Z96" s="685"/>
      <c r="AA96" s="685"/>
      <c r="AB96" s="685"/>
      <c r="AC96" s="685"/>
      <c r="AD96" s="685"/>
      <c r="AE96" s="685"/>
      <c r="AF96" s="685"/>
      <c r="AG96" s="685"/>
      <c r="AH96" s="685"/>
      <c r="AI96" s="685"/>
      <c r="AJ96" s="685"/>
      <c r="AK96" s="685"/>
      <c r="AL96" s="685"/>
      <c r="AM96" s="685"/>
      <c r="AN96" s="685"/>
      <c r="AO96" s="685"/>
      <c r="AP96" s="685"/>
      <c r="BA96" s="763"/>
      <c r="BB96" s="685"/>
    </row>
    <row r="97" spans="1:54">
      <c r="A97" s="763"/>
      <c r="B97" s="857" t="s">
        <v>564</v>
      </c>
      <c r="C97" s="743"/>
      <c r="D97" s="743"/>
      <c r="E97" s="743"/>
      <c r="F97" s="743"/>
      <c r="G97" s="858" t="str">
        <f t="shared" ref="G97:O97" si="47">G18</f>
        <v>Q1 22</v>
      </c>
      <c r="H97" s="858" t="str">
        <f t="shared" si="47"/>
        <v>Q2 22</v>
      </c>
      <c r="I97" s="858" t="str">
        <f t="shared" si="47"/>
        <v>Q3 22</v>
      </c>
      <c r="J97" s="858" t="str">
        <f t="shared" si="47"/>
        <v>Q4 22</v>
      </c>
      <c r="K97" s="858" t="str">
        <f t="shared" si="47"/>
        <v>Q1 23</v>
      </c>
      <c r="L97" s="858" t="str">
        <f t="shared" si="47"/>
        <v>Q2 23</v>
      </c>
      <c r="M97" s="858" t="str">
        <f t="shared" si="47"/>
        <v>Q3 23</v>
      </c>
      <c r="N97" s="858" t="str">
        <f t="shared" si="47"/>
        <v>Q4 23</v>
      </c>
      <c r="O97" s="858" t="str">
        <f t="shared" si="47"/>
        <v>Q1 24</v>
      </c>
      <c r="P97" s="763"/>
      <c r="Q97" s="763"/>
      <c r="R97" s="763"/>
      <c r="S97" s="685"/>
      <c r="T97" s="115"/>
      <c r="U97" s="115"/>
      <c r="V97" s="763"/>
      <c r="W97" s="763"/>
      <c r="X97" s="763"/>
      <c r="Y97" s="763"/>
      <c r="Z97" s="685"/>
      <c r="AA97" s="685"/>
      <c r="AB97" s="685"/>
      <c r="AC97" s="685"/>
      <c r="AD97" s="685"/>
      <c r="AE97" s="685"/>
      <c r="AF97" s="685"/>
      <c r="AG97" s="685"/>
      <c r="AH97" s="685"/>
      <c r="AI97" s="685"/>
      <c r="AJ97" s="685"/>
      <c r="AK97" s="685"/>
      <c r="AL97" s="685"/>
      <c r="AM97" s="685"/>
      <c r="AN97" s="685"/>
      <c r="AO97" s="685"/>
      <c r="AP97" s="685"/>
      <c r="BA97" s="763"/>
      <c r="BB97" s="858" t="s">
        <v>7465</v>
      </c>
    </row>
    <row r="98" spans="1:54">
      <c r="A98" s="763"/>
      <c r="B98" s="1599" t="s">
        <v>1084</v>
      </c>
      <c r="C98" s="846"/>
      <c r="D98" s="846"/>
      <c r="E98" s="846"/>
      <c r="F98" s="846"/>
      <c r="G98" s="870"/>
      <c r="H98" s="870"/>
      <c r="I98" s="870"/>
      <c r="J98" s="870"/>
      <c r="K98" s="870"/>
      <c r="L98" s="870"/>
      <c r="M98" s="870"/>
      <c r="N98" s="870"/>
      <c r="O98" s="870"/>
      <c r="P98" s="763"/>
      <c r="Q98" s="1080"/>
      <c r="R98" s="763"/>
      <c r="S98" s="685"/>
      <c r="T98" s="115"/>
      <c r="U98" s="115"/>
      <c r="V98" s="763"/>
      <c r="W98" s="763"/>
      <c r="X98" s="763"/>
      <c r="Y98" s="763"/>
      <c r="Z98" s="685"/>
      <c r="AA98" s="685"/>
      <c r="AB98" s="685"/>
      <c r="AC98" s="685"/>
      <c r="AD98" s="685"/>
      <c r="AE98" s="685"/>
      <c r="AF98" s="685"/>
      <c r="AG98" s="685"/>
      <c r="AH98" s="685"/>
      <c r="AI98" s="685"/>
      <c r="AJ98" s="685"/>
      <c r="AK98" s="685"/>
      <c r="AL98" s="685"/>
      <c r="AM98" s="685"/>
      <c r="AN98" s="685"/>
      <c r="AO98" s="685"/>
      <c r="AP98" s="685"/>
      <c r="BA98" s="763"/>
      <c r="BB98" s="870"/>
    </row>
    <row r="99" spans="1:54">
      <c r="A99" s="763"/>
      <c r="B99" s="685" t="str">
        <f>B19</f>
        <v>Revenue</v>
      </c>
      <c r="C99" s="685"/>
      <c r="D99" s="685"/>
      <c r="E99" s="685"/>
      <c r="F99" s="685"/>
      <c r="G99" s="869">
        <f t="shared" ref="G99:O99" si="48">G19/C19-1</f>
        <v>0.12790178571428568</v>
      </c>
      <c r="H99" s="869">
        <f t="shared" si="48"/>
        <v>0.10593220338983045</v>
      </c>
      <c r="I99" s="869">
        <f t="shared" si="48"/>
        <v>4.7770700636942776E-2</v>
      </c>
      <c r="J99" s="869">
        <f t="shared" si="48"/>
        <v>0.2157075945132152</v>
      </c>
      <c r="K99" s="869">
        <f t="shared" si="48"/>
        <v>5.9667524243024017E-2</v>
      </c>
      <c r="L99" s="869">
        <f t="shared" si="48"/>
        <v>0.11275314723590579</v>
      </c>
      <c r="M99" s="869">
        <f t="shared" si="48"/>
        <v>0.11202778983934003</v>
      </c>
      <c r="N99" s="869">
        <f t="shared" si="48"/>
        <v>-6.6529067767457928E-2</v>
      </c>
      <c r="O99" s="869">
        <f t="shared" si="48"/>
        <v>7.2929311793818119E-2</v>
      </c>
      <c r="P99" s="1079"/>
      <c r="Q99" s="1079"/>
      <c r="R99" s="1079"/>
      <c r="S99" s="685"/>
      <c r="T99" s="115"/>
      <c r="U99" s="115"/>
      <c r="V99" s="763"/>
      <c r="W99" s="763"/>
      <c r="X99" s="763"/>
      <c r="Y99" s="763"/>
      <c r="Z99" s="685"/>
      <c r="AA99" s="685"/>
      <c r="AB99" s="685"/>
      <c r="AC99" s="685"/>
      <c r="AD99" s="685"/>
      <c r="AE99" s="685"/>
      <c r="AF99" s="685"/>
      <c r="AG99" s="685"/>
      <c r="AH99" s="685"/>
      <c r="AI99" s="685"/>
      <c r="AJ99" s="685"/>
      <c r="AK99" s="685"/>
      <c r="AL99" s="685"/>
      <c r="AM99" s="685"/>
      <c r="AN99" s="685"/>
      <c r="AO99" s="685"/>
      <c r="AP99" s="685"/>
      <c r="BA99" s="763"/>
      <c r="BB99" s="869">
        <v>-5.3754392889333591E-3</v>
      </c>
    </row>
    <row r="100" spans="1:54">
      <c r="A100" s="763"/>
      <c r="B100" s="846" t="s">
        <v>7469</v>
      </c>
      <c r="C100" s="846"/>
      <c r="D100" s="846"/>
      <c r="E100" s="846"/>
      <c r="F100" s="846"/>
      <c r="G100" s="871">
        <f t="shared" ref="G100:L100" si="49">G94</f>
        <v>0.13043315091171648</v>
      </c>
      <c r="H100" s="871">
        <f t="shared" si="49"/>
        <v>0.10618077933594039</v>
      </c>
      <c r="I100" s="871">
        <f t="shared" si="49"/>
        <v>5.1131916993547799E-2</v>
      </c>
      <c r="J100" s="871">
        <f t="shared" si="49"/>
        <v>0.19437973371131068</v>
      </c>
      <c r="K100" s="871">
        <f t="shared" si="49"/>
        <v>3.0044164370758963E-2</v>
      </c>
      <c r="L100" s="871">
        <f t="shared" si="49"/>
        <v>6.7013241517820621E-2</v>
      </c>
      <c r="M100" s="871">
        <f t="shared" ref="M100:N100" si="50">M94</f>
        <v>4.763713239283951E-2</v>
      </c>
      <c r="N100" s="871">
        <f t="shared" si="50"/>
        <v>-0.10628196075073126</v>
      </c>
      <c r="O100" s="871">
        <f t="shared" ref="O100" si="51">O94</f>
        <v>3.8480411465906528E-2</v>
      </c>
      <c r="P100" s="1076"/>
      <c r="Q100" s="1076"/>
      <c r="R100" s="685"/>
      <c r="S100" s="685"/>
      <c r="T100" s="115"/>
      <c r="U100" s="115"/>
      <c r="V100" s="763"/>
      <c r="W100" s="763"/>
      <c r="X100" s="763"/>
      <c r="Y100" s="763"/>
      <c r="Z100" s="685"/>
      <c r="AA100" s="685"/>
      <c r="AB100" s="685"/>
      <c r="AC100" s="685"/>
      <c r="AD100" s="685"/>
      <c r="AE100" s="685"/>
      <c r="AF100" s="685"/>
      <c r="AG100" s="685"/>
      <c r="AH100" s="685"/>
      <c r="AI100" s="685"/>
      <c r="AJ100" s="685"/>
      <c r="AK100" s="685"/>
      <c r="AL100" s="685"/>
      <c r="AM100" s="685"/>
      <c r="AN100" s="685"/>
      <c r="AO100" s="685"/>
      <c r="AP100" s="685"/>
      <c r="BA100" s="763"/>
      <c r="BB100" s="685"/>
    </row>
    <row r="101" spans="1:54">
      <c r="A101" s="763"/>
      <c r="B101" s="806" t="s">
        <v>35</v>
      </c>
      <c r="C101" s="685"/>
      <c r="D101" s="685"/>
      <c r="E101" s="685"/>
      <c r="F101" s="685"/>
      <c r="G101" s="685"/>
      <c r="H101" s="685"/>
      <c r="I101" s="685"/>
      <c r="J101" s="685"/>
      <c r="K101" s="685"/>
      <c r="L101" s="869"/>
      <c r="M101" s="869"/>
      <c r="N101" s="685"/>
      <c r="O101" s="685"/>
      <c r="P101" s="763"/>
      <c r="Q101" s="768"/>
      <c r="R101" s="763"/>
      <c r="S101" s="685"/>
      <c r="T101" s="115"/>
      <c r="U101" s="115"/>
      <c r="V101" s="763"/>
      <c r="W101" s="763"/>
      <c r="X101" s="763"/>
      <c r="Y101" s="763"/>
      <c r="Z101" s="685"/>
      <c r="AA101" s="685"/>
      <c r="AB101" s="685"/>
      <c r="AC101" s="685"/>
      <c r="AD101" s="685"/>
      <c r="AE101" s="685"/>
      <c r="AF101" s="685"/>
      <c r="AG101" s="685"/>
      <c r="AH101" s="685"/>
      <c r="AI101" s="685"/>
      <c r="AJ101" s="685"/>
      <c r="AK101" s="685"/>
      <c r="AL101" s="685"/>
      <c r="AM101" s="685"/>
      <c r="AN101" s="685"/>
      <c r="AO101" s="685"/>
      <c r="AP101" s="685"/>
      <c r="BA101" s="763"/>
      <c r="BB101" s="685"/>
    </row>
    <row r="102" spans="1:54">
      <c r="A102" s="763"/>
      <c r="B102" s="850" t="s">
        <v>7472</v>
      </c>
      <c r="C102" s="846"/>
      <c r="D102" s="846"/>
      <c r="E102" s="846"/>
      <c r="F102" s="846"/>
      <c r="G102" s="871">
        <f t="shared" ref="G102:O104" si="52">G20/C20-1</f>
        <v>0.12460567823343838</v>
      </c>
      <c r="H102" s="871">
        <f t="shared" si="52"/>
        <v>6.7552127963439013E-2</v>
      </c>
      <c r="I102" s="871">
        <f t="shared" si="52"/>
        <v>1.9345435272293487E-2</v>
      </c>
      <c r="J102" s="871">
        <f t="shared" si="52"/>
        <v>0.28017012227538562</v>
      </c>
      <c r="K102" s="871">
        <f t="shared" si="52"/>
        <v>3.66058906030855E-2</v>
      </c>
      <c r="L102" s="871">
        <f t="shared" si="52"/>
        <v>6.1672240802675526E-2</v>
      </c>
      <c r="M102" s="871">
        <f t="shared" si="52"/>
        <v>4.8095671389575045E-2</v>
      </c>
      <c r="N102" s="871">
        <f t="shared" si="52"/>
        <v>-0.14794435215946844</v>
      </c>
      <c r="O102" s="871">
        <f t="shared" si="52"/>
        <v>1.0823975104856665E-3</v>
      </c>
      <c r="P102" s="763"/>
      <c r="Q102" s="763"/>
      <c r="R102" s="763"/>
      <c r="S102" s="685"/>
      <c r="T102" s="115"/>
      <c r="U102" s="115"/>
      <c r="V102" s="763"/>
      <c r="W102" s="763"/>
      <c r="X102" s="763"/>
      <c r="Y102" s="763"/>
      <c r="Z102" s="685"/>
      <c r="AA102" s="685"/>
      <c r="AB102" s="685"/>
      <c r="AC102" s="685"/>
      <c r="AD102" s="685"/>
      <c r="AE102" s="685"/>
      <c r="AF102" s="685"/>
      <c r="AG102" s="685"/>
      <c r="AH102" s="685"/>
      <c r="AI102" s="685"/>
      <c r="AJ102" s="685"/>
      <c r="AK102" s="685"/>
      <c r="AL102" s="685"/>
      <c r="AM102" s="685"/>
      <c r="AN102" s="685"/>
      <c r="AO102" s="685"/>
      <c r="AP102" s="685"/>
      <c r="BA102" s="763"/>
      <c r="BB102" s="685"/>
    </row>
    <row r="103" spans="1:54">
      <c r="A103" s="763"/>
      <c r="B103" s="862" t="str">
        <f>B21</f>
        <v>Advertising</v>
      </c>
      <c r="C103" s="685"/>
      <c r="D103" s="685"/>
      <c r="E103" s="685"/>
      <c r="F103" s="685"/>
      <c r="G103" s="869">
        <f t="shared" si="52"/>
        <v>0.14285714285714279</v>
      </c>
      <c r="H103" s="869">
        <f t="shared" si="52"/>
        <v>9.9459724950884176E-2</v>
      </c>
      <c r="I103" s="869">
        <f t="shared" si="52"/>
        <v>4.6758527219335821E-2</v>
      </c>
      <c r="J103" s="869">
        <f t="shared" si="52"/>
        <v>0.13534007352941191</v>
      </c>
      <c r="K103" s="869">
        <f t="shared" si="52"/>
        <v>1.6326530612244872E-2</v>
      </c>
      <c r="L103" s="869">
        <f t="shared" si="52"/>
        <v>1.0944829126647404E-2</v>
      </c>
      <c r="M103" s="869">
        <f t="shared" si="52"/>
        <v>-8.6318515321536227E-3</v>
      </c>
      <c r="N103" s="869">
        <f t="shared" si="52"/>
        <v>-5.444242056263926E-2</v>
      </c>
      <c r="O103" s="869">
        <f t="shared" si="52"/>
        <v>2.5100401606426015E-3</v>
      </c>
      <c r="P103" s="845"/>
      <c r="Q103" s="845"/>
      <c r="R103" s="763"/>
      <c r="S103" s="685"/>
      <c r="T103" s="115"/>
      <c r="U103" s="115"/>
      <c r="V103" s="763"/>
      <c r="W103" s="763"/>
      <c r="X103" s="763"/>
      <c r="Y103" s="763"/>
      <c r="Z103" s="685"/>
      <c r="AA103" s="685"/>
      <c r="AB103" s="685"/>
      <c r="AC103" s="685"/>
      <c r="AD103" s="685"/>
      <c r="AE103" s="685"/>
      <c r="AF103" s="685"/>
      <c r="AG103" s="685"/>
      <c r="AH103" s="685"/>
      <c r="AI103" s="685"/>
      <c r="AJ103" s="685"/>
      <c r="AK103" s="685"/>
      <c r="AL103" s="685"/>
      <c r="AM103" s="685"/>
      <c r="AN103" s="685"/>
      <c r="AO103" s="685"/>
      <c r="AP103" s="685"/>
      <c r="BA103" s="763"/>
      <c r="BB103" s="685"/>
    </row>
    <row r="104" spans="1:54">
      <c r="A104" s="763"/>
      <c r="B104" s="861" t="str">
        <f>B22</f>
        <v>Subscription &amp; Licensing</v>
      </c>
      <c r="C104" s="846"/>
      <c r="D104" s="846"/>
      <c r="E104" s="846"/>
      <c r="F104" s="846"/>
      <c r="G104" s="871">
        <f t="shared" si="52"/>
        <v>0.15241635687732336</v>
      </c>
      <c r="H104" s="871">
        <f t="shared" si="52"/>
        <v>0.10178306092124823</v>
      </c>
      <c r="I104" s="871">
        <f t="shared" si="52"/>
        <v>6.5827338129496482E-2</v>
      </c>
      <c r="J104" s="871">
        <f t="shared" si="52"/>
        <v>0.54594594594594592</v>
      </c>
      <c r="K104" s="871">
        <f t="shared" si="52"/>
        <v>5.1935483870967802E-2</v>
      </c>
      <c r="L104" s="871">
        <f t="shared" si="52"/>
        <v>9.5077545515846129E-2</v>
      </c>
      <c r="M104" s="871">
        <f t="shared" si="52"/>
        <v>0.11339858251771839</v>
      </c>
      <c r="N104" s="871">
        <f t="shared" si="52"/>
        <v>-0.28212412587412594</v>
      </c>
      <c r="O104" s="871">
        <f t="shared" si="52"/>
        <v>1.2266176019624098E-3</v>
      </c>
      <c r="P104" s="763"/>
      <c r="Q104" s="763"/>
      <c r="R104" s="763"/>
      <c r="S104" s="685"/>
      <c r="T104" s="115"/>
      <c r="U104" s="115"/>
      <c r="V104" s="763"/>
      <c r="W104" s="763"/>
      <c r="X104" s="763"/>
      <c r="Y104" s="763"/>
      <c r="Z104" s="685"/>
      <c r="AA104" s="685"/>
      <c r="AB104" s="685"/>
      <c r="AC104" s="685"/>
      <c r="AD104" s="685"/>
      <c r="AE104" s="685"/>
      <c r="AF104" s="685"/>
      <c r="AG104" s="685"/>
      <c r="AH104" s="685"/>
      <c r="AI104" s="685"/>
      <c r="AJ104" s="685"/>
      <c r="AK104" s="685"/>
      <c r="AL104" s="685"/>
      <c r="AM104" s="685"/>
      <c r="AN104" s="685"/>
      <c r="AO104" s="685"/>
      <c r="AP104" s="685"/>
      <c r="BA104" s="763"/>
      <c r="BB104" s="685"/>
    </row>
    <row r="105" spans="1:54">
      <c r="A105" s="763"/>
      <c r="B105" s="806" t="s">
        <v>7471</v>
      </c>
      <c r="C105" s="685"/>
      <c r="D105" s="685"/>
      <c r="E105" s="685"/>
      <c r="F105" s="685"/>
      <c r="G105" s="685"/>
      <c r="H105" s="685"/>
      <c r="I105" s="685"/>
      <c r="J105" s="685"/>
      <c r="K105" s="685"/>
      <c r="L105" s="685"/>
      <c r="M105" s="685"/>
      <c r="N105" s="685"/>
      <c r="O105" s="685"/>
      <c r="P105" s="763"/>
      <c r="Q105" s="763"/>
      <c r="R105" s="763"/>
      <c r="S105" s="685"/>
      <c r="T105" s="115"/>
      <c r="U105" s="115"/>
      <c r="V105" s="763"/>
      <c r="W105" s="763"/>
      <c r="X105" s="763"/>
      <c r="Y105" s="763"/>
      <c r="Z105" s="685"/>
      <c r="AA105" s="685"/>
      <c r="AB105" s="685"/>
      <c r="AC105" s="685"/>
      <c r="AD105" s="685"/>
      <c r="AE105" s="685"/>
      <c r="AF105" s="685"/>
      <c r="AG105" s="685"/>
      <c r="AH105" s="685"/>
      <c r="AI105" s="685"/>
      <c r="AJ105" s="685"/>
      <c r="AK105" s="685"/>
      <c r="AL105" s="685"/>
      <c r="AM105" s="685"/>
      <c r="AN105" s="685"/>
      <c r="AO105" s="685"/>
      <c r="AP105" s="685"/>
      <c r="BA105" s="763"/>
      <c r="BB105" s="685"/>
    </row>
    <row r="106" spans="1:54">
      <c r="A106" s="763"/>
      <c r="B106" s="850" t="s">
        <v>7473</v>
      </c>
      <c r="C106" s="846"/>
      <c r="D106" s="846"/>
      <c r="E106" s="846"/>
      <c r="F106" s="846"/>
      <c r="G106" s="871">
        <f t="shared" ref="G106:O108" si="53">G24/C24-1</f>
        <v>0.13358778625954204</v>
      </c>
      <c r="H106" s="871">
        <f t="shared" si="53"/>
        <v>0.19787014771556155</v>
      </c>
      <c r="I106" s="871">
        <f t="shared" si="53"/>
        <v>0.10879025239338547</v>
      </c>
      <c r="J106" s="871">
        <f t="shared" si="53"/>
        <v>0.10627256317689526</v>
      </c>
      <c r="K106" s="871">
        <f t="shared" si="53"/>
        <v>0.11717171717171726</v>
      </c>
      <c r="L106" s="871">
        <f t="shared" si="53"/>
        <v>0.22225408660739898</v>
      </c>
      <c r="M106" s="871">
        <f t="shared" si="53"/>
        <v>0.24071166928309795</v>
      </c>
      <c r="N106" s="871">
        <f t="shared" si="53"/>
        <v>9.3412196614317766E-2</v>
      </c>
      <c r="O106" s="871">
        <f t="shared" si="53"/>
        <v>0.2329716696805304</v>
      </c>
      <c r="P106" s="763"/>
      <c r="Q106" s="763"/>
      <c r="R106" s="763"/>
      <c r="S106" s="685"/>
      <c r="T106" s="115"/>
      <c r="U106" s="115"/>
      <c r="V106" s="763"/>
      <c r="W106" s="763"/>
      <c r="X106" s="763"/>
      <c r="Y106" s="763"/>
      <c r="Z106" s="685"/>
      <c r="AA106" s="685"/>
      <c r="AB106" s="685"/>
      <c r="AC106" s="685"/>
      <c r="AD106" s="685"/>
      <c r="AE106" s="685"/>
      <c r="AF106" s="685"/>
      <c r="AG106" s="685"/>
      <c r="AH106" s="685"/>
      <c r="AI106" s="685"/>
      <c r="AJ106" s="685"/>
      <c r="AK106" s="685"/>
      <c r="AL106" s="685"/>
      <c r="AM106" s="685"/>
      <c r="AN106" s="685"/>
      <c r="AO106" s="685"/>
      <c r="AP106" s="685"/>
      <c r="BA106" s="763"/>
      <c r="BB106" s="685"/>
    </row>
    <row r="107" spans="1:54">
      <c r="A107" s="763"/>
      <c r="B107" s="862" t="str">
        <f>B25</f>
        <v>Advertising</v>
      </c>
      <c r="C107" s="685"/>
      <c r="D107" s="685"/>
      <c r="E107" s="685"/>
      <c r="F107" s="685"/>
      <c r="G107" s="869">
        <f t="shared" si="53"/>
        <v>7.2727272727272751E-2</v>
      </c>
      <c r="H107" s="869">
        <f t="shared" si="53"/>
        <v>0.14455958549222792</v>
      </c>
      <c r="I107" s="869">
        <f t="shared" si="53"/>
        <v>8.6307053941908851E-2</v>
      </c>
      <c r="J107" s="869">
        <f t="shared" si="53"/>
        <v>4.4346549192364249E-2</v>
      </c>
      <c r="K107" s="869">
        <f t="shared" si="53"/>
        <v>0.18079096045197751</v>
      </c>
      <c r="L107" s="869">
        <f t="shared" si="53"/>
        <v>0.28972385694884539</v>
      </c>
      <c r="M107" s="869">
        <f t="shared" si="53"/>
        <v>0.21466768525592039</v>
      </c>
      <c r="N107" s="869">
        <f t="shared" si="53"/>
        <v>0.10461192350956128</v>
      </c>
      <c r="O107" s="869">
        <f t="shared" si="53"/>
        <v>0.18899521531100483</v>
      </c>
      <c r="P107" s="763"/>
      <c r="Q107" s="763"/>
      <c r="R107" s="763"/>
      <c r="S107" s="685"/>
      <c r="T107" s="115"/>
      <c r="U107" s="115"/>
      <c r="V107" s="763"/>
      <c r="W107" s="763"/>
      <c r="X107" s="763"/>
      <c r="Y107" s="763"/>
      <c r="Z107" s="685"/>
      <c r="AA107" s="685"/>
      <c r="AB107" s="685"/>
      <c r="AC107" s="685"/>
      <c r="AD107" s="685"/>
      <c r="AE107" s="685"/>
      <c r="AF107" s="685"/>
      <c r="AG107" s="685"/>
      <c r="AH107" s="685"/>
      <c r="AI107" s="685"/>
      <c r="AJ107" s="685"/>
      <c r="AK107" s="685"/>
      <c r="AL107" s="685"/>
      <c r="AM107" s="685"/>
      <c r="AN107" s="685"/>
      <c r="AO107" s="685"/>
      <c r="AP107" s="685"/>
      <c r="BA107" s="763"/>
      <c r="BB107" s="685"/>
    </row>
    <row r="108" spans="1:54">
      <c r="A108" s="763"/>
      <c r="B108" s="861" t="str">
        <f>B26</f>
        <v>Subscription &amp; Licensing</v>
      </c>
      <c r="C108" s="846"/>
      <c r="D108" s="846"/>
      <c r="E108" s="846"/>
      <c r="F108" s="846"/>
      <c r="G108" s="871">
        <f t="shared" si="53"/>
        <v>0.11494252873563227</v>
      </c>
      <c r="H108" s="871">
        <f t="shared" si="53"/>
        <v>9.8039215686274606E-2</v>
      </c>
      <c r="I108" s="871">
        <f t="shared" si="53"/>
        <v>0.13907284768211925</v>
      </c>
      <c r="J108" s="871">
        <f t="shared" si="53"/>
        <v>0.20414847161572047</v>
      </c>
      <c r="K108" s="871">
        <f t="shared" si="53"/>
        <v>0.134020618556701</v>
      </c>
      <c r="L108" s="871">
        <f t="shared" si="53"/>
        <v>0.27480158730158744</v>
      </c>
      <c r="M108" s="871">
        <f t="shared" si="53"/>
        <v>0.38856589147286824</v>
      </c>
      <c r="N108" s="871">
        <f t="shared" si="53"/>
        <v>0.10879419764279241</v>
      </c>
      <c r="O108" s="871">
        <f t="shared" si="53"/>
        <v>0.33545454545454545</v>
      </c>
      <c r="P108" s="763"/>
      <c r="Q108" s="763"/>
      <c r="R108" s="763"/>
      <c r="S108" s="685"/>
      <c r="T108" s="115"/>
      <c r="U108" s="115"/>
      <c r="V108" s="763"/>
      <c r="W108" s="763"/>
      <c r="X108" s="763"/>
      <c r="Y108" s="763"/>
      <c r="Z108" s="685"/>
      <c r="AA108" s="685"/>
      <c r="AB108" s="685"/>
      <c r="AC108" s="685"/>
      <c r="AD108" s="685"/>
      <c r="AE108" s="685"/>
      <c r="AF108" s="685"/>
      <c r="AG108" s="685"/>
      <c r="AH108" s="685"/>
      <c r="AI108" s="685"/>
      <c r="AJ108" s="685"/>
      <c r="AK108" s="685"/>
      <c r="AL108" s="685"/>
      <c r="AM108" s="685"/>
      <c r="AN108" s="685"/>
      <c r="AO108" s="685"/>
      <c r="AP108" s="685"/>
      <c r="BA108" s="763"/>
      <c r="BB108" s="685"/>
    </row>
    <row r="109" spans="1:54">
      <c r="A109" s="763"/>
      <c r="B109" s="806" t="s">
        <v>7470</v>
      </c>
      <c r="C109" s="685"/>
      <c r="D109" s="685"/>
      <c r="E109" s="685"/>
      <c r="F109" s="685"/>
      <c r="G109" s="685"/>
      <c r="H109" s="685"/>
      <c r="I109" s="685"/>
      <c r="J109" s="685"/>
      <c r="K109" s="685"/>
      <c r="L109" s="685"/>
      <c r="M109" s="685"/>
      <c r="N109" s="685"/>
      <c r="O109" s="685"/>
      <c r="P109" s="763"/>
      <c r="Q109" s="763"/>
      <c r="R109" s="763"/>
      <c r="S109" s="685"/>
      <c r="T109" s="115"/>
      <c r="U109" s="115"/>
      <c r="V109" s="763"/>
      <c r="W109" s="763"/>
      <c r="X109" s="763"/>
      <c r="Y109" s="763"/>
      <c r="Z109" s="685"/>
      <c r="AA109" s="685"/>
      <c r="AB109" s="685"/>
      <c r="AC109" s="685"/>
      <c r="AD109" s="685"/>
      <c r="AE109" s="685"/>
      <c r="AF109" s="685"/>
      <c r="AG109" s="685"/>
      <c r="AH109" s="685"/>
      <c r="AI109" s="685"/>
      <c r="AJ109" s="685"/>
      <c r="AK109" s="685"/>
      <c r="AL109" s="685"/>
      <c r="AM109" s="685"/>
      <c r="AN109" s="685"/>
      <c r="AO109" s="685"/>
      <c r="AP109" s="685"/>
      <c r="BA109" s="763"/>
      <c r="BB109" s="685"/>
    </row>
    <row r="110" spans="1:54">
      <c r="A110" s="763"/>
      <c r="B110" s="850" t="s">
        <v>7473</v>
      </c>
      <c r="C110" s="846"/>
      <c r="D110" s="846"/>
      <c r="E110" s="846"/>
      <c r="F110" s="846"/>
      <c r="G110" s="871">
        <f t="shared" ref="G110:L112" si="54">G87</f>
        <v>0.14224466876678576</v>
      </c>
      <c r="H110" s="871">
        <f t="shared" si="54"/>
        <v>0.19871655265470389</v>
      </c>
      <c r="I110" s="871">
        <f t="shared" si="54"/>
        <v>0.11950675014769097</v>
      </c>
      <c r="J110" s="871">
        <f t="shared" si="54"/>
        <v>4.8737386338544741E-2</v>
      </c>
      <c r="K110" s="871">
        <f t="shared" si="54"/>
        <v>1.6372500044069982E-2</v>
      </c>
      <c r="L110" s="871">
        <f t="shared" si="54"/>
        <v>7.8462619305520898E-2</v>
      </c>
      <c r="M110" s="871">
        <f t="shared" ref="M110:N110" si="55">M87</f>
        <v>4.6714175694282156E-2</v>
      </c>
      <c r="N110" s="871">
        <f t="shared" si="55"/>
        <v>-2.4435712729324433E-2</v>
      </c>
      <c r="O110" s="871">
        <f t="shared" ref="O110" si="56">O87</f>
        <v>0.12178623459565818</v>
      </c>
      <c r="P110" s="763"/>
      <c r="Q110" s="763"/>
      <c r="R110" s="763"/>
      <c r="S110" s="685"/>
      <c r="T110" s="115"/>
      <c r="U110" s="115"/>
      <c r="V110" s="763"/>
      <c r="W110" s="763"/>
      <c r="X110" s="763"/>
      <c r="Y110" s="763"/>
      <c r="Z110" s="685"/>
      <c r="AA110" s="685"/>
      <c r="AB110" s="685"/>
      <c r="AC110" s="685"/>
      <c r="AD110" s="685"/>
      <c r="AE110" s="685"/>
      <c r="AF110" s="685"/>
      <c r="AG110" s="685"/>
      <c r="AH110" s="685"/>
      <c r="AI110" s="685"/>
      <c r="AJ110" s="685"/>
      <c r="AK110" s="685"/>
      <c r="AL110" s="685"/>
      <c r="AM110" s="685"/>
      <c r="AN110" s="685"/>
      <c r="AO110" s="685"/>
      <c r="AP110" s="685"/>
      <c r="BA110" s="763"/>
      <c r="BB110" s="685"/>
    </row>
    <row r="111" spans="1:54">
      <c r="A111" s="763"/>
      <c r="B111" s="862" t="s">
        <v>146</v>
      </c>
      <c r="C111" s="685"/>
      <c r="D111" s="685"/>
      <c r="E111" s="685"/>
      <c r="F111" s="685"/>
      <c r="G111" s="869">
        <f t="shared" si="54"/>
        <v>8.0919381071134167E-2</v>
      </c>
      <c r="H111" s="869">
        <f t="shared" si="54"/>
        <v>0.14536832163792024</v>
      </c>
      <c r="I111" s="869">
        <f t="shared" si="54"/>
        <v>9.6806250772802471E-2</v>
      </c>
      <c r="J111" s="869">
        <f t="shared" si="54"/>
        <v>-9.9679709253112092E-3</v>
      </c>
      <c r="K111" s="869">
        <f t="shared" si="54"/>
        <v>7.4251560487318846E-2</v>
      </c>
      <c r="L111" s="869">
        <f t="shared" si="54"/>
        <v>0.13799494244820543</v>
      </c>
      <c r="M111" s="869">
        <f t="shared" ref="M111:N111" si="57">M88</f>
        <v>2.4742425167785242E-2</v>
      </c>
      <c r="N111" s="869">
        <f t="shared" si="57"/>
        <v>-1.4443091812879283E-2</v>
      </c>
      <c r="O111" s="869">
        <f t="shared" ref="O111" si="58">O88</f>
        <v>8.1775435993254098E-2</v>
      </c>
      <c r="P111" s="763"/>
      <c r="Q111" s="763"/>
      <c r="R111" s="763"/>
      <c r="S111" s="685"/>
      <c r="T111" s="115"/>
      <c r="U111" s="115"/>
      <c r="V111" s="763"/>
      <c r="W111" s="763"/>
      <c r="X111" s="763"/>
      <c r="Y111" s="763"/>
      <c r="Z111" s="685"/>
      <c r="AA111" s="685"/>
      <c r="AB111" s="685"/>
      <c r="AC111" s="685"/>
      <c r="AD111" s="685"/>
      <c r="AE111" s="685"/>
      <c r="AF111" s="685"/>
      <c r="AG111" s="685"/>
      <c r="AH111" s="685"/>
      <c r="AI111" s="685"/>
      <c r="AJ111" s="685"/>
      <c r="AK111" s="685"/>
      <c r="AL111" s="685"/>
      <c r="AM111" s="685"/>
      <c r="AN111" s="685"/>
      <c r="AO111" s="685"/>
      <c r="AP111" s="685"/>
      <c r="BA111" s="763"/>
      <c r="BB111" s="685"/>
    </row>
    <row r="112" spans="1:54">
      <c r="A112" s="763"/>
      <c r="B112" s="861" t="s">
        <v>6884</v>
      </c>
      <c r="C112" s="846"/>
      <c r="D112" s="846"/>
      <c r="E112" s="846"/>
      <c r="F112" s="846"/>
      <c r="G112" s="871">
        <f t="shared" si="54"/>
        <v>0.12345702279651283</v>
      </c>
      <c r="H112" s="871">
        <f t="shared" si="54"/>
        <v>9.8815080931185406E-2</v>
      </c>
      <c r="I112" s="871">
        <f t="shared" si="54"/>
        <v>0.15008202781138724</v>
      </c>
      <c r="J112" s="871">
        <f t="shared" si="54"/>
        <v>0.14152295096185452</v>
      </c>
      <c r="K112" s="871">
        <f t="shared" si="54"/>
        <v>3.1701173121299053E-2</v>
      </c>
      <c r="L112" s="871">
        <f t="shared" si="54"/>
        <v>0.12482819570863435</v>
      </c>
      <c r="M112" s="871">
        <f t="shared" ref="M112:N112" si="59">M89</f>
        <v>0.17144993351278348</v>
      </c>
      <c r="N112" s="871">
        <f t="shared" si="59"/>
        <v>-1.0711582966910549E-2</v>
      </c>
      <c r="O112" s="871">
        <f t="shared" ref="O112" si="60">O89</f>
        <v>0.21502753295805666</v>
      </c>
      <c r="P112" s="763"/>
      <c r="Q112" s="763"/>
      <c r="R112" s="763"/>
      <c r="S112" s="685"/>
      <c r="T112" s="115"/>
      <c r="U112" s="115"/>
      <c r="V112" s="763"/>
      <c r="W112" s="763"/>
      <c r="X112" s="763"/>
      <c r="Y112" s="763"/>
      <c r="Z112" s="685"/>
      <c r="AA112" s="685"/>
      <c r="AB112" s="685"/>
      <c r="AC112" s="685"/>
      <c r="AD112" s="685"/>
      <c r="AE112" s="685"/>
      <c r="AF112" s="685"/>
      <c r="AG112" s="685"/>
      <c r="AH112" s="685"/>
      <c r="AI112" s="685"/>
      <c r="AJ112" s="685"/>
      <c r="AK112" s="685"/>
      <c r="AL112" s="685"/>
      <c r="AM112" s="685"/>
      <c r="AN112" s="685"/>
      <c r="AO112" s="685"/>
      <c r="AP112" s="685"/>
      <c r="BA112" s="763"/>
      <c r="BB112" s="685"/>
    </row>
    <row r="113" spans="1:54">
      <c r="A113" s="763"/>
      <c r="B113" s="806"/>
      <c r="C113" s="685"/>
      <c r="D113" s="685"/>
      <c r="E113" s="685"/>
      <c r="F113" s="685"/>
      <c r="G113" s="685"/>
      <c r="H113" s="685"/>
      <c r="I113" s="685"/>
      <c r="J113" s="685"/>
      <c r="K113" s="685"/>
      <c r="L113" s="869"/>
      <c r="M113" s="685"/>
      <c r="N113" s="685"/>
      <c r="O113" s="685"/>
      <c r="P113" s="763"/>
      <c r="Q113" s="763"/>
      <c r="R113" s="763"/>
      <c r="S113" s="685"/>
      <c r="T113" s="115"/>
      <c r="U113" s="115"/>
      <c r="V113" s="763"/>
      <c r="W113" s="763"/>
      <c r="X113" s="763"/>
      <c r="Y113" s="763"/>
      <c r="Z113" s="685"/>
      <c r="AA113" s="685"/>
      <c r="AB113" s="685"/>
      <c r="AC113" s="685"/>
      <c r="AD113" s="685"/>
      <c r="AE113" s="685"/>
      <c r="AF113" s="685"/>
      <c r="AG113" s="685"/>
      <c r="AH113" s="685"/>
      <c r="AI113" s="685"/>
      <c r="AJ113" s="685"/>
      <c r="AK113" s="685"/>
      <c r="AL113" s="685"/>
      <c r="AM113" s="685"/>
      <c r="AN113" s="685"/>
      <c r="AO113" s="685"/>
      <c r="AP113" s="685"/>
      <c r="BA113" s="763"/>
      <c r="BB113" s="685"/>
    </row>
    <row r="114" spans="1:54">
      <c r="T114" s="115"/>
      <c r="U114" s="115"/>
    </row>
    <row r="115" spans="1:54" ht="24" customHeight="1">
      <c r="A115" s="763"/>
      <c r="B115" s="763"/>
      <c r="C115" s="763"/>
      <c r="D115" s="763"/>
      <c r="E115" s="763"/>
      <c r="F115" s="763"/>
      <c r="G115" s="763"/>
      <c r="H115" s="763"/>
      <c r="I115" s="763"/>
      <c r="J115" s="763"/>
      <c r="K115" s="763"/>
      <c r="L115" s="763"/>
      <c r="M115" s="763"/>
      <c r="N115" s="763"/>
      <c r="O115" s="763"/>
      <c r="P115" s="845"/>
      <c r="Q115" s="763"/>
      <c r="R115" s="872"/>
      <c r="S115" s="768"/>
      <c r="T115" s="115"/>
      <c r="U115" s="115"/>
      <c r="V115" s="766"/>
      <c r="W115" s="766"/>
      <c r="X115" s="766"/>
      <c r="Y115" s="766"/>
      <c r="Z115" s="863"/>
      <c r="AA115" s="863"/>
      <c r="AB115" s="685"/>
      <c r="AC115" s="685"/>
      <c r="AD115" s="685"/>
      <c r="AE115" s="685"/>
      <c r="AF115" s="685"/>
      <c r="AG115" s="685"/>
      <c r="AH115" s="685"/>
      <c r="AI115" s="685"/>
      <c r="AJ115" s="685"/>
      <c r="AK115" s="685"/>
      <c r="AL115" s="685"/>
      <c r="AM115" s="685"/>
      <c r="AN115" s="685"/>
      <c r="AO115" s="685"/>
      <c r="AP115" s="685"/>
      <c r="BA115" s="766"/>
      <c r="BB115" s="763"/>
    </row>
    <row r="116" spans="1:54">
      <c r="A116" s="763"/>
      <c r="B116" s="769"/>
      <c r="C116" s="770" t="str">
        <f t="shared" ref="C116:O116" si="61">C2</f>
        <v>Q1 21</v>
      </c>
      <c r="D116" s="770" t="str">
        <f t="shared" si="61"/>
        <v>Q2 21</v>
      </c>
      <c r="E116" s="770" t="str">
        <f t="shared" si="61"/>
        <v>Q3 21</v>
      </c>
      <c r="F116" s="770" t="str">
        <f t="shared" si="61"/>
        <v>Q4 21</v>
      </c>
      <c r="G116" s="770" t="str">
        <f t="shared" si="61"/>
        <v>Q1 22</v>
      </c>
      <c r="H116" s="770" t="str">
        <f t="shared" si="61"/>
        <v>Q2 22</v>
      </c>
      <c r="I116" s="770" t="str">
        <f t="shared" si="61"/>
        <v>Q3 22</v>
      </c>
      <c r="J116" s="770" t="str">
        <f t="shared" si="61"/>
        <v>Q4 22</v>
      </c>
      <c r="K116" s="770" t="str">
        <f t="shared" si="61"/>
        <v>Q1 23</v>
      </c>
      <c r="L116" s="770" t="str">
        <f t="shared" si="61"/>
        <v>Q2 23</v>
      </c>
      <c r="M116" s="770" t="str">
        <f t="shared" si="61"/>
        <v>Q3 23</v>
      </c>
      <c r="N116" s="770" t="str">
        <f t="shared" si="61"/>
        <v>Q4 23</v>
      </c>
      <c r="O116" s="770" t="str">
        <f t="shared" si="61"/>
        <v>Q1 24</v>
      </c>
      <c r="P116" s="763"/>
      <c r="Q116" s="763"/>
      <c r="R116" s="763"/>
      <c r="S116" s="763"/>
      <c r="T116" s="115"/>
      <c r="U116" s="115"/>
      <c r="V116" s="763"/>
      <c r="W116" s="763"/>
      <c r="X116" s="763"/>
      <c r="Y116" s="763"/>
      <c r="Z116" s="685"/>
      <c r="AA116" s="685"/>
      <c r="AB116" s="685"/>
      <c r="AC116" s="685"/>
      <c r="AD116" s="685"/>
      <c r="AE116" s="685"/>
      <c r="AF116" s="685"/>
      <c r="AG116" s="685"/>
      <c r="AH116" s="685"/>
      <c r="AI116" s="685"/>
      <c r="AJ116" s="685"/>
      <c r="AK116" s="685"/>
      <c r="AL116" s="685"/>
      <c r="AM116" s="685"/>
      <c r="AN116" s="685"/>
      <c r="AO116" s="685"/>
      <c r="AP116" s="685"/>
      <c r="BA116" s="763"/>
      <c r="BB116" s="763"/>
    </row>
    <row r="117" spans="1:54">
      <c r="A117" s="763"/>
      <c r="B117" s="771" t="s">
        <v>6883</v>
      </c>
      <c r="C117" s="772">
        <f>Interims!DT8</f>
        <v>0.28074835869606485</v>
      </c>
      <c r="D117" s="772">
        <f>Interims!DU8</f>
        <v>0.32092259256724387</v>
      </c>
      <c r="E117" s="772">
        <f>Interims!DV8</f>
        <v>0.15834213812313913</v>
      </c>
      <c r="F117" s="772">
        <f>Interims!DW8</f>
        <v>7.1679666872859427E-2</v>
      </c>
      <c r="G117" s="772">
        <f t="shared" ref="G117:L117" si="62">G111</f>
        <v>8.0919381071134167E-2</v>
      </c>
      <c r="H117" s="772">
        <f t="shared" si="62"/>
        <v>0.14536832163792024</v>
      </c>
      <c r="I117" s="772">
        <f t="shared" si="62"/>
        <v>9.6806250772802471E-2</v>
      </c>
      <c r="J117" s="772">
        <f t="shared" si="62"/>
        <v>-9.9679709253112092E-3</v>
      </c>
      <c r="K117" s="772">
        <f t="shared" si="62"/>
        <v>7.4251560487318846E-2</v>
      </c>
      <c r="L117" s="772">
        <f t="shared" si="62"/>
        <v>0.13799494244820543</v>
      </c>
      <c r="M117" s="772">
        <f t="shared" ref="M117:N117" si="63">M111</f>
        <v>2.4742425167785242E-2</v>
      </c>
      <c r="N117" s="772">
        <f t="shared" si="63"/>
        <v>-1.4443091812879283E-2</v>
      </c>
      <c r="O117" s="772">
        <f t="shared" ref="O117" si="64">O111</f>
        <v>8.1775435993254098E-2</v>
      </c>
      <c r="P117" s="763"/>
      <c r="Q117" s="763"/>
      <c r="R117" s="763"/>
      <c r="S117" s="763"/>
      <c r="T117" s="115"/>
      <c r="U117" s="115"/>
      <c r="V117" s="763"/>
      <c r="W117" s="763"/>
      <c r="X117" s="763"/>
      <c r="Y117" s="763"/>
      <c r="Z117" s="685"/>
      <c r="AA117" s="685"/>
      <c r="AB117" s="685"/>
      <c r="AC117" s="685"/>
      <c r="AD117" s="685"/>
      <c r="AE117" s="685"/>
      <c r="AF117" s="685"/>
      <c r="AG117" s="685"/>
      <c r="AH117" s="685"/>
      <c r="AI117" s="685"/>
      <c r="AJ117" s="685"/>
      <c r="AK117" s="685"/>
      <c r="AL117" s="685"/>
      <c r="AM117" s="685"/>
      <c r="AN117" s="685"/>
      <c r="AO117" s="685"/>
      <c r="AP117" s="685"/>
      <c r="BA117" s="763"/>
      <c r="BB117" s="763"/>
    </row>
    <row r="118" spans="1:54">
      <c r="A118" s="763"/>
      <c r="B118" s="774" t="s">
        <v>7474</v>
      </c>
      <c r="C118" s="773"/>
      <c r="D118" s="773"/>
      <c r="E118" s="773"/>
      <c r="F118" s="773"/>
      <c r="G118" s="768">
        <f t="shared" ref="G118:L118" si="65">G100</f>
        <v>0.13043315091171648</v>
      </c>
      <c r="H118" s="768">
        <f t="shared" si="65"/>
        <v>0.10618077933594039</v>
      </c>
      <c r="I118" s="768">
        <f t="shared" si="65"/>
        <v>5.1131916993547799E-2</v>
      </c>
      <c r="J118" s="768">
        <f t="shared" si="65"/>
        <v>0.19437973371131068</v>
      </c>
      <c r="K118" s="768">
        <f t="shared" si="65"/>
        <v>3.0044164370758963E-2</v>
      </c>
      <c r="L118" s="768">
        <f t="shared" si="65"/>
        <v>6.7013241517820621E-2</v>
      </c>
      <c r="M118" s="768">
        <f t="shared" ref="M118:N118" si="66">M100</f>
        <v>4.763713239283951E-2</v>
      </c>
      <c r="N118" s="768">
        <f t="shared" si="66"/>
        <v>-0.10628196075073126</v>
      </c>
      <c r="O118" s="768">
        <f t="shared" ref="O118" si="67">O100</f>
        <v>3.8480411465906528E-2</v>
      </c>
      <c r="P118" s="763"/>
      <c r="Q118" s="763"/>
      <c r="R118" s="763"/>
      <c r="S118" s="763"/>
      <c r="T118" s="115"/>
      <c r="U118" s="115"/>
      <c r="V118" s="763"/>
      <c r="W118" s="763"/>
      <c r="X118" s="763"/>
      <c r="Y118" s="763"/>
      <c r="Z118" s="685"/>
      <c r="AA118" s="685"/>
      <c r="AB118" s="685"/>
      <c r="AC118" s="685"/>
      <c r="AD118" s="685"/>
      <c r="AE118" s="685"/>
      <c r="AF118" s="685"/>
      <c r="AG118" s="685"/>
      <c r="AH118" s="685"/>
      <c r="AI118" s="685"/>
      <c r="AJ118" s="685"/>
      <c r="AK118" s="685"/>
      <c r="AL118" s="685"/>
      <c r="AM118" s="685"/>
      <c r="AN118" s="685"/>
      <c r="AO118" s="685"/>
      <c r="AP118" s="685"/>
      <c r="BA118" s="763"/>
      <c r="BB118" s="763"/>
    </row>
    <row r="119" spans="1:54">
      <c r="A119" s="763"/>
      <c r="B119" s="774"/>
      <c r="C119" s="773"/>
      <c r="D119" s="773"/>
      <c r="E119" s="773"/>
      <c r="F119" s="773"/>
      <c r="G119" s="773"/>
      <c r="H119" s="768"/>
      <c r="I119" s="763"/>
      <c r="J119" s="763"/>
      <c r="K119" s="763"/>
      <c r="L119" s="763"/>
      <c r="M119" s="763"/>
      <c r="N119" s="763"/>
      <c r="O119" s="763"/>
      <c r="P119" s="763"/>
      <c r="Q119" s="763"/>
      <c r="R119" s="763"/>
      <c r="S119" s="763"/>
      <c r="T119" s="115"/>
      <c r="U119" s="115"/>
      <c r="V119" s="763"/>
      <c r="W119" s="763"/>
      <c r="X119" s="763"/>
      <c r="Y119" s="763"/>
      <c r="Z119" s="685"/>
      <c r="AA119" s="685"/>
      <c r="AB119" s="685"/>
      <c r="AC119" s="685"/>
      <c r="AD119" s="685"/>
      <c r="AE119" s="685"/>
      <c r="AF119" s="685"/>
      <c r="AG119" s="685"/>
      <c r="AH119" s="685"/>
      <c r="AI119" s="685"/>
      <c r="AJ119" s="685"/>
      <c r="AK119" s="685"/>
      <c r="AL119" s="685"/>
      <c r="AM119" s="685"/>
      <c r="AN119" s="685"/>
      <c r="AO119" s="685"/>
      <c r="AP119" s="685"/>
      <c r="BA119" s="763"/>
      <c r="BB119" s="763"/>
    </row>
    <row r="120" spans="1:54">
      <c r="A120" s="763"/>
      <c r="B120" s="763"/>
      <c r="C120" s="763"/>
      <c r="D120" s="763"/>
      <c r="E120" s="763"/>
      <c r="F120" s="763"/>
      <c r="G120" s="763"/>
      <c r="H120" s="763"/>
      <c r="I120" s="763"/>
      <c r="J120" s="763"/>
      <c r="K120" s="763"/>
      <c r="L120" s="763"/>
      <c r="M120" s="763"/>
      <c r="N120" s="763"/>
      <c r="O120" s="763"/>
      <c r="P120" s="763"/>
      <c r="Q120" s="763"/>
      <c r="R120" s="763"/>
      <c r="S120" s="763"/>
      <c r="T120" s="115"/>
      <c r="U120" s="115"/>
      <c r="V120" s="763"/>
      <c r="W120" s="763"/>
      <c r="X120" s="763"/>
      <c r="Y120" s="763"/>
      <c r="Z120" s="685"/>
      <c r="AA120" s="685"/>
      <c r="AB120" s="685"/>
      <c r="AC120" s="685"/>
      <c r="AD120" s="685"/>
      <c r="AE120" s="685"/>
      <c r="AF120" s="685"/>
      <c r="AG120" s="685"/>
      <c r="AH120" s="685"/>
      <c r="AI120" s="685"/>
      <c r="AJ120" s="685"/>
      <c r="AK120" s="685"/>
      <c r="AL120" s="685"/>
      <c r="AM120" s="685"/>
      <c r="AN120" s="685"/>
      <c r="AO120" s="685"/>
      <c r="AP120" s="685"/>
      <c r="BA120" s="763"/>
      <c r="BB120" s="763"/>
    </row>
    <row r="121" spans="1:54">
      <c r="A121" s="763"/>
      <c r="B121" s="763"/>
      <c r="C121" s="763"/>
      <c r="D121" s="763"/>
      <c r="E121" s="763"/>
      <c r="F121" s="763"/>
      <c r="G121" s="763"/>
      <c r="H121" s="763"/>
      <c r="I121" s="763"/>
      <c r="J121" s="763"/>
      <c r="K121" s="763"/>
      <c r="L121" s="763"/>
      <c r="M121" s="763"/>
      <c r="N121" s="763"/>
      <c r="O121" s="763"/>
      <c r="P121" s="763"/>
      <c r="Q121" s="763"/>
      <c r="R121" s="763"/>
      <c r="S121" s="763"/>
      <c r="T121" s="115"/>
      <c r="U121" s="115"/>
      <c r="V121" s="763"/>
      <c r="W121" s="763"/>
      <c r="X121" s="763"/>
      <c r="Y121" s="763"/>
      <c r="Z121" s="685"/>
      <c r="AA121" s="685"/>
      <c r="AB121" s="685"/>
      <c r="AC121" s="685"/>
      <c r="AD121" s="685"/>
      <c r="AE121" s="685"/>
      <c r="AF121" s="685"/>
      <c r="AG121" s="685"/>
      <c r="AH121" s="685"/>
      <c r="AI121" s="685"/>
      <c r="AJ121" s="685"/>
      <c r="AK121" s="685"/>
      <c r="AL121" s="685"/>
      <c r="AM121" s="685"/>
      <c r="AN121" s="685"/>
      <c r="AO121" s="685"/>
      <c r="AP121" s="685"/>
      <c r="BA121" s="763"/>
      <c r="BB121" s="763"/>
    </row>
    <row r="122" spans="1:54">
      <c r="A122" s="763"/>
      <c r="B122" s="763"/>
      <c r="C122" s="763"/>
      <c r="D122" s="763"/>
      <c r="E122" s="763"/>
      <c r="F122" s="763"/>
      <c r="G122" s="763"/>
      <c r="H122" s="763"/>
      <c r="I122" s="763"/>
      <c r="J122" s="763"/>
      <c r="K122" s="763"/>
      <c r="L122" s="763"/>
      <c r="M122" s="763"/>
      <c r="N122" s="763"/>
      <c r="O122" s="763"/>
      <c r="P122" s="763"/>
      <c r="Q122" s="763"/>
      <c r="R122" s="763"/>
      <c r="S122" s="763"/>
      <c r="T122" s="115"/>
      <c r="U122" s="115"/>
      <c r="V122" s="763"/>
      <c r="W122" s="763"/>
      <c r="X122" s="763"/>
      <c r="Y122" s="763"/>
      <c r="Z122" s="685"/>
      <c r="AA122" s="685"/>
      <c r="AB122" s="685"/>
      <c r="AC122" s="685"/>
      <c r="AD122" s="685"/>
      <c r="AE122" s="685"/>
      <c r="AF122" s="685"/>
      <c r="AG122" s="685"/>
      <c r="AH122" s="685"/>
      <c r="AI122" s="685"/>
      <c r="AJ122" s="685"/>
      <c r="AK122" s="685"/>
      <c r="AL122" s="685"/>
      <c r="AM122" s="685"/>
      <c r="AN122" s="685"/>
      <c r="AO122" s="685"/>
      <c r="AP122" s="685"/>
      <c r="BA122" s="763"/>
      <c r="BB122" s="763"/>
    </row>
    <row r="123" spans="1:54">
      <c r="A123" s="763"/>
      <c r="B123" s="763"/>
      <c r="C123" s="763"/>
      <c r="D123" s="763"/>
      <c r="E123" s="763"/>
      <c r="F123" s="763"/>
      <c r="G123" s="763"/>
      <c r="H123" s="763"/>
      <c r="I123" s="763"/>
      <c r="J123" s="763"/>
      <c r="K123" s="763"/>
      <c r="L123" s="763"/>
      <c r="M123" s="763"/>
      <c r="N123" s="763"/>
      <c r="O123" s="763"/>
      <c r="P123" s="763"/>
      <c r="Q123" s="763"/>
      <c r="R123" s="763"/>
      <c r="S123" s="763"/>
      <c r="T123" s="115"/>
      <c r="U123" s="115"/>
      <c r="V123" s="763"/>
      <c r="W123" s="763"/>
      <c r="X123" s="763"/>
      <c r="Y123" s="763"/>
      <c r="Z123" s="685"/>
      <c r="AA123" s="685"/>
      <c r="AB123" s="685"/>
      <c r="AC123" s="685"/>
      <c r="AD123" s="685"/>
      <c r="AE123" s="685"/>
      <c r="AF123" s="685"/>
      <c r="AG123" s="685"/>
      <c r="AH123" s="685"/>
      <c r="AI123" s="685"/>
      <c r="AJ123" s="685"/>
      <c r="AK123" s="685"/>
      <c r="AL123" s="685"/>
      <c r="AM123" s="685"/>
      <c r="AN123" s="685"/>
      <c r="AO123" s="685"/>
      <c r="AP123" s="685"/>
      <c r="BA123" s="763"/>
      <c r="BB123" s="763"/>
    </row>
    <row r="124" spans="1:54">
      <c r="A124" s="763"/>
      <c r="B124" s="763"/>
      <c r="C124" s="763"/>
      <c r="D124" s="763"/>
      <c r="E124" s="763"/>
      <c r="F124" s="763"/>
      <c r="G124" s="763"/>
      <c r="H124" s="763"/>
      <c r="I124" s="763"/>
      <c r="J124" s="763"/>
      <c r="K124" s="763"/>
      <c r="L124" s="763"/>
      <c r="M124" s="763"/>
      <c r="N124" s="763"/>
      <c r="O124" s="763"/>
      <c r="P124" s="763"/>
      <c r="Q124" s="763"/>
      <c r="R124" s="763"/>
      <c r="S124" s="763"/>
      <c r="T124" s="115"/>
      <c r="U124" s="115"/>
      <c r="V124" s="763"/>
      <c r="W124" s="763"/>
      <c r="X124" s="763"/>
      <c r="Y124" s="763"/>
      <c r="Z124" s="685"/>
      <c r="AA124" s="685"/>
      <c r="AB124" s="685"/>
      <c r="AC124" s="685"/>
      <c r="AD124" s="685"/>
      <c r="AE124" s="685"/>
      <c r="AF124" s="685"/>
      <c r="AG124" s="685"/>
      <c r="AH124" s="685"/>
      <c r="AI124" s="685"/>
      <c r="AJ124" s="685"/>
      <c r="AK124" s="685"/>
      <c r="AL124" s="685"/>
      <c r="AM124" s="685"/>
      <c r="AN124" s="685"/>
      <c r="AO124" s="685"/>
      <c r="AP124" s="685"/>
      <c r="BA124" s="763"/>
      <c r="BB124" s="763"/>
    </row>
    <row r="125" spans="1:54">
      <c r="A125" s="763"/>
      <c r="B125" s="763"/>
      <c r="C125" s="763"/>
      <c r="D125" s="763"/>
      <c r="E125" s="763"/>
      <c r="F125" s="763"/>
      <c r="G125" s="763"/>
      <c r="H125" s="763"/>
      <c r="I125" s="763"/>
      <c r="J125" s="763"/>
      <c r="K125" s="763"/>
      <c r="L125" s="763"/>
      <c r="M125" s="763"/>
      <c r="N125" s="763"/>
      <c r="O125" s="763"/>
      <c r="P125" s="763"/>
      <c r="Q125" s="763"/>
      <c r="R125" s="763"/>
      <c r="S125" s="763"/>
      <c r="T125" s="115"/>
      <c r="U125" s="115"/>
      <c r="V125" s="763"/>
      <c r="W125" s="763"/>
      <c r="X125" s="763"/>
      <c r="Y125" s="763"/>
      <c r="Z125" s="685"/>
      <c r="AA125" s="685"/>
      <c r="AB125" s="685"/>
      <c r="AC125" s="685"/>
      <c r="AD125" s="685"/>
      <c r="AE125" s="685"/>
      <c r="AF125" s="685"/>
      <c r="AG125" s="685"/>
      <c r="AH125" s="685"/>
      <c r="AI125" s="685"/>
      <c r="AJ125" s="685"/>
      <c r="AK125" s="685"/>
      <c r="AL125" s="685"/>
      <c r="AM125" s="685"/>
      <c r="AN125" s="685"/>
      <c r="AO125" s="685"/>
      <c r="AP125" s="685"/>
      <c r="BA125" s="763"/>
      <c r="BB125" s="763"/>
    </row>
    <row r="126" spans="1:54">
      <c r="A126" s="763"/>
      <c r="B126" s="763"/>
      <c r="C126" s="763"/>
      <c r="D126" s="763"/>
      <c r="E126" s="763"/>
      <c r="F126" s="763"/>
      <c r="G126" s="763"/>
      <c r="H126" s="763"/>
      <c r="I126" s="763"/>
      <c r="J126" s="763"/>
      <c r="K126" s="775"/>
      <c r="L126" s="775"/>
      <c r="M126" s="775"/>
      <c r="N126" s="775"/>
      <c r="O126" s="775"/>
      <c r="P126" s="775"/>
      <c r="Q126" s="775"/>
      <c r="R126" s="763"/>
      <c r="S126" s="763"/>
      <c r="T126" s="115"/>
      <c r="U126" s="115"/>
      <c r="V126" s="763"/>
      <c r="W126" s="763"/>
      <c r="X126" s="763"/>
      <c r="Y126" s="763"/>
      <c r="Z126" s="685"/>
      <c r="AA126" s="685"/>
      <c r="AB126" s="685"/>
      <c r="AC126" s="685"/>
      <c r="AD126" s="685"/>
      <c r="AE126" s="685"/>
      <c r="AF126" s="685"/>
      <c r="AG126" s="685"/>
      <c r="AH126" s="685"/>
      <c r="AI126" s="685"/>
      <c r="AJ126" s="685"/>
      <c r="AK126" s="685"/>
      <c r="AL126" s="685"/>
      <c r="AM126" s="685"/>
      <c r="AN126" s="685"/>
      <c r="AO126" s="685"/>
      <c r="AP126" s="685"/>
      <c r="BA126" s="763"/>
      <c r="BB126" s="775"/>
    </row>
    <row r="127" spans="1:54">
      <c r="A127" s="763"/>
      <c r="B127" s="763"/>
      <c r="C127" s="763"/>
      <c r="D127" s="763"/>
      <c r="E127" s="763"/>
      <c r="F127" s="763"/>
      <c r="G127" s="763"/>
      <c r="H127" s="763"/>
      <c r="I127" s="763"/>
      <c r="J127" s="763"/>
      <c r="K127" s="775"/>
      <c r="L127" s="775"/>
      <c r="M127" s="775"/>
      <c r="N127" s="775"/>
      <c r="O127" s="775"/>
      <c r="P127" s="775"/>
      <c r="Q127" s="775"/>
      <c r="R127" s="763"/>
      <c r="S127" s="763"/>
      <c r="T127" s="115"/>
      <c r="U127" s="115"/>
      <c r="V127" s="763"/>
      <c r="W127" s="763"/>
      <c r="X127" s="763"/>
      <c r="Y127" s="763"/>
      <c r="Z127" s="685"/>
      <c r="AA127" s="685"/>
      <c r="AB127" s="685"/>
      <c r="AC127" s="685"/>
      <c r="AD127" s="685"/>
      <c r="AE127" s="685"/>
      <c r="AF127" s="685"/>
      <c r="AG127" s="685"/>
      <c r="AH127" s="685"/>
      <c r="AI127" s="685"/>
      <c r="AJ127" s="685"/>
      <c r="AK127" s="685"/>
      <c r="AL127" s="685"/>
      <c r="AM127" s="685"/>
      <c r="AN127" s="685"/>
      <c r="AO127" s="685"/>
      <c r="AP127" s="685"/>
      <c r="BA127" s="763"/>
      <c r="BB127" s="775"/>
    </row>
    <row r="128" spans="1:54">
      <c r="A128" s="763"/>
      <c r="B128" s="763"/>
      <c r="C128" s="763"/>
      <c r="D128" s="763"/>
      <c r="E128" s="763"/>
      <c r="F128" s="763"/>
      <c r="G128" s="763"/>
      <c r="H128" s="763"/>
      <c r="I128" s="763"/>
      <c r="J128" s="763"/>
      <c r="K128" s="775"/>
      <c r="L128" s="775"/>
      <c r="M128" s="775"/>
      <c r="N128" s="775"/>
      <c r="O128" s="775"/>
      <c r="P128" s="775"/>
      <c r="Q128" s="775"/>
      <c r="R128" s="763"/>
      <c r="S128" s="763"/>
      <c r="T128" s="115"/>
      <c r="U128" s="115"/>
      <c r="V128" s="763"/>
      <c r="W128" s="763"/>
      <c r="X128" s="763"/>
      <c r="Y128" s="763"/>
      <c r="Z128" s="685"/>
      <c r="AA128" s="685"/>
      <c r="AB128" s="685"/>
      <c r="AC128" s="685"/>
      <c r="AD128" s="685"/>
      <c r="AE128" s="685"/>
      <c r="AF128" s="685"/>
      <c r="AG128" s="685"/>
      <c r="AH128" s="685"/>
      <c r="AI128" s="685"/>
      <c r="AJ128" s="685"/>
      <c r="AK128" s="685"/>
      <c r="AL128" s="685"/>
      <c r="AM128" s="685"/>
      <c r="AN128" s="685"/>
      <c r="AO128" s="685"/>
      <c r="AP128" s="685"/>
      <c r="BA128" s="763"/>
      <c r="BB128" s="775"/>
    </row>
    <row r="129" spans="1:54">
      <c r="A129" s="763"/>
      <c r="B129" s="763"/>
      <c r="C129" s="763"/>
      <c r="D129" s="763"/>
      <c r="E129" s="763"/>
      <c r="F129" s="763"/>
      <c r="G129" s="763"/>
      <c r="H129" s="763"/>
      <c r="I129" s="763"/>
      <c r="J129" s="763"/>
      <c r="K129" s="775"/>
      <c r="L129" s="775"/>
      <c r="M129" s="775"/>
      <c r="N129" s="775"/>
      <c r="O129" s="775"/>
      <c r="P129" s="775"/>
      <c r="Q129" s="775"/>
      <c r="R129" s="763"/>
      <c r="S129" s="763"/>
      <c r="T129" s="115"/>
      <c r="U129" s="115"/>
      <c r="V129" s="763"/>
      <c r="W129" s="763"/>
      <c r="X129" s="763"/>
      <c r="Y129" s="763"/>
      <c r="Z129" s="685"/>
      <c r="AA129" s="685"/>
      <c r="AB129" s="685"/>
      <c r="AC129" s="685"/>
      <c r="AD129" s="685"/>
      <c r="AE129" s="685"/>
      <c r="AF129" s="685"/>
      <c r="AG129" s="685"/>
      <c r="AH129" s="685"/>
      <c r="AI129" s="685"/>
      <c r="AJ129" s="685"/>
      <c r="AK129" s="685"/>
      <c r="AL129" s="685"/>
      <c r="AM129" s="685"/>
      <c r="AN129" s="685"/>
      <c r="AO129" s="685"/>
      <c r="AP129" s="685"/>
      <c r="BA129" s="763"/>
      <c r="BB129" s="775"/>
    </row>
    <row r="130" spans="1:54">
      <c r="A130" s="763"/>
      <c r="B130" s="763"/>
      <c r="C130" s="763"/>
      <c r="D130" s="763"/>
      <c r="E130" s="763"/>
      <c r="F130" s="763"/>
      <c r="G130" s="763"/>
      <c r="H130" s="763"/>
      <c r="I130" s="763"/>
      <c r="J130" s="763"/>
      <c r="K130" s="775"/>
      <c r="L130" s="775"/>
      <c r="M130" s="775"/>
      <c r="N130" s="775"/>
      <c r="O130" s="775"/>
      <c r="P130" s="775"/>
      <c r="Q130" s="775"/>
      <c r="R130" s="763"/>
      <c r="S130" s="763"/>
      <c r="T130" s="115"/>
      <c r="U130" s="115"/>
      <c r="V130" s="763"/>
      <c r="W130" s="763"/>
      <c r="X130" s="763"/>
      <c r="Y130" s="763"/>
      <c r="Z130" s="685"/>
      <c r="AA130" s="685"/>
      <c r="AB130" s="685"/>
      <c r="AC130" s="685"/>
      <c r="AD130" s="685"/>
      <c r="AE130" s="685"/>
      <c r="AF130" s="685"/>
      <c r="AG130" s="685"/>
      <c r="AH130" s="685"/>
      <c r="AI130" s="685"/>
      <c r="AJ130" s="685"/>
      <c r="AK130" s="685"/>
      <c r="AL130" s="685"/>
      <c r="AM130" s="685"/>
      <c r="AN130" s="685"/>
      <c r="AO130" s="685"/>
      <c r="AP130" s="685"/>
      <c r="BA130" s="763"/>
      <c r="BB130" s="775"/>
    </row>
    <row r="131" spans="1:54">
      <c r="A131" s="763"/>
      <c r="B131" s="763"/>
      <c r="C131" s="763"/>
      <c r="D131" s="763"/>
      <c r="E131" s="763"/>
      <c r="F131" s="763"/>
      <c r="G131" s="763"/>
      <c r="H131" s="763"/>
      <c r="I131" s="763"/>
      <c r="J131" s="763"/>
      <c r="K131" s="775"/>
      <c r="L131" s="775"/>
      <c r="M131" s="775"/>
      <c r="N131" s="775"/>
      <c r="O131" s="775"/>
      <c r="P131" s="775"/>
      <c r="Q131" s="775"/>
      <c r="R131" s="763"/>
      <c r="S131" s="763"/>
      <c r="T131" s="115"/>
      <c r="U131" s="115"/>
      <c r="V131" s="763"/>
      <c r="W131" s="763"/>
      <c r="X131" s="763"/>
      <c r="Y131" s="763"/>
      <c r="Z131" s="685"/>
      <c r="AA131" s="685"/>
      <c r="AB131" s="685"/>
      <c r="AC131" s="685"/>
      <c r="AD131" s="685"/>
      <c r="AE131" s="685"/>
      <c r="AF131" s="685"/>
      <c r="AG131" s="685"/>
      <c r="AH131" s="685"/>
      <c r="AI131" s="685"/>
      <c r="AJ131" s="685"/>
      <c r="AK131" s="685"/>
      <c r="AL131" s="685"/>
      <c r="AM131" s="685"/>
      <c r="AN131" s="685"/>
      <c r="AO131" s="685"/>
      <c r="AP131" s="685"/>
      <c r="BA131" s="763"/>
      <c r="BB131" s="775"/>
    </row>
    <row r="132" spans="1:54">
      <c r="A132" s="763"/>
      <c r="B132" s="763"/>
      <c r="C132" s="763"/>
      <c r="D132" s="763"/>
      <c r="E132" s="763"/>
      <c r="F132" s="763"/>
      <c r="G132" s="763"/>
      <c r="H132" s="763"/>
      <c r="I132" s="763"/>
      <c r="J132" s="763"/>
      <c r="K132" s="775"/>
      <c r="L132" s="775"/>
      <c r="M132" s="775"/>
      <c r="N132" s="775"/>
      <c r="O132" s="775"/>
      <c r="P132" s="775"/>
      <c r="Q132" s="775"/>
      <c r="R132" s="763"/>
      <c r="S132" s="763"/>
      <c r="T132" s="115"/>
      <c r="U132" s="115"/>
      <c r="V132" s="763"/>
      <c r="W132" s="763"/>
      <c r="X132" s="763"/>
      <c r="Y132" s="763"/>
      <c r="Z132" s="685"/>
      <c r="AA132" s="685"/>
      <c r="AB132" s="685"/>
      <c r="AC132" s="685"/>
      <c r="AD132" s="685"/>
      <c r="AE132" s="685"/>
      <c r="AF132" s="685"/>
      <c r="AG132" s="685"/>
      <c r="AH132" s="685"/>
      <c r="AI132" s="685"/>
      <c r="AJ132" s="685"/>
      <c r="AK132" s="685"/>
      <c r="AL132" s="685"/>
      <c r="AM132" s="685"/>
      <c r="AN132" s="685"/>
      <c r="AO132" s="685"/>
      <c r="AP132" s="685"/>
      <c r="BA132" s="763"/>
      <c r="BB132" s="775"/>
    </row>
    <row r="133" spans="1:54">
      <c r="A133" s="763"/>
      <c r="B133" s="763"/>
      <c r="C133" s="763"/>
      <c r="D133" s="763"/>
      <c r="E133" s="763"/>
      <c r="F133" s="763"/>
      <c r="G133" s="763"/>
      <c r="H133" s="763"/>
      <c r="I133" s="763"/>
      <c r="J133" s="763"/>
      <c r="K133" s="763"/>
      <c r="L133" s="763"/>
      <c r="M133" s="763"/>
      <c r="N133" s="763"/>
      <c r="O133" s="763"/>
      <c r="P133" s="763"/>
      <c r="Q133" s="763"/>
      <c r="R133" s="763"/>
      <c r="S133" s="763"/>
      <c r="T133" s="115"/>
      <c r="U133" s="115"/>
      <c r="V133" s="763"/>
      <c r="W133" s="763"/>
      <c r="X133" s="763"/>
      <c r="Y133" s="763"/>
      <c r="Z133" s="685"/>
      <c r="AA133" s="685"/>
      <c r="AB133" s="685"/>
      <c r="AC133" s="685"/>
      <c r="AD133" s="685"/>
      <c r="AE133" s="685"/>
      <c r="AF133" s="685"/>
      <c r="AG133" s="685"/>
      <c r="AH133" s="685"/>
      <c r="AI133" s="685"/>
      <c r="AJ133" s="685"/>
      <c r="AK133" s="685"/>
      <c r="AL133" s="685"/>
      <c r="AM133" s="685"/>
      <c r="AN133" s="685"/>
      <c r="AO133" s="685"/>
      <c r="AP133" s="685"/>
      <c r="BA133" s="763"/>
      <c r="BB133" s="763"/>
    </row>
    <row r="134" spans="1:54">
      <c r="A134" s="763"/>
      <c r="B134" s="763"/>
      <c r="C134" s="763"/>
      <c r="D134" s="763"/>
      <c r="E134" s="763"/>
      <c r="F134" s="763"/>
      <c r="G134" s="763"/>
      <c r="H134" s="763"/>
      <c r="I134" s="763"/>
      <c r="J134" s="763"/>
      <c r="K134" s="763"/>
      <c r="L134" s="763"/>
      <c r="M134" s="763"/>
      <c r="N134" s="763"/>
      <c r="O134" s="763"/>
      <c r="P134" s="763"/>
      <c r="Q134" s="763"/>
      <c r="R134" s="763"/>
      <c r="S134" s="763"/>
      <c r="T134" s="115"/>
      <c r="U134" s="115"/>
      <c r="V134" s="763"/>
      <c r="W134" s="763"/>
      <c r="X134" s="763"/>
      <c r="Y134" s="763"/>
      <c r="Z134" s="685"/>
      <c r="AA134" s="685"/>
      <c r="AB134" s="685"/>
      <c r="AC134" s="685"/>
      <c r="AD134" s="685"/>
      <c r="AE134" s="685"/>
      <c r="AF134" s="685"/>
      <c r="AG134" s="685"/>
      <c r="AH134" s="685"/>
      <c r="AI134" s="685"/>
      <c r="AJ134" s="685"/>
      <c r="AK134" s="685"/>
      <c r="AL134" s="685"/>
      <c r="AM134" s="685"/>
      <c r="AN134" s="685"/>
      <c r="AO134" s="685"/>
      <c r="AP134" s="685"/>
      <c r="BA134" s="763"/>
      <c r="BB134" s="763"/>
    </row>
    <row r="135" spans="1:54">
      <c r="A135" s="763"/>
      <c r="B135" s="763"/>
      <c r="C135" s="763"/>
      <c r="D135" s="763"/>
      <c r="E135" s="763"/>
      <c r="F135" s="763"/>
      <c r="G135" s="763"/>
      <c r="H135" s="763"/>
      <c r="I135" s="763"/>
      <c r="J135" s="763"/>
      <c r="K135" s="763"/>
      <c r="L135" s="763"/>
      <c r="M135" s="763"/>
      <c r="N135" s="763"/>
      <c r="O135" s="763"/>
      <c r="P135" s="763"/>
      <c r="Q135" s="763"/>
      <c r="R135" s="763"/>
      <c r="S135" s="763"/>
      <c r="T135" s="115"/>
      <c r="U135" s="115"/>
      <c r="V135" s="763"/>
      <c r="W135" s="763"/>
      <c r="X135" s="763"/>
      <c r="Y135" s="763"/>
      <c r="Z135" s="685"/>
      <c r="AA135" s="685"/>
      <c r="AB135" s="685"/>
      <c r="AC135" s="685"/>
      <c r="AD135" s="685"/>
      <c r="AE135" s="685"/>
      <c r="AF135" s="685"/>
      <c r="AG135" s="685"/>
      <c r="AH135" s="685"/>
      <c r="AI135" s="685"/>
      <c r="AJ135" s="685"/>
      <c r="AK135" s="685"/>
      <c r="AL135" s="685"/>
      <c r="AM135" s="685"/>
      <c r="AN135" s="685"/>
      <c r="AO135" s="685"/>
      <c r="AP135" s="685"/>
      <c r="BA135" s="763"/>
      <c r="BB135" s="763"/>
    </row>
    <row r="136" spans="1:54">
      <c r="A136" s="763"/>
      <c r="B136" s="763"/>
      <c r="C136" s="763"/>
      <c r="D136" s="763"/>
      <c r="E136" s="763"/>
      <c r="F136" s="763"/>
      <c r="G136" s="763"/>
      <c r="H136" s="763"/>
      <c r="I136" s="763"/>
      <c r="J136" s="763"/>
      <c r="K136" s="763"/>
      <c r="L136" s="763"/>
      <c r="M136" s="763"/>
      <c r="N136" s="763"/>
      <c r="O136" s="763"/>
      <c r="P136" s="763"/>
      <c r="Q136" s="763"/>
      <c r="R136" s="763"/>
      <c r="S136" s="763"/>
      <c r="T136" s="115"/>
      <c r="U136" s="115"/>
      <c r="V136" s="763"/>
      <c r="W136" s="763"/>
      <c r="X136" s="763"/>
      <c r="Y136" s="763"/>
      <c r="Z136" s="685"/>
      <c r="AA136" s="685"/>
      <c r="AB136" s="685"/>
      <c r="AC136" s="685"/>
      <c r="AD136" s="685"/>
      <c r="AE136" s="685"/>
      <c r="AF136" s="685"/>
      <c r="AG136" s="685"/>
      <c r="AH136" s="685"/>
      <c r="AI136" s="685"/>
      <c r="AJ136" s="685"/>
      <c r="AK136" s="685"/>
      <c r="AL136" s="685"/>
      <c r="AM136" s="685"/>
      <c r="AN136" s="685"/>
      <c r="AO136" s="685"/>
      <c r="AP136" s="685"/>
      <c r="BA136" s="763"/>
      <c r="BB136" s="763"/>
    </row>
    <row r="137" spans="1:54">
      <c r="A137" s="763"/>
      <c r="B137" s="685"/>
      <c r="C137" s="764" t="str">
        <f>C116</f>
        <v>Q1 21</v>
      </c>
      <c r="D137" s="764" t="str">
        <f t="shared" ref="D137:F137" si="68">D116</f>
        <v>Q2 21</v>
      </c>
      <c r="E137" s="764" t="str">
        <f t="shared" si="68"/>
        <v>Q3 21</v>
      </c>
      <c r="F137" s="764" t="str">
        <f t="shared" si="68"/>
        <v>Q4 21</v>
      </c>
      <c r="G137" s="764" t="str">
        <f t="shared" ref="G137:L137" si="69">G116</f>
        <v>Q1 22</v>
      </c>
      <c r="H137" s="764" t="str">
        <f t="shared" si="69"/>
        <v>Q2 22</v>
      </c>
      <c r="I137" s="764" t="str">
        <f t="shared" si="69"/>
        <v>Q3 22</v>
      </c>
      <c r="J137" s="764" t="str">
        <f t="shared" si="69"/>
        <v>Q4 22</v>
      </c>
      <c r="K137" s="764" t="str">
        <f t="shared" si="69"/>
        <v>Q1 23</v>
      </c>
      <c r="L137" s="764" t="str">
        <f t="shared" si="69"/>
        <v>Q2 23</v>
      </c>
      <c r="M137" s="764" t="str">
        <f t="shared" ref="M137:N137" si="70">M116</f>
        <v>Q3 23</v>
      </c>
      <c r="N137" s="764" t="str">
        <f t="shared" si="70"/>
        <v>Q4 23</v>
      </c>
      <c r="O137" s="764" t="str">
        <f t="shared" ref="O137" si="71">O116</f>
        <v>Q1 24</v>
      </c>
      <c r="P137" s="763"/>
      <c r="Q137" s="763"/>
      <c r="R137" s="763"/>
      <c r="S137" s="763"/>
      <c r="T137" s="115"/>
      <c r="U137" s="115"/>
      <c r="V137" s="763"/>
      <c r="W137" s="763"/>
      <c r="X137" s="763"/>
      <c r="Y137" s="763"/>
      <c r="Z137" s="685"/>
      <c r="AA137" s="685"/>
      <c r="AB137" s="685"/>
      <c r="AC137" s="685"/>
      <c r="AD137" s="685"/>
      <c r="AE137" s="685"/>
      <c r="AF137" s="685"/>
      <c r="AG137" s="685"/>
      <c r="AH137" s="685"/>
      <c r="AI137" s="685"/>
      <c r="AJ137" s="685"/>
      <c r="AK137" s="685"/>
      <c r="AL137" s="685"/>
      <c r="AM137" s="685"/>
      <c r="AN137" s="685"/>
      <c r="AO137" s="685"/>
      <c r="AP137" s="685"/>
      <c r="BA137" s="763"/>
      <c r="BB137" s="763"/>
    </row>
    <row r="138" spans="1:54">
      <c r="A138" s="763"/>
      <c r="B138" s="763" t="s">
        <v>506</v>
      </c>
      <c r="C138" s="768">
        <f t="shared" ref="C138:O138" si="72">C34</f>
        <v>0.41517857142857145</v>
      </c>
      <c r="D138" s="768">
        <f t="shared" si="72"/>
        <v>0.41000807102502013</v>
      </c>
      <c r="E138" s="768">
        <f t="shared" si="72"/>
        <v>0.38999090081892634</v>
      </c>
      <c r="F138" s="768">
        <f t="shared" si="72"/>
        <v>0.4002174640347943</v>
      </c>
      <c r="G138" s="768">
        <f t="shared" si="72"/>
        <v>0.39738769048090244</v>
      </c>
      <c r="H138" s="768">
        <f t="shared" si="72"/>
        <v>0.34054004743659916</v>
      </c>
      <c r="I138" s="768">
        <f t="shared" si="72"/>
        <v>0.35683890577507599</v>
      </c>
      <c r="J138" s="768">
        <f t="shared" si="72"/>
        <v>0.34702442380460957</v>
      </c>
      <c r="K138" s="768">
        <f t="shared" si="72"/>
        <v>0.33709963582033803</v>
      </c>
      <c r="L138" s="768">
        <f t="shared" si="72"/>
        <v>0.30652565994425313</v>
      </c>
      <c r="M138" s="768">
        <f t="shared" si="72"/>
        <v>0.32190550566185083</v>
      </c>
      <c r="N138" s="768">
        <f t="shared" si="72"/>
        <v>0.34500294811320759</v>
      </c>
      <c r="O138" s="768">
        <f t="shared" si="72"/>
        <v>0.28590078328981722</v>
      </c>
      <c r="P138" s="763"/>
      <c r="Q138" s="763"/>
      <c r="R138" s="763"/>
      <c r="S138" s="763"/>
      <c r="T138" s="115"/>
      <c r="U138" s="115"/>
      <c r="V138" s="763"/>
      <c r="W138" s="763"/>
      <c r="X138" s="763"/>
      <c r="Y138" s="763"/>
      <c r="Z138" s="685"/>
      <c r="AA138" s="685"/>
      <c r="AB138" s="685"/>
      <c r="AC138" s="685"/>
      <c r="AD138" s="685"/>
      <c r="AE138" s="685"/>
      <c r="AF138" s="685"/>
      <c r="AG138" s="685"/>
      <c r="AH138" s="685"/>
      <c r="AI138" s="685"/>
      <c r="AJ138" s="685"/>
      <c r="AK138" s="685"/>
      <c r="AL138" s="685"/>
      <c r="AM138" s="685"/>
      <c r="AN138" s="685"/>
      <c r="AO138" s="685"/>
      <c r="AP138" s="685"/>
      <c r="BA138" s="763"/>
      <c r="BB138" s="685"/>
    </row>
    <row r="139" spans="1:54">
      <c r="A139" s="763"/>
      <c r="B139" s="763" t="s">
        <v>7475</v>
      </c>
      <c r="C139" s="872">
        <f t="shared" ref="C139:O139" si="73">C33</f>
        <v>372</v>
      </c>
      <c r="D139" s="872">
        <f t="shared" si="73"/>
        <v>406.4</v>
      </c>
      <c r="E139" s="872">
        <f t="shared" si="73"/>
        <v>428.6</v>
      </c>
      <c r="F139" s="872">
        <f t="shared" si="73"/>
        <v>478.5</v>
      </c>
      <c r="G139" s="872">
        <f t="shared" si="73"/>
        <v>401.6</v>
      </c>
      <c r="H139" s="872">
        <f t="shared" si="73"/>
        <v>373.3</v>
      </c>
      <c r="I139" s="872">
        <f t="shared" si="73"/>
        <v>410.9</v>
      </c>
      <c r="J139" s="872">
        <f t="shared" si="73"/>
        <v>504.4</v>
      </c>
      <c r="K139" s="872">
        <f t="shared" si="73"/>
        <v>361</v>
      </c>
      <c r="L139" s="872">
        <f t="shared" si="73"/>
        <v>373.9</v>
      </c>
      <c r="M139" s="872">
        <f t="shared" si="73"/>
        <v>412.2</v>
      </c>
      <c r="N139" s="872">
        <f t="shared" si="73"/>
        <v>468.1</v>
      </c>
      <c r="O139" s="872">
        <f t="shared" si="73"/>
        <v>328.5</v>
      </c>
      <c r="P139" s="1063"/>
      <c r="Q139" s="763"/>
      <c r="R139" s="763"/>
      <c r="S139" s="763"/>
      <c r="T139" s="115"/>
      <c r="U139" s="115"/>
      <c r="V139" s="763"/>
      <c r="W139" s="763"/>
      <c r="X139" s="763"/>
      <c r="Y139" s="763"/>
      <c r="Z139" s="685"/>
      <c r="AA139" s="685"/>
      <c r="AB139" s="685"/>
      <c r="AC139" s="685"/>
      <c r="AD139" s="685"/>
      <c r="AE139" s="685"/>
      <c r="AF139" s="685"/>
      <c r="AG139" s="685"/>
      <c r="AH139" s="685"/>
      <c r="AI139" s="685"/>
      <c r="AJ139" s="685"/>
      <c r="AK139" s="685"/>
      <c r="AL139" s="685"/>
      <c r="AM139" s="685"/>
      <c r="AN139" s="685"/>
      <c r="AO139" s="685"/>
      <c r="AP139" s="685"/>
      <c r="BA139" s="763"/>
      <c r="BB139" s="848">
        <v>532.90000000000009</v>
      </c>
    </row>
    <row r="140" spans="1:54">
      <c r="A140" s="763"/>
      <c r="B140" s="763"/>
      <c r="C140" s="872"/>
      <c r="D140" s="872"/>
      <c r="E140" s="872"/>
      <c r="F140" s="872"/>
      <c r="G140" s="845">
        <f t="shared" ref="G140:L140" si="74">G139/C139-1</f>
        <v>7.9569892473118298E-2</v>
      </c>
      <c r="H140" s="845">
        <f t="shared" si="74"/>
        <v>-8.1446850393700698E-2</v>
      </c>
      <c r="I140" s="845">
        <f t="shared" si="74"/>
        <v>-4.1297246850210079E-2</v>
      </c>
      <c r="J140" s="845">
        <f t="shared" si="74"/>
        <v>5.412748171368853E-2</v>
      </c>
      <c r="K140" s="845">
        <f t="shared" si="74"/>
        <v>-0.1010956175298805</v>
      </c>
      <c r="L140" s="845">
        <f t="shared" si="74"/>
        <v>1.6072863648539659E-3</v>
      </c>
      <c r="M140" s="845">
        <f>M139/I139-1</f>
        <v>3.1637868094427368E-3</v>
      </c>
      <c r="N140" s="845">
        <f>N139/J139-1</f>
        <v>-7.1966693100713686E-2</v>
      </c>
      <c r="O140" s="845">
        <f>O139/K139-1</f>
        <v>-9.0027700831024959E-2</v>
      </c>
      <c r="P140" s="763"/>
      <c r="Q140" s="763"/>
      <c r="R140" s="763"/>
      <c r="S140" s="763"/>
      <c r="T140" s="115"/>
      <c r="U140" s="115"/>
      <c r="V140" s="763"/>
      <c r="W140" s="763"/>
      <c r="X140" s="763"/>
      <c r="Y140" s="763"/>
      <c r="Z140" s="685"/>
      <c r="AA140" s="685"/>
      <c r="AB140" s="685"/>
      <c r="AC140" s="685"/>
      <c r="AD140" s="685"/>
      <c r="AE140" s="685"/>
      <c r="AF140" s="685"/>
      <c r="AG140" s="685"/>
      <c r="AH140" s="685"/>
      <c r="AI140" s="685"/>
      <c r="AJ140" s="685"/>
      <c r="AK140" s="685"/>
      <c r="AL140" s="685"/>
      <c r="AM140" s="685"/>
      <c r="AN140" s="685"/>
      <c r="AO140" s="685"/>
      <c r="AP140" s="685"/>
      <c r="BA140" s="763"/>
      <c r="BB140" s="845">
        <v>5.6502775574940767E-2</v>
      </c>
    </row>
    <row r="141" spans="1:54">
      <c r="A141" s="763"/>
      <c r="B141" s="763"/>
      <c r="C141" s="763"/>
      <c r="D141" s="763"/>
      <c r="E141" s="763"/>
      <c r="F141" s="763"/>
      <c r="G141" s="763"/>
      <c r="H141" s="763"/>
      <c r="I141" s="763"/>
      <c r="J141" s="763"/>
      <c r="K141" s="763"/>
      <c r="L141" s="845">
        <f>(K139+L139)/(G139+H139)-1</f>
        <v>-5.1619563814685909E-2</v>
      </c>
      <c r="M141" s="845">
        <f>(K139+L139+M139)/(G139+H139+I139)-1</f>
        <v>-3.2636194973857502E-2</v>
      </c>
      <c r="N141" s="845">
        <f>(L139+M139+N139)/(H139+I139+J139)-1</f>
        <v>-2.6695638677634692E-2</v>
      </c>
      <c r="O141" s="845">
        <f>(M139+N139+O139)/(I139+J139+K139)-1</f>
        <v>-5.2887252213429492E-2</v>
      </c>
      <c r="P141" s="763"/>
      <c r="Q141" s="763"/>
      <c r="R141" s="763"/>
      <c r="S141" s="763"/>
      <c r="T141" s="115"/>
      <c r="U141" s="115"/>
      <c r="V141" s="763"/>
      <c r="W141" s="763"/>
      <c r="X141" s="763"/>
      <c r="Y141" s="763"/>
      <c r="Z141" s="685"/>
      <c r="AA141" s="685"/>
      <c r="AB141" s="685"/>
      <c r="AC141" s="685"/>
      <c r="AD141" s="685"/>
      <c r="AE141" s="685"/>
      <c r="AF141" s="685"/>
      <c r="AG141" s="685"/>
      <c r="AH141" s="685"/>
      <c r="AI141" s="685"/>
      <c r="AJ141" s="685"/>
      <c r="AK141" s="685"/>
      <c r="AL141" s="685"/>
      <c r="AM141" s="685"/>
      <c r="AN141" s="685"/>
      <c r="AO141" s="685"/>
      <c r="AP141" s="685"/>
      <c r="BA141" s="763"/>
      <c r="BB141" s="763"/>
    </row>
    <row r="142" spans="1:54">
      <c r="A142" s="763"/>
      <c r="B142" s="763"/>
      <c r="C142" s="763"/>
      <c r="D142" s="763"/>
      <c r="E142" s="763"/>
      <c r="F142" s="763"/>
      <c r="G142" s="763"/>
      <c r="H142" s="763"/>
      <c r="I142" s="763"/>
      <c r="J142" s="763"/>
      <c r="K142" s="763"/>
      <c r="L142" s="763"/>
      <c r="M142" s="763"/>
      <c r="N142" s="763"/>
      <c r="O142" s="763"/>
      <c r="P142" s="763"/>
      <c r="Q142" s="763"/>
      <c r="R142" s="763"/>
      <c r="S142" s="763"/>
      <c r="T142" s="115"/>
      <c r="U142" s="115"/>
      <c r="V142" s="763"/>
      <c r="W142" s="763"/>
      <c r="X142" s="763"/>
      <c r="Y142" s="763"/>
      <c r="Z142" s="685"/>
      <c r="AA142" s="685"/>
      <c r="AB142" s="685"/>
      <c r="AC142" s="685"/>
      <c r="AD142" s="685"/>
      <c r="AE142" s="685"/>
      <c r="AF142" s="685"/>
      <c r="AG142" s="685"/>
      <c r="AH142" s="685"/>
      <c r="AI142" s="685"/>
      <c r="AJ142" s="685"/>
      <c r="AK142" s="685"/>
      <c r="AL142" s="685"/>
      <c r="AM142" s="685"/>
      <c r="AN142" s="685"/>
      <c r="AO142" s="685"/>
      <c r="AP142" s="685"/>
      <c r="BA142" s="763"/>
      <c r="BB142" s="763"/>
    </row>
    <row r="143" spans="1:54">
      <c r="A143" s="763"/>
      <c r="B143" s="763"/>
      <c r="C143" s="763"/>
      <c r="D143" s="763"/>
      <c r="E143" s="763"/>
      <c r="F143" s="763"/>
      <c r="G143" s="763"/>
      <c r="H143" s="763"/>
      <c r="I143" s="763"/>
      <c r="J143" s="763"/>
      <c r="K143" s="763"/>
      <c r="L143" s="763"/>
      <c r="M143" s="763"/>
      <c r="N143" s="763"/>
      <c r="O143" s="763"/>
      <c r="P143" s="763"/>
      <c r="Q143" s="763"/>
      <c r="R143" s="763"/>
      <c r="S143" s="763"/>
      <c r="T143" s="115"/>
      <c r="U143" s="115"/>
      <c r="V143" s="763"/>
      <c r="W143" s="763"/>
      <c r="X143" s="763"/>
      <c r="Y143" s="763"/>
      <c r="Z143" s="685"/>
      <c r="AA143" s="685"/>
      <c r="AB143" s="685"/>
      <c r="AC143" s="685"/>
      <c r="AD143" s="685"/>
      <c r="AE143" s="685"/>
      <c r="AF143" s="685"/>
      <c r="AG143" s="685"/>
      <c r="AH143" s="685"/>
      <c r="AI143" s="685"/>
      <c r="AJ143" s="685"/>
      <c r="AK143" s="685"/>
      <c r="AL143" s="685"/>
      <c r="AM143" s="685"/>
      <c r="AN143" s="685"/>
      <c r="AO143" s="685"/>
      <c r="AP143" s="685"/>
      <c r="BA143" s="763"/>
      <c r="BB143" s="763"/>
    </row>
    <row r="144" spans="1:54">
      <c r="A144" s="763"/>
      <c r="B144" s="763"/>
      <c r="C144" s="763"/>
      <c r="D144" s="763"/>
      <c r="E144" s="763"/>
      <c r="F144" s="763"/>
      <c r="G144" s="763"/>
      <c r="H144" s="763"/>
      <c r="I144" s="763"/>
      <c r="J144" s="763"/>
      <c r="K144" s="763"/>
      <c r="L144" s="763"/>
      <c r="M144" s="763"/>
      <c r="N144" s="763"/>
      <c r="O144" s="763"/>
      <c r="P144" s="763"/>
      <c r="Q144" s="763"/>
      <c r="R144" s="763"/>
      <c r="S144" s="763"/>
      <c r="T144" s="115"/>
      <c r="U144" s="115"/>
      <c r="V144" s="763"/>
      <c r="W144" s="763"/>
      <c r="X144" s="763"/>
      <c r="Y144" s="763"/>
      <c r="Z144" s="685"/>
      <c r="AA144" s="685"/>
      <c r="AB144" s="685"/>
      <c r="AC144" s="685"/>
      <c r="AD144" s="685"/>
      <c r="AE144" s="685"/>
      <c r="AF144" s="685"/>
      <c r="AG144" s="685"/>
      <c r="AH144" s="685"/>
      <c r="AI144" s="685"/>
      <c r="AJ144" s="685"/>
      <c r="AK144" s="685"/>
      <c r="AL144" s="685"/>
      <c r="AM144" s="685"/>
      <c r="AN144" s="685"/>
      <c r="AO144" s="685"/>
      <c r="AP144" s="685"/>
      <c r="BA144" s="763"/>
      <c r="BB144" s="763"/>
    </row>
    <row r="145" spans="1:54">
      <c r="A145" s="763"/>
      <c r="B145" s="763"/>
      <c r="C145" s="763"/>
      <c r="D145" s="763"/>
      <c r="E145" s="763"/>
      <c r="F145" s="763"/>
      <c r="G145" s="763"/>
      <c r="H145" s="763"/>
      <c r="I145" s="763"/>
      <c r="J145" s="763"/>
      <c r="K145" s="763"/>
      <c r="L145" s="763"/>
      <c r="M145" s="763"/>
      <c r="N145" s="763"/>
      <c r="O145" s="763"/>
      <c r="P145" s="763"/>
      <c r="Q145" s="763"/>
      <c r="R145" s="763"/>
      <c r="S145" s="763"/>
      <c r="T145" s="115"/>
      <c r="U145" s="115"/>
      <c r="V145" s="763"/>
      <c r="W145" s="763"/>
      <c r="X145" s="763"/>
      <c r="Y145" s="763"/>
      <c r="Z145" s="685"/>
      <c r="AA145" s="685"/>
      <c r="AB145" s="685"/>
      <c r="AC145" s="685"/>
      <c r="AD145" s="685"/>
      <c r="AE145" s="685"/>
      <c r="AF145" s="685"/>
      <c r="AG145" s="685"/>
      <c r="AH145" s="685"/>
      <c r="AI145" s="685"/>
      <c r="AJ145" s="685"/>
      <c r="AK145" s="685"/>
      <c r="AL145" s="685"/>
      <c r="AM145" s="685"/>
      <c r="AN145" s="685"/>
      <c r="AO145" s="685"/>
      <c r="AP145" s="685"/>
      <c r="BA145" s="763"/>
      <c r="BB145" s="763"/>
    </row>
    <row r="146" spans="1:54">
      <c r="A146" s="763"/>
      <c r="B146" s="763"/>
      <c r="C146" s="763"/>
      <c r="D146" s="763"/>
      <c r="E146" s="763"/>
      <c r="F146" s="763"/>
      <c r="G146" s="763"/>
      <c r="H146" s="763"/>
      <c r="I146" s="763"/>
      <c r="J146" s="763"/>
      <c r="K146" s="763"/>
      <c r="L146" s="763"/>
      <c r="M146" s="763"/>
      <c r="N146" s="763"/>
      <c r="O146" s="763"/>
      <c r="P146" s="763"/>
      <c r="Q146" s="763"/>
      <c r="R146" s="763"/>
      <c r="S146" s="763"/>
      <c r="T146" s="115"/>
      <c r="U146" s="115"/>
      <c r="V146" s="763"/>
      <c r="W146" s="763"/>
      <c r="X146" s="763"/>
      <c r="Y146" s="763"/>
      <c r="Z146" s="685"/>
      <c r="AA146" s="685"/>
      <c r="AB146" s="685"/>
      <c r="AC146" s="685"/>
      <c r="AD146" s="685"/>
      <c r="AE146" s="685"/>
      <c r="AF146" s="685"/>
      <c r="AG146" s="685"/>
      <c r="AH146" s="685"/>
      <c r="AI146" s="685"/>
      <c r="AJ146" s="685"/>
      <c r="AK146" s="685"/>
      <c r="AL146" s="685"/>
      <c r="AM146" s="685"/>
      <c r="AN146" s="685"/>
      <c r="AO146" s="685"/>
      <c r="AP146" s="685"/>
      <c r="BA146" s="763"/>
      <c r="BB146" s="763"/>
    </row>
    <row r="147" spans="1:54">
      <c r="A147" s="763"/>
      <c r="B147" s="763"/>
      <c r="C147" s="763"/>
      <c r="D147" s="763"/>
      <c r="E147" s="763"/>
      <c r="F147" s="763"/>
      <c r="G147" s="763"/>
      <c r="H147" s="763"/>
      <c r="I147" s="763"/>
      <c r="J147" s="763"/>
      <c r="K147" s="763"/>
      <c r="L147" s="763"/>
      <c r="M147" s="763"/>
      <c r="N147" s="763"/>
      <c r="O147" s="763"/>
      <c r="P147" s="763"/>
      <c r="Q147" s="763"/>
      <c r="R147" s="763"/>
      <c r="S147" s="763"/>
      <c r="T147" s="115"/>
      <c r="U147" s="115"/>
      <c r="V147" s="763"/>
      <c r="W147" s="763"/>
      <c r="X147" s="763"/>
      <c r="Y147" s="763"/>
      <c r="Z147" s="685"/>
      <c r="AA147" s="685"/>
      <c r="AB147" s="685"/>
      <c r="AC147" s="685"/>
      <c r="AD147" s="685"/>
      <c r="AE147" s="685"/>
      <c r="AF147" s="685"/>
      <c r="AG147" s="685"/>
      <c r="AH147" s="685"/>
      <c r="AI147" s="685"/>
      <c r="AJ147" s="685"/>
      <c r="AK147" s="685"/>
      <c r="AL147" s="685"/>
      <c r="AM147" s="685"/>
      <c r="AN147" s="685"/>
      <c r="AO147" s="685"/>
      <c r="AP147" s="685"/>
      <c r="BA147" s="763"/>
      <c r="BB147" s="763"/>
    </row>
    <row r="148" spans="1:54">
      <c r="A148" s="763"/>
      <c r="B148" s="763"/>
      <c r="C148" s="763"/>
      <c r="D148" s="763"/>
      <c r="E148" s="763"/>
      <c r="F148" s="763"/>
      <c r="G148" s="763"/>
      <c r="H148" s="763"/>
      <c r="I148" s="763"/>
      <c r="J148" s="763"/>
      <c r="K148" s="763"/>
      <c r="L148" s="763"/>
      <c r="M148" s="763"/>
      <c r="N148" s="763"/>
      <c r="O148" s="763"/>
      <c r="P148" s="763"/>
      <c r="Q148" s="763"/>
      <c r="R148" s="763"/>
      <c r="S148" s="763"/>
      <c r="T148" s="115"/>
      <c r="U148" s="115"/>
      <c r="V148" s="763"/>
      <c r="W148" s="763"/>
      <c r="X148" s="763"/>
      <c r="Y148" s="763"/>
      <c r="Z148" s="685"/>
      <c r="AA148" s="685"/>
      <c r="AB148" s="685"/>
      <c r="AC148" s="685"/>
      <c r="AD148" s="685"/>
      <c r="AE148" s="685"/>
      <c r="AF148" s="685"/>
      <c r="AG148" s="685"/>
      <c r="AH148" s="685"/>
      <c r="AI148" s="685"/>
      <c r="AJ148" s="685"/>
      <c r="AK148" s="685"/>
      <c r="AL148" s="685"/>
      <c r="AM148" s="685"/>
      <c r="AN148" s="685"/>
      <c r="AO148" s="685"/>
      <c r="AP148" s="685"/>
      <c r="BA148" s="763"/>
      <c r="BB148" s="763"/>
    </row>
    <row r="149" spans="1:54">
      <c r="A149" s="763"/>
      <c r="B149" s="763"/>
      <c r="C149" s="763"/>
      <c r="D149" s="763"/>
      <c r="E149" s="763"/>
      <c r="F149" s="763"/>
      <c r="G149" s="763"/>
      <c r="H149" s="763"/>
      <c r="I149" s="763"/>
      <c r="J149" s="763"/>
      <c r="K149" s="763"/>
      <c r="L149" s="763"/>
      <c r="M149" s="763"/>
      <c r="N149" s="763"/>
      <c r="O149" s="763"/>
      <c r="P149" s="763"/>
      <c r="Q149" s="763"/>
      <c r="R149" s="763"/>
      <c r="S149" s="763"/>
      <c r="T149" s="115"/>
      <c r="U149" s="115"/>
      <c r="V149" s="763"/>
      <c r="W149" s="763"/>
      <c r="X149" s="763"/>
      <c r="Y149" s="763"/>
      <c r="Z149" s="685"/>
      <c r="AA149" s="685"/>
      <c r="AB149" s="685"/>
      <c r="AC149" s="685"/>
      <c r="AD149" s="685"/>
      <c r="AE149" s="685"/>
      <c r="AF149" s="685"/>
      <c r="AG149" s="685"/>
      <c r="AH149" s="685"/>
      <c r="AI149" s="685"/>
      <c r="AJ149" s="685"/>
      <c r="AK149" s="685"/>
      <c r="AL149" s="685"/>
      <c r="AM149" s="685"/>
      <c r="AN149" s="685"/>
      <c r="AO149" s="685"/>
      <c r="AP149" s="685"/>
      <c r="BA149" s="763"/>
      <c r="BB149" s="763"/>
    </row>
    <row r="150" spans="1:54">
      <c r="A150" s="763"/>
      <c r="B150" s="763"/>
      <c r="C150" s="763"/>
      <c r="D150" s="763"/>
      <c r="E150" s="763"/>
      <c r="F150" s="763"/>
      <c r="G150" s="763"/>
      <c r="H150" s="763"/>
      <c r="I150" s="763"/>
      <c r="J150" s="763"/>
      <c r="K150" s="763"/>
      <c r="L150" s="763"/>
      <c r="M150" s="763"/>
      <c r="N150" s="763"/>
      <c r="O150" s="763"/>
      <c r="P150" s="763"/>
      <c r="Q150" s="763"/>
      <c r="R150" s="763"/>
      <c r="S150" s="763"/>
      <c r="T150" s="115"/>
      <c r="U150" s="115"/>
      <c r="V150" s="763"/>
      <c r="W150" s="763"/>
      <c r="X150" s="763"/>
      <c r="Y150" s="763"/>
      <c r="Z150" s="685"/>
      <c r="AA150" s="685"/>
      <c r="AB150" s="685"/>
      <c r="AC150" s="685"/>
      <c r="AD150" s="685"/>
      <c r="AE150" s="685"/>
      <c r="AF150" s="685"/>
      <c r="AG150" s="685"/>
      <c r="AH150" s="685"/>
      <c r="AI150" s="685"/>
      <c r="AJ150" s="685"/>
      <c r="AK150" s="685"/>
      <c r="AL150" s="685"/>
      <c r="AM150" s="685"/>
      <c r="AN150" s="685"/>
      <c r="AO150" s="685"/>
      <c r="AP150" s="685"/>
      <c r="BA150" s="763"/>
      <c r="BB150" s="763"/>
    </row>
    <row r="151" spans="1:54">
      <c r="A151" s="763"/>
      <c r="B151" s="763"/>
      <c r="C151" s="763"/>
      <c r="D151" s="763"/>
      <c r="E151" s="763"/>
      <c r="F151" s="763"/>
      <c r="G151" s="763"/>
      <c r="H151" s="763"/>
      <c r="I151" s="763"/>
      <c r="J151" s="763"/>
      <c r="K151" s="763"/>
      <c r="L151" s="763"/>
      <c r="M151" s="763"/>
      <c r="N151" s="763"/>
      <c r="O151" s="763"/>
      <c r="P151" s="763"/>
      <c r="Q151" s="763"/>
      <c r="R151" s="763"/>
      <c r="S151" s="763"/>
      <c r="T151" s="115"/>
      <c r="U151" s="115"/>
      <c r="V151" s="763"/>
      <c r="W151" s="763"/>
      <c r="X151" s="763"/>
      <c r="Y151" s="763"/>
      <c r="Z151" s="685"/>
      <c r="AA151" s="685"/>
      <c r="AB151" s="685"/>
      <c r="AC151" s="685"/>
      <c r="AD151" s="685"/>
      <c r="AE151" s="685"/>
      <c r="AF151" s="685"/>
      <c r="AG151" s="685"/>
      <c r="AH151" s="685"/>
      <c r="AI151" s="685"/>
      <c r="AJ151" s="685"/>
      <c r="AK151" s="685"/>
      <c r="AL151" s="685"/>
      <c r="AM151" s="685"/>
      <c r="AN151" s="685"/>
      <c r="AO151" s="685"/>
      <c r="AP151" s="685"/>
      <c r="BA151" s="763"/>
      <c r="BB151" s="763"/>
    </row>
    <row r="152" spans="1:54">
      <c r="A152" s="763"/>
      <c r="B152" s="763"/>
      <c r="C152" s="763"/>
      <c r="D152" s="763"/>
      <c r="E152" s="763"/>
      <c r="F152" s="763"/>
      <c r="G152" s="763"/>
      <c r="H152" s="763"/>
      <c r="I152" s="763"/>
      <c r="J152" s="763"/>
      <c r="K152" s="763"/>
      <c r="L152" s="763"/>
      <c r="M152" s="763"/>
      <c r="N152" s="763"/>
      <c r="O152" s="763"/>
      <c r="P152" s="763"/>
      <c r="Q152" s="763"/>
      <c r="R152" s="763"/>
      <c r="S152" s="763"/>
      <c r="T152" s="115"/>
      <c r="U152" s="115"/>
      <c r="V152" s="763"/>
      <c r="W152" s="763"/>
      <c r="X152" s="763"/>
      <c r="Y152" s="763"/>
      <c r="Z152" s="685"/>
      <c r="AA152" s="685"/>
      <c r="AB152" s="685"/>
      <c r="AC152" s="685"/>
      <c r="AD152" s="685"/>
      <c r="AE152" s="685"/>
      <c r="AF152" s="685"/>
      <c r="AG152" s="685"/>
      <c r="AH152" s="685"/>
      <c r="AI152" s="685"/>
      <c r="AJ152" s="685"/>
      <c r="AK152" s="685"/>
      <c r="AL152" s="685"/>
      <c r="AM152" s="685"/>
      <c r="AN152" s="685"/>
      <c r="AO152" s="685"/>
      <c r="AP152" s="685"/>
      <c r="BA152" s="763"/>
      <c r="BB152" s="763"/>
    </row>
    <row r="153" spans="1:54">
      <c r="A153" s="685"/>
      <c r="B153" s="685"/>
      <c r="C153" s="685"/>
      <c r="D153" s="685"/>
      <c r="E153" s="685"/>
      <c r="F153" s="685"/>
      <c r="G153" s="685"/>
      <c r="H153" s="685"/>
      <c r="I153" s="685"/>
      <c r="J153" s="685"/>
      <c r="K153" s="685"/>
      <c r="L153" s="685"/>
      <c r="M153" s="685"/>
      <c r="N153" s="685"/>
      <c r="O153" s="685"/>
      <c r="P153" s="685"/>
      <c r="Q153" s="685"/>
      <c r="R153" s="685"/>
      <c r="S153" s="685"/>
      <c r="T153" s="115"/>
      <c r="U153" s="115"/>
      <c r="V153" s="685"/>
      <c r="W153" s="685"/>
      <c r="X153" s="685"/>
      <c r="Y153" s="685"/>
      <c r="Z153" s="685"/>
      <c r="AA153" s="685"/>
      <c r="AB153" s="685"/>
      <c r="AC153" s="685"/>
      <c r="AD153" s="685"/>
      <c r="AE153" s="685"/>
      <c r="AF153" s="685"/>
      <c r="AG153" s="685"/>
      <c r="AH153" s="685"/>
      <c r="AI153" s="685"/>
      <c r="AJ153" s="685"/>
      <c r="AK153" s="685"/>
      <c r="AL153" s="685"/>
      <c r="AM153" s="685"/>
      <c r="AN153" s="685"/>
      <c r="AO153" s="685"/>
      <c r="AP153" s="685"/>
      <c r="BA153" s="685"/>
      <c r="BB153" s="685"/>
    </row>
    <row r="154" spans="1:54">
      <c r="A154" s="685"/>
      <c r="B154" s="685"/>
      <c r="C154" s="685"/>
      <c r="D154" s="685"/>
      <c r="E154" s="685"/>
      <c r="F154" s="685"/>
      <c r="G154" s="685"/>
      <c r="H154" s="685"/>
      <c r="I154" s="685"/>
      <c r="J154" s="685"/>
      <c r="K154" s="685"/>
      <c r="L154" s="685"/>
      <c r="M154" s="685"/>
      <c r="N154" s="685"/>
      <c r="O154" s="685"/>
      <c r="P154" s="685"/>
      <c r="Q154" s="685"/>
      <c r="R154" s="685"/>
      <c r="S154" s="685"/>
      <c r="T154" s="115"/>
      <c r="U154" s="115"/>
      <c r="V154" s="685"/>
      <c r="W154" s="685"/>
      <c r="X154" s="685"/>
      <c r="Y154" s="685"/>
      <c r="Z154" s="685"/>
      <c r="AA154" s="685"/>
      <c r="AB154" s="685"/>
      <c r="AC154" s="685"/>
      <c r="AD154" s="685"/>
      <c r="AE154" s="685"/>
      <c r="AF154" s="685"/>
      <c r="AG154" s="685"/>
      <c r="AH154" s="685"/>
      <c r="AI154" s="685"/>
      <c r="AJ154" s="685"/>
      <c r="AK154" s="685"/>
      <c r="AL154" s="685"/>
      <c r="AM154" s="685"/>
      <c r="AN154" s="685"/>
      <c r="AO154" s="685"/>
      <c r="AP154" s="685"/>
      <c r="BA154" s="685"/>
      <c r="BB154" s="685"/>
    </row>
    <row r="155" spans="1:54">
      <c r="A155" s="685"/>
      <c r="B155" s="685"/>
      <c r="C155" s="685"/>
      <c r="D155" s="685"/>
      <c r="E155" s="685"/>
      <c r="F155" s="685"/>
      <c r="G155" s="685"/>
      <c r="H155" s="685"/>
      <c r="I155" s="685"/>
      <c r="J155" s="685"/>
      <c r="K155" s="685"/>
      <c r="L155" s="685"/>
      <c r="M155" s="685"/>
      <c r="N155" s="685"/>
      <c r="O155" s="685"/>
      <c r="P155" s="685"/>
      <c r="Q155" s="685"/>
      <c r="R155" s="685"/>
      <c r="S155" s="685"/>
      <c r="T155" s="115"/>
      <c r="U155" s="115"/>
      <c r="V155" s="685"/>
      <c r="W155" s="685"/>
      <c r="X155" s="685"/>
      <c r="Y155" s="685"/>
      <c r="Z155" s="685"/>
      <c r="AA155" s="685"/>
      <c r="AB155" s="685"/>
      <c r="AC155" s="685"/>
      <c r="AD155" s="685"/>
      <c r="AE155" s="685"/>
      <c r="AF155" s="685"/>
      <c r="AG155" s="685"/>
      <c r="AH155" s="685"/>
      <c r="AI155" s="685"/>
      <c r="AJ155" s="685"/>
      <c r="AK155" s="685"/>
      <c r="AL155" s="685"/>
      <c r="AM155" s="685"/>
      <c r="AN155" s="685"/>
      <c r="AO155" s="685"/>
      <c r="AP155" s="685"/>
      <c r="BA155" s="685"/>
      <c r="BB155" s="685"/>
    </row>
    <row r="156" spans="1:54">
      <c r="A156" s="685"/>
      <c r="B156" s="685"/>
      <c r="C156" s="685"/>
      <c r="D156" s="685"/>
      <c r="E156" s="685"/>
      <c r="F156" s="685"/>
      <c r="G156" s="685"/>
      <c r="H156" s="685"/>
      <c r="I156" s="685"/>
      <c r="J156" s="685"/>
      <c r="K156" s="685"/>
      <c r="L156" s="685"/>
      <c r="M156" s="685"/>
      <c r="N156" s="685"/>
      <c r="O156" s="685"/>
      <c r="P156" s="685"/>
      <c r="Q156" s="685"/>
      <c r="R156" s="685"/>
      <c r="S156" s="685"/>
      <c r="T156" s="115"/>
      <c r="U156" s="115"/>
      <c r="V156" s="685"/>
      <c r="W156" s="685"/>
      <c r="X156" s="685"/>
      <c r="Y156" s="685"/>
      <c r="Z156" s="685"/>
      <c r="AA156" s="685"/>
      <c r="AB156" s="685"/>
      <c r="AC156" s="685"/>
      <c r="AD156" s="685"/>
      <c r="AE156" s="685"/>
      <c r="AF156" s="685"/>
      <c r="AG156" s="685"/>
      <c r="AH156" s="685"/>
      <c r="AI156" s="685"/>
      <c r="AJ156" s="685"/>
      <c r="AK156" s="685"/>
      <c r="AL156" s="685"/>
      <c r="AM156" s="685"/>
      <c r="AN156" s="685"/>
      <c r="AO156" s="685"/>
      <c r="AP156" s="685"/>
      <c r="BA156" s="685"/>
      <c r="BB156" s="685"/>
    </row>
    <row r="157" spans="1:54">
      <c r="A157" s="685"/>
      <c r="B157" s="685"/>
      <c r="C157" s="685"/>
      <c r="D157" s="685"/>
      <c r="E157" s="685"/>
      <c r="F157" s="685"/>
      <c r="G157" s="685"/>
      <c r="H157" s="685"/>
      <c r="I157" s="685"/>
      <c r="J157" s="685"/>
      <c r="K157" s="685"/>
      <c r="L157" s="685"/>
      <c r="M157" s="685"/>
      <c r="N157" s="685"/>
      <c r="O157" s="685"/>
      <c r="P157" s="685"/>
      <c r="Q157" s="685"/>
      <c r="R157" s="685"/>
      <c r="S157" s="685"/>
      <c r="T157" s="115"/>
      <c r="U157" s="115"/>
      <c r="V157" s="685"/>
      <c r="W157" s="685"/>
      <c r="X157" s="685"/>
      <c r="Y157" s="685"/>
      <c r="Z157" s="685"/>
      <c r="AA157" s="685"/>
      <c r="AB157" s="685"/>
      <c r="AC157" s="685"/>
      <c r="AD157" s="685"/>
      <c r="AE157" s="685"/>
      <c r="AF157" s="685"/>
      <c r="AG157" s="685"/>
      <c r="AH157" s="685"/>
      <c r="AI157" s="685"/>
      <c r="AJ157" s="685"/>
      <c r="AK157" s="685"/>
      <c r="AL157" s="685"/>
      <c r="AM157" s="685"/>
      <c r="AN157" s="685"/>
      <c r="AO157" s="685"/>
      <c r="AP157" s="685"/>
      <c r="BA157" s="685"/>
      <c r="BB157" s="685"/>
    </row>
    <row r="158" spans="1:54">
      <c r="A158" s="685"/>
      <c r="B158" s="685"/>
      <c r="C158" s="685"/>
      <c r="D158" s="685"/>
      <c r="E158" s="685"/>
      <c r="F158" s="685"/>
      <c r="G158" s="685"/>
      <c r="H158" s="685"/>
      <c r="I158" s="685"/>
      <c r="J158" s="685"/>
      <c r="K158" s="685"/>
      <c r="L158" s="685"/>
      <c r="M158" s="685"/>
      <c r="N158" s="685"/>
      <c r="O158" s="685"/>
      <c r="P158" s="685"/>
      <c r="Q158" s="685"/>
      <c r="R158" s="685"/>
      <c r="S158" s="685"/>
      <c r="T158" s="115"/>
      <c r="U158" s="115"/>
      <c r="V158" s="685"/>
      <c r="W158" s="685"/>
      <c r="X158" s="685"/>
      <c r="Y158" s="685"/>
      <c r="Z158" s="685"/>
      <c r="AA158" s="685"/>
      <c r="AB158" s="685"/>
      <c r="AC158" s="685"/>
      <c r="AD158" s="685"/>
      <c r="AE158" s="685"/>
      <c r="AF158" s="685"/>
      <c r="AG158" s="685"/>
      <c r="AH158" s="685"/>
      <c r="AI158" s="685"/>
      <c r="AJ158" s="685"/>
      <c r="AK158" s="685"/>
      <c r="AL158" s="685"/>
      <c r="AM158" s="685"/>
      <c r="AN158" s="685"/>
      <c r="AO158" s="685"/>
      <c r="AP158" s="685"/>
      <c r="BA158" s="685"/>
      <c r="BB158" s="685"/>
    </row>
    <row r="159" spans="1:54">
      <c r="A159" s="685"/>
      <c r="B159" s="685"/>
      <c r="C159" s="685"/>
      <c r="D159" s="685"/>
      <c r="E159" s="685"/>
      <c r="F159" s="685"/>
      <c r="G159" s="685"/>
      <c r="H159" s="685"/>
      <c r="I159" s="685"/>
      <c r="J159" s="685"/>
      <c r="K159" s="685"/>
      <c r="L159" s="685"/>
      <c r="M159" s="685"/>
      <c r="N159" s="685"/>
      <c r="O159" s="685"/>
      <c r="P159" s="685"/>
      <c r="Q159" s="685"/>
      <c r="R159" s="685"/>
      <c r="S159" s="685"/>
      <c r="T159" s="115"/>
      <c r="U159" s="115"/>
      <c r="V159" s="685"/>
      <c r="W159" s="685"/>
      <c r="X159" s="685"/>
      <c r="Y159" s="685"/>
      <c r="Z159" s="685"/>
      <c r="AA159" s="685"/>
      <c r="AB159" s="685"/>
      <c r="AC159" s="685"/>
      <c r="AD159" s="685"/>
      <c r="AE159" s="685"/>
      <c r="AF159" s="685"/>
      <c r="AG159" s="685"/>
      <c r="AH159" s="685"/>
      <c r="AI159" s="685"/>
      <c r="AJ159" s="685"/>
      <c r="AK159" s="685"/>
      <c r="AL159" s="685"/>
      <c r="AM159" s="685"/>
      <c r="AN159" s="685"/>
      <c r="AO159" s="685"/>
      <c r="AP159" s="685"/>
      <c r="BA159" s="685"/>
      <c r="BB159" s="685"/>
    </row>
    <row r="160" spans="1:54">
      <c r="A160" s="685"/>
      <c r="B160" s="685"/>
      <c r="C160" s="685"/>
      <c r="D160" s="685"/>
      <c r="E160" s="685"/>
      <c r="F160" s="685"/>
      <c r="G160" s="685"/>
      <c r="H160" s="685"/>
      <c r="I160" s="685"/>
      <c r="J160" s="685"/>
      <c r="K160" s="685"/>
      <c r="L160" s="685"/>
      <c r="M160" s="685"/>
      <c r="N160" s="685"/>
      <c r="O160" s="685"/>
      <c r="P160" s="685"/>
      <c r="Q160" s="685"/>
      <c r="R160" s="685"/>
      <c r="S160" s="685"/>
      <c r="T160" s="115"/>
      <c r="U160" s="115"/>
      <c r="V160" s="685"/>
      <c r="W160" s="685"/>
      <c r="X160" s="685"/>
      <c r="Y160" s="685"/>
      <c r="Z160" s="685"/>
      <c r="AA160" s="685"/>
      <c r="AB160" s="685"/>
      <c r="AC160" s="685"/>
      <c r="AD160" s="685"/>
      <c r="AE160" s="685"/>
      <c r="AF160" s="685"/>
      <c r="AG160" s="685"/>
      <c r="AH160" s="685"/>
      <c r="AI160" s="685"/>
      <c r="AJ160" s="685"/>
      <c r="AK160" s="685"/>
      <c r="AL160" s="685"/>
      <c r="AM160" s="685"/>
      <c r="AN160" s="685"/>
      <c r="AO160" s="685"/>
      <c r="AP160" s="685"/>
      <c r="BA160" s="685"/>
      <c r="BB160" s="685"/>
    </row>
    <row r="161" spans="1:54">
      <c r="A161" s="685"/>
      <c r="B161" s="685"/>
      <c r="C161" s="685"/>
      <c r="D161" s="685"/>
      <c r="E161" s="685"/>
      <c r="F161" s="685"/>
      <c r="G161" s="685"/>
      <c r="H161" s="685"/>
      <c r="I161" s="685"/>
      <c r="J161" s="685"/>
      <c r="K161" s="685"/>
      <c r="L161" s="685"/>
      <c r="M161" s="685"/>
      <c r="N161" s="685"/>
      <c r="O161" s="685"/>
      <c r="P161" s="685"/>
      <c r="Q161" s="685"/>
      <c r="R161" s="685"/>
      <c r="S161" s="685"/>
      <c r="T161" s="115"/>
      <c r="U161" s="115"/>
      <c r="V161" s="685"/>
      <c r="W161" s="685"/>
      <c r="X161" s="685"/>
      <c r="Y161" s="685"/>
      <c r="Z161" s="685"/>
      <c r="AA161" s="685"/>
      <c r="AB161" s="685"/>
      <c r="AC161" s="685"/>
      <c r="AD161" s="685"/>
      <c r="AE161" s="685"/>
      <c r="AF161" s="685"/>
      <c r="AG161" s="685"/>
      <c r="AH161" s="685"/>
      <c r="AI161" s="685"/>
      <c r="AJ161" s="685"/>
      <c r="AK161" s="685"/>
      <c r="AL161" s="685"/>
      <c r="AM161" s="685"/>
      <c r="AN161" s="685"/>
      <c r="AO161" s="685"/>
      <c r="AP161" s="685"/>
      <c r="BA161" s="685"/>
      <c r="BB161" s="685"/>
    </row>
    <row r="162" spans="1:54">
      <c r="A162" s="685"/>
      <c r="B162" s="685"/>
      <c r="C162" s="685"/>
      <c r="D162" s="685"/>
      <c r="E162" s="685"/>
      <c r="F162" s="685"/>
      <c r="G162" s="685"/>
      <c r="H162" s="685"/>
      <c r="I162" s="685"/>
      <c r="J162" s="685"/>
      <c r="K162" s="685"/>
      <c r="L162" s="685"/>
      <c r="M162" s="685"/>
      <c r="N162" s="685"/>
      <c r="O162" s="685"/>
      <c r="P162" s="685"/>
      <c r="Q162" s="685"/>
      <c r="R162" s="685"/>
      <c r="S162" s="685"/>
      <c r="T162" s="115"/>
      <c r="U162" s="115"/>
      <c r="V162" s="685"/>
      <c r="W162" s="685"/>
      <c r="X162" s="685"/>
      <c r="Y162" s="685"/>
      <c r="Z162" s="685"/>
      <c r="AA162" s="685"/>
      <c r="AB162" s="685"/>
      <c r="AC162" s="685"/>
      <c r="AD162" s="685"/>
      <c r="AE162" s="685"/>
      <c r="AF162" s="685"/>
      <c r="AG162" s="685"/>
      <c r="AH162" s="685"/>
      <c r="AI162" s="685"/>
      <c r="AJ162" s="685"/>
      <c r="AK162" s="685"/>
      <c r="AL162" s="685"/>
      <c r="AM162" s="685"/>
      <c r="AN162" s="685"/>
      <c r="AO162" s="685"/>
      <c r="AP162" s="685"/>
      <c r="BA162" s="685"/>
      <c r="BB162" s="685"/>
    </row>
    <row r="163" spans="1:54">
      <c r="A163" s="685"/>
      <c r="B163" s="685"/>
      <c r="C163" s="685"/>
      <c r="D163" s="685"/>
      <c r="E163" s="685"/>
      <c r="F163" s="685"/>
      <c r="G163" s="685"/>
      <c r="H163" s="685"/>
      <c r="I163" s="685"/>
      <c r="J163" s="685"/>
      <c r="K163" s="685"/>
      <c r="L163" s="685"/>
      <c r="M163" s="685"/>
      <c r="N163" s="685"/>
      <c r="O163" s="685"/>
      <c r="P163" s="685"/>
      <c r="Q163" s="685"/>
      <c r="R163" s="685"/>
      <c r="S163" s="685"/>
      <c r="T163" s="115"/>
      <c r="U163" s="115"/>
      <c r="V163" s="685"/>
      <c r="W163" s="685"/>
      <c r="X163" s="685"/>
      <c r="Y163" s="685"/>
      <c r="Z163" s="685"/>
      <c r="AA163" s="685"/>
      <c r="AB163" s="685"/>
      <c r="AC163" s="685"/>
      <c r="AD163" s="685"/>
      <c r="AE163" s="685"/>
      <c r="AF163" s="685"/>
      <c r="AG163" s="685"/>
      <c r="AH163" s="685"/>
      <c r="AI163" s="685"/>
      <c r="AJ163" s="685"/>
      <c r="AK163" s="685"/>
      <c r="AL163" s="685"/>
      <c r="AM163" s="685"/>
      <c r="AN163" s="685"/>
      <c r="AO163" s="685"/>
      <c r="AP163" s="685"/>
      <c r="BA163" s="685"/>
      <c r="BB163" s="685"/>
    </row>
    <row r="164" spans="1:54">
      <c r="A164" s="685"/>
      <c r="B164" s="685"/>
      <c r="C164" s="685"/>
      <c r="D164" s="685"/>
      <c r="E164" s="685"/>
      <c r="F164" s="685"/>
      <c r="G164" s="685"/>
      <c r="H164" s="685"/>
      <c r="I164" s="685"/>
      <c r="J164" s="685"/>
      <c r="K164" s="685"/>
      <c r="L164" s="685"/>
      <c r="M164" s="685"/>
      <c r="N164" s="685"/>
      <c r="O164" s="685"/>
      <c r="P164" s="685"/>
      <c r="Q164" s="685"/>
      <c r="R164" s="685"/>
      <c r="S164" s="685"/>
      <c r="T164" s="115"/>
      <c r="U164" s="115"/>
      <c r="V164" s="685"/>
      <c r="W164" s="685"/>
      <c r="X164" s="685"/>
      <c r="Y164" s="685"/>
      <c r="Z164" s="685"/>
      <c r="AA164" s="685"/>
      <c r="AB164" s="685"/>
      <c r="AC164" s="685"/>
      <c r="AD164" s="685"/>
      <c r="AE164" s="685"/>
      <c r="AF164" s="685"/>
      <c r="AG164" s="685"/>
      <c r="AH164" s="685"/>
      <c r="AI164" s="685"/>
      <c r="AJ164" s="685"/>
      <c r="AK164" s="685"/>
      <c r="AL164" s="685"/>
      <c r="AM164" s="685"/>
      <c r="AN164" s="685"/>
      <c r="AO164" s="685"/>
      <c r="AP164" s="685"/>
      <c r="BA164" s="685"/>
      <c r="BB164" s="685"/>
    </row>
    <row r="165" spans="1:54">
      <c r="A165" s="685"/>
      <c r="B165" s="685"/>
      <c r="C165" s="685"/>
      <c r="D165" s="685"/>
      <c r="E165" s="685"/>
      <c r="F165" s="685"/>
      <c r="G165" s="685"/>
      <c r="H165" s="685"/>
      <c r="I165" s="685"/>
      <c r="J165" s="685"/>
      <c r="K165" s="685"/>
      <c r="L165" s="685"/>
      <c r="M165" s="685"/>
      <c r="N165" s="685"/>
      <c r="O165" s="685"/>
      <c r="P165" s="685"/>
      <c r="Q165" s="685"/>
      <c r="R165" s="685"/>
      <c r="S165" s="685"/>
      <c r="T165" s="115"/>
      <c r="U165" s="115"/>
      <c r="V165" s="685"/>
      <c r="W165" s="685"/>
      <c r="X165" s="685"/>
      <c r="Y165" s="685"/>
      <c r="Z165" s="685"/>
      <c r="AA165" s="685"/>
      <c r="AB165" s="685"/>
      <c r="AC165" s="685"/>
      <c r="AD165" s="685"/>
      <c r="AE165" s="685"/>
      <c r="AF165" s="685"/>
      <c r="AG165" s="685"/>
      <c r="AH165" s="685"/>
      <c r="AI165" s="685"/>
      <c r="AJ165" s="685"/>
      <c r="AK165" s="685"/>
      <c r="AL165" s="685"/>
      <c r="AM165" s="685"/>
      <c r="AN165" s="685"/>
      <c r="AO165" s="685"/>
      <c r="AP165" s="685"/>
      <c r="BA165" s="685"/>
      <c r="BB165" s="685"/>
    </row>
    <row r="166" spans="1:54">
      <c r="A166" s="685"/>
      <c r="B166" s="685"/>
      <c r="C166" s="685"/>
      <c r="D166" s="685"/>
      <c r="E166" s="685"/>
      <c r="F166" s="685"/>
      <c r="G166" s="685"/>
      <c r="H166" s="685"/>
      <c r="I166" s="685"/>
      <c r="J166" s="685"/>
      <c r="K166" s="685"/>
      <c r="L166" s="685"/>
      <c r="M166" s="685"/>
      <c r="N166" s="685"/>
      <c r="O166" s="685"/>
      <c r="P166" s="685"/>
      <c r="Q166" s="685"/>
      <c r="R166" s="685"/>
      <c r="S166" s="685"/>
      <c r="T166" s="115"/>
      <c r="U166" s="115"/>
      <c r="V166" s="685"/>
      <c r="W166" s="685"/>
      <c r="X166" s="685"/>
      <c r="Y166" s="685"/>
      <c r="Z166" s="685"/>
      <c r="AA166" s="685"/>
      <c r="AB166" s="685"/>
      <c r="AC166" s="685"/>
      <c r="AD166" s="685"/>
      <c r="AE166" s="685"/>
      <c r="AF166" s="685"/>
      <c r="AG166" s="685"/>
      <c r="AH166" s="685"/>
      <c r="AI166" s="685"/>
      <c r="AJ166" s="685"/>
      <c r="AK166" s="685"/>
      <c r="AL166" s="685"/>
      <c r="AM166" s="685"/>
      <c r="AN166" s="685"/>
      <c r="AO166" s="685"/>
      <c r="AP166" s="685"/>
      <c r="BA166" s="685"/>
      <c r="BB166" s="685"/>
    </row>
    <row r="167" spans="1:54">
      <c r="A167" s="685"/>
      <c r="B167" s="685"/>
      <c r="C167" s="685"/>
      <c r="D167" s="685"/>
      <c r="E167" s="685"/>
      <c r="F167" s="685"/>
      <c r="G167" s="685"/>
      <c r="H167" s="685"/>
      <c r="I167" s="685"/>
      <c r="J167" s="685"/>
      <c r="K167" s="685"/>
      <c r="L167" s="685"/>
      <c r="M167" s="685"/>
      <c r="N167" s="685"/>
      <c r="O167" s="685"/>
      <c r="P167" s="685"/>
      <c r="Q167" s="685"/>
      <c r="R167" s="685"/>
      <c r="S167" s="685"/>
      <c r="T167" s="115"/>
      <c r="U167" s="115"/>
      <c r="V167" s="685"/>
      <c r="W167" s="685"/>
      <c r="X167" s="685"/>
      <c r="Y167" s="685"/>
      <c r="Z167" s="685"/>
      <c r="AA167" s="685"/>
      <c r="AB167" s="685"/>
      <c r="AC167" s="685"/>
      <c r="AD167" s="685"/>
      <c r="AE167" s="685"/>
      <c r="AF167" s="685"/>
      <c r="AG167" s="685"/>
      <c r="AH167" s="685"/>
      <c r="AI167" s="685"/>
      <c r="AJ167" s="685"/>
      <c r="AK167" s="685"/>
      <c r="AL167" s="685"/>
      <c r="AM167" s="685"/>
      <c r="AN167" s="685"/>
      <c r="AO167" s="685"/>
      <c r="AP167" s="685"/>
      <c r="BA167" s="685"/>
      <c r="BB167" s="685"/>
    </row>
    <row r="168" spans="1:54">
      <c r="A168" s="685"/>
      <c r="B168" s="685"/>
      <c r="C168" s="685"/>
      <c r="D168" s="685"/>
      <c r="E168" s="685"/>
      <c r="F168" s="685"/>
      <c r="G168" s="685"/>
      <c r="H168" s="685"/>
      <c r="I168" s="685"/>
      <c r="J168" s="685"/>
      <c r="K168" s="685"/>
      <c r="L168" s="685"/>
      <c r="M168" s="685"/>
      <c r="N168" s="685"/>
      <c r="O168" s="685"/>
      <c r="P168" s="685"/>
      <c r="Q168" s="685"/>
      <c r="R168" s="685"/>
      <c r="S168" s="685"/>
      <c r="T168" s="115"/>
      <c r="U168" s="115"/>
      <c r="V168" s="685"/>
      <c r="W168" s="685"/>
      <c r="X168" s="685"/>
      <c r="Y168" s="685"/>
      <c r="Z168" s="685"/>
      <c r="AA168" s="685"/>
      <c r="AB168" s="685"/>
      <c r="AC168" s="685"/>
      <c r="AD168" s="685"/>
      <c r="AE168" s="685"/>
      <c r="AF168" s="685"/>
      <c r="AG168" s="685"/>
      <c r="AH168" s="685"/>
      <c r="AI168" s="685"/>
      <c r="AJ168" s="685"/>
      <c r="AK168" s="685"/>
      <c r="AL168" s="685"/>
      <c r="AM168" s="685"/>
      <c r="AN168" s="685"/>
      <c r="AO168" s="685"/>
      <c r="AP168" s="685"/>
      <c r="BA168" s="685"/>
      <c r="BB168" s="685"/>
    </row>
    <row r="169" spans="1:54">
      <c r="A169" s="685"/>
      <c r="B169" s="685"/>
      <c r="C169" s="685"/>
      <c r="D169" s="685"/>
      <c r="E169" s="685"/>
      <c r="F169" s="685"/>
      <c r="G169" s="685"/>
      <c r="H169" s="685"/>
      <c r="I169" s="685"/>
      <c r="J169" s="685"/>
      <c r="K169" s="685"/>
      <c r="L169" s="685"/>
      <c r="M169" s="685"/>
      <c r="N169" s="685"/>
      <c r="O169" s="685"/>
      <c r="P169" s="685"/>
      <c r="Q169" s="685"/>
      <c r="R169" s="685"/>
      <c r="S169" s="685"/>
      <c r="T169" s="115"/>
      <c r="U169" s="115"/>
      <c r="V169" s="685"/>
      <c r="W169" s="685"/>
      <c r="X169" s="685"/>
      <c r="Y169" s="685"/>
      <c r="Z169" s="685"/>
      <c r="AA169" s="685"/>
      <c r="AB169" s="685"/>
      <c r="AC169" s="685"/>
      <c r="AD169" s="685"/>
      <c r="AE169" s="685"/>
      <c r="AF169" s="685"/>
      <c r="AG169" s="685"/>
      <c r="AH169" s="685"/>
      <c r="AI169" s="685"/>
      <c r="AJ169" s="685"/>
      <c r="AK169" s="685"/>
      <c r="AL169" s="685"/>
      <c r="AM169" s="685"/>
      <c r="AN169" s="685"/>
      <c r="AO169" s="685"/>
      <c r="AP169" s="685"/>
      <c r="BA169" s="685"/>
      <c r="BB169" s="685"/>
    </row>
    <row r="170" spans="1:54">
      <c r="A170" s="685"/>
      <c r="B170" s="685"/>
      <c r="C170" s="685"/>
      <c r="D170" s="685"/>
      <c r="E170" s="685"/>
      <c r="F170" s="685"/>
      <c r="G170" s="685"/>
      <c r="H170" s="848"/>
      <c r="I170" s="848"/>
      <c r="J170" s="848"/>
      <c r="K170" s="848"/>
      <c r="L170" s="848"/>
      <c r="M170" s="848"/>
      <c r="N170" s="848"/>
      <c r="O170" s="848"/>
      <c r="P170" s="685"/>
      <c r="Q170" s="685"/>
      <c r="R170" s="685"/>
      <c r="S170" s="685"/>
      <c r="T170" s="115"/>
      <c r="U170" s="115"/>
      <c r="V170" s="685"/>
      <c r="W170" s="685"/>
      <c r="X170" s="685"/>
      <c r="Y170" s="685"/>
      <c r="Z170" s="685"/>
      <c r="AA170" s="685"/>
      <c r="AB170" s="685"/>
      <c r="AC170" s="685"/>
      <c r="AD170" s="685"/>
      <c r="AE170" s="685"/>
      <c r="AF170" s="685"/>
      <c r="AG170" s="685"/>
      <c r="AH170" s="685"/>
      <c r="AI170" s="685"/>
      <c r="AJ170" s="685"/>
      <c r="AK170" s="685"/>
      <c r="AL170" s="685"/>
      <c r="AM170" s="685"/>
      <c r="AN170" s="685"/>
      <c r="AO170" s="685"/>
      <c r="AP170" s="685"/>
      <c r="BA170" s="685"/>
      <c r="BB170" s="685"/>
    </row>
    <row r="171" spans="1:54">
      <c r="A171" s="685"/>
      <c r="B171" s="685"/>
      <c r="C171" s="685"/>
      <c r="D171" s="685"/>
      <c r="E171" s="685"/>
      <c r="F171" s="685"/>
      <c r="G171" s="685"/>
      <c r="H171" s="685"/>
      <c r="I171" s="685"/>
      <c r="J171" s="685"/>
      <c r="K171" s="685"/>
      <c r="L171" s="685"/>
      <c r="M171" s="685"/>
      <c r="N171" s="685"/>
      <c r="O171" s="685"/>
      <c r="P171" s="685"/>
      <c r="Q171" s="685"/>
      <c r="R171" s="685"/>
      <c r="S171" s="685"/>
      <c r="T171" s="115"/>
      <c r="U171" s="115"/>
      <c r="V171" s="685"/>
      <c r="W171" s="685"/>
      <c r="X171" s="685"/>
      <c r="Y171" s="685"/>
      <c r="Z171" s="685"/>
      <c r="AA171" s="685"/>
      <c r="AB171" s="685"/>
      <c r="AC171" s="685"/>
      <c r="AD171" s="685"/>
      <c r="AE171" s="685"/>
      <c r="AF171" s="685"/>
      <c r="AG171" s="685"/>
      <c r="AH171" s="685"/>
      <c r="AI171" s="685"/>
      <c r="AJ171" s="685"/>
      <c r="AK171" s="685"/>
      <c r="AL171" s="685"/>
      <c r="AM171" s="685"/>
      <c r="AN171" s="685"/>
      <c r="AO171" s="685"/>
      <c r="AP171" s="685"/>
      <c r="BA171" s="685"/>
      <c r="BB171" s="685"/>
    </row>
    <row r="172" spans="1:54">
      <c r="A172" s="685"/>
      <c r="B172" s="685"/>
      <c r="C172" s="685"/>
      <c r="D172" s="685"/>
      <c r="E172" s="685"/>
      <c r="F172" s="685"/>
      <c r="G172" s="685"/>
      <c r="H172" s="685"/>
      <c r="I172" s="685"/>
      <c r="J172" s="685"/>
      <c r="K172" s="685"/>
      <c r="L172" s="685"/>
      <c r="M172" s="685"/>
      <c r="N172" s="685"/>
      <c r="O172" s="685"/>
      <c r="P172" s="685"/>
      <c r="Q172" s="685"/>
      <c r="R172" s="685"/>
      <c r="S172" s="685"/>
      <c r="T172" s="115"/>
      <c r="U172" s="115"/>
      <c r="V172" s="685"/>
      <c r="W172" s="685"/>
      <c r="X172" s="685"/>
      <c r="Y172" s="685"/>
      <c r="Z172" s="685"/>
      <c r="AA172" s="685"/>
      <c r="AB172" s="685"/>
      <c r="AC172" s="685"/>
      <c r="AD172" s="685"/>
      <c r="AE172" s="685"/>
      <c r="AF172" s="685"/>
      <c r="AG172" s="685"/>
      <c r="AH172" s="685"/>
      <c r="AI172" s="685"/>
      <c r="AJ172" s="685"/>
      <c r="AK172" s="685"/>
      <c r="AL172" s="685"/>
      <c r="AM172" s="685"/>
      <c r="AN172" s="685"/>
      <c r="AO172" s="685"/>
      <c r="AP172" s="685"/>
      <c r="BA172" s="685"/>
      <c r="BB172" s="685"/>
    </row>
    <row r="173" spans="1:54">
      <c r="A173" s="685"/>
      <c r="B173" s="685"/>
      <c r="C173" s="685"/>
      <c r="D173" s="685"/>
      <c r="E173" s="685"/>
      <c r="F173" s="685"/>
      <c r="G173" s="685"/>
      <c r="H173" s="685"/>
      <c r="I173" s="685"/>
      <c r="J173" s="685"/>
      <c r="K173" s="685"/>
      <c r="L173" s="685"/>
      <c r="M173" s="685"/>
      <c r="N173" s="685"/>
      <c r="O173" s="685"/>
      <c r="P173" s="685"/>
      <c r="Q173" s="685"/>
      <c r="R173" s="685"/>
      <c r="S173" s="685"/>
      <c r="T173" s="115"/>
      <c r="U173" s="115"/>
      <c r="V173" s="685"/>
      <c r="W173" s="685"/>
      <c r="X173" s="685"/>
      <c r="Y173" s="685"/>
      <c r="Z173" s="685"/>
      <c r="AA173" s="685"/>
      <c r="AB173" s="685"/>
      <c r="AC173" s="685"/>
      <c r="AD173" s="685"/>
      <c r="AE173" s="685"/>
      <c r="AF173" s="685"/>
      <c r="AG173" s="685"/>
      <c r="AH173" s="685"/>
      <c r="AI173" s="685"/>
      <c r="AJ173" s="685"/>
      <c r="AK173" s="685"/>
      <c r="AL173" s="685"/>
      <c r="AM173" s="685"/>
      <c r="AN173" s="685"/>
      <c r="AO173" s="685"/>
      <c r="AP173" s="685"/>
      <c r="BA173" s="685"/>
      <c r="BB173" s="685"/>
    </row>
    <row r="181" spans="1:54">
      <c r="A181" s="685"/>
      <c r="B181" s="685"/>
      <c r="C181" s="685"/>
      <c r="D181" s="685"/>
      <c r="E181" s="685"/>
      <c r="F181" s="685"/>
      <c r="G181" s="685"/>
      <c r="H181" s="685"/>
      <c r="I181" s="685"/>
      <c r="J181" s="685"/>
      <c r="K181" s="685"/>
      <c r="L181" s="685"/>
      <c r="M181" s="685"/>
      <c r="N181" s="685"/>
      <c r="O181" s="685"/>
      <c r="P181" s="685"/>
      <c r="Q181" s="685"/>
      <c r="R181" s="685"/>
      <c r="S181" s="685"/>
      <c r="T181" s="115"/>
      <c r="U181" s="11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BA181" s="685"/>
      <c r="BB181" s="685"/>
    </row>
    <row r="182" spans="1:54">
      <c r="A182" s="685"/>
      <c r="B182" s="685"/>
      <c r="C182" s="685"/>
      <c r="D182" s="685"/>
      <c r="E182" s="685"/>
      <c r="F182" s="685"/>
      <c r="G182" s="685"/>
      <c r="H182" s="685"/>
      <c r="I182" s="685"/>
      <c r="J182" s="685"/>
      <c r="K182" s="685"/>
      <c r="L182" s="685"/>
      <c r="M182" s="685"/>
      <c r="N182" s="685"/>
      <c r="O182" s="685"/>
      <c r="P182" s="685"/>
      <c r="Q182" s="685"/>
      <c r="R182" s="685"/>
      <c r="S182" s="685"/>
      <c r="T182" s="115"/>
      <c r="U182" s="11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BA182" s="685"/>
      <c r="BB182" s="685"/>
    </row>
    <row r="183" spans="1:54">
      <c r="A183" s="685"/>
      <c r="B183" s="685"/>
      <c r="C183" s="685"/>
      <c r="D183" s="685"/>
      <c r="E183" s="685"/>
      <c r="F183" s="685"/>
      <c r="G183" s="685"/>
      <c r="H183" s="685"/>
      <c r="I183" s="685"/>
      <c r="J183" s="685"/>
      <c r="K183" s="685"/>
      <c r="L183" s="685"/>
      <c r="M183" s="685"/>
      <c r="N183" s="685"/>
      <c r="O183" s="685"/>
      <c r="P183" s="685"/>
      <c r="Q183" s="685"/>
      <c r="R183" s="685"/>
      <c r="S183" s="685"/>
      <c r="T183" s="115"/>
      <c r="U183" s="11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BA183" s="685"/>
      <c r="BB183" s="685"/>
    </row>
    <row r="184" spans="1:54">
      <c r="A184" s="685"/>
      <c r="B184" s="685"/>
      <c r="C184" s="685"/>
      <c r="D184" s="685"/>
      <c r="E184" s="685"/>
      <c r="F184" s="685"/>
      <c r="G184" s="685"/>
      <c r="H184" s="685"/>
      <c r="I184" s="685"/>
      <c r="J184" s="685"/>
      <c r="K184" s="685"/>
      <c r="L184" s="685"/>
      <c r="M184" s="685"/>
      <c r="N184" s="685"/>
      <c r="O184" s="685"/>
      <c r="P184" s="685"/>
      <c r="Q184" s="685"/>
      <c r="R184" s="685"/>
      <c r="S184" s="685"/>
      <c r="T184" s="115"/>
      <c r="U184" s="11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BA184" s="685"/>
      <c r="BB184" s="685"/>
    </row>
    <row r="185" spans="1:54">
      <c r="A185" s="685"/>
      <c r="B185" s="685"/>
      <c r="C185" s="685"/>
      <c r="D185" s="685"/>
      <c r="E185" s="685"/>
      <c r="F185" s="685"/>
      <c r="G185" s="685"/>
      <c r="H185" s="685"/>
      <c r="I185" s="685"/>
      <c r="J185" s="685"/>
      <c r="K185" s="685"/>
      <c r="L185" s="685"/>
      <c r="M185" s="685"/>
      <c r="N185" s="685"/>
      <c r="O185" s="685"/>
      <c r="P185" s="685"/>
      <c r="Q185" s="685"/>
      <c r="R185" s="685"/>
      <c r="S185" s="685"/>
      <c r="T185" s="115"/>
      <c r="U185" s="11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BA185" s="685"/>
      <c r="BB185" s="685"/>
    </row>
    <row r="186" spans="1:54">
      <c r="A186" s="685"/>
      <c r="B186" s="685"/>
      <c r="C186" s="685"/>
      <c r="D186" s="685"/>
      <c r="E186" s="685"/>
      <c r="F186" s="685"/>
      <c r="G186" s="685"/>
      <c r="H186" s="685"/>
      <c r="I186" s="685"/>
      <c r="J186" s="685"/>
      <c r="K186" s="685"/>
      <c r="L186" s="685"/>
      <c r="M186" s="685"/>
      <c r="N186" s="685"/>
      <c r="O186" s="685"/>
      <c r="P186" s="685"/>
      <c r="Q186" s="685"/>
      <c r="R186" s="685"/>
      <c r="S186" s="685"/>
      <c r="T186" s="115"/>
      <c r="U186" s="11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BA186" s="685"/>
      <c r="BB186" s="685"/>
    </row>
    <row r="187" spans="1:54">
      <c r="A187" s="685"/>
      <c r="B187" s="685"/>
      <c r="C187" s="685"/>
      <c r="D187" s="685"/>
      <c r="E187" s="685"/>
      <c r="F187" s="685"/>
      <c r="G187" s="685"/>
      <c r="H187" s="685"/>
      <c r="I187" s="685"/>
      <c r="J187" s="685"/>
      <c r="K187" s="685"/>
      <c r="L187" s="685"/>
      <c r="M187" s="685"/>
      <c r="N187" s="685"/>
      <c r="O187" s="685"/>
      <c r="P187" s="685"/>
      <c r="Q187" s="685"/>
      <c r="R187" s="685"/>
      <c r="S187" s="685"/>
      <c r="T187" s="115"/>
      <c r="U187" s="11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BA187" s="685"/>
      <c r="BB187" s="685"/>
    </row>
    <row r="188" spans="1:54">
      <c r="A188" s="685"/>
      <c r="B188" s="685"/>
      <c r="C188" s="685"/>
      <c r="D188" s="685"/>
      <c r="E188" s="685"/>
      <c r="F188" s="685"/>
      <c r="G188" s="685"/>
      <c r="H188" s="685"/>
      <c r="I188" s="685"/>
      <c r="J188" s="685"/>
      <c r="K188" s="685"/>
      <c r="L188" s="685"/>
      <c r="M188" s="685"/>
      <c r="N188" s="685"/>
      <c r="O188" s="685"/>
      <c r="P188" s="685"/>
      <c r="Q188" s="685"/>
      <c r="R188" s="685"/>
      <c r="S188" s="685"/>
      <c r="T188" s="115"/>
      <c r="U188" s="11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BA188" s="685"/>
      <c r="BB188" s="685"/>
    </row>
    <row r="189" spans="1:54">
      <c r="A189" s="685"/>
      <c r="B189" s="685"/>
      <c r="C189" s="685"/>
      <c r="D189" s="685"/>
      <c r="E189" s="685"/>
      <c r="F189" s="685"/>
      <c r="G189" s="685"/>
      <c r="H189" s="685"/>
      <c r="I189" s="685"/>
      <c r="J189" s="685"/>
      <c r="K189" s="685"/>
      <c r="L189" s="685"/>
      <c r="M189" s="685"/>
      <c r="N189" s="685"/>
      <c r="O189" s="685"/>
      <c r="P189" s="685"/>
      <c r="Q189" s="685"/>
      <c r="R189" s="685"/>
      <c r="S189" s="685"/>
      <c r="T189" s="115"/>
      <c r="U189" s="115"/>
      <c r="V189" s="685"/>
      <c r="W189" s="685"/>
      <c r="X189" s="685"/>
      <c r="Y189" s="685"/>
      <c r="Z189" s="685"/>
      <c r="AA189" s="685"/>
      <c r="AB189" s="685"/>
      <c r="AC189" s="685"/>
      <c r="AD189" s="685"/>
      <c r="AE189" s="685"/>
      <c r="AF189" s="685"/>
      <c r="AG189" s="685"/>
      <c r="AH189" s="685"/>
      <c r="AI189" s="685"/>
      <c r="AJ189" s="685"/>
      <c r="AK189" s="685"/>
      <c r="AL189" s="685"/>
      <c r="AM189" s="685"/>
      <c r="AN189" s="685"/>
      <c r="AO189" s="685"/>
      <c r="AP189" s="685"/>
      <c r="BA189" s="685"/>
      <c r="BB189" s="685"/>
    </row>
    <row r="190" spans="1:54">
      <c r="A190" s="685"/>
      <c r="B190" s="685"/>
      <c r="C190" s="685"/>
      <c r="D190" s="685"/>
      <c r="E190" s="685"/>
      <c r="F190" s="685"/>
      <c r="G190" s="685"/>
      <c r="H190" s="685"/>
      <c r="I190" s="685"/>
      <c r="J190" s="685"/>
      <c r="K190" s="685"/>
      <c r="L190" s="685"/>
      <c r="M190" s="685"/>
      <c r="N190" s="685"/>
      <c r="O190" s="685"/>
      <c r="P190" s="685"/>
      <c r="Q190" s="685"/>
      <c r="R190" s="685"/>
      <c r="S190" s="685"/>
      <c r="T190" s="115"/>
      <c r="U190" s="115"/>
      <c r="V190" s="685"/>
      <c r="W190" s="685"/>
      <c r="X190" s="685"/>
      <c r="Y190" s="685"/>
      <c r="Z190" s="685"/>
      <c r="AA190" s="685"/>
      <c r="AB190" s="685"/>
      <c r="AC190" s="685"/>
      <c r="AD190" s="685"/>
      <c r="AE190" s="685"/>
      <c r="AF190" s="685"/>
      <c r="AG190" s="685"/>
      <c r="AH190" s="685"/>
      <c r="AI190" s="685"/>
      <c r="AJ190" s="685"/>
      <c r="AK190" s="685"/>
      <c r="AL190" s="685"/>
      <c r="AM190" s="685"/>
      <c r="AN190" s="685"/>
      <c r="AO190" s="685"/>
      <c r="AP190" s="685"/>
      <c r="BA190" s="685"/>
      <c r="BB190" s="685"/>
    </row>
    <row r="191" spans="1:54">
      <c r="A191" s="685"/>
      <c r="B191" s="685"/>
      <c r="C191" s="685"/>
      <c r="D191" s="685"/>
      <c r="E191" s="685"/>
      <c r="F191" s="685"/>
      <c r="G191" s="685"/>
      <c r="H191" s="685"/>
      <c r="I191" s="685"/>
      <c r="J191" s="685"/>
      <c r="K191" s="685"/>
      <c r="L191" s="685"/>
      <c r="M191" s="685"/>
      <c r="N191" s="685"/>
      <c r="O191" s="685"/>
      <c r="P191" s="685"/>
      <c r="Q191" s="685"/>
      <c r="R191" s="685"/>
      <c r="S191" s="685"/>
      <c r="T191" s="115"/>
      <c r="U191" s="115"/>
      <c r="V191" s="685"/>
      <c r="W191" s="685"/>
      <c r="X191" s="685"/>
      <c r="Y191" s="685"/>
      <c r="Z191" s="685"/>
      <c r="AA191" s="685"/>
      <c r="AB191" s="685"/>
      <c r="AC191" s="685"/>
      <c r="AD191" s="685"/>
      <c r="AE191" s="685"/>
      <c r="AF191" s="685"/>
      <c r="AG191" s="685"/>
      <c r="AH191" s="685"/>
      <c r="AI191" s="685"/>
      <c r="AJ191" s="685"/>
      <c r="AK191" s="685"/>
      <c r="AL191" s="685"/>
      <c r="AM191" s="685"/>
      <c r="AN191" s="685"/>
      <c r="AO191" s="685"/>
      <c r="AP191" s="685"/>
      <c r="BA191" s="685"/>
      <c r="BB191" s="685"/>
    </row>
    <row r="192" spans="1:54">
      <c r="A192" s="685"/>
      <c r="B192" s="685"/>
      <c r="C192" s="685"/>
      <c r="D192" s="685"/>
      <c r="E192" s="685"/>
      <c r="F192" s="685"/>
      <c r="G192" s="685"/>
      <c r="H192" s="685"/>
      <c r="I192" s="685"/>
      <c r="J192" s="685"/>
      <c r="K192" s="685"/>
      <c r="L192" s="685"/>
      <c r="M192" s="685"/>
      <c r="N192" s="685"/>
      <c r="O192" s="685"/>
      <c r="P192" s="685"/>
      <c r="Q192" s="685"/>
      <c r="R192" s="685"/>
      <c r="S192" s="685"/>
      <c r="T192" s="115"/>
      <c r="U192" s="115"/>
      <c r="V192" s="685"/>
      <c r="W192" s="685"/>
      <c r="X192" s="685"/>
      <c r="Y192" s="685"/>
      <c r="Z192" s="685"/>
      <c r="AA192" s="685"/>
      <c r="AB192" s="685"/>
      <c r="AC192" s="685"/>
      <c r="AD192" s="685"/>
      <c r="AE192" s="685"/>
      <c r="AF192" s="685"/>
      <c r="AG192" s="685"/>
      <c r="AH192" s="685"/>
      <c r="AI192" s="685"/>
      <c r="AJ192" s="685"/>
      <c r="AK192" s="685"/>
      <c r="AL192" s="685"/>
      <c r="AM192" s="685"/>
      <c r="AN192" s="685"/>
      <c r="AO192" s="685"/>
      <c r="AP192" s="685"/>
      <c r="BA192" s="685"/>
      <c r="BB192" s="685"/>
    </row>
    <row r="193" spans="1:54">
      <c r="A193" s="685"/>
      <c r="B193" s="685"/>
      <c r="C193" s="685"/>
      <c r="D193" s="685"/>
      <c r="E193" s="685"/>
      <c r="F193" s="685"/>
      <c r="G193" s="685"/>
      <c r="H193" s="685"/>
      <c r="I193" s="685"/>
      <c r="J193" s="685"/>
      <c r="K193" s="685"/>
      <c r="L193" s="685"/>
      <c r="M193" s="685"/>
      <c r="N193" s="685"/>
      <c r="O193" s="685"/>
      <c r="P193" s="685"/>
      <c r="Q193" s="685"/>
      <c r="R193" s="685"/>
      <c r="S193" s="685"/>
      <c r="T193" s="115"/>
      <c r="U193" s="115"/>
      <c r="V193" s="685"/>
      <c r="W193" s="685"/>
      <c r="X193" s="685"/>
      <c r="Y193" s="685"/>
      <c r="Z193" s="685"/>
      <c r="AA193" s="685"/>
      <c r="AB193" s="685"/>
      <c r="AC193" s="685"/>
      <c r="AD193" s="685"/>
      <c r="AE193" s="685"/>
      <c r="AF193" s="685"/>
      <c r="AG193" s="685"/>
      <c r="AH193" s="685"/>
      <c r="AI193" s="685"/>
      <c r="AJ193" s="685"/>
      <c r="AK193" s="685"/>
      <c r="AL193" s="685"/>
      <c r="AM193" s="685"/>
      <c r="AN193" s="685"/>
      <c r="AO193" s="685"/>
      <c r="AP193" s="685"/>
      <c r="BA193" s="685"/>
      <c r="BB193" s="685"/>
    </row>
    <row r="194" spans="1:54">
      <c r="A194" s="685"/>
      <c r="B194" s="685"/>
      <c r="C194" s="685"/>
      <c r="D194" s="685"/>
      <c r="E194" s="685"/>
      <c r="F194" s="685"/>
      <c r="G194" s="685"/>
      <c r="H194" s="685"/>
      <c r="I194" s="685"/>
      <c r="J194" s="685"/>
      <c r="K194" s="685"/>
      <c r="L194" s="685"/>
      <c r="M194" s="685"/>
      <c r="N194" s="685"/>
      <c r="O194" s="685"/>
      <c r="P194" s="685"/>
      <c r="Q194" s="685"/>
      <c r="R194" s="685"/>
      <c r="S194" s="685"/>
      <c r="T194" s="115"/>
      <c r="U194" s="115"/>
      <c r="V194" s="685"/>
      <c r="W194" s="685"/>
      <c r="X194" s="685"/>
      <c r="Y194" s="685"/>
      <c r="Z194" s="685"/>
      <c r="AA194" s="685"/>
      <c r="AB194" s="685"/>
      <c r="AC194" s="685"/>
      <c r="AD194" s="685"/>
      <c r="AE194" s="685"/>
      <c r="AF194" s="685"/>
      <c r="AG194" s="685"/>
      <c r="AH194" s="685"/>
      <c r="AI194" s="685"/>
      <c r="AJ194" s="685"/>
      <c r="AK194" s="685"/>
      <c r="AL194" s="685"/>
      <c r="AM194" s="685"/>
      <c r="AN194" s="685"/>
      <c r="AO194" s="685"/>
      <c r="AP194" s="685"/>
      <c r="BA194" s="685"/>
      <c r="BB194" s="685"/>
    </row>
    <row r="195" spans="1:54">
      <c r="A195" s="685"/>
      <c r="B195" s="685"/>
      <c r="C195" s="685"/>
      <c r="D195" s="685"/>
      <c r="E195" s="685"/>
      <c r="F195" s="685"/>
      <c r="G195" s="685"/>
      <c r="H195" s="685"/>
      <c r="I195" s="685"/>
      <c r="J195" s="685"/>
      <c r="K195" s="685"/>
      <c r="L195" s="685"/>
      <c r="M195" s="685"/>
      <c r="N195" s="685"/>
      <c r="O195" s="685"/>
      <c r="P195" s="685"/>
      <c r="Q195" s="685"/>
      <c r="R195" s="685"/>
      <c r="S195" s="685"/>
      <c r="T195" s="115"/>
      <c r="U195" s="115"/>
      <c r="V195" s="685"/>
      <c r="W195" s="685"/>
      <c r="X195" s="685"/>
      <c r="Y195" s="685"/>
      <c r="Z195" s="685"/>
      <c r="AA195" s="685"/>
      <c r="AB195" s="685"/>
      <c r="AC195" s="685"/>
      <c r="AD195" s="685"/>
      <c r="AE195" s="685"/>
      <c r="AF195" s="685"/>
      <c r="AG195" s="685"/>
      <c r="AH195" s="685"/>
      <c r="AI195" s="685"/>
      <c r="AJ195" s="685"/>
      <c r="AK195" s="685"/>
      <c r="AL195" s="685"/>
      <c r="AM195" s="685"/>
      <c r="AN195" s="685"/>
      <c r="AO195" s="685"/>
      <c r="AP195" s="685"/>
      <c r="BA195" s="685"/>
      <c r="BB195" s="685"/>
    </row>
    <row r="196" spans="1:54">
      <c r="A196" s="685"/>
      <c r="B196" s="685"/>
      <c r="C196" s="685"/>
      <c r="D196" s="685"/>
      <c r="E196" s="685"/>
      <c r="F196" s="685"/>
      <c r="G196" s="685"/>
      <c r="H196" s="685"/>
      <c r="I196" s="685"/>
      <c r="J196" s="685"/>
      <c r="K196" s="685"/>
      <c r="L196" s="685"/>
      <c r="M196" s="685"/>
      <c r="N196" s="685"/>
      <c r="O196" s="685"/>
      <c r="P196" s="685"/>
      <c r="Q196" s="685"/>
      <c r="R196" s="685"/>
      <c r="S196" s="685"/>
      <c r="T196" s="115"/>
      <c r="U196" s="115"/>
      <c r="V196" s="685"/>
      <c r="W196" s="685"/>
      <c r="X196" s="685"/>
      <c r="Y196" s="685"/>
      <c r="Z196" s="685"/>
      <c r="AA196" s="685"/>
      <c r="AB196" s="685"/>
      <c r="AC196" s="685"/>
      <c r="AD196" s="685"/>
      <c r="AE196" s="685"/>
      <c r="AF196" s="685"/>
      <c r="AG196" s="685"/>
      <c r="AH196" s="685"/>
      <c r="AI196" s="685"/>
      <c r="AJ196" s="685"/>
      <c r="AK196" s="685"/>
      <c r="AL196" s="685"/>
      <c r="AM196" s="685"/>
      <c r="AN196" s="685"/>
      <c r="AO196" s="685"/>
      <c r="AP196" s="685"/>
      <c r="BA196" s="685"/>
      <c r="BB196" s="685"/>
    </row>
    <row r="197" spans="1:54">
      <c r="A197" s="685"/>
      <c r="B197" s="685"/>
      <c r="C197" s="685"/>
      <c r="D197" s="685"/>
      <c r="E197" s="685"/>
      <c r="F197" s="685"/>
      <c r="G197" s="685"/>
      <c r="H197" s="685"/>
      <c r="I197" s="685"/>
      <c r="J197" s="685"/>
      <c r="K197" s="685"/>
      <c r="L197" s="685"/>
      <c r="M197" s="685"/>
      <c r="N197" s="685"/>
      <c r="O197" s="685"/>
      <c r="P197" s="685"/>
      <c r="Q197" s="685"/>
      <c r="R197" s="685"/>
      <c r="S197" s="685"/>
      <c r="T197" s="115"/>
      <c r="U197" s="115"/>
      <c r="V197" s="685"/>
      <c r="W197" s="685"/>
      <c r="X197" s="685"/>
      <c r="Y197" s="685"/>
      <c r="Z197" s="685"/>
      <c r="AA197" s="685"/>
      <c r="AB197" s="685"/>
      <c r="AC197" s="685"/>
      <c r="AD197" s="685"/>
      <c r="AE197" s="685"/>
      <c r="AF197" s="685"/>
      <c r="AG197" s="685"/>
      <c r="AH197" s="685"/>
      <c r="AI197" s="685"/>
      <c r="AJ197" s="685"/>
      <c r="AK197" s="685"/>
      <c r="AL197" s="685"/>
      <c r="AM197" s="685"/>
      <c r="AN197" s="685"/>
      <c r="AO197" s="685"/>
      <c r="AP197" s="685"/>
      <c r="BA197" s="685"/>
      <c r="BB197" s="685"/>
    </row>
    <row r="198" spans="1:54">
      <c r="A198" s="685"/>
      <c r="B198" s="685"/>
      <c r="C198" s="685"/>
      <c r="D198" s="685"/>
      <c r="E198" s="685"/>
      <c r="F198" s="685"/>
      <c r="G198" s="685"/>
      <c r="H198" s="685"/>
      <c r="I198" s="685"/>
      <c r="J198" s="685"/>
      <c r="K198" s="685"/>
      <c r="L198" s="685"/>
      <c r="M198" s="685"/>
      <c r="N198" s="685"/>
      <c r="O198" s="685"/>
      <c r="P198" s="685"/>
      <c r="Q198" s="685"/>
      <c r="R198" s="685"/>
      <c r="S198" s="685"/>
      <c r="T198" s="115"/>
      <c r="U198" s="115"/>
      <c r="V198" s="685"/>
      <c r="W198" s="685"/>
      <c r="X198" s="685"/>
      <c r="Y198" s="685"/>
      <c r="Z198" s="685"/>
      <c r="AA198" s="685"/>
      <c r="AB198" s="685"/>
      <c r="AC198" s="685"/>
      <c r="AD198" s="685"/>
      <c r="AE198" s="685"/>
      <c r="AF198" s="685"/>
      <c r="AG198" s="685"/>
      <c r="AH198" s="685"/>
      <c r="AI198" s="685"/>
      <c r="AJ198" s="685"/>
      <c r="AK198" s="685"/>
      <c r="AL198" s="685"/>
      <c r="AM198" s="685"/>
      <c r="AN198" s="685"/>
      <c r="AO198" s="685"/>
      <c r="AP198" s="685"/>
      <c r="BA198" s="685"/>
      <c r="BB198" s="685"/>
    </row>
    <row r="199" spans="1:54">
      <c r="A199" s="685"/>
      <c r="B199" s="685"/>
      <c r="C199" s="685"/>
      <c r="D199" s="685"/>
      <c r="E199" s="685"/>
      <c r="F199" s="685"/>
      <c r="G199" s="685"/>
      <c r="H199" s="685"/>
      <c r="I199" s="685"/>
      <c r="J199" s="685"/>
      <c r="K199" s="685"/>
      <c r="L199" s="685"/>
      <c r="M199" s="685"/>
      <c r="N199" s="685"/>
      <c r="O199" s="685"/>
      <c r="P199" s="685"/>
      <c r="Q199" s="685"/>
      <c r="R199" s="685"/>
      <c r="S199" s="685"/>
      <c r="T199" s="115"/>
      <c r="U199" s="115"/>
      <c r="V199" s="685"/>
      <c r="W199" s="685"/>
      <c r="X199" s="685"/>
      <c r="Y199" s="685"/>
      <c r="Z199" s="685"/>
      <c r="AA199" s="685"/>
      <c r="AB199" s="685"/>
      <c r="AC199" s="685"/>
      <c r="AD199" s="685"/>
      <c r="AE199" s="685"/>
      <c r="AF199" s="685"/>
      <c r="AG199" s="685"/>
      <c r="AH199" s="685"/>
      <c r="AI199" s="685"/>
      <c r="AJ199" s="685"/>
      <c r="AK199" s="685"/>
      <c r="AL199" s="685"/>
      <c r="AM199" s="685"/>
      <c r="AN199" s="685"/>
      <c r="AO199" s="685"/>
      <c r="AP199" s="685"/>
      <c r="BA199" s="685"/>
      <c r="BB199" s="685"/>
    </row>
    <row r="200" spans="1:54">
      <c r="A200" s="685"/>
      <c r="B200" s="685"/>
      <c r="C200" s="685"/>
      <c r="D200" s="685"/>
      <c r="E200" s="685"/>
      <c r="F200" s="685"/>
      <c r="G200" s="685"/>
      <c r="H200" s="685"/>
      <c r="I200" s="685"/>
      <c r="J200" s="685"/>
      <c r="K200" s="685"/>
      <c r="L200" s="685"/>
      <c r="M200" s="685"/>
      <c r="N200" s="685"/>
      <c r="O200" s="685"/>
      <c r="P200" s="685"/>
      <c r="Q200" s="685"/>
      <c r="R200" s="685"/>
      <c r="S200" s="685"/>
      <c r="T200" s="115"/>
      <c r="U200" s="115"/>
      <c r="V200" s="685"/>
      <c r="W200" s="685"/>
      <c r="X200" s="685"/>
      <c r="Y200" s="685"/>
      <c r="Z200" s="685"/>
      <c r="AA200" s="685"/>
      <c r="AB200" s="685"/>
      <c r="AC200" s="685"/>
      <c r="AD200" s="685"/>
      <c r="AE200" s="685"/>
      <c r="AF200" s="685"/>
      <c r="AG200" s="685"/>
      <c r="AH200" s="685"/>
      <c r="AI200" s="685"/>
      <c r="AJ200" s="685"/>
      <c r="AK200" s="685"/>
      <c r="AL200" s="685"/>
      <c r="AM200" s="685"/>
      <c r="AN200" s="685"/>
      <c r="AO200" s="685"/>
      <c r="AP200" s="685"/>
      <c r="BA200" s="685"/>
      <c r="BB200" s="685"/>
    </row>
    <row r="201" spans="1:54">
      <c r="A201" s="685"/>
      <c r="B201" s="685"/>
      <c r="C201" s="685"/>
      <c r="D201" s="685"/>
      <c r="E201" s="685"/>
      <c r="F201" s="685"/>
      <c r="G201" s="685"/>
      <c r="H201" s="685"/>
      <c r="I201" s="685"/>
      <c r="J201" s="685"/>
      <c r="K201" s="685"/>
      <c r="L201" s="685"/>
      <c r="M201" s="685"/>
      <c r="N201" s="685"/>
      <c r="O201" s="685"/>
      <c r="P201" s="685"/>
      <c r="Q201" s="685"/>
      <c r="R201" s="685"/>
      <c r="S201" s="685"/>
      <c r="T201" s="115"/>
      <c r="U201" s="115"/>
      <c r="V201" s="685"/>
      <c r="W201" s="685"/>
      <c r="X201" s="685"/>
      <c r="Y201" s="685"/>
      <c r="Z201" s="685"/>
      <c r="AA201" s="685"/>
      <c r="AB201" s="685"/>
      <c r="AC201" s="685"/>
      <c r="AD201" s="685"/>
      <c r="AE201" s="685"/>
      <c r="AF201" s="685"/>
      <c r="AG201" s="685"/>
      <c r="AH201" s="685"/>
      <c r="AI201" s="685"/>
      <c r="AJ201" s="685"/>
      <c r="AK201" s="685"/>
      <c r="AL201" s="685"/>
      <c r="AM201" s="685"/>
      <c r="AN201" s="685"/>
      <c r="AO201" s="685"/>
      <c r="AP201" s="685"/>
      <c r="BA201" s="685"/>
      <c r="BB201" s="685"/>
    </row>
    <row r="202" spans="1:54">
      <c r="A202" s="685"/>
      <c r="B202" s="685"/>
      <c r="C202" s="685"/>
      <c r="D202" s="685"/>
      <c r="E202" s="685"/>
      <c r="F202" s="685"/>
      <c r="G202" s="685"/>
      <c r="H202" s="685"/>
      <c r="I202" s="685"/>
      <c r="J202" s="685"/>
      <c r="K202" s="685"/>
      <c r="L202" s="685"/>
      <c r="M202" s="685"/>
      <c r="N202" s="685"/>
      <c r="O202" s="685"/>
      <c r="P202" s="685"/>
      <c r="Q202" s="685"/>
      <c r="R202" s="685"/>
      <c r="S202" s="685"/>
      <c r="T202" s="115"/>
      <c r="U202" s="115"/>
      <c r="V202" s="685"/>
      <c r="W202" s="685"/>
      <c r="X202" s="685"/>
      <c r="Y202" s="685"/>
      <c r="Z202" s="685"/>
      <c r="AA202" s="685"/>
      <c r="AB202" s="685"/>
      <c r="AC202" s="685"/>
      <c r="AD202" s="685"/>
      <c r="AE202" s="685"/>
      <c r="AF202" s="685"/>
      <c r="AG202" s="685"/>
      <c r="AH202" s="685"/>
      <c r="AI202" s="685"/>
      <c r="AJ202" s="685"/>
      <c r="AK202" s="685"/>
      <c r="AL202" s="685"/>
      <c r="AM202" s="685"/>
      <c r="AN202" s="685"/>
      <c r="AO202" s="685"/>
      <c r="AP202" s="685"/>
      <c r="BA202" s="685"/>
      <c r="BB202" s="685"/>
    </row>
    <row r="203" spans="1:54">
      <c r="A203" s="685"/>
      <c r="B203" s="685"/>
      <c r="C203" s="685"/>
      <c r="D203" s="685"/>
      <c r="E203" s="685"/>
      <c r="F203" s="685"/>
      <c r="G203" s="685"/>
      <c r="H203" s="685"/>
      <c r="I203" s="685"/>
      <c r="J203" s="685"/>
      <c r="K203" s="685"/>
      <c r="L203" s="685"/>
      <c r="M203" s="685"/>
      <c r="N203" s="685"/>
      <c r="O203" s="685"/>
      <c r="P203" s="685"/>
      <c r="Q203" s="685"/>
      <c r="R203" s="685"/>
      <c r="S203" s="685"/>
      <c r="T203" s="115"/>
      <c r="U203" s="115"/>
      <c r="V203" s="685"/>
      <c r="W203" s="685"/>
      <c r="X203" s="685"/>
      <c r="Y203" s="685"/>
      <c r="Z203" s="685"/>
      <c r="AA203" s="685"/>
      <c r="AB203" s="685"/>
      <c r="AC203" s="685"/>
      <c r="AD203" s="685"/>
      <c r="AE203" s="685"/>
      <c r="AF203" s="685"/>
      <c r="AG203" s="685"/>
      <c r="AH203" s="685"/>
      <c r="AI203" s="685"/>
      <c r="AJ203" s="685"/>
      <c r="AK203" s="685"/>
      <c r="AL203" s="685"/>
      <c r="AM203" s="685"/>
      <c r="AN203" s="685"/>
      <c r="AO203" s="685"/>
      <c r="AP203" s="685"/>
      <c r="BA203" s="685"/>
      <c r="BB203" s="685"/>
    </row>
    <row r="204" spans="1:54">
      <c r="A204" s="685"/>
      <c r="B204" s="685"/>
      <c r="C204" s="685"/>
      <c r="D204" s="685"/>
      <c r="E204" s="685"/>
      <c r="F204" s="685"/>
      <c r="G204" s="685"/>
      <c r="H204" s="685"/>
      <c r="I204" s="685"/>
      <c r="J204" s="685"/>
      <c r="K204" s="685"/>
      <c r="L204" s="685"/>
      <c r="M204" s="685"/>
      <c r="N204" s="685"/>
      <c r="O204" s="685"/>
      <c r="P204" s="685"/>
      <c r="Q204" s="685"/>
      <c r="R204" s="685"/>
      <c r="S204" s="685"/>
      <c r="T204" s="115"/>
      <c r="U204" s="115"/>
      <c r="V204" s="685"/>
      <c r="W204" s="685"/>
      <c r="X204" s="685"/>
      <c r="Y204" s="685"/>
      <c r="Z204" s="685"/>
      <c r="AA204" s="685"/>
      <c r="AB204" s="685"/>
      <c r="AC204" s="685"/>
      <c r="AD204" s="685"/>
      <c r="AE204" s="685"/>
      <c r="AF204" s="685"/>
      <c r="AG204" s="685"/>
      <c r="AH204" s="685"/>
      <c r="AI204" s="685"/>
      <c r="AJ204" s="685"/>
      <c r="AK204" s="685"/>
      <c r="AL204" s="685"/>
      <c r="AM204" s="685"/>
      <c r="AN204" s="685"/>
      <c r="AO204" s="685"/>
      <c r="AP204" s="685"/>
      <c r="BA204" s="685"/>
      <c r="BB204" s="685"/>
    </row>
    <row r="205" spans="1:54">
      <c r="A205" s="685"/>
      <c r="B205" s="685"/>
      <c r="C205" s="685"/>
      <c r="D205" s="685"/>
      <c r="E205" s="685"/>
      <c r="F205" s="685"/>
      <c r="G205" s="685"/>
      <c r="H205" s="685"/>
      <c r="I205" s="685"/>
      <c r="J205" s="685"/>
      <c r="K205" s="685"/>
      <c r="L205" s="685"/>
      <c r="M205" s="685"/>
      <c r="N205" s="685"/>
      <c r="O205" s="685"/>
      <c r="P205" s="685"/>
      <c r="Q205" s="685"/>
      <c r="R205" s="685"/>
      <c r="S205" s="685"/>
      <c r="T205" s="115"/>
      <c r="U205" s="115"/>
      <c r="V205" s="685"/>
      <c r="W205" s="685"/>
      <c r="X205" s="685"/>
      <c r="Y205" s="685"/>
      <c r="Z205" s="685"/>
      <c r="AA205" s="685"/>
      <c r="AB205" s="685"/>
      <c r="AC205" s="685"/>
      <c r="AD205" s="685"/>
      <c r="AE205" s="685"/>
      <c r="AF205" s="685"/>
      <c r="AG205" s="685"/>
      <c r="AH205" s="685"/>
      <c r="AI205" s="685"/>
      <c r="AJ205" s="685"/>
      <c r="AK205" s="685"/>
      <c r="AL205" s="685"/>
      <c r="AM205" s="685"/>
      <c r="AN205" s="685"/>
      <c r="AO205" s="685"/>
      <c r="AP205" s="685"/>
      <c r="BA205" s="685"/>
      <c r="BB205" s="685"/>
    </row>
    <row r="206" spans="1:54">
      <c r="A206" s="685"/>
      <c r="B206" s="685"/>
      <c r="C206" s="685"/>
      <c r="D206" s="685"/>
      <c r="E206" s="685"/>
      <c r="F206" s="685"/>
      <c r="G206" s="685"/>
      <c r="H206" s="685"/>
      <c r="I206" s="685"/>
      <c r="J206" s="685"/>
      <c r="K206" s="685"/>
      <c r="L206" s="685"/>
      <c r="M206" s="685"/>
      <c r="N206" s="685"/>
      <c r="O206" s="685"/>
      <c r="P206" s="685"/>
      <c r="Q206" s="685"/>
      <c r="R206" s="685"/>
      <c r="S206" s="685"/>
      <c r="T206" s="115"/>
      <c r="U206" s="115"/>
      <c r="V206" s="685"/>
      <c r="W206" s="685"/>
      <c r="X206" s="685"/>
      <c r="Y206" s="685"/>
      <c r="Z206" s="685"/>
      <c r="AA206" s="685"/>
      <c r="AB206" s="685"/>
      <c r="AC206" s="685"/>
      <c r="AD206" s="685"/>
      <c r="AE206" s="685"/>
      <c r="AF206" s="685"/>
      <c r="AG206" s="685"/>
      <c r="AH206" s="685"/>
      <c r="AI206" s="685"/>
      <c r="AJ206" s="685"/>
      <c r="AK206" s="685"/>
      <c r="AL206" s="685"/>
      <c r="AM206" s="685"/>
      <c r="AN206" s="685"/>
      <c r="AO206" s="685"/>
      <c r="AP206" s="685"/>
      <c r="BA206" s="685"/>
      <c r="BB206" s="685"/>
    </row>
    <row r="207" spans="1:54">
      <c r="A207" s="685"/>
      <c r="B207" s="685"/>
      <c r="C207" s="685"/>
      <c r="D207" s="685"/>
      <c r="E207" s="685"/>
      <c r="F207" s="685"/>
      <c r="G207" s="685"/>
      <c r="H207" s="685"/>
      <c r="I207" s="685"/>
      <c r="J207" s="685"/>
      <c r="K207" s="685"/>
      <c r="L207" s="685"/>
      <c r="M207" s="685"/>
      <c r="N207" s="685"/>
      <c r="O207" s="685"/>
      <c r="P207" s="685"/>
      <c r="Q207" s="685"/>
      <c r="R207" s="685"/>
      <c r="S207" s="685"/>
      <c r="T207" s="115"/>
      <c r="U207" s="115"/>
      <c r="V207" s="685"/>
      <c r="W207" s="685"/>
      <c r="X207" s="685"/>
      <c r="Y207" s="685"/>
      <c r="Z207" s="685"/>
      <c r="AA207" s="685"/>
      <c r="AB207" s="685"/>
      <c r="AC207" s="685"/>
      <c r="AD207" s="685"/>
      <c r="AE207" s="685"/>
      <c r="AF207" s="685"/>
      <c r="AG207" s="685"/>
      <c r="AH207" s="685"/>
      <c r="AI207" s="685"/>
      <c r="AJ207" s="685"/>
      <c r="AK207" s="685"/>
      <c r="AL207" s="685"/>
      <c r="AM207" s="685"/>
      <c r="AN207" s="685"/>
      <c r="AO207" s="685"/>
      <c r="AP207" s="685"/>
      <c r="BA207" s="685"/>
      <c r="BB207" s="685"/>
    </row>
    <row r="208" spans="1:54">
      <c r="A208" s="685"/>
      <c r="B208" s="685"/>
      <c r="C208" s="685"/>
      <c r="D208" s="685"/>
      <c r="E208" s="685"/>
      <c r="F208" s="685"/>
      <c r="G208" s="685"/>
      <c r="H208" s="685"/>
      <c r="I208" s="685"/>
      <c r="J208" s="685"/>
      <c r="K208" s="685"/>
      <c r="L208" s="685"/>
      <c r="M208" s="685"/>
      <c r="N208" s="685"/>
      <c r="O208" s="685"/>
      <c r="P208" s="685"/>
      <c r="Q208" s="685"/>
      <c r="R208" s="685"/>
      <c r="S208" s="685"/>
      <c r="T208" s="115"/>
      <c r="U208" s="115"/>
      <c r="V208" s="685"/>
      <c r="W208" s="685"/>
      <c r="X208" s="685"/>
      <c r="Y208" s="685"/>
      <c r="Z208" s="685"/>
      <c r="AA208" s="685"/>
      <c r="AB208" s="685"/>
      <c r="AC208" s="685"/>
      <c r="AD208" s="685"/>
      <c r="AE208" s="685"/>
      <c r="AF208" s="685"/>
      <c r="AG208" s="685"/>
      <c r="AH208" s="685"/>
      <c r="AI208" s="685"/>
      <c r="AJ208" s="685"/>
      <c r="AK208" s="685"/>
      <c r="AL208" s="685"/>
      <c r="AM208" s="685"/>
      <c r="AN208" s="685"/>
      <c r="AO208" s="685"/>
      <c r="AP208" s="685"/>
      <c r="BA208" s="685"/>
      <c r="BB208" s="685"/>
    </row>
    <row r="209" spans="1:54">
      <c r="A209" s="685"/>
      <c r="B209" s="685"/>
      <c r="C209" s="685"/>
      <c r="D209" s="685"/>
      <c r="E209" s="685"/>
      <c r="F209" s="685"/>
      <c r="G209" s="685"/>
      <c r="H209" s="685"/>
      <c r="I209" s="685"/>
      <c r="J209" s="685"/>
      <c r="K209" s="685"/>
      <c r="L209" s="685"/>
      <c r="M209" s="685"/>
      <c r="N209" s="685"/>
      <c r="O209" s="685"/>
      <c r="P209" s="685"/>
      <c r="Q209" s="685"/>
      <c r="R209" s="685"/>
      <c r="S209" s="685"/>
      <c r="T209" s="115"/>
      <c r="U209" s="115"/>
      <c r="V209" s="685"/>
      <c r="W209" s="685"/>
      <c r="X209" s="685"/>
      <c r="Y209" s="685"/>
      <c r="Z209" s="685"/>
      <c r="AA209" s="685"/>
      <c r="AB209" s="685"/>
      <c r="AC209" s="685"/>
      <c r="AD209" s="685"/>
      <c r="AE209" s="685"/>
      <c r="AF209" s="685"/>
      <c r="AG209" s="685"/>
      <c r="AH209" s="685"/>
      <c r="AI209" s="685"/>
      <c r="AJ209" s="685"/>
      <c r="AK209" s="685"/>
      <c r="AL209" s="685"/>
      <c r="AM209" s="685"/>
      <c r="AN209" s="685"/>
      <c r="AO209" s="685"/>
      <c r="AP209" s="685"/>
      <c r="BA209" s="685"/>
      <c r="BB209" s="685"/>
    </row>
    <row r="210" spans="1:54">
      <c r="A210" s="685"/>
      <c r="B210" s="685"/>
      <c r="C210" s="685"/>
      <c r="D210" s="685"/>
      <c r="E210" s="685"/>
      <c r="F210" s="685"/>
      <c r="G210" s="685"/>
      <c r="H210" s="685"/>
      <c r="I210" s="685"/>
      <c r="J210" s="685"/>
      <c r="K210" s="685"/>
      <c r="L210" s="685"/>
      <c r="M210" s="685"/>
      <c r="N210" s="685"/>
      <c r="O210" s="685"/>
      <c r="P210" s="685"/>
      <c r="Q210" s="685"/>
      <c r="R210" s="685"/>
      <c r="S210" s="685"/>
      <c r="T210" s="115"/>
      <c r="U210" s="115"/>
      <c r="V210" s="685"/>
      <c r="W210" s="685"/>
      <c r="X210" s="685"/>
      <c r="Y210" s="685"/>
      <c r="Z210" s="685"/>
      <c r="AA210" s="685"/>
      <c r="AB210" s="685"/>
      <c r="AC210" s="685"/>
      <c r="AD210" s="685"/>
      <c r="AE210" s="685"/>
      <c r="AF210" s="685"/>
      <c r="AG210" s="685"/>
      <c r="AH210" s="685"/>
      <c r="AI210" s="685"/>
      <c r="AJ210" s="685"/>
      <c r="AK210" s="685"/>
      <c r="AL210" s="685"/>
      <c r="AM210" s="685"/>
      <c r="AN210" s="685"/>
      <c r="AO210" s="685"/>
      <c r="AP210" s="685"/>
      <c r="BA210" s="685"/>
      <c r="BB210" s="685"/>
    </row>
    <row r="211" spans="1:54">
      <c r="A211" s="685"/>
      <c r="B211" s="685"/>
      <c r="C211" s="685"/>
      <c r="D211" s="685"/>
      <c r="E211" s="685"/>
      <c r="F211" s="685"/>
      <c r="G211" s="685"/>
      <c r="H211" s="685"/>
      <c r="I211" s="685"/>
      <c r="J211" s="685"/>
      <c r="K211" s="685"/>
      <c r="L211" s="685"/>
      <c r="M211" s="685"/>
      <c r="N211" s="685"/>
      <c r="O211" s="685"/>
      <c r="P211" s="685"/>
      <c r="Q211" s="685"/>
      <c r="R211" s="685"/>
      <c r="S211" s="685"/>
      <c r="T211" s="115"/>
      <c r="U211" s="115"/>
      <c r="V211" s="685"/>
      <c r="W211" s="685"/>
      <c r="X211" s="685"/>
      <c r="Y211" s="685"/>
      <c r="Z211" s="685"/>
      <c r="AA211" s="685"/>
      <c r="AB211" s="685"/>
      <c r="AC211" s="685"/>
      <c r="AD211" s="685"/>
      <c r="AE211" s="685"/>
      <c r="AF211" s="685"/>
      <c r="AG211" s="685"/>
      <c r="AH211" s="685"/>
      <c r="AI211" s="685"/>
      <c r="AJ211" s="685"/>
      <c r="AK211" s="685"/>
      <c r="AL211" s="685"/>
      <c r="AM211" s="685"/>
      <c r="AN211" s="685"/>
      <c r="AO211" s="685"/>
      <c r="AP211" s="685"/>
      <c r="BA211" s="685"/>
      <c r="BB211" s="685"/>
    </row>
    <row r="212" spans="1:54">
      <c r="A212" s="685"/>
      <c r="B212" s="685"/>
      <c r="C212" s="685"/>
      <c r="D212" s="685"/>
      <c r="E212" s="685"/>
      <c r="F212" s="685"/>
      <c r="G212" s="685"/>
      <c r="H212" s="685"/>
      <c r="I212" s="685"/>
      <c r="J212" s="685"/>
      <c r="K212" s="685"/>
      <c r="L212" s="685"/>
      <c r="M212" s="685"/>
      <c r="N212" s="685"/>
      <c r="O212" s="685"/>
      <c r="P212" s="685"/>
      <c r="Q212" s="685"/>
      <c r="R212" s="685"/>
      <c r="S212" s="685"/>
      <c r="T212" s="115"/>
      <c r="U212" s="115"/>
      <c r="V212" s="685"/>
      <c r="W212" s="685"/>
      <c r="X212" s="685"/>
      <c r="Y212" s="685"/>
      <c r="Z212" s="685"/>
      <c r="AA212" s="685"/>
      <c r="AB212" s="685"/>
      <c r="AC212" s="685"/>
      <c r="AD212" s="685"/>
      <c r="AE212" s="685"/>
      <c r="AF212" s="685"/>
      <c r="AG212" s="685"/>
      <c r="AH212" s="685"/>
      <c r="AI212" s="685"/>
      <c r="AJ212" s="685"/>
      <c r="AK212" s="685"/>
      <c r="AL212" s="685"/>
      <c r="AM212" s="685"/>
      <c r="AN212" s="685"/>
      <c r="AO212" s="685"/>
      <c r="AP212" s="685"/>
      <c r="BA212" s="685"/>
      <c r="BB212" s="685"/>
    </row>
    <row r="213" spans="1:54">
      <c r="A213" s="685"/>
      <c r="B213" s="685"/>
      <c r="C213" s="685"/>
      <c r="D213" s="685"/>
      <c r="E213" s="685"/>
      <c r="F213" s="685"/>
      <c r="G213" s="685"/>
      <c r="H213" s="685"/>
      <c r="I213" s="685"/>
      <c r="J213" s="685"/>
      <c r="K213" s="685"/>
      <c r="L213" s="685"/>
      <c r="M213" s="685"/>
      <c r="N213" s="685"/>
      <c r="O213" s="685"/>
      <c r="P213" s="685"/>
      <c r="Q213" s="685"/>
      <c r="R213" s="685"/>
      <c r="S213" s="685"/>
      <c r="T213" s="115"/>
      <c r="U213" s="115"/>
      <c r="V213" s="685"/>
      <c r="W213" s="685"/>
      <c r="X213" s="685"/>
      <c r="Y213" s="685"/>
      <c r="Z213" s="685"/>
      <c r="AA213" s="685"/>
      <c r="AB213" s="685"/>
      <c r="AC213" s="685"/>
      <c r="AD213" s="685"/>
      <c r="AE213" s="685"/>
      <c r="AF213" s="685"/>
      <c r="AG213" s="685"/>
      <c r="AH213" s="685"/>
      <c r="AI213" s="685"/>
      <c r="AJ213" s="685"/>
      <c r="AK213" s="685"/>
      <c r="AL213" s="685"/>
      <c r="AM213" s="685"/>
      <c r="AN213" s="685"/>
      <c r="AO213" s="685"/>
      <c r="AP213" s="685"/>
      <c r="BA213" s="685"/>
      <c r="BB213" s="685"/>
    </row>
    <row r="214" spans="1:54">
      <c r="A214" s="685"/>
      <c r="B214" s="685"/>
      <c r="C214" s="685"/>
      <c r="D214" s="685"/>
      <c r="E214" s="685"/>
      <c r="F214" s="685"/>
      <c r="G214" s="685"/>
      <c r="H214" s="685"/>
      <c r="I214" s="685"/>
      <c r="J214" s="685"/>
      <c r="K214" s="685"/>
      <c r="L214" s="685"/>
      <c r="M214" s="685"/>
      <c r="N214" s="685"/>
      <c r="O214" s="685"/>
      <c r="P214" s="685"/>
      <c r="Q214" s="685"/>
      <c r="R214" s="685"/>
      <c r="S214" s="685"/>
      <c r="T214" s="115"/>
      <c r="U214" s="115"/>
      <c r="V214" s="685"/>
      <c r="W214" s="685"/>
      <c r="X214" s="685"/>
      <c r="Y214" s="685"/>
      <c r="Z214" s="685"/>
      <c r="AA214" s="685"/>
      <c r="AB214" s="685"/>
      <c r="AC214" s="685"/>
      <c r="AD214" s="685"/>
      <c r="AE214" s="685"/>
      <c r="AF214" s="685"/>
      <c r="AG214" s="685"/>
      <c r="AH214" s="685"/>
      <c r="AI214" s="685"/>
      <c r="AJ214" s="685"/>
      <c r="AK214" s="685"/>
      <c r="AL214" s="685"/>
      <c r="AM214" s="685"/>
      <c r="AN214" s="685"/>
      <c r="AO214" s="685"/>
      <c r="AP214" s="685"/>
      <c r="BA214" s="685"/>
      <c r="BB214" s="685"/>
    </row>
    <row r="215" spans="1:54">
      <c r="A215" s="685"/>
      <c r="B215" s="685"/>
      <c r="C215" s="685"/>
      <c r="D215" s="685"/>
      <c r="E215" s="685"/>
      <c r="F215" s="685"/>
      <c r="G215" s="685"/>
      <c r="H215" s="685"/>
      <c r="I215" s="685"/>
      <c r="J215" s="685"/>
      <c r="K215" s="685"/>
      <c r="L215" s="685"/>
      <c r="M215" s="685"/>
      <c r="N215" s="685"/>
      <c r="O215" s="685"/>
      <c r="P215" s="685"/>
      <c r="Q215" s="685"/>
      <c r="R215" s="685"/>
      <c r="S215" s="685"/>
      <c r="T215" s="115"/>
      <c r="U215" s="115"/>
      <c r="V215" s="685"/>
      <c r="W215" s="685"/>
      <c r="X215" s="685"/>
      <c r="Y215" s="685"/>
      <c r="Z215" s="685"/>
      <c r="AA215" s="685"/>
      <c r="AB215" s="685"/>
      <c r="AC215" s="685"/>
      <c r="AD215" s="685"/>
      <c r="AE215" s="685"/>
      <c r="AF215" s="685"/>
      <c r="AG215" s="685"/>
      <c r="AH215" s="685"/>
      <c r="AI215" s="685"/>
      <c r="AJ215" s="685"/>
      <c r="AK215" s="685"/>
      <c r="AL215" s="685"/>
      <c r="AM215" s="685"/>
      <c r="AN215" s="685"/>
      <c r="AO215" s="685"/>
      <c r="AP215" s="685"/>
      <c r="BA215" s="685"/>
      <c r="BB215" s="685"/>
    </row>
    <row r="216" spans="1:54">
      <c r="A216" s="685"/>
      <c r="B216" s="685"/>
      <c r="C216" s="685"/>
      <c r="D216" s="685"/>
      <c r="E216" s="685"/>
      <c r="F216" s="685"/>
      <c r="G216" s="685"/>
      <c r="H216" s="685"/>
      <c r="I216" s="685"/>
      <c r="J216" s="685"/>
      <c r="K216" s="685"/>
      <c r="L216" s="685"/>
      <c r="M216" s="685"/>
      <c r="N216" s="685"/>
      <c r="O216" s="685"/>
      <c r="P216" s="685"/>
      <c r="Q216" s="685"/>
      <c r="R216" s="685"/>
      <c r="S216" s="685"/>
      <c r="T216" s="115"/>
      <c r="U216" s="115"/>
      <c r="V216" s="685"/>
      <c r="W216" s="685"/>
      <c r="X216" s="685"/>
      <c r="Y216" s="685"/>
      <c r="Z216" s="685"/>
      <c r="AA216" s="685"/>
      <c r="AB216" s="685"/>
      <c r="AC216" s="685"/>
      <c r="AD216" s="685"/>
      <c r="AE216" s="685"/>
      <c r="AF216" s="685"/>
      <c r="AG216" s="685"/>
      <c r="AH216" s="685"/>
      <c r="AI216" s="685"/>
      <c r="AJ216" s="685"/>
      <c r="AK216" s="685"/>
      <c r="AL216" s="685"/>
      <c r="AM216" s="685"/>
      <c r="AN216" s="685"/>
      <c r="AO216" s="685"/>
      <c r="AP216" s="685"/>
      <c r="BA216" s="685"/>
      <c r="BB216" s="685"/>
    </row>
    <row r="217" spans="1:54">
      <c r="A217" s="685"/>
      <c r="B217" s="685"/>
      <c r="C217" s="685"/>
      <c r="D217" s="685"/>
      <c r="E217" s="685"/>
      <c r="F217" s="685"/>
      <c r="G217" s="685"/>
      <c r="H217" s="685"/>
      <c r="I217" s="685"/>
      <c r="J217" s="685"/>
      <c r="K217" s="685"/>
      <c r="L217" s="685"/>
      <c r="M217" s="685"/>
      <c r="N217" s="685"/>
      <c r="O217" s="685"/>
      <c r="P217" s="685"/>
      <c r="Q217" s="685"/>
      <c r="R217" s="685"/>
      <c r="S217" s="685"/>
      <c r="T217" s="115"/>
      <c r="U217" s="115"/>
      <c r="V217" s="685"/>
      <c r="W217" s="685"/>
      <c r="X217" s="685"/>
      <c r="Y217" s="685"/>
      <c r="Z217" s="685"/>
      <c r="AA217" s="685"/>
      <c r="AB217" s="685"/>
      <c r="AC217" s="685"/>
      <c r="AD217" s="685"/>
      <c r="AE217" s="685"/>
      <c r="AF217" s="685"/>
      <c r="AG217" s="685"/>
      <c r="AH217" s="685"/>
      <c r="AI217" s="685"/>
      <c r="AJ217" s="685"/>
      <c r="AK217" s="685"/>
      <c r="AL217" s="685"/>
      <c r="AM217" s="685"/>
      <c r="AN217" s="685"/>
      <c r="AO217" s="685"/>
      <c r="AP217" s="685"/>
      <c r="BA217" s="685"/>
      <c r="BB217" s="685"/>
    </row>
    <row r="218" spans="1:54">
      <c r="A218" s="685"/>
      <c r="B218" s="685"/>
      <c r="C218" s="685"/>
      <c r="D218" s="685"/>
      <c r="E218" s="685"/>
      <c r="F218" s="685"/>
      <c r="G218" s="685"/>
      <c r="H218" s="685"/>
      <c r="I218" s="685"/>
      <c r="J218" s="685"/>
      <c r="K218" s="685"/>
      <c r="L218" s="685"/>
      <c r="M218" s="685"/>
      <c r="N218" s="685"/>
      <c r="O218" s="685"/>
      <c r="P218" s="685"/>
      <c r="Q218" s="685"/>
      <c r="R218" s="685"/>
      <c r="S218" s="685"/>
      <c r="T218" s="115"/>
      <c r="U218" s="115"/>
      <c r="V218" s="685"/>
      <c r="W218" s="685"/>
      <c r="X218" s="685"/>
      <c r="Y218" s="685"/>
      <c r="Z218" s="685"/>
      <c r="AA218" s="685"/>
      <c r="AB218" s="685"/>
      <c r="AC218" s="685"/>
      <c r="AD218" s="685"/>
      <c r="AE218" s="685"/>
      <c r="AF218" s="685"/>
      <c r="AG218" s="685"/>
      <c r="AH218" s="685"/>
      <c r="AI218" s="685"/>
      <c r="AJ218" s="685"/>
      <c r="AK218" s="685"/>
      <c r="AL218" s="685"/>
      <c r="AM218" s="685"/>
      <c r="AN218" s="685"/>
      <c r="AO218" s="685"/>
      <c r="AP218" s="685"/>
      <c r="BA218" s="685"/>
      <c r="BB218" s="685"/>
    </row>
    <row r="219" spans="1:54">
      <c r="A219" s="685"/>
      <c r="B219" s="685"/>
      <c r="C219" s="685"/>
      <c r="D219" s="685"/>
      <c r="E219" s="685"/>
      <c r="F219" s="685"/>
      <c r="G219" s="685"/>
      <c r="H219" s="685"/>
      <c r="I219" s="685"/>
      <c r="J219" s="685"/>
      <c r="K219" s="685"/>
      <c r="L219" s="685"/>
      <c r="M219" s="685"/>
      <c r="N219" s="685"/>
      <c r="O219" s="685"/>
      <c r="P219" s="685"/>
      <c r="Q219" s="685"/>
      <c r="R219" s="685"/>
      <c r="S219" s="685"/>
      <c r="T219" s="115"/>
      <c r="U219" s="115"/>
      <c r="V219" s="685"/>
      <c r="W219" s="685"/>
      <c r="X219" s="685"/>
      <c r="Y219" s="685"/>
      <c r="Z219" s="685"/>
      <c r="AA219" s="685"/>
      <c r="AB219" s="685"/>
      <c r="AC219" s="685"/>
      <c r="AD219" s="685"/>
      <c r="AE219" s="685"/>
      <c r="AF219" s="685"/>
      <c r="AG219" s="685"/>
      <c r="AH219" s="685"/>
      <c r="AI219" s="685"/>
      <c r="AJ219" s="685"/>
      <c r="AK219" s="685"/>
      <c r="AL219" s="685"/>
      <c r="AM219" s="685"/>
      <c r="AN219" s="685"/>
      <c r="AO219" s="685"/>
      <c r="AP219" s="685"/>
      <c r="BA219" s="685"/>
      <c r="BB219" s="685"/>
    </row>
    <row r="220" spans="1:54">
      <c r="A220" s="685"/>
      <c r="B220" s="685"/>
      <c r="C220" s="685"/>
      <c r="D220" s="685"/>
      <c r="E220" s="685"/>
      <c r="F220" s="685"/>
      <c r="G220" s="685"/>
      <c r="H220" s="685"/>
      <c r="I220" s="685"/>
      <c r="J220" s="685"/>
      <c r="K220" s="685"/>
      <c r="L220" s="685"/>
      <c r="M220" s="685"/>
      <c r="N220" s="685"/>
      <c r="O220" s="685"/>
      <c r="P220" s="685"/>
      <c r="Q220" s="685"/>
      <c r="R220" s="685"/>
      <c r="S220" s="685"/>
      <c r="T220" s="115"/>
      <c r="U220" s="115"/>
      <c r="V220" s="685"/>
      <c r="W220" s="685"/>
      <c r="X220" s="685"/>
      <c r="Y220" s="685"/>
      <c r="Z220" s="685"/>
      <c r="AA220" s="685"/>
      <c r="AB220" s="685"/>
      <c r="AC220" s="685"/>
      <c r="AD220" s="685"/>
      <c r="AE220" s="685"/>
      <c r="AF220" s="685"/>
      <c r="AG220" s="685"/>
      <c r="AH220" s="685"/>
      <c r="AI220" s="685"/>
      <c r="AJ220" s="685"/>
      <c r="AK220" s="685"/>
      <c r="AL220" s="685"/>
      <c r="AM220" s="685"/>
      <c r="AN220" s="685"/>
      <c r="AO220" s="685"/>
      <c r="AP220" s="685"/>
      <c r="BA220" s="685"/>
      <c r="BB220" s="685"/>
    </row>
    <row r="221" spans="1:54">
      <c r="A221" s="685"/>
      <c r="B221" s="685"/>
      <c r="C221" s="685"/>
      <c r="D221" s="685"/>
      <c r="E221" s="685"/>
      <c r="F221" s="685"/>
      <c r="G221" s="685"/>
      <c r="H221" s="685"/>
      <c r="I221" s="685"/>
      <c r="J221" s="685"/>
      <c r="K221" s="685"/>
      <c r="L221" s="685"/>
      <c r="M221" s="685"/>
      <c r="N221" s="685"/>
      <c r="O221" s="685"/>
      <c r="P221" s="685"/>
      <c r="Q221" s="685"/>
      <c r="R221" s="685"/>
      <c r="S221" s="685"/>
      <c r="T221" s="115"/>
      <c r="U221" s="115"/>
      <c r="V221" s="685"/>
      <c r="W221" s="685"/>
      <c r="X221" s="685"/>
      <c r="Y221" s="685"/>
      <c r="Z221" s="685"/>
      <c r="AA221" s="685"/>
      <c r="AB221" s="685"/>
      <c r="AC221" s="685"/>
      <c r="AD221" s="685"/>
      <c r="AE221" s="685"/>
      <c r="AF221" s="685"/>
      <c r="AG221" s="685"/>
      <c r="AH221" s="685"/>
      <c r="AI221" s="685"/>
      <c r="AJ221" s="685"/>
      <c r="AK221" s="685"/>
      <c r="AL221" s="685"/>
      <c r="AM221" s="685"/>
      <c r="AN221" s="685"/>
      <c r="AO221" s="685"/>
      <c r="AP221" s="685"/>
      <c r="BA221" s="685"/>
      <c r="BB221" s="685"/>
    </row>
    <row r="222" spans="1:54">
      <c r="A222" s="685"/>
      <c r="B222" s="685"/>
      <c r="C222" s="685"/>
      <c r="D222" s="685"/>
      <c r="E222" s="685"/>
      <c r="F222" s="685"/>
      <c r="G222" s="685"/>
      <c r="H222" s="685"/>
      <c r="I222" s="685"/>
      <c r="J222" s="685"/>
      <c r="K222" s="685"/>
      <c r="L222" s="685"/>
      <c r="M222" s="685"/>
      <c r="N222" s="685"/>
      <c r="O222" s="685"/>
      <c r="P222" s="685"/>
      <c r="Q222" s="685"/>
      <c r="R222" s="685"/>
      <c r="S222" s="685"/>
      <c r="T222" s="115"/>
      <c r="U222" s="115"/>
      <c r="V222" s="685"/>
      <c r="W222" s="685"/>
      <c r="X222" s="685"/>
      <c r="Y222" s="685"/>
      <c r="Z222" s="685"/>
      <c r="AA222" s="685"/>
      <c r="AB222" s="685"/>
      <c r="AC222" s="685"/>
      <c r="AD222" s="685"/>
      <c r="AE222" s="685"/>
      <c r="AF222" s="685"/>
      <c r="AG222" s="685"/>
      <c r="AH222" s="685"/>
      <c r="AI222" s="685"/>
      <c r="AJ222" s="685"/>
      <c r="AK222" s="685"/>
      <c r="AL222" s="685"/>
      <c r="AM222" s="685"/>
      <c r="AN222" s="685"/>
      <c r="AO222" s="685"/>
      <c r="AP222" s="685"/>
      <c r="BA222" s="685"/>
      <c r="BB222" s="685"/>
    </row>
    <row r="223" spans="1:54">
      <c r="A223" s="685"/>
      <c r="B223" s="685"/>
      <c r="C223" s="685"/>
      <c r="D223" s="685"/>
      <c r="E223" s="685"/>
      <c r="F223" s="685"/>
      <c r="G223" s="685"/>
      <c r="H223" s="685"/>
      <c r="I223" s="685"/>
      <c r="J223" s="685"/>
      <c r="K223" s="685"/>
      <c r="L223" s="685"/>
      <c r="M223" s="685"/>
      <c r="N223" s="685"/>
      <c r="O223" s="685"/>
      <c r="P223" s="685"/>
      <c r="Q223" s="685"/>
      <c r="R223" s="685"/>
      <c r="S223" s="685"/>
      <c r="T223" s="115"/>
      <c r="U223" s="115"/>
      <c r="V223" s="685"/>
      <c r="W223" s="685"/>
      <c r="X223" s="685"/>
      <c r="Y223" s="685"/>
      <c r="Z223" s="685"/>
      <c r="AA223" s="685"/>
      <c r="AB223" s="685"/>
      <c r="AC223" s="685"/>
      <c r="AD223" s="685"/>
      <c r="AE223" s="685"/>
      <c r="AF223" s="685"/>
      <c r="AG223" s="685"/>
      <c r="AH223" s="685"/>
      <c r="AI223" s="685"/>
      <c r="AJ223" s="685"/>
      <c r="AK223" s="685"/>
      <c r="AL223" s="685"/>
      <c r="AM223" s="685"/>
      <c r="AN223" s="685"/>
      <c r="AO223" s="685"/>
      <c r="AP223" s="685"/>
      <c r="BA223" s="685"/>
      <c r="BB223" s="685"/>
    </row>
    <row r="224" spans="1:54">
      <c r="A224" s="685"/>
      <c r="B224" s="685"/>
      <c r="C224" s="685"/>
      <c r="D224" s="685"/>
      <c r="E224" s="685"/>
      <c r="F224" s="685"/>
      <c r="G224" s="685"/>
      <c r="H224" s="685"/>
      <c r="I224" s="685"/>
      <c r="J224" s="685"/>
      <c r="K224" s="685"/>
      <c r="L224" s="685"/>
      <c r="M224" s="685"/>
      <c r="N224" s="685"/>
      <c r="O224" s="685"/>
      <c r="P224" s="685"/>
      <c r="Q224" s="685"/>
      <c r="R224" s="685"/>
      <c r="S224" s="685"/>
      <c r="T224" s="115"/>
      <c r="U224" s="115"/>
      <c r="V224" s="685"/>
      <c r="W224" s="685"/>
      <c r="X224" s="685"/>
      <c r="Y224" s="685"/>
      <c r="Z224" s="685"/>
      <c r="AA224" s="685"/>
      <c r="AB224" s="685"/>
      <c r="AC224" s="685"/>
      <c r="AD224" s="685"/>
      <c r="AE224" s="685"/>
      <c r="AF224" s="685"/>
      <c r="AG224" s="685"/>
      <c r="AH224" s="685"/>
      <c r="AI224" s="685"/>
      <c r="AJ224" s="685"/>
      <c r="AK224" s="685"/>
      <c r="AL224" s="685"/>
      <c r="AM224" s="685"/>
      <c r="AN224" s="685"/>
      <c r="AO224" s="685"/>
      <c r="AP224" s="685"/>
      <c r="BA224" s="685"/>
      <c r="BB224" s="685"/>
    </row>
    <row r="225" spans="1:54">
      <c r="A225" s="685"/>
      <c r="B225" s="685"/>
      <c r="C225" s="685"/>
      <c r="D225" s="685"/>
      <c r="E225" s="685"/>
      <c r="F225" s="685"/>
      <c r="G225" s="685"/>
      <c r="H225" s="685"/>
      <c r="I225" s="685"/>
      <c r="J225" s="685"/>
      <c r="K225" s="685"/>
      <c r="L225" s="685"/>
      <c r="M225" s="685"/>
      <c r="N225" s="685"/>
      <c r="O225" s="685"/>
      <c r="P225" s="685"/>
      <c r="Q225" s="685"/>
      <c r="R225" s="685"/>
      <c r="S225" s="685"/>
      <c r="T225" s="115"/>
      <c r="U225" s="115"/>
      <c r="V225" s="685"/>
      <c r="W225" s="685"/>
      <c r="X225" s="685"/>
      <c r="Y225" s="685"/>
      <c r="Z225" s="685"/>
      <c r="AA225" s="685"/>
      <c r="AB225" s="685"/>
      <c r="AC225" s="685"/>
      <c r="AD225" s="685"/>
      <c r="AE225" s="685"/>
      <c r="AF225" s="685"/>
      <c r="AG225" s="685"/>
      <c r="AH225" s="685"/>
      <c r="AI225" s="685"/>
      <c r="AJ225" s="685"/>
      <c r="AK225" s="685"/>
      <c r="AL225" s="685"/>
      <c r="AM225" s="685"/>
      <c r="AN225" s="685"/>
      <c r="AO225" s="685"/>
      <c r="AP225" s="685"/>
      <c r="BA225" s="685"/>
      <c r="BB225" s="685"/>
    </row>
    <row r="226" spans="1:54">
      <c r="A226" s="685"/>
      <c r="B226" s="685"/>
      <c r="C226" s="685"/>
      <c r="D226" s="685"/>
      <c r="E226" s="685"/>
      <c r="F226" s="685"/>
      <c r="G226" s="685"/>
      <c r="H226" s="685"/>
      <c r="I226" s="685"/>
      <c r="J226" s="685"/>
      <c r="K226" s="685"/>
      <c r="L226" s="685"/>
      <c r="M226" s="685"/>
      <c r="N226" s="685"/>
      <c r="O226" s="685"/>
      <c r="P226" s="685"/>
      <c r="Q226" s="685"/>
      <c r="R226" s="685"/>
      <c r="S226" s="685"/>
      <c r="T226" s="115"/>
      <c r="U226" s="115"/>
      <c r="V226" s="685"/>
      <c r="W226" s="685"/>
      <c r="X226" s="685"/>
      <c r="Y226" s="685"/>
      <c r="Z226" s="685"/>
      <c r="AA226" s="685"/>
      <c r="AB226" s="685"/>
      <c r="AC226" s="685"/>
      <c r="AD226" s="685"/>
      <c r="AE226" s="685"/>
      <c r="AF226" s="685"/>
      <c r="AG226" s="685"/>
      <c r="AH226" s="685"/>
      <c r="AI226" s="685"/>
      <c r="AJ226" s="685"/>
      <c r="AK226" s="685"/>
      <c r="AL226" s="685"/>
      <c r="AM226" s="685"/>
      <c r="AN226" s="685"/>
      <c r="AO226" s="685"/>
      <c r="AP226" s="685"/>
      <c r="BA226" s="685"/>
      <c r="BB226" s="685"/>
    </row>
    <row r="227" spans="1:54">
      <c r="A227" s="685"/>
      <c r="B227" s="685"/>
      <c r="C227" s="685"/>
      <c r="D227" s="685"/>
      <c r="E227" s="685"/>
      <c r="F227" s="685"/>
      <c r="G227" s="685"/>
      <c r="H227" s="685"/>
      <c r="I227" s="685"/>
      <c r="J227" s="685"/>
      <c r="K227" s="685"/>
      <c r="L227" s="685"/>
      <c r="M227" s="685"/>
      <c r="N227" s="685"/>
      <c r="O227" s="685"/>
      <c r="P227" s="685"/>
      <c r="Q227" s="685"/>
      <c r="R227" s="685"/>
      <c r="S227" s="685"/>
      <c r="T227" s="115"/>
      <c r="U227" s="115"/>
      <c r="V227" s="685"/>
      <c r="W227" s="685"/>
      <c r="X227" s="685"/>
      <c r="Y227" s="685"/>
      <c r="Z227" s="685"/>
      <c r="AA227" s="685"/>
      <c r="AB227" s="685"/>
      <c r="AC227" s="685"/>
      <c r="AD227" s="685"/>
      <c r="AE227" s="685"/>
      <c r="AF227" s="685"/>
      <c r="AG227" s="685"/>
      <c r="AH227" s="685"/>
      <c r="AI227" s="685"/>
      <c r="AJ227" s="685"/>
      <c r="AK227" s="685"/>
      <c r="AL227" s="685"/>
      <c r="AM227" s="685"/>
      <c r="AN227" s="685"/>
      <c r="AO227" s="685"/>
      <c r="AP227" s="685"/>
      <c r="BA227" s="685"/>
      <c r="BB227" s="685"/>
    </row>
    <row r="228" spans="1:54">
      <c r="A228" s="685"/>
      <c r="B228" s="685"/>
      <c r="C228" s="685"/>
      <c r="D228" s="685"/>
      <c r="E228" s="685"/>
      <c r="F228" s="685"/>
      <c r="G228" s="685"/>
      <c r="H228" s="685"/>
      <c r="I228" s="685"/>
      <c r="J228" s="685"/>
      <c r="K228" s="685"/>
      <c r="L228" s="685"/>
      <c r="M228" s="685"/>
      <c r="N228" s="685"/>
      <c r="O228" s="685"/>
      <c r="P228" s="685"/>
      <c r="Q228" s="685"/>
      <c r="R228" s="685"/>
      <c r="S228" s="685"/>
      <c r="T228" s="115"/>
      <c r="U228" s="115"/>
      <c r="V228" s="685"/>
      <c r="W228" s="685"/>
      <c r="X228" s="685"/>
      <c r="Y228" s="685"/>
      <c r="Z228" s="685"/>
      <c r="AA228" s="685"/>
      <c r="AB228" s="685"/>
      <c r="AC228" s="685"/>
      <c r="AD228" s="685"/>
      <c r="AE228" s="685"/>
      <c r="AF228" s="685"/>
      <c r="AG228" s="685"/>
      <c r="AH228" s="685"/>
      <c r="AI228" s="685"/>
      <c r="AJ228" s="685"/>
      <c r="AK228" s="685"/>
      <c r="AL228" s="685"/>
      <c r="AM228" s="685"/>
      <c r="AN228" s="685"/>
      <c r="AO228" s="685"/>
      <c r="AP228" s="685"/>
      <c r="BA228" s="685"/>
      <c r="BB228" s="685"/>
    </row>
    <row r="229" spans="1:54">
      <c r="A229" s="685"/>
      <c r="B229" s="685"/>
      <c r="C229" s="685"/>
      <c r="D229" s="685"/>
      <c r="E229" s="685"/>
      <c r="F229" s="685"/>
      <c r="G229" s="685"/>
      <c r="H229" s="685"/>
      <c r="I229" s="685"/>
      <c r="J229" s="685"/>
      <c r="K229" s="685"/>
      <c r="L229" s="685"/>
      <c r="M229" s="685"/>
      <c r="N229" s="685"/>
      <c r="O229" s="685"/>
      <c r="P229" s="685"/>
      <c r="Q229" s="685"/>
      <c r="R229" s="685"/>
      <c r="S229" s="685"/>
      <c r="T229" s="115"/>
      <c r="U229" s="115"/>
      <c r="V229" s="685"/>
      <c r="W229" s="685"/>
      <c r="X229" s="685"/>
      <c r="Y229" s="685"/>
      <c r="Z229" s="685"/>
      <c r="AA229" s="685"/>
      <c r="AB229" s="685"/>
      <c r="AC229" s="685"/>
      <c r="AD229" s="685"/>
      <c r="AE229" s="685"/>
      <c r="AF229" s="685"/>
      <c r="AG229" s="685"/>
      <c r="AH229" s="685"/>
      <c r="AI229" s="685"/>
      <c r="AJ229" s="685"/>
      <c r="AK229" s="685"/>
      <c r="AL229" s="685"/>
      <c r="AM229" s="685"/>
      <c r="AN229" s="685"/>
      <c r="AO229" s="685"/>
      <c r="AP229" s="685"/>
      <c r="BA229" s="685"/>
      <c r="BB229" s="685"/>
    </row>
    <row r="230" spans="1:54">
      <c r="A230" s="685"/>
      <c r="B230" s="685"/>
      <c r="C230" s="685"/>
      <c r="D230" s="685"/>
      <c r="E230" s="685"/>
      <c r="F230" s="685"/>
      <c r="G230" s="685"/>
      <c r="H230" s="685"/>
      <c r="I230" s="685"/>
      <c r="J230" s="685"/>
      <c r="K230" s="685"/>
      <c r="L230" s="685"/>
      <c r="M230" s="685"/>
      <c r="N230" s="685"/>
      <c r="O230" s="685"/>
      <c r="P230" s="685"/>
      <c r="Q230" s="685"/>
      <c r="R230" s="685"/>
      <c r="S230" s="685"/>
      <c r="T230" s="115"/>
      <c r="U230" s="115"/>
      <c r="V230" s="685"/>
      <c r="W230" s="685"/>
      <c r="X230" s="685"/>
      <c r="Y230" s="685"/>
      <c r="Z230" s="685"/>
      <c r="AA230" s="685"/>
      <c r="AB230" s="685"/>
      <c r="AC230" s="685"/>
      <c r="AD230" s="685"/>
      <c r="AE230" s="685"/>
      <c r="AF230" s="685"/>
      <c r="AG230" s="685"/>
      <c r="AH230" s="685"/>
      <c r="AI230" s="685"/>
      <c r="AJ230" s="685"/>
      <c r="AK230" s="685"/>
      <c r="AL230" s="685"/>
      <c r="AM230" s="685"/>
      <c r="AN230" s="685"/>
      <c r="AO230" s="685"/>
      <c r="AP230" s="685"/>
      <c r="BA230" s="685"/>
      <c r="BB230" s="685"/>
    </row>
    <row r="231" spans="1:54">
      <c r="A231" s="685"/>
      <c r="B231" s="685"/>
      <c r="C231" s="685"/>
      <c r="D231" s="685"/>
      <c r="E231" s="685"/>
      <c r="F231" s="685"/>
      <c r="G231" s="685"/>
      <c r="H231" s="685"/>
      <c r="I231" s="685"/>
      <c r="J231" s="685"/>
      <c r="K231" s="685"/>
      <c r="L231" s="685"/>
      <c r="M231" s="685"/>
      <c r="N231" s="685"/>
      <c r="O231" s="685"/>
      <c r="P231" s="685"/>
      <c r="Q231" s="685"/>
      <c r="R231" s="685"/>
      <c r="S231" s="685"/>
      <c r="T231" s="115"/>
      <c r="U231" s="115"/>
      <c r="V231" s="685"/>
      <c r="W231" s="685"/>
      <c r="X231" s="685"/>
      <c r="Y231" s="685"/>
      <c r="Z231" s="685"/>
      <c r="AA231" s="685"/>
      <c r="AB231" s="685"/>
      <c r="AC231" s="685"/>
      <c r="AD231" s="685"/>
      <c r="AE231" s="685"/>
      <c r="AF231" s="685"/>
      <c r="AG231" s="685"/>
      <c r="AH231" s="685"/>
      <c r="AI231" s="685"/>
      <c r="AJ231" s="685"/>
      <c r="AK231" s="685"/>
      <c r="AL231" s="685"/>
      <c r="AM231" s="685"/>
      <c r="AN231" s="685"/>
      <c r="AO231" s="685"/>
      <c r="AP231" s="685"/>
      <c r="BA231" s="685"/>
      <c r="BB231" s="685"/>
    </row>
    <row r="232" spans="1:54">
      <c r="A232" s="685"/>
      <c r="B232" s="685"/>
      <c r="C232" s="685"/>
      <c r="D232" s="685"/>
      <c r="E232" s="685"/>
      <c r="F232" s="685"/>
      <c r="G232" s="685"/>
      <c r="H232" s="685"/>
      <c r="I232" s="685"/>
      <c r="J232" s="685"/>
      <c r="K232" s="685"/>
      <c r="L232" s="685"/>
      <c r="M232" s="685"/>
      <c r="N232" s="685"/>
      <c r="O232" s="685"/>
      <c r="P232" s="685"/>
      <c r="Q232" s="685"/>
      <c r="R232" s="685"/>
      <c r="S232" s="685"/>
      <c r="T232" s="115"/>
      <c r="U232" s="115"/>
      <c r="V232" s="685"/>
      <c r="W232" s="685"/>
      <c r="X232" s="685"/>
      <c r="Y232" s="685"/>
      <c r="Z232" s="685"/>
      <c r="AA232" s="685"/>
      <c r="AB232" s="685"/>
      <c r="AC232" s="685"/>
      <c r="AD232" s="685"/>
      <c r="AE232" s="685"/>
      <c r="AF232" s="685"/>
      <c r="AG232" s="685"/>
      <c r="AH232" s="685"/>
      <c r="AI232" s="685"/>
      <c r="AJ232" s="685"/>
      <c r="AK232" s="685"/>
      <c r="AL232" s="685"/>
      <c r="AM232" s="685"/>
      <c r="AN232" s="685"/>
      <c r="AO232" s="685"/>
      <c r="AP232" s="685"/>
      <c r="BA232" s="685"/>
      <c r="BB232" s="685"/>
    </row>
    <row r="233" spans="1:54">
      <c r="A233" s="685"/>
      <c r="B233" s="685"/>
      <c r="C233" s="685"/>
      <c r="D233" s="685"/>
      <c r="E233" s="685"/>
      <c r="F233" s="685"/>
      <c r="G233" s="685"/>
      <c r="H233" s="685"/>
      <c r="I233" s="685"/>
      <c r="J233" s="685"/>
      <c r="K233" s="685"/>
      <c r="L233" s="685"/>
      <c r="M233" s="685"/>
      <c r="N233" s="685"/>
      <c r="O233" s="685"/>
      <c r="P233" s="685"/>
      <c r="Q233" s="685"/>
      <c r="R233" s="685"/>
      <c r="S233" s="685"/>
      <c r="T233" s="115"/>
      <c r="U233" s="115"/>
      <c r="V233" s="685"/>
      <c r="W233" s="685"/>
      <c r="X233" s="685"/>
      <c r="Y233" s="685"/>
      <c r="Z233" s="685"/>
      <c r="AA233" s="685"/>
      <c r="AB233" s="685"/>
      <c r="AC233" s="685"/>
      <c r="AD233" s="685"/>
      <c r="AE233" s="685"/>
      <c r="AF233" s="685"/>
      <c r="AG233" s="685"/>
      <c r="AH233" s="685"/>
      <c r="AI233" s="685"/>
      <c r="AJ233" s="685"/>
      <c r="AK233" s="685"/>
      <c r="AL233" s="685"/>
      <c r="AM233" s="685"/>
      <c r="AN233" s="685"/>
      <c r="AO233" s="685"/>
      <c r="AP233" s="685"/>
      <c r="BA233" s="685"/>
      <c r="BB233" s="685"/>
    </row>
    <row r="234" spans="1:54">
      <c r="A234" s="685"/>
      <c r="B234" s="685"/>
      <c r="C234" s="685"/>
      <c r="D234" s="685"/>
      <c r="E234" s="685"/>
      <c r="F234" s="685"/>
      <c r="G234" s="685"/>
      <c r="H234" s="685"/>
      <c r="I234" s="685"/>
      <c r="J234" s="685"/>
      <c r="K234" s="685"/>
      <c r="L234" s="685"/>
      <c r="M234" s="685"/>
      <c r="N234" s="685"/>
      <c r="O234" s="685"/>
      <c r="P234" s="685"/>
      <c r="Q234" s="685"/>
      <c r="R234" s="685"/>
      <c r="S234" s="685"/>
      <c r="T234" s="115"/>
      <c r="U234" s="115"/>
      <c r="V234" s="685"/>
      <c r="W234" s="685"/>
      <c r="X234" s="685"/>
      <c r="Y234" s="685"/>
      <c r="Z234" s="685"/>
      <c r="AA234" s="685"/>
      <c r="AB234" s="685"/>
      <c r="AC234" s="685"/>
      <c r="AD234" s="685"/>
      <c r="AE234" s="685"/>
      <c r="AF234" s="685"/>
      <c r="AG234" s="685"/>
      <c r="AH234" s="685"/>
      <c r="AI234" s="685"/>
      <c r="AJ234" s="685"/>
      <c r="AK234" s="685"/>
      <c r="AL234" s="685"/>
      <c r="AM234" s="685"/>
      <c r="AN234" s="685"/>
      <c r="AO234" s="685"/>
      <c r="AP234" s="685"/>
      <c r="BA234" s="685"/>
      <c r="BB234" s="685"/>
    </row>
    <row r="235" spans="1:54">
      <c r="A235" s="685"/>
      <c r="B235" s="685"/>
      <c r="C235" s="685"/>
      <c r="D235" s="685"/>
      <c r="E235" s="685"/>
      <c r="F235" s="685"/>
      <c r="G235" s="685"/>
      <c r="H235" s="685"/>
      <c r="I235" s="685"/>
      <c r="J235" s="685"/>
      <c r="K235" s="685"/>
      <c r="L235" s="685"/>
      <c r="M235" s="685"/>
      <c r="N235" s="685"/>
      <c r="O235" s="685"/>
      <c r="P235" s="685"/>
      <c r="Q235" s="685"/>
      <c r="R235" s="685"/>
      <c r="S235" s="685"/>
      <c r="T235" s="115"/>
      <c r="U235" s="115"/>
      <c r="V235" s="685"/>
      <c r="W235" s="685"/>
      <c r="X235" s="685"/>
      <c r="Y235" s="685"/>
      <c r="Z235" s="685"/>
      <c r="AA235" s="685"/>
      <c r="AB235" s="685"/>
      <c r="AC235" s="685"/>
      <c r="AD235" s="685"/>
      <c r="AE235" s="685"/>
      <c r="AF235" s="685"/>
      <c r="AG235" s="685"/>
      <c r="AH235" s="685"/>
      <c r="AI235" s="685"/>
      <c r="AJ235" s="685"/>
      <c r="AK235" s="685"/>
      <c r="AL235" s="685"/>
      <c r="AM235" s="685"/>
      <c r="AN235" s="685"/>
      <c r="AO235" s="685"/>
      <c r="AP235" s="685"/>
      <c r="BA235" s="685"/>
      <c r="BB235" s="685"/>
    </row>
    <row r="236" spans="1:54">
      <c r="A236" s="685"/>
      <c r="B236" s="685"/>
      <c r="C236" s="685"/>
      <c r="D236" s="685"/>
      <c r="E236" s="685"/>
      <c r="F236" s="685"/>
      <c r="G236" s="685"/>
      <c r="H236" s="685"/>
      <c r="I236" s="685"/>
      <c r="J236" s="685"/>
      <c r="K236" s="685"/>
      <c r="L236" s="685"/>
      <c r="M236" s="685"/>
      <c r="N236" s="685"/>
      <c r="O236" s="685"/>
      <c r="P236" s="685"/>
      <c r="Q236" s="685"/>
      <c r="R236" s="685"/>
      <c r="S236" s="685"/>
      <c r="T236" s="115"/>
      <c r="U236" s="115"/>
      <c r="V236" s="685"/>
      <c r="W236" s="685"/>
      <c r="X236" s="685"/>
      <c r="Y236" s="685"/>
      <c r="Z236" s="685"/>
      <c r="AA236" s="685"/>
      <c r="AB236" s="685"/>
      <c r="AC236" s="685"/>
      <c r="AD236" s="685"/>
      <c r="AE236" s="685"/>
      <c r="AF236" s="685"/>
      <c r="AG236" s="685"/>
      <c r="AH236" s="685"/>
      <c r="AI236" s="685"/>
      <c r="AJ236" s="685"/>
      <c r="AK236" s="685"/>
      <c r="AL236" s="685"/>
      <c r="AM236" s="685"/>
      <c r="AN236" s="685"/>
      <c r="AO236" s="685"/>
      <c r="AP236" s="685"/>
      <c r="BA236" s="685"/>
      <c r="BB236" s="685"/>
    </row>
    <row r="237" spans="1:54">
      <c r="A237" s="685"/>
      <c r="B237" s="685"/>
      <c r="C237" s="685"/>
      <c r="D237" s="685"/>
      <c r="E237" s="685"/>
      <c r="F237" s="685"/>
      <c r="G237" s="685"/>
      <c r="H237" s="685"/>
      <c r="I237" s="685"/>
      <c r="J237" s="685"/>
      <c r="K237" s="685"/>
      <c r="L237" s="685"/>
      <c r="M237" s="685"/>
      <c r="N237" s="685"/>
      <c r="O237" s="685"/>
      <c r="P237" s="685"/>
      <c r="Q237" s="685"/>
      <c r="R237" s="685"/>
      <c r="S237" s="685"/>
      <c r="T237" s="115"/>
      <c r="U237" s="115"/>
      <c r="V237" s="685"/>
      <c r="W237" s="685"/>
      <c r="X237" s="685"/>
      <c r="Y237" s="685"/>
      <c r="Z237" s="685"/>
      <c r="AA237" s="685"/>
      <c r="AB237" s="685"/>
      <c r="AC237" s="685"/>
      <c r="AD237" s="685"/>
      <c r="AE237" s="685"/>
      <c r="AF237" s="685"/>
      <c r="AG237" s="685"/>
      <c r="AH237" s="685"/>
      <c r="AI237" s="685"/>
      <c r="AJ237" s="685"/>
      <c r="AK237" s="685"/>
      <c r="AL237" s="685"/>
      <c r="AM237" s="685"/>
      <c r="AN237" s="685"/>
      <c r="AO237" s="685"/>
      <c r="AP237" s="685"/>
      <c r="BA237" s="685"/>
      <c r="BB237" s="685"/>
    </row>
    <row r="238" spans="1:54">
      <c r="A238" s="685"/>
      <c r="B238" s="685"/>
      <c r="C238" s="685"/>
      <c r="D238" s="685"/>
      <c r="E238" s="685"/>
      <c r="F238" s="685"/>
      <c r="G238" s="685"/>
      <c r="H238" s="685"/>
      <c r="I238" s="685"/>
      <c r="J238" s="685"/>
      <c r="K238" s="685"/>
      <c r="L238" s="685"/>
      <c r="M238" s="685"/>
      <c r="N238" s="685"/>
      <c r="O238" s="685"/>
      <c r="P238" s="685"/>
      <c r="Q238" s="685"/>
      <c r="R238" s="685"/>
      <c r="S238" s="685"/>
      <c r="T238" s="115"/>
      <c r="U238" s="115"/>
      <c r="V238" s="685"/>
      <c r="W238" s="685"/>
      <c r="X238" s="685"/>
      <c r="Y238" s="685"/>
      <c r="Z238" s="685"/>
      <c r="AA238" s="685"/>
      <c r="AB238" s="685"/>
      <c r="AC238" s="685"/>
      <c r="AD238" s="685"/>
      <c r="AE238" s="685"/>
      <c r="AF238" s="685"/>
      <c r="AG238" s="685"/>
      <c r="AH238" s="685"/>
      <c r="AI238" s="685"/>
      <c r="AJ238" s="685"/>
      <c r="AK238" s="685"/>
      <c r="AL238" s="685"/>
      <c r="AM238" s="685"/>
      <c r="AN238" s="685"/>
      <c r="AO238" s="685"/>
      <c r="AP238" s="685"/>
      <c r="BA238" s="685"/>
      <c r="BB238" s="685"/>
    </row>
    <row r="239" spans="1:54">
      <c r="A239" s="685"/>
      <c r="B239" s="685"/>
      <c r="C239" s="685"/>
      <c r="D239" s="685"/>
      <c r="E239" s="685"/>
      <c r="F239" s="685"/>
      <c r="G239" s="685"/>
      <c r="H239" s="685"/>
      <c r="I239" s="685"/>
      <c r="J239" s="685"/>
      <c r="K239" s="685"/>
      <c r="L239" s="685"/>
      <c r="M239" s="685"/>
      <c r="N239" s="685"/>
      <c r="O239" s="685"/>
      <c r="P239" s="685"/>
      <c r="Q239" s="685"/>
      <c r="R239" s="685"/>
      <c r="S239" s="685"/>
      <c r="T239" s="115"/>
      <c r="U239" s="115"/>
      <c r="V239" s="685"/>
      <c r="W239" s="685"/>
      <c r="X239" s="685"/>
      <c r="Y239" s="685"/>
      <c r="Z239" s="685"/>
      <c r="AA239" s="685"/>
      <c r="AB239" s="685"/>
      <c r="AC239" s="685"/>
      <c r="AD239" s="685"/>
      <c r="AE239" s="685"/>
      <c r="AF239" s="685"/>
      <c r="AG239" s="685"/>
      <c r="AH239" s="685"/>
      <c r="AI239" s="685"/>
      <c r="AJ239" s="685"/>
      <c r="AK239" s="685"/>
      <c r="AL239" s="685"/>
      <c r="AM239" s="685"/>
      <c r="AN239" s="685"/>
      <c r="AO239" s="685"/>
      <c r="AP239" s="685"/>
      <c r="BA239" s="685"/>
      <c r="BB239" s="685"/>
    </row>
    <row r="240" spans="1:54">
      <c r="A240" s="685"/>
      <c r="B240" s="685"/>
      <c r="C240" s="685"/>
      <c r="D240" s="685"/>
      <c r="E240" s="685"/>
      <c r="F240" s="685"/>
      <c r="G240" s="685"/>
      <c r="H240" s="685"/>
      <c r="I240" s="685"/>
      <c r="J240" s="685"/>
      <c r="K240" s="685"/>
      <c r="L240" s="685"/>
      <c r="M240" s="685"/>
      <c r="N240" s="685"/>
      <c r="O240" s="685"/>
      <c r="P240" s="685"/>
      <c r="Q240" s="685"/>
      <c r="R240" s="685"/>
      <c r="S240" s="685"/>
      <c r="T240" s="115"/>
      <c r="U240" s="115"/>
      <c r="V240" s="685"/>
      <c r="W240" s="685"/>
      <c r="X240" s="685"/>
      <c r="Y240" s="685"/>
      <c r="Z240" s="685"/>
      <c r="AA240" s="685"/>
      <c r="AB240" s="685"/>
      <c r="AC240" s="685"/>
      <c r="AD240" s="685"/>
      <c r="AE240" s="685"/>
      <c r="AF240" s="685"/>
      <c r="AG240" s="685"/>
      <c r="AH240" s="685"/>
      <c r="AI240" s="685"/>
      <c r="AJ240" s="685"/>
      <c r="AK240" s="685"/>
      <c r="AL240" s="685"/>
      <c r="AM240" s="685"/>
      <c r="AN240" s="685"/>
      <c r="AO240" s="685"/>
      <c r="AP240" s="685"/>
      <c r="BA240" s="685"/>
      <c r="BB240" s="685"/>
    </row>
    <row r="241" spans="1:54">
      <c r="A241" s="685"/>
      <c r="B241" s="685"/>
      <c r="C241" s="685"/>
      <c r="D241" s="685"/>
      <c r="E241" s="685"/>
      <c r="F241" s="685"/>
      <c r="G241" s="685"/>
      <c r="H241" s="685"/>
      <c r="I241" s="685"/>
      <c r="J241" s="685"/>
      <c r="K241" s="685"/>
      <c r="L241" s="685"/>
      <c r="M241" s="685"/>
      <c r="N241" s="685"/>
      <c r="O241" s="685"/>
      <c r="P241" s="685"/>
      <c r="Q241" s="685"/>
      <c r="R241" s="685"/>
      <c r="S241" s="685"/>
      <c r="T241" s="115"/>
      <c r="U241" s="115"/>
      <c r="V241" s="685"/>
      <c r="W241" s="685"/>
      <c r="X241" s="685"/>
      <c r="Y241" s="685"/>
      <c r="Z241" s="685"/>
      <c r="AA241" s="685"/>
      <c r="AB241" s="685"/>
      <c r="AC241" s="685"/>
      <c r="AD241" s="685"/>
      <c r="AE241" s="685"/>
      <c r="AF241" s="685"/>
      <c r="AG241" s="685"/>
      <c r="AH241" s="685"/>
      <c r="AI241" s="685"/>
      <c r="AJ241" s="685"/>
      <c r="AK241" s="685"/>
      <c r="AL241" s="685"/>
      <c r="AM241" s="685"/>
      <c r="AN241" s="685"/>
      <c r="AO241" s="685"/>
      <c r="AP241" s="685"/>
      <c r="BA241" s="685"/>
      <c r="BB241" s="685"/>
    </row>
    <row r="242" spans="1:54">
      <c r="A242" s="685"/>
      <c r="B242" s="685"/>
      <c r="C242" s="685"/>
      <c r="D242" s="685"/>
      <c r="E242" s="685"/>
      <c r="F242" s="685"/>
      <c r="G242" s="685"/>
      <c r="H242" s="685"/>
      <c r="I242" s="685"/>
      <c r="J242" s="685"/>
      <c r="K242" s="685"/>
      <c r="L242" s="685"/>
      <c r="M242" s="685"/>
      <c r="N242" s="685"/>
      <c r="O242" s="685"/>
      <c r="P242" s="685"/>
      <c r="Q242" s="685"/>
      <c r="R242" s="685"/>
      <c r="S242" s="685"/>
      <c r="T242" s="115"/>
      <c r="U242" s="115"/>
      <c r="V242" s="685"/>
      <c r="W242" s="685"/>
      <c r="X242" s="685"/>
      <c r="Y242" s="685"/>
      <c r="Z242" s="685"/>
      <c r="AA242" s="685"/>
      <c r="AB242" s="685"/>
      <c r="AC242" s="685"/>
      <c r="AD242" s="685"/>
      <c r="AE242" s="685"/>
      <c r="AF242" s="685"/>
      <c r="AG242" s="685"/>
      <c r="AH242" s="685"/>
      <c r="AI242" s="685"/>
      <c r="AJ242" s="685"/>
      <c r="AK242" s="685"/>
      <c r="AL242" s="685"/>
      <c r="AM242" s="685"/>
      <c r="AN242" s="685"/>
      <c r="AO242" s="685"/>
      <c r="AP242" s="685"/>
      <c r="BA242" s="685"/>
      <c r="BB242" s="685"/>
    </row>
    <row r="243" spans="1:54">
      <c r="A243" s="685"/>
      <c r="B243" s="685"/>
      <c r="C243" s="685"/>
      <c r="D243" s="685"/>
      <c r="E243" s="685"/>
      <c r="F243" s="685"/>
      <c r="G243" s="685"/>
      <c r="H243" s="685"/>
      <c r="I243" s="685"/>
      <c r="J243" s="685"/>
      <c r="K243" s="685"/>
      <c r="L243" s="685"/>
      <c r="M243" s="685"/>
      <c r="N243" s="685"/>
      <c r="O243" s="685"/>
      <c r="P243" s="685"/>
      <c r="Q243" s="685"/>
      <c r="R243" s="685"/>
      <c r="S243" s="685"/>
      <c r="T243" s="115"/>
      <c r="U243" s="115"/>
      <c r="V243" s="685"/>
      <c r="W243" s="685"/>
      <c r="X243" s="685"/>
      <c r="Y243" s="685"/>
      <c r="Z243" s="685"/>
      <c r="AA243" s="685"/>
      <c r="AB243" s="685"/>
      <c r="AC243" s="685"/>
      <c r="AD243" s="685"/>
      <c r="AE243" s="685"/>
      <c r="AF243" s="685"/>
      <c r="AG243" s="685"/>
      <c r="AH243" s="685"/>
      <c r="AI243" s="685"/>
      <c r="AJ243" s="685"/>
      <c r="AK243" s="685"/>
      <c r="AL243" s="685"/>
      <c r="AM243" s="685"/>
      <c r="AN243" s="685"/>
      <c r="AO243" s="685"/>
      <c r="AP243" s="685"/>
      <c r="BA243" s="685"/>
      <c r="BB243" s="685"/>
    </row>
    <row r="244" spans="1:54">
      <c r="A244" s="685"/>
      <c r="B244" s="685"/>
      <c r="C244" s="685"/>
      <c r="D244" s="685"/>
      <c r="E244" s="685"/>
      <c r="F244" s="685"/>
      <c r="G244" s="685"/>
      <c r="H244" s="685"/>
      <c r="I244" s="685"/>
      <c r="J244" s="685"/>
      <c r="K244" s="685"/>
      <c r="L244" s="685"/>
      <c r="M244" s="685"/>
      <c r="N244" s="685"/>
      <c r="O244" s="685"/>
      <c r="P244" s="685"/>
      <c r="Q244" s="685"/>
      <c r="R244" s="685"/>
      <c r="S244" s="685"/>
      <c r="T244" s="115"/>
      <c r="U244" s="115"/>
      <c r="V244" s="685"/>
      <c r="W244" s="685"/>
      <c r="X244" s="685"/>
      <c r="Y244" s="685"/>
      <c r="Z244" s="685"/>
      <c r="AA244" s="685"/>
      <c r="AB244" s="685"/>
      <c r="AC244" s="685"/>
      <c r="AD244" s="685"/>
      <c r="AE244" s="685"/>
      <c r="AF244" s="685"/>
      <c r="AG244" s="685"/>
      <c r="AH244" s="685"/>
      <c r="AI244" s="685"/>
      <c r="AJ244" s="685"/>
      <c r="AK244" s="685"/>
      <c r="AL244" s="685"/>
      <c r="AM244" s="685"/>
      <c r="AN244" s="685"/>
      <c r="AO244" s="685"/>
      <c r="AP244" s="685"/>
      <c r="BA244" s="685"/>
      <c r="BB244" s="685"/>
    </row>
    <row r="245" spans="1:54">
      <c r="A245" s="685"/>
      <c r="B245" s="685"/>
      <c r="C245" s="685"/>
      <c r="D245" s="685"/>
      <c r="E245" s="685"/>
      <c r="F245" s="685"/>
      <c r="G245" s="685"/>
      <c r="H245" s="685"/>
      <c r="I245" s="685"/>
      <c r="J245" s="685"/>
      <c r="K245" s="685"/>
      <c r="L245" s="685"/>
      <c r="M245" s="685"/>
      <c r="N245" s="685"/>
      <c r="O245" s="685"/>
      <c r="P245" s="685"/>
      <c r="Q245" s="685"/>
      <c r="R245" s="685"/>
      <c r="S245" s="685"/>
      <c r="T245" s="115"/>
      <c r="U245" s="115"/>
      <c r="V245" s="685"/>
      <c r="W245" s="685"/>
      <c r="X245" s="685"/>
      <c r="Y245" s="685"/>
      <c r="Z245" s="685"/>
      <c r="AA245" s="685"/>
      <c r="AB245" s="685"/>
      <c r="AC245" s="685"/>
      <c r="AD245" s="685"/>
      <c r="AE245" s="685"/>
      <c r="AF245" s="685"/>
      <c r="AG245" s="685"/>
      <c r="AH245" s="685"/>
      <c r="AI245" s="685"/>
      <c r="AJ245" s="685"/>
      <c r="AK245" s="685"/>
      <c r="AL245" s="685"/>
      <c r="AM245" s="685"/>
      <c r="AN245" s="685"/>
      <c r="AO245" s="685"/>
      <c r="AP245" s="685"/>
      <c r="BA245" s="685"/>
      <c r="BB245" s="685"/>
    </row>
    <row r="246" spans="1:54">
      <c r="A246" s="685"/>
      <c r="B246" s="685"/>
      <c r="C246" s="685"/>
      <c r="D246" s="685"/>
      <c r="E246" s="685"/>
      <c r="F246" s="685"/>
      <c r="G246" s="685"/>
      <c r="H246" s="685"/>
      <c r="I246" s="685"/>
      <c r="J246" s="685"/>
      <c r="K246" s="685"/>
      <c r="L246" s="685"/>
      <c r="M246" s="685"/>
      <c r="N246" s="685"/>
      <c r="O246" s="685"/>
      <c r="P246" s="685"/>
      <c r="Q246" s="685"/>
      <c r="R246" s="685"/>
      <c r="S246" s="685"/>
      <c r="T246" s="115"/>
      <c r="U246" s="115"/>
      <c r="V246" s="685"/>
      <c r="W246" s="685"/>
      <c r="X246" s="685"/>
      <c r="Y246" s="685"/>
      <c r="Z246" s="685"/>
      <c r="AA246" s="685"/>
      <c r="AB246" s="685"/>
      <c r="AC246" s="685"/>
      <c r="AD246" s="685"/>
      <c r="AE246" s="685"/>
      <c r="AF246" s="685"/>
      <c r="AG246" s="685"/>
      <c r="AH246" s="685"/>
      <c r="AI246" s="685"/>
      <c r="AJ246" s="685"/>
      <c r="AK246" s="685"/>
      <c r="AL246" s="685"/>
      <c r="AM246" s="685"/>
      <c r="AN246" s="685"/>
      <c r="AO246" s="685"/>
      <c r="AP246" s="685"/>
      <c r="BA246" s="685"/>
      <c r="BB246" s="685"/>
    </row>
    <row r="247" spans="1:54">
      <c r="A247" s="685"/>
      <c r="B247" s="685"/>
      <c r="C247" s="685"/>
      <c r="D247" s="685"/>
      <c r="E247" s="685"/>
      <c r="F247" s="685"/>
      <c r="G247" s="685"/>
      <c r="H247" s="685"/>
      <c r="I247" s="685"/>
      <c r="J247" s="685"/>
      <c r="K247" s="685"/>
      <c r="L247" s="685"/>
      <c r="M247" s="685"/>
      <c r="N247" s="685"/>
      <c r="O247" s="685"/>
      <c r="P247" s="685"/>
      <c r="Q247" s="685"/>
      <c r="R247" s="685"/>
      <c r="S247" s="685"/>
      <c r="T247" s="115"/>
      <c r="U247" s="115"/>
      <c r="V247" s="685"/>
      <c r="W247" s="685"/>
      <c r="X247" s="685"/>
      <c r="Y247" s="685"/>
      <c r="Z247" s="685"/>
      <c r="AA247" s="685"/>
      <c r="AB247" s="685"/>
      <c r="AC247" s="685"/>
      <c r="AD247" s="685"/>
      <c r="AE247" s="685"/>
      <c r="AF247" s="685"/>
      <c r="AG247" s="685"/>
      <c r="AH247" s="685"/>
      <c r="AI247" s="685"/>
      <c r="AJ247" s="685"/>
      <c r="AK247" s="685"/>
      <c r="AL247" s="685"/>
      <c r="AM247" s="685"/>
      <c r="AN247" s="685"/>
      <c r="AO247" s="685"/>
      <c r="AP247" s="685"/>
      <c r="BA247" s="685"/>
      <c r="BB247" s="685"/>
    </row>
    <row r="248" spans="1:54">
      <c r="A248" s="685"/>
      <c r="B248" s="685"/>
      <c r="C248" s="685"/>
      <c r="D248" s="685"/>
      <c r="E248" s="685"/>
      <c r="F248" s="685"/>
      <c r="G248" s="685"/>
      <c r="H248" s="685"/>
      <c r="I248" s="685"/>
      <c r="J248" s="685"/>
      <c r="K248" s="685"/>
      <c r="L248" s="685"/>
      <c r="M248" s="685"/>
      <c r="N248" s="685"/>
      <c r="O248" s="685"/>
      <c r="P248" s="685"/>
      <c r="Q248" s="685"/>
      <c r="R248" s="685"/>
      <c r="S248" s="685"/>
      <c r="T248" s="115"/>
      <c r="U248" s="115"/>
      <c r="V248" s="685"/>
      <c r="W248" s="685"/>
      <c r="X248" s="685"/>
      <c r="Y248" s="685"/>
      <c r="Z248" s="685"/>
      <c r="AA248" s="685"/>
      <c r="AB248" s="685"/>
      <c r="AC248" s="685"/>
      <c r="AD248" s="685"/>
      <c r="AE248" s="685"/>
      <c r="AF248" s="685"/>
      <c r="AG248" s="685"/>
      <c r="AH248" s="685"/>
      <c r="AI248" s="685"/>
      <c r="AJ248" s="685"/>
      <c r="AK248" s="685"/>
      <c r="AL248" s="685"/>
      <c r="AM248" s="685"/>
      <c r="AN248" s="685"/>
      <c r="AO248" s="685"/>
      <c r="AP248" s="685"/>
      <c r="BA248" s="685"/>
      <c r="BB248" s="685"/>
    </row>
    <row r="249" spans="1:54">
      <c r="A249" s="685"/>
      <c r="B249" s="685"/>
      <c r="C249" s="685"/>
      <c r="D249" s="685"/>
      <c r="E249" s="685"/>
      <c r="F249" s="685"/>
      <c r="G249" s="685"/>
      <c r="H249" s="685"/>
      <c r="I249" s="685"/>
      <c r="J249" s="685"/>
      <c r="K249" s="685"/>
      <c r="L249" s="685"/>
      <c r="M249" s="685"/>
      <c r="N249" s="685"/>
      <c r="O249" s="685"/>
      <c r="P249" s="685"/>
      <c r="Q249" s="685"/>
      <c r="R249" s="685"/>
      <c r="S249" s="685"/>
      <c r="T249" s="115"/>
      <c r="U249" s="115"/>
      <c r="V249" s="685"/>
      <c r="W249" s="685"/>
      <c r="X249" s="685"/>
      <c r="Y249" s="685"/>
      <c r="Z249" s="685"/>
      <c r="AA249" s="685"/>
      <c r="AB249" s="685"/>
      <c r="AC249" s="685"/>
      <c r="AD249" s="685"/>
      <c r="AE249" s="685"/>
      <c r="AF249" s="685"/>
      <c r="AG249" s="685"/>
      <c r="AH249" s="685"/>
      <c r="AI249" s="685"/>
      <c r="AJ249" s="685"/>
      <c r="AK249" s="685"/>
      <c r="AL249" s="685"/>
      <c r="AM249" s="685"/>
      <c r="AN249" s="685"/>
      <c r="AO249" s="685"/>
      <c r="AP249" s="685"/>
      <c r="BA249" s="685"/>
      <c r="BB249" s="685"/>
    </row>
    <row r="250" spans="1:54">
      <c r="A250" s="685"/>
      <c r="B250" s="685"/>
      <c r="C250" s="685"/>
      <c r="D250" s="685"/>
      <c r="E250" s="685"/>
      <c r="F250" s="685"/>
      <c r="G250" s="685"/>
      <c r="H250" s="685"/>
      <c r="I250" s="685"/>
      <c r="J250" s="685"/>
      <c r="K250" s="685"/>
      <c r="L250" s="685"/>
      <c r="M250" s="685"/>
      <c r="N250" s="685"/>
      <c r="O250" s="685"/>
      <c r="P250" s="685"/>
      <c r="Q250" s="685"/>
      <c r="R250" s="685"/>
      <c r="S250" s="685"/>
      <c r="T250" s="115"/>
      <c r="U250" s="115"/>
      <c r="V250" s="685"/>
      <c r="W250" s="685"/>
      <c r="X250" s="685"/>
      <c r="Y250" s="685"/>
      <c r="Z250" s="685"/>
      <c r="AA250" s="685"/>
      <c r="AB250" s="685"/>
      <c r="AC250" s="685"/>
      <c r="AD250" s="685"/>
      <c r="AE250" s="685"/>
      <c r="AF250" s="685"/>
      <c r="AG250" s="685"/>
      <c r="AH250" s="685"/>
      <c r="AI250" s="685"/>
      <c r="AJ250" s="685"/>
      <c r="AK250" s="685"/>
      <c r="AL250" s="685"/>
      <c r="AM250" s="685"/>
      <c r="AN250" s="685"/>
      <c r="AO250" s="685"/>
      <c r="AP250" s="685"/>
      <c r="BA250" s="685"/>
      <c r="BB250" s="685"/>
    </row>
    <row r="251" spans="1:54">
      <c r="A251" s="685"/>
      <c r="B251" s="685"/>
      <c r="C251" s="685"/>
      <c r="D251" s="685"/>
      <c r="E251" s="685"/>
      <c r="F251" s="685"/>
      <c r="G251" s="685"/>
      <c r="H251" s="685"/>
      <c r="I251" s="685"/>
      <c r="J251" s="685"/>
      <c r="K251" s="685"/>
      <c r="L251" s="685"/>
      <c r="M251" s="685"/>
      <c r="N251" s="685"/>
      <c r="O251" s="685"/>
      <c r="P251" s="685"/>
      <c r="Q251" s="685"/>
      <c r="R251" s="685"/>
      <c r="S251" s="685"/>
      <c r="T251" s="115"/>
      <c r="U251" s="115"/>
      <c r="V251" s="685"/>
      <c r="W251" s="685"/>
      <c r="X251" s="685"/>
      <c r="Y251" s="685"/>
      <c r="Z251" s="685"/>
      <c r="AA251" s="685"/>
      <c r="AB251" s="685"/>
      <c r="AC251" s="685"/>
      <c r="AD251" s="685"/>
      <c r="AE251" s="685"/>
      <c r="AF251" s="685"/>
      <c r="AG251" s="685"/>
      <c r="AH251" s="685"/>
      <c r="AI251" s="685"/>
      <c r="AJ251" s="685"/>
      <c r="AK251" s="685"/>
      <c r="AL251" s="685"/>
      <c r="AM251" s="685"/>
      <c r="AN251" s="685"/>
      <c r="AO251" s="685"/>
      <c r="AP251" s="685"/>
      <c r="BA251" s="685"/>
      <c r="BB251" s="685"/>
    </row>
    <row r="252" spans="1:54">
      <c r="A252" s="685"/>
      <c r="B252" s="685"/>
      <c r="C252" s="685"/>
      <c r="D252" s="685"/>
      <c r="E252" s="685"/>
      <c r="F252" s="685"/>
      <c r="G252" s="685"/>
      <c r="H252" s="685"/>
      <c r="I252" s="685"/>
      <c r="J252" s="685"/>
      <c r="K252" s="685"/>
      <c r="L252" s="685"/>
      <c r="M252" s="685"/>
      <c r="N252" s="685"/>
      <c r="O252" s="685"/>
      <c r="P252" s="685"/>
      <c r="Q252" s="685"/>
      <c r="R252" s="685"/>
      <c r="S252" s="685"/>
      <c r="T252" s="115"/>
      <c r="U252" s="115"/>
      <c r="V252" s="685"/>
      <c r="W252" s="685"/>
      <c r="X252" s="685"/>
      <c r="Y252" s="685"/>
      <c r="Z252" s="685"/>
      <c r="AA252" s="685"/>
      <c r="AB252" s="685"/>
      <c r="AC252" s="685"/>
      <c r="AD252" s="685"/>
      <c r="AE252" s="685"/>
      <c r="AF252" s="685"/>
      <c r="AG252" s="685"/>
      <c r="AH252" s="685"/>
      <c r="AI252" s="685"/>
      <c r="AJ252" s="685"/>
      <c r="AK252" s="685"/>
      <c r="AL252" s="685"/>
      <c r="AM252" s="685"/>
      <c r="AN252" s="685"/>
      <c r="AO252" s="685"/>
      <c r="AP252" s="685"/>
      <c r="BA252" s="685"/>
      <c r="BB252" s="685"/>
    </row>
    <row r="253" spans="1:54">
      <c r="A253" s="685"/>
      <c r="B253" s="685"/>
      <c r="C253" s="685"/>
      <c r="D253" s="685"/>
      <c r="E253" s="685"/>
      <c r="F253" s="685"/>
      <c r="G253" s="685"/>
      <c r="H253" s="685"/>
      <c r="I253" s="685"/>
      <c r="J253" s="685"/>
      <c r="K253" s="685"/>
      <c r="L253" s="685"/>
      <c r="M253" s="685"/>
      <c r="N253" s="685"/>
      <c r="O253" s="685"/>
      <c r="P253" s="685"/>
      <c r="Q253" s="685"/>
      <c r="R253" s="685"/>
      <c r="S253" s="685"/>
      <c r="T253" s="115"/>
      <c r="U253" s="115"/>
      <c r="V253" s="685"/>
      <c r="W253" s="685"/>
      <c r="X253" s="685"/>
      <c r="Y253" s="685"/>
      <c r="Z253" s="685"/>
      <c r="AA253" s="685"/>
      <c r="AB253" s="685"/>
      <c r="AC253" s="685"/>
      <c r="AD253" s="685"/>
      <c r="AE253" s="685"/>
      <c r="AF253" s="685"/>
      <c r="AG253" s="685"/>
      <c r="AH253" s="685"/>
      <c r="AI253" s="685"/>
      <c r="AJ253" s="685"/>
      <c r="AK253" s="685"/>
      <c r="AL253" s="685"/>
      <c r="AM253" s="685"/>
      <c r="AN253" s="685"/>
      <c r="AO253" s="685"/>
      <c r="AP253" s="685"/>
      <c r="BA253" s="685"/>
      <c r="BB253" s="685"/>
    </row>
    <row r="254" spans="1:54">
      <c r="A254" s="685"/>
      <c r="B254" s="685"/>
      <c r="C254" s="685"/>
      <c r="D254" s="685"/>
      <c r="E254" s="685"/>
      <c r="F254" s="685"/>
      <c r="G254" s="685"/>
      <c r="H254" s="685"/>
      <c r="I254" s="685"/>
      <c r="J254" s="685"/>
      <c r="K254" s="685"/>
      <c r="L254" s="685"/>
      <c r="M254" s="685"/>
      <c r="N254" s="685"/>
      <c r="O254" s="685"/>
      <c r="P254" s="685"/>
      <c r="Q254" s="685"/>
      <c r="R254" s="685"/>
      <c r="S254" s="685"/>
      <c r="T254" s="115"/>
      <c r="U254" s="115"/>
      <c r="V254" s="685"/>
      <c r="W254" s="685"/>
      <c r="X254" s="685"/>
      <c r="Y254" s="685"/>
      <c r="Z254" s="685"/>
      <c r="AA254" s="685"/>
      <c r="AB254" s="685"/>
      <c r="AC254" s="685"/>
      <c r="AD254" s="685"/>
      <c r="AE254" s="685"/>
      <c r="AF254" s="685"/>
      <c r="AG254" s="685"/>
      <c r="AH254" s="685"/>
      <c r="AI254" s="685"/>
      <c r="AJ254" s="685"/>
      <c r="AK254" s="685"/>
      <c r="AL254" s="685"/>
      <c r="AM254" s="685"/>
      <c r="AN254" s="685"/>
      <c r="AO254" s="685"/>
      <c r="AP254" s="685"/>
      <c r="BA254" s="685"/>
      <c r="BB254" s="685"/>
    </row>
    <row r="255" spans="1:54">
      <c r="A255" s="685"/>
      <c r="B255" s="685"/>
      <c r="C255" s="685"/>
      <c r="D255" s="685"/>
      <c r="E255" s="685"/>
      <c r="F255" s="685"/>
      <c r="G255" s="685"/>
      <c r="H255" s="685"/>
      <c r="I255" s="685"/>
      <c r="J255" s="685"/>
      <c r="K255" s="685"/>
      <c r="L255" s="685"/>
      <c r="M255" s="685"/>
      <c r="N255" s="685"/>
      <c r="O255" s="685"/>
      <c r="P255" s="685"/>
      <c r="Q255" s="685"/>
      <c r="R255" s="685"/>
      <c r="S255" s="685"/>
      <c r="T255" s="115"/>
      <c r="U255" s="115"/>
      <c r="V255" s="685"/>
      <c r="W255" s="685"/>
      <c r="X255" s="685"/>
      <c r="Y255" s="685"/>
      <c r="Z255" s="685"/>
      <c r="AA255" s="685"/>
      <c r="AB255" s="685"/>
      <c r="AC255" s="685"/>
      <c r="AD255" s="685"/>
      <c r="AE255" s="685"/>
      <c r="AF255" s="685"/>
      <c r="AG255" s="685"/>
      <c r="AH255" s="685"/>
      <c r="AI255" s="685"/>
      <c r="AJ255" s="685"/>
      <c r="AK255" s="685"/>
      <c r="AL255" s="685"/>
      <c r="AM255" s="685"/>
      <c r="AN255" s="685"/>
      <c r="AO255" s="685"/>
      <c r="AP255" s="685"/>
      <c r="BA255" s="685"/>
      <c r="BB255" s="685"/>
    </row>
    <row r="256" spans="1:54">
      <c r="A256" s="685"/>
      <c r="B256" s="685"/>
      <c r="C256" s="685"/>
      <c r="D256" s="685"/>
      <c r="E256" s="685"/>
      <c r="F256" s="685"/>
      <c r="G256" s="685"/>
      <c r="H256" s="685"/>
      <c r="I256" s="685"/>
      <c r="J256" s="685"/>
      <c r="K256" s="685"/>
      <c r="L256" s="685"/>
      <c r="M256" s="685"/>
      <c r="N256" s="685"/>
      <c r="O256" s="685"/>
      <c r="P256" s="685"/>
      <c r="Q256" s="685"/>
      <c r="R256" s="685"/>
      <c r="S256" s="685"/>
      <c r="T256" s="115"/>
      <c r="U256" s="115"/>
      <c r="V256" s="685"/>
      <c r="W256" s="685"/>
      <c r="X256" s="685"/>
      <c r="Y256" s="685"/>
      <c r="Z256" s="685"/>
      <c r="AA256" s="685"/>
      <c r="AB256" s="685"/>
      <c r="AC256" s="685"/>
      <c r="AD256" s="685"/>
      <c r="AE256" s="685"/>
      <c r="AF256" s="685"/>
      <c r="AG256" s="685"/>
      <c r="AH256" s="685"/>
      <c r="AI256" s="685"/>
      <c r="AJ256" s="685"/>
      <c r="AK256" s="685"/>
      <c r="AL256" s="685"/>
      <c r="AM256" s="685"/>
      <c r="AN256" s="685"/>
      <c r="AO256" s="685"/>
      <c r="AP256" s="685"/>
      <c r="BA256" s="685"/>
      <c r="BB256" s="685"/>
    </row>
    <row r="257" spans="1:54">
      <c r="A257" s="685"/>
      <c r="B257" s="685"/>
      <c r="C257" s="685"/>
      <c r="D257" s="685"/>
      <c r="E257" s="685"/>
      <c r="F257" s="685"/>
      <c r="G257" s="685"/>
      <c r="H257" s="685"/>
      <c r="I257" s="685"/>
      <c r="J257" s="685"/>
      <c r="K257" s="685"/>
      <c r="L257" s="685"/>
      <c r="M257" s="685"/>
      <c r="N257" s="685"/>
      <c r="O257" s="685"/>
      <c r="P257" s="685"/>
      <c r="Q257" s="685"/>
      <c r="R257" s="685"/>
      <c r="S257" s="685"/>
      <c r="T257" s="115"/>
      <c r="U257" s="115"/>
      <c r="V257" s="685"/>
      <c r="W257" s="685"/>
      <c r="X257" s="685"/>
      <c r="Y257" s="685"/>
      <c r="Z257" s="685"/>
      <c r="AA257" s="685"/>
      <c r="AB257" s="685"/>
      <c r="AC257" s="685"/>
      <c r="AD257" s="685"/>
      <c r="AE257" s="685"/>
      <c r="AF257" s="685"/>
      <c r="AG257" s="685"/>
      <c r="AH257" s="685"/>
      <c r="AI257" s="685"/>
      <c r="AJ257" s="685"/>
      <c r="AK257" s="685"/>
      <c r="AL257" s="685"/>
      <c r="AM257" s="685"/>
      <c r="AN257" s="685"/>
      <c r="AO257" s="685"/>
      <c r="AP257" s="685"/>
      <c r="BA257" s="685"/>
      <c r="BB257" s="685"/>
    </row>
    <row r="258" spans="1:54">
      <c r="A258" s="685"/>
      <c r="B258" s="685"/>
      <c r="C258" s="685"/>
      <c r="D258" s="685"/>
      <c r="E258" s="685"/>
      <c r="F258" s="685"/>
      <c r="G258" s="685"/>
      <c r="H258" s="685"/>
      <c r="I258" s="685"/>
      <c r="J258" s="685"/>
      <c r="K258" s="685"/>
      <c r="L258" s="685"/>
      <c r="M258" s="685"/>
      <c r="N258" s="685"/>
      <c r="O258" s="685"/>
      <c r="P258" s="685"/>
      <c r="Q258" s="685"/>
      <c r="R258" s="685"/>
      <c r="S258" s="685"/>
      <c r="T258" s="115"/>
      <c r="U258" s="115"/>
      <c r="V258" s="685"/>
      <c r="W258" s="685"/>
      <c r="X258" s="685"/>
      <c r="Y258" s="685"/>
      <c r="Z258" s="685"/>
      <c r="AA258" s="685"/>
      <c r="AB258" s="685"/>
      <c r="AC258" s="685"/>
      <c r="AD258" s="685"/>
      <c r="AE258" s="685"/>
      <c r="AF258" s="685"/>
      <c r="AG258" s="685"/>
      <c r="AH258" s="685"/>
      <c r="AI258" s="685"/>
      <c r="AJ258" s="685"/>
      <c r="AK258" s="685"/>
      <c r="AL258" s="685"/>
      <c r="AM258" s="685"/>
      <c r="AN258" s="685"/>
      <c r="AO258" s="685"/>
      <c r="AP258" s="685"/>
      <c r="BA258" s="685"/>
      <c r="BB258" s="685"/>
    </row>
    <row r="259" spans="1:54">
      <c r="A259" s="685"/>
      <c r="B259" s="685"/>
      <c r="C259" s="685"/>
      <c r="D259" s="685"/>
      <c r="E259" s="685"/>
      <c r="F259" s="685"/>
      <c r="G259" s="685"/>
      <c r="H259" s="685"/>
      <c r="I259" s="685"/>
      <c r="J259" s="685"/>
      <c r="K259" s="685"/>
      <c r="L259" s="685"/>
      <c r="M259" s="685"/>
      <c r="N259" s="685"/>
      <c r="O259" s="685"/>
      <c r="P259" s="685"/>
      <c r="Q259" s="685"/>
      <c r="R259" s="685"/>
      <c r="S259" s="685"/>
      <c r="T259" s="115"/>
      <c r="U259" s="115"/>
      <c r="V259" s="685"/>
      <c r="W259" s="685"/>
      <c r="X259" s="685"/>
      <c r="Y259" s="685"/>
      <c r="Z259" s="685"/>
      <c r="AA259" s="685"/>
      <c r="AB259" s="685"/>
      <c r="AC259" s="685"/>
      <c r="AD259" s="685"/>
      <c r="AE259" s="685"/>
      <c r="AF259" s="685"/>
      <c r="AG259" s="685"/>
      <c r="AH259" s="685"/>
      <c r="AI259" s="685"/>
      <c r="AJ259" s="685"/>
      <c r="AK259" s="685"/>
      <c r="AL259" s="685"/>
      <c r="AM259" s="685"/>
      <c r="AN259" s="685"/>
      <c r="AO259" s="685"/>
      <c r="AP259" s="685"/>
      <c r="BA259" s="685"/>
      <c r="BB259" s="685"/>
    </row>
    <row r="260" spans="1:54">
      <c r="A260" s="685"/>
      <c r="B260" s="685"/>
      <c r="C260" s="685"/>
      <c r="D260" s="685"/>
      <c r="E260" s="685"/>
      <c r="F260" s="685"/>
      <c r="G260" s="685"/>
      <c r="H260" s="685"/>
      <c r="I260" s="685"/>
      <c r="J260" s="685"/>
      <c r="K260" s="685"/>
      <c r="L260" s="685"/>
      <c r="M260" s="685"/>
      <c r="N260" s="685"/>
      <c r="O260" s="685"/>
      <c r="P260" s="685"/>
      <c r="Q260" s="685"/>
      <c r="R260" s="685"/>
      <c r="S260" s="685"/>
      <c r="T260" s="115"/>
      <c r="U260" s="115"/>
      <c r="V260" s="685"/>
      <c r="W260" s="685"/>
      <c r="X260" s="685"/>
      <c r="Y260" s="685"/>
      <c r="Z260" s="685"/>
      <c r="AA260" s="685"/>
      <c r="AB260" s="685"/>
      <c r="AC260" s="685"/>
      <c r="AD260" s="685"/>
      <c r="AE260" s="685"/>
      <c r="AF260" s="685"/>
      <c r="AG260" s="685"/>
      <c r="AH260" s="685"/>
      <c r="AI260" s="685"/>
      <c r="AJ260" s="685"/>
      <c r="AK260" s="685"/>
      <c r="AL260" s="685"/>
      <c r="AM260" s="685"/>
      <c r="AN260" s="685"/>
      <c r="AO260" s="685"/>
      <c r="AP260" s="685"/>
      <c r="BA260" s="685"/>
      <c r="BB260" s="685"/>
    </row>
    <row r="261" spans="1:54">
      <c r="A261" s="685"/>
      <c r="B261" s="685"/>
      <c r="C261" s="685"/>
      <c r="D261" s="685"/>
      <c r="E261" s="685"/>
      <c r="F261" s="685"/>
      <c r="G261" s="685"/>
      <c r="H261" s="685"/>
      <c r="I261" s="685"/>
      <c r="J261" s="685"/>
      <c r="K261" s="685"/>
      <c r="L261" s="685"/>
      <c r="M261" s="685"/>
      <c r="N261" s="685"/>
      <c r="O261" s="685"/>
      <c r="P261" s="685"/>
      <c r="Q261" s="685"/>
      <c r="R261" s="685"/>
      <c r="S261" s="685"/>
      <c r="T261" s="115"/>
      <c r="U261" s="115"/>
      <c r="V261" s="685"/>
      <c r="W261" s="685"/>
      <c r="X261" s="685"/>
      <c r="Y261" s="685"/>
      <c r="Z261" s="685"/>
      <c r="AA261" s="685"/>
      <c r="AB261" s="685"/>
      <c r="AC261" s="685"/>
      <c r="AD261" s="685"/>
      <c r="AE261" s="685"/>
      <c r="AF261" s="685"/>
      <c r="AG261" s="685"/>
      <c r="AH261" s="685"/>
      <c r="AI261" s="685"/>
      <c r="AJ261" s="685"/>
      <c r="AK261" s="685"/>
      <c r="AL261" s="685"/>
      <c r="AM261" s="685"/>
      <c r="AN261" s="685"/>
      <c r="AO261" s="685"/>
      <c r="AP261" s="685"/>
      <c r="BA261" s="685"/>
      <c r="BB261" s="685"/>
    </row>
    <row r="262" spans="1:54">
      <c r="A262" s="685"/>
      <c r="B262" s="685"/>
      <c r="C262" s="685"/>
      <c r="D262" s="685"/>
      <c r="E262" s="685"/>
      <c r="F262" s="685"/>
      <c r="G262" s="685"/>
      <c r="H262" s="685"/>
      <c r="I262" s="685"/>
      <c r="J262" s="685"/>
      <c r="K262" s="685"/>
      <c r="L262" s="685"/>
      <c r="M262" s="685"/>
      <c r="N262" s="685"/>
      <c r="O262" s="685"/>
      <c r="P262" s="685"/>
      <c r="Q262" s="685"/>
      <c r="R262" s="685"/>
      <c r="S262" s="685"/>
      <c r="T262" s="115"/>
      <c r="U262" s="115"/>
      <c r="V262" s="685"/>
      <c r="W262" s="685"/>
      <c r="X262" s="685"/>
      <c r="Y262" s="685"/>
      <c r="Z262" s="685"/>
      <c r="AA262" s="685"/>
      <c r="AB262" s="685"/>
      <c r="AC262" s="685"/>
      <c r="AD262" s="685"/>
      <c r="AE262" s="685"/>
      <c r="AF262" s="685"/>
      <c r="AG262" s="685"/>
      <c r="AH262" s="685"/>
      <c r="AI262" s="685"/>
      <c r="AJ262" s="685"/>
      <c r="AK262" s="685"/>
      <c r="AL262" s="685"/>
      <c r="AM262" s="685"/>
      <c r="AN262" s="685"/>
      <c r="AO262" s="685"/>
      <c r="AP262" s="685"/>
      <c r="BA262" s="685"/>
      <c r="BB262" s="685"/>
    </row>
    <row r="263" spans="1:54">
      <c r="A263" s="685"/>
      <c r="B263" s="685"/>
      <c r="C263" s="685"/>
      <c r="D263" s="685"/>
      <c r="E263" s="685"/>
      <c r="F263" s="685"/>
      <c r="G263" s="685"/>
      <c r="H263" s="685"/>
      <c r="I263" s="685"/>
      <c r="J263" s="685"/>
      <c r="K263" s="685"/>
      <c r="L263" s="685"/>
      <c r="M263" s="685"/>
      <c r="N263" s="685"/>
      <c r="O263" s="685"/>
      <c r="P263" s="685"/>
      <c r="Q263" s="685"/>
      <c r="R263" s="685"/>
      <c r="S263" s="685"/>
      <c r="T263" s="115"/>
      <c r="U263" s="115"/>
      <c r="V263" s="685"/>
      <c r="W263" s="685"/>
      <c r="X263" s="685"/>
      <c r="Y263" s="685"/>
      <c r="Z263" s="685"/>
      <c r="AA263" s="685"/>
      <c r="AB263" s="685"/>
      <c r="AC263" s="685"/>
      <c r="AD263" s="685"/>
      <c r="AE263" s="685"/>
      <c r="AF263" s="685"/>
      <c r="AG263" s="685"/>
      <c r="AH263" s="685"/>
      <c r="AI263" s="685"/>
      <c r="AJ263" s="685"/>
      <c r="AK263" s="685"/>
      <c r="AL263" s="685"/>
      <c r="AM263" s="685"/>
      <c r="AN263" s="685"/>
      <c r="AO263" s="685"/>
      <c r="AP263" s="685"/>
      <c r="BA263" s="685"/>
      <c r="BB263" s="685"/>
    </row>
    <row r="264" spans="1:54">
      <c r="A264" s="685"/>
      <c r="B264" s="685"/>
      <c r="C264" s="685"/>
      <c r="D264" s="685"/>
      <c r="E264" s="685"/>
      <c r="F264" s="685"/>
      <c r="G264" s="685"/>
      <c r="H264" s="685"/>
      <c r="I264" s="685"/>
      <c r="J264" s="685"/>
      <c r="K264" s="685"/>
      <c r="L264" s="685"/>
      <c r="M264" s="685"/>
      <c r="N264" s="685"/>
      <c r="O264" s="685"/>
      <c r="P264" s="685"/>
      <c r="Q264" s="685"/>
      <c r="R264" s="685"/>
      <c r="S264" s="685"/>
      <c r="T264" s="115"/>
      <c r="U264" s="115"/>
      <c r="V264" s="685"/>
      <c r="W264" s="685"/>
      <c r="X264" s="685"/>
      <c r="Y264" s="685"/>
      <c r="Z264" s="685"/>
      <c r="AA264" s="685"/>
      <c r="AB264" s="685"/>
      <c r="AC264" s="685"/>
      <c r="AD264" s="685"/>
      <c r="AE264" s="685"/>
      <c r="AF264" s="685"/>
      <c r="AG264" s="685"/>
      <c r="AH264" s="685"/>
      <c r="AI264" s="685"/>
      <c r="AJ264" s="685"/>
      <c r="AK264" s="685"/>
      <c r="AL264" s="685"/>
      <c r="AM264" s="685"/>
      <c r="AN264" s="685"/>
      <c r="AO264" s="685"/>
      <c r="AP264" s="685"/>
      <c r="BA264" s="685"/>
      <c r="BB264" s="685"/>
    </row>
    <row r="265" spans="1:54">
      <c r="A265" s="685"/>
      <c r="B265" s="685"/>
      <c r="C265" s="685"/>
      <c r="D265" s="685"/>
      <c r="E265" s="685"/>
      <c r="F265" s="685"/>
      <c r="G265" s="685"/>
      <c r="H265" s="685"/>
      <c r="I265" s="685"/>
      <c r="J265" s="685"/>
      <c r="K265" s="685"/>
      <c r="L265" s="685"/>
      <c r="M265" s="685"/>
      <c r="N265" s="685"/>
      <c r="O265" s="685"/>
      <c r="P265" s="685"/>
      <c r="Q265" s="685"/>
      <c r="R265" s="685"/>
      <c r="S265" s="685"/>
      <c r="T265" s="115"/>
      <c r="U265" s="115"/>
      <c r="V265" s="685"/>
      <c r="W265" s="685"/>
      <c r="X265" s="685"/>
      <c r="Y265" s="685"/>
      <c r="Z265" s="685"/>
      <c r="AA265" s="685"/>
      <c r="AB265" s="685"/>
      <c r="AC265" s="685"/>
      <c r="AD265" s="685"/>
      <c r="AE265" s="685"/>
      <c r="AF265" s="685"/>
      <c r="AG265" s="685"/>
      <c r="AH265" s="685"/>
      <c r="AI265" s="685"/>
      <c r="AJ265" s="685"/>
      <c r="AK265" s="685"/>
      <c r="AL265" s="685"/>
      <c r="AM265" s="685"/>
      <c r="AN265" s="685"/>
      <c r="AO265" s="685"/>
      <c r="AP265" s="685"/>
      <c r="BA265" s="685"/>
      <c r="BB265" s="685"/>
    </row>
    <row r="266" spans="1:54">
      <c r="A266" s="685"/>
      <c r="B266" s="685"/>
      <c r="C266" s="685"/>
      <c r="D266" s="685"/>
      <c r="E266" s="685"/>
      <c r="F266" s="685"/>
      <c r="G266" s="685"/>
      <c r="H266" s="685"/>
      <c r="I266" s="685"/>
      <c r="J266" s="685"/>
      <c r="K266" s="685"/>
      <c r="L266" s="685"/>
      <c r="M266" s="685"/>
      <c r="N266" s="685"/>
      <c r="O266" s="685"/>
      <c r="P266" s="685"/>
      <c r="Q266" s="685"/>
      <c r="R266" s="685"/>
      <c r="S266" s="685"/>
      <c r="T266" s="115"/>
      <c r="U266" s="115"/>
      <c r="V266" s="685"/>
      <c r="W266" s="685"/>
      <c r="X266" s="685"/>
      <c r="Y266" s="685"/>
      <c r="Z266" s="685"/>
      <c r="AA266" s="685"/>
      <c r="AB266" s="685"/>
      <c r="AC266" s="685"/>
      <c r="AD266" s="685"/>
      <c r="AE266" s="685"/>
      <c r="AF266" s="685"/>
      <c r="AG266" s="685"/>
      <c r="AH266" s="685"/>
      <c r="AI266" s="685"/>
      <c r="AJ266" s="685"/>
      <c r="AK266" s="685"/>
      <c r="AL266" s="685"/>
      <c r="AM266" s="685"/>
      <c r="AN266" s="685"/>
      <c r="AO266" s="685"/>
      <c r="AP266" s="685"/>
      <c r="BA266" s="685"/>
      <c r="BB266" s="685"/>
    </row>
    <row r="267" spans="1:54">
      <c r="A267" s="685"/>
      <c r="B267" s="685"/>
      <c r="C267" s="685"/>
      <c r="D267" s="685"/>
      <c r="E267" s="685"/>
      <c r="F267" s="685"/>
      <c r="G267" s="685"/>
      <c r="H267" s="685"/>
      <c r="I267" s="685"/>
      <c r="J267" s="685"/>
      <c r="K267" s="685"/>
      <c r="L267" s="685"/>
      <c r="M267" s="685"/>
      <c r="N267" s="685"/>
      <c r="O267" s="685"/>
      <c r="P267" s="685"/>
      <c r="Q267" s="685"/>
      <c r="R267" s="685"/>
      <c r="S267" s="685"/>
      <c r="T267" s="115"/>
      <c r="U267" s="115"/>
      <c r="V267" s="685"/>
      <c r="W267" s="685"/>
      <c r="X267" s="685"/>
      <c r="Y267" s="685"/>
      <c r="Z267" s="685"/>
      <c r="AA267" s="685"/>
      <c r="AB267" s="685"/>
      <c r="AC267" s="685"/>
      <c r="AD267" s="685"/>
      <c r="AE267" s="685"/>
      <c r="AF267" s="685"/>
      <c r="AG267" s="685"/>
      <c r="AH267" s="685"/>
      <c r="AI267" s="685"/>
      <c r="AJ267" s="685"/>
      <c r="AK267" s="685"/>
      <c r="AL267" s="685"/>
      <c r="AM267" s="685"/>
      <c r="AN267" s="685"/>
      <c r="AO267" s="685"/>
      <c r="AP267" s="685"/>
      <c r="BA267" s="685"/>
      <c r="BB267" s="685"/>
    </row>
    <row r="268" spans="1:54">
      <c r="A268" s="685"/>
      <c r="B268" s="685"/>
      <c r="C268" s="685"/>
      <c r="D268" s="685"/>
      <c r="E268" s="685"/>
      <c r="F268" s="685"/>
      <c r="G268" s="685"/>
      <c r="H268" s="685"/>
      <c r="I268" s="685"/>
      <c r="J268" s="685"/>
      <c r="K268" s="685"/>
      <c r="L268" s="685"/>
      <c r="M268" s="685"/>
      <c r="N268" s="685"/>
      <c r="O268" s="685"/>
      <c r="P268" s="685"/>
      <c r="Q268" s="685"/>
      <c r="R268" s="685"/>
      <c r="S268" s="685"/>
      <c r="T268" s="115"/>
      <c r="U268" s="115"/>
      <c r="V268" s="685"/>
      <c r="W268" s="685"/>
      <c r="X268" s="685"/>
      <c r="Y268" s="685"/>
      <c r="Z268" s="685"/>
      <c r="AA268" s="685"/>
      <c r="AB268" s="685"/>
      <c r="AC268" s="685"/>
      <c r="AD268" s="685"/>
      <c r="AE268" s="685"/>
      <c r="AF268" s="685"/>
      <c r="AG268" s="685"/>
      <c r="AH268" s="685"/>
      <c r="AI268" s="685"/>
      <c r="AJ268" s="685"/>
      <c r="AK268" s="685"/>
      <c r="AL268" s="685"/>
      <c r="AM268" s="685"/>
      <c r="AN268" s="685"/>
      <c r="AO268" s="685"/>
      <c r="AP268" s="685"/>
      <c r="BA268" s="685"/>
      <c r="BB268" s="685"/>
    </row>
    <row r="269" spans="1:54">
      <c r="A269" s="685"/>
      <c r="B269" s="685"/>
      <c r="C269" s="685"/>
      <c r="D269" s="685"/>
      <c r="E269" s="685"/>
      <c r="F269" s="685"/>
      <c r="G269" s="685"/>
      <c r="H269" s="685"/>
      <c r="I269" s="685"/>
      <c r="J269" s="685"/>
      <c r="K269" s="685"/>
      <c r="L269" s="685"/>
      <c r="M269" s="685"/>
      <c r="N269" s="685"/>
      <c r="O269" s="685"/>
      <c r="P269" s="685"/>
      <c r="Q269" s="685"/>
      <c r="R269" s="685"/>
      <c r="S269" s="685"/>
      <c r="T269" s="115"/>
      <c r="U269" s="115"/>
      <c r="V269" s="685"/>
      <c r="W269" s="685"/>
      <c r="X269" s="685"/>
      <c r="Y269" s="685"/>
      <c r="Z269" s="685"/>
      <c r="AA269" s="685"/>
      <c r="AB269" s="685"/>
      <c r="AC269" s="685"/>
      <c r="AD269" s="685"/>
      <c r="AE269" s="685"/>
      <c r="AF269" s="685"/>
      <c r="AG269" s="685"/>
      <c r="AH269" s="685"/>
      <c r="AI269" s="685"/>
      <c r="AJ269" s="685"/>
      <c r="AK269" s="685"/>
      <c r="AL269" s="685"/>
      <c r="AM269" s="685"/>
      <c r="AN269" s="685"/>
      <c r="AO269" s="685"/>
      <c r="AP269" s="685"/>
      <c r="BA269" s="685"/>
      <c r="BB269" s="685"/>
    </row>
    <row r="270" spans="1:54">
      <c r="A270" s="685"/>
      <c r="B270" s="685"/>
      <c r="C270" s="685"/>
      <c r="D270" s="685"/>
      <c r="E270" s="685"/>
      <c r="F270" s="685"/>
      <c r="G270" s="685"/>
      <c r="H270" s="685"/>
      <c r="I270" s="685"/>
      <c r="J270" s="685"/>
      <c r="K270" s="685"/>
      <c r="L270" s="685"/>
      <c r="M270" s="685"/>
      <c r="N270" s="685"/>
      <c r="O270" s="685"/>
      <c r="P270" s="685"/>
      <c r="Q270" s="685"/>
      <c r="R270" s="685"/>
      <c r="S270" s="685"/>
      <c r="T270" s="115"/>
      <c r="U270" s="115"/>
      <c r="V270" s="685"/>
      <c r="W270" s="685"/>
      <c r="X270" s="685"/>
      <c r="Y270" s="685"/>
      <c r="Z270" s="685"/>
      <c r="AA270" s="685"/>
      <c r="AB270" s="685"/>
      <c r="AC270" s="685"/>
      <c r="AD270" s="685"/>
      <c r="AE270" s="685"/>
      <c r="AF270" s="685"/>
      <c r="AG270" s="685"/>
      <c r="AH270" s="685"/>
      <c r="AI270" s="685"/>
      <c r="AJ270" s="685"/>
      <c r="AK270" s="685"/>
      <c r="AL270" s="685"/>
      <c r="AM270" s="685"/>
      <c r="AN270" s="685"/>
      <c r="AO270" s="685"/>
      <c r="AP270" s="685"/>
      <c r="BA270" s="685"/>
      <c r="BB270" s="685"/>
    </row>
    <row r="271" spans="1:54">
      <c r="A271" s="685"/>
      <c r="B271" s="685"/>
      <c r="C271" s="685"/>
      <c r="D271" s="685"/>
      <c r="E271" s="685"/>
      <c r="F271" s="685"/>
      <c r="G271" s="685"/>
      <c r="H271" s="685"/>
      <c r="I271" s="685"/>
      <c r="J271" s="685"/>
      <c r="K271" s="685"/>
      <c r="L271" s="685"/>
      <c r="M271" s="685"/>
      <c r="N271" s="685"/>
      <c r="O271" s="685"/>
      <c r="P271" s="685"/>
      <c r="Q271" s="685"/>
      <c r="R271" s="685"/>
      <c r="S271" s="685"/>
      <c r="T271" s="115"/>
      <c r="U271" s="115"/>
      <c r="V271" s="685"/>
      <c r="W271" s="685"/>
      <c r="X271" s="685"/>
      <c r="Y271" s="685"/>
      <c r="Z271" s="685"/>
      <c r="AA271" s="685"/>
      <c r="AB271" s="685"/>
      <c r="AC271" s="685"/>
      <c r="AD271" s="685"/>
      <c r="AE271" s="685"/>
      <c r="AF271" s="685"/>
      <c r="AG271" s="685"/>
      <c r="AH271" s="685"/>
      <c r="AI271" s="685"/>
      <c r="AJ271" s="685"/>
      <c r="AK271" s="685"/>
      <c r="AL271" s="685"/>
      <c r="AM271" s="685"/>
      <c r="AN271" s="685"/>
      <c r="AO271" s="685"/>
      <c r="AP271" s="685"/>
      <c r="BA271" s="685"/>
      <c r="BB271" s="685"/>
    </row>
    <row r="272" spans="1:54">
      <c r="A272" s="685"/>
      <c r="B272" s="685"/>
      <c r="C272" s="685"/>
      <c r="D272" s="685"/>
      <c r="E272" s="685"/>
      <c r="F272" s="685"/>
      <c r="G272" s="685"/>
      <c r="H272" s="685"/>
      <c r="I272" s="685"/>
      <c r="J272" s="685"/>
      <c r="K272" s="685"/>
      <c r="L272" s="685"/>
      <c r="M272" s="685"/>
      <c r="N272" s="685"/>
      <c r="O272" s="685"/>
      <c r="P272" s="685"/>
      <c r="Q272" s="685"/>
      <c r="R272" s="685"/>
      <c r="S272" s="685"/>
      <c r="T272" s="115"/>
      <c r="U272" s="115"/>
      <c r="V272" s="685"/>
      <c r="W272" s="685"/>
      <c r="X272" s="685"/>
      <c r="Y272" s="685"/>
      <c r="Z272" s="685"/>
      <c r="AA272" s="685"/>
      <c r="AB272" s="685"/>
      <c r="AC272" s="685"/>
      <c r="AD272" s="685"/>
      <c r="AE272" s="685"/>
      <c r="AF272" s="685"/>
      <c r="AG272" s="685"/>
      <c r="AH272" s="685"/>
      <c r="AI272" s="685"/>
      <c r="AJ272" s="685"/>
      <c r="AK272" s="685"/>
      <c r="AL272" s="685"/>
      <c r="AM272" s="685"/>
      <c r="AN272" s="685"/>
      <c r="AO272" s="685"/>
      <c r="AP272" s="685"/>
      <c r="BA272" s="685"/>
      <c r="BB272" s="685"/>
    </row>
    <row r="273" spans="1:54">
      <c r="A273" s="685"/>
      <c r="B273" s="685"/>
      <c r="C273" s="685"/>
      <c r="D273" s="685"/>
      <c r="E273" s="685"/>
      <c r="F273" s="685"/>
      <c r="G273" s="685"/>
      <c r="H273" s="685"/>
      <c r="I273" s="685"/>
      <c r="J273" s="685"/>
      <c r="K273" s="685"/>
      <c r="L273" s="685"/>
      <c r="M273" s="685"/>
      <c r="N273" s="685"/>
      <c r="O273" s="685"/>
      <c r="P273" s="685"/>
      <c r="Q273" s="685"/>
      <c r="R273" s="685"/>
      <c r="S273" s="685"/>
      <c r="T273" s="115"/>
      <c r="U273" s="115"/>
      <c r="V273" s="685"/>
      <c r="W273" s="685"/>
      <c r="X273" s="685"/>
      <c r="Y273" s="685"/>
      <c r="Z273" s="685"/>
      <c r="AA273" s="685"/>
      <c r="AB273" s="685"/>
      <c r="AC273" s="685"/>
      <c r="AD273" s="685"/>
      <c r="AE273" s="685"/>
      <c r="AF273" s="685"/>
      <c r="AG273" s="685"/>
      <c r="AH273" s="685"/>
      <c r="AI273" s="685"/>
      <c r="AJ273" s="685"/>
      <c r="AK273" s="685"/>
      <c r="AL273" s="685"/>
      <c r="AM273" s="685"/>
      <c r="AN273" s="685"/>
      <c r="AO273" s="685"/>
      <c r="AP273" s="685"/>
      <c r="BA273" s="685"/>
      <c r="BB273" s="685"/>
    </row>
    <row r="274" spans="1:54">
      <c r="A274" s="685"/>
      <c r="B274" s="685"/>
      <c r="C274" s="685"/>
      <c r="D274" s="685"/>
      <c r="E274" s="685"/>
      <c r="F274" s="685"/>
      <c r="G274" s="685"/>
      <c r="H274" s="685"/>
      <c r="I274" s="685"/>
      <c r="J274" s="685"/>
      <c r="K274" s="685"/>
      <c r="L274" s="685"/>
      <c r="M274" s="685"/>
      <c r="N274" s="685"/>
      <c r="O274" s="685"/>
      <c r="P274" s="685"/>
      <c r="Q274" s="685"/>
      <c r="R274" s="685"/>
      <c r="S274" s="685"/>
      <c r="T274" s="115"/>
      <c r="U274" s="115"/>
      <c r="V274" s="685"/>
      <c r="W274" s="685"/>
      <c r="X274" s="685"/>
      <c r="Y274" s="685"/>
      <c r="Z274" s="685"/>
      <c r="AA274" s="685"/>
      <c r="AB274" s="685"/>
      <c r="AC274" s="685"/>
      <c r="AD274" s="685"/>
      <c r="AE274" s="685"/>
      <c r="AF274" s="685"/>
      <c r="AG274" s="685"/>
      <c r="AH274" s="685"/>
      <c r="AI274" s="685"/>
      <c r="AJ274" s="685"/>
      <c r="AK274" s="685"/>
      <c r="AL274" s="685"/>
      <c r="AM274" s="685"/>
      <c r="AN274" s="685"/>
      <c r="AO274" s="685"/>
      <c r="AP274" s="685"/>
      <c r="BA274" s="685"/>
      <c r="BB274" s="685"/>
    </row>
    <row r="275" spans="1:54">
      <c r="A275" s="685"/>
      <c r="B275" s="685"/>
      <c r="C275" s="685"/>
      <c r="D275" s="685"/>
      <c r="E275" s="685"/>
      <c r="F275" s="685"/>
      <c r="G275" s="685"/>
      <c r="H275" s="685"/>
      <c r="I275" s="685"/>
      <c r="J275" s="685"/>
      <c r="K275" s="685"/>
      <c r="L275" s="685"/>
      <c r="M275" s="685"/>
      <c r="N275" s="685"/>
      <c r="O275" s="685"/>
      <c r="P275" s="685"/>
      <c r="Q275" s="685"/>
      <c r="R275" s="685"/>
      <c r="S275" s="685"/>
      <c r="T275" s="115"/>
      <c r="U275" s="115"/>
      <c r="V275" s="685"/>
      <c r="W275" s="685"/>
      <c r="X275" s="685"/>
      <c r="Y275" s="685"/>
      <c r="Z275" s="685"/>
      <c r="AA275" s="685"/>
      <c r="AB275" s="685"/>
      <c r="AC275" s="685"/>
      <c r="AD275" s="685"/>
      <c r="AE275" s="685"/>
      <c r="AF275" s="685"/>
      <c r="AG275" s="685"/>
      <c r="AH275" s="685"/>
      <c r="AI275" s="685"/>
      <c r="AJ275" s="685"/>
      <c r="AK275" s="685"/>
      <c r="AL275" s="685"/>
      <c r="AM275" s="685"/>
      <c r="AN275" s="685"/>
      <c r="AO275" s="685"/>
      <c r="AP275" s="685"/>
      <c r="BA275" s="685"/>
      <c r="BB275" s="685"/>
    </row>
    <row r="276" spans="1:54">
      <c r="A276" s="685"/>
      <c r="B276" s="685"/>
      <c r="C276" s="685"/>
      <c r="D276" s="685"/>
      <c r="E276" s="685"/>
      <c r="F276" s="685"/>
      <c r="G276" s="685"/>
      <c r="H276" s="685"/>
      <c r="I276" s="685"/>
      <c r="J276" s="685"/>
      <c r="K276" s="685"/>
      <c r="L276" s="685"/>
      <c r="M276" s="685"/>
      <c r="N276" s="685"/>
      <c r="O276" s="685"/>
      <c r="P276" s="685"/>
      <c r="Q276" s="685"/>
      <c r="R276" s="685"/>
      <c r="S276" s="685"/>
      <c r="T276" s="115"/>
      <c r="U276" s="115"/>
      <c r="V276" s="685"/>
      <c r="W276" s="685"/>
      <c r="X276" s="685"/>
      <c r="Y276" s="685"/>
      <c r="Z276" s="685"/>
      <c r="AA276" s="685"/>
      <c r="AB276" s="685"/>
      <c r="AC276" s="685"/>
      <c r="AD276" s="685"/>
      <c r="AE276" s="685"/>
      <c r="AF276" s="685"/>
      <c r="AG276" s="685"/>
      <c r="AH276" s="685"/>
      <c r="AI276" s="685"/>
      <c r="AJ276" s="685"/>
      <c r="AK276" s="685"/>
      <c r="AL276" s="685"/>
      <c r="AM276" s="685"/>
      <c r="AN276" s="685"/>
      <c r="AO276" s="685"/>
      <c r="AP276" s="685"/>
      <c r="BA276" s="685"/>
      <c r="BB276" s="685"/>
    </row>
    <row r="277" spans="1:54">
      <c r="A277" s="685"/>
      <c r="B277" s="685"/>
      <c r="C277" s="685"/>
      <c r="D277" s="685"/>
      <c r="E277" s="685"/>
      <c r="F277" s="685"/>
      <c r="G277" s="685"/>
      <c r="H277" s="685"/>
      <c r="I277" s="685"/>
      <c r="J277" s="685"/>
      <c r="K277" s="685"/>
      <c r="L277" s="685"/>
      <c r="M277" s="685"/>
      <c r="N277" s="685"/>
      <c r="O277" s="685"/>
      <c r="P277" s="685"/>
      <c r="Q277" s="685"/>
      <c r="R277" s="685"/>
      <c r="S277" s="685"/>
      <c r="T277" s="115"/>
      <c r="U277" s="115"/>
      <c r="V277" s="685"/>
      <c r="W277" s="685"/>
      <c r="X277" s="685"/>
      <c r="Y277" s="685"/>
      <c r="Z277" s="685"/>
      <c r="AA277" s="685"/>
      <c r="AB277" s="685"/>
      <c r="AC277" s="685"/>
      <c r="AD277" s="685"/>
      <c r="AE277" s="685"/>
      <c r="AF277" s="685"/>
      <c r="AG277" s="685"/>
      <c r="AH277" s="685"/>
      <c r="AI277" s="685"/>
      <c r="AJ277" s="685"/>
      <c r="AK277" s="685"/>
      <c r="AL277" s="685"/>
      <c r="AM277" s="685"/>
      <c r="AN277" s="685"/>
      <c r="AO277" s="685"/>
      <c r="AP277" s="685"/>
      <c r="BA277" s="685"/>
      <c r="BB277" s="685"/>
    </row>
    <row r="278" spans="1:54">
      <c r="A278" s="685"/>
      <c r="B278" s="685"/>
      <c r="C278" s="685"/>
      <c r="D278" s="685"/>
      <c r="E278" s="685"/>
      <c r="F278" s="685"/>
      <c r="G278" s="685"/>
      <c r="H278" s="685"/>
      <c r="I278" s="685"/>
      <c r="J278" s="685"/>
      <c r="K278" s="685"/>
      <c r="L278" s="685"/>
      <c r="M278" s="685"/>
      <c r="N278" s="685"/>
      <c r="O278" s="685"/>
      <c r="P278" s="685"/>
      <c r="Q278" s="685"/>
      <c r="R278" s="685"/>
      <c r="S278" s="685"/>
      <c r="T278" s="115"/>
      <c r="U278" s="115"/>
      <c r="V278" s="685"/>
      <c r="W278" s="685"/>
      <c r="X278" s="685"/>
      <c r="Y278" s="685"/>
      <c r="Z278" s="685"/>
      <c r="AA278" s="685"/>
      <c r="AB278" s="685"/>
      <c r="AC278" s="685"/>
      <c r="AD278" s="685"/>
      <c r="AE278" s="685"/>
      <c r="AF278" s="685"/>
      <c r="AG278" s="685"/>
      <c r="AH278" s="685"/>
      <c r="AI278" s="685"/>
      <c r="AJ278" s="685"/>
      <c r="AK278" s="685"/>
      <c r="AL278" s="685"/>
      <c r="AM278" s="685"/>
      <c r="AN278" s="685"/>
      <c r="AO278" s="685"/>
      <c r="AP278" s="685"/>
      <c r="BA278" s="685"/>
      <c r="BB278" s="685"/>
    </row>
    <row r="279" spans="1:54">
      <c r="A279" s="685"/>
      <c r="B279" s="685"/>
      <c r="C279" s="685"/>
      <c r="D279" s="685"/>
      <c r="E279" s="685"/>
      <c r="F279" s="685"/>
      <c r="G279" s="685"/>
      <c r="H279" s="685"/>
      <c r="I279" s="685"/>
      <c r="J279" s="685"/>
      <c r="K279" s="685"/>
      <c r="L279" s="685"/>
      <c r="M279" s="685"/>
      <c r="N279" s="685"/>
      <c r="O279" s="685"/>
      <c r="P279" s="685"/>
      <c r="Q279" s="685"/>
      <c r="R279" s="685"/>
      <c r="S279" s="685"/>
      <c r="T279" s="115"/>
      <c r="U279" s="115"/>
      <c r="V279" s="685"/>
      <c r="W279" s="685"/>
      <c r="X279" s="685"/>
      <c r="Y279" s="685"/>
      <c r="Z279" s="685"/>
      <c r="AA279" s="685"/>
      <c r="AB279" s="685"/>
      <c r="AC279" s="685"/>
      <c r="AD279" s="685"/>
      <c r="AE279" s="685"/>
      <c r="AF279" s="685"/>
      <c r="AG279" s="685"/>
      <c r="AH279" s="685"/>
      <c r="AI279" s="685"/>
      <c r="AJ279" s="685"/>
      <c r="AK279" s="685"/>
      <c r="AL279" s="685"/>
      <c r="AM279" s="685"/>
      <c r="AN279" s="685"/>
      <c r="AO279" s="685"/>
      <c r="AP279" s="685"/>
      <c r="BA279" s="685"/>
      <c r="BB279" s="685"/>
    </row>
    <row r="280" spans="1:54">
      <c r="A280" s="685"/>
      <c r="B280" s="685"/>
      <c r="C280" s="685"/>
      <c r="D280" s="685"/>
      <c r="E280" s="685"/>
      <c r="F280" s="685"/>
      <c r="G280" s="685"/>
      <c r="H280" s="685"/>
      <c r="I280" s="685"/>
      <c r="J280" s="685"/>
      <c r="K280" s="685"/>
      <c r="L280" s="685"/>
      <c r="M280" s="685"/>
      <c r="N280" s="685"/>
      <c r="O280" s="685"/>
      <c r="P280" s="685"/>
      <c r="Q280" s="685"/>
      <c r="R280" s="685"/>
      <c r="S280" s="685"/>
      <c r="T280" s="115"/>
      <c r="U280" s="115"/>
      <c r="V280" s="685"/>
      <c r="W280" s="685"/>
      <c r="X280" s="685"/>
      <c r="Y280" s="685"/>
      <c r="Z280" s="685"/>
      <c r="AA280" s="685"/>
      <c r="AB280" s="685"/>
      <c r="AC280" s="685"/>
      <c r="AD280" s="685"/>
      <c r="AE280" s="685"/>
      <c r="AF280" s="685"/>
      <c r="AG280" s="685"/>
      <c r="AH280" s="685"/>
      <c r="AI280" s="685"/>
      <c r="AJ280" s="685"/>
      <c r="AK280" s="685"/>
      <c r="AL280" s="685"/>
      <c r="AM280" s="685"/>
      <c r="AN280" s="685"/>
      <c r="AO280" s="685"/>
      <c r="AP280" s="685"/>
      <c r="BA280" s="685"/>
      <c r="BB280" s="685"/>
    </row>
    <row r="281" spans="1:54">
      <c r="A281" s="685"/>
      <c r="B281" s="685"/>
      <c r="C281" s="685"/>
      <c r="D281" s="685"/>
      <c r="E281" s="685"/>
      <c r="F281" s="685"/>
      <c r="G281" s="685"/>
      <c r="H281" s="685"/>
      <c r="I281" s="685"/>
      <c r="J281" s="685"/>
      <c r="K281" s="685"/>
      <c r="L281" s="685"/>
      <c r="M281" s="685"/>
      <c r="N281" s="685"/>
      <c r="O281" s="685"/>
      <c r="P281" s="685"/>
      <c r="Q281" s="685"/>
      <c r="R281" s="685"/>
      <c r="S281" s="685"/>
      <c r="T281" s="115"/>
      <c r="U281" s="115"/>
      <c r="V281" s="685"/>
      <c r="W281" s="685"/>
      <c r="X281" s="685"/>
      <c r="Y281" s="685"/>
      <c r="Z281" s="685"/>
      <c r="AA281" s="685"/>
      <c r="AB281" s="685"/>
      <c r="AC281" s="685"/>
      <c r="AD281" s="685"/>
      <c r="AE281" s="685"/>
      <c r="AF281" s="685"/>
      <c r="AG281" s="685"/>
      <c r="AH281" s="685"/>
      <c r="AI281" s="685"/>
      <c r="AJ281" s="685"/>
      <c r="AK281" s="685"/>
      <c r="AL281" s="685"/>
      <c r="AM281" s="685"/>
      <c r="AN281" s="685"/>
      <c r="AO281" s="685"/>
      <c r="AP281" s="685"/>
      <c r="BA281" s="685"/>
      <c r="BB281" s="685"/>
    </row>
    <row r="282" spans="1:54">
      <c r="A282" s="685"/>
      <c r="B282" s="685"/>
      <c r="C282" s="685"/>
      <c r="D282" s="685"/>
      <c r="E282" s="685"/>
      <c r="F282" s="685"/>
      <c r="G282" s="685"/>
      <c r="H282" s="685"/>
      <c r="I282" s="685"/>
      <c r="J282" s="685"/>
      <c r="K282" s="685"/>
      <c r="L282" s="685"/>
      <c r="M282" s="685"/>
      <c r="N282" s="685"/>
      <c r="O282" s="685"/>
      <c r="P282" s="685"/>
      <c r="Q282" s="685"/>
      <c r="R282" s="685"/>
      <c r="S282" s="685"/>
      <c r="T282" s="115"/>
      <c r="U282" s="115"/>
      <c r="V282" s="685"/>
      <c r="W282" s="685"/>
      <c r="X282" s="685"/>
      <c r="Y282" s="685"/>
      <c r="Z282" s="685"/>
      <c r="AA282" s="685"/>
      <c r="AB282" s="685"/>
      <c r="AC282" s="685"/>
      <c r="AD282" s="685"/>
      <c r="AE282" s="685"/>
      <c r="AF282" s="685"/>
      <c r="AG282" s="685"/>
      <c r="AH282" s="685"/>
      <c r="AI282" s="685"/>
      <c r="AJ282" s="685"/>
      <c r="AK282" s="685"/>
      <c r="AL282" s="685"/>
      <c r="AM282" s="685"/>
      <c r="AN282" s="685"/>
      <c r="AO282" s="685"/>
      <c r="AP282" s="685"/>
      <c r="BA282" s="685"/>
      <c r="BB282" s="685"/>
    </row>
    <row r="283" spans="1:54">
      <c r="A283" s="685"/>
      <c r="B283" s="685"/>
      <c r="C283" s="685"/>
      <c r="D283" s="685"/>
      <c r="E283" s="685"/>
      <c r="F283" s="685"/>
      <c r="G283" s="685"/>
      <c r="H283" s="685"/>
      <c r="I283" s="685"/>
      <c r="J283" s="685"/>
      <c r="K283" s="685"/>
      <c r="L283" s="685"/>
      <c r="M283" s="685"/>
      <c r="N283" s="685"/>
      <c r="O283" s="685"/>
      <c r="P283" s="685"/>
      <c r="Q283" s="685"/>
      <c r="R283" s="685"/>
      <c r="S283" s="685"/>
      <c r="T283" s="115"/>
      <c r="U283" s="115"/>
      <c r="V283" s="685"/>
      <c r="W283" s="685"/>
      <c r="X283" s="685"/>
      <c r="Y283" s="685"/>
      <c r="Z283" s="685"/>
      <c r="AA283" s="685"/>
      <c r="AB283" s="685"/>
      <c r="AC283" s="685"/>
      <c r="AD283" s="685"/>
      <c r="AE283" s="685"/>
      <c r="AF283" s="685"/>
      <c r="AG283" s="685"/>
      <c r="AH283" s="685"/>
      <c r="AI283" s="685"/>
      <c r="AJ283" s="685"/>
      <c r="AK283" s="685"/>
      <c r="AL283" s="685"/>
      <c r="AM283" s="685"/>
      <c r="AN283" s="685"/>
      <c r="AO283" s="685"/>
      <c r="AP283" s="685"/>
      <c r="BA283" s="685"/>
      <c r="BB283" s="685"/>
    </row>
    <row r="284" spans="1:54">
      <c r="A284" s="685"/>
      <c r="B284" s="685"/>
      <c r="C284" s="685"/>
      <c r="D284" s="685"/>
      <c r="E284" s="685"/>
      <c r="F284" s="685"/>
      <c r="G284" s="685"/>
      <c r="H284" s="685"/>
      <c r="I284" s="685"/>
      <c r="J284" s="685"/>
      <c r="K284" s="685"/>
      <c r="L284" s="685"/>
      <c r="M284" s="685"/>
      <c r="N284" s="685"/>
      <c r="O284" s="685"/>
      <c r="P284" s="685"/>
      <c r="Q284" s="685"/>
      <c r="R284" s="685"/>
      <c r="S284" s="685"/>
      <c r="T284" s="115"/>
      <c r="U284" s="115"/>
      <c r="V284" s="685"/>
      <c r="W284" s="685"/>
      <c r="X284" s="685"/>
      <c r="Y284" s="685"/>
      <c r="Z284" s="685"/>
      <c r="AA284" s="685"/>
      <c r="AB284" s="685"/>
      <c r="AC284" s="685"/>
      <c r="AD284" s="685"/>
      <c r="AE284" s="685"/>
      <c r="AF284" s="685"/>
      <c r="AG284" s="685"/>
      <c r="AH284" s="685"/>
      <c r="AI284" s="685"/>
      <c r="AJ284" s="685"/>
      <c r="AK284" s="685"/>
      <c r="AL284" s="685"/>
      <c r="AM284" s="685"/>
      <c r="AN284" s="685"/>
      <c r="AO284" s="685"/>
      <c r="AP284" s="685"/>
      <c r="BA284" s="685"/>
      <c r="BB284" s="685"/>
    </row>
    <row r="285" spans="1:54">
      <c r="A285" s="685"/>
      <c r="B285" s="685"/>
      <c r="C285" s="685"/>
      <c r="D285" s="685"/>
      <c r="E285" s="685"/>
      <c r="F285" s="685"/>
      <c r="G285" s="685"/>
      <c r="H285" s="685"/>
      <c r="I285" s="685"/>
      <c r="J285" s="685"/>
      <c r="K285" s="685"/>
      <c r="L285" s="685"/>
      <c r="M285" s="685"/>
      <c r="N285" s="685"/>
      <c r="O285" s="685"/>
      <c r="P285" s="685"/>
      <c r="Q285" s="685"/>
      <c r="R285" s="685"/>
      <c r="S285" s="685"/>
      <c r="T285" s="115"/>
      <c r="U285" s="115"/>
      <c r="V285" s="685"/>
      <c r="W285" s="685"/>
      <c r="X285" s="685"/>
      <c r="Y285" s="685"/>
      <c r="Z285" s="685"/>
      <c r="AA285" s="685"/>
      <c r="AB285" s="685"/>
      <c r="AC285" s="685"/>
      <c r="AD285" s="685"/>
      <c r="AE285" s="685"/>
      <c r="AF285" s="685"/>
      <c r="AG285" s="685"/>
      <c r="AH285" s="685"/>
      <c r="AI285" s="685"/>
      <c r="AJ285" s="685"/>
      <c r="AK285" s="685"/>
      <c r="AL285" s="685"/>
      <c r="AM285" s="685"/>
      <c r="AN285" s="685"/>
      <c r="AO285" s="685"/>
      <c r="AP285" s="685"/>
      <c r="BA285" s="685"/>
      <c r="BB285" s="685"/>
    </row>
    <row r="286" spans="1:54">
      <c r="A286" s="685"/>
      <c r="B286" s="685"/>
      <c r="C286" s="685"/>
      <c r="D286" s="685"/>
      <c r="E286" s="685"/>
      <c r="F286" s="685"/>
      <c r="G286" s="685"/>
      <c r="H286" s="685"/>
      <c r="I286" s="685"/>
      <c r="J286" s="685"/>
      <c r="K286" s="685"/>
      <c r="L286" s="685"/>
      <c r="M286" s="685"/>
      <c r="N286" s="685"/>
      <c r="O286" s="685"/>
      <c r="P286" s="685"/>
      <c r="Q286" s="685"/>
      <c r="R286" s="685"/>
      <c r="S286" s="685"/>
      <c r="T286" s="115"/>
      <c r="U286" s="115"/>
      <c r="V286" s="685"/>
      <c r="W286" s="685"/>
      <c r="X286" s="685"/>
      <c r="Y286" s="685"/>
      <c r="Z286" s="685"/>
      <c r="AA286" s="685"/>
      <c r="AB286" s="685"/>
      <c r="AC286" s="685"/>
      <c r="AD286" s="685"/>
      <c r="AE286" s="685"/>
      <c r="AF286" s="685"/>
      <c r="AG286" s="685"/>
      <c r="AH286" s="685"/>
      <c r="AI286" s="685"/>
      <c r="AJ286" s="685"/>
      <c r="AK286" s="685"/>
      <c r="AL286" s="685"/>
      <c r="AM286" s="685"/>
      <c r="AN286" s="685"/>
      <c r="AO286" s="685"/>
      <c r="AP286" s="685"/>
      <c r="BA286" s="685"/>
      <c r="BB286" s="685"/>
    </row>
    <row r="287" spans="1:54">
      <c r="A287" s="685"/>
      <c r="B287" s="685"/>
      <c r="C287" s="685"/>
      <c r="D287" s="685"/>
      <c r="E287" s="685"/>
      <c r="F287" s="685"/>
      <c r="G287" s="685"/>
      <c r="H287" s="685"/>
      <c r="I287" s="685"/>
      <c r="J287" s="685"/>
      <c r="K287" s="685"/>
      <c r="L287" s="685"/>
      <c r="M287" s="685"/>
      <c r="N287" s="685"/>
      <c r="O287" s="685"/>
      <c r="P287" s="685"/>
      <c r="Q287" s="685"/>
      <c r="R287" s="685"/>
      <c r="S287" s="685"/>
      <c r="T287" s="115"/>
      <c r="U287" s="115"/>
      <c r="V287" s="685"/>
      <c r="W287" s="685"/>
      <c r="X287" s="685"/>
      <c r="Y287" s="685"/>
      <c r="Z287" s="685"/>
      <c r="AA287" s="685"/>
      <c r="AB287" s="685"/>
      <c r="AC287" s="685"/>
      <c r="AD287" s="685"/>
      <c r="AE287" s="685"/>
      <c r="AF287" s="685"/>
      <c r="AG287" s="685"/>
      <c r="AH287" s="685"/>
      <c r="AI287" s="685"/>
      <c r="AJ287" s="685"/>
      <c r="AK287" s="685"/>
      <c r="AL287" s="685"/>
      <c r="AM287" s="685"/>
      <c r="AN287" s="685"/>
      <c r="AO287" s="685"/>
      <c r="AP287" s="685"/>
      <c r="BA287" s="685"/>
      <c r="BB287" s="685"/>
    </row>
    <row r="288" spans="1:54">
      <c r="A288" s="685"/>
      <c r="B288" s="685"/>
      <c r="C288" s="685"/>
      <c r="D288" s="685"/>
      <c r="E288" s="685"/>
      <c r="F288" s="685"/>
      <c r="G288" s="685"/>
      <c r="H288" s="685"/>
      <c r="I288" s="685"/>
      <c r="J288" s="685"/>
      <c r="K288" s="685"/>
      <c r="L288" s="685"/>
      <c r="M288" s="685"/>
      <c r="N288" s="685"/>
      <c r="O288" s="685"/>
      <c r="P288" s="685"/>
      <c r="Q288" s="685"/>
      <c r="R288" s="685"/>
      <c r="S288" s="685"/>
      <c r="T288" s="115"/>
      <c r="U288" s="115"/>
      <c r="V288" s="685"/>
      <c r="W288" s="685"/>
      <c r="X288" s="685"/>
      <c r="Y288" s="685"/>
      <c r="Z288" s="685"/>
      <c r="AA288" s="685"/>
      <c r="AB288" s="685"/>
      <c r="AC288" s="685"/>
      <c r="AD288" s="685"/>
      <c r="AE288" s="685"/>
      <c r="AF288" s="685"/>
      <c r="AG288" s="685"/>
      <c r="AH288" s="685"/>
      <c r="AI288" s="685"/>
      <c r="AJ288" s="685"/>
      <c r="AK288" s="685"/>
      <c r="AL288" s="685"/>
      <c r="AM288" s="685"/>
      <c r="AN288" s="685"/>
      <c r="AO288" s="685"/>
      <c r="AP288" s="685"/>
      <c r="BA288" s="685"/>
      <c r="BB288" s="685"/>
    </row>
    <row r="289" spans="1:54">
      <c r="A289" s="685"/>
      <c r="B289" s="685"/>
      <c r="C289" s="685"/>
      <c r="D289" s="685"/>
      <c r="E289" s="685"/>
      <c r="F289" s="685"/>
      <c r="G289" s="685"/>
      <c r="H289" s="685"/>
      <c r="I289" s="685"/>
      <c r="J289" s="685"/>
      <c r="K289" s="685"/>
      <c r="L289" s="685"/>
      <c r="M289" s="685"/>
      <c r="N289" s="685"/>
      <c r="O289" s="685"/>
      <c r="P289" s="685"/>
      <c r="Q289" s="685"/>
      <c r="R289" s="685"/>
      <c r="S289" s="685"/>
      <c r="T289" s="115"/>
      <c r="U289" s="115"/>
      <c r="V289" s="685"/>
      <c r="W289" s="685"/>
      <c r="X289" s="685"/>
      <c r="Y289" s="685"/>
      <c r="Z289" s="685"/>
      <c r="AA289" s="685"/>
      <c r="AB289" s="685"/>
      <c r="AC289" s="685"/>
      <c r="AD289" s="685"/>
      <c r="AE289" s="685"/>
      <c r="AF289" s="685"/>
      <c r="AG289" s="685"/>
      <c r="AH289" s="685"/>
      <c r="AI289" s="685"/>
      <c r="AJ289" s="685"/>
      <c r="AK289" s="685"/>
      <c r="AL289" s="685"/>
      <c r="AM289" s="685"/>
      <c r="AN289" s="685"/>
      <c r="AO289" s="685"/>
      <c r="AP289" s="685"/>
      <c r="BA289" s="685"/>
      <c r="BB289" s="685"/>
    </row>
    <row r="290" spans="1:54">
      <c r="A290" s="685"/>
      <c r="B290" s="685"/>
      <c r="C290" s="685"/>
      <c r="D290" s="685"/>
      <c r="E290" s="685"/>
      <c r="F290" s="685"/>
      <c r="G290" s="685"/>
      <c r="H290" s="685"/>
      <c r="I290" s="685"/>
      <c r="J290" s="685"/>
      <c r="K290" s="685"/>
      <c r="L290" s="685"/>
      <c r="M290" s="685"/>
      <c r="N290" s="685"/>
      <c r="O290" s="685"/>
      <c r="P290" s="685"/>
      <c r="Q290" s="685"/>
      <c r="R290" s="685"/>
      <c r="S290" s="685"/>
      <c r="T290" s="115"/>
      <c r="U290" s="115"/>
      <c r="V290" s="685"/>
      <c r="W290" s="685"/>
      <c r="X290" s="685"/>
      <c r="Y290" s="685"/>
      <c r="Z290" s="685"/>
      <c r="AA290" s="685"/>
      <c r="AB290" s="685"/>
      <c r="AC290" s="685"/>
      <c r="AD290" s="685"/>
      <c r="AE290" s="685"/>
      <c r="AF290" s="685"/>
      <c r="AG290" s="685"/>
      <c r="AH290" s="685"/>
      <c r="AI290" s="685"/>
      <c r="AJ290" s="685"/>
      <c r="AK290" s="685"/>
      <c r="AL290" s="685"/>
      <c r="AM290" s="685"/>
      <c r="AN290" s="685"/>
      <c r="AO290" s="685"/>
      <c r="AP290" s="685"/>
      <c r="BA290" s="685"/>
      <c r="BB290" s="685"/>
    </row>
    <row r="291" spans="1:54">
      <c r="A291" s="685"/>
      <c r="B291" s="685"/>
      <c r="C291" s="685"/>
      <c r="D291" s="685"/>
      <c r="E291" s="685"/>
      <c r="F291" s="685"/>
      <c r="G291" s="685"/>
      <c r="H291" s="685"/>
      <c r="I291" s="685"/>
      <c r="J291" s="685"/>
      <c r="K291" s="685"/>
      <c r="L291" s="685"/>
      <c r="M291" s="685"/>
      <c r="N291" s="685"/>
      <c r="O291" s="685"/>
      <c r="P291" s="685"/>
      <c r="Q291" s="685"/>
      <c r="R291" s="685"/>
      <c r="S291" s="685"/>
      <c r="T291" s="115"/>
      <c r="U291" s="115"/>
      <c r="V291" s="685"/>
      <c r="W291" s="685"/>
      <c r="X291" s="685"/>
      <c r="Y291" s="685"/>
      <c r="Z291" s="685"/>
      <c r="AA291" s="685"/>
      <c r="AB291" s="685"/>
      <c r="AC291" s="685"/>
      <c r="AD291" s="685"/>
      <c r="AE291" s="685"/>
      <c r="AF291" s="685"/>
      <c r="AG291" s="685"/>
      <c r="AH291" s="685"/>
      <c r="AI291" s="685"/>
      <c r="AJ291" s="685"/>
      <c r="AK291" s="685"/>
      <c r="AL291" s="685"/>
      <c r="AM291" s="685"/>
      <c r="AN291" s="685"/>
      <c r="AO291" s="685"/>
      <c r="AP291" s="685"/>
      <c r="BA291" s="685"/>
      <c r="BB291" s="685"/>
    </row>
    <row r="292" spans="1:54">
      <c r="A292" s="685"/>
      <c r="B292" s="685"/>
      <c r="C292" s="685"/>
      <c r="D292" s="685"/>
      <c r="E292" s="685"/>
      <c r="F292" s="685"/>
      <c r="G292" s="685"/>
      <c r="H292" s="685"/>
      <c r="I292" s="685"/>
      <c r="J292" s="685"/>
      <c r="K292" s="685"/>
      <c r="L292" s="685"/>
      <c r="M292" s="685"/>
      <c r="N292" s="685"/>
      <c r="O292" s="685"/>
      <c r="P292" s="685"/>
      <c r="Q292" s="685"/>
      <c r="R292" s="685"/>
      <c r="S292" s="685"/>
      <c r="T292" s="115"/>
      <c r="U292" s="115"/>
      <c r="V292" s="685"/>
      <c r="W292" s="685"/>
      <c r="X292" s="685"/>
      <c r="Y292" s="685"/>
      <c r="Z292" s="685"/>
      <c r="AA292" s="685"/>
      <c r="AB292" s="685"/>
      <c r="AC292" s="685"/>
      <c r="AD292" s="685"/>
      <c r="AE292" s="685"/>
      <c r="AF292" s="685"/>
      <c r="AG292" s="685"/>
      <c r="AH292" s="685"/>
      <c r="AI292" s="685"/>
      <c r="AJ292" s="685"/>
      <c r="AK292" s="685"/>
      <c r="AL292" s="685"/>
      <c r="AM292" s="685"/>
      <c r="AN292" s="685"/>
      <c r="AO292" s="685"/>
      <c r="AP292" s="685"/>
      <c r="BA292" s="685"/>
      <c r="BB292" s="685"/>
    </row>
    <row r="293" spans="1:54">
      <c r="A293" s="685"/>
      <c r="B293" s="685"/>
      <c r="C293" s="685"/>
      <c r="D293" s="685"/>
      <c r="E293" s="685"/>
      <c r="F293" s="685"/>
      <c r="G293" s="685"/>
      <c r="H293" s="685"/>
      <c r="I293" s="685"/>
      <c r="J293" s="685"/>
      <c r="K293" s="685"/>
      <c r="L293" s="685"/>
      <c r="M293" s="685"/>
      <c r="N293" s="685"/>
      <c r="O293" s="685"/>
      <c r="P293" s="685"/>
      <c r="Q293" s="685"/>
      <c r="R293" s="685"/>
      <c r="S293" s="685"/>
      <c r="T293" s="115"/>
      <c r="U293" s="115"/>
      <c r="V293" s="685"/>
      <c r="W293" s="685"/>
      <c r="X293" s="685"/>
      <c r="Y293" s="685"/>
      <c r="Z293" s="685"/>
      <c r="AA293" s="685"/>
      <c r="AB293" s="685"/>
      <c r="AC293" s="685"/>
      <c r="AD293" s="685"/>
      <c r="AE293" s="685"/>
      <c r="AF293" s="685"/>
      <c r="AG293" s="685"/>
      <c r="AH293" s="685"/>
      <c r="AI293" s="685"/>
      <c r="AJ293" s="685"/>
      <c r="AK293" s="685"/>
      <c r="AL293" s="685"/>
      <c r="AM293" s="685"/>
      <c r="AN293" s="685"/>
      <c r="AO293" s="685"/>
      <c r="AP293" s="685"/>
      <c r="BA293" s="685"/>
      <c r="BB293" s="685"/>
    </row>
    <row r="294" spans="1:54">
      <c r="A294" s="685"/>
      <c r="B294" s="685"/>
      <c r="C294" s="685"/>
      <c r="D294" s="685"/>
      <c r="E294" s="685"/>
      <c r="F294" s="685"/>
      <c r="G294" s="685"/>
      <c r="H294" s="685"/>
      <c r="I294" s="685"/>
      <c r="J294" s="685"/>
      <c r="K294" s="685"/>
      <c r="L294" s="685"/>
      <c r="M294" s="685"/>
      <c r="N294" s="685"/>
      <c r="O294" s="685"/>
      <c r="P294" s="685"/>
      <c r="Q294" s="685"/>
      <c r="R294" s="685"/>
      <c r="S294" s="685"/>
      <c r="T294" s="115"/>
      <c r="U294" s="115"/>
      <c r="V294" s="685"/>
      <c r="W294" s="685"/>
      <c r="X294" s="685"/>
      <c r="Y294" s="685"/>
      <c r="Z294" s="685"/>
      <c r="AA294" s="685"/>
      <c r="AB294" s="685"/>
      <c r="AC294" s="685"/>
      <c r="AD294" s="685"/>
      <c r="AE294" s="685"/>
      <c r="AF294" s="685"/>
      <c r="AG294" s="685"/>
      <c r="AH294" s="685"/>
      <c r="AI294" s="685"/>
      <c r="AJ294" s="685"/>
      <c r="AK294" s="685"/>
      <c r="AL294" s="685"/>
      <c r="AM294" s="685"/>
      <c r="AN294" s="685"/>
      <c r="AO294" s="685"/>
      <c r="AP294" s="685"/>
      <c r="BA294" s="685"/>
      <c r="BB294" s="685"/>
    </row>
    <row r="295" spans="1:54">
      <c r="A295" s="685"/>
      <c r="B295" s="685"/>
      <c r="C295" s="685"/>
      <c r="D295" s="685"/>
      <c r="E295" s="685"/>
      <c r="F295" s="685"/>
      <c r="G295" s="685"/>
      <c r="H295" s="685"/>
      <c r="I295" s="685"/>
      <c r="J295" s="685"/>
      <c r="K295" s="685"/>
      <c r="L295" s="685"/>
      <c r="M295" s="685"/>
      <c r="N295" s="685"/>
      <c r="O295" s="685"/>
      <c r="P295" s="685"/>
      <c r="Q295" s="685"/>
      <c r="R295" s="685"/>
      <c r="S295" s="685"/>
      <c r="T295" s="115"/>
      <c r="U295" s="115"/>
      <c r="V295" s="685"/>
      <c r="W295" s="685"/>
      <c r="X295" s="685"/>
      <c r="Y295" s="685"/>
      <c r="Z295" s="685"/>
      <c r="AA295" s="685"/>
      <c r="AB295" s="685"/>
      <c r="AC295" s="685"/>
      <c r="AD295" s="685"/>
      <c r="AE295" s="685"/>
      <c r="AF295" s="685"/>
      <c r="AG295" s="685"/>
      <c r="AH295" s="685"/>
      <c r="AI295" s="685"/>
      <c r="AJ295" s="685"/>
      <c r="AK295" s="685"/>
      <c r="AL295" s="685"/>
      <c r="AM295" s="685"/>
      <c r="AN295" s="685"/>
      <c r="AO295" s="685"/>
      <c r="AP295" s="685"/>
      <c r="BA295" s="685"/>
      <c r="BB295" s="685"/>
    </row>
    <row r="296" spans="1:54">
      <c r="A296" s="685"/>
      <c r="B296" s="685"/>
      <c r="C296" s="685"/>
      <c r="D296" s="685"/>
      <c r="E296" s="685"/>
      <c r="F296" s="685"/>
      <c r="G296" s="685"/>
      <c r="H296" s="685"/>
      <c r="I296" s="685"/>
      <c r="J296" s="685"/>
      <c r="K296" s="685"/>
      <c r="L296" s="685"/>
      <c r="M296" s="685"/>
      <c r="N296" s="685"/>
      <c r="O296" s="685"/>
      <c r="P296" s="685"/>
      <c r="Q296" s="685"/>
      <c r="R296" s="685"/>
      <c r="S296" s="685"/>
      <c r="T296" s="115"/>
      <c r="U296" s="115"/>
      <c r="V296" s="685"/>
      <c r="W296" s="685"/>
      <c r="X296" s="685"/>
      <c r="Y296" s="685"/>
      <c r="Z296" s="685"/>
      <c r="AA296" s="685"/>
      <c r="AB296" s="685"/>
      <c r="AC296" s="685"/>
      <c r="AD296" s="685"/>
      <c r="AE296" s="685"/>
      <c r="AF296" s="685"/>
      <c r="AG296" s="685"/>
      <c r="AH296" s="685"/>
      <c r="AI296" s="685"/>
      <c r="AJ296" s="685"/>
      <c r="AK296" s="685"/>
      <c r="AL296" s="685"/>
      <c r="AM296" s="685"/>
      <c r="AN296" s="685"/>
      <c r="AO296" s="685"/>
      <c r="AP296" s="685"/>
      <c r="BA296" s="685"/>
      <c r="BB296" s="685"/>
    </row>
    <row r="297" spans="1:54">
      <c r="A297" s="685"/>
      <c r="B297" s="685"/>
      <c r="C297" s="685"/>
      <c r="D297" s="685"/>
      <c r="E297" s="685"/>
      <c r="F297" s="685"/>
      <c r="G297" s="685"/>
      <c r="H297" s="685"/>
      <c r="I297" s="685"/>
      <c r="J297" s="685"/>
      <c r="K297" s="685"/>
      <c r="L297" s="685"/>
      <c r="M297" s="685"/>
      <c r="N297" s="685"/>
      <c r="O297" s="685"/>
      <c r="P297" s="685"/>
      <c r="Q297" s="685"/>
      <c r="R297" s="685"/>
      <c r="S297" s="685"/>
      <c r="T297" s="115"/>
      <c r="U297" s="115"/>
      <c r="V297" s="685"/>
      <c r="W297" s="685"/>
      <c r="X297" s="685"/>
      <c r="Y297" s="685"/>
      <c r="Z297" s="685"/>
      <c r="AA297" s="685"/>
      <c r="AB297" s="685"/>
      <c r="AC297" s="685"/>
      <c r="AD297" s="685"/>
      <c r="AE297" s="685"/>
      <c r="AF297" s="685"/>
      <c r="AG297" s="685"/>
      <c r="AH297" s="685"/>
      <c r="AI297" s="685"/>
      <c r="AJ297" s="685"/>
      <c r="AK297" s="685"/>
      <c r="AL297" s="685"/>
      <c r="AM297" s="685"/>
      <c r="AN297" s="685"/>
      <c r="AO297" s="685"/>
      <c r="AP297" s="685"/>
      <c r="BA297" s="685"/>
      <c r="BB297" s="685"/>
    </row>
    <row r="298" spans="1:54">
      <c r="A298" s="685"/>
      <c r="B298" s="685"/>
      <c r="C298" s="685"/>
      <c r="D298" s="685"/>
      <c r="E298" s="685"/>
      <c r="F298" s="685"/>
      <c r="G298" s="685"/>
      <c r="H298" s="685"/>
      <c r="I298" s="685"/>
      <c r="J298" s="685"/>
      <c r="K298" s="685"/>
      <c r="L298" s="685"/>
      <c r="M298" s="685"/>
      <c r="N298" s="685"/>
      <c r="O298" s="685"/>
      <c r="P298" s="685"/>
      <c r="Q298" s="685"/>
      <c r="R298" s="685"/>
      <c r="S298" s="685"/>
      <c r="T298" s="115"/>
      <c r="U298" s="115"/>
      <c r="V298" s="685"/>
      <c r="W298" s="685"/>
      <c r="X298" s="685"/>
      <c r="Y298" s="685"/>
      <c r="Z298" s="685"/>
      <c r="AA298" s="685"/>
      <c r="AB298" s="685"/>
      <c r="AC298" s="685"/>
      <c r="AD298" s="685"/>
      <c r="AE298" s="685"/>
      <c r="AF298" s="685"/>
      <c r="AG298" s="685"/>
      <c r="AH298" s="685"/>
      <c r="AI298" s="685"/>
      <c r="AJ298" s="685"/>
      <c r="AK298" s="685"/>
      <c r="AL298" s="685"/>
      <c r="AM298" s="685"/>
      <c r="AN298" s="685"/>
      <c r="AO298" s="685"/>
      <c r="AP298" s="685"/>
      <c r="BA298" s="685"/>
      <c r="BB298" s="685"/>
    </row>
    <row r="299" spans="1:54">
      <c r="A299" s="685"/>
      <c r="B299" s="685"/>
      <c r="C299" s="685"/>
      <c r="D299" s="685"/>
      <c r="E299" s="685"/>
      <c r="F299" s="685"/>
      <c r="G299" s="685"/>
      <c r="H299" s="685"/>
      <c r="I299" s="685"/>
      <c r="J299" s="685"/>
      <c r="K299" s="685"/>
      <c r="L299" s="685"/>
      <c r="M299" s="685"/>
      <c r="N299" s="685"/>
      <c r="O299" s="685"/>
      <c r="P299" s="685"/>
      <c r="Q299" s="685"/>
      <c r="R299" s="685"/>
      <c r="S299" s="685"/>
      <c r="T299" s="115"/>
      <c r="U299" s="115"/>
      <c r="V299" s="685"/>
      <c r="W299" s="685"/>
      <c r="X299" s="685"/>
      <c r="Y299" s="685"/>
      <c r="Z299" s="685"/>
      <c r="AA299" s="685"/>
      <c r="AB299" s="685"/>
      <c r="AC299" s="685"/>
      <c r="AD299" s="685"/>
      <c r="AE299" s="685"/>
      <c r="AF299" s="685"/>
      <c r="AG299" s="685"/>
      <c r="AH299" s="685"/>
      <c r="AI299" s="685"/>
      <c r="AJ299" s="685"/>
      <c r="AK299" s="685"/>
      <c r="AL299" s="685"/>
      <c r="AM299" s="685"/>
      <c r="AN299" s="685"/>
      <c r="AO299" s="685"/>
      <c r="AP299" s="685"/>
      <c r="BA299" s="685"/>
      <c r="BB299" s="685"/>
    </row>
    <row r="300" spans="1:54">
      <c r="A300" s="685"/>
      <c r="B300" s="685"/>
      <c r="C300" s="685"/>
      <c r="D300" s="685"/>
      <c r="E300" s="685"/>
      <c r="F300" s="685"/>
      <c r="G300" s="685"/>
      <c r="H300" s="685"/>
      <c r="I300" s="685"/>
      <c r="J300" s="685"/>
      <c r="K300" s="685"/>
      <c r="L300" s="685"/>
      <c r="M300" s="685"/>
      <c r="N300" s="685"/>
      <c r="O300" s="685"/>
      <c r="P300" s="685"/>
      <c r="Q300" s="685"/>
      <c r="R300" s="685"/>
      <c r="S300" s="685"/>
      <c r="T300" s="115"/>
      <c r="U300" s="115"/>
      <c r="V300" s="685"/>
      <c r="W300" s="685"/>
      <c r="X300" s="685"/>
      <c r="Y300" s="685"/>
      <c r="Z300" s="685"/>
      <c r="AA300" s="685"/>
      <c r="AB300" s="685"/>
      <c r="AC300" s="685"/>
      <c r="AD300" s="685"/>
      <c r="AE300" s="685"/>
      <c r="AF300" s="685"/>
      <c r="AG300" s="685"/>
      <c r="AH300" s="685"/>
      <c r="AI300" s="685"/>
      <c r="AJ300" s="685"/>
      <c r="AK300" s="685"/>
      <c r="AL300" s="685"/>
      <c r="AM300" s="685"/>
      <c r="AN300" s="685"/>
      <c r="AO300" s="685"/>
      <c r="AP300" s="685"/>
      <c r="BA300" s="685"/>
      <c r="BB300" s="685"/>
    </row>
    <row r="301" spans="1:54">
      <c r="A301" s="685"/>
      <c r="B301" s="685"/>
      <c r="C301" s="685"/>
      <c r="D301" s="685"/>
      <c r="E301" s="685"/>
      <c r="F301" s="685"/>
      <c r="G301" s="685"/>
      <c r="H301" s="685"/>
      <c r="I301" s="685"/>
      <c r="J301" s="685"/>
      <c r="K301" s="685"/>
      <c r="L301" s="685"/>
      <c r="M301" s="685"/>
      <c r="N301" s="685"/>
      <c r="O301" s="685"/>
      <c r="P301" s="685"/>
      <c r="Q301" s="685"/>
      <c r="R301" s="685"/>
      <c r="S301" s="685"/>
      <c r="T301" s="115"/>
      <c r="U301" s="115"/>
      <c r="V301" s="685"/>
      <c r="W301" s="685"/>
      <c r="X301" s="685"/>
      <c r="Y301" s="685"/>
      <c r="Z301" s="685"/>
      <c r="AA301" s="685"/>
      <c r="AB301" s="685"/>
      <c r="AC301" s="685"/>
      <c r="AD301" s="685"/>
      <c r="AE301" s="685"/>
      <c r="AF301" s="685"/>
      <c r="AG301" s="685"/>
      <c r="AH301" s="685"/>
      <c r="AI301" s="685"/>
      <c r="AJ301" s="685"/>
      <c r="AK301" s="685"/>
      <c r="AL301" s="685"/>
      <c r="AM301" s="685"/>
      <c r="AN301" s="685"/>
      <c r="AO301" s="685"/>
      <c r="AP301" s="685"/>
      <c r="BA301" s="685"/>
      <c r="BB301" s="685"/>
    </row>
    <row r="302" spans="1:54">
      <c r="A302" s="685"/>
      <c r="B302" s="685"/>
      <c r="C302" s="685"/>
      <c r="D302" s="685"/>
      <c r="E302" s="685"/>
      <c r="F302" s="685"/>
      <c r="G302" s="685"/>
      <c r="H302" s="685"/>
      <c r="I302" s="685"/>
      <c r="J302" s="685"/>
      <c r="K302" s="685"/>
      <c r="L302" s="685"/>
      <c r="M302" s="685"/>
      <c r="N302" s="685"/>
      <c r="O302" s="685"/>
      <c r="P302" s="685"/>
      <c r="Q302" s="685"/>
      <c r="R302" s="685"/>
      <c r="S302" s="685"/>
      <c r="T302" s="115"/>
      <c r="U302" s="115"/>
      <c r="V302" s="685"/>
      <c r="W302" s="685"/>
      <c r="X302" s="685"/>
      <c r="Y302" s="685"/>
      <c r="Z302" s="685"/>
      <c r="AA302" s="685"/>
      <c r="AB302" s="685"/>
      <c r="AC302" s="685"/>
      <c r="AD302" s="685"/>
      <c r="AE302" s="685"/>
      <c r="AF302" s="685"/>
      <c r="AG302" s="685"/>
      <c r="AH302" s="685"/>
      <c r="AI302" s="685"/>
      <c r="AJ302" s="685"/>
      <c r="AK302" s="685"/>
      <c r="AL302" s="685"/>
      <c r="AM302" s="685"/>
      <c r="AN302" s="685"/>
      <c r="AO302" s="685"/>
      <c r="AP302" s="685"/>
      <c r="BA302" s="685"/>
      <c r="BB302" s="685"/>
    </row>
    <row r="303" spans="1:54">
      <c r="A303" s="685"/>
      <c r="B303" s="685"/>
      <c r="C303" s="685"/>
      <c r="D303" s="685"/>
      <c r="E303" s="685"/>
      <c r="F303" s="685"/>
      <c r="G303" s="685"/>
      <c r="H303" s="685"/>
      <c r="I303" s="685"/>
      <c r="J303" s="685"/>
      <c r="K303" s="685"/>
      <c r="L303" s="685"/>
      <c r="M303" s="685"/>
      <c r="N303" s="685"/>
      <c r="O303" s="685"/>
      <c r="P303" s="685"/>
      <c r="Q303" s="685"/>
      <c r="R303" s="685"/>
      <c r="S303" s="685"/>
      <c r="T303" s="115"/>
      <c r="U303" s="115"/>
      <c r="V303" s="685"/>
      <c r="W303" s="685"/>
      <c r="X303" s="685"/>
      <c r="Y303" s="685"/>
      <c r="Z303" s="685"/>
      <c r="AA303" s="685"/>
      <c r="AB303" s="685"/>
      <c r="AC303" s="685"/>
      <c r="AD303" s="685"/>
      <c r="AE303" s="685"/>
      <c r="AF303" s="685"/>
      <c r="AG303" s="685"/>
      <c r="AH303" s="685"/>
      <c r="AI303" s="685"/>
      <c r="AJ303" s="685"/>
      <c r="AK303" s="685"/>
      <c r="AL303" s="685"/>
      <c r="AM303" s="685"/>
      <c r="AN303" s="685"/>
      <c r="AO303" s="685"/>
      <c r="AP303" s="685"/>
      <c r="BA303" s="685"/>
      <c r="BB303" s="685"/>
    </row>
  </sheetData>
  <phoneticPr fontId="157" type="noConversion"/>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AZ381"/>
  <sheetViews>
    <sheetView zoomScale="72" zoomScaleNormal="72" workbookViewId="0">
      <pane xSplit="2" ySplit="2" topLeftCell="C3" activePane="bottomRight" state="frozen"/>
      <selection pane="topRight" activeCell="C1" sqref="C1"/>
      <selection pane="bottomLeft" activeCell="A3" sqref="A3"/>
      <selection pane="bottomRight"/>
    </sheetView>
  </sheetViews>
  <sheetFormatPr defaultRowHeight="15"/>
  <cols>
    <col min="1" max="1" width="3" customWidth="1"/>
    <col min="2" max="2" width="36.28515625" customWidth="1"/>
    <col min="3" max="5" width="11" customWidth="1"/>
    <col min="6" max="6" width="9.7109375" customWidth="1"/>
    <col min="7" max="19" width="9.5703125" customWidth="1"/>
    <col min="20" max="24" width="9.28515625" bestFit="1" customWidth="1"/>
    <col min="26" max="26" width="9.28515625" bestFit="1" customWidth="1"/>
    <col min="27" max="27" width="11" bestFit="1" customWidth="1"/>
    <col min="28" max="29" width="10.85546875" bestFit="1" customWidth="1"/>
    <col min="30" max="42" width="9.28515625" bestFit="1" customWidth="1"/>
  </cols>
  <sheetData>
    <row r="1" spans="1:52">
      <c r="A1" s="685"/>
      <c r="B1" s="685"/>
      <c r="C1" s="685"/>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c r="AQ1" s="685"/>
      <c r="AR1" s="685"/>
      <c r="AS1" s="685"/>
      <c r="AT1" s="685"/>
      <c r="AU1" s="685"/>
      <c r="AV1" s="685"/>
      <c r="AW1" s="685"/>
      <c r="AX1" s="685"/>
      <c r="AY1" s="685"/>
      <c r="AZ1" s="685"/>
    </row>
    <row r="2" spans="1:52">
      <c r="A2" s="685"/>
      <c r="B2" s="857" t="s">
        <v>651</v>
      </c>
      <c r="C2" s="857">
        <v>2009</v>
      </c>
      <c r="D2" s="857">
        <f>C2+1</f>
        <v>2010</v>
      </c>
      <c r="E2" s="857">
        <f t="shared" ref="E2:L2" si="0">D2+1</f>
        <v>2011</v>
      </c>
      <c r="F2" s="857">
        <f t="shared" si="0"/>
        <v>2012</v>
      </c>
      <c r="G2" s="857">
        <f t="shared" si="0"/>
        <v>2013</v>
      </c>
      <c r="H2" s="857">
        <f t="shared" si="0"/>
        <v>2014</v>
      </c>
      <c r="I2" s="857">
        <f t="shared" si="0"/>
        <v>2015</v>
      </c>
      <c r="J2" s="857">
        <f t="shared" si="0"/>
        <v>2016</v>
      </c>
      <c r="K2" s="857">
        <f t="shared" si="0"/>
        <v>2017</v>
      </c>
      <c r="L2" s="857">
        <f t="shared" si="0"/>
        <v>2018</v>
      </c>
      <c r="M2" s="857">
        <f t="shared" ref="M2:X2" si="1">L2+1</f>
        <v>2019</v>
      </c>
      <c r="N2" s="857">
        <f t="shared" si="1"/>
        <v>2020</v>
      </c>
      <c r="O2" s="857">
        <f t="shared" si="1"/>
        <v>2021</v>
      </c>
      <c r="P2" s="857">
        <f t="shared" si="1"/>
        <v>2022</v>
      </c>
      <c r="Q2" s="857">
        <f t="shared" si="1"/>
        <v>2023</v>
      </c>
      <c r="R2" s="857">
        <f t="shared" si="1"/>
        <v>2024</v>
      </c>
      <c r="S2" s="857">
        <f t="shared" si="1"/>
        <v>2025</v>
      </c>
      <c r="T2" s="857">
        <f t="shared" si="1"/>
        <v>2026</v>
      </c>
      <c r="U2" s="857">
        <f t="shared" si="1"/>
        <v>2027</v>
      </c>
      <c r="V2" s="857">
        <f t="shared" si="1"/>
        <v>2028</v>
      </c>
      <c r="W2" s="857">
        <f t="shared" si="1"/>
        <v>2029</v>
      </c>
      <c r="X2" s="857">
        <f t="shared" si="1"/>
        <v>2030</v>
      </c>
      <c r="Y2" s="685"/>
      <c r="Z2" s="685"/>
      <c r="AA2" s="685"/>
      <c r="AB2" s="685"/>
      <c r="AC2" s="685"/>
      <c r="AD2" s="685"/>
      <c r="AE2" s="685"/>
      <c r="AF2" s="685"/>
      <c r="AG2" s="685"/>
      <c r="AH2" s="685"/>
      <c r="AI2" s="685"/>
      <c r="AJ2" s="685"/>
      <c r="AK2" s="685"/>
      <c r="AL2" s="685"/>
      <c r="AM2" s="685"/>
      <c r="AN2" s="685"/>
      <c r="AO2" s="685"/>
      <c r="AP2" s="685"/>
      <c r="AQ2" s="685"/>
      <c r="AR2" s="685"/>
      <c r="AS2" s="685"/>
      <c r="AT2" s="685"/>
      <c r="AU2" s="685"/>
      <c r="AV2" s="685"/>
      <c r="AW2" s="685"/>
      <c r="AX2" s="685"/>
      <c r="AY2" s="685"/>
      <c r="AZ2" s="685"/>
    </row>
    <row r="3" spans="1:52">
      <c r="A3" s="685"/>
      <c r="B3" s="685" t="str">
        <f>Master!B43</f>
        <v>Advertising</v>
      </c>
      <c r="C3" s="978">
        <f>Master!H43</f>
        <v>21397</v>
      </c>
      <c r="D3" s="978">
        <f>Master!I43</f>
        <v>22747</v>
      </c>
      <c r="E3" s="978">
        <f>Master!J43</f>
        <v>23206.1</v>
      </c>
      <c r="F3" s="978">
        <f>Master!K43</f>
        <v>23935.9</v>
      </c>
      <c r="G3" s="978">
        <f>Master!L43</f>
        <v>24865.5</v>
      </c>
      <c r="H3" s="978">
        <f>Master!M43</f>
        <v>25465.699999999997</v>
      </c>
      <c r="I3" s="978">
        <f>Master!N43</f>
        <v>23029.3</v>
      </c>
      <c r="J3" s="978">
        <f>Master!O43</f>
        <v>23223.200000000001</v>
      </c>
      <c r="K3" s="978">
        <f>Master!P43</f>
        <v>20719</v>
      </c>
      <c r="L3" s="978">
        <f>Master!Q43</f>
        <v>21155</v>
      </c>
      <c r="M3" s="978">
        <f>Master!R43</f>
        <v>19420.400000000001</v>
      </c>
      <c r="N3" s="978">
        <f>Master!S43</f>
        <v>16349.8</v>
      </c>
      <c r="O3" s="978">
        <f>Master!T43</f>
        <v>19162</v>
      </c>
      <c r="P3" s="848">
        <f t="shared" ref="P3:X3" si="2">(1+P4)*O3</f>
        <v>20120.100000000002</v>
      </c>
      <c r="Q3" s="848">
        <f t="shared" si="2"/>
        <v>20924.904000000002</v>
      </c>
      <c r="R3" s="848">
        <f t="shared" si="2"/>
        <v>20924.904000000002</v>
      </c>
      <c r="S3" s="848">
        <f t="shared" si="2"/>
        <v>20924.904000000002</v>
      </c>
      <c r="T3" s="848">
        <f t="shared" si="2"/>
        <v>20924.904000000002</v>
      </c>
      <c r="U3" s="848">
        <f t="shared" si="2"/>
        <v>20924.904000000002</v>
      </c>
      <c r="V3" s="848">
        <f t="shared" si="2"/>
        <v>20924.904000000002</v>
      </c>
      <c r="W3" s="848">
        <f t="shared" si="2"/>
        <v>20924.904000000002</v>
      </c>
      <c r="X3" s="848">
        <f t="shared" si="2"/>
        <v>20924.904000000002</v>
      </c>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row>
    <row r="4" spans="1:52">
      <c r="A4" s="685"/>
      <c r="B4" s="685" t="s">
        <v>181</v>
      </c>
      <c r="C4" s="848"/>
      <c r="D4" s="869">
        <f t="shared" ref="D4:O4" si="3">D3/C3-1</f>
        <v>6.3092956956582791E-2</v>
      </c>
      <c r="E4" s="869">
        <f t="shared" si="3"/>
        <v>2.0182881259066976E-2</v>
      </c>
      <c r="F4" s="869">
        <f t="shared" si="3"/>
        <v>3.144862773150181E-2</v>
      </c>
      <c r="G4" s="869">
        <f t="shared" si="3"/>
        <v>3.8837060649484556E-2</v>
      </c>
      <c r="H4" s="869">
        <f t="shared" si="3"/>
        <v>2.4137861695924023E-2</v>
      </c>
      <c r="I4" s="869">
        <f t="shared" si="3"/>
        <v>-9.5673788664752957E-2</v>
      </c>
      <c r="J4" s="869">
        <f t="shared" si="3"/>
        <v>8.4197088057389458E-3</v>
      </c>
      <c r="K4" s="869">
        <f t="shared" si="3"/>
        <v>-0.10783182334906471</v>
      </c>
      <c r="L4" s="869">
        <f t="shared" si="3"/>
        <v>2.1043486654761301E-2</v>
      </c>
      <c r="M4" s="869">
        <f t="shared" si="3"/>
        <v>-8.1994800283620828E-2</v>
      </c>
      <c r="N4" s="869">
        <f t="shared" si="3"/>
        <v>-0.15811208831949919</v>
      </c>
      <c r="O4" s="869">
        <f t="shared" si="3"/>
        <v>0.17200210400127225</v>
      </c>
      <c r="P4" s="1001">
        <v>0.05</v>
      </c>
      <c r="Q4" s="1001">
        <v>0.04</v>
      </c>
      <c r="R4" s="1001">
        <v>0</v>
      </c>
      <c r="S4" s="1001">
        <v>0</v>
      </c>
      <c r="T4" s="1001">
        <v>0</v>
      </c>
      <c r="U4" s="1001">
        <v>0</v>
      </c>
      <c r="V4" s="1001">
        <v>0</v>
      </c>
      <c r="W4" s="1001">
        <v>0</v>
      </c>
      <c r="X4" s="1001">
        <v>0</v>
      </c>
      <c r="Y4" s="685"/>
      <c r="Z4" s="685"/>
      <c r="AA4" s="685"/>
      <c r="AB4" s="685"/>
      <c r="AC4" s="685">
        <f t="shared" ref="AC4:AP4" si="4">F2</f>
        <v>2012</v>
      </c>
      <c r="AD4" s="685">
        <f t="shared" si="4"/>
        <v>2013</v>
      </c>
      <c r="AE4" s="685">
        <f t="shared" si="4"/>
        <v>2014</v>
      </c>
      <c r="AF4" s="685">
        <f t="shared" si="4"/>
        <v>2015</v>
      </c>
      <c r="AG4" s="685">
        <f t="shared" si="4"/>
        <v>2016</v>
      </c>
      <c r="AH4" s="685">
        <f t="shared" si="4"/>
        <v>2017</v>
      </c>
      <c r="AI4" s="685">
        <f t="shared" si="4"/>
        <v>2018</v>
      </c>
      <c r="AJ4" s="685">
        <f t="shared" si="4"/>
        <v>2019</v>
      </c>
      <c r="AK4" s="685">
        <f t="shared" si="4"/>
        <v>2020</v>
      </c>
      <c r="AL4" s="685">
        <f t="shared" si="4"/>
        <v>2021</v>
      </c>
      <c r="AM4" s="685">
        <f t="shared" si="4"/>
        <v>2022</v>
      </c>
      <c r="AN4" s="685">
        <f t="shared" si="4"/>
        <v>2023</v>
      </c>
      <c r="AO4" s="685">
        <f t="shared" si="4"/>
        <v>2024</v>
      </c>
      <c r="AP4" s="685">
        <f t="shared" si="4"/>
        <v>2025</v>
      </c>
      <c r="AQ4" s="685"/>
      <c r="AR4" s="685"/>
      <c r="AS4" s="685"/>
      <c r="AT4" s="685"/>
      <c r="AU4" s="685"/>
      <c r="AV4" s="685"/>
      <c r="AW4" s="685"/>
      <c r="AX4" s="685"/>
      <c r="AY4" s="685"/>
      <c r="AZ4" s="685"/>
    </row>
    <row r="5" spans="1:52">
      <c r="A5" s="685"/>
      <c r="B5" s="685"/>
      <c r="C5" s="848"/>
      <c r="D5" s="807"/>
      <c r="E5" s="807"/>
      <c r="F5" s="807"/>
      <c r="G5" s="807"/>
      <c r="H5" s="807"/>
      <c r="I5" s="807"/>
      <c r="J5" s="807"/>
      <c r="K5" s="807"/>
      <c r="L5" s="807"/>
      <c r="M5" s="807"/>
      <c r="N5" s="807"/>
      <c r="O5" s="807"/>
      <c r="P5" s="807"/>
      <c r="Q5" s="807"/>
      <c r="R5" s="807"/>
      <c r="S5" s="807"/>
      <c r="T5" s="807"/>
      <c r="U5" s="807"/>
      <c r="V5" s="807"/>
      <c r="W5" s="807"/>
      <c r="X5" s="807"/>
      <c r="Y5" s="685"/>
      <c r="Z5" s="685"/>
      <c r="AA5" s="685"/>
      <c r="AB5" s="685" t="s">
        <v>5037</v>
      </c>
      <c r="AC5" s="869">
        <f t="shared" ref="AC5:AP5" si="5">F4</f>
        <v>3.144862773150181E-2</v>
      </c>
      <c r="AD5" s="869">
        <f t="shared" si="5"/>
        <v>3.8837060649484556E-2</v>
      </c>
      <c r="AE5" s="869">
        <f t="shared" si="5"/>
        <v>2.4137861695924023E-2</v>
      </c>
      <c r="AF5" s="869">
        <f t="shared" si="5"/>
        <v>-9.5673788664752957E-2</v>
      </c>
      <c r="AG5" s="869">
        <f t="shared" si="5"/>
        <v>8.4197088057389458E-3</v>
      </c>
      <c r="AH5" s="869">
        <f t="shared" si="5"/>
        <v>-0.10783182334906471</v>
      </c>
      <c r="AI5" s="869">
        <f t="shared" si="5"/>
        <v>2.1043486654761301E-2</v>
      </c>
      <c r="AJ5" s="869">
        <f t="shared" si="5"/>
        <v>-8.1994800283620828E-2</v>
      </c>
      <c r="AK5" s="869">
        <f t="shared" si="5"/>
        <v>-0.15811208831949919</v>
      </c>
      <c r="AL5" s="869">
        <f t="shared" si="5"/>
        <v>0.17200210400127225</v>
      </c>
      <c r="AM5" s="869">
        <f t="shared" si="5"/>
        <v>0.05</v>
      </c>
      <c r="AN5" s="869">
        <f t="shared" si="5"/>
        <v>0.04</v>
      </c>
      <c r="AO5" s="869">
        <f t="shared" si="5"/>
        <v>0</v>
      </c>
      <c r="AP5" s="869">
        <f t="shared" si="5"/>
        <v>0</v>
      </c>
      <c r="AQ5" s="685"/>
      <c r="AR5" s="685"/>
      <c r="AS5" s="685"/>
      <c r="AT5" s="685"/>
      <c r="AU5" s="685"/>
      <c r="AV5" s="685"/>
      <c r="AW5" s="685"/>
      <c r="AX5" s="685"/>
      <c r="AY5" s="685"/>
      <c r="AZ5" s="685"/>
    </row>
    <row r="6" spans="1:52">
      <c r="A6" s="685"/>
      <c r="B6" s="685" t="s">
        <v>847</v>
      </c>
      <c r="C6" s="1001">
        <v>-4.7E-2</v>
      </c>
      <c r="D6" s="1001">
        <v>5.0999999999999997E-2</v>
      </c>
      <c r="E6" s="1001">
        <v>0.04</v>
      </c>
      <c r="F6" s="1001">
        <v>0.04</v>
      </c>
      <c r="G6" s="1001">
        <v>1.4E-2</v>
      </c>
      <c r="H6" s="1001">
        <v>2.1000000000000001E-2</v>
      </c>
      <c r="I6" s="1001">
        <v>2.5000000000000001E-2</v>
      </c>
      <c r="J6" s="1001">
        <v>3.5000000000000003E-2</v>
      </c>
      <c r="K6" s="1001">
        <v>0.03</v>
      </c>
      <c r="L6" s="1001">
        <v>0.03</v>
      </c>
      <c r="M6" s="1001">
        <v>0.03</v>
      </c>
      <c r="N6" s="1001">
        <v>-0.105</v>
      </c>
      <c r="O6" s="1001">
        <v>3.3000000000000002E-2</v>
      </c>
      <c r="P6" s="1001">
        <v>2.5000000000000001E-2</v>
      </c>
      <c r="Q6" s="1001">
        <v>2.5000000000000001E-2</v>
      </c>
      <c r="R6" s="1001">
        <v>0.04</v>
      </c>
      <c r="S6" s="1001">
        <v>0.04</v>
      </c>
      <c r="T6" s="1001">
        <v>0.04</v>
      </c>
      <c r="U6" s="1001">
        <v>0.04</v>
      </c>
      <c r="V6" s="1001">
        <v>0.04</v>
      </c>
      <c r="W6" s="1001">
        <v>0.04</v>
      </c>
      <c r="X6" s="1001">
        <v>0.04</v>
      </c>
      <c r="Y6" s="685"/>
      <c r="Z6" s="685"/>
      <c r="AA6" s="685"/>
      <c r="AB6" s="685" t="s">
        <v>5038</v>
      </c>
      <c r="AC6" s="869">
        <f t="shared" ref="AC6:AP6" si="6">F29</f>
        <v>0.46865344848558571</v>
      </c>
      <c r="AD6" s="869">
        <f t="shared" si="6"/>
        <v>0.46025203574153029</v>
      </c>
      <c r="AE6" s="869">
        <f t="shared" si="6"/>
        <v>0.44551610211052511</v>
      </c>
      <c r="AF6" s="869">
        <f t="shared" si="6"/>
        <v>0.42420906077605547</v>
      </c>
      <c r="AG6" s="869">
        <f t="shared" si="6"/>
        <v>0.4019985444316333</v>
      </c>
      <c r="AH6" s="869">
        <f t="shared" si="6"/>
        <v>0.37723916816189662</v>
      </c>
      <c r="AI6" s="869">
        <f t="shared" si="6"/>
        <v>0.38070708235625778</v>
      </c>
      <c r="AJ6" s="869">
        <f t="shared" si="6"/>
        <v>0.36303649332957805</v>
      </c>
      <c r="AK6" s="869">
        <f t="shared" si="6"/>
        <v>0.37901450341888204</v>
      </c>
      <c r="AL6" s="869">
        <f t="shared" si="6"/>
        <v>0.3833687145086932</v>
      </c>
      <c r="AM6" s="869">
        <f t="shared" si="6"/>
        <v>0.37</v>
      </c>
      <c r="AN6" s="869">
        <f t="shared" si="6"/>
        <v>0.36</v>
      </c>
      <c r="AO6" s="869">
        <f t="shared" si="6"/>
        <v>0.34499999999999997</v>
      </c>
      <c r="AP6" s="869">
        <f t="shared" si="6"/>
        <v>0.33</v>
      </c>
      <c r="AQ6" s="685"/>
      <c r="AR6" s="685"/>
      <c r="AS6" s="685"/>
      <c r="AT6" s="685"/>
      <c r="AU6" s="685"/>
      <c r="AV6" s="685"/>
      <c r="AW6" s="685"/>
      <c r="AX6" s="685"/>
      <c r="AY6" s="685"/>
      <c r="AZ6" s="685"/>
    </row>
    <row r="7" spans="1:52">
      <c r="A7" s="685"/>
      <c r="B7" s="685" t="s">
        <v>848</v>
      </c>
      <c r="C7" s="1001">
        <v>4.1599999999999998E-2</v>
      </c>
      <c r="D7" s="1001">
        <v>3.4099999999999998E-2</v>
      </c>
      <c r="E7" s="1001">
        <v>3.4000000000000002E-2</v>
      </c>
      <c r="F7" s="1001">
        <v>4.1099999999999998E-2</v>
      </c>
      <c r="G7" s="1001">
        <v>3.8100000000000002E-2</v>
      </c>
      <c r="H7" s="1001">
        <v>4.02E-2</v>
      </c>
      <c r="I7" s="1001">
        <v>0.03</v>
      </c>
      <c r="J7" s="1001">
        <f t="shared" ref="J7:X7" si="7">I7-0.1%</f>
        <v>2.8999999999999998E-2</v>
      </c>
      <c r="K7" s="1001">
        <f t="shared" si="7"/>
        <v>2.7999999999999997E-2</v>
      </c>
      <c r="L7" s="1001">
        <f t="shared" si="7"/>
        <v>2.6999999999999996E-2</v>
      </c>
      <c r="M7" s="1001">
        <f t="shared" si="7"/>
        <v>2.5999999999999995E-2</v>
      </c>
      <c r="N7" s="1001">
        <f t="shared" si="7"/>
        <v>2.4999999999999994E-2</v>
      </c>
      <c r="O7" s="1001">
        <f t="shared" si="7"/>
        <v>2.3999999999999994E-2</v>
      </c>
      <c r="P7" s="1001">
        <f t="shared" si="7"/>
        <v>2.2999999999999993E-2</v>
      </c>
      <c r="Q7" s="1001">
        <f t="shared" si="7"/>
        <v>2.1999999999999992E-2</v>
      </c>
      <c r="R7" s="1001">
        <f t="shared" si="7"/>
        <v>2.0999999999999991E-2</v>
      </c>
      <c r="S7" s="1001">
        <f t="shared" si="7"/>
        <v>1.999999999999999E-2</v>
      </c>
      <c r="T7" s="1001">
        <f t="shared" si="7"/>
        <v>1.8999999999999989E-2</v>
      </c>
      <c r="U7" s="1001">
        <f t="shared" si="7"/>
        <v>1.7999999999999988E-2</v>
      </c>
      <c r="V7" s="1001">
        <f t="shared" si="7"/>
        <v>1.6999999999999987E-2</v>
      </c>
      <c r="W7" s="1001">
        <f t="shared" si="7"/>
        <v>1.5999999999999986E-2</v>
      </c>
      <c r="X7" s="1001">
        <f t="shared" si="7"/>
        <v>1.4999999999999986E-2</v>
      </c>
      <c r="Y7" s="685"/>
      <c r="Z7" s="685"/>
      <c r="AA7" s="685"/>
      <c r="AB7" s="685"/>
      <c r="AC7" s="685"/>
      <c r="AD7" s="685"/>
      <c r="AE7" s="685"/>
      <c r="AF7" s="685"/>
      <c r="AG7" s="685"/>
      <c r="AH7" s="685"/>
      <c r="AI7" s="685"/>
      <c r="AJ7" s="685"/>
      <c r="AK7" s="685"/>
      <c r="AL7" s="685"/>
      <c r="AM7" s="685"/>
      <c r="AN7" s="685"/>
      <c r="AO7" s="685"/>
      <c r="AP7" s="685"/>
      <c r="AQ7" s="685"/>
      <c r="AR7" s="685"/>
      <c r="AS7" s="685"/>
      <c r="AT7" s="685"/>
      <c r="AU7" s="685"/>
      <c r="AV7" s="685"/>
      <c r="AW7" s="685"/>
      <c r="AX7" s="685"/>
      <c r="AY7" s="685"/>
      <c r="AZ7" s="685"/>
    </row>
    <row r="8" spans="1:52">
      <c r="A8" s="685"/>
      <c r="B8" s="685" t="s">
        <v>849</v>
      </c>
      <c r="C8" s="869">
        <f>C6+C7</f>
        <v>-5.400000000000002E-3</v>
      </c>
      <c r="D8" s="869">
        <f t="shared" ref="D8:L8" si="8">D6+D7</f>
        <v>8.5099999999999995E-2</v>
      </c>
      <c r="E8" s="869">
        <f t="shared" si="8"/>
        <v>7.400000000000001E-2</v>
      </c>
      <c r="F8" s="869">
        <f t="shared" si="8"/>
        <v>8.1100000000000005E-2</v>
      </c>
      <c r="G8" s="869">
        <f>G6+G7</f>
        <v>5.21E-2</v>
      </c>
      <c r="H8" s="869">
        <f t="shared" si="8"/>
        <v>6.1200000000000004E-2</v>
      </c>
      <c r="I8" s="869">
        <f t="shared" si="8"/>
        <v>5.5E-2</v>
      </c>
      <c r="J8" s="869">
        <f t="shared" si="8"/>
        <v>6.4000000000000001E-2</v>
      </c>
      <c r="K8" s="869">
        <f t="shared" si="8"/>
        <v>5.7999999999999996E-2</v>
      </c>
      <c r="L8" s="869">
        <f t="shared" si="8"/>
        <v>5.6999999999999995E-2</v>
      </c>
      <c r="M8" s="869">
        <f t="shared" ref="M8:S8" si="9">M6+M7</f>
        <v>5.5999999999999994E-2</v>
      </c>
      <c r="N8" s="869">
        <f t="shared" si="9"/>
        <v>-0.08</v>
      </c>
      <c r="O8" s="869">
        <f t="shared" si="9"/>
        <v>5.6999999999999995E-2</v>
      </c>
      <c r="P8" s="869">
        <f t="shared" si="9"/>
        <v>4.7999999999999994E-2</v>
      </c>
      <c r="Q8" s="869">
        <f t="shared" si="9"/>
        <v>4.6999999999999993E-2</v>
      </c>
      <c r="R8" s="869">
        <f t="shared" si="9"/>
        <v>6.0999999999999992E-2</v>
      </c>
      <c r="S8" s="869">
        <f t="shared" si="9"/>
        <v>5.9999999999999991E-2</v>
      </c>
      <c r="T8" s="869">
        <f>T6+T7</f>
        <v>5.899999999999999E-2</v>
      </c>
      <c r="U8" s="869">
        <f>U6+U7</f>
        <v>5.7999999999999989E-2</v>
      </c>
      <c r="V8" s="869">
        <f>V6+V7</f>
        <v>5.6999999999999988E-2</v>
      </c>
      <c r="W8" s="869">
        <f>W6+W7</f>
        <v>5.5999999999999987E-2</v>
      </c>
      <c r="X8" s="869">
        <f>X6+X7</f>
        <v>5.4999999999999986E-2</v>
      </c>
      <c r="Y8" s="685"/>
      <c r="Z8" s="685"/>
      <c r="AA8" s="685"/>
      <c r="AB8" s="685"/>
      <c r="AC8" s="685"/>
      <c r="AD8" s="685"/>
      <c r="AE8" s="685"/>
      <c r="AF8" s="685"/>
      <c r="AG8" s="685"/>
      <c r="AH8" s="685"/>
      <c r="AI8" s="685"/>
      <c r="AJ8" s="685"/>
      <c r="AK8" s="685"/>
      <c r="AL8" s="685"/>
      <c r="AM8" s="685"/>
      <c r="AN8" s="685"/>
      <c r="AO8" s="685"/>
      <c r="AP8" s="685"/>
      <c r="AQ8" s="685"/>
      <c r="AR8" s="685"/>
      <c r="AS8" s="685"/>
      <c r="AT8" s="685"/>
      <c r="AU8" s="685"/>
      <c r="AV8" s="685"/>
      <c r="AW8" s="685"/>
      <c r="AX8" s="685"/>
      <c r="AY8" s="685"/>
      <c r="AZ8" s="685"/>
    </row>
    <row r="9" spans="1:52">
      <c r="A9" s="685"/>
      <c r="B9" s="685" t="s">
        <v>850</v>
      </c>
      <c r="C9" s="848"/>
      <c r="D9" s="808">
        <f t="shared" ref="D9:L9" si="10">D4/D8</f>
        <v>0.74139784907852868</v>
      </c>
      <c r="E9" s="808">
        <f t="shared" si="10"/>
        <v>0.27274163863604017</v>
      </c>
      <c r="F9" s="808">
        <f t="shared" si="10"/>
        <v>0.38777592763873991</v>
      </c>
      <c r="G9" s="808">
        <f t="shared" si="10"/>
        <v>0.74543302590181493</v>
      </c>
      <c r="H9" s="808">
        <f t="shared" si="10"/>
        <v>0.3944095048353598</v>
      </c>
      <c r="I9" s="808">
        <f t="shared" si="10"/>
        <v>-1.7395234302682356</v>
      </c>
      <c r="J9" s="808">
        <f t="shared" si="10"/>
        <v>0.13155795008967103</v>
      </c>
      <c r="K9" s="808">
        <f t="shared" si="10"/>
        <v>-1.8591693680873227</v>
      </c>
      <c r="L9" s="808">
        <f t="shared" si="10"/>
        <v>0.3691839763993211</v>
      </c>
      <c r="M9" s="808">
        <f t="shared" ref="M9:S9" si="11">M4/M8</f>
        <v>-1.4641928622075149</v>
      </c>
      <c r="N9" s="808">
        <f t="shared" si="11"/>
        <v>1.9764011039937399</v>
      </c>
      <c r="O9" s="808">
        <f t="shared" si="11"/>
        <v>3.017580771952145</v>
      </c>
      <c r="P9" s="808">
        <f t="shared" si="11"/>
        <v>1.041666666666667</v>
      </c>
      <c r="Q9" s="808">
        <f t="shared" si="11"/>
        <v>0.85106382978723416</v>
      </c>
      <c r="R9" s="808">
        <f t="shared" si="11"/>
        <v>0</v>
      </c>
      <c r="S9" s="808">
        <f t="shared" si="11"/>
        <v>0</v>
      </c>
      <c r="T9" s="808">
        <f>T4/T8</f>
        <v>0</v>
      </c>
      <c r="U9" s="808">
        <f>U4/U8</f>
        <v>0</v>
      </c>
      <c r="V9" s="808">
        <f>V4/V8</f>
        <v>0</v>
      </c>
      <c r="W9" s="808">
        <f>W4/W8</f>
        <v>0</v>
      </c>
      <c r="X9" s="808">
        <f>X4/X8</f>
        <v>0</v>
      </c>
      <c r="Y9" s="685"/>
      <c r="Z9" s="685"/>
      <c r="AA9" s="685"/>
      <c r="AB9" s="685"/>
      <c r="AC9" s="685"/>
      <c r="AD9" s="685"/>
      <c r="AE9" s="685"/>
      <c r="AF9" s="685"/>
      <c r="AG9" s="685"/>
      <c r="AH9" s="685"/>
      <c r="AI9" s="685"/>
      <c r="AJ9" s="685"/>
      <c r="AK9" s="685"/>
      <c r="AL9" s="685"/>
      <c r="AM9" s="685"/>
      <c r="AN9" s="685"/>
      <c r="AO9" s="685"/>
      <c r="AP9" s="685"/>
      <c r="AQ9" s="685"/>
      <c r="AR9" s="685"/>
      <c r="AS9" s="685"/>
      <c r="AT9" s="685"/>
      <c r="AU9" s="685"/>
      <c r="AV9" s="685"/>
      <c r="AW9" s="685"/>
      <c r="AX9" s="685"/>
      <c r="AY9" s="685"/>
      <c r="AZ9" s="685"/>
    </row>
    <row r="10" spans="1:52">
      <c r="A10" s="685"/>
      <c r="B10" s="685"/>
      <c r="C10" s="848"/>
      <c r="D10" s="848"/>
      <c r="E10" s="848"/>
      <c r="F10" s="848"/>
      <c r="G10" s="848"/>
      <c r="H10" s="869"/>
      <c r="I10" s="848"/>
      <c r="J10" s="807"/>
      <c r="K10" s="807"/>
      <c r="L10" s="848"/>
      <c r="M10" s="848"/>
      <c r="N10" s="848"/>
      <c r="O10" s="848"/>
      <c r="P10" s="848"/>
      <c r="Q10" s="848"/>
      <c r="R10" s="848"/>
      <c r="S10" s="848"/>
      <c r="T10" s="848"/>
      <c r="U10" s="848"/>
      <c r="V10" s="848"/>
      <c r="W10" s="848"/>
      <c r="X10" s="848"/>
      <c r="Y10" s="685"/>
      <c r="Z10" s="685"/>
      <c r="AA10" s="685"/>
      <c r="AB10" s="685"/>
      <c r="AC10" s="685"/>
      <c r="AD10" s="685"/>
      <c r="AE10" s="685"/>
      <c r="AF10" s="685"/>
      <c r="AG10" s="685"/>
      <c r="AH10" s="685"/>
      <c r="AI10" s="685"/>
      <c r="AJ10" s="685"/>
      <c r="AK10" s="685"/>
      <c r="AL10" s="685"/>
      <c r="AM10" s="685"/>
      <c r="AN10" s="685"/>
      <c r="AO10" s="685"/>
      <c r="AP10" s="685"/>
      <c r="AQ10" s="685"/>
      <c r="AR10" s="685"/>
      <c r="AS10" s="685"/>
      <c r="AT10" s="685"/>
      <c r="AU10" s="685"/>
      <c r="AV10" s="685"/>
      <c r="AW10" s="685"/>
      <c r="AX10" s="685"/>
      <c r="AY10" s="685"/>
      <c r="AZ10" s="685"/>
    </row>
    <row r="11" spans="1:52">
      <c r="A11" s="685"/>
      <c r="B11" s="685" t="str">
        <f>Master!B44</f>
        <v>Network Subscription Revenue</v>
      </c>
      <c r="C11" s="978">
        <f>Master!H44</f>
        <v>2201</v>
      </c>
      <c r="D11" s="978">
        <f>Master!I44</f>
        <v>2379</v>
      </c>
      <c r="E11" s="978">
        <f>Master!J44</f>
        <v>2590.7999999999997</v>
      </c>
      <c r="F11" s="978">
        <f>Master!K44</f>
        <v>3189.2000000000003</v>
      </c>
      <c r="G11" s="978">
        <f>Master!L44</f>
        <v>3265.5999999999995</v>
      </c>
      <c r="H11" s="978">
        <f>Master!M44</f>
        <v>2854.4</v>
      </c>
      <c r="I11" s="978">
        <f>Master!N44</f>
        <v>3595.4</v>
      </c>
      <c r="J11" s="978">
        <f>Master!O44</f>
        <v>4399.3</v>
      </c>
      <c r="K11" s="978">
        <f>Master!P44</f>
        <v>4058</v>
      </c>
      <c r="L11" s="978">
        <f>Master!Q44</f>
        <v>4841</v>
      </c>
      <c r="M11" s="978">
        <f>Master!R44</f>
        <v>4939</v>
      </c>
      <c r="N11" s="978">
        <f>Master!S44</f>
        <v>5466.2</v>
      </c>
      <c r="O11" s="978">
        <f>Master!T44</f>
        <v>5390.8</v>
      </c>
      <c r="P11" s="848">
        <f t="shared" ref="P11:X11" ca="1" si="12">P47*P45</f>
        <v>5392.8086022533616</v>
      </c>
      <c r="Q11" s="848">
        <f t="shared" ca="1" si="12"/>
        <v>5084.2873319644777</v>
      </c>
      <c r="R11" s="848">
        <f t="shared" ca="1" si="12"/>
        <v>4964.0007343256111</v>
      </c>
      <c r="S11" s="848">
        <f t="shared" ca="1" si="12"/>
        <v>4938.6921764746239</v>
      </c>
      <c r="T11" s="848">
        <f t="shared" ca="1" si="12"/>
        <v>4924.711738074915</v>
      </c>
      <c r="U11" s="848">
        <f t="shared" ca="1" si="12"/>
        <v>4911.2180875961803</v>
      </c>
      <c r="V11" s="848">
        <f t="shared" ca="1" si="12"/>
        <v>4898.2097575978723</v>
      </c>
      <c r="W11" s="848">
        <f t="shared" ca="1" si="12"/>
        <v>4885.6853286381483</v>
      </c>
      <c r="X11" s="848">
        <f t="shared" ca="1" si="12"/>
        <v>4873.6434291204605</v>
      </c>
      <c r="Y11" s="685"/>
      <c r="Z11" s="848">
        <v>800</v>
      </c>
      <c r="AA11" s="685"/>
      <c r="AB11" s="685"/>
      <c r="AC11" s="685"/>
      <c r="AD11" s="685"/>
      <c r="AE11" s="685"/>
      <c r="AF11" s="685"/>
      <c r="AG11" s="685"/>
      <c r="AH11" s="685"/>
      <c r="AI11" s="685"/>
      <c r="AJ11" s="685"/>
      <c r="AK11" s="685"/>
      <c r="AL11" s="685"/>
      <c r="AM11" s="685"/>
      <c r="AN11" s="685"/>
      <c r="AO11" s="685"/>
      <c r="AP11" s="685"/>
      <c r="AQ11" s="685"/>
      <c r="AR11" s="685"/>
      <c r="AS11" s="685"/>
      <c r="AT11" s="685"/>
      <c r="AU11" s="685"/>
      <c r="AV11" s="685"/>
      <c r="AW11" s="685"/>
      <c r="AX11" s="685"/>
      <c r="AY11" s="685"/>
      <c r="AZ11" s="685"/>
    </row>
    <row r="12" spans="1:52">
      <c r="A12" s="685"/>
      <c r="B12" s="685" t="s">
        <v>181</v>
      </c>
      <c r="C12" s="848"/>
      <c r="D12" s="807">
        <f>D11/C11-1</f>
        <v>8.0872330758746003E-2</v>
      </c>
      <c r="E12" s="807">
        <f>E11/D11-1</f>
        <v>8.9029003783102079E-2</v>
      </c>
      <c r="F12" s="807">
        <f>F11/E11-1</f>
        <v>0.23097112860892421</v>
      </c>
      <c r="G12" s="807">
        <f t="shared" ref="G12:L12" si="13">G11/F11-1</f>
        <v>2.3955850997114947E-2</v>
      </c>
      <c r="H12" s="807">
        <f t="shared" si="13"/>
        <v>-0.12591866731994106</v>
      </c>
      <c r="I12" s="807">
        <f t="shared" si="13"/>
        <v>0.25959921524663687</v>
      </c>
      <c r="J12" s="807">
        <f t="shared" si="13"/>
        <v>0.22359125549313008</v>
      </c>
      <c r="K12" s="807">
        <f t="shared" si="13"/>
        <v>-7.7580524174300503E-2</v>
      </c>
      <c r="L12" s="807">
        <f t="shared" si="13"/>
        <v>0.19295219319862</v>
      </c>
      <c r="M12" s="807">
        <f t="shared" ref="M12:X12" si="14">M11/L11-1</f>
        <v>2.0243751291055601E-2</v>
      </c>
      <c r="N12" s="807">
        <f t="shared" si="14"/>
        <v>0.1067422555173112</v>
      </c>
      <c r="O12" s="807">
        <f t="shared" si="14"/>
        <v>-1.3793860451501883E-2</v>
      </c>
      <c r="P12" s="807">
        <f t="shared" ca="1" si="14"/>
        <v>3.7259817714652144E-4</v>
      </c>
      <c r="Q12" s="807">
        <f t="shared" ca="1" si="14"/>
        <v>-5.7209757112457016E-2</v>
      </c>
      <c r="R12" s="807">
        <f t="shared" ca="1" si="14"/>
        <v>-2.3658497206213158E-2</v>
      </c>
      <c r="S12" s="807">
        <f t="shared" ca="1" si="14"/>
        <v>-5.0984194413954409E-3</v>
      </c>
      <c r="T12" s="807">
        <f t="shared" ca="1" si="14"/>
        <v>-2.8307976889720976E-3</v>
      </c>
      <c r="U12" s="807">
        <f t="shared" ca="1" si="14"/>
        <v>-2.7399878807951028E-3</v>
      </c>
      <c r="V12" s="807">
        <f t="shared" ca="1" si="14"/>
        <v>-2.6486972816707199E-3</v>
      </c>
      <c r="W12" s="807">
        <f t="shared" ca="1" si="14"/>
        <v>-2.5569401025132832E-3</v>
      </c>
      <c r="X12" s="807">
        <f t="shared" ca="1" si="14"/>
        <v>-2.4647308837314474E-3</v>
      </c>
      <c r="Y12" s="685"/>
      <c r="Z12" s="848">
        <f>Z11/'SKY Mex'!M39</f>
        <v>5412.5412541254127</v>
      </c>
      <c r="AA12" s="685"/>
      <c r="AB12" s="685"/>
      <c r="AC12" s="685"/>
      <c r="AD12" s="685"/>
      <c r="AE12" s="685"/>
      <c r="AF12" s="685"/>
      <c r="AG12" s="685"/>
      <c r="AH12" s="685"/>
      <c r="AI12" s="685"/>
      <c r="AJ12" s="685"/>
      <c r="AK12" s="685"/>
      <c r="AL12" s="685"/>
      <c r="AM12" s="685"/>
      <c r="AN12" s="685"/>
      <c r="AO12" s="685"/>
      <c r="AP12" s="685"/>
      <c r="AQ12" s="685"/>
      <c r="AR12" s="685"/>
      <c r="AS12" s="685"/>
      <c r="AT12" s="685"/>
      <c r="AU12" s="685"/>
      <c r="AV12" s="685"/>
      <c r="AW12" s="685"/>
      <c r="AX12" s="685"/>
      <c r="AY12" s="685"/>
      <c r="AZ12" s="685"/>
    </row>
    <row r="13" spans="1:52">
      <c r="A13" s="685"/>
      <c r="B13" s="685" t="s">
        <v>1555</v>
      </c>
      <c r="C13" s="848"/>
      <c r="D13" s="807"/>
      <c r="E13" s="807"/>
      <c r="F13" s="807"/>
      <c r="G13" s="978">
        <v>370</v>
      </c>
      <c r="H13" s="978">
        <v>1400</v>
      </c>
      <c r="I13" s="978">
        <v>0</v>
      </c>
      <c r="J13" s="978">
        <v>0</v>
      </c>
      <c r="K13" s="978">
        <v>0</v>
      </c>
      <c r="L13" s="978">
        <v>0</v>
      </c>
      <c r="M13" s="978">
        <v>0</v>
      </c>
      <c r="N13" s="978">
        <v>0</v>
      </c>
      <c r="O13" s="978">
        <v>0</v>
      </c>
      <c r="P13" s="978">
        <v>0</v>
      </c>
      <c r="Q13" s="978">
        <v>0</v>
      </c>
      <c r="R13" s="978">
        <v>0</v>
      </c>
      <c r="S13" s="978">
        <v>0</v>
      </c>
      <c r="T13" s="978">
        <v>0</v>
      </c>
      <c r="U13" s="978">
        <v>0</v>
      </c>
      <c r="V13" s="978">
        <v>0</v>
      </c>
      <c r="W13" s="978">
        <v>0</v>
      </c>
      <c r="X13" s="978">
        <v>0</v>
      </c>
      <c r="Y13" s="685"/>
      <c r="Z13" s="685"/>
      <c r="AA13" s="685"/>
      <c r="AB13" s="685"/>
      <c r="AC13" s="685"/>
      <c r="AD13" s="685"/>
      <c r="AE13" s="685"/>
      <c r="AF13" s="685"/>
      <c r="AG13" s="685"/>
      <c r="AH13" s="685"/>
      <c r="AI13" s="685"/>
      <c r="AJ13" s="685"/>
      <c r="AK13" s="685"/>
      <c r="AL13" s="685"/>
      <c r="AM13" s="685"/>
      <c r="AN13" s="685"/>
      <c r="AO13" s="685"/>
      <c r="AP13" s="685"/>
      <c r="AQ13" s="685"/>
      <c r="AR13" s="685"/>
      <c r="AS13" s="685"/>
      <c r="AT13" s="685"/>
      <c r="AU13" s="685"/>
      <c r="AV13" s="685"/>
      <c r="AW13" s="685"/>
      <c r="AX13" s="685"/>
      <c r="AY13" s="685"/>
      <c r="AZ13" s="685"/>
    </row>
    <row r="14" spans="1:52">
      <c r="A14" s="685"/>
      <c r="B14" s="685" t="s">
        <v>1556</v>
      </c>
      <c r="C14" s="848">
        <f t="shared" ref="C14:N14" si="15">C11+C13</f>
        <v>2201</v>
      </c>
      <c r="D14" s="848">
        <f t="shared" si="15"/>
        <v>2379</v>
      </c>
      <c r="E14" s="848">
        <f t="shared" si="15"/>
        <v>2590.7999999999997</v>
      </c>
      <c r="F14" s="848">
        <f t="shared" si="15"/>
        <v>3189.2000000000003</v>
      </c>
      <c r="G14" s="848">
        <f t="shared" si="15"/>
        <v>3635.5999999999995</v>
      </c>
      <c r="H14" s="848">
        <f t="shared" si="15"/>
        <v>4254.3999999999996</v>
      </c>
      <c r="I14" s="848">
        <f t="shared" si="15"/>
        <v>3595.4</v>
      </c>
      <c r="J14" s="848">
        <f t="shared" si="15"/>
        <v>4399.3</v>
      </c>
      <c r="K14" s="848">
        <f t="shared" si="15"/>
        <v>4058</v>
      </c>
      <c r="L14" s="848">
        <f t="shared" si="15"/>
        <v>4841</v>
      </c>
      <c r="M14" s="848">
        <f t="shared" si="15"/>
        <v>4939</v>
      </c>
      <c r="N14" s="848">
        <f t="shared" si="15"/>
        <v>5466.2</v>
      </c>
      <c r="O14" s="848">
        <f t="shared" ref="O14:X14" si="16">O11+O13</f>
        <v>5390.8</v>
      </c>
      <c r="P14" s="848">
        <f t="shared" ca="1" si="16"/>
        <v>5392.8086022533616</v>
      </c>
      <c r="Q14" s="848">
        <f t="shared" ca="1" si="16"/>
        <v>5084.2873319644777</v>
      </c>
      <c r="R14" s="848">
        <f t="shared" ca="1" si="16"/>
        <v>4964.0007343256111</v>
      </c>
      <c r="S14" s="848">
        <f t="shared" ca="1" si="16"/>
        <v>4938.6921764746239</v>
      </c>
      <c r="T14" s="848">
        <f t="shared" ca="1" si="16"/>
        <v>4924.711738074915</v>
      </c>
      <c r="U14" s="848">
        <f t="shared" ca="1" si="16"/>
        <v>4911.2180875961803</v>
      </c>
      <c r="V14" s="848">
        <f t="shared" ca="1" si="16"/>
        <v>4898.2097575978723</v>
      </c>
      <c r="W14" s="848">
        <f t="shared" ca="1" si="16"/>
        <v>4885.6853286381483</v>
      </c>
      <c r="X14" s="848">
        <f t="shared" ca="1" si="16"/>
        <v>4873.6434291204605</v>
      </c>
      <c r="Y14" s="685"/>
      <c r="Z14" s="685"/>
      <c r="AA14" s="685"/>
      <c r="AB14" s="685"/>
      <c r="AC14" s="685"/>
      <c r="AD14" s="685"/>
      <c r="AE14" s="685"/>
      <c r="AF14" s="685"/>
      <c r="AG14" s="685"/>
      <c r="AH14" s="685"/>
      <c r="AI14" s="685"/>
      <c r="AJ14" s="685"/>
      <c r="AK14" s="685"/>
      <c r="AL14" s="685"/>
      <c r="AM14" s="685"/>
      <c r="AN14" s="685"/>
      <c r="AO14" s="685"/>
      <c r="AP14" s="685"/>
      <c r="AQ14" s="685"/>
      <c r="AR14" s="685"/>
      <c r="AS14" s="685"/>
      <c r="AT14" s="685"/>
      <c r="AU14" s="685"/>
      <c r="AV14" s="685"/>
      <c r="AW14" s="685"/>
      <c r="AX14" s="685"/>
      <c r="AY14" s="685"/>
      <c r="AZ14" s="685"/>
    </row>
    <row r="15" spans="1:52">
      <c r="A15" s="685"/>
      <c r="B15" s="685" t="s">
        <v>181</v>
      </c>
      <c r="C15" s="848"/>
      <c r="D15" s="807">
        <f>D14/C14-1</f>
        <v>8.0872330758746003E-2</v>
      </c>
      <c r="E15" s="807">
        <f>E14/D14-1</f>
        <v>8.9029003783102079E-2</v>
      </c>
      <c r="F15" s="807">
        <f>F14/E14-1</f>
        <v>0.23097112860892421</v>
      </c>
      <c r="G15" s="807">
        <f>G14/F14-1</f>
        <v>0.13997240687319668</v>
      </c>
      <c r="H15" s="807">
        <f>H14/G14-1</f>
        <v>0.17020574320607329</v>
      </c>
      <c r="I15" s="807">
        <f t="shared" ref="I15:X15" si="17">I14/H11-1</f>
        <v>0.25959921524663687</v>
      </c>
      <c r="J15" s="807">
        <f t="shared" si="17"/>
        <v>0.22359125549313008</v>
      </c>
      <c r="K15" s="807">
        <f t="shared" si="17"/>
        <v>-7.7580524174300503E-2</v>
      </c>
      <c r="L15" s="807">
        <f t="shared" si="17"/>
        <v>0.19295219319862</v>
      </c>
      <c r="M15" s="807">
        <f t="shared" si="17"/>
        <v>2.0243751291055601E-2</v>
      </c>
      <c r="N15" s="807">
        <f t="shared" si="17"/>
        <v>0.1067422555173112</v>
      </c>
      <c r="O15" s="807">
        <f t="shared" si="17"/>
        <v>-1.3793860451501883E-2</v>
      </c>
      <c r="P15" s="807">
        <f t="shared" ca="1" si="17"/>
        <v>3.7259817714652144E-4</v>
      </c>
      <c r="Q15" s="807">
        <f t="shared" ca="1" si="17"/>
        <v>-5.7209757112457016E-2</v>
      </c>
      <c r="R15" s="807">
        <f t="shared" ca="1" si="17"/>
        <v>-2.3658497206213158E-2</v>
      </c>
      <c r="S15" s="807">
        <f t="shared" ca="1" si="17"/>
        <v>-5.0984194413954409E-3</v>
      </c>
      <c r="T15" s="807">
        <f t="shared" ca="1" si="17"/>
        <v>-2.8307976889720976E-3</v>
      </c>
      <c r="U15" s="807">
        <f t="shared" ca="1" si="17"/>
        <v>-2.7399878807951028E-3</v>
      </c>
      <c r="V15" s="807">
        <f t="shared" ca="1" si="17"/>
        <v>-2.6486972816707199E-3</v>
      </c>
      <c r="W15" s="807">
        <f t="shared" ca="1" si="17"/>
        <v>-2.5569401025132832E-3</v>
      </c>
      <c r="X15" s="807">
        <f t="shared" ca="1" si="17"/>
        <v>-2.4647308837314474E-3</v>
      </c>
      <c r="Y15" s="685"/>
      <c r="Z15" s="685"/>
      <c r="AA15" s="685"/>
      <c r="AB15" s="685"/>
      <c r="AC15" s="685"/>
      <c r="AD15" s="685"/>
      <c r="AE15" s="685"/>
      <c r="AF15" s="685"/>
      <c r="AG15" s="685"/>
      <c r="AH15" s="685"/>
      <c r="AI15" s="685"/>
      <c r="AJ15" s="685"/>
      <c r="AK15" s="685"/>
      <c r="AL15" s="685"/>
      <c r="AM15" s="685"/>
      <c r="AN15" s="685"/>
      <c r="AO15" s="685"/>
      <c r="AP15" s="685"/>
      <c r="AQ15" s="685"/>
      <c r="AR15" s="685"/>
      <c r="AS15" s="685"/>
      <c r="AT15" s="685"/>
      <c r="AU15" s="685"/>
      <c r="AV15" s="685"/>
      <c r="AW15" s="685"/>
      <c r="AX15" s="685"/>
      <c r="AY15" s="685"/>
      <c r="AZ15" s="685"/>
    </row>
    <row r="16" spans="1:52">
      <c r="A16" s="685"/>
      <c r="B16" s="685"/>
      <c r="C16" s="848"/>
      <c r="D16" s="848"/>
      <c r="E16" s="848"/>
      <c r="F16" s="848"/>
      <c r="G16" s="848"/>
      <c r="H16" s="848"/>
      <c r="I16" s="848"/>
      <c r="J16" s="848"/>
      <c r="K16" s="848"/>
      <c r="L16" s="848"/>
      <c r="M16" s="848"/>
      <c r="N16" s="848"/>
      <c r="O16" s="848"/>
      <c r="P16" s="848"/>
      <c r="Q16" s="848"/>
      <c r="R16" s="848"/>
      <c r="S16" s="848"/>
      <c r="T16" s="848"/>
      <c r="U16" s="848"/>
      <c r="V16" s="848"/>
      <c r="W16" s="848"/>
      <c r="X16" s="848"/>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5"/>
      <c r="AZ16" s="685"/>
    </row>
    <row r="17" spans="1:52">
      <c r="A17" s="685"/>
      <c r="B17" s="685" t="str">
        <f>Master!B45</f>
        <v>Licensing and Syndication</v>
      </c>
      <c r="C17" s="978">
        <f>Master!H45</f>
        <v>3809</v>
      </c>
      <c r="D17" s="978">
        <f>Master!I45</f>
        <v>4109</v>
      </c>
      <c r="E17" s="978">
        <f>Master!J45</f>
        <v>4888.7000000000007</v>
      </c>
      <c r="F17" s="978">
        <f>Master!K45</f>
        <v>5758.9</v>
      </c>
      <c r="G17" s="978">
        <f>Master!L45</f>
        <v>5689.5</v>
      </c>
      <c r="H17" s="978">
        <f>Master!M45</f>
        <v>6548</v>
      </c>
      <c r="I17" s="978">
        <f>Master!N45</f>
        <v>7707.9</v>
      </c>
      <c r="J17" s="978">
        <f>Master!O45</f>
        <v>9064.2000000000007</v>
      </c>
      <c r="K17" s="978">
        <f>Master!P45</f>
        <v>9220</v>
      </c>
      <c r="L17" s="978">
        <f>Master!Q45</f>
        <v>10521</v>
      </c>
      <c r="M17" s="978">
        <f>Master!R45</f>
        <v>10436</v>
      </c>
      <c r="N17" s="978">
        <f>Master!S45</f>
        <v>10797</v>
      </c>
      <c r="O17" s="978">
        <f>Master!T45</f>
        <v>11389.1</v>
      </c>
      <c r="P17" s="848">
        <f t="shared" ref="P17:X17" si="18">P61*P45</f>
        <v>12378.623467347057</v>
      </c>
      <c r="Q17" s="848">
        <f t="shared" si="18"/>
        <v>11342.292096156511</v>
      </c>
      <c r="R17" s="848">
        <f t="shared" si="18"/>
        <v>11187.922658526375</v>
      </c>
      <c r="S17" s="848">
        <f t="shared" si="18"/>
        <v>11530.99423899465</v>
      </c>
      <c r="T17" s="848">
        <f t="shared" si="18"/>
        <v>2530.4200035837735</v>
      </c>
      <c r="U17" s="848">
        <f t="shared" si="18"/>
        <v>2581.028403655449</v>
      </c>
      <c r="V17" s="848">
        <f t="shared" si="18"/>
        <v>2632.6489717285581</v>
      </c>
      <c r="W17" s="848">
        <f t="shared" si="18"/>
        <v>2685.3019511631292</v>
      </c>
      <c r="X17" s="848">
        <f t="shared" si="18"/>
        <v>2739.0079901863915</v>
      </c>
      <c r="Y17" s="685"/>
      <c r="Z17" s="685"/>
      <c r="AA17" s="685"/>
      <c r="AB17" s="685"/>
      <c r="AC17" s="685"/>
      <c r="AD17" s="685"/>
      <c r="AE17" s="685"/>
      <c r="AF17" s="685"/>
      <c r="AG17" s="685"/>
      <c r="AH17" s="685"/>
      <c r="AI17" s="685"/>
      <c r="AJ17" s="685"/>
      <c r="AK17" s="685"/>
      <c r="AL17" s="685"/>
      <c r="AM17" s="685"/>
      <c r="AN17" s="685"/>
      <c r="AO17" s="685"/>
      <c r="AP17" s="685"/>
      <c r="AQ17" s="685"/>
      <c r="AR17" s="685"/>
      <c r="AS17" s="685"/>
      <c r="AT17" s="685"/>
      <c r="AU17" s="685"/>
      <c r="AV17" s="685"/>
      <c r="AW17" s="685"/>
      <c r="AX17" s="685"/>
      <c r="AY17" s="685"/>
      <c r="AZ17" s="685"/>
    </row>
    <row r="18" spans="1:52">
      <c r="A18" s="685"/>
      <c r="B18" s="685" t="s">
        <v>181</v>
      </c>
      <c r="C18" s="685"/>
      <c r="D18" s="807">
        <f>D17/C17-1</f>
        <v>7.8760829614071826E-2</v>
      </c>
      <c r="E18" s="807">
        <f>E17/D17-1</f>
        <v>0.18975419810172811</v>
      </c>
      <c r="F18" s="807">
        <f t="shared" ref="F18:L18" si="19">F17/E17-1</f>
        <v>0.17800233190827797</v>
      </c>
      <c r="G18" s="807">
        <f t="shared" si="19"/>
        <v>-1.2050912500651156E-2</v>
      </c>
      <c r="H18" s="807">
        <f t="shared" si="19"/>
        <v>0.15089199402407938</v>
      </c>
      <c r="I18" s="807">
        <f t="shared" si="19"/>
        <v>0.17713805742211353</v>
      </c>
      <c r="J18" s="807">
        <f t="shared" si="19"/>
        <v>0.17596232436850512</v>
      </c>
      <c r="K18" s="807">
        <f t="shared" si="19"/>
        <v>1.7188499812448965E-2</v>
      </c>
      <c r="L18" s="807">
        <f t="shared" si="19"/>
        <v>0.14110629067245117</v>
      </c>
      <c r="M18" s="807">
        <f t="shared" ref="M18:X18" si="20">M17/L17-1</f>
        <v>-8.0790799353673837E-3</v>
      </c>
      <c r="N18" s="807">
        <f t="shared" si="20"/>
        <v>3.4591797623610532E-2</v>
      </c>
      <c r="O18" s="807">
        <f t="shared" si="20"/>
        <v>5.4839307214967103E-2</v>
      </c>
      <c r="P18" s="807">
        <f t="shared" si="20"/>
        <v>8.6883376855682704E-2</v>
      </c>
      <c r="Q18" s="807">
        <f t="shared" si="20"/>
        <v>-8.3719435680730814E-2</v>
      </c>
      <c r="R18" s="807">
        <f t="shared" si="20"/>
        <v>-1.3610074253196602E-2</v>
      </c>
      <c r="S18" s="807">
        <f t="shared" si="20"/>
        <v>3.0664457642350484E-2</v>
      </c>
      <c r="T18" s="807">
        <f t="shared" si="20"/>
        <v>-0.7805549156354108</v>
      </c>
      <c r="U18" s="807">
        <f t="shared" si="20"/>
        <v>2.0000000000000018E-2</v>
      </c>
      <c r="V18" s="807">
        <f t="shared" si="20"/>
        <v>2.0000000000000018E-2</v>
      </c>
      <c r="W18" s="807">
        <f t="shared" si="20"/>
        <v>2.0000000000000018E-2</v>
      </c>
      <c r="X18" s="807">
        <f t="shared" si="20"/>
        <v>1.9999999999999796E-2</v>
      </c>
      <c r="Y18" s="685"/>
      <c r="Z18" s="685"/>
      <c r="AA18" s="685"/>
      <c r="AB18" s="685"/>
      <c r="AC18" s="685"/>
      <c r="AD18" s="685"/>
      <c r="AE18" s="685"/>
      <c r="AF18" s="685"/>
      <c r="AG18" s="685"/>
      <c r="AH18" s="685"/>
      <c r="AI18" s="685"/>
      <c r="AJ18" s="685"/>
      <c r="AK18" s="685"/>
      <c r="AL18" s="685"/>
      <c r="AM18" s="685"/>
      <c r="AN18" s="685"/>
      <c r="AO18" s="685"/>
      <c r="AP18" s="685"/>
      <c r="AQ18" s="685"/>
      <c r="AR18" s="685"/>
      <c r="AS18" s="685"/>
      <c r="AT18" s="685"/>
      <c r="AU18" s="685"/>
      <c r="AV18" s="685"/>
      <c r="AW18" s="685"/>
      <c r="AX18" s="685"/>
      <c r="AY18" s="685"/>
      <c r="AZ18" s="685"/>
    </row>
    <row r="19" spans="1:52">
      <c r="A19" s="685"/>
      <c r="B19" s="685"/>
      <c r="C19" s="685"/>
      <c r="D19" s="807"/>
      <c r="E19" s="807"/>
      <c r="F19" s="807"/>
      <c r="G19" s="807"/>
      <c r="H19" s="807"/>
      <c r="I19" s="807"/>
      <c r="J19" s="807"/>
      <c r="K19" s="807"/>
      <c r="L19" s="807"/>
      <c r="M19" s="807"/>
      <c r="N19" s="807"/>
      <c r="O19" s="807"/>
      <c r="P19" s="807"/>
      <c r="Q19" s="807"/>
      <c r="R19" s="807"/>
      <c r="S19" s="807"/>
      <c r="T19" s="807"/>
      <c r="U19" s="807"/>
      <c r="V19" s="807"/>
      <c r="W19" s="807"/>
      <c r="X19" s="807"/>
      <c r="Y19" s="685"/>
      <c r="Z19" s="685"/>
      <c r="AA19" s="685"/>
      <c r="AB19" s="685"/>
      <c r="AC19" s="685"/>
      <c r="AD19" s="685"/>
      <c r="AE19" s="685"/>
      <c r="AF19" s="685"/>
      <c r="AG19" s="685"/>
      <c r="AH19" s="685"/>
      <c r="AI19" s="685"/>
      <c r="AJ19" s="685"/>
      <c r="AK19" s="685"/>
      <c r="AL19" s="685"/>
      <c r="AM19" s="685"/>
      <c r="AN19" s="685"/>
      <c r="AO19" s="685"/>
      <c r="AP19" s="685"/>
      <c r="AQ19" s="685"/>
      <c r="AR19" s="685"/>
      <c r="AS19" s="685"/>
      <c r="AT19" s="685"/>
      <c r="AU19" s="685"/>
      <c r="AV19" s="685"/>
      <c r="AW19" s="685"/>
      <c r="AX19" s="685"/>
      <c r="AY19" s="685"/>
      <c r="AZ19" s="685"/>
    </row>
    <row r="20" spans="1:52">
      <c r="A20" s="685"/>
      <c r="B20" s="685" t="s">
        <v>44</v>
      </c>
      <c r="C20" s="848"/>
      <c r="D20" s="869"/>
      <c r="E20" s="869"/>
      <c r="F20" s="869"/>
      <c r="G20" s="869"/>
      <c r="H20" s="869"/>
      <c r="I20" s="869"/>
      <c r="J20" s="869"/>
      <c r="K20" s="869"/>
      <c r="L20" s="978">
        <f>130*L45</f>
        <v>2502.5</v>
      </c>
      <c r="M20" s="978">
        <v>0</v>
      </c>
      <c r="N20" s="978">
        <v>0</v>
      </c>
      <c r="O20" s="978">
        <v>0</v>
      </c>
      <c r="P20" s="978">
        <v>0</v>
      </c>
      <c r="Q20" s="978">
        <v>0</v>
      </c>
      <c r="R20" s="978">
        <v>0</v>
      </c>
      <c r="S20" s="978">
        <v>0</v>
      </c>
      <c r="T20" s="978">
        <v>0</v>
      </c>
      <c r="U20" s="978">
        <v>0</v>
      </c>
      <c r="V20" s="978">
        <v>0</v>
      </c>
      <c r="W20" s="978">
        <v>0</v>
      </c>
      <c r="X20" s="978">
        <v>0</v>
      </c>
      <c r="Y20" s="685"/>
      <c r="Z20" s="685"/>
      <c r="AA20" s="685"/>
      <c r="AB20" s="685"/>
      <c r="AC20" s="685"/>
      <c r="AD20" s="685"/>
      <c r="AE20" s="685"/>
      <c r="AF20" s="685"/>
      <c r="AG20" s="685"/>
      <c r="AH20" s="685"/>
      <c r="AI20" s="685"/>
      <c r="AJ20" s="685"/>
      <c r="AK20" s="685"/>
      <c r="AL20" s="685"/>
      <c r="AM20" s="685"/>
      <c r="AN20" s="685"/>
      <c r="AO20" s="685"/>
      <c r="AP20" s="685"/>
      <c r="AQ20" s="685"/>
      <c r="AR20" s="685"/>
      <c r="AS20" s="685"/>
      <c r="AT20" s="685"/>
      <c r="AU20" s="685"/>
      <c r="AV20" s="685"/>
      <c r="AW20" s="685"/>
      <c r="AX20" s="685"/>
      <c r="AY20" s="685"/>
      <c r="AZ20" s="685"/>
    </row>
    <row r="21" spans="1:52">
      <c r="A21" s="685"/>
      <c r="B21" s="685"/>
      <c r="C21" s="848"/>
      <c r="D21" s="869"/>
      <c r="E21" s="869"/>
      <c r="F21" s="869"/>
      <c r="G21" s="869"/>
      <c r="H21" s="869"/>
      <c r="I21" s="869"/>
      <c r="J21" s="869"/>
      <c r="K21" s="869"/>
      <c r="L21" s="869"/>
      <c r="M21" s="869"/>
      <c r="N21" s="869"/>
      <c r="O21" s="869"/>
      <c r="P21" s="869"/>
      <c r="Q21" s="869"/>
      <c r="R21" s="869"/>
      <c r="S21" s="869"/>
      <c r="T21" s="869"/>
      <c r="U21" s="869"/>
      <c r="V21" s="869"/>
      <c r="W21" s="869"/>
      <c r="X21" s="869"/>
      <c r="Y21" s="685"/>
      <c r="Z21" s="685"/>
      <c r="AA21" s="685"/>
      <c r="AB21" s="685"/>
      <c r="AC21" s="685"/>
      <c r="AD21" s="685"/>
      <c r="AE21" s="685"/>
      <c r="AF21" s="685"/>
      <c r="AG21" s="685"/>
      <c r="AH21" s="685"/>
      <c r="AI21" s="685"/>
      <c r="AJ21" s="685"/>
      <c r="AK21" s="685"/>
      <c r="AL21" s="685"/>
      <c r="AM21" s="685"/>
      <c r="AN21" s="685"/>
      <c r="AO21" s="685"/>
      <c r="AP21" s="685"/>
      <c r="AQ21" s="685"/>
      <c r="AR21" s="685"/>
      <c r="AS21" s="685"/>
      <c r="AT21" s="685"/>
      <c r="AU21" s="685"/>
      <c r="AV21" s="685"/>
      <c r="AW21" s="685"/>
      <c r="AX21" s="685"/>
      <c r="AY21" s="685"/>
      <c r="AZ21" s="685"/>
    </row>
    <row r="22" spans="1:52">
      <c r="A22" s="685"/>
      <c r="B22" s="1045" t="s">
        <v>632</v>
      </c>
      <c r="C22" s="1046">
        <f>C3+C11+C17</f>
        <v>27407</v>
      </c>
      <c r="D22" s="1046">
        <f t="shared" ref="D22:K22" si="21">D3+D11+D17</f>
        <v>29235</v>
      </c>
      <c r="E22" s="1156">
        <f t="shared" si="21"/>
        <v>30685.599999999999</v>
      </c>
      <c r="F22" s="1046">
        <f t="shared" si="21"/>
        <v>32884</v>
      </c>
      <c r="G22" s="1046">
        <f t="shared" si="21"/>
        <v>33820.6</v>
      </c>
      <c r="H22" s="1046">
        <f t="shared" si="21"/>
        <v>34868.1</v>
      </c>
      <c r="I22" s="1046">
        <f>I3+I11+I17</f>
        <v>34332.6</v>
      </c>
      <c r="J22" s="1046">
        <f t="shared" si="21"/>
        <v>36686.699999999997</v>
      </c>
      <c r="K22" s="1046">
        <f t="shared" si="21"/>
        <v>33997</v>
      </c>
      <c r="L22" s="1046">
        <f>L3+L11+L17+L20</f>
        <v>39019.5</v>
      </c>
      <c r="M22" s="1046">
        <f>M3+M11+M17+M20</f>
        <v>34795.4</v>
      </c>
      <c r="N22" s="1046">
        <f t="shared" ref="N22:S22" si="22">N3+N11+N17+N20</f>
        <v>32613</v>
      </c>
      <c r="O22" s="1046">
        <f t="shared" si="22"/>
        <v>35941.9</v>
      </c>
      <c r="P22" s="1046">
        <f t="shared" ca="1" si="22"/>
        <v>37891.53206960042</v>
      </c>
      <c r="Q22" s="1046">
        <f t="shared" ca="1" si="22"/>
        <v>37351.483428120991</v>
      </c>
      <c r="R22" s="1046">
        <f t="shared" ca="1" si="22"/>
        <v>37076.827392851992</v>
      </c>
      <c r="S22" s="1046">
        <f t="shared" ca="1" si="22"/>
        <v>37394.590415469276</v>
      </c>
      <c r="T22" s="1046">
        <f ca="1">T3+T11+T17+T20</f>
        <v>28380.035741658692</v>
      </c>
      <c r="U22" s="1046">
        <f ca="1">U3+U11+U17+U20</f>
        <v>28417.150491251628</v>
      </c>
      <c r="V22" s="1046">
        <f ca="1">V3+V11+V17+V20</f>
        <v>28455.762729326434</v>
      </c>
      <c r="W22" s="1046">
        <f ca="1">W3+W11+W17+W20</f>
        <v>28495.891279801279</v>
      </c>
      <c r="X22" s="1046">
        <f ca="1">X3+X11+X17+X20</f>
        <v>28537.555419306853</v>
      </c>
      <c r="Y22" s="685"/>
      <c r="Z22" s="685"/>
      <c r="AA22" s="685"/>
      <c r="AB22" s="685"/>
      <c r="AC22" s="685"/>
      <c r="AD22" s="685"/>
      <c r="AE22" s="685"/>
      <c r="AF22" s="685"/>
      <c r="AG22" s="685"/>
      <c r="AH22" s="685"/>
      <c r="AI22" s="685"/>
      <c r="AJ22" s="685"/>
      <c r="AK22" s="685"/>
      <c r="AL22" s="685"/>
      <c r="AM22" s="685"/>
      <c r="AN22" s="685"/>
      <c r="AO22" s="685"/>
      <c r="AP22" s="685"/>
      <c r="AQ22" s="685"/>
      <c r="AR22" s="685"/>
      <c r="AS22" s="685"/>
      <c r="AT22" s="685"/>
      <c r="AU22" s="685"/>
      <c r="AV22" s="685"/>
      <c r="AW22" s="685"/>
      <c r="AX22" s="685"/>
      <c r="AY22" s="685"/>
      <c r="AZ22" s="685"/>
    </row>
    <row r="23" spans="1:52">
      <c r="A23" s="685"/>
      <c r="B23" s="685" t="s">
        <v>181</v>
      </c>
      <c r="C23" s="848"/>
      <c r="D23" s="869">
        <f>D22/C22-1</f>
        <v>6.6698288758346491E-2</v>
      </c>
      <c r="E23" s="869">
        <f t="shared" ref="E23:N23" si="23">E22/D22-1</f>
        <v>4.96186078330767E-2</v>
      </c>
      <c r="F23" s="869">
        <f t="shared" si="23"/>
        <v>7.1642724926349821E-2</v>
      </c>
      <c r="G23" s="869">
        <f t="shared" si="23"/>
        <v>2.8481936504074934E-2</v>
      </c>
      <c r="H23" s="869">
        <f t="shared" si="23"/>
        <v>3.0972247683364484E-2</v>
      </c>
      <c r="I23" s="869">
        <f t="shared" si="23"/>
        <v>-1.535787725743587E-2</v>
      </c>
      <c r="J23" s="869">
        <f t="shared" si="23"/>
        <v>6.8567483965676912E-2</v>
      </c>
      <c r="K23" s="869">
        <f t="shared" si="23"/>
        <v>-7.331539767817763E-2</v>
      </c>
      <c r="L23" s="869">
        <f t="shared" si="23"/>
        <v>0.14773362355501951</v>
      </c>
      <c r="M23" s="869">
        <f t="shared" si="23"/>
        <v>-0.10825612834608334</v>
      </c>
      <c r="N23" s="869">
        <f t="shared" si="23"/>
        <v>-6.2720934376383153E-2</v>
      </c>
      <c r="O23" s="869">
        <f t="shared" ref="O23:X23" si="24">O22/N22-1</f>
        <v>0.102072793057983</v>
      </c>
      <c r="P23" s="869">
        <f t="shared" ca="1" si="24"/>
        <v>5.4243990150782739E-2</v>
      </c>
      <c r="Q23" s="869">
        <f t="shared" ca="1" si="24"/>
        <v>-1.4252488933080065E-2</v>
      </c>
      <c r="R23" s="869">
        <f t="shared" ca="1" si="24"/>
        <v>-7.3532831914840946E-3</v>
      </c>
      <c r="S23" s="869">
        <f t="shared" ca="1" si="24"/>
        <v>8.5703940968409054E-3</v>
      </c>
      <c r="T23" s="869">
        <f t="shared" ca="1" si="24"/>
        <v>-0.24106574169298756</v>
      </c>
      <c r="U23" s="869">
        <f t="shared" ca="1" si="24"/>
        <v>1.3077767036937527E-3</v>
      </c>
      <c r="V23" s="869">
        <f t="shared" ca="1" si="24"/>
        <v>1.3587653021964741E-3</v>
      </c>
      <c r="W23" s="869">
        <f t="shared" ca="1" si="24"/>
        <v>1.4102082188607312E-3</v>
      </c>
      <c r="X23" s="869">
        <f t="shared" ca="1" si="24"/>
        <v>1.462110417830953E-3</v>
      </c>
      <c r="Y23" s="685"/>
      <c r="Z23" s="685" t="s">
        <v>84</v>
      </c>
      <c r="AA23" s="685"/>
      <c r="AB23" s="685"/>
      <c r="AC23" s="685"/>
      <c r="AD23" s="685"/>
      <c r="AE23" s="685"/>
      <c r="AF23" s="685"/>
      <c r="AG23" s="685"/>
      <c r="AH23" s="685"/>
      <c r="AI23" s="685"/>
      <c r="AJ23" s="685"/>
      <c r="AK23" s="685"/>
      <c r="AL23" s="685"/>
      <c r="AM23" s="685"/>
      <c r="AN23" s="685"/>
      <c r="AO23" s="685"/>
      <c r="AP23" s="685"/>
      <c r="AQ23" s="685"/>
      <c r="AR23" s="685"/>
      <c r="AS23" s="685"/>
      <c r="AT23" s="685"/>
      <c r="AU23" s="685"/>
      <c r="AV23" s="685"/>
      <c r="AW23" s="685"/>
      <c r="AX23" s="685"/>
      <c r="AY23" s="685"/>
      <c r="AZ23" s="685"/>
    </row>
    <row r="24" spans="1:52">
      <c r="A24" s="685"/>
      <c r="B24" s="685" t="s">
        <v>648</v>
      </c>
      <c r="C24" s="848"/>
      <c r="D24" s="869">
        <f t="shared" ref="D24:X24" si="25">(D47/2*C45+D47/2*D45+D61*C45+D3)/C22-1</f>
        <v>8.0015317618719717E-2</v>
      </c>
      <c r="E24" s="869">
        <f t="shared" si="25"/>
        <v>5.284938218241475E-2</v>
      </c>
      <c r="F24" s="869">
        <f t="shared" si="25"/>
        <v>5.8531716866016437E-2</v>
      </c>
      <c r="G24" s="869">
        <f t="shared" si="25"/>
        <v>3.5462206086637194E-2</v>
      </c>
      <c r="H24" s="869">
        <f t="shared" si="25"/>
        <v>2.1438013743200868E-2</v>
      </c>
      <c r="I24" s="869">
        <f t="shared" si="25"/>
        <v>-5.9333732132121231E-2</v>
      </c>
      <c r="J24" s="869">
        <f t="shared" si="25"/>
        <v>1.6701207076334601E-2</v>
      </c>
      <c r="K24" s="869">
        <f t="shared" si="25"/>
        <v>-7.4126570644382106E-2</v>
      </c>
      <c r="L24" s="869">
        <f t="shared" si="25"/>
        <v>6.7202988498985095E-2</v>
      </c>
      <c r="M24" s="869">
        <f t="shared" si="25"/>
        <v>-0.10825612834608334</v>
      </c>
      <c r="N24" s="869">
        <f t="shared" si="25"/>
        <v>-0.10309009868371377</v>
      </c>
      <c r="O24" s="869">
        <f t="shared" ca="1" si="25"/>
        <v>0.12988262615059387</v>
      </c>
      <c r="P24" s="869">
        <f t="shared" ca="1" si="25"/>
        <v>5.7904775759940685E-2</v>
      </c>
      <c r="Q24" s="869">
        <f t="shared" ca="1" si="25"/>
        <v>3.5639388441937259E-2</v>
      </c>
      <c r="R24" s="869">
        <f t="shared" ca="1" si="25"/>
        <v>6.9112860809983356E-3</v>
      </c>
      <c r="S24" s="869">
        <f t="shared" ca="1" si="25"/>
        <v>3.4324851228593189E-3</v>
      </c>
      <c r="T24" s="869">
        <f t="shared" ca="1" si="25"/>
        <v>-0.24368370234029368</v>
      </c>
      <c r="U24" s="869">
        <f t="shared" ca="1" si="25"/>
        <v>-2.1720496752395402E-3</v>
      </c>
      <c r="V24" s="869">
        <f t="shared" ca="1" si="25"/>
        <v>-2.1476465174531389E-3</v>
      </c>
      <c r="W24" s="869">
        <f t="shared" ca="1" si="25"/>
        <v>-2.1234118834009275E-3</v>
      </c>
      <c r="X24" s="869">
        <f t="shared" ca="1" si="25"/>
        <v>-2.0993453709813314E-3</v>
      </c>
      <c r="Y24" s="685"/>
      <c r="Z24" s="685"/>
      <c r="AA24" s="685"/>
      <c r="AB24" s="685"/>
      <c r="AC24" s="685"/>
      <c r="AD24" s="685"/>
      <c r="AE24" s="685"/>
      <c r="AF24" s="685"/>
      <c r="AG24" s="685"/>
      <c r="AH24" s="685"/>
      <c r="AI24" s="685"/>
      <c r="AJ24" s="685"/>
      <c r="AK24" s="685"/>
      <c r="AL24" s="685"/>
      <c r="AM24" s="685"/>
      <c r="AN24" s="685"/>
      <c r="AO24" s="685"/>
      <c r="AP24" s="685"/>
      <c r="AQ24" s="685"/>
      <c r="AR24" s="685"/>
      <c r="AS24" s="685"/>
      <c r="AT24" s="685"/>
      <c r="AU24" s="685"/>
      <c r="AV24" s="685"/>
      <c r="AW24" s="685"/>
      <c r="AX24" s="685"/>
      <c r="AY24" s="685"/>
      <c r="AZ24" s="685"/>
    </row>
    <row r="25" spans="1:52">
      <c r="A25" s="685"/>
      <c r="B25" s="685"/>
      <c r="C25" s="848"/>
      <c r="D25" s="869"/>
      <c r="E25" s="869"/>
      <c r="F25" s="869"/>
      <c r="G25" s="869"/>
      <c r="H25" s="869"/>
      <c r="I25" s="869"/>
      <c r="J25" s="869"/>
      <c r="K25" s="869"/>
      <c r="L25" s="869"/>
      <c r="M25" s="869"/>
      <c r="N25" s="869"/>
      <c r="O25" s="869"/>
      <c r="P25" s="869"/>
      <c r="Q25" s="869"/>
      <c r="R25" s="869"/>
      <c r="S25" s="869"/>
      <c r="T25" s="869"/>
      <c r="U25" s="869"/>
      <c r="V25" s="869"/>
      <c r="W25" s="869"/>
      <c r="X25" s="869"/>
      <c r="Y25" s="685"/>
      <c r="Z25" s="685"/>
      <c r="AA25" s="685"/>
      <c r="AB25" s="685"/>
      <c r="AC25" s="685"/>
      <c r="AD25" s="685"/>
      <c r="AE25" s="685"/>
      <c r="AF25" s="685"/>
      <c r="AG25" s="685"/>
      <c r="AH25" s="685"/>
      <c r="AI25" s="685"/>
      <c r="AJ25" s="685"/>
      <c r="AK25" s="685"/>
      <c r="AL25" s="685"/>
      <c r="AM25" s="685"/>
      <c r="AN25" s="685"/>
      <c r="AO25" s="685"/>
      <c r="AP25" s="685"/>
      <c r="AQ25" s="685"/>
      <c r="AR25" s="685"/>
      <c r="AS25" s="685"/>
      <c r="AT25" s="685"/>
      <c r="AU25" s="685"/>
      <c r="AV25" s="685"/>
      <c r="AW25" s="685"/>
      <c r="AX25" s="685"/>
      <c r="AY25" s="685"/>
      <c r="AZ25" s="685"/>
    </row>
    <row r="26" spans="1:52">
      <c r="A26" s="685"/>
      <c r="B26" s="685"/>
      <c r="C26" s="685"/>
      <c r="D26" s="685"/>
      <c r="E26" s="685"/>
      <c r="F26" s="685"/>
      <c r="G26" s="685"/>
      <c r="H26" s="685"/>
      <c r="I26" s="685"/>
      <c r="J26" s="685"/>
      <c r="K26" s="848"/>
      <c r="L26" s="848"/>
      <c r="M26" s="848"/>
      <c r="N26" s="685"/>
      <c r="O26" s="685"/>
      <c r="P26" s="685"/>
      <c r="Q26" s="685"/>
      <c r="R26" s="685"/>
      <c r="S26" s="685"/>
      <c r="T26" s="685"/>
      <c r="U26" s="685"/>
      <c r="V26" s="685"/>
      <c r="W26" s="685"/>
      <c r="X26" s="685"/>
      <c r="Y26" s="685"/>
      <c r="Z26" s="685"/>
      <c r="AA26" s="685"/>
      <c r="AB26" s="685"/>
      <c r="AC26" s="685"/>
      <c r="AD26" s="685"/>
      <c r="AE26" s="685"/>
      <c r="AF26" s="685"/>
      <c r="AG26" s="685"/>
      <c r="AH26" s="685"/>
      <c r="AI26" s="685"/>
      <c r="AJ26" s="685"/>
      <c r="AK26" s="685"/>
      <c r="AL26" s="685"/>
      <c r="AM26" s="685"/>
      <c r="AN26" s="685"/>
      <c r="AO26" s="685"/>
      <c r="AP26" s="685"/>
      <c r="AQ26" s="685"/>
      <c r="AR26" s="685"/>
      <c r="AS26" s="685"/>
      <c r="AT26" s="685"/>
      <c r="AU26" s="685"/>
      <c r="AV26" s="685"/>
      <c r="AW26" s="685"/>
      <c r="AX26" s="685"/>
      <c r="AY26" s="685"/>
      <c r="AZ26" s="685"/>
    </row>
    <row r="27" spans="1:52">
      <c r="A27" s="685"/>
      <c r="B27" s="1045" t="s">
        <v>57</v>
      </c>
      <c r="C27" s="1156">
        <f>Master!H65</f>
        <v>13417</v>
      </c>
      <c r="D27" s="1156">
        <f>Master!I65</f>
        <v>13820</v>
      </c>
      <c r="E27" s="1156">
        <f>Master!J65</f>
        <v>14465.6</v>
      </c>
      <c r="F27" s="1156">
        <f>Master!K65</f>
        <v>15411.2</v>
      </c>
      <c r="G27" s="1156">
        <f>Master!L65</f>
        <v>15565.999999999998</v>
      </c>
      <c r="H27" s="1156">
        <f>Master!M65</f>
        <v>15534.3</v>
      </c>
      <c r="I27" s="1156">
        <f>Master!N65</f>
        <v>14564.2</v>
      </c>
      <c r="J27" s="1156">
        <f>Master!O65</f>
        <v>14748</v>
      </c>
      <c r="K27" s="1156">
        <f>Master!P65</f>
        <v>12825</v>
      </c>
      <c r="L27" s="1156">
        <f>Master!Q65</f>
        <v>14855</v>
      </c>
      <c r="M27" s="1156">
        <f>Master!R65</f>
        <v>12632</v>
      </c>
      <c r="N27" s="1156">
        <f>Master!S65</f>
        <v>12360.8</v>
      </c>
      <c r="O27" s="1156">
        <f>Master!T65</f>
        <v>13779</v>
      </c>
      <c r="P27" s="1046">
        <f t="shared" ref="P27:X27" ca="1" si="26">P29*P22</f>
        <v>14019.866865752156</v>
      </c>
      <c r="Q27" s="1046">
        <f t="shared" ca="1" si="26"/>
        <v>13446.534034123557</v>
      </c>
      <c r="R27" s="1046">
        <f t="shared" ca="1" si="26"/>
        <v>12791.505450533936</v>
      </c>
      <c r="S27" s="1046">
        <f t="shared" ca="1" si="26"/>
        <v>12340.214837104862</v>
      </c>
      <c r="T27" s="1046">
        <f t="shared" ca="1" si="26"/>
        <v>9365.4117947473696</v>
      </c>
      <c r="U27" s="1046">
        <f t="shared" ca="1" si="26"/>
        <v>9377.6596621130375</v>
      </c>
      <c r="V27" s="1046">
        <f t="shared" ca="1" si="26"/>
        <v>9390.4017006777231</v>
      </c>
      <c r="W27" s="1046">
        <f t="shared" ca="1" si="26"/>
        <v>9403.6441223344227</v>
      </c>
      <c r="X27" s="1046">
        <f t="shared" ca="1" si="26"/>
        <v>9417.3932883712623</v>
      </c>
      <c r="Y27" s="685"/>
      <c r="Z27" s="685"/>
      <c r="AA27" s="685"/>
      <c r="AB27" s="685"/>
      <c r="AC27" s="685"/>
      <c r="AD27" s="685"/>
      <c r="AE27" s="685"/>
      <c r="AF27" s="685"/>
      <c r="AG27" s="685"/>
      <c r="AH27" s="685"/>
      <c r="AI27" s="685"/>
      <c r="AJ27" s="685"/>
      <c r="AK27" s="685"/>
      <c r="AL27" s="685"/>
      <c r="AM27" s="685"/>
      <c r="AN27" s="685"/>
      <c r="AO27" s="685"/>
      <c r="AP27" s="685"/>
      <c r="AQ27" s="685"/>
      <c r="AR27" s="685"/>
      <c r="AS27" s="685"/>
      <c r="AT27" s="685"/>
      <c r="AU27" s="685"/>
      <c r="AV27" s="685"/>
      <c r="AW27" s="685"/>
      <c r="AX27" s="685"/>
      <c r="AY27" s="685"/>
      <c r="AZ27" s="685"/>
    </row>
    <row r="28" spans="1:52">
      <c r="A28" s="685"/>
      <c r="B28" s="685" t="s">
        <v>181</v>
      </c>
      <c r="C28" s="848"/>
      <c r="D28" s="869">
        <f>D27/C27-1</f>
        <v>3.0036520831780544E-2</v>
      </c>
      <c r="E28" s="869">
        <f t="shared" ref="E28:N28" si="27">E27/D27-1</f>
        <v>4.6714905933429751E-2</v>
      </c>
      <c r="F28" s="869">
        <f t="shared" si="27"/>
        <v>6.5368875124433234E-2</v>
      </c>
      <c r="G28" s="869">
        <f>G27/F27-1</f>
        <v>1.0044642857142794E-2</v>
      </c>
      <c r="H28" s="869">
        <f>H27/G27-1</f>
        <v>-2.0364897854296959E-3</v>
      </c>
      <c r="I28" s="869">
        <f>I27/H27-1</f>
        <v>-6.2448903394423882E-2</v>
      </c>
      <c r="J28" s="869">
        <f t="shared" si="27"/>
        <v>1.2619985993051364E-2</v>
      </c>
      <c r="K28" s="869">
        <f t="shared" si="27"/>
        <v>-0.13039056143205863</v>
      </c>
      <c r="L28" s="869">
        <f t="shared" si="27"/>
        <v>0.15828460038986347</v>
      </c>
      <c r="M28" s="869">
        <f t="shared" si="27"/>
        <v>-0.14964658364187144</v>
      </c>
      <c r="N28" s="869">
        <f t="shared" si="27"/>
        <v>-2.1469284357188201E-2</v>
      </c>
      <c r="O28" s="869">
        <f t="shared" ref="O28:X28" si="28">O27/N27-1</f>
        <v>0.1147336741958449</v>
      </c>
      <c r="P28" s="869">
        <f t="shared" ca="1" si="28"/>
        <v>1.7480721805076982E-2</v>
      </c>
      <c r="Q28" s="869">
        <f t="shared" ca="1" si="28"/>
        <v>-4.0894313556510409E-2</v>
      </c>
      <c r="R28" s="869">
        <f t="shared" ca="1" si="28"/>
        <v>-4.8713563058505716E-2</v>
      </c>
      <c r="S28" s="869">
        <f t="shared" ca="1" si="28"/>
        <v>-3.5280492603021574E-2</v>
      </c>
      <c r="T28" s="869">
        <f t="shared" ca="1" si="28"/>
        <v>-0.24106574169298756</v>
      </c>
      <c r="U28" s="869">
        <f t="shared" ca="1" si="28"/>
        <v>1.3077767036935306E-3</v>
      </c>
      <c r="V28" s="869">
        <f t="shared" ca="1" si="28"/>
        <v>1.358765302196252E-3</v>
      </c>
      <c r="W28" s="869">
        <f t="shared" ca="1" si="28"/>
        <v>1.4102082188607312E-3</v>
      </c>
      <c r="X28" s="869">
        <f t="shared" ca="1" si="28"/>
        <v>1.462110417830953E-3</v>
      </c>
      <c r="Y28" s="685"/>
      <c r="Z28" s="685"/>
      <c r="AA28" s="685"/>
      <c r="AB28" s="685"/>
      <c r="AC28" s="685"/>
      <c r="AD28" s="685"/>
      <c r="AE28" s="685"/>
      <c r="AF28" s="685"/>
      <c r="AG28" s="685"/>
      <c r="AH28" s="685"/>
      <c r="AI28" s="685"/>
      <c r="AJ28" s="685"/>
      <c r="AK28" s="685"/>
      <c r="AL28" s="685"/>
      <c r="AM28" s="685"/>
      <c r="AN28" s="685"/>
      <c r="AO28" s="685"/>
      <c r="AP28" s="685"/>
      <c r="AQ28" s="685"/>
      <c r="AR28" s="685"/>
      <c r="AS28" s="685"/>
      <c r="AT28" s="685"/>
      <c r="AU28" s="685"/>
      <c r="AV28" s="685"/>
      <c r="AW28" s="685"/>
      <c r="AX28" s="685"/>
      <c r="AY28" s="685"/>
      <c r="AZ28" s="685"/>
    </row>
    <row r="29" spans="1:52">
      <c r="A29" s="685"/>
      <c r="B29" s="685" t="s">
        <v>158</v>
      </c>
      <c r="C29" s="869">
        <f t="shared" ref="C29:K29" si="29">C27/C22</f>
        <v>0.48954646623125481</v>
      </c>
      <c r="D29" s="869">
        <f t="shared" si="29"/>
        <v>0.47272105353172567</v>
      </c>
      <c r="E29" s="869">
        <f t="shared" si="29"/>
        <v>0.47141330135307769</v>
      </c>
      <c r="F29" s="869">
        <f t="shared" si="29"/>
        <v>0.46865344848558571</v>
      </c>
      <c r="G29" s="869">
        <f t="shared" si="29"/>
        <v>0.46025203574153029</v>
      </c>
      <c r="H29" s="869">
        <f t="shared" si="29"/>
        <v>0.44551610211052511</v>
      </c>
      <c r="I29" s="869">
        <f t="shared" si="29"/>
        <v>0.42420906077605547</v>
      </c>
      <c r="J29" s="869">
        <f t="shared" si="29"/>
        <v>0.4019985444316333</v>
      </c>
      <c r="K29" s="869">
        <f t="shared" si="29"/>
        <v>0.37723916816189662</v>
      </c>
      <c r="L29" s="869">
        <f>L27/L22</f>
        <v>0.38070708235625778</v>
      </c>
      <c r="M29" s="869">
        <f>M27/M22</f>
        <v>0.36303649332957805</v>
      </c>
      <c r="N29" s="869">
        <f>N27/N22</f>
        <v>0.37901450341888204</v>
      </c>
      <c r="O29" s="869">
        <f>O27/O22</f>
        <v>0.3833687145086932</v>
      </c>
      <c r="P29" s="1001">
        <v>0.37</v>
      </c>
      <c r="Q29" s="1001">
        <v>0.36</v>
      </c>
      <c r="R29" s="1001">
        <v>0.34499999999999997</v>
      </c>
      <c r="S29" s="1001">
        <v>0.33</v>
      </c>
      <c r="T29" s="1001">
        <v>0.33</v>
      </c>
      <c r="U29" s="1001">
        <v>0.33</v>
      </c>
      <c r="V29" s="1001">
        <v>0.33</v>
      </c>
      <c r="W29" s="1001">
        <v>0.33</v>
      </c>
      <c r="X29" s="1001">
        <v>0.33</v>
      </c>
      <c r="Y29" s="685"/>
      <c r="Z29" s="685"/>
      <c r="AA29" s="685"/>
      <c r="AB29" s="685"/>
      <c r="AC29" s="685"/>
      <c r="AD29" s="685"/>
      <c r="AE29" s="685"/>
      <c r="AF29" s="685"/>
      <c r="AG29" s="685"/>
      <c r="AH29" s="685"/>
      <c r="AI29" s="685"/>
      <c r="AJ29" s="685"/>
      <c r="AK29" s="685"/>
      <c r="AL29" s="685"/>
      <c r="AM29" s="685"/>
      <c r="AN29" s="685"/>
      <c r="AO29" s="685"/>
      <c r="AP29" s="685"/>
      <c r="AQ29" s="685"/>
      <c r="AR29" s="685"/>
      <c r="AS29" s="685"/>
      <c r="AT29" s="685"/>
      <c r="AU29" s="685"/>
      <c r="AV29" s="685"/>
      <c r="AW29" s="685"/>
      <c r="AX29" s="685"/>
      <c r="AY29" s="685"/>
      <c r="AZ29" s="685"/>
    </row>
    <row r="30" spans="1:52">
      <c r="A30" s="685"/>
      <c r="B30" s="685" t="s">
        <v>3768</v>
      </c>
      <c r="C30" s="849">
        <f t="shared" ref="C30:S30" si="30">C27/C45</f>
        <v>993.85185185185185</v>
      </c>
      <c r="D30" s="849">
        <f t="shared" si="30"/>
        <v>1094.2201108471891</v>
      </c>
      <c r="E30" s="849">
        <f t="shared" si="30"/>
        <v>1162.8295819935693</v>
      </c>
      <c r="F30" s="849">
        <f t="shared" si="30"/>
        <v>1171.063829787234</v>
      </c>
      <c r="G30" s="849">
        <f t="shared" si="30"/>
        <v>1219.9059561128524</v>
      </c>
      <c r="H30" s="849">
        <f t="shared" si="30"/>
        <v>1167.1149511645378</v>
      </c>
      <c r="I30" s="849">
        <f t="shared" si="30"/>
        <v>917.71896660365474</v>
      </c>
      <c r="J30" s="849">
        <f t="shared" si="30"/>
        <v>782.38726790450926</v>
      </c>
      <c r="K30" s="849">
        <f t="shared" si="30"/>
        <v>678.57142857142867</v>
      </c>
      <c r="L30" s="849">
        <f t="shared" si="30"/>
        <v>771.68831168831173</v>
      </c>
      <c r="M30" s="849">
        <f t="shared" si="30"/>
        <v>656.20779220779218</v>
      </c>
      <c r="N30" s="849">
        <f>N27/N45</f>
        <v>575.45623836126629</v>
      </c>
      <c r="O30" s="849">
        <f t="shared" si="30"/>
        <v>679.25294830758833</v>
      </c>
      <c r="P30" s="849">
        <f t="shared" ca="1" si="30"/>
        <v>697.15896895833691</v>
      </c>
      <c r="Q30" s="849">
        <f t="shared" ca="1" si="30"/>
        <v>759.69118836856262</v>
      </c>
      <c r="R30" s="849">
        <f t="shared" ca="1" si="30"/>
        <v>750.85145870708709</v>
      </c>
      <c r="S30" s="849">
        <f t="shared" ca="1" si="30"/>
        <v>714.5049410633352</v>
      </c>
      <c r="T30" s="849">
        <f ca="1">T27/T45</f>
        <v>531.62968382607653</v>
      </c>
      <c r="U30" s="849">
        <f ca="1">U27/U45</f>
        <v>521.88719288389825</v>
      </c>
      <c r="V30" s="849">
        <f ca="1">V27/V45</f>
        <v>512.3493285227936</v>
      </c>
      <c r="W30" s="849">
        <f ca="1">W27/W45</f>
        <v>503.01161544784736</v>
      </c>
      <c r="X30" s="849">
        <f ca="1">X27/X45</f>
        <v>493.86968036380745</v>
      </c>
      <c r="Y30" s="685"/>
      <c r="Z30" s="685"/>
      <c r="AA30" s="685"/>
      <c r="AB30" s="685"/>
      <c r="AC30" s="685"/>
      <c r="AD30" s="685"/>
      <c r="AE30" s="685"/>
      <c r="AF30" s="685"/>
      <c r="AG30" s="685"/>
      <c r="AH30" s="685"/>
      <c r="AI30" s="685"/>
      <c r="AJ30" s="685"/>
      <c r="AK30" s="685"/>
      <c r="AL30" s="685"/>
      <c r="AM30" s="685"/>
      <c r="AN30" s="685"/>
      <c r="AO30" s="685"/>
      <c r="AP30" s="685"/>
      <c r="AQ30" s="685"/>
      <c r="AR30" s="685"/>
      <c r="AS30" s="685"/>
      <c r="AT30" s="685"/>
      <c r="AU30" s="685"/>
      <c r="AV30" s="685"/>
      <c r="AW30" s="685"/>
      <c r="AX30" s="685"/>
      <c r="AY30" s="685"/>
      <c r="AZ30" s="685"/>
    </row>
    <row r="31" spans="1:52">
      <c r="A31" s="685"/>
      <c r="B31" s="685" t="s">
        <v>4549</v>
      </c>
      <c r="C31" s="849"/>
      <c r="D31" s="849"/>
      <c r="E31" s="849"/>
      <c r="F31" s="849"/>
      <c r="G31" s="849"/>
      <c r="H31" s="849"/>
      <c r="I31" s="849"/>
      <c r="J31" s="849"/>
      <c r="K31" s="849"/>
      <c r="L31" s="849"/>
      <c r="M31" s="849"/>
      <c r="N31" s="849"/>
      <c r="O31" s="849"/>
      <c r="P31" s="849"/>
      <c r="Q31" s="849"/>
      <c r="R31" s="849"/>
      <c r="S31" s="849"/>
      <c r="T31" s="849"/>
      <c r="U31" s="849"/>
      <c r="V31" s="849"/>
      <c r="W31" s="849"/>
      <c r="X31" s="849"/>
      <c r="Y31" s="685"/>
      <c r="Z31" s="685"/>
      <c r="AA31" s="685"/>
      <c r="AB31" s="685"/>
      <c r="AC31" s="685"/>
      <c r="AD31" s="685"/>
      <c r="AE31" s="685"/>
      <c r="AF31" s="685"/>
      <c r="AG31" s="685"/>
      <c r="AH31" s="685"/>
      <c r="AI31" s="685"/>
      <c r="AJ31" s="685"/>
      <c r="AK31" s="685"/>
      <c r="AL31" s="685"/>
      <c r="AM31" s="685"/>
      <c r="AN31" s="685"/>
      <c r="AO31" s="685"/>
      <c r="AP31" s="685"/>
      <c r="AQ31" s="685"/>
      <c r="AR31" s="685"/>
      <c r="AS31" s="685"/>
      <c r="AT31" s="685"/>
      <c r="AU31" s="685"/>
      <c r="AV31" s="685"/>
      <c r="AW31" s="685"/>
      <c r="AX31" s="685"/>
      <c r="AY31" s="685"/>
      <c r="AZ31" s="685"/>
    </row>
    <row r="32" spans="1:52">
      <c r="A32" s="685"/>
      <c r="B32" s="685" t="s">
        <v>4548</v>
      </c>
      <c r="C32" s="849"/>
      <c r="D32" s="849"/>
      <c r="E32" s="849"/>
      <c r="F32" s="849"/>
      <c r="G32" s="849"/>
      <c r="H32" s="849"/>
      <c r="I32" s="849"/>
      <c r="J32" s="849"/>
      <c r="K32" s="849"/>
      <c r="L32" s="978">
        <v>1411</v>
      </c>
      <c r="M32" s="849"/>
      <c r="N32" s="849"/>
      <c r="O32" s="849"/>
      <c r="P32" s="849"/>
      <c r="Q32" s="849"/>
      <c r="R32" s="849"/>
      <c r="S32" s="849"/>
      <c r="T32" s="849"/>
      <c r="U32" s="849"/>
      <c r="V32" s="849"/>
      <c r="W32" s="849"/>
      <c r="X32" s="849"/>
      <c r="Y32" s="685"/>
      <c r="Z32" s="685"/>
      <c r="AA32" s="685"/>
      <c r="AB32" s="685"/>
      <c r="AC32" s="685"/>
      <c r="AD32" s="685"/>
      <c r="AE32" s="685"/>
      <c r="AF32" s="685"/>
      <c r="AG32" s="685"/>
      <c r="AH32" s="685"/>
      <c r="AI32" s="685"/>
      <c r="AJ32" s="685"/>
      <c r="AK32" s="685"/>
      <c r="AL32" s="685"/>
      <c r="AM32" s="685"/>
      <c r="AN32" s="685"/>
      <c r="AO32" s="685"/>
      <c r="AP32" s="685"/>
      <c r="AQ32" s="685"/>
      <c r="AR32" s="685"/>
      <c r="AS32" s="685"/>
      <c r="AT32" s="685"/>
      <c r="AU32" s="685"/>
      <c r="AV32" s="685"/>
      <c r="AW32" s="685"/>
      <c r="AX32" s="685"/>
      <c r="AY32" s="685"/>
      <c r="AZ32" s="685"/>
    </row>
    <row r="33" spans="1:52">
      <c r="A33" s="685"/>
      <c r="B33" s="685"/>
      <c r="C33" s="849"/>
      <c r="D33" s="849"/>
      <c r="E33" s="849"/>
      <c r="F33" s="849"/>
      <c r="G33" s="849"/>
      <c r="H33" s="849"/>
      <c r="I33" s="849"/>
      <c r="J33" s="849"/>
      <c r="K33" s="849"/>
      <c r="L33" s="807"/>
      <c r="M33" s="849"/>
      <c r="N33" s="685"/>
      <c r="O33" s="807"/>
      <c r="P33" s="685"/>
      <c r="Q33" s="849"/>
      <c r="R33" s="849"/>
      <c r="S33" s="849"/>
      <c r="T33" s="849"/>
      <c r="U33" s="849"/>
      <c r="V33" s="849"/>
      <c r="W33" s="849"/>
      <c r="X33" s="849"/>
      <c r="Y33" s="685"/>
      <c r="Z33" s="685"/>
      <c r="AA33" s="685"/>
      <c r="AB33" s="685"/>
      <c r="AC33" s="685"/>
      <c r="AD33" s="685"/>
      <c r="AE33" s="685"/>
      <c r="AF33" s="685"/>
      <c r="AG33" s="685"/>
      <c r="AH33" s="685"/>
      <c r="AI33" s="685"/>
      <c r="AJ33" s="685"/>
      <c r="AK33" s="685"/>
      <c r="AL33" s="685"/>
      <c r="AM33" s="685"/>
      <c r="AN33" s="685"/>
      <c r="AO33" s="685"/>
      <c r="AP33" s="685"/>
      <c r="AQ33" s="685"/>
      <c r="AR33" s="685"/>
      <c r="AS33" s="685"/>
      <c r="AT33" s="685"/>
      <c r="AU33" s="685"/>
      <c r="AV33" s="685"/>
      <c r="AW33" s="685"/>
      <c r="AX33" s="685"/>
      <c r="AY33" s="685"/>
      <c r="AZ33" s="685"/>
    </row>
    <row r="34" spans="1:52">
      <c r="A34" s="685"/>
      <c r="B34" s="685" t="s">
        <v>5573</v>
      </c>
      <c r="C34" s="848">
        <f t="shared" ref="C34:S34" si="31">C22-C27</f>
        <v>13990</v>
      </c>
      <c r="D34" s="848">
        <f t="shared" si="31"/>
        <v>15415</v>
      </c>
      <c r="E34" s="848">
        <f t="shared" si="31"/>
        <v>16219.999999999998</v>
      </c>
      <c r="F34" s="848">
        <f t="shared" si="31"/>
        <v>17472.8</v>
      </c>
      <c r="G34" s="848">
        <f t="shared" si="31"/>
        <v>18254.599999999999</v>
      </c>
      <c r="H34" s="848">
        <f t="shared" si="31"/>
        <v>19333.8</v>
      </c>
      <c r="I34" s="848">
        <f t="shared" si="31"/>
        <v>19768.399999999998</v>
      </c>
      <c r="J34" s="848">
        <f t="shared" si="31"/>
        <v>21938.699999999997</v>
      </c>
      <c r="K34" s="848">
        <f t="shared" si="31"/>
        <v>21172</v>
      </c>
      <c r="L34" s="848">
        <f t="shared" si="31"/>
        <v>24164.5</v>
      </c>
      <c r="M34" s="848">
        <f t="shared" si="31"/>
        <v>22163.4</v>
      </c>
      <c r="N34" s="848">
        <f t="shared" si="31"/>
        <v>20252.2</v>
      </c>
      <c r="O34" s="848">
        <f t="shared" si="31"/>
        <v>22162.9</v>
      </c>
      <c r="P34" s="848">
        <f t="shared" ca="1" si="31"/>
        <v>23871.665203848264</v>
      </c>
      <c r="Q34" s="848">
        <f t="shared" ca="1" si="31"/>
        <v>23904.949393997435</v>
      </c>
      <c r="R34" s="848">
        <f t="shared" ca="1" si="31"/>
        <v>24285.321942318056</v>
      </c>
      <c r="S34" s="848">
        <f t="shared" ca="1" si="31"/>
        <v>25054.375578364416</v>
      </c>
      <c r="T34" s="848">
        <f ca="1">T22-T27</f>
        <v>19014.623946911321</v>
      </c>
      <c r="U34" s="848">
        <f ca="1">U22-U27</f>
        <v>19039.490829138591</v>
      </c>
      <c r="V34" s="848">
        <f ca="1">V22-V27</f>
        <v>19065.361028648709</v>
      </c>
      <c r="W34" s="848">
        <f ca="1">W22-W27</f>
        <v>19092.247157466856</v>
      </c>
      <c r="X34" s="848">
        <f ca="1">X22-X27</f>
        <v>19120.162130935591</v>
      </c>
      <c r="Y34" s="685"/>
      <c r="Z34" s="685"/>
      <c r="AA34" s="685"/>
      <c r="AB34" s="685"/>
      <c r="AC34" s="685"/>
      <c r="AD34" s="685"/>
      <c r="AE34" s="685"/>
      <c r="AF34" s="685"/>
      <c r="AG34" s="685"/>
      <c r="AH34" s="685"/>
      <c r="AI34" s="685"/>
      <c r="AJ34" s="685"/>
      <c r="AK34" s="685"/>
      <c r="AL34" s="685"/>
      <c r="AM34" s="685"/>
      <c r="AN34" s="685"/>
      <c r="AO34" s="685"/>
      <c r="AP34" s="685"/>
      <c r="AQ34" s="685"/>
      <c r="AR34" s="685"/>
      <c r="AS34" s="685"/>
      <c r="AT34" s="685"/>
      <c r="AU34" s="685"/>
      <c r="AV34" s="685"/>
      <c r="AW34" s="685"/>
      <c r="AX34" s="685"/>
      <c r="AY34" s="685"/>
      <c r="AZ34" s="685"/>
    </row>
    <row r="35" spans="1:52">
      <c r="A35" s="685"/>
      <c r="B35" s="685" t="s">
        <v>2758</v>
      </c>
      <c r="C35" s="848"/>
      <c r="D35" s="869">
        <f>D34/C34-1</f>
        <v>0.10185847033595419</v>
      </c>
      <c r="E35" s="869">
        <f t="shared" ref="E35:X35" si="32">E34/D34-1</f>
        <v>5.2221861822899562E-2</v>
      </c>
      <c r="F35" s="869">
        <f t="shared" si="32"/>
        <v>7.7237977805178826E-2</v>
      </c>
      <c r="G35" s="869">
        <f t="shared" si="32"/>
        <v>4.4743830410695518E-2</v>
      </c>
      <c r="H35" s="869">
        <f t="shared" si="32"/>
        <v>5.9119345260920664E-2</v>
      </c>
      <c r="I35" s="869">
        <f t="shared" si="32"/>
        <v>2.2478767753881801E-2</v>
      </c>
      <c r="J35" s="869">
        <f>J34/I34-1</f>
        <v>0.10978632565103896</v>
      </c>
      <c r="K35" s="869">
        <f t="shared" si="32"/>
        <v>-3.4947376097945515E-2</v>
      </c>
      <c r="L35" s="869">
        <f t="shared" si="32"/>
        <v>0.14134233893822024</v>
      </c>
      <c r="M35" s="869">
        <f t="shared" si="32"/>
        <v>-8.2811562415940676E-2</v>
      </c>
      <c r="N35" s="869">
        <f t="shared" si="32"/>
        <v>-8.6232256783706496E-2</v>
      </c>
      <c r="O35" s="869">
        <f t="shared" si="32"/>
        <v>9.4345305695183734E-2</v>
      </c>
      <c r="P35" s="869">
        <f t="shared" ca="1" si="32"/>
        <v>7.7100253299354549E-2</v>
      </c>
      <c r="Q35" s="869">
        <f t="shared" ca="1" si="32"/>
        <v>1.3942969568709884E-3</v>
      </c>
      <c r="R35" s="869">
        <f t="shared" ca="1" si="32"/>
        <v>1.591187423371565E-2</v>
      </c>
      <c r="S35" s="869">
        <f t="shared" ca="1" si="32"/>
        <v>3.1667426022722545E-2</v>
      </c>
      <c r="T35" s="869">
        <f t="shared" ca="1" si="32"/>
        <v>-0.24106574169298767</v>
      </c>
      <c r="U35" s="869">
        <f t="shared" ca="1" si="32"/>
        <v>1.3077767036939747E-3</v>
      </c>
      <c r="V35" s="869">
        <f t="shared" ca="1" si="32"/>
        <v>1.358765302196252E-3</v>
      </c>
      <c r="W35" s="869">
        <f t="shared" ca="1" si="32"/>
        <v>1.4102082188607312E-3</v>
      </c>
      <c r="X35" s="869">
        <f t="shared" ca="1" si="32"/>
        <v>1.462110417830953E-3</v>
      </c>
      <c r="Y35" s="685"/>
      <c r="Z35" s="685"/>
      <c r="AA35" s="685"/>
      <c r="AB35" s="685"/>
      <c r="AC35" s="685"/>
      <c r="AD35" s="685"/>
      <c r="AE35" s="685"/>
      <c r="AF35" s="685"/>
      <c r="AG35" s="685"/>
      <c r="AH35" s="685"/>
      <c r="AI35" s="685"/>
      <c r="AJ35" s="685"/>
      <c r="AK35" s="685"/>
      <c r="AL35" s="685"/>
      <c r="AM35" s="685"/>
      <c r="AN35" s="685"/>
      <c r="AO35" s="685"/>
      <c r="AP35" s="685"/>
      <c r="AQ35" s="685"/>
      <c r="AR35" s="685"/>
      <c r="AS35" s="685"/>
      <c r="AT35" s="685"/>
      <c r="AU35" s="685"/>
      <c r="AV35" s="685"/>
      <c r="AW35" s="685"/>
      <c r="AX35" s="685"/>
      <c r="AY35" s="685"/>
      <c r="AZ35" s="685"/>
    </row>
    <row r="36" spans="1:52">
      <c r="A36" s="685"/>
      <c r="B36" s="685" t="s">
        <v>5572</v>
      </c>
      <c r="C36" s="848"/>
      <c r="D36" s="849">
        <f t="shared" ref="D36:M36" si="33">D34-C34</f>
        <v>1425</v>
      </c>
      <c r="E36" s="849">
        <f t="shared" si="33"/>
        <v>804.99999999999818</v>
      </c>
      <c r="F36" s="849">
        <f t="shared" si="33"/>
        <v>1252.8000000000011</v>
      </c>
      <c r="G36" s="849">
        <f t="shared" si="33"/>
        <v>781.79999999999927</v>
      </c>
      <c r="H36" s="849">
        <f t="shared" si="33"/>
        <v>1079.2000000000007</v>
      </c>
      <c r="I36" s="849">
        <f t="shared" si="33"/>
        <v>434.59999999999854</v>
      </c>
      <c r="J36" s="849">
        <f t="shared" si="33"/>
        <v>2170.2999999999993</v>
      </c>
      <c r="K36" s="849">
        <f t="shared" si="33"/>
        <v>-766.69999999999709</v>
      </c>
      <c r="L36" s="849">
        <f t="shared" si="33"/>
        <v>2992.5</v>
      </c>
      <c r="M36" s="849">
        <f t="shared" si="33"/>
        <v>-2001.0999999999985</v>
      </c>
      <c r="N36" s="849">
        <f t="shared" ref="N36:X36" si="34">N34-M34</f>
        <v>-1911.2000000000007</v>
      </c>
      <c r="O36" s="849">
        <f t="shared" si="34"/>
        <v>1910.7000000000007</v>
      </c>
      <c r="P36" s="849">
        <f t="shared" ca="1" si="34"/>
        <v>1708.7652038482629</v>
      </c>
      <c r="Q36" s="849">
        <f t="shared" ca="1" si="34"/>
        <v>33.284190149170172</v>
      </c>
      <c r="R36" s="849">
        <f t="shared" ca="1" si="34"/>
        <v>380.37254832062172</v>
      </c>
      <c r="S36" s="849">
        <f t="shared" ca="1" si="34"/>
        <v>769.05363604635932</v>
      </c>
      <c r="T36" s="849">
        <f t="shared" ca="1" si="34"/>
        <v>-6039.7516314530949</v>
      </c>
      <c r="U36" s="849">
        <f t="shared" ca="1" si="34"/>
        <v>24.866882227270253</v>
      </c>
      <c r="V36" s="849">
        <f t="shared" ca="1" si="34"/>
        <v>25.870199510118255</v>
      </c>
      <c r="W36" s="849">
        <f t="shared" ca="1" si="34"/>
        <v>26.886128818146972</v>
      </c>
      <c r="X36" s="849">
        <f t="shared" ca="1" si="34"/>
        <v>27.914973468734388</v>
      </c>
      <c r="Y36" s="685"/>
      <c r="Z36" s="685"/>
      <c r="AA36" s="685"/>
      <c r="AB36" s="685"/>
      <c r="AC36" s="685"/>
      <c r="AD36" s="685"/>
      <c r="AE36" s="685"/>
      <c r="AF36" s="685"/>
      <c r="AG36" s="685"/>
      <c r="AH36" s="685"/>
      <c r="AI36" s="685"/>
      <c r="AJ36" s="685"/>
      <c r="AK36" s="685"/>
      <c r="AL36" s="685"/>
      <c r="AM36" s="685"/>
      <c r="AN36" s="685"/>
      <c r="AO36" s="685"/>
      <c r="AP36" s="685"/>
      <c r="AQ36" s="685"/>
      <c r="AR36" s="685"/>
      <c r="AS36" s="685"/>
      <c r="AT36" s="685"/>
      <c r="AU36" s="685"/>
      <c r="AV36" s="685"/>
      <c r="AW36" s="685"/>
      <c r="AX36" s="685"/>
      <c r="AY36" s="685"/>
      <c r="AZ36" s="685"/>
    </row>
    <row r="37" spans="1:52">
      <c r="A37" s="685"/>
      <c r="B37" s="685" t="s">
        <v>2516</v>
      </c>
      <c r="C37" s="848">
        <f t="shared" ref="C37:S37" si="35">C34/C45</f>
        <v>1036.2962962962963</v>
      </c>
      <c r="D37" s="848">
        <f t="shared" si="35"/>
        <v>1220.5067300079177</v>
      </c>
      <c r="E37" s="848">
        <f t="shared" si="35"/>
        <v>1303.8585209003215</v>
      </c>
      <c r="F37" s="848">
        <f t="shared" si="35"/>
        <v>1327.7203647416413</v>
      </c>
      <c r="G37" s="848">
        <f t="shared" si="35"/>
        <v>1430.6112852664576</v>
      </c>
      <c r="H37" s="848">
        <f t="shared" si="35"/>
        <v>1452.5770097670922</v>
      </c>
      <c r="I37" s="848">
        <f t="shared" si="35"/>
        <v>1245.645872715816</v>
      </c>
      <c r="J37" s="848">
        <f t="shared" si="35"/>
        <v>1163.8567639257292</v>
      </c>
      <c r="K37" s="848">
        <f t="shared" si="35"/>
        <v>1120.2116402116403</v>
      </c>
      <c r="L37" s="848">
        <f t="shared" si="35"/>
        <v>1255.2987012987012</v>
      </c>
      <c r="M37" s="848">
        <f t="shared" si="35"/>
        <v>1151.3454545454547</v>
      </c>
      <c r="N37" s="848">
        <f t="shared" si="35"/>
        <v>942.83985102420854</v>
      </c>
      <c r="O37" s="848">
        <f t="shared" si="35"/>
        <v>1092.5477297370094</v>
      </c>
      <c r="P37" s="848">
        <f t="shared" ca="1" si="35"/>
        <v>1187.0544606587898</v>
      </c>
      <c r="Q37" s="848">
        <f t="shared" ca="1" si="35"/>
        <v>1350.5621126552223</v>
      </c>
      <c r="R37" s="848">
        <f t="shared" ca="1" si="35"/>
        <v>1425.5295810236003</v>
      </c>
      <c r="S37" s="848">
        <f t="shared" ca="1" si="35"/>
        <v>1450.6615470073773</v>
      </c>
      <c r="T37" s="848">
        <f ca="1">T34/T45</f>
        <v>1079.3693580711247</v>
      </c>
      <c r="U37" s="848">
        <f ca="1">U34/U45</f>
        <v>1059.5891491885207</v>
      </c>
      <c r="V37" s="848">
        <f ca="1">V34/V45</f>
        <v>1040.2243942735506</v>
      </c>
      <c r="W37" s="848">
        <f ca="1">W34/W45</f>
        <v>1021.266007121387</v>
      </c>
      <c r="X37" s="848">
        <f ca="1">X34/X45</f>
        <v>1002.7051086174272</v>
      </c>
      <c r="Y37" s="685"/>
      <c r="Z37" s="685"/>
      <c r="AA37" s="685"/>
      <c r="AB37" s="685"/>
      <c r="AC37" s="685"/>
      <c r="AD37" s="685"/>
      <c r="AE37" s="685"/>
      <c r="AF37" s="685"/>
      <c r="AG37" s="685"/>
      <c r="AH37" s="685"/>
      <c r="AI37" s="685"/>
      <c r="AJ37" s="685"/>
      <c r="AK37" s="685"/>
      <c r="AL37" s="685"/>
      <c r="AM37" s="685"/>
      <c r="AN37" s="685"/>
      <c r="AO37" s="685"/>
      <c r="AP37" s="685"/>
      <c r="AQ37" s="685"/>
      <c r="AR37" s="685"/>
      <c r="AS37" s="685"/>
      <c r="AT37" s="685"/>
      <c r="AU37" s="685"/>
      <c r="AV37" s="685"/>
      <c r="AW37" s="685"/>
      <c r="AX37" s="685"/>
      <c r="AY37" s="685"/>
      <c r="AZ37" s="685"/>
    </row>
    <row r="38" spans="1:52">
      <c r="A38" s="685"/>
      <c r="B38" s="685" t="s">
        <v>2517</v>
      </c>
      <c r="C38" s="848"/>
      <c r="D38" s="848">
        <f t="shared" ref="D38:X38" si="36">D37-C37</f>
        <v>184.21043371162136</v>
      </c>
      <c r="E38" s="848">
        <f t="shared" si="36"/>
        <v>83.351790892403869</v>
      </c>
      <c r="F38" s="848">
        <f t="shared" si="36"/>
        <v>23.861843841319796</v>
      </c>
      <c r="G38" s="848">
        <f t="shared" si="36"/>
        <v>102.89092052481624</v>
      </c>
      <c r="H38" s="848">
        <f t="shared" si="36"/>
        <v>21.965724500634678</v>
      </c>
      <c r="I38" s="848">
        <f t="shared" si="36"/>
        <v>-206.93113705127621</v>
      </c>
      <c r="J38" s="848">
        <f t="shared" si="36"/>
        <v>-81.789108790086857</v>
      </c>
      <c r="K38" s="848">
        <f t="shared" si="36"/>
        <v>-43.645123714088868</v>
      </c>
      <c r="L38" s="848">
        <f t="shared" si="36"/>
        <v>135.08706108706087</v>
      </c>
      <c r="M38" s="848">
        <f t="shared" si="36"/>
        <v>-103.9532467532465</v>
      </c>
      <c r="N38" s="848">
        <f t="shared" si="36"/>
        <v>-208.50560352124614</v>
      </c>
      <c r="O38" s="848">
        <f t="shared" si="36"/>
        <v>149.70787871280083</v>
      </c>
      <c r="P38" s="848">
        <f t="shared" ca="1" si="36"/>
        <v>94.506730921780445</v>
      </c>
      <c r="Q38" s="848">
        <f t="shared" ca="1" si="36"/>
        <v>163.50765199643251</v>
      </c>
      <c r="R38" s="848">
        <f t="shared" ca="1" si="36"/>
        <v>74.967468368377922</v>
      </c>
      <c r="S38" s="848">
        <f t="shared" ca="1" si="36"/>
        <v>25.131965983777036</v>
      </c>
      <c r="T38" s="848">
        <f t="shared" ca="1" si="36"/>
        <v>-371.29218893625261</v>
      </c>
      <c r="U38" s="848">
        <f t="shared" ca="1" si="36"/>
        <v>-19.780208882604029</v>
      </c>
      <c r="V38" s="848">
        <f t="shared" ca="1" si="36"/>
        <v>-19.364754914970035</v>
      </c>
      <c r="W38" s="848">
        <f t="shared" ca="1" si="36"/>
        <v>-18.958387152163596</v>
      </c>
      <c r="X38" s="848">
        <f t="shared" ca="1" si="36"/>
        <v>-18.560898503959834</v>
      </c>
      <c r="Y38" s="685"/>
      <c r="Z38" s="685"/>
      <c r="AA38" s="685"/>
      <c r="AB38" s="685"/>
      <c r="AC38" s="685"/>
      <c r="AD38" s="685"/>
      <c r="AE38" s="685"/>
      <c r="AF38" s="685"/>
      <c r="AG38" s="685"/>
      <c r="AH38" s="685"/>
      <c r="AI38" s="685"/>
      <c r="AJ38" s="685"/>
      <c r="AK38" s="685"/>
      <c r="AL38" s="685"/>
      <c r="AM38" s="685"/>
      <c r="AN38" s="685"/>
      <c r="AO38" s="685"/>
      <c r="AP38" s="685"/>
      <c r="AQ38" s="685"/>
      <c r="AR38" s="685"/>
      <c r="AS38" s="685"/>
      <c r="AT38" s="685"/>
      <c r="AU38" s="685"/>
      <c r="AV38" s="685"/>
      <c r="AW38" s="685"/>
      <c r="AX38" s="685"/>
      <c r="AY38" s="685"/>
      <c r="AZ38" s="685"/>
    </row>
    <row r="39" spans="1:52">
      <c r="A39" s="685"/>
      <c r="B39" s="685" t="s">
        <v>4550</v>
      </c>
      <c r="C39" s="848"/>
      <c r="D39" s="848"/>
      <c r="E39" s="848"/>
      <c r="F39" s="848"/>
      <c r="G39" s="848"/>
      <c r="H39" s="848"/>
      <c r="I39" s="848"/>
      <c r="J39" s="848">
        <f>J37</f>
        <v>1163.8567639257292</v>
      </c>
      <c r="K39" s="848">
        <f>K37</f>
        <v>1120.2116402116403</v>
      </c>
      <c r="L39" s="848">
        <f>L37-(L20-L32)/L45</f>
        <v>1198.5974025974024</v>
      </c>
      <c r="M39" s="848">
        <f>M37</f>
        <v>1151.3454545454547</v>
      </c>
      <c r="N39" s="848"/>
      <c r="O39" s="807">
        <f>-O36/N36</f>
        <v>0.9997383842611971</v>
      </c>
      <c r="P39" s="848"/>
      <c r="Q39" s="848"/>
      <c r="R39" s="848"/>
      <c r="S39" s="848"/>
      <c r="T39" s="848"/>
      <c r="U39" s="848"/>
      <c r="V39" s="848"/>
      <c r="W39" s="848"/>
      <c r="X39" s="848"/>
      <c r="Y39" s="685"/>
      <c r="Z39" s="685"/>
      <c r="AA39" s="685"/>
      <c r="AB39" s="685"/>
      <c r="AC39" s="685"/>
      <c r="AD39" s="685"/>
      <c r="AE39" s="685"/>
      <c r="AF39" s="685"/>
      <c r="AG39" s="685"/>
      <c r="AH39" s="685"/>
      <c r="AI39" s="685"/>
      <c r="AJ39" s="685"/>
      <c r="AK39" s="685"/>
      <c r="AL39" s="685"/>
      <c r="AM39" s="685"/>
      <c r="AN39" s="685"/>
      <c r="AO39" s="685"/>
      <c r="AP39" s="685"/>
      <c r="AQ39" s="685"/>
      <c r="AR39" s="685"/>
      <c r="AS39" s="685"/>
      <c r="AT39" s="685"/>
      <c r="AU39" s="685"/>
      <c r="AV39" s="685"/>
      <c r="AW39" s="685"/>
      <c r="AX39" s="685"/>
      <c r="AY39" s="685"/>
      <c r="AZ39" s="685"/>
    </row>
    <row r="40" spans="1:52">
      <c r="A40" s="685"/>
      <c r="B40" s="685" t="s">
        <v>2517</v>
      </c>
      <c r="C40" s="848"/>
      <c r="D40" s="848"/>
      <c r="E40" s="848"/>
      <c r="F40" s="848"/>
      <c r="G40" s="848"/>
      <c r="H40" s="848"/>
      <c r="I40" s="848"/>
      <c r="J40" s="848"/>
      <c r="K40" s="848">
        <f>K39-J39</f>
        <v>-43.645123714088868</v>
      </c>
      <c r="L40" s="848">
        <f>L39-K39</f>
        <v>78.385762385762064</v>
      </c>
      <c r="M40" s="848">
        <f>M39-L39</f>
        <v>-47.251948051947693</v>
      </c>
      <c r="N40" s="848"/>
      <c r="O40" s="848"/>
      <c r="P40" s="848"/>
      <c r="Q40" s="848"/>
      <c r="R40" s="848"/>
      <c r="S40" s="848"/>
      <c r="T40" s="848"/>
      <c r="U40" s="848"/>
      <c r="V40" s="848"/>
      <c r="W40" s="848"/>
      <c r="X40" s="848"/>
      <c r="Y40" s="685"/>
      <c r="Z40" s="685"/>
      <c r="AA40" s="685"/>
      <c r="AB40" s="685"/>
      <c r="AC40" s="685"/>
      <c r="AD40" s="685"/>
      <c r="AE40" s="685"/>
      <c r="AF40" s="685"/>
      <c r="AG40" s="685"/>
      <c r="AH40" s="685"/>
      <c r="AI40" s="685"/>
      <c r="AJ40" s="685"/>
      <c r="AK40" s="685"/>
      <c r="AL40" s="685"/>
      <c r="AM40" s="685"/>
      <c r="AN40" s="685"/>
      <c r="AO40" s="685"/>
      <c r="AP40" s="685"/>
      <c r="AQ40" s="685"/>
      <c r="AR40" s="685"/>
      <c r="AS40" s="685"/>
      <c r="AT40" s="685"/>
      <c r="AU40" s="685"/>
      <c r="AV40" s="685"/>
      <c r="AW40" s="685"/>
      <c r="AX40" s="685"/>
      <c r="AY40" s="685"/>
      <c r="AZ40" s="685"/>
    </row>
    <row r="41" spans="1:52">
      <c r="A41" s="685"/>
      <c r="B41" s="685"/>
      <c r="C41" s="848"/>
      <c r="D41" s="848"/>
      <c r="E41" s="848"/>
      <c r="F41" s="848"/>
      <c r="G41" s="848"/>
      <c r="H41" s="848"/>
      <c r="I41" s="848"/>
      <c r="J41" s="848"/>
      <c r="K41" s="848"/>
      <c r="L41" s="807"/>
      <c r="M41" s="848"/>
      <c r="N41" s="848"/>
      <c r="O41" s="848"/>
      <c r="P41" s="848"/>
      <c r="Q41" s="848"/>
      <c r="R41" s="848"/>
      <c r="S41" s="848"/>
      <c r="T41" s="848"/>
      <c r="U41" s="848"/>
      <c r="V41" s="848"/>
      <c r="W41" s="848"/>
      <c r="X41" s="848"/>
      <c r="Y41" s="685"/>
      <c r="Z41" s="685"/>
      <c r="AA41" s="685"/>
      <c r="AB41" s="685"/>
      <c r="AC41" s="685"/>
      <c r="AD41" s="685"/>
      <c r="AE41" s="685"/>
      <c r="AF41" s="685"/>
      <c r="AG41" s="685"/>
      <c r="AH41" s="685"/>
      <c r="AI41" s="685"/>
      <c r="AJ41" s="685"/>
      <c r="AK41" s="685"/>
      <c r="AL41" s="685"/>
      <c r="AM41" s="685"/>
      <c r="AN41" s="685"/>
      <c r="AO41" s="685"/>
      <c r="AP41" s="685"/>
      <c r="AQ41" s="685"/>
      <c r="AR41" s="685"/>
      <c r="AS41" s="685"/>
      <c r="AT41" s="685"/>
      <c r="AU41" s="685"/>
      <c r="AV41" s="685"/>
      <c r="AW41" s="685"/>
      <c r="AX41" s="685"/>
      <c r="AY41" s="685"/>
      <c r="AZ41" s="685"/>
    </row>
    <row r="42" spans="1:52">
      <c r="A42" s="685"/>
      <c r="B42" s="685" t="s">
        <v>649</v>
      </c>
      <c r="C42" s="807">
        <f t="shared" ref="C42:S42" si="37">(C11+C17)/C22</f>
        <v>0.21928704345605138</v>
      </c>
      <c r="D42" s="807">
        <f t="shared" si="37"/>
        <v>0.22192577390114587</v>
      </c>
      <c r="E42" s="807">
        <f t="shared" si="37"/>
        <v>0.24374625231378888</v>
      </c>
      <c r="F42" s="807">
        <f t="shared" si="37"/>
        <v>0.27211105704902083</v>
      </c>
      <c r="G42" s="807">
        <f t="shared" si="37"/>
        <v>0.26478241072009362</v>
      </c>
      <c r="H42" s="807">
        <f t="shared" si="37"/>
        <v>0.2696562187214101</v>
      </c>
      <c r="I42" s="807">
        <f t="shared" si="37"/>
        <v>0.32922936218055143</v>
      </c>
      <c r="J42" s="807">
        <f t="shared" si="37"/>
        <v>0.36698585590963484</v>
      </c>
      <c r="K42" s="807">
        <f t="shared" si="37"/>
        <v>0.39056387328293674</v>
      </c>
      <c r="L42" s="807">
        <f t="shared" si="37"/>
        <v>0.39370058560463356</v>
      </c>
      <c r="M42" s="807">
        <f t="shared" si="37"/>
        <v>0.44186875276617021</v>
      </c>
      <c r="N42" s="807">
        <f t="shared" si="37"/>
        <v>0.49867230858859968</v>
      </c>
      <c r="O42" s="807">
        <f t="shared" si="37"/>
        <v>0.46686179639918873</v>
      </c>
      <c r="P42" s="807">
        <f t="shared" ca="1" si="37"/>
        <v>0.469008010469391</v>
      </c>
      <c r="Q42" s="807">
        <f t="shared" ca="1" si="37"/>
        <v>0.43978385650284058</v>
      </c>
      <c r="R42" s="807">
        <f t="shared" ca="1" si="37"/>
        <v>0.4356339128402853</v>
      </c>
      <c r="S42" s="807">
        <f t="shared" ca="1" si="37"/>
        <v>0.44042965125394573</v>
      </c>
      <c r="T42" s="807">
        <f ca="1">(T11+T17)/T22</f>
        <v>0.26268930065917412</v>
      </c>
      <c r="U42" s="807">
        <f ca="1">(U11+U17)/U22</f>
        <v>0.26365227905444488</v>
      </c>
      <c r="V42" s="807">
        <f ca="1">(V11+V17)/V22</f>
        <v>0.26465144515578726</v>
      </c>
      <c r="W42" s="807">
        <f ca="1">(W11+W17)/W22</f>
        <v>0.26568697941263603</v>
      </c>
      <c r="X42" s="807">
        <f ca="1">(X11+X17)/X22</f>
        <v>0.26675905863179067</v>
      </c>
      <c r="Y42" s="685"/>
      <c r="Z42" s="685"/>
      <c r="AA42" s="685"/>
      <c r="AB42" s="685"/>
      <c r="AC42" s="685"/>
      <c r="AD42" s="685"/>
      <c r="AE42" s="685"/>
      <c r="AF42" s="685"/>
      <c r="AG42" s="685"/>
      <c r="AH42" s="685"/>
      <c r="AI42" s="685"/>
      <c r="AJ42" s="685"/>
      <c r="AK42" s="685"/>
      <c r="AL42" s="685"/>
      <c r="AM42" s="685"/>
      <c r="AN42" s="685"/>
      <c r="AO42" s="685"/>
      <c r="AP42" s="685"/>
      <c r="AQ42" s="685"/>
      <c r="AR42" s="685"/>
      <c r="AS42" s="685"/>
      <c r="AT42" s="685"/>
      <c r="AU42" s="685"/>
      <c r="AV42" s="685"/>
      <c r="AW42" s="685"/>
      <c r="AX42" s="685"/>
      <c r="AY42" s="685"/>
      <c r="AZ42" s="685"/>
    </row>
    <row r="43" spans="1:52">
      <c r="A43" s="685"/>
      <c r="B43" s="685" t="s">
        <v>650</v>
      </c>
      <c r="C43" s="807">
        <f>(C11+C17)/Master!H56</f>
        <v>0.11479899804572116</v>
      </c>
      <c r="D43" s="807">
        <f>(D11+D17)/Master!I56</f>
        <v>0.11213893613196721</v>
      </c>
      <c r="E43" s="807">
        <f>(E11+E17)/Master!J56</f>
        <v>0.11951615093917529</v>
      </c>
      <c r="F43" s="807">
        <f>(F11+F17)/Master!K56</f>
        <v>0.12913910152055696</v>
      </c>
      <c r="G43" s="807">
        <f>(G11+G17)/Master!L56</f>
        <v>0.12135334229526677</v>
      </c>
      <c r="H43" s="807">
        <f>(H11+H17)/Master!M56</f>
        <v>0.11735631265726724</v>
      </c>
      <c r="I43" s="807">
        <f>(I11+I17)/Master!N56</f>
        <v>0.12837073547449235</v>
      </c>
      <c r="J43" s="807">
        <f>(J11+J17)/Master!O56</f>
        <v>0.13982618701927771</v>
      </c>
      <c r="K43" s="807">
        <f>(K11+K17)/Master!P56</f>
        <v>0.14084327764518695</v>
      </c>
      <c r="L43" s="807">
        <f>(L11+L17)/Master!Q56</f>
        <v>0.15163359984206889</v>
      </c>
      <c r="M43" s="807"/>
      <c r="N43" s="807"/>
      <c r="O43" s="807"/>
      <c r="P43" s="807"/>
      <c r="Q43" s="807"/>
      <c r="R43" s="807"/>
      <c r="S43" s="807"/>
      <c r="T43" s="807"/>
      <c r="U43" s="807"/>
      <c r="V43" s="807"/>
      <c r="W43" s="807"/>
      <c r="X43" s="807"/>
      <c r="Y43" s="685"/>
      <c r="Z43" s="685"/>
      <c r="AA43" s="685"/>
      <c r="AB43" s="685"/>
      <c r="AC43" s="685"/>
      <c r="AD43" s="685"/>
      <c r="AE43" s="685"/>
      <c r="AF43" s="685"/>
      <c r="AG43" s="685"/>
      <c r="AH43" s="685"/>
      <c r="AI43" s="685"/>
      <c r="AJ43" s="685"/>
      <c r="AK43" s="685"/>
      <c r="AL43" s="685"/>
      <c r="AM43" s="685"/>
      <c r="AN43" s="685"/>
      <c r="AO43" s="685"/>
      <c r="AP43" s="685"/>
      <c r="AQ43" s="685"/>
      <c r="AR43" s="685"/>
      <c r="AS43" s="685"/>
      <c r="AT43" s="685"/>
      <c r="AU43" s="685"/>
      <c r="AV43" s="685"/>
      <c r="AW43" s="685"/>
      <c r="AX43" s="685"/>
      <c r="AY43" s="685"/>
      <c r="AZ43" s="685"/>
    </row>
    <row r="44" spans="1:52">
      <c r="A44" s="685"/>
      <c r="B44" s="685"/>
      <c r="C44" s="807"/>
      <c r="D44" s="807"/>
      <c r="E44" s="807"/>
      <c r="F44" s="807"/>
      <c r="G44" s="807"/>
      <c r="H44" s="807"/>
      <c r="I44" s="807"/>
      <c r="J44" s="807"/>
      <c r="K44" s="807"/>
      <c r="L44" s="807"/>
      <c r="M44" s="807"/>
      <c r="N44" s="807"/>
      <c r="O44" s="807"/>
      <c r="P44" s="807"/>
      <c r="Q44" s="807"/>
      <c r="R44" s="807"/>
      <c r="S44" s="807"/>
      <c r="T44" s="807"/>
      <c r="U44" s="807"/>
      <c r="V44" s="807"/>
      <c r="W44" s="807"/>
      <c r="X44" s="807"/>
      <c r="Y44" s="685"/>
      <c r="Z44" s="685"/>
      <c r="AA44" s="685"/>
      <c r="AB44" s="685"/>
      <c r="AC44" s="685"/>
      <c r="AD44" s="685"/>
      <c r="AE44" s="685"/>
      <c r="AF44" s="685"/>
      <c r="AG44" s="685"/>
      <c r="AH44" s="685"/>
      <c r="AI44" s="685"/>
      <c r="AJ44" s="685"/>
      <c r="AK44" s="685"/>
      <c r="AL44" s="685"/>
      <c r="AM44" s="685"/>
      <c r="AN44" s="685"/>
      <c r="AO44" s="685"/>
      <c r="AP44" s="685"/>
      <c r="AQ44" s="685"/>
      <c r="AR44" s="685"/>
      <c r="AS44" s="685"/>
      <c r="AT44" s="685"/>
      <c r="AU44" s="685"/>
      <c r="AV44" s="685"/>
      <c r="AW44" s="685"/>
      <c r="AX44" s="685"/>
      <c r="AY44" s="685"/>
      <c r="AZ44" s="685"/>
    </row>
    <row r="45" spans="1:52">
      <c r="A45" s="685"/>
      <c r="B45" s="685" t="s">
        <v>646</v>
      </c>
      <c r="C45" s="808">
        <f>Master!H92</f>
        <v>13.5</v>
      </c>
      <c r="D45" s="808">
        <f>Master!I92</f>
        <v>12.63</v>
      </c>
      <c r="E45" s="808">
        <f>Master!J92</f>
        <v>12.44</v>
      </c>
      <c r="F45" s="808">
        <f>Master!K92</f>
        <v>13.16</v>
      </c>
      <c r="G45" s="808">
        <f>Master!L92</f>
        <v>12.76</v>
      </c>
      <c r="H45" s="808">
        <f>Master!M92</f>
        <v>13.31</v>
      </c>
      <c r="I45" s="808">
        <f>Master!N92</f>
        <v>15.87</v>
      </c>
      <c r="J45" s="808">
        <f>Master!O92</f>
        <v>18.850000000000001</v>
      </c>
      <c r="K45" s="808">
        <f>Master!P92</f>
        <v>18.899999999999999</v>
      </c>
      <c r="L45" s="808">
        <f>Master!Q92</f>
        <v>19.25</v>
      </c>
      <c r="M45" s="808">
        <f>Master!R92</f>
        <v>19.25</v>
      </c>
      <c r="N45" s="808">
        <f>Master!S92</f>
        <v>21.48</v>
      </c>
      <c r="O45" s="808">
        <f>Master!T92</f>
        <v>20.285521077724361</v>
      </c>
      <c r="P45" s="808">
        <f>Master!U92</f>
        <v>20.11</v>
      </c>
      <c r="Q45" s="808">
        <f>Master!V92</f>
        <v>17.7</v>
      </c>
      <c r="R45" s="808">
        <f>Master!W92</f>
        <v>17.036000000000001</v>
      </c>
      <c r="S45" s="808">
        <f>Master!X92</f>
        <v>17.271000000000001</v>
      </c>
      <c r="T45" s="808">
        <f>Master!Y92</f>
        <v>17.616419999999998</v>
      </c>
      <c r="U45" s="808">
        <f>Master!Z92</f>
        <v>17.968748399999999</v>
      </c>
      <c r="V45" s="808">
        <f>Master!AA92</f>
        <v>18.328123368</v>
      </c>
      <c r="W45" s="808">
        <f>Master!AB92</f>
        <v>18.694685835359998</v>
      </c>
      <c r="X45" s="808">
        <f>Master!AC92</f>
        <v>19.068579552067199</v>
      </c>
      <c r="Y45" s="685"/>
      <c r="Z45" s="685"/>
      <c r="AA45" s="685" t="s">
        <v>2440</v>
      </c>
      <c r="AB45" s="685">
        <f>0.75*J3</f>
        <v>17417.400000000001</v>
      </c>
      <c r="AC45" s="685">
        <f>AB45*1.089</f>
        <v>18967.548600000002</v>
      </c>
      <c r="AD45" s="869">
        <f>AC45/AB45-1</f>
        <v>8.8999999999999968E-2</v>
      </c>
      <c r="AE45" s="685"/>
      <c r="AF45" s="685"/>
      <c r="AG45" s="685"/>
      <c r="AH45" s="685"/>
      <c r="AI45" s="685"/>
      <c r="AJ45" s="685"/>
      <c r="AK45" s="685"/>
      <c r="AL45" s="685"/>
      <c r="AM45" s="685"/>
      <c r="AN45" s="685"/>
      <c r="AO45" s="685"/>
      <c r="AP45" s="685"/>
      <c r="AQ45" s="685"/>
      <c r="AR45" s="685"/>
      <c r="AS45" s="685"/>
      <c r="AT45" s="685"/>
      <c r="AU45" s="685"/>
      <c r="AV45" s="685"/>
      <c r="AW45" s="685"/>
      <c r="AX45" s="685"/>
      <c r="AY45" s="685"/>
      <c r="AZ45" s="685"/>
    </row>
    <row r="46" spans="1:52">
      <c r="A46" s="685"/>
      <c r="B46" s="685"/>
      <c r="C46" s="808"/>
      <c r="D46" s="808"/>
      <c r="E46" s="808"/>
      <c r="F46" s="808"/>
      <c r="G46" s="808"/>
      <c r="H46" s="808"/>
      <c r="I46" s="808"/>
      <c r="J46" s="808"/>
      <c r="K46" s="808"/>
      <c r="L46" s="808"/>
      <c r="M46" s="808"/>
      <c r="N46" s="808"/>
      <c r="O46" s="808"/>
      <c r="P46" s="808"/>
      <c r="Q46" s="808"/>
      <c r="R46" s="808"/>
      <c r="S46" s="808"/>
      <c r="T46" s="808"/>
      <c r="U46" s="808"/>
      <c r="V46" s="808"/>
      <c r="W46" s="808"/>
      <c r="X46" s="808"/>
      <c r="Y46" s="685"/>
      <c r="Z46" s="685"/>
      <c r="AA46" s="685" t="s">
        <v>2455</v>
      </c>
      <c r="AB46" s="848">
        <f>J3-AB45</f>
        <v>5805.7999999999993</v>
      </c>
      <c r="AC46" s="685">
        <f>AB46*0.9</f>
        <v>5225.2199999999993</v>
      </c>
      <c r="AD46" s="869">
        <f>AC46/AB46-1</f>
        <v>-9.9999999999999978E-2</v>
      </c>
      <c r="AE46" s="685"/>
      <c r="AF46" s="685"/>
      <c r="AG46" s="685"/>
      <c r="AH46" s="685"/>
      <c r="AI46" s="685"/>
      <c r="AJ46" s="685"/>
      <c r="AK46" s="685"/>
      <c r="AL46" s="685"/>
      <c r="AM46" s="685"/>
      <c r="AN46" s="685"/>
      <c r="AO46" s="685"/>
      <c r="AP46" s="685"/>
      <c r="AQ46" s="685"/>
      <c r="AR46" s="685"/>
      <c r="AS46" s="685"/>
      <c r="AT46" s="685"/>
      <c r="AU46" s="685"/>
      <c r="AV46" s="685"/>
      <c r="AW46" s="685"/>
      <c r="AX46" s="685"/>
      <c r="AY46" s="685"/>
      <c r="AZ46" s="685"/>
    </row>
    <row r="47" spans="1:52">
      <c r="A47" s="685"/>
      <c r="B47" s="685" t="s">
        <v>864</v>
      </c>
      <c r="C47" s="849">
        <f>C11/C45</f>
        <v>163.03703703703704</v>
      </c>
      <c r="D47" s="849">
        <f>D11/D45</f>
        <v>188.36104513064132</v>
      </c>
      <c r="E47" s="849">
        <f>E11/E45</f>
        <v>208.2636655948553</v>
      </c>
      <c r="F47" s="849">
        <f>F11/F45</f>
        <v>242.34042553191492</v>
      </c>
      <c r="G47" s="849">
        <f>G11/G45</f>
        <v>255.92476489028209</v>
      </c>
      <c r="H47" s="1002">
        <v>215</v>
      </c>
      <c r="I47" s="849">
        <f t="shared" ref="I47:N47" si="38">I11/I45</f>
        <v>226.55324511657216</v>
      </c>
      <c r="J47" s="849">
        <f t="shared" si="38"/>
        <v>233.38461538461539</v>
      </c>
      <c r="K47" s="849">
        <f t="shared" si="38"/>
        <v>214.70899470899474</v>
      </c>
      <c r="L47" s="849">
        <f t="shared" si="38"/>
        <v>251.48051948051949</v>
      </c>
      <c r="M47" s="849">
        <f t="shared" si="38"/>
        <v>256.57142857142856</v>
      </c>
      <c r="N47" s="849">
        <f t="shared" si="38"/>
        <v>254.47858472998138</v>
      </c>
      <c r="O47" s="849">
        <f t="shared" ref="O47:X47" ca="1" si="39">O49+O51</f>
        <v>269.46312983808258</v>
      </c>
      <c r="P47" s="849">
        <f t="shared" ca="1" si="39"/>
        <v>268.16551975402098</v>
      </c>
      <c r="Q47" s="849">
        <f t="shared" ca="1" si="39"/>
        <v>287.2478718623999</v>
      </c>
      <c r="R47" s="849">
        <f t="shared" ca="1" si="39"/>
        <v>291.38299684935492</v>
      </c>
      <c r="S47" s="849">
        <f t="shared" ca="1" si="39"/>
        <v>285.95287918908133</v>
      </c>
      <c r="T47" s="849">
        <f t="shared" ca="1" si="39"/>
        <v>279.55235729364512</v>
      </c>
      <c r="U47" s="849">
        <f t="shared" ca="1" si="39"/>
        <v>273.31998747314981</v>
      </c>
      <c r="V47" s="849">
        <f t="shared" ca="1" si="39"/>
        <v>267.25102506402294</v>
      </c>
      <c r="W47" s="849">
        <f t="shared" ca="1" si="39"/>
        <v>261.3408629417637</v>
      </c>
      <c r="X47" s="849">
        <f t="shared" ca="1" si="39"/>
        <v>255.58502749577463</v>
      </c>
      <c r="Y47" s="685"/>
      <c r="Z47" s="685"/>
      <c r="AA47" s="685"/>
      <c r="AB47" s="848">
        <f>AB45+AB46</f>
        <v>23223.200000000001</v>
      </c>
      <c r="AC47" s="848">
        <f>AC45+AC46</f>
        <v>24192.768600000003</v>
      </c>
      <c r="AD47" s="869">
        <f>AC47/AB47-1</f>
        <v>4.1750000000000176E-2</v>
      </c>
      <c r="AE47" s="685"/>
      <c r="AF47" s="685"/>
      <c r="AG47" s="685"/>
      <c r="AH47" s="685"/>
      <c r="AI47" s="685"/>
      <c r="AJ47" s="685"/>
      <c r="AK47" s="685"/>
      <c r="AL47" s="685"/>
      <c r="AM47" s="685"/>
      <c r="AN47" s="685"/>
      <c r="AO47" s="685"/>
      <c r="AP47" s="685"/>
      <c r="AQ47" s="685"/>
      <c r="AR47" s="685"/>
      <c r="AS47" s="685"/>
      <c r="AT47" s="685"/>
      <c r="AU47" s="685"/>
      <c r="AV47" s="685"/>
      <c r="AW47" s="685"/>
      <c r="AX47" s="685"/>
      <c r="AY47" s="685"/>
      <c r="AZ47" s="685"/>
    </row>
    <row r="48" spans="1:52">
      <c r="A48" s="685"/>
      <c r="B48" s="685" t="s">
        <v>181</v>
      </c>
      <c r="C48" s="807"/>
      <c r="D48" s="807">
        <f>D47/C47-1</f>
        <v>0.15532671933832698</v>
      </c>
      <c r="E48" s="807">
        <f>E47/D47-1</f>
        <v>0.10566208342287631</v>
      </c>
      <c r="F48" s="807">
        <f>F47/E47-1</f>
        <v>0.16362316412576106</v>
      </c>
      <c r="G48" s="807">
        <f>G47/F47-1</f>
        <v>5.6054780495457202E-2</v>
      </c>
      <c r="H48" s="807">
        <f>H47/G47-1</f>
        <v>-0.15990935815776564</v>
      </c>
      <c r="I48" s="807">
        <f t="shared" ref="I48:N48" si="40">I47/H47-1</f>
        <v>5.3736023798010013E-2</v>
      </c>
      <c r="J48" s="807">
        <f t="shared" si="40"/>
        <v>3.0153486720210898E-2</v>
      </c>
      <c r="K48" s="807">
        <f t="shared" si="40"/>
        <v>-8.0020787337860444E-2</v>
      </c>
      <c r="L48" s="807">
        <f t="shared" si="40"/>
        <v>0.17126215332228134</v>
      </c>
      <c r="M48" s="807">
        <f t="shared" si="40"/>
        <v>2.0243751291055379E-2</v>
      </c>
      <c r="N48" s="807">
        <f t="shared" si="40"/>
        <v>-8.1569637472885814E-3</v>
      </c>
      <c r="O48" s="807">
        <f t="shared" ref="O48:X48" ca="1" si="41">O47/N47-1</f>
        <v>5.888332459880985E-2</v>
      </c>
      <c r="P48" s="807">
        <f t="shared" ca="1" si="41"/>
        <v>-4.8155385296730913E-3</v>
      </c>
      <c r="Q48" s="807">
        <f t="shared" ca="1" si="41"/>
        <v>7.1158857879575654E-2</v>
      </c>
      <c r="R48" s="807">
        <f t="shared" ca="1" si="41"/>
        <v>1.4395667964899106E-2</v>
      </c>
      <c r="S48" s="807">
        <f t="shared" ca="1" si="41"/>
        <v>-1.8635670986255182E-2</v>
      </c>
      <c r="T48" s="807">
        <f t="shared" ca="1" si="41"/>
        <v>-2.2383134989188092E-2</v>
      </c>
      <c r="U48" s="807">
        <f t="shared" ca="1" si="41"/>
        <v>-2.2294105765485517E-2</v>
      </c>
      <c r="V48" s="807">
        <f t="shared" ca="1" si="41"/>
        <v>-2.2204605178108516E-2</v>
      </c>
      <c r="W48" s="807">
        <f t="shared" ca="1" si="41"/>
        <v>-2.211464715932665E-2</v>
      </c>
      <c r="X48" s="807">
        <f t="shared" ca="1" si="41"/>
        <v>-2.2024245964442524E-2</v>
      </c>
      <c r="Y48" s="685"/>
      <c r="Z48" s="685"/>
      <c r="AA48" s="685"/>
      <c r="AB48" s="685"/>
      <c r="AC48" s="685"/>
      <c r="AD48" s="685"/>
      <c r="AE48" s="685"/>
      <c r="AF48" s="685"/>
      <c r="AG48" s="685"/>
      <c r="AH48" s="685"/>
      <c r="AI48" s="685"/>
      <c r="AJ48" s="685"/>
      <c r="AK48" s="685"/>
      <c r="AL48" s="685"/>
      <c r="AM48" s="685"/>
      <c r="AN48" s="685"/>
      <c r="AO48" s="685"/>
      <c r="AP48" s="685"/>
      <c r="AQ48" s="685"/>
      <c r="AR48" s="685"/>
      <c r="AS48" s="685"/>
      <c r="AT48" s="685"/>
      <c r="AU48" s="685"/>
      <c r="AV48" s="685"/>
      <c r="AW48" s="685"/>
      <c r="AX48" s="685"/>
      <c r="AY48" s="685"/>
      <c r="AZ48" s="685"/>
    </row>
    <row r="49" spans="1:52">
      <c r="A49" s="685"/>
      <c r="B49" s="992" t="s">
        <v>5246</v>
      </c>
      <c r="C49" s="807"/>
      <c r="D49" s="807"/>
      <c r="E49" s="807"/>
      <c r="F49" s="807"/>
      <c r="G49" s="807"/>
      <c r="H49" s="807"/>
      <c r="I49" s="807"/>
      <c r="J49" s="807"/>
      <c r="K49" s="807"/>
      <c r="L49" s="807"/>
      <c r="M49" s="849">
        <f>0.4*M47</f>
        <v>102.62857142857143</v>
      </c>
      <c r="N49" s="849">
        <f>0.4*N47</f>
        <v>101.79143389199255</v>
      </c>
      <c r="O49" s="849">
        <f ca="1">0.4*O47</f>
        <v>107.78525193523303</v>
      </c>
      <c r="P49" s="849">
        <f t="shared" ref="P49:X49" ca="1" si="42">(1+P50)*O49</f>
        <v>106.7073994158807</v>
      </c>
      <c r="Q49" s="849">
        <f t="shared" ca="1" si="42"/>
        <v>105.6403254217219</v>
      </c>
      <c r="R49" s="849">
        <f t="shared" ca="1" si="42"/>
        <v>104.58392216750468</v>
      </c>
      <c r="S49" s="849">
        <f t="shared" ca="1" si="42"/>
        <v>103.53808294582963</v>
      </c>
      <c r="T49" s="849">
        <f t="shared" ca="1" si="42"/>
        <v>102.50270211637134</v>
      </c>
      <c r="U49" s="849">
        <f t="shared" ca="1" si="42"/>
        <v>101.47767509520763</v>
      </c>
      <c r="V49" s="849">
        <f t="shared" ca="1" si="42"/>
        <v>100.46289834425555</v>
      </c>
      <c r="W49" s="849">
        <f t="shared" ca="1" si="42"/>
        <v>99.458269360812992</v>
      </c>
      <c r="X49" s="849">
        <f t="shared" ca="1" si="42"/>
        <v>98.463686667204854</v>
      </c>
      <c r="Y49" s="685"/>
      <c r="Z49" s="685"/>
      <c r="AA49" s="685"/>
      <c r="AB49" s="685"/>
      <c r="AC49" s="685"/>
      <c r="AD49" s="685"/>
      <c r="AE49" s="685"/>
      <c r="AF49" s="685"/>
      <c r="AG49" s="685"/>
      <c r="AH49" s="685"/>
      <c r="AI49" s="685"/>
      <c r="AJ49" s="685"/>
      <c r="AK49" s="685"/>
      <c r="AL49" s="685"/>
      <c r="AM49" s="685"/>
      <c r="AN49" s="685"/>
      <c r="AO49" s="685"/>
      <c r="AP49" s="685"/>
      <c r="AQ49" s="685"/>
      <c r="AR49" s="685"/>
      <c r="AS49" s="685"/>
      <c r="AT49" s="685"/>
      <c r="AU49" s="685"/>
      <c r="AV49" s="685"/>
      <c r="AW49" s="685"/>
      <c r="AX49" s="685"/>
      <c r="AY49" s="685"/>
      <c r="AZ49" s="685"/>
    </row>
    <row r="50" spans="1:52">
      <c r="A50" s="685"/>
      <c r="B50" s="992"/>
      <c r="C50" s="807"/>
      <c r="D50" s="807"/>
      <c r="E50" s="807"/>
      <c r="F50" s="807"/>
      <c r="G50" s="807"/>
      <c r="H50" s="807"/>
      <c r="I50" s="807"/>
      <c r="J50" s="807"/>
      <c r="K50" s="807"/>
      <c r="L50" s="807"/>
      <c r="M50" s="849"/>
      <c r="N50" s="849">
        <f>N49/M49-1</f>
        <v>-8.1569637472885814E-3</v>
      </c>
      <c r="O50" s="849">
        <f ca="1">O49/N49-1</f>
        <v>5.888332459880985E-2</v>
      </c>
      <c r="P50" s="993">
        <v>-0.01</v>
      </c>
      <c r="Q50" s="993">
        <v>-0.01</v>
      </c>
      <c r="R50" s="993">
        <v>-0.01</v>
      </c>
      <c r="S50" s="993">
        <v>-0.01</v>
      </c>
      <c r="T50" s="993">
        <v>-0.01</v>
      </c>
      <c r="U50" s="993">
        <v>-0.01</v>
      </c>
      <c r="V50" s="993">
        <v>-0.01</v>
      </c>
      <c r="W50" s="993">
        <v>-0.01</v>
      </c>
      <c r="X50" s="993">
        <v>-0.01</v>
      </c>
      <c r="Y50" s="685"/>
      <c r="Z50" s="685"/>
      <c r="AA50" s="685"/>
      <c r="AB50" s="685"/>
      <c r="AC50" s="685"/>
      <c r="AD50" s="685"/>
      <c r="AE50" s="685"/>
      <c r="AF50" s="685"/>
      <c r="AG50" s="685"/>
      <c r="AH50" s="685"/>
      <c r="AI50" s="685"/>
      <c r="AJ50" s="685"/>
      <c r="AK50" s="685"/>
      <c r="AL50" s="685"/>
      <c r="AM50" s="685"/>
      <c r="AN50" s="685"/>
      <c r="AO50" s="685"/>
      <c r="AP50" s="685"/>
      <c r="AQ50" s="685"/>
      <c r="AR50" s="685"/>
      <c r="AS50" s="685"/>
      <c r="AT50" s="685"/>
      <c r="AU50" s="685"/>
      <c r="AV50" s="685"/>
      <c r="AW50" s="685"/>
      <c r="AX50" s="685"/>
      <c r="AY50" s="685"/>
      <c r="AZ50" s="685"/>
    </row>
    <row r="51" spans="1:52">
      <c r="A51" s="685"/>
      <c r="B51" s="992" t="s">
        <v>5247</v>
      </c>
      <c r="C51" s="807"/>
      <c r="D51" s="807"/>
      <c r="E51" s="807"/>
      <c r="F51" s="807"/>
      <c r="G51" s="807"/>
      <c r="H51" s="807"/>
      <c r="I51" s="807"/>
      <c r="J51" s="807"/>
      <c r="K51" s="807"/>
      <c r="L51" s="807"/>
      <c r="M51" s="849">
        <f>M47-M49</f>
        <v>153.94285714285712</v>
      </c>
      <c r="N51" s="849">
        <f>N47-N49</f>
        <v>152.68715083798884</v>
      </c>
      <c r="O51" s="849">
        <f t="shared" ref="O51:X51" ca="1" si="43">O52/O45</f>
        <v>161.67787790284956</v>
      </c>
      <c r="P51" s="849">
        <f t="shared" ca="1" si="43"/>
        <v>161.45812033814028</v>
      </c>
      <c r="Q51" s="849">
        <f t="shared" ca="1" si="43"/>
        <v>181.60754644067802</v>
      </c>
      <c r="R51" s="849">
        <f t="shared" ca="1" si="43"/>
        <v>186.79907468185024</v>
      </c>
      <c r="S51" s="849">
        <f t="shared" ca="1" si="43"/>
        <v>182.41479624325171</v>
      </c>
      <c r="T51" s="849">
        <f t="shared" ca="1" si="43"/>
        <v>177.04965517727376</v>
      </c>
      <c r="U51" s="849">
        <f t="shared" ca="1" si="43"/>
        <v>171.84231237794216</v>
      </c>
      <c r="V51" s="849">
        <f t="shared" ca="1" si="43"/>
        <v>166.78812671976738</v>
      </c>
      <c r="W51" s="849">
        <f t="shared" ca="1" si="43"/>
        <v>161.8825935809507</v>
      </c>
      <c r="X51" s="849">
        <f t="shared" ca="1" si="43"/>
        <v>157.12134082856977</v>
      </c>
      <c r="Y51" s="685"/>
      <c r="Z51" s="685"/>
      <c r="AA51" s="685"/>
      <c r="AB51" s="685"/>
      <c r="AC51" s="685"/>
      <c r="AD51" s="685"/>
      <c r="AE51" s="685"/>
      <c r="AF51" s="685"/>
      <c r="AG51" s="685"/>
      <c r="AH51" s="685"/>
      <c r="AI51" s="685"/>
      <c r="AJ51" s="685"/>
      <c r="AK51" s="685"/>
      <c r="AL51" s="685"/>
      <c r="AM51" s="685"/>
      <c r="AN51" s="685"/>
      <c r="AO51" s="685"/>
      <c r="AP51" s="685"/>
      <c r="AQ51" s="685"/>
      <c r="AR51" s="685"/>
      <c r="AS51" s="685"/>
      <c r="AT51" s="685"/>
      <c r="AU51" s="685"/>
      <c r="AV51" s="685"/>
      <c r="AW51" s="685"/>
      <c r="AX51" s="685"/>
      <c r="AY51" s="685"/>
      <c r="AZ51" s="685"/>
    </row>
    <row r="52" spans="1:52">
      <c r="A52" s="685"/>
      <c r="B52" s="992" t="s">
        <v>5248</v>
      </c>
      <c r="C52" s="807"/>
      <c r="D52" s="807"/>
      <c r="E52" s="807"/>
      <c r="F52" s="807"/>
      <c r="G52" s="807"/>
      <c r="H52" s="807"/>
      <c r="I52" s="807"/>
      <c r="J52" s="807"/>
      <c r="K52" s="807"/>
      <c r="L52" s="807"/>
      <c r="M52" s="849">
        <f>M51*M45</f>
        <v>2963.3999999999996</v>
      </c>
      <c r="N52" s="849">
        <f>N51*N45</f>
        <v>3279.7200000000003</v>
      </c>
      <c r="O52" s="849">
        <f ca="1">O51*O45</f>
        <v>3279.7200000000007</v>
      </c>
      <c r="P52" s="849">
        <f t="shared" ref="P52:X52" ca="1" si="44">(1+P53)*O52</f>
        <v>3246.9228000000007</v>
      </c>
      <c r="Q52" s="849">
        <f t="shared" ca="1" si="44"/>
        <v>3214.4535720000008</v>
      </c>
      <c r="R52" s="849">
        <f t="shared" ca="1" si="44"/>
        <v>3182.3090362800008</v>
      </c>
      <c r="S52" s="849">
        <f t="shared" ca="1" si="44"/>
        <v>3150.4859459172008</v>
      </c>
      <c r="T52" s="849">
        <f t="shared" ca="1" si="44"/>
        <v>3118.9810864580286</v>
      </c>
      <c r="U52" s="849">
        <f t="shared" ca="1" si="44"/>
        <v>3087.7912755934481</v>
      </c>
      <c r="V52" s="849">
        <f t="shared" ca="1" si="44"/>
        <v>3056.9133628375134</v>
      </c>
      <c r="W52" s="849">
        <f t="shared" ca="1" si="44"/>
        <v>3026.3442292091381</v>
      </c>
      <c r="X52" s="849">
        <f t="shared" ca="1" si="44"/>
        <v>2996.0807869170467</v>
      </c>
      <c r="Y52" s="685"/>
      <c r="Z52" s="685"/>
      <c r="AA52" s="685"/>
      <c r="AB52" s="685"/>
      <c r="AC52" s="685"/>
      <c r="AD52" s="685"/>
      <c r="AE52" s="685"/>
      <c r="AF52" s="685"/>
      <c r="AG52" s="685"/>
      <c r="AH52" s="685"/>
      <c r="AI52" s="685"/>
      <c r="AJ52" s="685"/>
      <c r="AK52" s="685"/>
      <c r="AL52" s="685"/>
      <c r="AM52" s="685"/>
      <c r="AN52" s="685"/>
      <c r="AO52" s="685"/>
      <c r="AP52" s="685"/>
      <c r="AQ52" s="685"/>
      <c r="AR52" s="685"/>
      <c r="AS52" s="685"/>
      <c r="AT52" s="685"/>
      <c r="AU52" s="685"/>
      <c r="AV52" s="685"/>
      <c r="AW52" s="685"/>
      <c r="AX52" s="685"/>
      <c r="AY52" s="685"/>
      <c r="AZ52" s="685"/>
    </row>
    <row r="53" spans="1:52">
      <c r="A53" s="685"/>
      <c r="B53" s="992"/>
      <c r="C53" s="807"/>
      <c r="D53" s="807"/>
      <c r="E53" s="807"/>
      <c r="F53" s="807"/>
      <c r="G53" s="807"/>
      <c r="H53" s="807"/>
      <c r="I53" s="807"/>
      <c r="J53" s="807"/>
      <c r="K53" s="807"/>
      <c r="L53" s="807"/>
      <c r="M53" s="849"/>
      <c r="N53" s="849">
        <f>N52/M52-1</f>
        <v>0.10674225551731142</v>
      </c>
      <c r="O53" s="849">
        <f ca="1">O52/N52-1</f>
        <v>0</v>
      </c>
      <c r="P53" s="993">
        <v>-0.01</v>
      </c>
      <c r="Q53" s="993">
        <v>-0.01</v>
      </c>
      <c r="R53" s="993">
        <v>-0.01</v>
      </c>
      <c r="S53" s="993">
        <v>-0.01</v>
      </c>
      <c r="T53" s="993">
        <v>-0.01</v>
      </c>
      <c r="U53" s="993">
        <v>-0.01</v>
      </c>
      <c r="V53" s="993">
        <v>-0.01</v>
      </c>
      <c r="W53" s="993">
        <v>-0.01</v>
      </c>
      <c r="X53" s="993">
        <v>-0.01</v>
      </c>
      <c r="Y53" s="685"/>
      <c r="Z53" s="685"/>
      <c r="AA53" s="685"/>
      <c r="AB53" s="685"/>
      <c r="AC53" s="685"/>
      <c r="AD53" s="685"/>
      <c r="AE53" s="685"/>
      <c r="AF53" s="685"/>
      <c r="AG53" s="685"/>
      <c r="AH53" s="685"/>
      <c r="AI53" s="685"/>
      <c r="AJ53" s="685"/>
      <c r="AK53" s="685"/>
      <c r="AL53" s="685"/>
      <c r="AM53" s="685"/>
      <c r="AN53" s="685"/>
      <c r="AO53" s="685"/>
      <c r="AP53" s="685"/>
      <c r="AQ53" s="685"/>
      <c r="AR53" s="685"/>
      <c r="AS53" s="685"/>
      <c r="AT53" s="685"/>
      <c r="AU53" s="685"/>
      <c r="AV53" s="685"/>
      <c r="AW53" s="685"/>
      <c r="AX53" s="685"/>
      <c r="AY53" s="685"/>
      <c r="AZ53" s="685"/>
    </row>
    <row r="54" spans="1:52">
      <c r="A54" s="685"/>
      <c r="B54" s="992"/>
      <c r="C54" s="807"/>
      <c r="D54" s="807"/>
      <c r="E54" s="807"/>
      <c r="F54" s="807"/>
      <c r="G54" s="807"/>
      <c r="H54" s="807"/>
      <c r="I54" s="807"/>
      <c r="J54" s="807"/>
      <c r="K54" s="807"/>
      <c r="L54" s="807"/>
      <c r="M54" s="849"/>
      <c r="N54" s="849"/>
      <c r="O54" s="849"/>
      <c r="P54" s="849"/>
      <c r="Q54" s="849"/>
      <c r="R54" s="849"/>
      <c r="S54" s="849"/>
      <c r="T54" s="849"/>
      <c r="U54" s="849"/>
      <c r="V54" s="849"/>
      <c r="W54" s="849"/>
      <c r="X54" s="849"/>
      <c r="Y54" s="685"/>
      <c r="Z54" s="685"/>
      <c r="AA54" s="685"/>
      <c r="AB54" s="685"/>
      <c r="AC54" s="685"/>
      <c r="AD54" s="685"/>
      <c r="AE54" s="685"/>
      <c r="AF54" s="685"/>
      <c r="AG54" s="685"/>
      <c r="AH54" s="685"/>
      <c r="AI54" s="685"/>
      <c r="AJ54" s="685"/>
      <c r="AK54" s="685"/>
      <c r="AL54" s="685"/>
      <c r="AM54" s="685"/>
      <c r="AN54" s="685"/>
      <c r="AO54" s="685"/>
      <c r="AP54" s="685"/>
      <c r="AQ54" s="685"/>
      <c r="AR54" s="685"/>
      <c r="AS54" s="685"/>
      <c r="AT54" s="685"/>
      <c r="AU54" s="685"/>
      <c r="AV54" s="685"/>
      <c r="AW54" s="685"/>
      <c r="AX54" s="685"/>
      <c r="AY54" s="685"/>
      <c r="AZ54" s="685"/>
    </row>
    <row r="55" spans="1:52">
      <c r="A55" s="685" t="s">
        <v>84</v>
      </c>
      <c r="B55" s="685" t="s">
        <v>1495</v>
      </c>
      <c r="C55" s="1032">
        <v>1.96</v>
      </c>
      <c r="D55" s="1032">
        <v>1.96</v>
      </c>
      <c r="E55" s="1032">
        <v>1.96</v>
      </c>
      <c r="F55" s="1032">
        <v>1.96</v>
      </c>
      <c r="G55" s="1032">
        <f>G47/G56/12</f>
        <v>1.8816976088828143</v>
      </c>
      <c r="H55" s="1032">
        <f>H47/H56/12</f>
        <v>1.4370877745448738</v>
      </c>
      <c r="I55" s="1031">
        <f t="shared" ref="I55:X55" si="45">H55</f>
        <v>1.4370877745448738</v>
      </c>
      <c r="J55" s="1031">
        <f t="shared" si="45"/>
        <v>1.4370877745448738</v>
      </c>
      <c r="K55" s="1031">
        <f t="shared" si="45"/>
        <v>1.4370877745448738</v>
      </c>
      <c r="L55" s="1031">
        <f t="shared" si="45"/>
        <v>1.4370877745448738</v>
      </c>
      <c r="M55" s="1031">
        <f t="shared" si="45"/>
        <v>1.4370877745448738</v>
      </c>
      <c r="N55" s="1031">
        <f t="shared" si="45"/>
        <v>1.4370877745448738</v>
      </c>
      <c r="O55" s="1031">
        <f t="shared" si="45"/>
        <v>1.4370877745448738</v>
      </c>
      <c r="P55" s="1031">
        <f t="shared" si="45"/>
        <v>1.4370877745448738</v>
      </c>
      <c r="Q55" s="1031">
        <f t="shared" si="45"/>
        <v>1.4370877745448738</v>
      </c>
      <c r="R55" s="1031">
        <f t="shared" si="45"/>
        <v>1.4370877745448738</v>
      </c>
      <c r="S55" s="1031">
        <f t="shared" si="45"/>
        <v>1.4370877745448738</v>
      </c>
      <c r="T55" s="1031">
        <f t="shared" si="45"/>
        <v>1.4370877745448738</v>
      </c>
      <c r="U55" s="1031">
        <f t="shared" si="45"/>
        <v>1.4370877745448738</v>
      </c>
      <c r="V55" s="1031">
        <f t="shared" si="45"/>
        <v>1.4370877745448738</v>
      </c>
      <c r="W55" s="1031">
        <f t="shared" si="45"/>
        <v>1.4370877745448738</v>
      </c>
      <c r="X55" s="1031">
        <f t="shared" si="45"/>
        <v>1.4370877745448738</v>
      </c>
      <c r="Y55" s="685"/>
      <c r="Z55" s="685"/>
      <c r="AA55" s="685"/>
      <c r="AB55" s="685"/>
      <c r="AC55" s="685"/>
      <c r="AD55" s="685"/>
      <c r="AE55" s="685"/>
      <c r="AF55" s="685"/>
      <c r="AG55" s="685"/>
      <c r="AH55" s="685"/>
      <c r="AI55" s="685"/>
      <c r="AJ55" s="685"/>
      <c r="AK55" s="685"/>
      <c r="AL55" s="685"/>
      <c r="AM55" s="685"/>
      <c r="AN55" s="685"/>
      <c r="AO55" s="685"/>
      <c r="AP55" s="685"/>
      <c r="AQ55" s="685"/>
      <c r="AR55" s="685"/>
      <c r="AS55" s="685"/>
      <c r="AT55" s="685"/>
      <c r="AU55" s="685"/>
      <c r="AV55" s="685"/>
      <c r="AW55" s="685"/>
      <c r="AX55" s="685"/>
      <c r="AY55" s="685"/>
      <c r="AZ55" s="685"/>
    </row>
    <row r="56" spans="1:52">
      <c r="A56" s="685"/>
      <c r="B56" s="685" t="s">
        <v>1496</v>
      </c>
      <c r="C56" s="808">
        <f>C47/(C55*12)</f>
        <v>6.9318468127991943</v>
      </c>
      <c r="D56" s="808">
        <f>D47/(D55*12)</f>
        <v>8.0085478371871304</v>
      </c>
      <c r="E56" s="808">
        <f>E47/(E55*12)</f>
        <v>8.8547476868560935</v>
      </c>
      <c r="F56" s="808">
        <f>F47/(F55*12)</f>
        <v>10.30358952091475</v>
      </c>
      <c r="G56" s="1157">
        <f>F56*1.1</f>
        <v>11.333948473006226</v>
      </c>
      <c r="H56" s="1157">
        <f>G56*1.1</f>
        <v>12.467343320306849</v>
      </c>
      <c r="I56" s="1157">
        <f>H56*1.075</f>
        <v>13.402394069329862</v>
      </c>
      <c r="J56" s="808">
        <f t="shared" ref="J56:S56" si="46">J47/(J55*12)</f>
        <v>13.533423840361708</v>
      </c>
      <c r="K56" s="808">
        <f t="shared" si="46"/>
        <v>12.450468609278994</v>
      </c>
      <c r="L56" s="808">
        <f t="shared" si="46"/>
        <v>14.582762673175585</v>
      </c>
      <c r="M56" s="808">
        <f t="shared" si="46"/>
        <v>14.877972493867839</v>
      </c>
      <c r="N56" s="808">
        <f t="shared" si="46"/>
        <v>14.756613411602203</v>
      </c>
      <c r="O56" s="808">
        <f t="shared" ca="1" si="46"/>
        <v>15.625531869096724</v>
      </c>
      <c r="P56" s="808">
        <f t="shared" ca="1" si="46"/>
        <v>15.550286518334454</v>
      </c>
      <c r="Q56" s="808">
        <f t="shared" ca="1" si="46"/>
        <v>16.656827146679298</v>
      </c>
      <c r="R56" s="808">
        <f t="shared" ca="1" si="46"/>
        <v>16.896613299631611</v>
      </c>
      <c r="S56" s="808">
        <f t="shared" ca="1" si="46"/>
        <v>16.581733573397695</v>
      </c>
      <c r="T56" s="808">
        <f ca="1">T47/(T55*12)</f>
        <v>16.210582392469579</v>
      </c>
      <c r="U56" s="808">
        <f ca="1">U47/(U55*12)</f>
        <v>15.849181954091748</v>
      </c>
      <c r="V56" s="808">
        <f ca="1">V47/(V55*12)</f>
        <v>15.497257126405136</v>
      </c>
      <c r="W56" s="808">
        <f ca="1">W47/(W55*12)</f>
        <v>15.154540753117326</v>
      </c>
      <c r="X56" s="808">
        <f ca="1">X47/(X55*12)</f>
        <v>14.820773420092502</v>
      </c>
      <c r="Y56" s="685"/>
      <c r="Z56" s="685"/>
      <c r="AA56" s="685"/>
      <c r="AB56" s="685"/>
      <c r="AC56" s="685"/>
      <c r="AD56" s="685"/>
      <c r="AE56" s="685"/>
      <c r="AF56" s="685"/>
      <c r="AG56" s="685"/>
      <c r="AH56" s="685"/>
      <c r="AI56" s="685"/>
      <c r="AJ56" s="685"/>
      <c r="AK56" s="685"/>
      <c r="AL56" s="685"/>
      <c r="AM56" s="685"/>
      <c r="AN56" s="685"/>
      <c r="AO56" s="685"/>
      <c r="AP56" s="685"/>
      <c r="AQ56" s="685"/>
      <c r="AR56" s="685"/>
      <c r="AS56" s="685"/>
      <c r="AT56" s="685"/>
      <c r="AU56" s="685"/>
      <c r="AV56" s="685"/>
      <c r="AW56" s="685"/>
      <c r="AX56" s="685"/>
      <c r="AY56" s="685"/>
      <c r="AZ56" s="685"/>
    </row>
    <row r="57" spans="1:52">
      <c r="A57" s="685"/>
      <c r="B57" s="685"/>
      <c r="C57" s="685"/>
      <c r="D57" s="685"/>
      <c r="E57" s="685"/>
      <c r="F57" s="685"/>
      <c r="G57" s="685"/>
      <c r="H57" s="807"/>
      <c r="I57" s="685"/>
      <c r="J57" s="685"/>
      <c r="K57" s="685"/>
      <c r="L57" s="807"/>
      <c r="M57" s="685"/>
      <c r="N57" s="685"/>
      <c r="O57" s="685"/>
      <c r="P57" s="685"/>
      <c r="Q57" s="685"/>
      <c r="R57" s="685"/>
      <c r="S57" s="685"/>
      <c r="T57" s="685"/>
      <c r="U57" s="685"/>
      <c r="V57" s="685"/>
      <c r="W57" s="685"/>
      <c r="X57" s="685"/>
      <c r="Y57" s="685"/>
      <c r="Z57" s="685"/>
      <c r="AA57" s="685"/>
      <c r="AB57" s="685"/>
      <c r="AC57" s="685"/>
      <c r="AD57" s="685"/>
      <c r="AE57" s="685"/>
      <c r="AF57" s="685"/>
      <c r="AG57" s="685"/>
      <c r="AH57" s="685"/>
      <c r="AI57" s="685"/>
      <c r="AJ57" s="685"/>
      <c r="AK57" s="685"/>
      <c r="AL57" s="685"/>
      <c r="AM57" s="685"/>
      <c r="AN57" s="685"/>
      <c r="AO57" s="685"/>
      <c r="AP57" s="685"/>
      <c r="AQ57" s="685"/>
      <c r="AR57" s="685"/>
      <c r="AS57" s="685"/>
      <c r="AT57" s="685"/>
      <c r="AU57" s="685"/>
      <c r="AV57" s="685"/>
      <c r="AW57" s="685"/>
      <c r="AX57" s="685"/>
      <c r="AY57" s="685"/>
      <c r="AZ57" s="685"/>
    </row>
    <row r="58" spans="1:52">
      <c r="A58" s="685"/>
      <c r="B58" s="685" t="s">
        <v>652</v>
      </c>
      <c r="C58" s="808"/>
      <c r="D58" s="849">
        <f>Univision!C143</f>
        <v>174.42509759999996</v>
      </c>
      <c r="E58" s="849">
        <f>Univision!D143</f>
        <v>225.16240907562798</v>
      </c>
      <c r="F58" s="1002">
        <v>247.6</v>
      </c>
      <c r="G58" s="1002">
        <v>273.2</v>
      </c>
      <c r="H58" s="1002">
        <v>313.7</v>
      </c>
      <c r="I58" s="1002">
        <v>311.5</v>
      </c>
      <c r="J58" s="1002">
        <v>324.60000000000002</v>
      </c>
      <c r="K58" s="1002">
        <v>313.89999999999998</v>
      </c>
      <c r="L58" s="1002">
        <v>383.6</v>
      </c>
      <c r="M58" s="1002">
        <v>389.1</v>
      </c>
      <c r="N58" s="1002">
        <v>379.5</v>
      </c>
      <c r="O58" s="1002">
        <v>417.8</v>
      </c>
      <c r="P58" s="849">
        <f>Univision!O143</f>
        <v>471.90581778548534</v>
      </c>
      <c r="Q58" s="849">
        <f>Univision!P143</f>
        <v>497.16760867475961</v>
      </c>
      <c r="R58" s="849">
        <f>Univision!Q143</f>
        <v>513.08253693500251</v>
      </c>
      <c r="S58" s="849">
        <f>Univision!R143</f>
        <v>524.01078767370257</v>
      </c>
      <c r="T58" s="849">
        <f>Univision!S143</f>
        <v>0</v>
      </c>
      <c r="U58" s="849">
        <f>Univision!T143</f>
        <v>0</v>
      </c>
      <c r="V58" s="849">
        <f>Univision!U143</f>
        <v>0</v>
      </c>
      <c r="W58" s="849">
        <f>Univision!V143</f>
        <v>0</v>
      </c>
      <c r="X58" s="849">
        <f>Univision!W143</f>
        <v>0</v>
      </c>
      <c r="Y58" s="849"/>
      <c r="Z58" s="849">
        <f>Univision!O143</f>
        <v>471.90581778548534</v>
      </c>
      <c r="AA58" s="849">
        <f>Univision!P143</f>
        <v>497.16760867475961</v>
      </c>
      <c r="AB58" s="849">
        <f>Univision!Q143</f>
        <v>513.08253693500251</v>
      </c>
      <c r="AC58" s="849">
        <f>Univision!R143</f>
        <v>524.01078767370257</v>
      </c>
      <c r="AD58" s="685"/>
      <c r="AE58" s="685"/>
      <c r="AF58" s="685"/>
      <c r="AG58" s="685"/>
      <c r="AH58" s="685"/>
      <c r="AI58" s="685"/>
      <c r="AJ58" s="685"/>
      <c r="AK58" s="685"/>
      <c r="AL58" s="685"/>
      <c r="AM58" s="685"/>
      <c r="AN58" s="685"/>
      <c r="AO58" s="685"/>
      <c r="AP58" s="685"/>
      <c r="AQ58" s="685"/>
      <c r="AR58" s="685"/>
      <c r="AS58" s="685"/>
      <c r="AT58" s="685"/>
      <c r="AU58" s="685"/>
      <c r="AV58" s="685"/>
      <c r="AW58" s="685"/>
      <c r="AX58" s="685"/>
      <c r="AY58" s="685"/>
      <c r="AZ58" s="685"/>
    </row>
    <row r="59" spans="1:52">
      <c r="A59" s="685"/>
      <c r="B59" s="685" t="s">
        <v>44</v>
      </c>
      <c r="C59" s="808"/>
      <c r="D59" s="849">
        <f t="shared" ref="D59:J59" si="47">D61-D58</f>
        <v>150.91140279588285</v>
      </c>
      <c r="E59" s="849">
        <f t="shared" si="47"/>
        <v>167.8199060369123</v>
      </c>
      <c r="F59" s="849">
        <f t="shared" si="47"/>
        <v>190.00638297872339</v>
      </c>
      <c r="G59" s="849">
        <f t="shared" si="47"/>
        <v>172.68557993730411</v>
      </c>
      <c r="H59" s="849">
        <f t="shared" si="47"/>
        <v>178.26093163035313</v>
      </c>
      <c r="I59" s="849">
        <f t="shared" si="47"/>
        <v>174.1899810964083</v>
      </c>
      <c r="J59" s="849">
        <f t="shared" si="47"/>
        <v>156.25941644562334</v>
      </c>
      <c r="K59" s="849">
        <f>K61-K58</f>
        <v>173.93068783068787</v>
      </c>
      <c r="L59" s="849">
        <f>L61-L58</f>
        <v>162.94545454545448</v>
      </c>
      <c r="M59" s="849">
        <f>M61-M58</f>
        <v>153.02987012987012</v>
      </c>
      <c r="N59" s="849">
        <f>N61-N58</f>
        <v>123.15363128491617</v>
      </c>
      <c r="O59" s="849">
        <f>O61-O58</f>
        <v>143.63985438493029</v>
      </c>
      <c r="P59" s="849">
        <f t="shared" ref="P59:X59" si="48">(1+P60)*O59</f>
        <v>143.63985438493029</v>
      </c>
      <c r="Q59" s="849">
        <f t="shared" si="48"/>
        <v>143.63985438493029</v>
      </c>
      <c r="R59" s="849">
        <f t="shared" si="48"/>
        <v>143.63985438493029</v>
      </c>
      <c r="S59" s="849">
        <f t="shared" si="48"/>
        <v>143.63985438493029</v>
      </c>
      <c r="T59" s="849">
        <f t="shared" si="48"/>
        <v>143.63985438493029</v>
      </c>
      <c r="U59" s="849">
        <f t="shared" si="48"/>
        <v>143.63985438493029</v>
      </c>
      <c r="V59" s="849">
        <f t="shared" si="48"/>
        <v>143.63985438493029</v>
      </c>
      <c r="W59" s="849">
        <f t="shared" si="48"/>
        <v>143.63985438493029</v>
      </c>
      <c r="X59" s="849">
        <f t="shared" si="48"/>
        <v>143.63985438493029</v>
      </c>
      <c r="Y59" s="685"/>
      <c r="Z59" s="685"/>
      <c r="AA59" s="685"/>
      <c r="AB59" s="685"/>
      <c r="AC59" s="685"/>
      <c r="AD59" s="685"/>
      <c r="AE59" s="685"/>
      <c r="AF59" s="685"/>
      <c r="AG59" s="685"/>
      <c r="AH59" s="685"/>
      <c r="AI59" s="685"/>
      <c r="AJ59" s="685"/>
      <c r="AK59" s="685"/>
      <c r="AL59" s="685"/>
      <c r="AM59" s="685"/>
      <c r="AN59" s="685"/>
      <c r="AO59" s="685"/>
      <c r="AP59" s="685"/>
      <c r="AQ59" s="685"/>
      <c r="AR59" s="685"/>
      <c r="AS59" s="685"/>
      <c r="AT59" s="685"/>
      <c r="AU59" s="685"/>
      <c r="AV59" s="685"/>
      <c r="AW59" s="685"/>
      <c r="AX59" s="685"/>
      <c r="AY59" s="685"/>
      <c r="AZ59" s="685"/>
    </row>
    <row r="60" spans="1:52">
      <c r="A60" s="685"/>
      <c r="B60" s="743" t="s">
        <v>181</v>
      </c>
      <c r="C60" s="926"/>
      <c r="D60" s="995"/>
      <c r="E60" s="910">
        <f t="shared" ref="E60:O60" si="49">E59/D59-1</f>
        <v>0.11204258212283169</v>
      </c>
      <c r="F60" s="910">
        <f t="shared" si="49"/>
        <v>0.13220408392393646</v>
      </c>
      <c r="G60" s="910">
        <f t="shared" si="49"/>
        <v>-9.1159058816244309E-2</v>
      </c>
      <c r="H60" s="910">
        <f t="shared" si="49"/>
        <v>3.2286145114567288E-2</v>
      </c>
      <c r="I60" s="910">
        <f t="shared" si="49"/>
        <v>-2.2837031629490578E-2</v>
      </c>
      <c r="J60" s="910">
        <f t="shared" si="49"/>
        <v>-0.10293683102738838</v>
      </c>
      <c r="K60" s="910">
        <f t="shared" si="49"/>
        <v>0.11308932150795492</v>
      </c>
      <c r="L60" s="910">
        <f t="shared" si="49"/>
        <v>-6.3158683624173984E-2</v>
      </c>
      <c r="M60" s="910">
        <f t="shared" si="49"/>
        <v>-6.085216947747607E-2</v>
      </c>
      <c r="N60" s="910">
        <f t="shared" si="49"/>
        <v>-0.19523141998094373</v>
      </c>
      <c r="O60" s="910">
        <f t="shared" si="49"/>
        <v>0.16634688629374805</v>
      </c>
      <c r="P60" s="1158">
        <v>0</v>
      </c>
      <c r="Q60" s="1158">
        <v>0</v>
      </c>
      <c r="R60" s="1158">
        <v>0</v>
      </c>
      <c r="S60" s="1158">
        <v>0</v>
      </c>
      <c r="T60" s="1158">
        <v>0</v>
      </c>
      <c r="U60" s="1158">
        <v>0</v>
      </c>
      <c r="V60" s="1158">
        <v>0</v>
      </c>
      <c r="W60" s="1158">
        <v>0</v>
      </c>
      <c r="X60" s="1158">
        <v>0</v>
      </c>
      <c r="Y60" s="685"/>
      <c r="Z60" s="685"/>
      <c r="AA60" s="685"/>
      <c r="AB60" s="685"/>
      <c r="AC60" s="685"/>
      <c r="AD60" s="685"/>
      <c r="AE60" s="685"/>
      <c r="AF60" s="685"/>
      <c r="AG60" s="685"/>
      <c r="AH60" s="685"/>
      <c r="AI60" s="685"/>
      <c r="AJ60" s="685"/>
      <c r="AK60" s="685"/>
      <c r="AL60" s="685"/>
      <c r="AM60" s="685"/>
      <c r="AN60" s="685"/>
      <c r="AO60" s="685"/>
      <c r="AP60" s="685"/>
      <c r="AQ60" s="685"/>
      <c r="AR60" s="685"/>
      <c r="AS60" s="685"/>
      <c r="AT60" s="685"/>
      <c r="AU60" s="685"/>
      <c r="AV60" s="685"/>
      <c r="AW60" s="685"/>
      <c r="AX60" s="685"/>
      <c r="AY60" s="685"/>
      <c r="AZ60" s="685"/>
    </row>
    <row r="61" spans="1:52">
      <c r="A61" s="685"/>
      <c r="B61" s="685" t="s">
        <v>647</v>
      </c>
      <c r="C61" s="849">
        <f t="shared" ref="C61:L61" si="50">C17/C45</f>
        <v>282.14814814814815</v>
      </c>
      <c r="D61" s="849">
        <f t="shared" si="50"/>
        <v>325.33650039588281</v>
      </c>
      <c r="E61" s="849">
        <f t="shared" si="50"/>
        <v>392.98231511254028</v>
      </c>
      <c r="F61" s="849">
        <f t="shared" si="50"/>
        <v>437.60638297872339</v>
      </c>
      <c r="G61" s="849">
        <f t="shared" si="50"/>
        <v>445.8855799373041</v>
      </c>
      <c r="H61" s="849">
        <f t="shared" si="50"/>
        <v>491.96093163035312</v>
      </c>
      <c r="I61" s="849">
        <f t="shared" si="50"/>
        <v>485.6899810964083</v>
      </c>
      <c r="J61" s="849">
        <f t="shared" si="50"/>
        <v>480.85941644562337</v>
      </c>
      <c r="K61" s="849">
        <f t="shared" si="50"/>
        <v>487.83068783068785</v>
      </c>
      <c r="L61" s="849">
        <f t="shared" si="50"/>
        <v>546.5454545454545</v>
      </c>
      <c r="M61" s="849">
        <f>M17/M45</f>
        <v>542.12987012987014</v>
      </c>
      <c r="N61" s="849">
        <f>N17/N45</f>
        <v>502.65363128491617</v>
      </c>
      <c r="O61" s="849">
        <f>O17/O45</f>
        <v>561.4398543849303</v>
      </c>
      <c r="P61" s="849">
        <f t="shared" ref="P61:X61" si="51">P58+P59</f>
        <v>615.54567217041563</v>
      </c>
      <c r="Q61" s="849">
        <f t="shared" si="51"/>
        <v>640.80746305968989</v>
      </c>
      <c r="R61" s="849">
        <f t="shared" si="51"/>
        <v>656.72239131993274</v>
      </c>
      <c r="S61" s="849">
        <f t="shared" si="51"/>
        <v>667.65064205863291</v>
      </c>
      <c r="T61" s="849">
        <f t="shared" si="51"/>
        <v>143.63985438493029</v>
      </c>
      <c r="U61" s="849">
        <f t="shared" si="51"/>
        <v>143.63985438493029</v>
      </c>
      <c r="V61" s="849">
        <f t="shared" si="51"/>
        <v>143.63985438493029</v>
      </c>
      <c r="W61" s="849">
        <f t="shared" si="51"/>
        <v>143.63985438493029</v>
      </c>
      <c r="X61" s="849">
        <f t="shared" si="51"/>
        <v>143.63985438493029</v>
      </c>
      <c r="Y61" s="685"/>
      <c r="Z61" s="685"/>
      <c r="AA61" s="685"/>
      <c r="AB61" s="685"/>
      <c r="AC61" s="685"/>
      <c r="AD61" s="685"/>
      <c r="AE61" s="685"/>
      <c r="AF61" s="685"/>
      <c r="AG61" s="685"/>
      <c r="AH61" s="685"/>
      <c r="AI61" s="685"/>
      <c r="AJ61" s="685"/>
      <c r="AK61" s="685"/>
      <c r="AL61" s="685"/>
      <c r="AM61" s="685"/>
      <c r="AN61" s="685"/>
      <c r="AO61" s="685"/>
      <c r="AP61" s="685"/>
      <c r="AQ61" s="685"/>
      <c r="AR61" s="685"/>
      <c r="AS61" s="685"/>
      <c r="AT61" s="685"/>
      <c r="AU61" s="685"/>
      <c r="AV61" s="685"/>
      <c r="AW61" s="685"/>
      <c r="AX61" s="685"/>
      <c r="AY61" s="685"/>
      <c r="AZ61" s="685"/>
    </row>
    <row r="62" spans="1:52">
      <c r="A62" s="685"/>
      <c r="B62" s="685" t="s">
        <v>181</v>
      </c>
      <c r="C62" s="807"/>
      <c r="D62" s="807">
        <f>D61/C61-1</f>
        <v>0.15306977037133573</v>
      </c>
      <c r="E62" s="807">
        <f>E61/D61-1</f>
        <v>0.20792568505022735</v>
      </c>
      <c r="F62" s="807">
        <f t="shared" ref="F62:X62" si="52">F61/E61-1</f>
        <v>0.11355235630235394</v>
      </c>
      <c r="G62" s="807">
        <f t="shared" si="52"/>
        <v>1.8919278330049583E-2</v>
      </c>
      <c r="H62" s="807">
        <f t="shared" si="52"/>
        <v>0.10333447360986114</v>
      </c>
      <c r="I62" s="807">
        <f t="shared" si="52"/>
        <v>-1.2746846610691143E-2</v>
      </c>
      <c r="J62" s="807">
        <f t="shared" si="52"/>
        <v>-9.9457778393540197E-3</v>
      </c>
      <c r="K62" s="807">
        <f t="shared" si="52"/>
        <v>1.4497524945220164E-2</v>
      </c>
      <c r="L62" s="807">
        <f t="shared" si="52"/>
        <v>0.12035890356931556</v>
      </c>
      <c r="M62" s="807">
        <f t="shared" si="52"/>
        <v>-8.0790799353672726E-3</v>
      </c>
      <c r="N62" s="807">
        <f t="shared" si="52"/>
        <v>-7.2816941142714087E-2</v>
      </c>
      <c r="O62" s="807">
        <f t="shared" si="52"/>
        <v>0.11695175254128953</v>
      </c>
      <c r="P62" s="807">
        <f t="shared" si="52"/>
        <v>9.6369748892799034E-2</v>
      </c>
      <c r="Q62" s="807">
        <f t="shared" si="52"/>
        <v>4.1039669404548285E-2</v>
      </c>
      <c r="R62" s="807">
        <f t="shared" si="52"/>
        <v>2.4835741119888288E-2</v>
      </c>
      <c r="S62" s="807">
        <f t="shared" si="52"/>
        <v>1.6640594082281357E-2</v>
      </c>
      <c r="T62" s="807">
        <f t="shared" si="52"/>
        <v>-0.78485776042687327</v>
      </c>
      <c r="U62" s="807">
        <f t="shared" si="52"/>
        <v>0</v>
      </c>
      <c r="V62" s="807">
        <f t="shared" si="52"/>
        <v>0</v>
      </c>
      <c r="W62" s="807">
        <f t="shared" si="52"/>
        <v>0</v>
      </c>
      <c r="X62" s="807">
        <f t="shared" si="52"/>
        <v>0</v>
      </c>
      <c r="Y62" s="685"/>
      <c r="Z62" s="685"/>
      <c r="AA62" s="685"/>
      <c r="AB62" s="685"/>
      <c r="AC62" s="685"/>
      <c r="AD62" s="685"/>
      <c r="AE62" s="685"/>
      <c r="AF62" s="685"/>
      <c r="AG62" s="685"/>
      <c r="AH62" s="685"/>
      <c r="AI62" s="685"/>
      <c r="AJ62" s="685"/>
      <c r="AK62" s="685"/>
      <c r="AL62" s="685"/>
      <c r="AM62" s="685"/>
      <c r="AN62" s="685"/>
      <c r="AO62" s="685"/>
      <c r="AP62" s="685"/>
      <c r="AQ62" s="685"/>
      <c r="AR62" s="685"/>
      <c r="AS62" s="685"/>
      <c r="AT62" s="685"/>
      <c r="AU62" s="685"/>
      <c r="AV62" s="685"/>
      <c r="AW62" s="685"/>
      <c r="AX62" s="685"/>
      <c r="AY62" s="685"/>
      <c r="AZ62" s="685"/>
    </row>
    <row r="63" spans="1:52">
      <c r="A63" s="685"/>
      <c r="B63" s="685"/>
      <c r="C63" s="685"/>
      <c r="D63" s="685"/>
      <c r="E63" s="685"/>
      <c r="F63" s="685"/>
      <c r="G63" s="685"/>
      <c r="H63" s="685"/>
      <c r="I63" s="685"/>
      <c r="J63" s="685"/>
      <c r="K63" s="685"/>
      <c r="L63" s="685"/>
      <c r="M63" s="685"/>
      <c r="N63" s="685"/>
      <c r="O63" s="685"/>
      <c r="P63" s="685"/>
      <c r="Q63" s="685"/>
      <c r="R63" s="685"/>
      <c r="S63" s="685"/>
      <c r="T63" s="685"/>
      <c r="U63" s="685"/>
      <c r="V63" s="685"/>
      <c r="W63" s="685"/>
      <c r="X63" s="685"/>
      <c r="Y63" s="685"/>
      <c r="Z63" s="685"/>
      <c r="AA63" s="685"/>
      <c r="AB63" s="685"/>
      <c r="AC63" s="685"/>
      <c r="AD63" s="685"/>
      <c r="AE63" s="685"/>
      <c r="AF63" s="685"/>
      <c r="AG63" s="685"/>
      <c r="AH63" s="685"/>
      <c r="AI63" s="685"/>
      <c r="AJ63" s="685"/>
      <c r="AK63" s="685"/>
      <c r="AL63" s="685"/>
      <c r="AM63" s="685"/>
      <c r="AN63" s="685"/>
      <c r="AO63" s="685"/>
      <c r="AP63" s="685"/>
      <c r="AQ63" s="685"/>
      <c r="AR63" s="685"/>
      <c r="AS63" s="685"/>
      <c r="AT63" s="685"/>
      <c r="AU63" s="685"/>
      <c r="AV63" s="685"/>
      <c r="AW63" s="685"/>
      <c r="AX63" s="685"/>
      <c r="AY63" s="685"/>
      <c r="AZ63" s="685"/>
    </row>
    <row r="64" spans="1:52">
      <c r="A64" s="685"/>
      <c r="B64" s="685"/>
      <c r="C64" s="685"/>
      <c r="D64" s="685"/>
      <c r="E64" s="685"/>
      <c r="F64" s="685"/>
      <c r="G64" s="685"/>
      <c r="H64" s="807">
        <f>H63/Master!M5</f>
        <v>0</v>
      </c>
      <c r="I64" s="685"/>
      <c r="J64" s="685">
        <f>J58*J45</f>
        <v>6118.7100000000009</v>
      </c>
      <c r="K64" s="685"/>
      <c r="L64" s="685"/>
      <c r="M64" s="685"/>
      <c r="N64" s="685"/>
      <c r="O64" s="685"/>
      <c r="P64" s="685"/>
      <c r="Q64" s="685"/>
      <c r="R64" s="685"/>
      <c r="S64" s="685"/>
      <c r="T64" s="685"/>
      <c r="U64" s="685"/>
      <c r="V64" s="685"/>
      <c r="W64" s="685"/>
      <c r="X64" s="685"/>
      <c r="Y64" s="685"/>
      <c r="Z64" s="685"/>
      <c r="AA64" s="685"/>
      <c r="AB64" s="685"/>
      <c r="AC64" s="685"/>
      <c r="AD64" s="685"/>
      <c r="AE64" s="685"/>
      <c r="AF64" s="685"/>
      <c r="AG64" s="685"/>
      <c r="AH64" s="685"/>
      <c r="AI64" s="685"/>
      <c r="AJ64" s="685"/>
      <c r="AK64" s="685"/>
      <c r="AL64" s="685"/>
      <c r="AM64" s="685"/>
      <c r="AN64" s="685"/>
      <c r="AO64" s="685"/>
      <c r="AP64" s="685"/>
      <c r="AQ64" s="685"/>
      <c r="AR64" s="685"/>
      <c r="AS64" s="685"/>
      <c r="AT64" s="685"/>
      <c r="AU64" s="685"/>
      <c r="AV64" s="685"/>
      <c r="AW64" s="685"/>
      <c r="AX64" s="685"/>
      <c r="AY64" s="685"/>
      <c r="AZ64" s="685"/>
    </row>
    <row r="65" spans="1:52">
      <c r="A65" s="685"/>
      <c r="B65" s="685" t="s">
        <v>654</v>
      </c>
      <c r="C65" s="685"/>
      <c r="D65" s="685"/>
      <c r="E65" s="685"/>
      <c r="F65" s="685"/>
      <c r="G65" s="685"/>
      <c r="H65" s="685">
        <f>H58*H45</f>
        <v>4175.3469999999998</v>
      </c>
      <c r="I65" s="685"/>
      <c r="J65" s="685">
        <f>J64/Master!O5</f>
        <v>6.3546320702397213E-2</v>
      </c>
      <c r="K65" s="685"/>
      <c r="L65" s="743">
        <f>L2</f>
        <v>2018</v>
      </c>
      <c r="M65" s="685"/>
      <c r="N65" s="849">
        <f>(L58-K58)</f>
        <v>69.700000000000045</v>
      </c>
      <c r="O65" s="685"/>
      <c r="P65" s="685"/>
      <c r="Q65" s="685"/>
      <c r="R65" s="685"/>
      <c r="S65" s="685"/>
      <c r="T65" s="685"/>
      <c r="U65" s="685"/>
      <c r="V65" s="685"/>
      <c r="W65" s="685"/>
      <c r="X65" s="685"/>
      <c r="Y65" s="685"/>
      <c r="Z65" s="685"/>
      <c r="AA65" s="685"/>
      <c r="AB65" s="685"/>
      <c r="AC65" s="685"/>
      <c r="AD65" s="685"/>
      <c r="AE65" s="685"/>
      <c r="AF65" s="685"/>
      <c r="AG65" s="685"/>
      <c r="AH65" s="685"/>
      <c r="AI65" s="685"/>
      <c r="AJ65" s="685"/>
      <c r="AK65" s="685"/>
      <c r="AL65" s="685"/>
      <c r="AM65" s="685"/>
      <c r="AN65" s="685"/>
      <c r="AO65" s="685"/>
      <c r="AP65" s="685"/>
      <c r="AQ65" s="685"/>
      <c r="AR65" s="685"/>
      <c r="AS65" s="685"/>
      <c r="AT65" s="685"/>
      <c r="AU65" s="685"/>
      <c r="AV65" s="685"/>
      <c r="AW65" s="685"/>
      <c r="AX65" s="685"/>
      <c r="AY65" s="685"/>
      <c r="AZ65" s="685"/>
    </row>
    <row r="66" spans="1:52">
      <c r="A66" s="685"/>
      <c r="B66" s="685" t="s">
        <v>653</v>
      </c>
      <c r="C66" s="685"/>
      <c r="D66" s="685"/>
      <c r="E66" s="685"/>
      <c r="F66" s="685"/>
      <c r="G66" s="685"/>
      <c r="H66" s="848">
        <f>H27-H65</f>
        <v>11358.953</v>
      </c>
      <c r="I66" s="685"/>
      <c r="J66" s="685">
        <f>J64/Master!O13</f>
        <v>0.18222432016296439</v>
      </c>
      <c r="K66" s="685"/>
      <c r="L66" s="848">
        <f>L22-L58*Valuation!N19+(Univision!$J$133*Univision!$K$5*Valuation!N19)</f>
        <v>36873.319853624875</v>
      </c>
      <c r="M66" s="685"/>
      <c r="N66" s="685">
        <f>N65*L45</f>
        <v>1341.7250000000008</v>
      </c>
      <c r="O66" s="685"/>
      <c r="P66" s="685"/>
      <c r="Q66" s="685"/>
      <c r="R66" s="685"/>
      <c r="S66" s="685"/>
      <c r="T66" s="685"/>
      <c r="U66" s="685"/>
      <c r="V66" s="685"/>
      <c r="W66" s="685"/>
      <c r="X66" s="685"/>
      <c r="Y66" s="685"/>
      <c r="Z66" s="685"/>
      <c r="AA66" s="685"/>
      <c r="AB66" s="685"/>
      <c r="AC66" s="685"/>
      <c r="AD66" s="685"/>
      <c r="AE66" s="685"/>
      <c r="AF66" s="685"/>
      <c r="AG66" s="685"/>
      <c r="AH66" s="685"/>
      <c r="AI66" s="685"/>
      <c r="AJ66" s="685"/>
      <c r="AK66" s="685"/>
      <c r="AL66" s="685"/>
      <c r="AM66" s="685"/>
      <c r="AN66" s="685"/>
      <c r="AO66" s="685"/>
      <c r="AP66" s="685"/>
      <c r="AQ66" s="685"/>
      <c r="AR66" s="685"/>
      <c r="AS66" s="685"/>
      <c r="AT66" s="685"/>
      <c r="AU66" s="685"/>
      <c r="AV66" s="685"/>
      <c r="AW66" s="685"/>
      <c r="AX66" s="685"/>
      <c r="AY66" s="685"/>
      <c r="AZ66" s="685"/>
    </row>
    <row r="67" spans="1:52">
      <c r="A67" s="685"/>
      <c r="B67" s="685" t="s">
        <v>655</v>
      </c>
      <c r="C67" s="685"/>
      <c r="D67" s="685"/>
      <c r="E67" s="685"/>
      <c r="F67" s="685"/>
      <c r="G67" s="685"/>
      <c r="H67" s="869">
        <f>H66/(H22-H65)</f>
        <v>0.37008583101033654</v>
      </c>
      <c r="I67" s="685"/>
      <c r="J67" s="685"/>
      <c r="K67" s="685"/>
      <c r="L67" s="807">
        <f>L66/K22-1</f>
        <v>8.4605107910252997E-2</v>
      </c>
      <c r="M67" s="685"/>
      <c r="N67" s="869">
        <f>N66/L22</f>
        <v>3.438601212214408E-2</v>
      </c>
      <c r="O67" s="685"/>
      <c r="P67" s="685"/>
      <c r="Q67" s="685"/>
      <c r="R67" s="685"/>
      <c r="S67" s="685"/>
      <c r="T67" s="685"/>
      <c r="U67" s="685"/>
      <c r="V67" s="685"/>
      <c r="W67" s="685"/>
      <c r="X67" s="685"/>
      <c r="Y67" s="685"/>
      <c r="Z67" s="685"/>
      <c r="AA67" s="685"/>
      <c r="AB67" s="685"/>
      <c r="AC67" s="685"/>
      <c r="AD67" s="685"/>
      <c r="AE67" s="685"/>
      <c r="AF67" s="685"/>
      <c r="AG67" s="685"/>
      <c r="AH67" s="685"/>
      <c r="AI67" s="685"/>
      <c r="AJ67" s="685"/>
      <c r="AK67" s="685"/>
      <c r="AL67" s="685"/>
      <c r="AM67" s="685"/>
      <c r="AN67" s="685"/>
      <c r="AO67" s="685"/>
      <c r="AP67" s="685"/>
      <c r="AQ67" s="685"/>
      <c r="AR67" s="685"/>
      <c r="AS67" s="685"/>
      <c r="AT67" s="685"/>
      <c r="AU67" s="685"/>
      <c r="AV67" s="685"/>
      <c r="AW67" s="685"/>
      <c r="AX67" s="685"/>
      <c r="AY67" s="685"/>
      <c r="AZ67" s="685"/>
    </row>
    <row r="68" spans="1:52">
      <c r="A68" s="685"/>
      <c r="B68" s="685" t="s">
        <v>57</v>
      </c>
      <c r="C68" s="685"/>
      <c r="D68" s="685"/>
      <c r="E68" s="685"/>
      <c r="F68" s="685"/>
      <c r="G68" s="685"/>
      <c r="H68" s="685"/>
      <c r="I68" s="685"/>
      <c r="J68" s="685"/>
      <c r="K68" s="685"/>
      <c r="L68" s="848">
        <f>L69*L66</f>
        <v>13910.060508948995</v>
      </c>
      <c r="M68" s="848"/>
      <c r="N68" s="685"/>
      <c r="O68" s="685"/>
      <c r="P68" s="685"/>
      <c r="Q68" s="685"/>
      <c r="R68" s="685"/>
      <c r="S68" s="685"/>
      <c r="T68" s="685"/>
      <c r="U68" s="685"/>
      <c r="V68" s="685"/>
      <c r="W68" s="685"/>
      <c r="X68" s="685"/>
      <c r="Y68" s="685"/>
      <c r="Z68" s="685"/>
      <c r="AA68" s="685"/>
      <c r="AB68" s="685"/>
      <c r="AC68" s="685"/>
      <c r="AD68" s="685"/>
      <c r="AE68" s="685"/>
      <c r="AF68" s="685"/>
      <c r="AG68" s="685"/>
      <c r="AH68" s="685"/>
      <c r="AI68" s="685"/>
      <c r="AJ68" s="685"/>
      <c r="AK68" s="685"/>
      <c r="AL68" s="685"/>
      <c r="AM68" s="685"/>
      <c r="AN68" s="685"/>
      <c r="AO68" s="685"/>
      <c r="AP68" s="685"/>
      <c r="AQ68" s="685"/>
      <c r="AR68" s="685"/>
      <c r="AS68" s="685"/>
      <c r="AT68" s="685"/>
      <c r="AU68" s="685"/>
      <c r="AV68" s="685"/>
      <c r="AW68" s="685"/>
      <c r="AX68" s="685"/>
      <c r="AY68" s="685"/>
      <c r="AZ68" s="685"/>
    </row>
    <row r="69" spans="1:52">
      <c r="A69" s="685"/>
      <c r="B69" s="685" t="s">
        <v>158</v>
      </c>
      <c r="C69" s="685"/>
      <c r="D69" s="685"/>
      <c r="E69" s="685"/>
      <c r="F69" s="685"/>
      <c r="G69" s="685"/>
      <c r="H69" s="685"/>
      <c r="I69" s="685"/>
      <c r="J69" s="685"/>
      <c r="K69" s="685"/>
      <c r="L69" s="869">
        <f>K29</f>
        <v>0.37723916816189662</v>
      </c>
      <c r="M69" s="685"/>
      <c r="N69" s="685"/>
      <c r="O69" s="685"/>
      <c r="P69" s="685"/>
      <c r="Q69" s="685"/>
      <c r="R69" s="685"/>
      <c r="S69" s="685"/>
      <c r="T69" s="685"/>
      <c r="U69" s="685"/>
      <c r="V69" s="685"/>
      <c r="W69" s="685"/>
      <c r="X69" s="685"/>
      <c r="Y69" s="685"/>
      <c r="Z69" s="685"/>
      <c r="AA69" s="685"/>
      <c r="AB69" s="685"/>
      <c r="AC69" s="685"/>
      <c r="AD69" s="685"/>
      <c r="AE69" s="685"/>
      <c r="AF69" s="685"/>
      <c r="AG69" s="685"/>
      <c r="AH69" s="685"/>
      <c r="AI69" s="685"/>
      <c r="AJ69" s="685"/>
      <c r="AK69" s="685"/>
      <c r="AL69" s="685"/>
      <c r="AM69" s="685"/>
      <c r="AN69" s="685"/>
      <c r="AO69" s="685"/>
      <c r="AP69" s="685"/>
      <c r="AQ69" s="685"/>
      <c r="AR69" s="685"/>
      <c r="AS69" s="685"/>
      <c r="AT69" s="685"/>
      <c r="AU69" s="685"/>
      <c r="AV69" s="685"/>
      <c r="AW69" s="685"/>
      <c r="AX69" s="685"/>
      <c r="AY69" s="685"/>
      <c r="AZ69" s="685"/>
    </row>
    <row r="70" spans="1:52">
      <c r="A70" s="685"/>
      <c r="B70" s="685"/>
      <c r="C70" s="685"/>
      <c r="D70" s="685"/>
      <c r="E70" s="685"/>
      <c r="F70" s="685"/>
      <c r="G70" s="685"/>
      <c r="H70" s="685"/>
      <c r="I70" s="685"/>
      <c r="J70" s="685"/>
      <c r="K70" s="685"/>
      <c r="L70" s="685"/>
      <c r="M70" s="685"/>
      <c r="N70" s="685"/>
      <c r="O70" s="685"/>
      <c r="P70" s="685"/>
      <c r="Q70" s="685"/>
      <c r="R70" s="685"/>
      <c r="S70" s="685"/>
      <c r="T70" s="685"/>
      <c r="U70" s="685"/>
      <c r="V70" s="685"/>
      <c r="W70" s="685"/>
      <c r="X70" s="685"/>
      <c r="Y70" s="685"/>
      <c r="Z70" s="685"/>
      <c r="AA70" s="685"/>
      <c r="AB70" s="685"/>
      <c r="AC70" s="685"/>
      <c r="AD70" s="685"/>
      <c r="AE70" s="685"/>
      <c r="AF70" s="685"/>
      <c r="AG70" s="685"/>
      <c r="AH70" s="685"/>
      <c r="AI70" s="685"/>
      <c r="AJ70" s="685"/>
      <c r="AK70" s="685"/>
      <c r="AL70" s="685"/>
      <c r="AM70" s="685"/>
      <c r="AN70" s="685"/>
      <c r="AO70" s="685"/>
      <c r="AP70" s="685"/>
      <c r="AQ70" s="685"/>
      <c r="AR70" s="685"/>
      <c r="AS70" s="685"/>
      <c r="AT70" s="685"/>
      <c r="AU70" s="685"/>
      <c r="AV70" s="685"/>
      <c r="AW70" s="685"/>
      <c r="AX70" s="685"/>
      <c r="AY70" s="685"/>
      <c r="AZ70" s="685"/>
    </row>
    <row r="71" spans="1:52">
      <c r="A71" s="685"/>
      <c r="B71" s="685" t="s">
        <v>858</v>
      </c>
      <c r="C71" s="685"/>
      <c r="D71" s="685"/>
      <c r="E71" s="685"/>
      <c r="F71" s="685"/>
      <c r="G71" s="685"/>
      <c r="H71" s="685"/>
      <c r="I71" s="685"/>
      <c r="J71" s="685"/>
      <c r="K71" s="685"/>
      <c r="L71" s="848">
        <f>L27-L68</f>
        <v>944.93949105100546</v>
      </c>
      <c r="M71" s="959" t="s">
        <v>1494</v>
      </c>
      <c r="N71" s="685"/>
      <c r="O71" s="685"/>
      <c r="P71" s="685"/>
      <c r="Q71" s="685"/>
      <c r="R71" s="685"/>
      <c r="S71" s="685"/>
      <c r="T71" s="685"/>
      <c r="U71" s="685"/>
      <c r="V71" s="685"/>
      <c r="W71" s="685"/>
      <c r="X71" s="685"/>
      <c r="Y71" s="685"/>
      <c r="Z71" s="685"/>
      <c r="AA71" s="685"/>
      <c r="AB71" s="685"/>
      <c r="AC71" s="685"/>
      <c r="AD71" s="685"/>
      <c r="AE71" s="685"/>
      <c r="AF71" s="685"/>
      <c r="AG71" s="685"/>
      <c r="AH71" s="685"/>
      <c r="AI71" s="685"/>
      <c r="AJ71" s="685"/>
      <c r="AK71" s="685"/>
      <c r="AL71" s="685"/>
      <c r="AM71" s="685"/>
      <c r="AN71" s="685"/>
      <c r="AO71" s="685"/>
      <c r="AP71" s="685"/>
      <c r="AQ71" s="685"/>
      <c r="AR71" s="685"/>
      <c r="AS71" s="685"/>
      <c r="AT71" s="685"/>
      <c r="AU71" s="685"/>
      <c r="AV71" s="685"/>
      <c r="AW71" s="685"/>
      <c r="AX71" s="685"/>
      <c r="AY71" s="685"/>
      <c r="AZ71" s="685"/>
    </row>
    <row r="72" spans="1:52">
      <c r="A72" s="685"/>
      <c r="B72" s="685" t="s">
        <v>859</v>
      </c>
      <c r="C72" s="685"/>
      <c r="D72" s="685"/>
      <c r="E72" s="685"/>
      <c r="F72" s="685"/>
      <c r="G72" s="685"/>
      <c r="H72" s="685"/>
      <c r="I72" s="685"/>
      <c r="J72" s="685"/>
      <c r="K72" s="685"/>
      <c r="L72" s="849">
        <f>L71/L45</f>
        <v>49.087765768883401</v>
      </c>
      <c r="M72" s="849">
        <f>Univision!K134-Univision!J134</f>
        <v>74.192097808658559</v>
      </c>
      <c r="N72" s="685"/>
      <c r="O72" s="685"/>
      <c r="P72" s="685"/>
      <c r="Q72" s="685"/>
      <c r="R72" s="685"/>
      <c r="S72" s="685"/>
      <c r="T72" s="685"/>
      <c r="U72" s="685"/>
      <c r="V72" s="685"/>
      <c r="W72" s="685"/>
      <c r="X72" s="685"/>
      <c r="Y72" s="685"/>
      <c r="Z72" s="685"/>
      <c r="AA72" s="685"/>
      <c r="AB72" s="685"/>
      <c r="AC72" s="685"/>
      <c r="AD72" s="685"/>
      <c r="AE72" s="685"/>
      <c r="AF72" s="685"/>
      <c r="AG72" s="685"/>
      <c r="AH72" s="685"/>
      <c r="AI72" s="685"/>
      <c r="AJ72" s="685"/>
      <c r="AK72" s="685"/>
      <c r="AL72" s="685"/>
      <c r="AM72" s="685"/>
      <c r="AN72" s="685"/>
      <c r="AO72" s="685"/>
      <c r="AP72" s="685"/>
      <c r="AQ72" s="685"/>
      <c r="AR72" s="685"/>
      <c r="AS72" s="685"/>
      <c r="AT72" s="685"/>
      <c r="AU72" s="685"/>
      <c r="AV72" s="685"/>
      <c r="AW72" s="685"/>
      <c r="AX72" s="685"/>
      <c r="AY72" s="685"/>
      <c r="AZ72" s="685"/>
    </row>
    <row r="73" spans="1:52">
      <c r="A73" s="685"/>
      <c r="B73" s="685" t="s">
        <v>860</v>
      </c>
      <c r="C73" s="685"/>
      <c r="D73" s="685"/>
      <c r="E73" s="685"/>
      <c r="F73" s="685"/>
      <c r="G73" s="685"/>
      <c r="H73" s="685"/>
      <c r="I73" s="685"/>
      <c r="J73" s="685"/>
      <c r="K73" s="685"/>
      <c r="L73" s="849">
        <f>L72*(1-0.28)</f>
        <v>35.343191353596048</v>
      </c>
      <c r="M73" s="685"/>
      <c r="N73" s="685"/>
      <c r="O73" s="685"/>
      <c r="P73" s="685"/>
      <c r="Q73" s="685"/>
      <c r="R73" s="685"/>
      <c r="S73" s="685"/>
      <c r="T73" s="685"/>
      <c r="U73" s="685"/>
      <c r="V73" s="685"/>
      <c r="W73" s="685"/>
      <c r="X73" s="685"/>
      <c r="Y73" s="685"/>
      <c r="Z73" s="685"/>
      <c r="AA73" s="685"/>
      <c r="AB73" s="685"/>
      <c r="AC73" s="685"/>
      <c r="AD73" s="685"/>
      <c r="AE73" s="685"/>
      <c r="AF73" s="685"/>
      <c r="AG73" s="685"/>
      <c r="AH73" s="685"/>
      <c r="AI73" s="685"/>
      <c r="AJ73" s="685"/>
      <c r="AK73" s="685"/>
      <c r="AL73" s="685"/>
      <c r="AM73" s="685"/>
      <c r="AN73" s="685"/>
      <c r="AO73" s="685"/>
      <c r="AP73" s="685"/>
      <c r="AQ73" s="685"/>
      <c r="AR73" s="685"/>
      <c r="AS73" s="685"/>
      <c r="AT73" s="685"/>
      <c r="AU73" s="685"/>
      <c r="AV73" s="685"/>
      <c r="AW73" s="685"/>
      <c r="AX73" s="685"/>
      <c r="AY73" s="685"/>
      <c r="AZ73" s="685"/>
    </row>
    <row r="74" spans="1:52">
      <c r="A74" s="685"/>
      <c r="B74" s="685" t="s">
        <v>861</v>
      </c>
      <c r="C74" s="685"/>
      <c r="D74" s="685"/>
      <c r="E74" s="685"/>
      <c r="F74" s="685"/>
      <c r="G74" s="685"/>
      <c r="H74" s="685"/>
      <c r="I74" s="685"/>
      <c r="J74" s="685"/>
      <c r="K74" s="685"/>
      <c r="L74" s="849">
        <f>1/(SOP!L56-SOP!D67)</f>
        <v>12.63583522870862</v>
      </c>
      <c r="M74" s="685"/>
      <c r="N74" s="685"/>
      <c r="O74" s="685"/>
      <c r="P74" s="685"/>
      <c r="Q74" s="685"/>
      <c r="R74" s="685"/>
      <c r="S74" s="685"/>
      <c r="T74" s="685"/>
      <c r="U74" s="685"/>
      <c r="V74" s="685"/>
      <c r="W74" s="685"/>
      <c r="X74" s="685"/>
      <c r="Y74" s="685"/>
      <c r="Z74" s="685"/>
      <c r="AA74" s="685"/>
      <c r="AB74" s="685"/>
      <c r="AC74" s="685"/>
      <c r="AD74" s="685"/>
      <c r="AE74" s="685"/>
      <c r="AF74" s="685"/>
      <c r="AG74" s="685"/>
      <c r="AH74" s="685"/>
      <c r="AI74" s="685"/>
      <c r="AJ74" s="685"/>
      <c r="AK74" s="685"/>
      <c r="AL74" s="685"/>
      <c r="AM74" s="685"/>
      <c r="AN74" s="685"/>
      <c r="AO74" s="685"/>
      <c r="AP74" s="685"/>
      <c r="AQ74" s="685"/>
      <c r="AR74" s="685"/>
      <c r="AS74" s="685"/>
      <c r="AT74" s="685"/>
      <c r="AU74" s="685"/>
      <c r="AV74" s="685"/>
      <c r="AW74" s="685"/>
      <c r="AX74" s="685"/>
      <c r="AY74" s="685"/>
      <c r="AZ74" s="685"/>
    </row>
    <row r="75" spans="1:52">
      <c r="A75" s="685"/>
      <c r="B75" s="685" t="s">
        <v>862</v>
      </c>
      <c r="C75" s="685"/>
      <c r="D75" s="685"/>
      <c r="E75" s="685"/>
      <c r="F75" s="685"/>
      <c r="G75" s="685"/>
      <c r="H75" s="685"/>
      <c r="I75" s="685"/>
      <c r="J75" s="685"/>
      <c r="K75" s="685"/>
      <c r="L75" s="1159">
        <f>L74*L73</f>
        <v>446.59074240075881</v>
      </c>
      <c r="M75" s="685"/>
      <c r="N75" s="685"/>
      <c r="O75" s="685"/>
      <c r="P75" s="685"/>
      <c r="Q75" s="685"/>
      <c r="R75" s="685"/>
      <c r="S75" s="685"/>
      <c r="T75" s="685"/>
      <c r="U75" s="685"/>
      <c r="V75" s="685"/>
      <c r="W75" s="685"/>
      <c r="X75" s="685"/>
      <c r="Y75" s="685"/>
      <c r="Z75" s="685"/>
      <c r="AA75" s="685"/>
      <c r="AB75" s="685"/>
      <c r="AC75" s="685"/>
      <c r="AD75" s="685"/>
      <c r="AE75" s="685"/>
      <c r="AF75" s="685"/>
      <c r="AG75" s="685"/>
      <c r="AH75" s="685"/>
      <c r="AI75" s="685"/>
      <c r="AJ75" s="685"/>
      <c r="AK75" s="685"/>
      <c r="AL75" s="685"/>
      <c r="AM75" s="685"/>
      <c r="AN75" s="685"/>
      <c r="AO75" s="685"/>
      <c r="AP75" s="685"/>
      <c r="AQ75" s="685"/>
      <c r="AR75" s="685"/>
      <c r="AS75" s="685"/>
      <c r="AT75" s="685"/>
      <c r="AU75" s="685"/>
      <c r="AV75" s="685"/>
      <c r="AW75" s="685"/>
      <c r="AX75" s="685"/>
      <c r="AY75" s="685"/>
      <c r="AZ75" s="685"/>
    </row>
    <row r="76" spans="1:52">
      <c r="A76" s="685"/>
      <c r="B76" s="685" t="s">
        <v>863</v>
      </c>
      <c r="C76" s="685"/>
      <c r="D76" s="685"/>
      <c r="E76" s="685"/>
      <c r="F76" s="685"/>
      <c r="G76" s="685"/>
      <c r="H76" s="685"/>
      <c r="I76" s="685"/>
      <c r="J76" s="685"/>
      <c r="K76" s="685"/>
      <c r="L76" s="808">
        <f>L75/Valuation!N24</f>
        <v>0.2350638264054852</v>
      </c>
      <c r="M76" s="685"/>
      <c r="N76" s="685"/>
      <c r="O76" s="685"/>
      <c r="P76" s="685"/>
      <c r="Q76" s="685"/>
      <c r="R76" s="685"/>
      <c r="S76" s="685"/>
      <c r="T76" s="685"/>
      <c r="U76" s="685"/>
      <c r="V76" s="685"/>
      <c r="W76" s="685"/>
      <c r="X76" s="685"/>
      <c r="Y76" s="685"/>
      <c r="Z76" s="685"/>
      <c r="AA76" s="685"/>
      <c r="AB76" s="685"/>
      <c r="AC76" s="685"/>
      <c r="AD76" s="685"/>
      <c r="AE76" s="685"/>
      <c r="AF76" s="685"/>
      <c r="AG76" s="685"/>
      <c r="AH76" s="685"/>
      <c r="AI76" s="685"/>
      <c r="AJ76" s="685"/>
      <c r="AK76" s="685"/>
      <c r="AL76" s="685"/>
      <c r="AM76" s="685"/>
      <c r="AN76" s="685"/>
      <c r="AO76" s="685"/>
      <c r="AP76" s="685"/>
      <c r="AQ76" s="685"/>
      <c r="AR76" s="685"/>
      <c r="AS76" s="685"/>
      <c r="AT76" s="685"/>
      <c r="AU76" s="685"/>
      <c r="AV76" s="685"/>
      <c r="AW76" s="685"/>
      <c r="AX76" s="685"/>
      <c r="AY76" s="685"/>
      <c r="AZ76" s="685"/>
    </row>
    <row r="77" spans="1:52">
      <c r="A77" s="685"/>
      <c r="B77" s="685"/>
      <c r="C77" s="685"/>
      <c r="D77" s="685"/>
      <c r="E77" s="685"/>
      <c r="F77" s="685"/>
      <c r="G77" s="685"/>
      <c r="H77" s="685"/>
      <c r="I77" s="685"/>
      <c r="J77" s="685"/>
      <c r="K77" s="685"/>
      <c r="L77" s="685"/>
      <c r="M77" s="685"/>
      <c r="N77" s="685"/>
      <c r="O77" s="685"/>
      <c r="P77" s="685"/>
      <c r="Q77" s="685"/>
      <c r="R77" s="685"/>
      <c r="S77" s="685"/>
      <c r="T77" s="685"/>
      <c r="U77" s="685"/>
      <c r="V77" s="685"/>
      <c r="W77" s="685"/>
      <c r="X77" s="685"/>
      <c r="Y77" s="685"/>
      <c r="Z77" s="685"/>
      <c r="AA77" s="685"/>
      <c r="AB77" s="685"/>
      <c r="AC77" s="685"/>
      <c r="AD77" s="685"/>
      <c r="AE77" s="685"/>
      <c r="AF77" s="685"/>
      <c r="AG77" s="685"/>
      <c r="AH77" s="685"/>
      <c r="AI77" s="685"/>
      <c r="AJ77" s="685"/>
      <c r="AK77" s="685"/>
      <c r="AL77" s="685"/>
      <c r="AM77" s="685"/>
      <c r="AN77" s="685"/>
      <c r="AO77" s="685"/>
      <c r="AP77" s="685"/>
      <c r="AQ77" s="685"/>
      <c r="AR77" s="685"/>
      <c r="AS77" s="685"/>
      <c r="AT77" s="685"/>
      <c r="AU77" s="685"/>
      <c r="AV77" s="685"/>
      <c r="AW77" s="685"/>
      <c r="AX77" s="685"/>
      <c r="AY77" s="685"/>
      <c r="AZ77" s="685"/>
    </row>
    <row r="78" spans="1:52">
      <c r="A78" s="685"/>
      <c r="B78" s="743" t="s">
        <v>1585</v>
      </c>
      <c r="C78" s="743"/>
      <c r="D78" s="743">
        <f t="shared" ref="D78:L78" si="53">D2</f>
        <v>2010</v>
      </c>
      <c r="E78" s="743">
        <f t="shared" si="53"/>
        <v>2011</v>
      </c>
      <c r="F78" s="743">
        <f t="shared" si="53"/>
        <v>2012</v>
      </c>
      <c r="G78" s="743">
        <f t="shared" si="53"/>
        <v>2013</v>
      </c>
      <c r="H78" s="743">
        <f t="shared" si="53"/>
        <v>2014</v>
      </c>
      <c r="I78" s="743">
        <f t="shared" si="53"/>
        <v>2015</v>
      </c>
      <c r="J78" s="743">
        <f t="shared" si="53"/>
        <v>2016</v>
      </c>
      <c r="K78" s="743">
        <f t="shared" si="53"/>
        <v>2017</v>
      </c>
      <c r="L78" s="743">
        <f t="shared" si="53"/>
        <v>2018</v>
      </c>
      <c r="M78" s="743">
        <f>L78+1</f>
        <v>2019</v>
      </c>
      <c r="N78" s="743">
        <f t="shared" ref="N78:AC78" si="54">M78+1</f>
        <v>2020</v>
      </c>
      <c r="O78" s="743">
        <f t="shared" si="54"/>
        <v>2021</v>
      </c>
      <c r="P78" s="743">
        <f t="shared" si="54"/>
        <v>2022</v>
      </c>
      <c r="Q78" s="743">
        <f t="shared" si="54"/>
        <v>2023</v>
      </c>
      <c r="R78" s="743">
        <f t="shared" si="54"/>
        <v>2024</v>
      </c>
      <c r="S78" s="743">
        <f t="shared" si="54"/>
        <v>2025</v>
      </c>
      <c r="T78" s="743">
        <f>N78+1</f>
        <v>2021</v>
      </c>
      <c r="U78" s="743"/>
      <c r="V78" s="743"/>
      <c r="W78" s="743"/>
      <c r="X78" s="743"/>
      <c r="Y78" s="743"/>
      <c r="Z78" s="743">
        <f>T78+1</f>
        <v>2022</v>
      </c>
      <c r="AA78" s="743">
        <f t="shared" si="54"/>
        <v>2023</v>
      </c>
      <c r="AB78" s="743">
        <f t="shared" si="54"/>
        <v>2024</v>
      </c>
      <c r="AC78" s="743">
        <f t="shared" si="54"/>
        <v>2025</v>
      </c>
      <c r="AD78" s="685"/>
      <c r="AE78" s="685"/>
      <c r="AF78" s="685"/>
      <c r="AG78" s="685"/>
      <c r="AH78" s="685"/>
      <c r="AI78" s="685"/>
      <c r="AJ78" s="685"/>
      <c r="AK78" s="685"/>
      <c r="AL78" s="685"/>
      <c r="AM78" s="685"/>
      <c r="AN78" s="685"/>
      <c r="AO78" s="685"/>
      <c r="AP78" s="685"/>
      <c r="AQ78" s="685"/>
      <c r="AR78" s="685"/>
      <c r="AS78" s="685"/>
      <c r="AT78" s="685"/>
      <c r="AU78" s="685"/>
      <c r="AV78" s="685"/>
      <c r="AW78" s="685"/>
      <c r="AX78" s="685"/>
      <c r="AY78" s="685"/>
      <c r="AZ78" s="685"/>
    </row>
    <row r="79" spans="1:52">
      <c r="A79" s="685"/>
      <c r="B79" s="1095" t="s">
        <v>652</v>
      </c>
      <c r="C79" s="1160"/>
      <c r="D79" s="1160">
        <f t="shared" ref="D79:AC79" si="55">D58*D45</f>
        <v>2202.9889826879994</v>
      </c>
      <c r="E79" s="1160">
        <f t="shared" si="55"/>
        <v>2801.0203689008117</v>
      </c>
      <c r="F79" s="1160">
        <f t="shared" si="55"/>
        <v>3258.4160000000002</v>
      </c>
      <c r="G79" s="1160">
        <f t="shared" si="55"/>
        <v>3486.0319999999997</v>
      </c>
      <c r="H79" s="1160">
        <f t="shared" si="55"/>
        <v>4175.3469999999998</v>
      </c>
      <c r="I79" s="1160">
        <f t="shared" si="55"/>
        <v>4943.5050000000001</v>
      </c>
      <c r="J79" s="1160">
        <f t="shared" si="55"/>
        <v>6118.7100000000009</v>
      </c>
      <c r="K79" s="1160">
        <f t="shared" si="55"/>
        <v>5932.7099999999991</v>
      </c>
      <c r="L79" s="1160">
        <f t="shared" si="55"/>
        <v>7384.3</v>
      </c>
      <c r="M79" s="1160">
        <f t="shared" si="55"/>
        <v>7490.1750000000002</v>
      </c>
      <c r="N79" s="1160">
        <f t="shared" si="55"/>
        <v>8151.66</v>
      </c>
      <c r="O79" s="1160">
        <f>O58*O45</f>
        <v>8475.2907062732393</v>
      </c>
      <c r="P79" s="1160">
        <f>P58*P45</f>
        <v>9490.0259956661102</v>
      </c>
      <c r="Q79" s="1160">
        <f>Q58*Q45</f>
        <v>8799.8666735432453</v>
      </c>
      <c r="R79" s="1160">
        <f>R58*R45</f>
        <v>8740.874099224704</v>
      </c>
      <c r="S79" s="1160">
        <f>S58*S45</f>
        <v>9050.190313912517</v>
      </c>
      <c r="T79" s="848">
        <f t="shared" si="55"/>
        <v>0</v>
      </c>
      <c r="U79" s="848"/>
      <c r="V79" s="848"/>
      <c r="W79" s="848"/>
      <c r="X79" s="848"/>
      <c r="Y79" s="848"/>
      <c r="Z79" s="848">
        <f t="shared" si="55"/>
        <v>0</v>
      </c>
      <c r="AA79" s="848" t="e">
        <f t="shared" si="55"/>
        <v>#VALUE!</v>
      </c>
      <c r="AB79" s="848">
        <f t="shared" si="55"/>
        <v>8936563.7788117137</v>
      </c>
      <c r="AC79" s="848">
        <f t="shared" si="55"/>
        <v>9939200.0821252353</v>
      </c>
      <c r="AD79" s="685"/>
      <c r="AE79" s="685"/>
      <c r="AF79" s="685"/>
      <c r="AG79" s="685"/>
      <c r="AH79" s="685"/>
      <c r="AI79" s="685"/>
      <c r="AJ79" s="685"/>
      <c r="AK79" s="685"/>
      <c r="AL79" s="685"/>
      <c r="AM79" s="685"/>
      <c r="AN79" s="685"/>
      <c r="AO79" s="685"/>
      <c r="AP79" s="685"/>
      <c r="AQ79" s="685"/>
      <c r="AR79" s="685"/>
      <c r="AS79" s="685"/>
      <c r="AT79" s="685"/>
      <c r="AU79" s="685"/>
      <c r="AV79" s="685"/>
      <c r="AW79" s="685"/>
      <c r="AX79" s="685"/>
      <c r="AY79" s="685"/>
      <c r="AZ79" s="685"/>
    </row>
    <row r="80" spans="1:52">
      <c r="A80" s="685"/>
      <c r="B80" s="743" t="s">
        <v>1576</v>
      </c>
      <c r="C80" s="901"/>
      <c r="D80" s="901">
        <f t="shared" ref="D80:L80" si="56">D81-D79</f>
        <v>27032.011017312001</v>
      </c>
      <c r="E80" s="901">
        <f t="shared" si="56"/>
        <v>27884.579631099186</v>
      </c>
      <c r="F80" s="901">
        <f t="shared" si="56"/>
        <v>29625.583999999999</v>
      </c>
      <c r="G80" s="901">
        <f t="shared" si="56"/>
        <v>30334.567999999999</v>
      </c>
      <c r="H80" s="901">
        <f t="shared" si="56"/>
        <v>30692.752999999997</v>
      </c>
      <c r="I80" s="901">
        <f t="shared" si="56"/>
        <v>29389.094999999998</v>
      </c>
      <c r="J80" s="901">
        <f t="shared" si="56"/>
        <v>30567.989999999998</v>
      </c>
      <c r="K80" s="901">
        <f t="shared" si="56"/>
        <v>28064.29</v>
      </c>
      <c r="L80" s="901">
        <f t="shared" si="56"/>
        <v>31635.200000000001</v>
      </c>
      <c r="M80" s="901">
        <f t="shared" ref="M80:S80" si="57">M81-M79</f>
        <v>27305.225000000002</v>
      </c>
      <c r="N80" s="901">
        <f t="shared" si="57"/>
        <v>24461.34</v>
      </c>
      <c r="O80" s="901">
        <f t="shared" si="57"/>
        <v>27466.60929372676</v>
      </c>
      <c r="P80" s="901">
        <f t="shared" ca="1" si="57"/>
        <v>28401.50607393431</v>
      </c>
      <c r="Q80" s="901">
        <f t="shared" ca="1" si="57"/>
        <v>28551.616754577746</v>
      </c>
      <c r="R80" s="901">
        <f t="shared" ca="1" si="57"/>
        <v>28335.953293627288</v>
      </c>
      <c r="S80" s="901">
        <f t="shared" ca="1" si="57"/>
        <v>28344.400101556759</v>
      </c>
      <c r="T80" s="685"/>
      <c r="U80" s="685"/>
      <c r="V80" s="685"/>
      <c r="W80" s="685"/>
      <c r="X80" s="685"/>
      <c r="Y80" s="685"/>
      <c r="Z80" s="685"/>
      <c r="AA80" s="685"/>
      <c r="AB80" s="685"/>
      <c r="AC80" s="685"/>
      <c r="AD80" s="685"/>
      <c r="AE80" s="685"/>
      <c r="AF80" s="685"/>
      <c r="AG80" s="685"/>
      <c r="AH80" s="685"/>
      <c r="AI80" s="685"/>
      <c r="AJ80" s="685"/>
      <c r="AK80" s="685"/>
      <c r="AL80" s="685"/>
      <c r="AM80" s="685"/>
      <c r="AN80" s="685"/>
      <c r="AO80" s="685"/>
      <c r="AP80" s="685"/>
      <c r="AQ80" s="685"/>
      <c r="AR80" s="685"/>
      <c r="AS80" s="685"/>
      <c r="AT80" s="685"/>
      <c r="AU80" s="685"/>
      <c r="AV80" s="685"/>
      <c r="AW80" s="685"/>
      <c r="AX80" s="685"/>
      <c r="AY80" s="685"/>
      <c r="AZ80" s="685"/>
    </row>
    <row r="81" spans="1:52">
      <c r="A81" s="685"/>
      <c r="B81" s="1095" t="s">
        <v>98</v>
      </c>
      <c r="C81" s="1160"/>
      <c r="D81" s="1160">
        <f t="shared" ref="D81:S81" si="58">D22</f>
        <v>29235</v>
      </c>
      <c r="E81" s="1160">
        <f t="shared" si="58"/>
        <v>30685.599999999999</v>
      </c>
      <c r="F81" s="1160">
        <f t="shared" si="58"/>
        <v>32884</v>
      </c>
      <c r="G81" s="1160">
        <f t="shared" si="58"/>
        <v>33820.6</v>
      </c>
      <c r="H81" s="1160">
        <f t="shared" si="58"/>
        <v>34868.1</v>
      </c>
      <c r="I81" s="1160">
        <f t="shared" si="58"/>
        <v>34332.6</v>
      </c>
      <c r="J81" s="1160">
        <f t="shared" si="58"/>
        <v>36686.699999999997</v>
      </c>
      <c r="K81" s="1160">
        <f t="shared" si="58"/>
        <v>33997</v>
      </c>
      <c r="L81" s="1160">
        <f t="shared" si="58"/>
        <v>39019.5</v>
      </c>
      <c r="M81" s="1160">
        <f t="shared" si="58"/>
        <v>34795.4</v>
      </c>
      <c r="N81" s="1160">
        <f t="shared" si="58"/>
        <v>32613</v>
      </c>
      <c r="O81" s="1160">
        <f t="shared" si="58"/>
        <v>35941.9</v>
      </c>
      <c r="P81" s="1160">
        <f t="shared" ca="1" si="58"/>
        <v>37891.53206960042</v>
      </c>
      <c r="Q81" s="1160">
        <f t="shared" ca="1" si="58"/>
        <v>37351.483428120991</v>
      </c>
      <c r="R81" s="1160">
        <f t="shared" ca="1" si="58"/>
        <v>37076.827392851992</v>
      </c>
      <c r="S81" s="1160">
        <f t="shared" ca="1" si="58"/>
        <v>37394.590415469276</v>
      </c>
      <c r="T81" s="685"/>
      <c r="U81" s="685"/>
      <c r="V81" s="685"/>
      <c r="W81" s="685"/>
      <c r="X81" s="685"/>
      <c r="Y81" s="685"/>
      <c r="Z81" s="685"/>
      <c r="AA81" s="685"/>
      <c r="AB81" s="685"/>
      <c r="AC81" s="685"/>
      <c r="AD81" s="685"/>
      <c r="AE81" s="685"/>
      <c r="AF81" s="685"/>
      <c r="AG81" s="685"/>
      <c r="AH81" s="685"/>
      <c r="AI81" s="685"/>
      <c r="AJ81" s="685"/>
      <c r="AK81" s="685"/>
      <c r="AL81" s="685"/>
      <c r="AM81" s="685"/>
      <c r="AN81" s="685"/>
      <c r="AO81" s="685"/>
      <c r="AP81" s="685"/>
      <c r="AQ81" s="685"/>
      <c r="AR81" s="685"/>
      <c r="AS81" s="685"/>
      <c r="AT81" s="685"/>
      <c r="AU81" s="685"/>
      <c r="AV81" s="685"/>
      <c r="AW81" s="685"/>
      <c r="AX81" s="685"/>
      <c r="AY81" s="685"/>
      <c r="AZ81" s="685"/>
    </row>
    <row r="82" spans="1:52">
      <c r="A82" s="685"/>
      <c r="B82" s="685" t="s">
        <v>1584</v>
      </c>
      <c r="C82" s="848"/>
      <c r="D82" s="807">
        <f>D79/D81</f>
        <v>7.535450599240634E-2</v>
      </c>
      <c r="E82" s="807">
        <f t="shared" ref="E82:N82" si="59">E79/E81</f>
        <v>9.1281264466095233E-2</v>
      </c>
      <c r="F82" s="807">
        <f t="shared" si="59"/>
        <v>9.908818878481937E-2</v>
      </c>
      <c r="G82" s="807">
        <f t="shared" si="59"/>
        <v>0.10307422103688284</v>
      </c>
      <c r="H82" s="807">
        <f t="shared" si="59"/>
        <v>0.11974690332997782</v>
      </c>
      <c r="I82" s="807">
        <f t="shared" si="59"/>
        <v>0.14398865801017111</v>
      </c>
      <c r="J82" s="807">
        <f t="shared" si="59"/>
        <v>0.16678278504199073</v>
      </c>
      <c r="K82" s="807">
        <f t="shared" si="59"/>
        <v>0.17450686825308112</v>
      </c>
      <c r="L82" s="807">
        <f t="shared" si="59"/>
        <v>0.18924640243980576</v>
      </c>
      <c r="M82" s="807">
        <f t="shared" si="59"/>
        <v>0.21526336814636418</v>
      </c>
      <c r="N82" s="807">
        <f t="shared" si="59"/>
        <v>0.24995124643547051</v>
      </c>
      <c r="O82" s="807">
        <f>O79/O81</f>
        <v>0.23580530540325467</v>
      </c>
      <c r="P82" s="807">
        <f ca="1">P79/P81</f>
        <v>0.25045242241022392</v>
      </c>
      <c r="Q82" s="807">
        <f ca="1">Q79/Q81</f>
        <v>0.23559617626640358</v>
      </c>
      <c r="R82" s="807">
        <f ca="1">R79/R81</f>
        <v>0.23575032476780494</v>
      </c>
      <c r="S82" s="807">
        <f ca="1">S79/S81</f>
        <v>0.24201870413236731</v>
      </c>
      <c r="T82" s="685"/>
      <c r="U82" s="685"/>
      <c r="V82" s="685"/>
      <c r="W82" s="685"/>
      <c r="X82" s="685"/>
      <c r="Y82" s="685"/>
      <c r="Z82" s="685"/>
      <c r="AA82" s="685"/>
      <c r="AB82" s="685"/>
      <c r="AC82" s="685"/>
      <c r="AD82" s="685"/>
      <c r="AE82" s="685"/>
      <c r="AF82" s="685"/>
      <c r="AG82" s="685"/>
      <c r="AH82" s="685"/>
      <c r="AI82" s="685"/>
      <c r="AJ82" s="685"/>
      <c r="AK82" s="685"/>
      <c r="AL82" s="685"/>
      <c r="AM82" s="685"/>
      <c r="AN82" s="685"/>
      <c r="AO82" s="685"/>
      <c r="AP82" s="685"/>
      <c r="AQ82" s="685"/>
      <c r="AR82" s="685"/>
      <c r="AS82" s="685"/>
      <c r="AT82" s="685"/>
      <c r="AU82" s="685"/>
      <c r="AV82" s="685"/>
      <c r="AW82" s="685"/>
      <c r="AX82" s="685"/>
      <c r="AY82" s="685"/>
      <c r="AZ82" s="685"/>
    </row>
    <row r="83" spans="1:52">
      <c r="A83" s="685"/>
      <c r="B83" s="1095"/>
      <c r="C83" s="1095"/>
      <c r="D83" s="1095"/>
      <c r="E83" s="1095"/>
      <c r="F83" s="1095"/>
      <c r="G83" s="1095"/>
      <c r="H83" s="1095"/>
      <c r="I83" s="1095"/>
      <c r="J83" s="1095"/>
      <c r="K83" s="1095"/>
      <c r="L83" s="1095"/>
      <c r="M83" s="1095"/>
      <c r="N83" s="1095"/>
      <c r="O83" s="1095"/>
      <c r="P83" s="1095"/>
      <c r="Q83" s="1095"/>
      <c r="R83" s="1095"/>
      <c r="S83" s="1095"/>
      <c r="T83" s="685"/>
      <c r="U83" s="685"/>
      <c r="V83" s="685"/>
      <c r="W83" s="685"/>
      <c r="X83" s="685"/>
      <c r="Y83" s="685"/>
      <c r="Z83" s="685"/>
      <c r="AA83" s="685"/>
      <c r="AB83" s="685"/>
      <c r="AC83" s="685"/>
      <c r="AD83" s="685"/>
      <c r="AE83" s="685"/>
      <c r="AF83" s="685"/>
      <c r="AG83" s="685"/>
      <c r="AH83" s="685"/>
      <c r="AI83" s="685"/>
      <c r="AJ83" s="685"/>
      <c r="AK83" s="685"/>
      <c r="AL83" s="685"/>
      <c r="AM83" s="685"/>
      <c r="AN83" s="685"/>
      <c r="AO83" s="685"/>
      <c r="AP83" s="685"/>
      <c r="AQ83" s="685"/>
      <c r="AR83" s="685"/>
      <c r="AS83" s="685"/>
      <c r="AT83" s="685"/>
      <c r="AU83" s="685"/>
      <c r="AV83" s="685"/>
      <c r="AW83" s="685"/>
      <c r="AX83" s="685"/>
      <c r="AY83" s="685"/>
      <c r="AZ83" s="685"/>
    </row>
    <row r="84" spans="1:52">
      <c r="A84" s="685"/>
      <c r="B84" s="743" t="s">
        <v>1577</v>
      </c>
      <c r="C84" s="743"/>
      <c r="D84" s="743">
        <f t="shared" ref="D84:L84" si="60">D78</f>
        <v>2010</v>
      </c>
      <c r="E84" s="743">
        <f t="shared" si="60"/>
        <v>2011</v>
      </c>
      <c r="F84" s="743">
        <f t="shared" si="60"/>
        <v>2012</v>
      </c>
      <c r="G84" s="743">
        <f t="shared" si="60"/>
        <v>2013</v>
      </c>
      <c r="H84" s="743">
        <f t="shared" si="60"/>
        <v>2014</v>
      </c>
      <c r="I84" s="743">
        <f t="shared" si="60"/>
        <v>2015</v>
      </c>
      <c r="J84" s="743">
        <f t="shared" si="60"/>
        <v>2016</v>
      </c>
      <c r="K84" s="743">
        <f t="shared" si="60"/>
        <v>2017</v>
      </c>
      <c r="L84" s="743">
        <f t="shared" si="60"/>
        <v>2018</v>
      </c>
      <c r="M84" s="743">
        <f t="shared" ref="M84:S85" si="61">M78</f>
        <v>2019</v>
      </c>
      <c r="N84" s="743">
        <f t="shared" si="61"/>
        <v>2020</v>
      </c>
      <c r="O84" s="743">
        <f t="shared" si="61"/>
        <v>2021</v>
      </c>
      <c r="P84" s="743">
        <f t="shared" si="61"/>
        <v>2022</v>
      </c>
      <c r="Q84" s="743">
        <f t="shared" si="61"/>
        <v>2023</v>
      </c>
      <c r="R84" s="743">
        <f t="shared" si="61"/>
        <v>2024</v>
      </c>
      <c r="S84" s="743">
        <f t="shared" si="61"/>
        <v>2025</v>
      </c>
      <c r="T84" s="685"/>
      <c r="U84" s="685"/>
      <c r="V84" s="685"/>
      <c r="W84" s="685"/>
      <c r="X84" s="685"/>
      <c r="Y84" s="685"/>
      <c r="Z84" s="685"/>
      <c r="AA84" s="685"/>
      <c r="AB84" s="685"/>
      <c r="AC84" s="685"/>
      <c r="AD84" s="685"/>
      <c r="AE84" s="685"/>
      <c r="AF84" s="685"/>
      <c r="AG84" s="685"/>
      <c r="AH84" s="685"/>
      <c r="AI84" s="685"/>
      <c r="AJ84" s="685"/>
      <c r="AK84" s="685"/>
      <c r="AL84" s="685"/>
      <c r="AM84" s="685"/>
      <c r="AN84" s="685"/>
      <c r="AO84" s="685"/>
      <c r="AP84" s="685"/>
      <c r="AQ84" s="685"/>
      <c r="AR84" s="685"/>
      <c r="AS84" s="685"/>
      <c r="AT84" s="685"/>
      <c r="AU84" s="685"/>
      <c r="AV84" s="685"/>
      <c r="AW84" s="685"/>
      <c r="AX84" s="685"/>
      <c r="AY84" s="685"/>
      <c r="AZ84" s="685"/>
    </row>
    <row r="85" spans="1:52">
      <c r="A85" s="685"/>
      <c r="B85" s="1095" t="str">
        <f>B79</f>
        <v>Univision royalties</v>
      </c>
      <c r="C85" s="1160"/>
      <c r="D85" s="1160">
        <f t="shared" ref="D85:L85" si="62">D79</f>
        <v>2202.9889826879994</v>
      </c>
      <c r="E85" s="1160">
        <f t="shared" si="62"/>
        <v>2801.0203689008117</v>
      </c>
      <c r="F85" s="1160">
        <f t="shared" si="62"/>
        <v>3258.4160000000002</v>
      </c>
      <c r="G85" s="1160">
        <f t="shared" si="62"/>
        <v>3486.0319999999997</v>
      </c>
      <c r="H85" s="1160">
        <f t="shared" si="62"/>
        <v>4175.3469999999998</v>
      </c>
      <c r="I85" s="1160">
        <f t="shared" si="62"/>
        <v>4943.5050000000001</v>
      </c>
      <c r="J85" s="1160">
        <f t="shared" si="62"/>
        <v>6118.7100000000009</v>
      </c>
      <c r="K85" s="1160">
        <f t="shared" si="62"/>
        <v>5932.7099999999991</v>
      </c>
      <c r="L85" s="1160">
        <f t="shared" si="62"/>
        <v>7384.3</v>
      </c>
      <c r="M85" s="1160">
        <f t="shared" si="61"/>
        <v>7490.1750000000002</v>
      </c>
      <c r="N85" s="1160">
        <f t="shared" si="61"/>
        <v>8151.66</v>
      </c>
      <c r="O85" s="1160">
        <f t="shared" si="61"/>
        <v>8475.2907062732393</v>
      </c>
      <c r="P85" s="1160">
        <f t="shared" si="61"/>
        <v>9490.0259956661102</v>
      </c>
      <c r="Q85" s="1160">
        <f t="shared" si="61"/>
        <v>8799.8666735432453</v>
      </c>
      <c r="R85" s="1160">
        <f t="shared" si="61"/>
        <v>8740.874099224704</v>
      </c>
      <c r="S85" s="1160">
        <f t="shared" si="61"/>
        <v>9050.190313912517</v>
      </c>
      <c r="T85" s="685"/>
      <c r="U85" s="685"/>
      <c r="V85" s="685"/>
      <c r="W85" s="685"/>
      <c r="X85" s="685"/>
      <c r="Y85" s="685"/>
      <c r="Z85" s="685"/>
      <c r="AA85" s="685"/>
      <c r="AB85" s="685"/>
      <c r="AC85" s="685"/>
      <c r="AD85" s="685"/>
      <c r="AE85" s="685"/>
      <c r="AF85" s="685"/>
      <c r="AG85" s="685"/>
      <c r="AH85" s="685"/>
      <c r="AI85" s="685"/>
      <c r="AJ85" s="685"/>
      <c r="AK85" s="685"/>
      <c r="AL85" s="685"/>
      <c r="AM85" s="685"/>
      <c r="AN85" s="685"/>
      <c r="AO85" s="685"/>
      <c r="AP85" s="685"/>
      <c r="AQ85" s="685"/>
      <c r="AR85" s="685"/>
      <c r="AS85" s="685"/>
      <c r="AT85" s="685"/>
      <c r="AU85" s="685"/>
      <c r="AV85" s="685"/>
      <c r="AW85" s="685"/>
      <c r="AX85" s="685"/>
      <c r="AY85" s="685"/>
      <c r="AZ85" s="685"/>
    </row>
    <row r="86" spans="1:52">
      <c r="A86" s="685"/>
      <c r="B86" s="743" t="str">
        <f>B80</f>
        <v xml:space="preserve">Underlying </v>
      </c>
      <c r="C86" s="901"/>
      <c r="D86" s="901">
        <f t="shared" ref="D86:L86" si="63">D87-D85</f>
        <v>11617.011017312001</v>
      </c>
      <c r="E86" s="901">
        <f t="shared" si="63"/>
        <v>11664.579631099188</v>
      </c>
      <c r="F86" s="901">
        <f t="shared" si="63"/>
        <v>12152.784</v>
      </c>
      <c r="G86" s="901">
        <f t="shared" si="63"/>
        <v>12079.967999999999</v>
      </c>
      <c r="H86" s="901">
        <f t="shared" si="63"/>
        <v>11358.953</v>
      </c>
      <c r="I86" s="901">
        <f t="shared" si="63"/>
        <v>9620.6949999999997</v>
      </c>
      <c r="J86" s="901">
        <f t="shared" si="63"/>
        <v>8629.2899999999991</v>
      </c>
      <c r="K86" s="901">
        <f t="shared" si="63"/>
        <v>6892.2900000000009</v>
      </c>
      <c r="L86" s="901">
        <f t="shared" si="63"/>
        <v>7470.7</v>
      </c>
      <c r="M86" s="901">
        <f t="shared" ref="M86:S86" si="64">M87-M85</f>
        <v>5141.8249999999998</v>
      </c>
      <c r="N86" s="901">
        <f t="shared" si="64"/>
        <v>4209.1399999999994</v>
      </c>
      <c r="O86" s="901">
        <f t="shared" si="64"/>
        <v>5303.7092937267607</v>
      </c>
      <c r="P86" s="901">
        <f t="shared" ca="1" si="64"/>
        <v>4529.8408700860455</v>
      </c>
      <c r="Q86" s="901">
        <f t="shared" ca="1" si="64"/>
        <v>4646.6673605803117</v>
      </c>
      <c r="R86" s="901">
        <f t="shared" ca="1" si="64"/>
        <v>4050.6313513092318</v>
      </c>
      <c r="S86" s="901">
        <f t="shared" ca="1" si="64"/>
        <v>3290.0245231923454</v>
      </c>
      <c r="T86" s="685"/>
      <c r="U86" s="685"/>
      <c r="V86" s="685"/>
      <c r="W86" s="685"/>
      <c r="X86" s="685"/>
      <c r="Y86" s="685"/>
      <c r="Z86" s="685"/>
      <c r="AA86" s="685"/>
      <c r="AB86" s="685"/>
      <c r="AC86" s="685"/>
      <c r="AD86" s="685"/>
      <c r="AE86" s="685"/>
      <c r="AF86" s="685"/>
      <c r="AG86" s="685"/>
      <c r="AH86" s="685"/>
      <c r="AI86" s="685"/>
      <c r="AJ86" s="685"/>
      <c r="AK86" s="685"/>
      <c r="AL86" s="685"/>
      <c r="AM86" s="685"/>
      <c r="AN86" s="685"/>
      <c r="AO86" s="685"/>
      <c r="AP86" s="685"/>
      <c r="AQ86" s="685"/>
      <c r="AR86" s="685"/>
      <c r="AS86" s="685"/>
      <c r="AT86" s="685"/>
      <c r="AU86" s="685"/>
      <c r="AV86" s="685"/>
      <c r="AW86" s="685"/>
      <c r="AX86" s="685"/>
      <c r="AY86" s="685"/>
      <c r="AZ86" s="685"/>
    </row>
    <row r="87" spans="1:52" ht="15.75" thickBot="1">
      <c r="A87" s="685"/>
      <c r="B87" s="1095" t="str">
        <f>B81</f>
        <v>Total</v>
      </c>
      <c r="C87" s="1160"/>
      <c r="D87" s="1160">
        <f t="shared" ref="D87:S87" si="65">D27</f>
        <v>13820</v>
      </c>
      <c r="E87" s="1160">
        <f t="shared" si="65"/>
        <v>14465.6</v>
      </c>
      <c r="F87" s="1160">
        <f t="shared" si="65"/>
        <v>15411.2</v>
      </c>
      <c r="G87" s="1160">
        <f t="shared" si="65"/>
        <v>15565.999999999998</v>
      </c>
      <c r="H87" s="1160">
        <f t="shared" si="65"/>
        <v>15534.3</v>
      </c>
      <c r="I87" s="1160">
        <f t="shared" si="65"/>
        <v>14564.2</v>
      </c>
      <c r="J87" s="1160">
        <f t="shared" si="65"/>
        <v>14748</v>
      </c>
      <c r="K87" s="1160">
        <f t="shared" si="65"/>
        <v>12825</v>
      </c>
      <c r="L87" s="1160">
        <f t="shared" si="65"/>
        <v>14855</v>
      </c>
      <c r="M87" s="1160">
        <f t="shared" si="65"/>
        <v>12632</v>
      </c>
      <c r="N87" s="1160">
        <f t="shared" si="65"/>
        <v>12360.8</v>
      </c>
      <c r="O87" s="1160">
        <f t="shared" si="65"/>
        <v>13779</v>
      </c>
      <c r="P87" s="1160">
        <f t="shared" ca="1" si="65"/>
        <v>14019.866865752156</v>
      </c>
      <c r="Q87" s="1160">
        <f t="shared" ca="1" si="65"/>
        <v>13446.534034123557</v>
      </c>
      <c r="R87" s="1160">
        <f t="shared" ca="1" si="65"/>
        <v>12791.505450533936</v>
      </c>
      <c r="S87" s="1160">
        <f t="shared" ca="1" si="65"/>
        <v>12340.214837104862</v>
      </c>
      <c r="T87" s="685"/>
      <c r="U87" s="685"/>
      <c r="V87" s="685"/>
      <c r="W87" s="685"/>
      <c r="X87" s="685"/>
      <c r="Y87" s="685"/>
      <c r="Z87" s="685"/>
      <c r="AA87" s="685"/>
      <c r="AB87" s="685"/>
      <c r="AC87" s="685"/>
      <c r="AD87" s="685"/>
      <c r="AE87" s="685"/>
      <c r="AF87" s="685"/>
      <c r="AG87" s="685"/>
      <c r="AH87" s="685"/>
      <c r="AI87" s="685"/>
      <c r="AJ87" s="685"/>
      <c r="AK87" s="685"/>
      <c r="AL87" s="685"/>
      <c r="AM87" s="685"/>
      <c r="AN87" s="685"/>
      <c r="AO87" s="685"/>
      <c r="AP87" s="685"/>
      <c r="AQ87" s="685"/>
      <c r="AR87" s="685"/>
      <c r="AS87" s="685"/>
      <c r="AT87" s="685"/>
      <c r="AU87" s="685"/>
      <c r="AV87" s="685"/>
      <c r="AW87" s="685"/>
      <c r="AX87" s="685"/>
      <c r="AY87" s="685"/>
      <c r="AZ87" s="685"/>
    </row>
    <row r="88" spans="1:52">
      <c r="A88" s="685"/>
      <c r="B88" s="1096"/>
      <c r="C88" s="1097"/>
      <c r="D88" s="1097"/>
      <c r="E88" s="1097"/>
      <c r="F88" s="1097"/>
      <c r="G88" s="1097"/>
      <c r="H88" s="1097"/>
      <c r="I88" s="1097"/>
      <c r="J88" s="1097"/>
      <c r="K88" s="1097"/>
      <c r="L88" s="1097"/>
      <c r="M88" s="1097"/>
      <c r="N88" s="1097"/>
      <c r="O88" s="1097"/>
      <c r="P88" s="1097"/>
      <c r="Q88" s="1097"/>
      <c r="R88" s="1097"/>
      <c r="S88" s="1098"/>
      <c r="T88" s="685"/>
      <c r="U88" s="685"/>
      <c r="V88" s="685"/>
      <c r="W88" s="685"/>
      <c r="X88" s="685"/>
      <c r="Y88" s="685"/>
      <c r="Z88" s="685"/>
      <c r="AA88" s="685"/>
      <c r="AB88" s="685"/>
      <c r="AC88" s="685"/>
      <c r="AD88" s="685"/>
      <c r="AE88" s="685"/>
      <c r="AF88" s="685"/>
      <c r="AG88" s="685"/>
      <c r="AH88" s="685"/>
      <c r="AI88" s="685"/>
      <c r="AJ88" s="685"/>
      <c r="AK88" s="685"/>
      <c r="AL88" s="685"/>
      <c r="AM88" s="685"/>
      <c r="AN88" s="685"/>
      <c r="AO88" s="685"/>
      <c r="AP88" s="685"/>
      <c r="AQ88" s="685"/>
      <c r="AR88" s="685"/>
      <c r="AS88" s="685"/>
      <c r="AT88" s="685"/>
      <c r="AU88" s="685"/>
      <c r="AV88" s="685"/>
      <c r="AW88" s="685"/>
      <c r="AX88" s="685"/>
      <c r="AY88" s="685"/>
      <c r="AZ88" s="685"/>
    </row>
    <row r="89" spans="1:52">
      <c r="A89" s="685"/>
      <c r="B89" s="1161" t="s">
        <v>1578</v>
      </c>
      <c r="C89" s="1099"/>
      <c r="D89" s="1099">
        <f t="shared" ref="D89:L89" si="66">D84</f>
        <v>2010</v>
      </c>
      <c r="E89" s="1099">
        <f t="shared" si="66"/>
        <v>2011</v>
      </c>
      <c r="F89" s="1099">
        <f t="shared" si="66"/>
        <v>2012</v>
      </c>
      <c r="G89" s="1099">
        <f t="shared" si="66"/>
        <v>2013</v>
      </c>
      <c r="H89" s="1099">
        <f t="shared" si="66"/>
        <v>2014</v>
      </c>
      <c r="I89" s="1099">
        <f t="shared" si="66"/>
        <v>2015</v>
      </c>
      <c r="J89" s="1099">
        <f t="shared" si="66"/>
        <v>2016</v>
      </c>
      <c r="K89" s="1099">
        <f t="shared" si="66"/>
        <v>2017</v>
      </c>
      <c r="L89" s="1099">
        <f t="shared" si="66"/>
        <v>2018</v>
      </c>
      <c r="M89" s="1099">
        <f t="shared" ref="M89:S89" si="67">M84</f>
        <v>2019</v>
      </c>
      <c r="N89" s="1099">
        <f t="shared" si="67"/>
        <v>2020</v>
      </c>
      <c r="O89" s="1099">
        <f t="shared" si="67"/>
        <v>2021</v>
      </c>
      <c r="P89" s="1099">
        <f t="shared" si="67"/>
        <v>2022</v>
      </c>
      <c r="Q89" s="1099">
        <f t="shared" si="67"/>
        <v>2023</v>
      </c>
      <c r="R89" s="1099">
        <f t="shared" si="67"/>
        <v>2024</v>
      </c>
      <c r="S89" s="1162">
        <f t="shared" si="67"/>
        <v>2025</v>
      </c>
      <c r="T89" s="685"/>
      <c r="U89" s="685"/>
      <c r="V89" s="685"/>
      <c r="W89" s="685"/>
      <c r="X89" s="685"/>
      <c r="Y89" s="685"/>
      <c r="Z89" s="685"/>
      <c r="AA89" s="685"/>
      <c r="AB89" s="685"/>
      <c r="AC89" s="685"/>
      <c r="AD89" s="685"/>
      <c r="AE89" s="685"/>
      <c r="AF89" s="685"/>
      <c r="AG89" s="685"/>
      <c r="AH89" s="685"/>
      <c r="AI89" s="685"/>
      <c r="AJ89" s="685"/>
      <c r="AK89" s="685"/>
      <c r="AL89" s="685"/>
      <c r="AM89" s="685"/>
      <c r="AN89" s="685"/>
      <c r="AO89" s="685"/>
      <c r="AP89" s="685"/>
      <c r="AQ89" s="685"/>
      <c r="AR89" s="685"/>
      <c r="AS89" s="685"/>
      <c r="AT89" s="685"/>
      <c r="AU89" s="685"/>
      <c r="AV89" s="685"/>
      <c r="AW89" s="685"/>
      <c r="AX89" s="685"/>
      <c r="AY89" s="685"/>
      <c r="AZ89" s="685"/>
    </row>
    <row r="90" spans="1:52">
      <c r="A90" s="685"/>
      <c r="B90" s="1163" t="str">
        <f>B85</f>
        <v>Univision royalties</v>
      </c>
      <c r="C90" s="869"/>
      <c r="D90" s="869">
        <f t="shared" ref="D90:L90" si="68">D85/D79</f>
        <v>1</v>
      </c>
      <c r="E90" s="869">
        <f t="shared" si="68"/>
        <v>1</v>
      </c>
      <c r="F90" s="869">
        <f t="shared" si="68"/>
        <v>1</v>
      </c>
      <c r="G90" s="869">
        <f t="shared" si="68"/>
        <v>1</v>
      </c>
      <c r="H90" s="869">
        <f t="shared" si="68"/>
        <v>1</v>
      </c>
      <c r="I90" s="869">
        <f t="shared" si="68"/>
        <v>1</v>
      </c>
      <c r="J90" s="869">
        <f t="shared" si="68"/>
        <v>1</v>
      </c>
      <c r="K90" s="869">
        <f t="shared" si="68"/>
        <v>1</v>
      </c>
      <c r="L90" s="869">
        <f t="shared" si="68"/>
        <v>1</v>
      </c>
      <c r="M90" s="869">
        <f t="shared" ref="M90:N92" si="69">M85/M79</f>
        <v>1</v>
      </c>
      <c r="N90" s="869">
        <f t="shared" si="69"/>
        <v>1</v>
      </c>
      <c r="O90" s="869">
        <f t="shared" ref="O90:S92" si="70">O85/O79</f>
        <v>1</v>
      </c>
      <c r="P90" s="869">
        <f t="shared" si="70"/>
        <v>1</v>
      </c>
      <c r="Q90" s="869">
        <f t="shared" si="70"/>
        <v>1</v>
      </c>
      <c r="R90" s="869">
        <f t="shared" si="70"/>
        <v>1</v>
      </c>
      <c r="S90" s="1164">
        <f t="shared" si="70"/>
        <v>1</v>
      </c>
      <c r="T90" s="685"/>
      <c r="U90" s="685"/>
      <c r="V90" s="685"/>
      <c r="W90" s="685"/>
      <c r="X90" s="685"/>
      <c r="Y90" s="685"/>
      <c r="Z90" s="685">
        <v>2013</v>
      </c>
      <c r="AA90" s="685">
        <f t="shared" ref="AA90:AG90" si="71">Z90+1</f>
        <v>2014</v>
      </c>
      <c r="AB90" s="685">
        <f t="shared" si="71"/>
        <v>2015</v>
      </c>
      <c r="AC90" s="685">
        <f t="shared" si="71"/>
        <v>2016</v>
      </c>
      <c r="AD90" s="685">
        <f t="shared" si="71"/>
        <v>2017</v>
      </c>
      <c r="AE90" s="685">
        <f t="shared" si="71"/>
        <v>2018</v>
      </c>
      <c r="AF90" s="685">
        <f t="shared" si="71"/>
        <v>2019</v>
      </c>
      <c r="AG90" s="685">
        <f t="shared" si="71"/>
        <v>2020</v>
      </c>
      <c r="AH90" s="685"/>
      <c r="AI90" s="685"/>
      <c r="AJ90" s="685"/>
      <c r="AK90" s="685"/>
      <c r="AL90" s="685"/>
      <c r="AM90" s="685"/>
      <c r="AN90" s="685"/>
      <c r="AO90" s="685"/>
      <c r="AP90" s="685"/>
      <c r="AQ90" s="685"/>
      <c r="AR90" s="685"/>
      <c r="AS90" s="685"/>
      <c r="AT90" s="685"/>
      <c r="AU90" s="685"/>
      <c r="AV90" s="685"/>
      <c r="AW90" s="685"/>
      <c r="AX90" s="685"/>
      <c r="AY90" s="685"/>
      <c r="AZ90" s="685"/>
    </row>
    <row r="91" spans="1:52">
      <c r="A91" s="685"/>
      <c r="B91" s="1161" t="str">
        <f>B86</f>
        <v xml:space="preserve">Underlying </v>
      </c>
      <c r="C91" s="1165"/>
      <c r="D91" s="1165">
        <f t="shared" ref="D91:L91" si="72">D86/D80</f>
        <v>0.42975015842780495</v>
      </c>
      <c r="E91" s="1165">
        <f t="shared" si="72"/>
        <v>0.41831649554759237</v>
      </c>
      <c r="F91" s="1165">
        <f t="shared" si="72"/>
        <v>0.41021247041070991</v>
      </c>
      <c r="G91" s="1165">
        <f t="shared" si="72"/>
        <v>0.39822449424695944</v>
      </c>
      <c r="H91" s="1165">
        <f t="shared" si="72"/>
        <v>0.37008583101033654</v>
      </c>
      <c r="I91" s="1165">
        <f t="shared" si="72"/>
        <v>0.32735594614260838</v>
      </c>
      <c r="J91" s="1165">
        <f t="shared" si="72"/>
        <v>0.2822982472841688</v>
      </c>
      <c r="K91" s="1165">
        <f t="shared" si="72"/>
        <v>0.24558932365650443</v>
      </c>
      <c r="L91" s="1165">
        <f t="shared" si="72"/>
        <v>0.23615150212421604</v>
      </c>
      <c r="M91" s="1165">
        <f t="shared" si="69"/>
        <v>0.18830919723239781</v>
      </c>
      <c r="N91" s="1165">
        <f t="shared" si="69"/>
        <v>0.1720731570715259</v>
      </c>
      <c r="O91" s="1165">
        <f t="shared" si="70"/>
        <v>0.19309661549443971</v>
      </c>
      <c r="P91" s="1165">
        <f t="shared" ca="1" si="70"/>
        <v>0.15949298105156967</v>
      </c>
      <c r="Q91" s="1165">
        <f t="shared" ca="1" si="70"/>
        <v>0.1627462080526596</v>
      </c>
      <c r="R91" s="1165">
        <f t="shared" ca="1" si="70"/>
        <v>0.14295024096543146</v>
      </c>
      <c r="S91" s="1166">
        <f t="shared" ca="1" si="70"/>
        <v>0.11607317535048652</v>
      </c>
      <c r="T91" s="685" t="s">
        <v>1617</v>
      </c>
      <c r="U91" s="685"/>
      <c r="V91" s="685"/>
      <c r="W91" s="685"/>
      <c r="X91" s="685"/>
      <c r="Y91" s="685"/>
      <c r="Z91" s="869">
        <f t="shared" ref="Z91:AG91" si="73">G91</f>
        <v>0.39822449424695944</v>
      </c>
      <c r="AA91" s="869">
        <f t="shared" si="73"/>
        <v>0.37008583101033654</v>
      </c>
      <c r="AB91" s="869">
        <f t="shared" si="73"/>
        <v>0.32735594614260838</v>
      </c>
      <c r="AC91" s="869">
        <f t="shared" si="73"/>
        <v>0.2822982472841688</v>
      </c>
      <c r="AD91" s="869">
        <f t="shared" si="73"/>
        <v>0.24558932365650443</v>
      </c>
      <c r="AE91" s="869">
        <f t="shared" si="73"/>
        <v>0.23615150212421604</v>
      </c>
      <c r="AF91" s="869">
        <f t="shared" si="73"/>
        <v>0.18830919723239781</v>
      </c>
      <c r="AG91" s="869">
        <f t="shared" si="73"/>
        <v>0.1720731570715259</v>
      </c>
      <c r="AH91" s="685"/>
      <c r="AI91" s="685"/>
      <c r="AJ91" s="685"/>
      <c r="AK91" s="685"/>
      <c r="AL91" s="685"/>
      <c r="AM91" s="685"/>
      <c r="AN91" s="685"/>
      <c r="AO91" s="685"/>
      <c r="AP91" s="685"/>
      <c r="AQ91" s="685"/>
      <c r="AR91" s="685"/>
      <c r="AS91" s="685"/>
      <c r="AT91" s="685"/>
      <c r="AU91" s="685"/>
      <c r="AV91" s="685"/>
      <c r="AW91" s="685"/>
      <c r="AX91" s="685"/>
      <c r="AY91" s="685"/>
      <c r="AZ91" s="685"/>
    </row>
    <row r="92" spans="1:52" ht="15.75" thickBot="1">
      <c r="A92" s="685"/>
      <c r="B92" s="1167" t="str">
        <f>B87</f>
        <v>Total</v>
      </c>
      <c r="C92" s="1168"/>
      <c r="D92" s="1168">
        <f t="shared" ref="D92:L92" si="74">D87/D81</f>
        <v>0.47272105353172567</v>
      </c>
      <c r="E92" s="1168">
        <f t="shared" si="74"/>
        <v>0.47141330135307769</v>
      </c>
      <c r="F92" s="1168">
        <f t="shared" si="74"/>
        <v>0.46865344848558571</v>
      </c>
      <c r="G92" s="1168">
        <f t="shared" si="74"/>
        <v>0.46025203574153029</v>
      </c>
      <c r="H92" s="1168">
        <f t="shared" si="74"/>
        <v>0.44551610211052511</v>
      </c>
      <c r="I92" s="1168">
        <f t="shared" si="74"/>
        <v>0.42420906077605547</v>
      </c>
      <c r="J92" s="1168">
        <f t="shared" si="74"/>
        <v>0.4019985444316333</v>
      </c>
      <c r="K92" s="1168">
        <f t="shared" si="74"/>
        <v>0.37723916816189662</v>
      </c>
      <c r="L92" s="1168">
        <f t="shared" si="74"/>
        <v>0.38070708235625778</v>
      </c>
      <c r="M92" s="1168">
        <f t="shared" si="69"/>
        <v>0.36303649332957805</v>
      </c>
      <c r="N92" s="1168">
        <f t="shared" si="69"/>
        <v>0.37901450341888204</v>
      </c>
      <c r="O92" s="1168">
        <f t="shared" si="70"/>
        <v>0.3833687145086932</v>
      </c>
      <c r="P92" s="1168">
        <f t="shared" ca="1" si="70"/>
        <v>0.37</v>
      </c>
      <c r="Q92" s="1168">
        <f t="shared" ca="1" si="70"/>
        <v>0.36</v>
      </c>
      <c r="R92" s="1168">
        <f t="shared" ca="1" si="70"/>
        <v>0.34499999999999997</v>
      </c>
      <c r="S92" s="1169">
        <f t="shared" ca="1" si="70"/>
        <v>0.33</v>
      </c>
      <c r="T92" s="685" t="s">
        <v>1618</v>
      </c>
      <c r="U92" s="685"/>
      <c r="V92" s="685"/>
      <c r="W92" s="685"/>
      <c r="X92" s="685"/>
      <c r="Y92" s="685"/>
      <c r="Z92" s="869">
        <f>Z91</f>
        <v>0.39822449424695944</v>
      </c>
      <c r="AA92" s="869">
        <v>0.36499999999999999</v>
      </c>
      <c r="AB92" s="869">
        <v>0.35</v>
      </c>
      <c r="AC92" s="869">
        <v>0.33</v>
      </c>
      <c r="AD92" s="869">
        <v>0.32</v>
      </c>
      <c r="AE92" s="869">
        <v>0.32</v>
      </c>
      <c r="AF92" s="869">
        <v>0.30499999999999999</v>
      </c>
      <c r="AG92" s="869">
        <v>0.29749999999999999</v>
      </c>
      <c r="AH92" s="685"/>
      <c r="AI92" s="685"/>
      <c r="AJ92" s="685"/>
      <c r="AK92" s="685"/>
      <c r="AL92" s="685"/>
      <c r="AM92" s="685"/>
      <c r="AN92" s="685"/>
      <c r="AO92" s="685"/>
      <c r="AP92" s="685"/>
      <c r="AQ92" s="685"/>
      <c r="AR92" s="685"/>
      <c r="AS92" s="685"/>
      <c r="AT92" s="685"/>
      <c r="AU92" s="685"/>
      <c r="AV92" s="685"/>
      <c r="AW92" s="685"/>
      <c r="AX92" s="685"/>
      <c r="AY92" s="685"/>
      <c r="AZ92" s="685"/>
    </row>
    <row r="93" spans="1:52">
      <c r="A93" s="685"/>
      <c r="B93" s="1095"/>
      <c r="C93" s="1095"/>
      <c r="D93" s="1095"/>
      <c r="E93" s="1095"/>
      <c r="F93" s="1095"/>
      <c r="G93" s="1095"/>
      <c r="H93" s="1095"/>
      <c r="I93" s="1095"/>
      <c r="J93" s="1095"/>
      <c r="K93" s="1095"/>
      <c r="L93" s="1095"/>
      <c r="M93" s="1095"/>
      <c r="N93" s="1095"/>
      <c r="O93" s="1095"/>
      <c r="P93" s="1095"/>
      <c r="Q93" s="1095"/>
      <c r="R93" s="1095"/>
      <c r="S93" s="1095"/>
      <c r="T93" s="685"/>
      <c r="U93" s="685"/>
      <c r="V93" s="685"/>
      <c r="W93" s="685"/>
      <c r="X93" s="685"/>
      <c r="Y93" s="685"/>
      <c r="Z93" s="685"/>
      <c r="AA93" s="685"/>
      <c r="AB93" s="685"/>
      <c r="AC93" s="685"/>
      <c r="AD93" s="685"/>
      <c r="AE93" s="685"/>
      <c r="AF93" s="685"/>
      <c r="AG93" s="685"/>
      <c r="AH93" s="685"/>
      <c r="AI93" s="685"/>
      <c r="AJ93" s="685"/>
      <c r="AK93" s="685"/>
      <c r="AL93" s="685"/>
      <c r="AM93" s="685"/>
      <c r="AN93" s="685"/>
      <c r="AO93" s="685"/>
      <c r="AP93" s="685"/>
      <c r="AQ93" s="685"/>
      <c r="AR93" s="685"/>
      <c r="AS93" s="685"/>
      <c r="AT93" s="685"/>
      <c r="AU93" s="685"/>
      <c r="AV93" s="685"/>
      <c r="AW93" s="685"/>
      <c r="AX93" s="685"/>
      <c r="AY93" s="685"/>
      <c r="AZ93" s="685"/>
    </row>
    <row r="94" spans="1:52">
      <c r="A94" s="685"/>
      <c r="B94" s="743" t="s">
        <v>1579</v>
      </c>
      <c r="C94" s="743"/>
      <c r="D94" s="743">
        <f t="shared" ref="D94:L94" si="75">D89</f>
        <v>2010</v>
      </c>
      <c r="E94" s="743">
        <f t="shared" si="75"/>
        <v>2011</v>
      </c>
      <c r="F94" s="743">
        <f t="shared" si="75"/>
        <v>2012</v>
      </c>
      <c r="G94" s="743">
        <f t="shared" si="75"/>
        <v>2013</v>
      </c>
      <c r="H94" s="743">
        <f t="shared" si="75"/>
        <v>2014</v>
      </c>
      <c r="I94" s="743">
        <f t="shared" si="75"/>
        <v>2015</v>
      </c>
      <c r="J94" s="743">
        <f t="shared" si="75"/>
        <v>2016</v>
      </c>
      <c r="K94" s="743">
        <f t="shared" si="75"/>
        <v>2017</v>
      </c>
      <c r="L94" s="743">
        <f t="shared" si="75"/>
        <v>2018</v>
      </c>
      <c r="M94" s="743">
        <f t="shared" ref="M94:S94" si="76">M89</f>
        <v>2019</v>
      </c>
      <c r="N94" s="743">
        <f t="shared" si="76"/>
        <v>2020</v>
      </c>
      <c r="O94" s="743">
        <f t="shared" si="76"/>
        <v>2021</v>
      </c>
      <c r="P94" s="743">
        <f t="shared" si="76"/>
        <v>2022</v>
      </c>
      <c r="Q94" s="743">
        <f t="shared" si="76"/>
        <v>2023</v>
      </c>
      <c r="R94" s="743">
        <f t="shared" si="76"/>
        <v>2024</v>
      </c>
      <c r="S94" s="743">
        <f t="shared" si="76"/>
        <v>2025</v>
      </c>
      <c r="T94" s="685"/>
      <c r="U94" s="685"/>
      <c r="V94" s="685"/>
      <c r="W94" s="685"/>
      <c r="X94" s="685"/>
      <c r="Y94" s="685"/>
      <c r="Z94" s="685"/>
      <c r="AA94" s="685"/>
      <c r="AB94" s="685"/>
      <c r="AC94" s="685"/>
      <c r="AD94" s="685"/>
      <c r="AE94" s="685"/>
      <c r="AF94" s="685"/>
      <c r="AG94" s="685"/>
      <c r="AH94" s="685"/>
      <c r="AI94" s="685"/>
      <c r="AJ94" s="685"/>
      <c r="AK94" s="685"/>
      <c r="AL94" s="685"/>
      <c r="AM94" s="685"/>
      <c r="AN94" s="685"/>
      <c r="AO94" s="685"/>
      <c r="AP94" s="685"/>
      <c r="AQ94" s="685"/>
      <c r="AR94" s="685"/>
      <c r="AS94" s="685"/>
      <c r="AT94" s="685"/>
      <c r="AU94" s="685"/>
      <c r="AV94" s="685"/>
      <c r="AW94" s="685"/>
      <c r="AX94" s="685"/>
      <c r="AY94" s="685"/>
      <c r="AZ94" s="685"/>
    </row>
    <row r="95" spans="1:52">
      <c r="A95" s="685"/>
      <c r="B95" s="1095" t="str">
        <f>B90</f>
        <v>Univision royalties</v>
      </c>
      <c r="C95" s="1160"/>
      <c r="D95" s="1160">
        <v>0</v>
      </c>
      <c r="E95" s="1160">
        <v>0</v>
      </c>
      <c r="F95" s="1160">
        <v>0</v>
      </c>
      <c r="G95" s="1160">
        <v>0</v>
      </c>
      <c r="H95" s="1160">
        <v>0</v>
      </c>
      <c r="I95" s="1160">
        <v>0</v>
      </c>
      <c r="J95" s="1160">
        <v>0</v>
      </c>
      <c r="K95" s="1160">
        <v>0</v>
      </c>
      <c r="L95" s="1160">
        <v>0</v>
      </c>
      <c r="M95" s="1160">
        <v>0</v>
      </c>
      <c r="N95" s="1160">
        <v>0</v>
      </c>
      <c r="O95" s="1160">
        <v>0</v>
      </c>
      <c r="P95" s="1160">
        <v>0</v>
      </c>
      <c r="Q95" s="1160">
        <v>0</v>
      </c>
      <c r="R95" s="1160">
        <v>0</v>
      </c>
      <c r="S95" s="1160">
        <v>0</v>
      </c>
      <c r="T95" s="685"/>
      <c r="U95" s="685"/>
      <c r="V95" s="685"/>
      <c r="W95" s="685"/>
      <c r="X95" s="685"/>
      <c r="Y95" s="685"/>
      <c r="Z95" s="685"/>
      <c r="AA95" s="685"/>
      <c r="AB95" s="685"/>
      <c r="AC95" s="685"/>
      <c r="AD95" s="685"/>
      <c r="AE95" s="685"/>
      <c r="AF95" s="685"/>
      <c r="AG95" s="685"/>
      <c r="AH95" s="685"/>
      <c r="AI95" s="685"/>
      <c r="AJ95" s="685"/>
      <c r="AK95" s="685"/>
      <c r="AL95" s="685"/>
      <c r="AM95" s="685"/>
      <c r="AN95" s="685"/>
      <c r="AO95" s="685"/>
      <c r="AP95" s="685"/>
      <c r="AQ95" s="685"/>
      <c r="AR95" s="685"/>
      <c r="AS95" s="685"/>
      <c r="AT95" s="685"/>
      <c r="AU95" s="685"/>
      <c r="AV95" s="685"/>
      <c r="AW95" s="685"/>
      <c r="AX95" s="685"/>
      <c r="AY95" s="685"/>
      <c r="AZ95" s="685"/>
    </row>
    <row r="96" spans="1:52">
      <c r="A96" s="685"/>
      <c r="B96" s="743" t="str">
        <f>B91</f>
        <v xml:space="preserve">Underlying </v>
      </c>
      <c r="C96" s="901"/>
      <c r="D96" s="901">
        <f t="shared" ref="D96:N96" si="77">D97-D95</f>
        <v>1717.68</v>
      </c>
      <c r="E96" s="901">
        <f t="shared" si="77"/>
        <v>1783.8959999999997</v>
      </c>
      <c r="F96" s="901">
        <f t="shared" si="77"/>
        <v>1763.44</v>
      </c>
      <c r="G96" s="901">
        <f t="shared" si="77"/>
        <v>2044.1519999999991</v>
      </c>
      <c r="H96" s="901">
        <f t="shared" si="77"/>
        <v>2414.4339999999997</v>
      </c>
      <c r="I96" s="901">
        <f t="shared" si="77"/>
        <v>2643.9419999999996</v>
      </c>
      <c r="J96" s="901">
        <f t="shared" si="77"/>
        <v>2827.5</v>
      </c>
      <c r="K96" s="901">
        <f t="shared" si="77"/>
        <v>2147.0399999999995</v>
      </c>
      <c r="L96" s="901">
        <f t="shared" si="77"/>
        <v>1824.8999999999999</v>
      </c>
      <c r="M96" s="901">
        <f t="shared" si="77"/>
        <v>2075.15</v>
      </c>
      <c r="N96" s="901">
        <f t="shared" si="77"/>
        <v>573.51599999999996</v>
      </c>
      <c r="O96" s="901">
        <f>O97-O95</f>
        <v>1024.4188144250802</v>
      </c>
      <c r="P96" s="901">
        <f>P97-P95</f>
        <v>341.87</v>
      </c>
      <c r="Q96" s="901">
        <f>Q97-Q95</f>
        <v>819.50999999999988</v>
      </c>
      <c r="R96" s="901">
        <f>R97-R95</f>
        <v>0</v>
      </c>
      <c r="S96" s="901">
        <f>S97-S95</f>
        <v>0</v>
      </c>
      <c r="T96" s="685"/>
      <c r="U96" s="685"/>
      <c r="V96" s="685"/>
      <c r="W96" s="685"/>
      <c r="X96" s="685"/>
      <c r="Y96" s="685"/>
      <c r="Z96" s="685"/>
      <c r="AA96" s="685"/>
      <c r="AB96" s="685"/>
      <c r="AC96" s="685"/>
      <c r="AD96" s="685"/>
      <c r="AE96" s="685"/>
      <c r="AF96" s="685"/>
      <c r="AG96" s="685"/>
      <c r="AH96" s="685"/>
      <c r="AI96" s="685"/>
      <c r="AJ96" s="685"/>
      <c r="AK96" s="685"/>
      <c r="AL96" s="685"/>
      <c r="AM96" s="685"/>
      <c r="AN96" s="685"/>
      <c r="AO96" s="685"/>
      <c r="AP96" s="685"/>
      <c r="AQ96" s="685"/>
      <c r="AR96" s="685"/>
      <c r="AS96" s="685"/>
      <c r="AT96" s="685"/>
      <c r="AU96" s="685"/>
      <c r="AV96" s="685"/>
      <c r="AW96" s="685"/>
      <c r="AX96" s="685"/>
      <c r="AY96" s="685"/>
      <c r="AZ96" s="685"/>
    </row>
    <row r="97" spans="1:52">
      <c r="A97" s="685"/>
      <c r="B97" s="1095" t="str">
        <f>B92</f>
        <v>Total</v>
      </c>
      <c r="C97" s="1160"/>
      <c r="D97" s="1160">
        <f>Master!I87</f>
        <v>1717.68</v>
      </c>
      <c r="E97" s="1160">
        <f>Master!J87</f>
        <v>1783.8959999999997</v>
      </c>
      <c r="F97" s="1160">
        <f>Master!K87</f>
        <v>1763.44</v>
      </c>
      <c r="G97" s="1160">
        <f>Master!L87</f>
        <v>2044.1519999999991</v>
      </c>
      <c r="H97" s="1160">
        <f>Master!M87</f>
        <v>2414.4339999999997</v>
      </c>
      <c r="I97" s="1160">
        <f>Master!N87</f>
        <v>2643.9419999999996</v>
      </c>
      <c r="J97" s="1160">
        <f>Master!O87</f>
        <v>2827.5</v>
      </c>
      <c r="K97" s="1160">
        <f>Master!P87</f>
        <v>2147.0399999999995</v>
      </c>
      <c r="L97" s="1160">
        <f>Master!Q87</f>
        <v>1824.8999999999999</v>
      </c>
      <c r="M97" s="1160">
        <f>Master!R87</f>
        <v>2075.15</v>
      </c>
      <c r="N97" s="1160">
        <f>Master!S87</f>
        <v>573.51599999999996</v>
      </c>
      <c r="O97" s="1160">
        <f>Master!T87</f>
        <v>1024.4188144250802</v>
      </c>
      <c r="P97" s="1160">
        <f>Master!U87</f>
        <v>341.87</v>
      </c>
      <c r="Q97" s="1160">
        <f>Master!V87</f>
        <v>819.50999999999988</v>
      </c>
      <c r="R97" s="1160">
        <f>Master!W87</f>
        <v>0</v>
      </c>
      <c r="S97" s="1160">
        <f>Master!X87</f>
        <v>0</v>
      </c>
      <c r="T97" s="685"/>
      <c r="U97" s="685"/>
      <c r="V97" s="685"/>
      <c r="W97" s="685"/>
      <c r="X97" s="685"/>
      <c r="Y97" s="685"/>
      <c r="Z97" s="685"/>
      <c r="AA97" s="685"/>
      <c r="AB97" s="685"/>
      <c r="AC97" s="685"/>
      <c r="AD97" s="685"/>
      <c r="AE97" s="685"/>
      <c r="AF97" s="685"/>
      <c r="AG97" s="685"/>
      <c r="AH97" s="685"/>
      <c r="AI97" s="685"/>
      <c r="AJ97" s="685"/>
      <c r="AK97" s="685"/>
      <c r="AL97" s="685"/>
      <c r="AM97" s="685"/>
      <c r="AN97" s="685"/>
      <c r="AO97" s="685"/>
      <c r="AP97" s="685"/>
      <c r="AQ97" s="685"/>
      <c r="AR97" s="685"/>
      <c r="AS97" s="685"/>
      <c r="AT97" s="685"/>
      <c r="AU97" s="685"/>
      <c r="AV97" s="685"/>
      <c r="AW97" s="685"/>
      <c r="AX97" s="685"/>
      <c r="AY97" s="685"/>
      <c r="AZ97" s="685"/>
    </row>
    <row r="98" spans="1:52">
      <c r="A98" s="685"/>
      <c r="B98" s="685"/>
      <c r="C98" s="685"/>
      <c r="D98" s="685"/>
      <c r="E98" s="685"/>
      <c r="F98" s="685"/>
      <c r="G98" s="685"/>
      <c r="H98" s="685"/>
      <c r="I98" s="685"/>
      <c r="J98" s="685"/>
      <c r="K98" s="685"/>
      <c r="L98" s="685"/>
      <c r="M98" s="685"/>
      <c r="N98" s="685"/>
      <c r="O98" s="685"/>
      <c r="P98" s="685"/>
      <c r="Q98" s="685"/>
      <c r="R98" s="685"/>
      <c r="S98" s="685"/>
      <c r="T98" s="685"/>
      <c r="U98" s="685"/>
      <c r="V98" s="685"/>
      <c r="W98" s="685"/>
      <c r="X98" s="685"/>
      <c r="Y98" s="685"/>
      <c r="Z98" s="685"/>
      <c r="AA98" s="685"/>
      <c r="AB98" s="685"/>
      <c r="AC98" s="685"/>
      <c r="AD98" s="685"/>
      <c r="AE98" s="685"/>
      <c r="AF98" s="685"/>
      <c r="AG98" s="685"/>
      <c r="AH98" s="685"/>
      <c r="AI98" s="685"/>
      <c r="AJ98" s="685"/>
      <c r="AK98" s="685"/>
      <c r="AL98" s="685"/>
      <c r="AM98" s="685"/>
      <c r="AN98" s="685"/>
      <c r="AO98" s="685"/>
      <c r="AP98" s="685"/>
      <c r="AQ98" s="685"/>
      <c r="AR98" s="685"/>
      <c r="AS98" s="685"/>
      <c r="AT98" s="685"/>
      <c r="AU98" s="685"/>
      <c r="AV98" s="685"/>
      <c r="AW98" s="685"/>
      <c r="AX98" s="685"/>
      <c r="AY98" s="685"/>
      <c r="AZ98" s="685"/>
    </row>
    <row r="99" spans="1:52">
      <c r="A99" s="685"/>
      <c r="B99" s="1099" t="s">
        <v>1580</v>
      </c>
      <c r="C99" s="1099"/>
      <c r="D99" s="1099">
        <f t="shared" ref="D99:L99" si="78">D94</f>
        <v>2010</v>
      </c>
      <c r="E99" s="1099">
        <f t="shared" si="78"/>
        <v>2011</v>
      </c>
      <c r="F99" s="1099">
        <f t="shared" si="78"/>
        <v>2012</v>
      </c>
      <c r="G99" s="1099">
        <f t="shared" si="78"/>
        <v>2013</v>
      </c>
      <c r="H99" s="1099">
        <f t="shared" si="78"/>
        <v>2014</v>
      </c>
      <c r="I99" s="1099">
        <f t="shared" si="78"/>
        <v>2015</v>
      </c>
      <c r="J99" s="1099">
        <f t="shared" si="78"/>
        <v>2016</v>
      </c>
      <c r="K99" s="1099">
        <f t="shared" si="78"/>
        <v>2017</v>
      </c>
      <c r="L99" s="1099">
        <f t="shared" si="78"/>
        <v>2018</v>
      </c>
      <c r="M99" s="1099">
        <f t="shared" ref="M99:S99" si="79">M94</f>
        <v>2019</v>
      </c>
      <c r="N99" s="1099">
        <f t="shared" si="79"/>
        <v>2020</v>
      </c>
      <c r="O99" s="1099">
        <f t="shared" si="79"/>
        <v>2021</v>
      </c>
      <c r="P99" s="1099">
        <f t="shared" si="79"/>
        <v>2022</v>
      </c>
      <c r="Q99" s="1099">
        <f t="shared" si="79"/>
        <v>2023</v>
      </c>
      <c r="R99" s="1099">
        <f t="shared" si="79"/>
        <v>2024</v>
      </c>
      <c r="S99" s="1099">
        <f t="shared" si="79"/>
        <v>2025</v>
      </c>
      <c r="T99" s="685"/>
      <c r="U99" s="685"/>
      <c r="V99" s="685"/>
      <c r="W99" s="685"/>
      <c r="X99" s="685"/>
      <c r="Y99" s="685"/>
      <c r="Z99" s="685"/>
      <c r="AA99" s="685"/>
      <c r="AB99" s="685"/>
      <c r="AC99" s="685"/>
      <c r="AD99" s="685"/>
      <c r="AE99" s="685"/>
      <c r="AF99" s="685"/>
      <c r="AG99" s="685"/>
      <c r="AH99" s="685"/>
      <c r="AI99" s="685"/>
      <c r="AJ99" s="685"/>
      <c r="AK99" s="685"/>
      <c r="AL99" s="685"/>
      <c r="AM99" s="685"/>
      <c r="AN99" s="685"/>
      <c r="AO99" s="685"/>
      <c r="AP99" s="685"/>
      <c r="AQ99" s="685"/>
      <c r="AR99" s="685"/>
      <c r="AS99" s="685"/>
      <c r="AT99" s="685"/>
      <c r="AU99" s="685"/>
      <c r="AV99" s="685"/>
      <c r="AW99" s="685"/>
      <c r="AX99" s="685"/>
      <c r="AY99" s="685"/>
      <c r="AZ99" s="685"/>
    </row>
    <row r="100" spans="1:52">
      <c r="A100" s="685"/>
      <c r="B100" s="685" t="str">
        <f>B95</f>
        <v>Univision royalties</v>
      </c>
      <c r="C100" s="848"/>
      <c r="D100" s="848">
        <f t="shared" ref="D100:L100" si="80">D85-D95</f>
        <v>2202.9889826879994</v>
      </c>
      <c r="E100" s="848">
        <f t="shared" si="80"/>
        <v>2801.0203689008117</v>
      </c>
      <c r="F100" s="848">
        <f t="shared" si="80"/>
        <v>3258.4160000000002</v>
      </c>
      <c r="G100" s="848">
        <f t="shared" si="80"/>
        <v>3486.0319999999997</v>
      </c>
      <c r="H100" s="848">
        <f t="shared" si="80"/>
        <v>4175.3469999999998</v>
      </c>
      <c r="I100" s="848">
        <f t="shared" si="80"/>
        <v>4943.5050000000001</v>
      </c>
      <c r="J100" s="848">
        <f>J85-J95</f>
        <v>6118.7100000000009</v>
      </c>
      <c r="K100" s="848">
        <f t="shared" si="80"/>
        <v>5932.7099999999991</v>
      </c>
      <c r="L100" s="848">
        <f t="shared" si="80"/>
        <v>7384.3</v>
      </c>
      <c r="M100" s="848">
        <f t="shared" ref="M100:S101" si="81">M85-M95</f>
        <v>7490.1750000000002</v>
      </c>
      <c r="N100" s="848">
        <f t="shared" si="81"/>
        <v>8151.66</v>
      </c>
      <c r="O100" s="848">
        <f t="shared" si="81"/>
        <v>8475.2907062732393</v>
      </c>
      <c r="P100" s="848">
        <f t="shared" si="81"/>
        <v>9490.0259956661102</v>
      </c>
      <c r="Q100" s="848">
        <f t="shared" si="81"/>
        <v>8799.8666735432453</v>
      </c>
      <c r="R100" s="848">
        <f t="shared" si="81"/>
        <v>8740.874099224704</v>
      </c>
      <c r="S100" s="848">
        <f t="shared" si="81"/>
        <v>9050.190313912517</v>
      </c>
      <c r="T100" s="685"/>
      <c r="U100" s="685"/>
      <c r="V100" s="685"/>
      <c r="W100" s="685"/>
      <c r="X100" s="685"/>
      <c r="Y100" s="685"/>
      <c r="Z100" s="685"/>
      <c r="AA100" s="685"/>
      <c r="AB100" s="685"/>
      <c r="AC100" s="685"/>
      <c r="AD100" s="685"/>
      <c r="AE100" s="685"/>
      <c r="AF100" s="685"/>
      <c r="AG100" s="685"/>
      <c r="AH100" s="685"/>
      <c r="AI100" s="685"/>
      <c r="AJ100" s="685"/>
      <c r="AK100" s="685"/>
      <c r="AL100" s="685"/>
      <c r="AM100" s="685"/>
      <c r="AN100" s="685"/>
      <c r="AO100" s="685"/>
      <c r="AP100" s="685"/>
      <c r="AQ100" s="685"/>
      <c r="AR100" s="685"/>
      <c r="AS100" s="685"/>
      <c r="AT100" s="685"/>
      <c r="AU100" s="685"/>
      <c r="AV100" s="685"/>
      <c r="AW100" s="685"/>
      <c r="AX100" s="685"/>
      <c r="AY100" s="685"/>
      <c r="AZ100" s="685"/>
    </row>
    <row r="101" spans="1:52">
      <c r="A101" s="685"/>
      <c r="B101" s="1099" t="str">
        <f>B96</f>
        <v xml:space="preserve">Underlying </v>
      </c>
      <c r="C101" s="1170"/>
      <c r="D101" s="1170">
        <f t="shared" ref="D101:L101" si="82">D86-D96</f>
        <v>9899.3310173120008</v>
      </c>
      <c r="E101" s="1170">
        <f t="shared" si="82"/>
        <v>9880.6836310991894</v>
      </c>
      <c r="F101" s="1170">
        <f t="shared" si="82"/>
        <v>10389.343999999999</v>
      </c>
      <c r="G101" s="1170">
        <f t="shared" si="82"/>
        <v>10035.815999999999</v>
      </c>
      <c r="H101" s="1170">
        <f t="shared" si="82"/>
        <v>8944.5190000000002</v>
      </c>
      <c r="I101" s="1170">
        <f t="shared" si="82"/>
        <v>6976.7530000000006</v>
      </c>
      <c r="J101" s="1170">
        <f t="shared" si="82"/>
        <v>5801.7899999999991</v>
      </c>
      <c r="K101" s="1170">
        <f t="shared" si="82"/>
        <v>4745.2500000000018</v>
      </c>
      <c r="L101" s="1170">
        <f t="shared" si="82"/>
        <v>5645.8</v>
      </c>
      <c r="M101" s="1170">
        <f t="shared" si="81"/>
        <v>3066.6749999999997</v>
      </c>
      <c r="N101" s="1170">
        <f t="shared" si="81"/>
        <v>3635.6239999999993</v>
      </c>
      <c r="O101" s="1170">
        <f t="shared" si="81"/>
        <v>4279.2904793016805</v>
      </c>
      <c r="P101" s="1170">
        <f t="shared" ca="1" si="81"/>
        <v>4187.9708700860456</v>
      </c>
      <c r="Q101" s="1170">
        <f t="shared" ca="1" si="81"/>
        <v>3827.1573605803119</v>
      </c>
      <c r="R101" s="1170">
        <f t="shared" ca="1" si="81"/>
        <v>4050.6313513092318</v>
      </c>
      <c r="S101" s="1170">
        <f t="shared" ca="1" si="81"/>
        <v>3290.0245231923454</v>
      </c>
      <c r="T101" s="685"/>
      <c r="U101" s="685"/>
      <c r="V101" s="685"/>
      <c r="W101" s="685"/>
      <c r="X101" s="685"/>
      <c r="Y101" s="685"/>
      <c r="Z101" s="685"/>
      <c r="AA101" s="685"/>
      <c r="AB101" s="685"/>
      <c r="AC101" s="685"/>
      <c r="AD101" s="685"/>
      <c r="AE101" s="685"/>
      <c r="AF101" s="685"/>
      <c r="AG101" s="685"/>
      <c r="AH101" s="685"/>
      <c r="AI101" s="685"/>
      <c r="AJ101" s="685"/>
      <c r="AK101" s="685"/>
      <c r="AL101" s="685"/>
      <c r="AM101" s="685"/>
      <c r="AN101" s="685"/>
      <c r="AO101" s="685"/>
      <c r="AP101" s="685"/>
      <c r="AQ101" s="685"/>
      <c r="AR101" s="685"/>
      <c r="AS101" s="685"/>
      <c r="AT101" s="685"/>
      <c r="AU101" s="685"/>
      <c r="AV101" s="685"/>
      <c r="AW101" s="685"/>
      <c r="AX101" s="685"/>
      <c r="AY101" s="685"/>
      <c r="AZ101" s="685"/>
    </row>
    <row r="102" spans="1:52">
      <c r="A102" s="685"/>
      <c r="B102" s="685" t="str">
        <f>B97</f>
        <v>Total</v>
      </c>
      <c r="C102" s="848"/>
      <c r="D102" s="848">
        <f t="shared" ref="D102:L102" si="83">D100+D101</f>
        <v>12102.32</v>
      </c>
      <c r="E102" s="848">
        <f t="shared" si="83"/>
        <v>12681.704000000002</v>
      </c>
      <c r="F102" s="848">
        <f t="shared" si="83"/>
        <v>13647.759999999998</v>
      </c>
      <c r="G102" s="848">
        <f t="shared" si="83"/>
        <v>13521.847999999998</v>
      </c>
      <c r="H102" s="848">
        <f t="shared" si="83"/>
        <v>13119.866</v>
      </c>
      <c r="I102" s="848">
        <f t="shared" si="83"/>
        <v>11920.258000000002</v>
      </c>
      <c r="J102" s="848">
        <f t="shared" si="83"/>
        <v>11920.5</v>
      </c>
      <c r="K102" s="848">
        <f t="shared" si="83"/>
        <v>10677.960000000001</v>
      </c>
      <c r="L102" s="848">
        <f t="shared" si="83"/>
        <v>13030.1</v>
      </c>
      <c r="M102" s="848">
        <f t="shared" ref="M102:S102" si="84">M100+M101</f>
        <v>10556.85</v>
      </c>
      <c r="N102" s="848">
        <f t="shared" si="84"/>
        <v>11787.284</v>
      </c>
      <c r="O102" s="848">
        <f t="shared" si="84"/>
        <v>12754.58118557492</v>
      </c>
      <c r="P102" s="848">
        <f t="shared" ca="1" si="84"/>
        <v>13677.996865752157</v>
      </c>
      <c r="Q102" s="848">
        <f t="shared" ca="1" si="84"/>
        <v>12627.024034123557</v>
      </c>
      <c r="R102" s="848">
        <f t="shared" ca="1" si="84"/>
        <v>12791.505450533936</v>
      </c>
      <c r="S102" s="848">
        <f t="shared" ca="1" si="84"/>
        <v>12340.214837104862</v>
      </c>
      <c r="T102" s="685"/>
      <c r="U102" s="685"/>
      <c r="V102" s="685"/>
      <c r="W102" s="685"/>
      <c r="X102" s="685"/>
      <c r="Y102" s="685"/>
      <c r="Z102" s="685"/>
      <c r="AA102" s="685"/>
      <c r="AB102" s="685"/>
      <c r="AC102" s="685"/>
      <c r="AD102" s="685"/>
      <c r="AE102" s="685"/>
      <c r="AF102" s="685"/>
      <c r="AG102" s="685"/>
      <c r="AH102" s="685"/>
      <c r="AI102" s="685"/>
      <c r="AJ102" s="685"/>
      <c r="AK102" s="685"/>
      <c r="AL102" s="685"/>
      <c r="AM102" s="685"/>
      <c r="AN102" s="685"/>
      <c r="AO102" s="685"/>
      <c r="AP102" s="685"/>
      <c r="AQ102" s="685"/>
      <c r="AR102" s="685"/>
      <c r="AS102" s="685"/>
      <c r="AT102" s="685"/>
      <c r="AU102" s="685"/>
      <c r="AV102" s="685"/>
      <c r="AW102" s="685"/>
      <c r="AX102" s="685"/>
      <c r="AY102" s="685"/>
      <c r="AZ102" s="685"/>
    </row>
    <row r="103" spans="1:52">
      <c r="A103" s="685"/>
      <c r="B103" s="1095"/>
      <c r="C103" s="1095"/>
      <c r="D103" s="1095"/>
      <c r="E103" s="1095"/>
      <c r="F103" s="1095"/>
      <c r="G103" s="1095"/>
      <c r="H103" s="1095"/>
      <c r="I103" s="1095"/>
      <c r="J103" s="1095"/>
      <c r="K103" s="1095"/>
      <c r="L103" s="1095"/>
      <c r="M103" s="1095"/>
      <c r="N103" s="1095"/>
      <c r="O103" s="1095"/>
      <c r="P103" s="1095"/>
      <c r="Q103" s="1095"/>
      <c r="R103" s="1095"/>
      <c r="S103" s="1095"/>
      <c r="T103" s="685"/>
      <c r="U103" s="685"/>
      <c r="V103" s="685"/>
      <c r="W103" s="685"/>
      <c r="X103" s="685"/>
      <c r="Y103" s="685"/>
      <c r="Z103" s="685"/>
      <c r="AA103" s="685"/>
      <c r="AB103" s="685"/>
      <c r="AC103" s="685"/>
      <c r="AD103" s="685"/>
      <c r="AE103" s="685"/>
      <c r="AF103" s="685"/>
      <c r="AG103" s="685"/>
      <c r="AH103" s="685"/>
      <c r="AI103" s="685"/>
      <c r="AJ103" s="685"/>
      <c r="AK103" s="685"/>
      <c r="AL103" s="685"/>
      <c r="AM103" s="685"/>
      <c r="AN103" s="685"/>
      <c r="AO103" s="685"/>
      <c r="AP103" s="685"/>
      <c r="AQ103" s="685"/>
      <c r="AR103" s="685"/>
      <c r="AS103" s="685"/>
      <c r="AT103" s="685"/>
      <c r="AU103" s="685"/>
      <c r="AV103" s="685"/>
      <c r="AW103" s="685"/>
      <c r="AX103" s="685"/>
      <c r="AY103" s="685"/>
      <c r="AZ103" s="685"/>
    </row>
    <row r="104" spans="1:52">
      <c r="A104" s="685"/>
      <c r="B104" s="743" t="s">
        <v>1581</v>
      </c>
      <c r="C104" s="743"/>
      <c r="D104" s="743">
        <f t="shared" ref="D104:L104" si="85">D99</f>
        <v>2010</v>
      </c>
      <c r="E104" s="743">
        <f t="shared" si="85"/>
        <v>2011</v>
      </c>
      <c r="F104" s="743">
        <f t="shared" si="85"/>
        <v>2012</v>
      </c>
      <c r="G104" s="743">
        <f t="shared" si="85"/>
        <v>2013</v>
      </c>
      <c r="H104" s="743">
        <f t="shared" si="85"/>
        <v>2014</v>
      </c>
      <c r="I104" s="743">
        <f t="shared" si="85"/>
        <v>2015</v>
      </c>
      <c r="J104" s="743">
        <f t="shared" si="85"/>
        <v>2016</v>
      </c>
      <c r="K104" s="743">
        <f t="shared" si="85"/>
        <v>2017</v>
      </c>
      <c r="L104" s="743">
        <f t="shared" si="85"/>
        <v>2018</v>
      </c>
      <c r="M104" s="743">
        <f t="shared" ref="M104:S104" si="86">M99</f>
        <v>2019</v>
      </c>
      <c r="N104" s="743">
        <f t="shared" si="86"/>
        <v>2020</v>
      </c>
      <c r="O104" s="743">
        <f t="shared" si="86"/>
        <v>2021</v>
      </c>
      <c r="P104" s="743">
        <f t="shared" si="86"/>
        <v>2022</v>
      </c>
      <c r="Q104" s="743">
        <f t="shared" si="86"/>
        <v>2023</v>
      </c>
      <c r="R104" s="743">
        <f t="shared" si="86"/>
        <v>2024</v>
      </c>
      <c r="S104" s="743">
        <f t="shared" si="86"/>
        <v>2025</v>
      </c>
      <c r="T104" s="685"/>
      <c r="U104" s="685"/>
      <c r="V104" s="685"/>
      <c r="W104" s="685"/>
      <c r="X104" s="685"/>
      <c r="Y104" s="685"/>
      <c r="Z104" s="685"/>
      <c r="AA104" s="685"/>
      <c r="AB104" s="685"/>
      <c r="AC104" s="685"/>
      <c r="AD104" s="685"/>
      <c r="AE104" s="685"/>
      <c r="AF104" s="685"/>
      <c r="AG104" s="685"/>
      <c r="AH104" s="685"/>
      <c r="AI104" s="685"/>
      <c r="AJ104" s="685"/>
      <c r="AK104" s="685"/>
      <c r="AL104" s="685"/>
      <c r="AM104" s="685"/>
      <c r="AN104" s="685"/>
      <c r="AO104" s="685"/>
      <c r="AP104" s="685"/>
      <c r="AQ104" s="685"/>
      <c r="AR104" s="685"/>
      <c r="AS104" s="685"/>
      <c r="AT104" s="685"/>
      <c r="AU104" s="685"/>
      <c r="AV104" s="685"/>
      <c r="AW104" s="685"/>
      <c r="AX104" s="685"/>
      <c r="AY104" s="685"/>
      <c r="AZ104" s="685"/>
    </row>
    <row r="105" spans="1:52">
      <c r="A105" s="685"/>
      <c r="B105" s="1095" t="str">
        <f>B100</f>
        <v>Univision royalties</v>
      </c>
      <c r="C105" s="1160"/>
      <c r="D105" s="1160">
        <f t="shared" ref="D105:L105" si="87">D100*(1-0.28)</f>
        <v>1586.1520675353595</v>
      </c>
      <c r="E105" s="1160">
        <f t="shared" si="87"/>
        <v>2016.7346656085845</v>
      </c>
      <c r="F105" s="1160">
        <f t="shared" si="87"/>
        <v>2346.0595200000002</v>
      </c>
      <c r="G105" s="1160">
        <f t="shared" si="87"/>
        <v>2509.9430399999997</v>
      </c>
      <c r="H105" s="1160">
        <f t="shared" si="87"/>
        <v>3006.2498399999995</v>
      </c>
      <c r="I105" s="1160">
        <f t="shared" si="87"/>
        <v>3559.3236000000002</v>
      </c>
      <c r="J105" s="1160">
        <f t="shared" si="87"/>
        <v>4405.4712000000009</v>
      </c>
      <c r="K105" s="1160">
        <f t="shared" si="87"/>
        <v>4271.551199999999</v>
      </c>
      <c r="L105" s="1160">
        <f t="shared" si="87"/>
        <v>5316.6959999999999</v>
      </c>
      <c r="M105" s="1160">
        <f t="shared" ref="M105:S105" si="88">M100*(1-0.28)</f>
        <v>5392.9260000000004</v>
      </c>
      <c r="N105" s="1160">
        <f t="shared" si="88"/>
        <v>5869.1952000000001</v>
      </c>
      <c r="O105" s="1160">
        <f t="shared" si="88"/>
        <v>6102.2093085167317</v>
      </c>
      <c r="P105" s="1160">
        <f t="shared" si="88"/>
        <v>6832.8187168795994</v>
      </c>
      <c r="Q105" s="1160">
        <f t="shared" si="88"/>
        <v>6335.9040049511368</v>
      </c>
      <c r="R105" s="1160">
        <f t="shared" si="88"/>
        <v>6293.4293514417868</v>
      </c>
      <c r="S105" s="1160">
        <f t="shared" si="88"/>
        <v>6516.1370260170124</v>
      </c>
      <c r="T105" s="685"/>
      <c r="U105" s="685"/>
      <c r="V105" s="685"/>
      <c r="W105" s="685"/>
      <c r="X105" s="685"/>
      <c r="Y105" s="685"/>
      <c r="Z105" s="685"/>
      <c r="AA105" s="685"/>
      <c r="AB105" s="685"/>
      <c r="AC105" s="685"/>
      <c r="AD105" s="685"/>
      <c r="AE105" s="685"/>
      <c r="AF105" s="685"/>
      <c r="AG105" s="685"/>
      <c r="AH105" s="685"/>
      <c r="AI105" s="685"/>
      <c r="AJ105" s="685"/>
      <c r="AK105" s="685"/>
      <c r="AL105" s="685"/>
      <c r="AM105" s="685"/>
      <c r="AN105" s="685"/>
      <c r="AO105" s="685"/>
      <c r="AP105" s="685"/>
      <c r="AQ105" s="685"/>
      <c r="AR105" s="685"/>
      <c r="AS105" s="685"/>
      <c r="AT105" s="685"/>
      <c r="AU105" s="685"/>
      <c r="AV105" s="685"/>
      <c r="AW105" s="685"/>
      <c r="AX105" s="685"/>
      <c r="AY105" s="685"/>
      <c r="AZ105" s="685"/>
    </row>
    <row r="106" spans="1:52">
      <c r="A106" s="685"/>
      <c r="B106" s="743" t="str">
        <f>B101</f>
        <v xml:space="preserve">Underlying </v>
      </c>
      <c r="C106" s="901"/>
      <c r="D106" s="901">
        <f t="shared" ref="D106:N106" si="89">D101*(1-0.28)</f>
        <v>7127.5183324646405</v>
      </c>
      <c r="E106" s="901">
        <f t="shared" si="89"/>
        <v>7114.0922143914158</v>
      </c>
      <c r="F106" s="901">
        <f t="shared" si="89"/>
        <v>7480.3276799999994</v>
      </c>
      <c r="G106" s="901">
        <f t="shared" si="89"/>
        <v>7225.7875199999989</v>
      </c>
      <c r="H106" s="901">
        <f t="shared" si="89"/>
        <v>6440.05368</v>
      </c>
      <c r="I106" s="901">
        <f t="shared" si="89"/>
        <v>5023.2621600000002</v>
      </c>
      <c r="J106" s="901">
        <f t="shared" si="89"/>
        <v>4177.2887999999994</v>
      </c>
      <c r="K106" s="901">
        <f t="shared" si="89"/>
        <v>3416.5800000000013</v>
      </c>
      <c r="L106" s="901">
        <f t="shared" si="89"/>
        <v>4064.9760000000001</v>
      </c>
      <c r="M106" s="901">
        <f t="shared" si="89"/>
        <v>2208.0059999999999</v>
      </c>
      <c r="N106" s="901">
        <f t="shared" si="89"/>
        <v>2617.6492799999996</v>
      </c>
      <c r="O106" s="901">
        <f>O101*(1-0.28)</f>
        <v>3081.0891450972099</v>
      </c>
      <c r="P106" s="901">
        <f ca="1">P101*(1-0.28)</f>
        <v>3015.3390264619529</v>
      </c>
      <c r="Q106" s="901">
        <f ca="1">Q101*(1-0.28)</f>
        <v>2755.5532996178245</v>
      </c>
      <c r="R106" s="901">
        <f ca="1">R101*(1-0.28)</f>
        <v>2916.4545729426468</v>
      </c>
      <c r="S106" s="901">
        <f ca="1">S101*(1-0.28)</f>
        <v>2368.8176566984885</v>
      </c>
      <c r="T106" s="685"/>
      <c r="U106" s="685"/>
      <c r="V106" s="685"/>
      <c r="W106" s="685"/>
      <c r="X106" s="685"/>
      <c r="Y106" s="685"/>
      <c r="Z106" s="685"/>
      <c r="AA106" s="685"/>
      <c r="AB106" s="685"/>
      <c r="AC106" s="685"/>
      <c r="AD106" s="685"/>
      <c r="AE106" s="685"/>
      <c r="AF106" s="685"/>
      <c r="AG106" s="685"/>
      <c r="AH106" s="685"/>
      <c r="AI106" s="685"/>
      <c r="AJ106" s="685"/>
      <c r="AK106" s="685"/>
      <c r="AL106" s="685"/>
      <c r="AM106" s="685"/>
      <c r="AN106" s="685"/>
      <c r="AO106" s="685"/>
      <c r="AP106" s="685"/>
      <c r="AQ106" s="685"/>
      <c r="AR106" s="685"/>
      <c r="AS106" s="685"/>
      <c r="AT106" s="685"/>
      <c r="AU106" s="685"/>
      <c r="AV106" s="685"/>
      <c r="AW106" s="685"/>
      <c r="AX106" s="685"/>
      <c r="AY106" s="685"/>
      <c r="AZ106" s="685"/>
    </row>
    <row r="107" spans="1:52">
      <c r="A107" s="685"/>
      <c r="B107" s="1095" t="s">
        <v>98</v>
      </c>
      <c r="C107" s="1160"/>
      <c r="D107" s="1160">
        <f t="shared" ref="D107:L107" si="90">D105+D106</f>
        <v>8713.6703999999991</v>
      </c>
      <c r="E107" s="1160">
        <f t="shared" si="90"/>
        <v>9130.8268800000005</v>
      </c>
      <c r="F107" s="1160">
        <f t="shared" si="90"/>
        <v>9826.3871999999992</v>
      </c>
      <c r="G107" s="1160">
        <f t="shared" si="90"/>
        <v>9735.7305599999981</v>
      </c>
      <c r="H107" s="1160">
        <f t="shared" si="90"/>
        <v>9446.3035199999995</v>
      </c>
      <c r="I107" s="1160">
        <f t="shared" si="90"/>
        <v>8582.5857599999999</v>
      </c>
      <c r="J107" s="1160">
        <f t="shared" si="90"/>
        <v>8582.76</v>
      </c>
      <c r="K107" s="1160">
        <f t="shared" si="90"/>
        <v>7688.1311999999998</v>
      </c>
      <c r="L107" s="1160">
        <f t="shared" si="90"/>
        <v>9381.6720000000005</v>
      </c>
      <c r="M107" s="1160">
        <f t="shared" ref="M107:S107" si="91">M105+M106</f>
        <v>7600.9320000000007</v>
      </c>
      <c r="N107" s="1160">
        <f t="shared" si="91"/>
        <v>8486.8444799999997</v>
      </c>
      <c r="O107" s="1160">
        <f t="shared" si="91"/>
        <v>9183.2984536139411</v>
      </c>
      <c r="P107" s="1160">
        <f t="shared" ca="1" si="91"/>
        <v>9848.1577433415514</v>
      </c>
      <c r="Q107" s="1160">
        <f t="shared" ca="1" si="91"/>
        <v>9091.4573045689613</v>
      </c>
      <c r="R107" s="1160">
        <f t="shared" ca="1" si="91"/>
        <v>9209.8839243844341</v>
      </c>
      <c r="S107" s="1160">
        <f t="shared" ca="1" si="91"/>
        <v>8884.9546827155009</v>
      </c>
      <c r="T107" s="685"/>
      <c r="U107" s="685"/>
      <c r="V107" s="685"/>
      <c r="W107" s="685"/>
      <c r="X107" s="685"/>
      <c r="Y107" s="685"/>
      <c r="Z107" s="685"/>
      <c r="AA107" s="685"/>
      <c r="AB107" s="685"/>
      <c r="AC107" s="685"/>
      <c r="AD107" s="685"/>
      <c r="AE107" s="685"/>
      <c r="AF107" s="685"/>
      <c r="AG107" s="685"/>
      <c r="AH107" s="685"/>
      <c r="AI107" s="685"/>
      <c r="AJ107" s="685"/>
      <c r="AK107" s="685"/>
      <c r="AL107" s="685"/>
      <c r="AM107" s="685"/>
      <c r="AN107" s="685"/>
      <c r="AO107" s="685"/>
      <c r="AP107" s="685"/>
      <c r="AQ107" s="685"/>
      <c r="AR107" s="685"/>
      <c r="AS107" s="685"/>
      <c r="AT107" s="685"/>
      <c r="AU107" s="685"/>
      <c r="AV107" s="685"/>
      <c r="AW107" s="685"/>
      <c r="AX107" s="685"/>
      <c r="AY107" s="685"/>
      <c r="AZ107" s="685"/>
    </row>
    <row r="108" spans="1:52">
      <c r="A108" s="685"/>
      <c r="B108" s="685"/>
      <c r="C108" s="685"/>
      <c r="D108" s="685"/>
      <c r="E108" s="685"/>
      <c r="F108" s="685"/>
      <c r="G108" s="685"/>
      <c r="H108" s="685"/>
      <c r="I108" s="685"/>
      <c r="J108" s="685"/>
      <c r="K108" s="685"/>
      <c r="L108" s="685"/>
      <c r="M108" s="685"/>
      <c r="N108" s="685"/>
      <c r="O108" s="685"/>
      <c r="P108" s="685"/>
      <c r="Q108" s="685"/>
      <c r="R108" s="685"/>
      <c r="S108" s="685"/>
      <c r="T108" s="685"/>
      <c r="U108" s="685"/>
      <c r="V108" s="685"/>
      <c r="W108" s="685"/>
      <c r="X108" s="685"/>
      <c r="Y108" s="685"/>
      <c r="Z108" s="685"/>
      <c r="AA108" s="685"/>
      <c r="AB108" s="685"/>
      <c r="AC108" s="685"/>
      <c r="AD108" s="685"/>
      <c r="AE108" s="685"/>
      <c r="AF108" s="685"/>
      <c r="AG108" s="685"/>
      <c r="AH108" s="685"/>
      <c r="AI108" s="685"/>
      <c r="AJ108" s="685"/>
      <c r="AK108" s="685"/>
      <c r="AL108" s="685"/>
      <c r="AM108" s="685"/>
      <c r="AN108" s="685"/>
      <c r="AO108" s="685"/>
      <c r="AP108" s="685"/>
      <c r="AQ108" s="685"/>
      <c r="AR108" s="685"/>
      <c r="AS108" s="685"/>
      <c r="AT108" s="685"/>
      <c r="AU108" s="685"/>
      <c r="AV108" s="685"/>
      <c r="AW108" s="685"/>
      <c r="AX108" s="685"/>
      <c r="AY108" s="685"/>
      <c r="AZ108" s="685"/>
    </row>
    <row r="109" spans="1:52">
      <c r="A109" s="685"/>
      <c r="B109" s="1099" t="s">
        <v>1582</v>
      </c>
      <c r="C109" s="1099"/>
      <c r="D109" s="1099">
        <f>D104</f>
        <v>2010</v>
      </c>
      <c r="E109" s="1099">
        <f t="shared" ref="E109:L109" si="92">E104</f>
        <v>2011</v>
      </c>
      <c r="F109" s="1099">
        <f t="shared" si="92"/>
        <v>2012</v>
      </c>
      <c r="G109" s="1099">
        <f t="shared" si="92"/>
        <v>2013</v>
      </c>
      <c r="H109" s="1099">
        <f t="shared" si="92"/>
        <v>2014</v>
      </c>
      <c r="I109" s="1099">
        <f t="shared" si="92"/>
        <v>2015</v>
      </c>
      <c r="J109" s="1099">
        <f t="shared" si="92"/>
        <v>2016</v>
      </c>
      <c r="K109" s="1099">
        <f t="shared" si="92"/>
        <v>2017</v>
      </c>
      <c r="L109" s="1099">
        <f t="shared" si="92"/>
        <v>2018</v>
      </c>
      <c r="M109" s="1099">
        <f t="shared" ref="M109:S109" si="93">M104</f>
        <v>2019</v>
      </c>
      <c r="N109" s="1099">
        <f t="shared" si="93"/>
        <v>2020</v>
      </c>
      <c r="O109" s="1099">
        <f t="shared" si="93"/>
        <v>2021</v>
      </c>
      <c r="P109" s="1099">
        <f t="shared" si="93"/>
        <v>2022</v>
      </c>
      <c r="Q109" s="1099">
        <f t="shared" si="93"/>
        <v>2023</v>
      </c>
      <c r="R109" s="1099">
        <f t="shared" si="93"/>
        <v>2024</v>
      </c>
      <c r="S109" s="1099">
        <f t="shared" si="93"/>
        <v>2025</v>
      </c>
      <c r="T109" s="685"/>
      <c r="U109" s="685"/>
      <c r="V109" s="685"/>
      <c r="W109" s="685"/>
      <c r="X109" s="685"/>
      <c r="Y109" s="685"/>
      <c r="Z109" s="685"/>
      <c r="AA109" s="685"/>
      <c r="AB109" s="685"/>
      <c r="AC109" s="685"/>
      <c r="AD109" s="685"/>
      <c r="AE109" s="685"/>
      <c r="AF109" s="685"/>
      <c r="AG109" s="685"/>
      <c r="AH109" s="685"/>
      <c r="AI109" s="685"/>
      <c r="AJ109" s="685"/>
      <c r="AK109" s="685"/>
      <c r="AL109" s="685"/>
      <c r="AM109" s="685"/>
      <c r="AN109" s="685"/>
      <c r="AO109" s="685"/>
      <c r="AP109" s="685"/>
      <c r="AQ109" s="685"/>
      <c r="AR109" s="685"/>
      <c r="AS109" s="685"/>
      <c r="AT109" s="685"/>
      <c r="AU109" s="685"/>
      <c r="AV109" s="685"/>
      <c r="AW109" s="685"/>
      <c r="AX109" s="685"/>
      <c r="AY109" s="685"/>
      <c r="AZ109" s="685"/>
    </row>
    <row r="110" spans="1:52">
      <c r="A110" s="685"/>
      <c r="B110" s="685" t="str">
        <f>B105</f>
        <v>Univision royalties</v>
      </c>
      <c r="C110" s="685"/>
      <c r="D110" s="848">
        <f>D58*(1-0.28)</f>
        <v>125.58607027199997</v>
      </c>
      <c r="E110" s="848">
        <f t="shared" ref="E110:AC110" si="94">E58*(1-0.28)</f>
        <v>162.11693453445213</v>
      </c>
      <c r="F110" s="848">
        <f t="shared" si="94"/>
        <v>178.27199999999999</v>
      </c>
      <c r="G110" s="848">
        <f t="shared" si="94"/>
        <v>196.70399999999998</v>
      </c>
      <c r="H110" s="848">
        <f t="shared" si="94"/>
        <v>225.86399999999998</v>
      </c>
      <c r="I110" s="848">
        <f t="shared" si="94"/>
        <v>224.28</v>
      </c>
      <c r="J110" s="848">
        <f>J58*(1-0.28)</f>
        <v>233.71200000000002</v>
      </c>
      <c r="K110" s="848">
        <f t="shared" si="94"/>
        <v>226.00799999999998</v>
      </c>
      <c r="L110" s="848">
        <f t="shared" si="94"/>
        <v>276.19200000000001</v>
      </c>
      <c r="M110" s="848">
        <f t="shared" ref="M110:S110" si="95">M58*(1-0.28)</f>
        <v>280.15199999999999</v>
      </c>
      <c r="N110" s="848">
        <f t="shared" si="95"/>
        <v>273.24</v>
      </c>
      <c r="O110" s="848">
        <f t="shared" si="95"/>
        <v>300.81599999999997</v>
      </c>
      <c r="P110" s="848">
        <f t="shared" si="95"/>
        <v>339.77218880554943</v>
      </c>
      <c r="Q110" s="848">
        <f t="shared" si="95"/>
        <v>357.9606782458269</v>
      </c>
      <c r="R110" s="848">
        <f t="shared" si="95"/>
        <v>369.41942659320182</v>
      </c>
      <c r="S110" s="848">
        <f t="shared" si="95"/>
        <v>377.28776712506584</v>
      </c>
      <c r="T110" s="848">
        <f t="shared" si="94"/>
        <v>0</v>
      </c>
      <c r="U110" s="848"/>
      <c r="V110" s="848"/>
      <c r="W110" s="848"/>
      <c r="X110" s="848"/>
      <c r="Y110" s="848"/>
      <c r="Z110" s="848">
        <f t="shared" si="94"/>
        <v>339.77218880554943</v>
      </c>
      <c r="AA110" s="848">
        <f t="shared" si="94"/>
        <v>357.9606782458269</v>
      </c>
      <c r="AB110" s="848">
        <f t="shared" si="94"/>
        <v>369.41942659320182</v>
      </c>
      <c r="AC110" s="848">
        <f t="shared" si="94"/>
        <v>377.28776712506584</v>
      </c>
      <c r="AD110" s="685"/>
      <c r="AE110" s="685"/>
      <c r="AF110" s="685"/>
      <c r="AG110" s="685"/>
      <c r="AH110" s="685"/>
      <c r="AI110" s="685"/>
      <c r="AJ110" s="685"/>
      <c r="AK110" s="685"/>
      <c r="AL110" s="685"/>
      <c r="AM110" s="685"/>
      <c r="AN110" s="685"/>
      <c r="AO110" s="685"/>
      <c r="AP110" s="685"/>
      <c r="AQ110" s="685"/>
      <c r="AR110" s="685"/>
      <c r="AS110" s="685"/>
      <c r="AT110" s="685"/>
      <c r="AU110" s="685"/>
      <c r="AV110" s="685"/>
      <c r="AW110" s="685"/>
      <c r="AX110" s="685"/>
      <c r="AY110" s="685"/>
      <c r="AZ110" s="685"/>
    </row>
    <row r="111" spans="1:52">
      <c r="A111" s="685"/>
      <c r="B111" s="1099" t="str">
        <f>B106</f>
        <v xml:space="preserve">Underlying </v>
      </c>
      <c r="C111" s="1099"/>
      <c r="D111" s="1170">
        <f>D106/Valuation!F19</f>
        <v>564.33240953797622</v>
      </c>
      <c r="E111" s="1170">
        <f>E106/Valuation!G19</f>
        <v>571.87236450091768</v>
      </c>
      <c r="F111" s="1170">
        <f>F106/Valuation!H19</f>
        <v>568.41395744680847</v>
      </c>
      <c r="G111" s="1170">
        <f>G106/Valuation!I19</f>
        <v>566.28428840125389</v>
      </c>
      <c r="H111" s="1170">
        <f>H106/Valuation!J19</f>
        <v>483.85076483846728</v>
      </c>
      <c r="I111" s="1170">
        <f>I106/Valuation!K19</f>
        <v>316.52565595463142</v>
      </c>
      <c r="J111" s="1170">
        <f>J106/Valuation!L19</f>
        <v>221.60683289124663</v>
      </c>
      <c r="K111" s="1170">
        <f>K106/Valuation!M19</f>
        <v>180.77142857142866</v>
      </c>
      <c r="L111" s="1170">
        <f>L106/Valuation!N19</f>
        <v>211.16758441558443</v>
      </c>
      <c r="M111" s="1170">
        <f>M106/Valuation!O19</f>
        <v>114.70161038961038</v>
      </c>
      <c r="N111" s="1170">
        <f>N106/Valuation!P19</f>
        <v>121.86449162011171</v>
      </c>
      <c r="O111" s="1170">
        <f>O106/Valuation!Q19</f>
        <v>151.8861227814636</v>
      </c>
      <c r="P111" s="1170">
        <f ca="1">P106/Valuation!R19</f>
        <v>149.94226884445317</v>
      </c>
      <c r="Q111" s="1170">
        <f ca="1">Q106/Valuation!S19</f>
        <v>155.68097737953812</v>
      </c>
      <c r="R111" s="1170">
        <f ca="1">R106/Valuation!T19</f>
        <v>171.19362367590082</v>
      </c>
      <c r="S111" s="1170">
        <f ca="1">S106/Valuation!U19</f>
        <v>137.1557904405355</v>
      </c>
      <c r="T111" s="901"/>
      <c r="U111" s="901"/>
      <c r="V111" s="901"/>
      <c r="W111" s="901"/>
      <c r="X111" s="901"/>
      <c r="Y111" s="901"/>
      <c r="Z111" s="901"/>
      <c r="AA111" s="901"/>
      <c r="AB111" s="901"/>
      <c r="AC111" s="901"/>
      <c r="AD111" s="685"/>
      <c r="AE111" s="685"/>
      <c r="AF111" s="685"/>
      <c r="AG111" s="685"/>
      <c r="AH111" s="685"/>
      <c r="AI111" s="685"/>
      <c r="AJ111" s="685"/>
      <c r="AK111" s="685"/>
      <c r="AL111" s="685"/>
      <c r="AM111" s="685"/>
      <c r="AN111" s="685"/>
      <c r="AO111" s="685"/>
      <c r="AP111" s="685"/>
      <c r="AQ111" s="685"/>
      <c r="AR111" s="685"/>
      <c r="AS111" s="685"/>
      <c r="AT111" s="685"/>
      <c r="AU111" s="685"/>
      <c r="AV111" s="685"/>
      <c r="AW111" s="685"/>
      <c r="AX111" s="685"/>
      <c r="AY111" s="685"/>
      <c r="AZ111" s="685"/>
    </row>
    <row r="112" spans="1:52">
      <c r="A112" s="685"/>
      <c r="B112" s="685" t="str">
        <f>B107</f>
        <v>Total</v>
      </c>
      <c r="C112" s="848"/>
      <c r="D112" s="848">
        <f>D110+D111</f>
        <v>689.91847980997613</v>
      </c>
      <c r="E112" s="848">
        <f t="shared" ref="E112:L112" si="96">E110+E111</f>
        <v>733.98929903536987</v>
      </c>
      <c r="F112" s="848">
        <f t="shared" si="96"/>
        <v>746.68595744680852</v>
      </c>
      <c r="G112" s="848">
        <f t="shared" si="96"/>
        <v>762.98828840125384</v>
      </c>
      <c r="H112" s="848">
        <f t="shared" si="96"/>
        <v>709.71476483846732</v>
      </c>
      <c r="I112" s="848">
        <f t="shared" si="96"/>
        <v>540.80565595463145</v>
      </c>
      <c r="J112" s="848">
        <f t="shared" si="96"/>
        <v>455.31883289124664</v>
      </c>
      <c r="K112" s="848">
        <f t="shared" si="96"/>
        <v>406.77942857142864</v>
      </c>
      <c r="L112" s="848">
        <f t="shared" si="96"/>
        <v>487.35958441558444</v>
      </c>
      <c r="M112" s="848">
        <f t="shared" ref="M112:S112" si="97">M110+M111</f>
        <v>394.85361038961037</v>
      </c>
      <c r="N112" s="848">
        <f t="shared" si="97"/>
        <v>395.10449162011173</v>
      </c>
      <c r="O112" s="848">
        <f t="shared" si="97"/>
        <v>452.70212278146357</v>
      </c>
      <c r="P112" s="848">
        <f t="shared" ca="1" si="97"/>
        <v>489.7144576500026</v>
      </c>
      <c r="Q112" s="848">
        <f t="shared" ca="1" si="97"/>
        <v>513.64165562536505</v>
      </c>
      <c r="R112" s="848">
        <f t="shared" ca="1" si="97"/>
        <v>540.61305026910259</v>
      </c>
      <c r="S112" s="848">
        <f t="shared" ca="1" si="97"/>
        <v>514.4435575656014</v>
      </c>
      <c r="T112" s="685"/>
      <c r="U112" s="685"/>
      <c r="V112" s="685"/>
      <c r="W112" s="685"/>
      <c r="X112" s="685"/>
      <c r="Y112" s="685"/>
      <c r="Z112" s="685"/>
      <c r="AA112" s="685"/>
      <c r="AB112" s="685"/>
      <c r="AC112" s="685"/>
      <c r="AD112" s="685"/>
      <c r="AE112" s="685"/>
      <c r="AF112" s="685"/>
      <c r="AG112" s="685"/>
      <c r="AH112" s="685"/>
      <c r="AI112" s="685"/>
      <c r="AJ112" s="685"/>
      <c r="AK112" s="685"/>
      <c r="AL112" s="685"/>
      <c r="AM112" s="685"/>
      <c r="AN112" s="685"/>
      <c r="AO112" s="685"/>
      <c r="AP112" s="685"/>
      <c r="AQ112" s="685"/>
      <c r="AR112" s="685"/>
      <c r="AS112" s="685"/>
      <c r="AT112" s="685"/>
      <c r="AU112" s="685"/>
      <c r="AV112" s="685"/>
      <c r="AW112" s="685"/>
      <c r="AX112" s="685"/>
      <c r="AY112" s="685"/>
      <c r="AZ112" s="685"/>
    </row>
    <row r="113" spans="1:52">
      <c r="A113" s="685"/>
      <c r="B113" s="685"/>
      <c r="C113" s="685"/>
      <c r="D113" s="685"/>
      <c r="E113" s="685"/>
      <c r="F113" s="685"/>
      <c r="G113" s="685"/>
      <c r="H113" s="685"/>
      <c r="I113" s="685"/>
      <c r="J113" s="685"/>
      <c r="K113" s="685"/>
      <c r="L113" s="685"/>
      <c r="M113" s="685"/>
      <c r="N113" s="685"/>
      <c r="O113" s="685"/>
      <c r="P113" s="685"/>
      <c r="Q113" s="685"/>
      <c r="R113" s="685"/>
      <c r="S113" s="685"/>
      <c r="T113" s="685"/>
      <c r="U113" s="685"/>
      <c r="V113" s="685"/>
      <c r="W113" s="685"/>
      <c r="X113" s="685"/>
      <c r="Y113" s="685"/>
      <c r="Z113" s="685"/>
      <c r="AA113" s="685"/>
      <c r="AB113" s="685"/>
      <c r="AC113" s="685"/>
      <c r="AD113" s="685"/>
      <c r="AE113" s="685"/>
      <c r="AF113" s="685"/>
      <c r="AG113" s="685"/>
      <c r="AH113" s="685"/>
      <c r="AI113" s="685"/>
      <c r="AJ113" s="685"/>
      <c r="AK113" s="685"/>
      <c r="AL113" s="685"/>
      <c r="AM113" s="685"/>
      <c r="AN113" s="685"/>
      <c r="AO113" s="685"/>
      <c r="AP113" s="685"/>
      <c r="AQ113" s="685"/>
      <c r="AR113" s="685"/>
      <c r="AS113" s="685"/>
      <c r="AT113" s="685"/>
      <c r="AU113" s="685"/>
      <c r="AV113" s="685"/>
      <c r="AW113" s="685"/>
      <c r="AX113" s="685"/>
      <c r="AY113" s="685"/>
      <c r="AZ113" s="685"/>
    </row>
    <row r="114" spans="1:52">
      <c r="A114" s="685"/>
      <c r="B114" s="912" t="s">
        <v>457</v>
      </c>
      <c r="C114" s="913" t="s">
        <v>458</v>
      </c>
      <c r="D114" s="913" t="s">
        <v>459</v>
      </c>
      <c r="E114" s="913" t="s">
        <v>460</v>
      </c>
      <c r="F114" s="913" t="s">
        <v>192</v>
      </c>
      <c r="G114" s="913" t="s">
        <v>461</v>
      </c>
      <c r="H114" s="913" t="s">
        <v>462</v>
      </c>
      <c r="I114" s="913" t="s">
        <v>463</v>
      </c>
      <c r="J114" s="913" t="s">
        <v>464</v>
      </c>
      <c r="K114" s="913" t="s">
        <v>465</v>
      </c>
      <c r="L114" s="913" t="s">
        <v>457</v>
      </c>
      <c r="M114" s="685"/>
      <c r="N114" s="685"/>
      <c r="O114" s="685"/>
      <c r="P114" s="685"/>
      <c r="Q114" s="685"/>
      <c r="R114" s="685"/>
      <c r="S114" s="685"/>
      <c r="T114" s="685"/>
      <c r="U114" s="685"/>
      <c r="V114" s="685"/>
      <c r="W114" s="685"/>
      <c r="X114" s="685"/>
      <c r="Y114" s="685"/>
      <c r="Z114" s="685"/>
      <c r="AA114" s="685"/>
      <c r="AB114" s="685"/>
      <c r="AC114" s="685"/>
      <c r="AD114" s="685"/>
      <c r="AE114" s="685"/>
      <c r="AF114" s="685"/>
      <c r="AG114" s="685"/>
      <c r="AH114" s="685"/>
      <c r="AI114" s="685"/>
      <c r="AJ114" s="685"/>
      <c r="AK114" s="685"/>
      <c r="AL114" s="685"/>
      <c r="AM114" s="685"/>
      <c r="AN114" s="685"/>
      <c r="AO114" s="685"/>
      <c r="AP114" s="685"/>
      <c r="AQ114" s="685"/>
      <c r="AR114" s="685"/>
      <c r="AS114" s="685"/>
      <c r="AT114" s="685"/>
      <c r="AU114" s="685"/>
      <c r="AV114" s="685"/>
      <c r="AW114" s="685"/>
      <c r="AX114" s="685"/>
      <c r="AY114" s="685"/>
      <c r="AZ114" s="685"/>
    </row>
    <row r="115" spans="1:52">
      <c r="A115" s="685"/>
      <c r="B115" s="685" t="s">
        <v>470</v>
      </c>
      <c r="C115" s="918">
        <v>4.2500000000000003E-2</v>
      </c>
      <c r="D115" s="918">
        <v>1.4999999999999999E-2</v>
      </c>
      <c r="E115" s="919">
        <f>C115+D115</f>
        <v>5.7500000000000002E-2</v>
      </c>
      <c r="F115" s="918">
        <v>0.28000000000000003</v>
      </c>
      <c r="G115" s="920">
        <f>E115*(1-F115)</f>
        <v>4.1399999999999999E-2</v>
      </c>
      <c r="H115" s="915">
        <v>0.04</v>
      </c>
      <c r="I115" s="917">
        <v>1.2</v>
      </c>
      <c r="J115" s="919">
        <f>C115+H115*I115</f>
        <v>9.0499999999999997E-2</v>
      </c>
      <c r="K115" s="915">
        <v>0.3</v>
      </c>
      <c r="L115" s="919">
        <f>G115*K115+J115*(1-K115)</f>
        <v>7.576999999999999E-2</v>
      </c>
      <c r="M115" s="685"/>
      <c r="N115" s="685"/>
      <c r="O115" s="685"/>
      <c r="P115" s="685"/>
      <c r="Q115" s="685"/>
      <c r="R115" s="685"/>
      <c r="S115" s="685"/>
      <c r="T115" s="685"/>
      <c r="U115" s="685"/>
      <c r="V115" s="685"/>
      <c r="W115" s="685"/>
      <c r="X115" s="685"/>
      <c r="Y115" s="685"/>
      <c r="Z115" s="685"/>
      <c r="AA115" s="685"/>
      <c r="AB115" s="685"/>
      <c r="AC115" s="685"/>
      <c r="AD115" s="685"/>
      <c r="AE115" s="685"/>
      <c r="AF115" s="685"/>
      <c r="AG115" s="685"/>
      <c r="AH115" s="685"/>
      <c r="AI115" s="685"/>
      <c r="AJ115" s="685"/>
      <c r="AK115" s="685"/>
      <c r="AL115" s="685"/>
      <c r="AM115" s="685"/>
      <c r="AN115" s="685"/>
      <c r="AO115" s="685"/>
      <c r="AP115" s="685"/>
      <c r="AQ115" s="685"/>
      <c r="AR115" s="685"/>
      <c r="AS115" s="685"/>
      <c r="AT115" s="685"/>
      <c r="AU115" s="685"/>
      <c r="AV115" s="685"/>
      <c r="AW115" s="685"/>
      <c r="AX115" s="685"/>
      <c r="AY115" s="685"/>
      <c r="AZ115" s="685"/>
    </row>
    <row r="116" spans="1:52">
      <c r="A116" s="685"/>
      <c r="B116" s="685"/>
      <c r="C116" s="685"/>
      <c r="D116" s="685"/>
      <c r="E116" s="685"/>
      <c r="F116" s="685"/>
      <c r="G116" s="685"/>
      <c r="H116" s="685"/>
      <c r="I116" s="685"/>
      <c r="J116" s="685"/>
      <c r="K116" s="685"/>
      <c r="L116" s="685"/>
      <c r="M116" s="685"/>
      <c r="N116" s="685"/>
      <c r="O116" s="685"/>
      <c r="P116" s="685"/>
      <c r="Q116" s="685"/>
      <c r="R116" s="685"/>
      <c r="S116" s="685"/>
      <c r="T116" s="685"/>
      <c r="U116" s="685"/>
      <c r="V116" s="685"/>
      <c r="W116" s="685"/>
      <c r="X116" s="685"/>
      <c r="Y116" s="685"/>
      <c r="Z116" s="685"/>
      <c r="AA116" s="685"/>
      <c r="AB116" s="685"/>
      <c r="AC116" s="685"/>
      <c r="AD116" s="685"/>
      <c r="AE116" s="685"/>
      <c r="AF116" s="685"/>
      <c r="AG116" s="685"/>
      <c r="AH116" s="685"/>
      <c r="AI116" s="685"/>
      <c r="AJ116" s="685"/>
      <c r="AK116" s="685"/>
      <c r="AL116" s="685"/>
      <c r="AM116" s="685"/>
      <c r="AN116" s="685"/>
      <c r="AO116" s="685"/>
      <c r="AP116" s="685"/>
      <c r="AQ116" s="685"/>
      <c r="AR116" s="685"/>
      <c r="AS116" s="685"/>
      <c r="AT116" s="685"/>
      <c r="AU116" s="685"/>
      <c r="AV116" s="685"/>
      <c r="AW116" s="685"/>
      <c r="AX116" s="685"/>
      <c r="AY116" s="685"/>
      <c r="AZ116" s="685"/>
    </row>
    <row r="117" spans="1:52">
      <c r="A117" s="685"/>
      <c r="B117" s="743"/>
      <c r="C117" s="913" t="s">
        <v>466</v>
      </c>
      <c r="D117" s="913" t="s">
        <v>467</v>
      </c>
      <c r="E117" s="913" t="s">
        <v>74</v>
      </c>
      <c r="F117" s="913" t="s">
        <v>468</v>
      </c>
      <c r="G117" s="913" t="s">
        <v>1583</v>
      </c>
      <c r="H117" s="913" t="s">
        <v>456</v>
      </c>
      <c r="I117" s="685"/>
      <c r="J117" s="685"/>
      <c r="K117" s="685"/>
      <c r="L117" s="685"/>
      <c r="M117" s="685"/>
      <c r="N117" s="685"/>
      <c r="O117" s="685"/>
      <c r="P117" s="685"/>
      <c r="Q117" s="685"/>
      <c r="R117" s="685"/>
      <c r="S117" s="685"/>
      <c r="T117" s="685"/>
      <c r="U117" s="685"/>
      <c r="V117" s="685"/>
      <c r="W117" s="685"/>
      <c r="X117" s="685"/>
      <c r="Y117" s="685"/>
      <c r="Z117" s="685"/>
      <c r="AA117" s="685"/>
      <c r="AB117" s="685"/>
      <c r="AC117" s="685"/>
      <c r="AD117" s="685"/>
      <c r="AE117" s="685"/>
      <c r="AF117" s="685"/>
      <c r="AG117" s="685"/>
      <c r="AH117" s="685"/>
      <c r="AI117" s="685"/>
      <c r="AJ117" s="685"/>
      <c r="AK117" s="685"/>
      <c r="AL117" s="685"/>
      <c r="AM117" s="685"/>
      <c r="AN117" s="685"/>
      <c r="AO117" s="685"/>
      <c r="AP117" s="685"/>
      <c r="AQ117" s="685"/>
      <c r="AR117" s="685"/>
      <c r="AS117" s="685"/>
      <c r="AT117" s="685"/>
      <c r="AU117" s="685"/>
      <c r="AV117" s="685"/>
      <c r="AW117" s="685"/>
      <c r="AX117" s="685"/>
      <c r="AY117" s="685"/>
      <c r="AZ117" s="685"/>
    </row>
    <row r="118" spans="1:52">
      <c r="A118" s="685"/>
      <c r="B118" s="685" t="str">
        <f>B110</f>
        <v>Univision royalties</v>
      </c>
      <c r="C118" s="848">
        <f>NPV($L$115,O110:S110)</f>
        <v>1398.4438957548259</v>
      </c>
      <c r="D118" s="918">
        <v>0</v>
      </c>
      <c r="E118" s="914">
        <f>S110/(L115-D118)</f>
        <v>4979.3819074180528</v>
      </c>
      <c r="F118" s="914">
        <f>E118/((1+L115)^5)</f>
        <v>3456.0362750427057</v>
      </c>
      <c r="G118" s="1171">
        <v>0</v>
      </c>
      <c r="H118" s="916">
        <f>(F118*(1-G118))+C118</f>
        <v>4854.4801707975312</v>
      </c>
      <c r="I118" s="685"/>
      <c r="J118" s="685"/>
      <c r="K118" s="685"/>
      <c r="L118" s="685"/>
      <c r="M118" s="685"/>
      <c r="N118" s="685"/>
      <c r="O118" s="685"/>
      <c r="P118" s="685"/>
      <c r="Q118" s="685"/>
      <c r="R118" s="685"/>
      <c r="S118" s="685"/>
      <c r="T118" s="685"/>
      <c r="U118" s="685"/>
      <c r="V118" s="685"/>
      <c r="W118" s="685"/>
      <c r="X118" s="685"/>
      <c r="Y118" s="685"/>
      <c r="Z118" s="685"/>
      <c r="AA118" s="685"/>
      <c r="AB118" s="685"/>
      <c r="AC118" s="685"/>
      <c r="AD118" s="685"/>
      <c r="AE118" s="685"/>
      <c r="AF118" s="685"/>
      <c r="AG118" s="685"/>
      <c r="AH118" s="685"/>
      <c r="AI118" s="685"/>
      <c r="AJ118" s="685"/>
      <c r="AK118" s="685"/>
      <c r="AL118" s="685"/>
      <c r="AM118" s="685"/>
      <c r="AN118" s="685"/>
      <c r="AO118" s="685"/>
      <c r="AP118" s="685"/>
      <c r="AQ118" s="685"/>
      <c r="AR118" s="685"/>
      <c r="AS118" s="685"/>
      <c r="AT118" s="685"/>
      <c r="AU118" s="685"/>
      <c r="AV118" s="685"/>
      <c r="AW118" s="685"/>
      <c r="AX118" s="685"/>
      <c r="AY118" s="685"/>
      <c r="AZ118" s="685"/>
    </row>
    <row r="119" spans="1:52">
      <c r="A119" s="685"/>
      <c r="B119" s="743" t="str">
        <f>B111</f>
        <v xml:space="preserve">Underlying </v>
      </c>
      <c r="C119" s="901">
        <f ca="1">NPV($L$115,O111:S111)</f>
        <v>618.81957610283155</v>
      </c>
      <c r="D119" s="1172">
        <v>0</v>
      </c>
      <c r="E119" s="1173">
        <f ca="1">S111/(L115-D119)</f>
        <v>1810.1595676459749</v>
      </c>
      <c r="F119" s="1173">
        <f ca="1">E119/((1+L115)^5)</f>
        <v>1256.3762422159755</v>
      </c>
      <c r="G119" s="1174">
        <v>0</v>
      </c>
      <c r="H119" s="1175">
        <f ca="1">F119+C119</f>
        <v>1875.1958183188071</v>
      </c>
      <c r="I119" s="685"/>
      <c r="J119" s="685"/>
      <c r="K119" s="685"/>
      <c r="L119" s="685"/>
      <c r="M119" s="685"/>
      <c r="N119" s="685"/>
      <c r="O119" s="685"/>
      <c r="P119" s="685"/>
      <c r="Q119" s="685"/>
      <c r="R119" s="685"/>
      <c r="S119" s="685"/>
      <c r="T119" s="685"/>
      <c r="U119" s="685"/>
      <c r="V119" s="685"/>
      <c r="W119" s="685"/>
      <c r="X119" s="685"/>
      <c r="Y119" s="685"/>
      <c r="Z119" s="685"/>
      <c r="AA119" s="685"/>
      <c r="AB119" s="685"/>
      <c r="AC119" s="685"/>
      <c r="AD119" s="685"/>
      <c r="AE119" s="685"/>
      <c r="AF119" s="685"/>
      <c r="AG119" s="685"/>
      <c r="AH119" s="685"/>
      <c r="AI119" s="685"/>
      <c r="AJ119" s="685"/>
      <c r="AK119" s="685"/>
      <c r="AL119" s="685"/>
      <c r="AM119" s="685"/>
      <c r="AN119" s="685"/>
      <c r="AO119" s="685"/>
      <c r="AP119" s="685"/>
      <c r="AQ119" s="685"/>
      <c r="AR119" s="685"/>
      <c r="AS119" s="685"/>
      <c r="AT119" s="685"/>
      <c r="AU119" s="685"/>
      <c r="AV119" s="685"/>
      <c r="AW119" s="685"/>
      <c r="AX119" s="685"/>
      <c r="AY119" s="685"/>
      <c r="AZ119" s="685"/>
    </row>
    <row r="120" spans="1:52">
      <c r="A120" s="685"/>
      <c r="B120" s="685" t="s">
        <v>98</v>
      </c>
      <c r="C120" s="685"/>
      <c r="D120" s="685"/>
      <c r="E120" s="685"/>
      <c r="F120" s="685"/>
      <c r="G120" s="685"/>
      <c r="H120" s="916">
        <f ca="1">H118+H119</f>
        <v>6729.6759891163383</v>
      </c>
      <c r="I120" s="685"/>
      <c r="J120" s="685"/>
      <c r="K120" s="685"/>
      <c r="L120" s="685"/>
      <c r="M120" s="685"/>
      <c r="N120" s="685"/>
      <c r="O120" s="685"/>
      <c r="P120" s="685"/>
      <c r="Q120" s="685"/>
      <c r="R120" s="685"/>
      <c r="S120" s="685"/>
      <c r="T120" s="685"/>
      <c r="U120" s="685"/>
      <c r="V120" s="685"/>
      <c r="W120" s="685"/>
      <c r="X120" s="685"/>
      <c r="Y120" s="685"/>
      <c r="Z120" s="685"/>
      <c r="AA120" s="685"/>
      <c r="AB120" s="685"/>
      <c r="AC120" s="685"/>
      <c r="AD120" s="685"/>
      <c r="AE120" s="685"/>
      <c r="AF120" s="685"/>
      <c r="AG120" s="685"/>
      <c r="AH120" s="685"/>
      <c r="AI120" s="685"/>
      <c r="AJ120" s="685"/>
      <c r="AK120" s="685"/>
      <c r="AL120" s="685"/>
      <c r="AM120" s="685"/>
      <c r="AN120" s="685"/>
      <c r="AO120" s="685"/>
      <c r="AP120" s="685"/>
      <c r="AQ120" s="685"/>
      <c r="AR120" s="685"/>
      <c r="AS120" s="685"/>
      <c r="AT120" s="685"/>
      <c r="AU120" s="685"/>
      <c r="AV120" s="685"/>
      <c r="AW120" s="685"/>
      <c r="AX120" s="685"/>
      <c r="AY120" s="685"/>
      <c r="AZ120" s="685"/>
    </row>
    <row r="121" spans="1:52">
      <c r="A121" s="685"/>
      <c r="B121" s="685"/>
      <c r="C121" s="685"/>
      <c r="D121" s="685"/>
      <c r="E121" s="685"/>
      <c r="F121" s="685"/>
      <c r="G121" s="685"/>
      <c r="H121" s="685"/>
      <c r="I121" s="685"/>
      <c r="J121" s="685"/>
      <c r="K121" s="685"/>
      <c r="L121" s="685"/>
      <c r="M121" s="685"/>
      <c r="N121" s="685"/>
      <c r="O121" s="685"/>
      <c r="P121" s="685"/>
      <c r="Q121" s="685"/>
      <c r="R121" s="685"/>
      <c r="S121" s="685"/>
      <c r="T121" s="685"/>
      <c r="U121" s="685"/>
      <c r="V121" s="685"/>
      <c r="W121" s="685"/>
      <c r="X121" s="685"/>
      <c r="Y121" s="685"/>
      <c r="Z121" s="685"/>
      <c r="AA121" s="685"/>
      <c r="AB121" s="685"/>
      <c r="AC121" s="685"/>
      <c r="AD121" s="685"/>
      <c r="AE121" s="685"/>
      <c r="AF121" s="685"/>
      <c r="AG121" s="685"/>
      <c r="AH121" s="685"/>
      <c r="AI121" s="685"/>
      <c r="AJ121" s="685"/>
      <c r="AK121" s="685"/>
      <c r="AL121" s="685"/>
      <c r="AM121" s="685"/>
      <c r="AN121" s="685"/>
      <c r="AO121" s="685"/>
      <c r="AP121" s="685"/>
      <c r="AQ121" s="685"/>
      <c r="AR121" s="685"/>
      <c r="AS121" s="685"/>
      <c r="AT121" s="685"/>
      <c r="AU121" s="685"/>
      <c r="AV121" s="685"/>
      <c r="AW121" s="685"/>
      <c r="AX121" s="685"/>
      <c r="AY121" s="685"/>
      <c r="AZ121" s="685"/>
    </row>
    <row r="122" spans="1:52">
      <c r="A122" s="685"/>
      <c r="B122" s="874"/>
      <c r="C122" s="685"/>
      <c r="D122" s="874"/>
      <c r="E122" s="685"/>
      <c r="F122" s="685"/>
      <c r="G122" s="685"/>
      <c r="H122" s="685"/>
      <c r="I122" s="971" t="s">
        <v>2926</v>
      </c>
      <c r="J122" s="685"/>
      <c r="K122" s="685"/>
      <c r="L122" s="685"/>
      <c r="M122" s="685"/>
      <c r="N122" s="685"/>
      <c r="O122" s="685"/>
      <c r="P122" s="685"/>
      <c r="Q122" s="685"/>
      <c r="R122" s="685"/>
      <c r="S122" s="685"/>
      <c r="T122" s="685"/>
      <c r="U122" s="685"/>
      <c r="V122" s="685"/>
      <c r="W122" s="685"/>
      <c r="X122" s="685"/>
      <c r="Y122" s="685"/>
      <c r="Z122" s="685"/>
      <c r="AA122" s="685"/>
      <c r="AB122" s="685"/>
      <c r="AC122" s="685"/>
      <c r="AD122" s="685"/>
      <c r="AE122" s="685"/>
      <c r="AF122" s="685"/>
      <c r="AG122" s="685"/>
      <c r="AH122" s="685"/>
      <c r="AI122" s="685"/>
      <c r="AJ122" s="685"/>
      <c r="AK122" s="685"/>
      <c r="AL122" s="685"/>
      <c r="AM122" s="685"/>
      <c r="AN122" s="685"/>
      <c r="AO122" s="685"/>
      <c r="AP122" s="685"/>
      <c r="AQ122" s="685"/>
      <c r="AR122" s="685"/>
      <c r="AS122" s="685"/>
      <c r="AT122" s="685"/>
      <c r="AU122" s="685"/>
      <c r="AV122" s="685"/>
      <c r="AW122" s="685"/>
      <c r="AX122" s="685"/>
      <c r="AY122" s="685"/>
      <c r="AZ122" s="685"/>
    </row>
    <row r="123" spans="1:52">
      <c r="A123" s="685"/>
      <c r="B123" s="857" t="s">
        <v>1889</v>
      </c>
      <c r="C123" s="857">
        <v>2015</v>
      </c>
      <c r="D123" s="857">
        <v>2016</v>
      </c>
      <c r="E123" s="857">
        <v>2017</v>
      </c>
      <c r="F123" s="857">
        <v>2018</v>
      </c>
      <c r="G123" s="685"/>
      <c r="H123" s="685"/>
      <c r="I123" s="1176">
        <v>0.1</v>
      </c>
      <c r="J123" s="685"/>
      <c r="K123" s="685"/>
      <c r="L123" s="685"/>
      <c r="M123" s="685"/>
      <c r="N123" s="685"/>
      <c r="O123" s="685"/>
      <c r="P123" s="685"/>
      <c r="Q123" s="685"/>
      <c r="R123" s="685"/>
      <c r="S123" s="685"/>
      <c r="T123" s="685"/>
      <c r="U123" s="685"/>
      <c r="V123" s="685"/>
      <c r="W123" s="685"/>
      <c r="X123" s="685"/>
      <c r="Y123" s="685"/>
      <c r="Z123" s="685"/>
      <c r="AA123" s="685"/>
      <c r="AB123" s="685"/>
      <c r="AC123" s="685"/>
      <c r="AD123" s="685"/>
      <c r="AE123" s="685"/>
      <c r="AF123" s="685"/>
      <c r="AG123" s="685"/>
      <c r="AH123" s="685"/>
      <c r="AI123" s="685"/>
      <c r="AJ123" s="685"/>
      <c r="AK123" s="685"/>
      <c r="AL123" s="685"/>
      <c r="AM123" s="685"/>
      <c r="AN123" s="685"/>
      <c r="AO123" s="685"/>
      <c r="AP123" s="685"/>
      <c r="AQ123" s="685"/>
      <c r="AR123" s="685"/>
      <c r="AS123" s="685"/>
      <c r="AT123" s="685"/>
      <c r="AU123" s="685"/>
      <c r="AV123" s="685"/>
      <c r="AW123" s="685"/>
      <c r="AX123" s="685"/>
      <c r="AY123" s="685"/>
      <c r="AZ123" s="685"/>
    </row>
    <row r="124" spans="1:52">
      <c r="A124" s="685"/>
      <c r="B124" s="685" t="s">
        <v>2922</v>
      </c>
      <c r="C124" s="848">
        <f>I3</f>
        <v>23029.3</v>
      </c>
      <c r="D124" s="848">
        <f>J3</f>
        <v>23223.200000000001</v>
      </c>
      <c r="E124" s="848">
        <f>K3</f>
        <v>20719</v>
      </c>
      <c r="F124" s="848">
        <f>L3</f>
        <v>21155</v>
      </c>
      <c r="G124" s="685"/>
      <c r="H124" s="685"/>
      <c r="I124" s="848">
        <f>I125+I126</f>
        <v>23455.432000000001</v>
      </c>
      <c r="J124" s="685"/>
      <c r="K124" s="685"/>
      <c r="L124" s="685"/>
      <c r="M124" s="685"/>
      <c r="N124" s="685"/>
      <c r="O124" s="685"/>
      <c r="P124" s="685"/>
      <c r="Q124" s="685"/>
      <c r="R124" s="685"/>
      <c r="S124" s="685"/>
      <c r="T124" s="685"/>
      <c r="U124" s="685"/>
      <c r="V124" s="685"/>
      <c r="W124" s="685"/>
      <c r="X124" s="685"/>
      <c r="Y124" s="685"/>
      <c r="Z124" s="685"/>
      <c r="AA124" s="685"/>
      <c r="AB124" s="685"/>
      <c r="AC124" s="685"/>
      <c r="AD124" s="685"/>
      <c r="AE124" s="685"/>
      <c r="AF124" s="685"/>
      <c r="AG124" s="685"/>
      <c r="AH124" s="685"/>
      <c r="AI124" s="685"/>
      <c r="AJ124" s="685"/>
      <c r="AK124" s="685"/>
      <c r="AL124" s="685"/>
      <c r="AM124" s="685"/>
      <c r="AN124" s="685"/>
      <c r="AO124" s="685"/>
      <c r="AP124" s="685"/>
      <c r="AQ124" s="685"/>
      <c r="AR124" s="685"/>
      <c r="AS124" s="685"/>
      <c r="AT124" s="685"/>
      <c r="AU124" s="685"/>
      <c r="AV124" s="685"/>
      <c r="AW124" s="685"/>
      <c r="AX124" s="685"/>
      <c r="AY124" s="685"/>
      <c r="AZ124" s="685"/>
    </row>
    <row r="125" spans="1:52">
      <c r="A125" s="685"/>
      <c r="B125" s="992" t="s">
        <v>2932</v>
      </c>
      <c r="C125" s="848">
        <f>0.1*C124</f>
        <v>2302.9299999999998</v>
      </c>
      <c r="D125" s="848">
        <f>0.1*D124</f>
        <v>2322.3200000000002</v>
      </c>
      <c r="E125" s="848">
        <f>0.1*E124</f>
        <v>2071.9</v>
      </c>
      <c r="F125" s="848">
        <f>0.1*F124</f>
        <v>2115.5</v>
      </c>
      <c r="G125" s="685"/>
      <c r="H125" s="685"/>
      <c r="I125" s="848">
        <f>D125*(1+$I$123)</f>
        <v>2554.5520000000006</v>
      </c>
      <c r="J125" s="685"/>
      <c r="K125" s="685"/>
      <c r="L125" s="685"/>
      <c r="M125" s="685"/>
      <c r="N125" s="685"/>
      <c r="O125" s="685"/>
      <c r="P125" s="685"/>
      <c r="Q125" s="685"/>
      <c r="R125" s="685"/>
      <c r="S125" s="685"/>
      <c r="T125" s="685"/>
      <c r="U125" s="685"/>
      <c r="V125" s="685"/>
      <c r="W125" s="685"/>
      <c r="X125" s="685"/>
      <c r="Y125" s="685"/>
      <c r="Z125" s="685"/>
      <c r="AA125" s="685"/>
      <c r="AB125" s="685"/>
      <c r="AC125" s="685"/>
      <c r="AD125" s="685"/>
      <c r="AE125" s="685"/>
      <c r="AF125" s="685"/>
      <c r="AG125" s="685"/>
      <c r="AH125" s="685"/>
      <c r="AI125" s="685"/>
      <c r="AJ125" s="685"/>
      <c r="AK125" s="685"/>
      <c r="AL125" s="685"/>
      <c r="AM125" s="685"/>
      <c r="AN125" s="685"/>
      <c r="AO125" s="685"/>
      <c r="AP125" s="685"/>
      <c r="AQ125" s="685"/>
      <c r="AR125" s="685"/>
      <c r="AS125" s="685"/>
      <c r="AT125" s="685"/>
      <c r="AU125" s="685"/>
      <c r="AV125" s="685"/>
      <c r="AW125" s="685"/>
      <c r="AX125" s="685"/>
      <c r="AY125" s="685"/>
      <c r="AZ125" s="685"/>
    </row>
    <row r="126" spans="1:52">
      <c r="A126" s="685"/>
      <c r="B126" s="992" t="s">
        <v>2933</v>
      </c>
      <c r="C126" s="848">
        <f>C124-C125</f>
        <v>20726.37</v>
      </c>
      <c r="D126" s="848">
        <f>D124-D125</f>
        <v>20900.88</v>
      </c>
      <c r="E126" s="848">
        <f>E124-E125</f>
        <v>18647.099999999999</v>
      </c>
      <c r="F126" s="848">
        <f>F124-F125</f>
        <v>19039.5</v>
      </c>
      <c r="G126" s="685"/>
      <c r="H126" s="685"/>
      <c r="I126" s="848">
        <f>D126</f>
        <v>20900.88</v>
      </c>
      <c r="J126" s="685"/>
      <c r="K126" s="685"/>
      <c r="L126" s="685"/>
      <c r="M126" s="685"/>
      <c r="N126" s="685"/>
      <c r="O126" s="685"/>
      <c r="P126" s="685"/>
      <c r="Q126" s="685"/>
      <c r="R126" s="685"/>
      <c r="S126" s="685"/>
      <c r="T126" s="685"/>
      <c r="U126" s="685"/>
      <c r="V126" s="685"/>
      <c r="W126" s="685"/>
      <c r="X126" s="685"/>
      <c r="Y126" s="685"/>
      <c r="Z126" s="685"/>
      <c r="AA126" s="685"/>
      <c r="AB126" s="685"/>
      <c r="AC126" s="685"/>
      <c r="AD126" s="685"/>
      <c r="AE126" s="685"/>
      <c r="AF126" s="685"/>
      <c r="AG126" s="685"/>
      <c r="AH126" s="685"/>
      <c r="AI126" s="685"/>
      <c r="AJ126" s="685"/>
      <c r="AK126" s="685"/>
      <c r="AL126" s="685"/>
      <c r="AM126" s="685"/>
      <c r="AN126" s="685"/>
      <c r="AO126" s="685"/>
      <c r="AP126" s="685"/>
      <c r="AQ126" s="685"/>
      <c r="AR126" s="685"/>
      <c r="AS126" s="685"/>
      <c r="AT126" s="685"/>
      <c r="AU126" s="685"/>
      <c r="AV126" s="685"/>
      <c r="AW126" s="685"/>
      <c r="AX126" s="685"/>
      <c r="AY126" s="685"/>
      <c r="AZ126" s="685"/>
    </row>
    <row r="127" spans="1:52">
      <c r="A127" s="685"/>
      <c r="B127" s="685" t="s">
        <v>1443</v>
      </c>
      <c r="C127" s="848">
        <f>I11</f>
        <v>3595.4</v>
      </c>
      <c r="D127" s="848">
        <f>J11</f>
        <v>4399.3</v>
      </c>
      <c r="E127" s="848">
        <f>K11</f>
        <v>4058</v>
      </c>
      <c r="F127" s="848">
        <f>L11</f>
        <v>4841</v>
      </c>
      <c r="G127" s="685"/>
      <c r="H127" s="685"/>
      <c r="I127" s="848">
        <f>I128+I129</f>
        <v>4619.2650000000003</v>
      </c>
      <c r="J127" s="685"/>
      <c r="K127" s="685"/>
      <c r="L127" s="685"/>
      <c r="M127" s="685"/>
      <c r="N127" s="685"/>
      <c r="O127" s="685"/>
      <c r="P127" s="685"/>
      <c r="Q127" s="685"/>
      <c r="R127" s="685"/>
      <c r="S127" s="685"/>
      <c r="T127" s="685"/>
      <c r="U127" s="685"/>
      <c r="V127" s="685"/>
      <c r="W127" s="685"/>
      <c r="X127" s="685"/>
      <c r="Y127" s="685"/>
      <c r="Z127" s="685"/>
      <c r="AA127" s="685"/>
      <c r="AB127" s="685"/>
      <c r="AC127" s="685"/>
      <c r="AD127" s="685"/>
      <c r="AE127" s="685"/>
      <c r="AF127" s="685"/>
      <c r="AG127" s="685"/>
      <c r="AH127" s="685"/>
      <c r="AI127" s="685"/>
      <c r="AJ127" s="685"/>
      <c r="AK127" s="685"/>
      <c r="AL127" s="685"/>
      <c r="AM127" s="685"/>
      <c r="AN127" s="685"/>
      <c r="AO127" s="685"/>
      <c r="AP127" s="685"/>
      <c r="AQ127" s="685"/>
      <c r="AR127" s="685"/>
      <c r="AS127" s="685"/>
      <c r="AT127" s="685"/>
      <c r="AU127" s="685"/>
      <c r="AV127" s="685"/>
      <c r="AW127" s="685"/>
      <c r="AX127" s="685"/>
      <c r="AY127" s="685"/>
      <c r="AZ127" s="685"/>
    </row>
    <row r="128" spans="1:52">
      <c r="A128" s="685"/>
      <c r="B128" s="992" t="s">
        <v>2924</v>
      </c>
      <c r="C128" s="848">
        <f>C127*0.5</f>
        <v>1797.7</v>
      </c>
      <c r="D128" s="848">
        <f>D127*0.5</f>
        <v>2199.65</v>
      </c>
      <c r="E128" s="848">
        <f>E127*0.5</f>
        <v>2029</v>
      </c>
      <c r="F128" s="848">
        <f>F127*0.5</f>
        <v>2420.5</v>
      </c>
      <c r="G128" s="685"/>
      <c r="H128" s="685"/>
      <c r="I128" s="848">
        <f>D128*(1+$I$123)</f>
        <v>2419.6150000000002</v>
      </c>
      <c r="J128" s="685"/>
      <c r="K128" s="685"/>
      <c r="L128" s="685"/>
      <c r="M128" s="685"/>
      <c r="N128" s="685"/>
      <c r="O128" s="685"/>
      <c r="P128" s="685"/>
      <c r="Q128" s="685"/>
      <c r="R128" s="685"/>
      <c r="S128" s="685"/>
      <c r="T128" s="685"/>
      <c r="U128" s="685"/>
      <c r="V128" s="685"/>
      <c r="W128" s="685"/>
      <c r="X128" s="685"/>
      <c r="Y128" s="685"/>
      <c r="Z128" s="685"/>
      <c r="AA128" s="685"/>
      <c r="AB128" s="685"/>
      <c r="AC128" s="685"/>
      <c r="AD128" s="685"/>
      <c r="AE128" s="685"/>
      <c r="AF128" s="685"/>
      <c r="AG128" s="685"/>
      <c r="AH128" s="685"/>
      <c r="AI128" s="685"/>
      <c r="AJ128" s="685"/>
      <c r="AK128" s="685"/>
      <c r="AL128" s="685"/>
      <c r="AM128" s="685"/>
      <c r="AN128" s="685"/>
      <c r="AO128" s="685"/>
      <c r="AP128" s="685"/>
      <c r="AQ128" s="685"/>
      <c r="AR128" s="685"/>
      <c r="AS128" s="685"/>
      <c r="AT128" s="685"/>
      <c r="AU128" s="685"/>
      <c r="AV128" s="685"/>
      <c r="AW128" s="685"/>
      <c r="AX128" s="685"/>
      <c r="AY128" s="685"/>
      <c r="AZ128" s="685"/>
    </row>
    <row r="129" spans="1:52">
      <c r="A129" s="685"/>
      <c r="B129" s="992" t="s">
        <v>2925</v>
      </c>
      <c r="C129" s="848">
        <f>C127-C128</f>
        <v>1797.7</v>
      </c>
      <c r="D129" s="848">
        <f>D127-D128</f>
        <v>2199.65</v>
      </c>
      <c r="E129" s="848">
        <f>E127-E128</f>
        <v>2029</v>
      </c>
      <c r="F129" s="848">
        <f>F127-F128</f>
        <v>2420.5</v>
      </c>
      <c r="G129" s="685"/>
      <c r="H129" s="685"/>
      <c r="I129" s="848">
        <f>D129</f>
        <v>2199.65</v>
      </c>
      <c r="J129" s="685"/>
      <c r="K129" s="685"/>
      <c r="L129" s="685"/>
      <c r="M129" s="685"/>
      <c r="N129" s="685"/>
      <c r="O129" s="685"/>
      <c r="P129" s="685"/>
      <c r="Q129" s="685"/>
      <c r="R129" s="685"/>
      <c r="S129" s="685"/>
      <c r="T129" s="685"/>
      <c r="U129" s="685"/>
      <c r="V129" s="685"/>
      <c r="W129" s="685"/>
      <c r="X129" s="685"/>
      <c r="Y129" s="685"/>
      <c r="Z129" s="685"/>
      <c r="AA129" s="685"/>
      <c r="AB129" s="685"/>
      <c r="AC129" s="685"/>
      <c r="AD129" s="685"/>
      <c r="AE129" s="685"/>
      <c r="AF129" s="685"/>
      <c r="AG129" s="685"/>
      <c r="AH129" s="685"/>
      <c r="AI129" s="685"/>
      <c r="AJ129" s="685"/>
      <c r="AK129" s="685"/>
      <c r="AL129" s="685"/>
      <c r="AM129" s="685"/>
      <c r="AN129" s="685"/>
      <c r="AO129" s="685"/>
      <c r="AP129" s="685"/>
      <c r="AQ129" s="685"/>
      <c r="AR129" s="685"/>
      <c r="AS129" s="685"/>
      <c r="AT129" s="685"/>
      <c r="AU129" s="685"/>
      <c r="AV129" s="685"/>
      <c r="AW129" s="685"/>
      <c r="AX129" s="685"/>
      <c r="AY129" s="685"/>
      <c r="AZ129" s="685"/>
    </row>
    <row r="130" spans="1:52">
      <c r="A130" s="685"/>
      <c r="B130" s="685" t="s">
        <v>2923</v>
      </c>
      <c r="C130" s="848">
        <f>C131+C132+C133</f>
        <v>7707.9</v>
      </c>
      <c r="D130" s="848">
        <f>D131+D132+D133</f>
        <v>9064.2000000000007</v>
      </c>
      <c r="E130" s="848">
        <f>E131+E132+E133</f>
        <v>9220</v>
      </c>
      <c r="F130" s="848">
        <f>F131+F132+F133</f>
        <v>10520.999999999998</v>
      </c>
      <c r="G130" s="685"/>
      <c r="H130" s="685"/>
      <c r="I130" s="848">
        <f>I131+I132+I133</f>
        <v>9896.982750000001</v>
      </c>
      <c r="J130" s="685"/>
      <c r="K130" s="685"/>
      <c r="L130" s="685"/>
      <c r="M130" s="685"/>
      <c r="N130" s="685"/>
      <c r="O130" s="685"/>
      <c r="P130" s="685"/>
      <c r="Q130" s="685"/>
      <c r="R130" s="685"/>
      <c r="S130" s="685"/>
      <c r="T130" s="685"/>
      <c r="U130" s="685"/>
      <c r="V130" s="685"/>
      <c r="W130" s="685"/>
      <c r="X130" s="685"/>
      <c r="Y130" s="685"/>
      <c r="Z130" s="685"/>
      <c r="AA130" s="685"/>
      <c r="AB130" s="685"/>
      <c r="AC130" s="685"/>
      <c r="AD130" s="685"/>
      <c r="AE130" s="685"/>
      <c r="AF130" s="685"/>
      <c r="AG130" s="685"/>
      <c r="AH130" s="685"/>
      <c r="AI130" s="685"/>
      <c r="AJ130" s="685"/>
      <c r="AK130" s="685"/>
      <c r="AL130" s="685"/>
      <c r="AM130" s="685"/>
      <c r="AN130" s="685"/>
      <c r="AO130" s="685"/>
      <c r="AP130" s="685"/>
      <c r="AQ130" s="685"/>
      <c r="AR130" s="685"/>
      <c r="AS130" s="685"/>
      <c r="AT130" s="685"/>
      <c r="AU130" s="685"/>
      <c r="AV130" s="685"/>
      <c r="AW130" s="685"/>
      <c r="AX130" s="685"/>
      <c r="AY130" s="685"/>
      <c r="AZ130" s="685"/>
    </row>
    <row r="131" spans="1:52">
      <c r="A131" s="685"/>
      <c r="B131" s="992" t="s">
        <v>2930</v>
      </c>
      <c r="C131" s="848">
        <f>I58*I45</f>
        <v>4943.5050000000001</v>
      </c>
      <c r="D131" s="848">
        <f>J58*J45</f>
        <v>6118.7100000000009</v>
      </c>
      <c r="E131" s="848">
        <f>K58*K45</f>
        <v>5932.7099999999991</v>
      </c>
      <c r="F131" s="848">
        <f>L58*L45</f>
        <v>7384.3</v>
      </c>
      <c r="G131" s="685"/>
      <c r="H131" s="685"/>
      <c r="I131" s="848">
        <f>D131*(1+$I$123)</f>
        <v>6730.5810000000019</v>
      </c>
      <c r="J131" s="685"/>
      <c r="K131" s="685"/>
      <c r="L131" s="685"/>
      <c r="M131" s="685"/>
      <c r="N131" s="685"/>
      <c r="O131" s="685"/>
      <c r="P131" s="685"/>
      <c r="Q131" s="685"/>
      <c r="R131" s="685"/>
      <c r="S131" s="685"/>
      <c r="T131" s="685"/>
      <c r="U131" s="685"/>
      <c r="V131" s="685"/>
      <c r="W131" s="685"/>
      <c r="X131" s="685"/>
      <c r="Y131" s="685"/>
      <c r="Z131" s="685"/>
      <c r="AA131" s="685"/>
      <c r="AB131" s="685"/>
      <c r="AC131" s="685"/>
      <c r="AD131" s="685"/>
      <c r="AE131" s="685"/>
      <c r="AF131" s="685"/>
      <c r="AG131" s="685"/>
      <c r="AH131" s="685"/>
      <c r="AI131" s="685"/>
      <c r="AJ131" s="685"/>
      <c r="AK131" s="685"/>
      <c r="AL131" s="685"/>
      <c r="AM131" s="685"/>
      <c r="AN131" s="685"/>
      <c r="AO131" s="685"/>
      <c r="AP131" s="685"/>
      <c r="AQ131" s="685"/>
      <c r="AR131" s="685"/>
      <c r="AS131" s="685"/>
      <c r="AT131" s="685"/>
      <c r="AU131" s="685"/>
      <c r="AV131" s="685"/>
      <c r="AW131" s="685"/>
      <c r="AX131" s="685"/>
      <c r="AY131" s="685"/>
      <c r="AZ131" s="685"/>
    </row>
    <row r="132" spans="1:52">
      <c r="A132" s="685"/>
      <c r="B132" s="992" t="s">
        <v>2928</v>
      </c>
      <c r="C132" s="848">
        <f>I59*I45*0.75</f>
        <v>2073.2962499999994</v>
      </c>
      <c r="D132" s="848">
        <f>J59*J45*0.75</f>
        <v>2209.1175000000003</v>
      </c>
      <c r="E132" s="848">
        <f>K59*K45*0.75</f>
        <v>2465.4675000000002</v>
      </c>
      <c r="F132" s="848">
        <f>L59*L45*0.75</f>
        <v>2352.5249999999992</v>
      </c>
      <c r="G132" s="685"/>
      <c r="H132" s="685"/>
      <c r="I132" s="848">
        <f>D132*(1+$I$123)</f>
        <v>2430.0292500000005</v>
      </c>
      <c r="J132" s="685"/>
      <c r="K132" s="685"/>
      <c r="L132" s="685"/>
      <c r="M132" s="685"/>
      <c r="N132" s="685"/>
      <c r="O132" s="685"/>
      <c r="P132" s="685"/>
      <c r="Q132" s="685"/>
      <c r="R132" s="685"/>
      <c r="S132" s="685"/>
      <c r="T132" s="685"/>
      <c r="U132" s="685"/>
      <c r="V132" s="685"/>
      <c r="W132" s="685"/>
      <c r="X132" s="685"/>
      <c r="Y132" s="685"/>
      <c r="Z132" s="685"/>
      <c r="AA132" s="685"/>
      <c r="AB132" s="685"/>
      <c r="AC132" s="685"/>
      <c r="AD132" s="685"/>
      <c r="AE132" s="685"/>
      <c r="AF132" s="685"/>
      <c r="AG132" s="685"/>
      <c r="AH132" s="685"/>
      <c r="AI132" s="685"/>
      <c r="AJ132" s="685"/>
      <c r="AK132" s="685"/>
      <c r="AL132" s="685"/>
      <c r="AM132" s="685"/>
      <c r="AN132" s="685"/>
      <c r="AO132" s="685"/>
      <c r="AP132" s="685"/>
      <c r="AQ132" s="685"/>
      <c r="AR132" s="685"/>
      <c r="AS132" s="685"/>
      <c r="AT132" s="685"/>
      <c r="AU132" s="685"/>
      <c r="AV132" s="685"/>
      <c r="AW132" s="685"/>
      <c r="AX132" s="685"/>
      <c r="AY132" s="685"/>
      <c r="AZ132" s="685"/>
    </row>
    <row r="133" spans="1:52">
      <c r="A133" s="685"/>
      <c r="B133" s="999" t="s">
        <v>2929</v>
      </c>
      <c r="C133" s="901">
        <f>I59*I45*0.25</f>
        <v>691.09874999999988</v>
      </c>
      <c r="D133" s="901">
        <f>J59*J45*0.25</f>
        <v>736.37250000000006</v>
      </c>
      <c r="E133" s="901">
        <f>K59*K45*0.25</f>
        <v>821.8225000000001</v>
      </c>
      <c r="F133" s="901">
        <f>L59*L45*0.25</f>
        <v>784.17499999999973</v>
      </c>
      <c r="G133" s="685"/>
      <c r="H133" s="685"/>
      <c r="I133" s="901">
        <f>D133</f>
        <v>736.37250000000006</v>
      </c>
      <c r="J133" s="685"/>
      <c r="K133" s="685"/>
      <c r="L133" s="685"/>
      <c r="M133" s="685"/>
      <c r="N133" s="685"/>
      <c r="O133" s="685"/>
      <c r="P133" s="685"/>
      <c r="Q133" s="685"/>
      <c r="R133" s="685"/>
      <c r="S133" s="685"/>
      <c r="T133" s="685"/>
      <c r="U133" s="685"/>
      <c r="V133" s="685"/>
      <c r="W133" s="685"/>
      <c r="X133" s="685"/>
      <c r="Y133" s="685"/>
      <c r="Z133" s="685"/>
      <c r="AA133" s="685"/>
      <c r="AB133" s="685"/>
      <c r="AC133" s="685"/>
      <c r="AD133" s="685"/>
      <c r="AE133" s="685"/>
      <c r="AF133" s="685"/>
      <c r="AG133" s="685"/>
      <c r="AH133" s="685"/>
      <c r="AI133" s="685"/>
      <c r="AJ133" s="685"/>
      <c r="AK133" s="685"/>
      <c r="AL133" s="685"/>
      <c r="AM133" s="685"/>
      <c r="AN133" s="685"/>
      <c r="AO133" s="685"/>
      <c r="AP133" s="685"/>
      <c r="AQ133" s="685"/>
      <c r="AR133" s="685"/>
      <c r="AS133" s="685"/>
      <c r="AT133" s="685"/>
      <c r="AU133" s="685"/>
      <c r="AV133" s="685"/>
      <c r="AW133" s="685"/>
      <c r="AX133" s="685"/>
      <c r="AY133" s="685"/>
      <c r="AZ133" s="685"/>
    </row>
    <row r="134" spans="1:52" ht="15.75" thickBot="1">
      <c r="A134" s="685"/>
      <c r="B134" s="874" t="s">
        <v>3006</v>
      </c>
      <c r="C134" s="876">
        <f>C124+C127+C130</f>
        <v>34332.6</v>
      </c>
      <c r="D134" s="876">
        <f>D124+D127+D130</f>
        <v>36686.699999999997</v>
      </c>
      <c r="E134" s="876">
        <f>E124+E127+E130</f>
        <v>33997</v>
      </c>
      <c r="F134" s="876">
        <f>F124+F127+F130</f>
        <v>36517</v>
      </c>
      <c r="G134" s="685"/>
      <c r="H134" s="685"/>
      <c r="I134" s="876">
        <f>I124+I127+I130</f>
        <v>37971.679750000003</v>
      </c>
      <c r="J134" s="685"/>
      <c r="K134" s="685"/>
      <c r="L134" s="685"/>
      <c r="M134" s="685"/>
      <c r="N134" s="685"/>
      <c r="O134" s="685"/>
      <c r="P134" s="685"/>
      <c r="Q134" s="685"/>
      <c r="R134" s="685"/>
      <c r="S134" s="685"/>
      <c r="T134" s="685"/>
      <c r="U134" s="685"/>
      <c r="V134" s="685"/>
      <c r="W134" s="685"/>
      <c r="X134" s="685"/>
      <c r="Y134" s="685"/>
      <c r="Z134" s="685"/>
      <c r="AA134" s="685"/>
      <c r="AB134" s="685"/>
      <c r="AC134" s="685"/>
      <c r="AD134" s="685"/>
      <c r="AE134" s="685"/>
      <c r="AF134" s="685"/>
      <c r="AG134" s="685"/>
      <c r="AH134" s="685"/>
      <c r="AI134" s="685"/>
      <c r="AJ134" s="685"/>
      <c r="AK134" s="685"/>
      <c r="AL134" s="685"/>
      <c r="AM134" s="685"/>
      <c r="AN134" s="685"/>
      <c r="AO134" s="685"/>
      <c r="AP134" s="685"/>
      <c r="AQ134" s="685"/>
      <c r="AR134" s="685"/>
      <c r="AS134" s="685"/>
      <c r="AT134" s="685"/>
      <c r="AU134" s="685"/>
      <c r="AV134" s="685"/>
      <c r="AW134" s="685"/>
      <c r="AX134" s="685"/>
      <c r="AY134" s="685"/>
      <c r="AZ134" s="685"/>
    </row>
    <row r="135" spans="1:52" ht="15.75" thickBot="1">
      <c r="A135" s="685"/>
      <c r="B135" s="685" t="s">
        <v>181</v>
      </c>
      <c r="C135" s="848"/>
      <c r="D135" s="848"/>
      <c r="E135" s="848"/>
      <c r="F135" s="848"/>
      <c r="G135" s="685"/>
      <c r="H135" s="685"/>
      <c r="I135" s="1177">
        <f>I134/D134-1</f>
        <v>3.5025765468139847E-2</v>
      </c>
      <c r="J135" s="685"/>
      <c r="K135" s="685"/>
      <c r="L135" s="685"/>
      <c r="M135" s="685"/>
      <c r="N135" s="685"/>
      <c r="O135" s="685"/>
      <c r="P135" s="685"/>
      <c r="Q135" s="685"/>
      <c r="R135" s="685"/>
      <c r="S135" s="685"/>
      <c r="T135" s="685"/>
      <c r="U135" s="685"/>
      <c r="V135" s="685"/>
      <c r="W135" s="685"/>
      <c r="X135" s="685"/>
      <c r="Y135" s="685"/>
      <c r="Z135" s="685"/>
      <c r="AA135" s="685"/>
      <c r="AB135" s="685"/>
      <c r="AC135" s="685"/>
      <c r="AD135" s="685"/>
      <c r="AE135" s="685"/>
      <c r="AF135" s="685"/>
      <c r="AG135" s="685"/>
      <c r="AH135" s="685"/>
      <c r="AI135" s="685"/>
      <c r="AJ135" s="685"/>
      <c r="AK135" s="685"/>
      <c r="AL135" s="685"/>
      <c r="AM135" s="685"/>
      <c r="AN135" s="685"/>
      <c r="AO135" s="685"/>
      <c r="AP135" s="685"/>
      <c r="AQ135" s="685"/>
      <c r="AR135" s="685"/>
      <c r="AS135" s="685"/>
      <c r="AT135" s="685"/>
      <c r="AU135" s="685"/>
      <c r="AV135" s="685"/>
      <c r="AW135" s="685"/>
      <c r="AX135" s="685"/>
      <c r="AY135" s="685"/>
      <c r="AZ135" s="685"/>
    </row>
    <row r="136" spans="1:52">
      <c r="A136" s="685"/>
      <c r="B136" s="685" t="s">
        <v>3002</v>
      </c>
      <c r="C136" s="848">
        <f>C144*I45</f>
        <v>3847.9787499999989</v>
      </c>
      <c r="D136" s="848">
        <f>D144*J45</f>
        <v>4303.7025000000003</v>
      </c>
      <c r="E136" s="848">
        <f>E144*K45</f>
        <v>2394.1224999999995</v>
      </c>
      <c r="F136" s="848">
        <f>F144*L45</f>
        <v>0</v>
      </c>
      <c r="G136" s="685"/>
      <c r="H136" s="685"/>
      <c r="I136" s="848">
        <f>D136*(1+$I$123)</f>
        <v>4734.0727500000012</v>
      </c>
      <c r="J136" s="685"/>
      <c r="K136" s="685"/>
      <c r="L136" s="685"/>
      <c r="M136" s="685"/>
      <c r="N136" s="685"/>
      <c r="O136" s="685"/>
      <c r="P136" s="685"/>
      <c r="Q136" s="685"/>
      <c r="R136" s="685"/>
      <c r="S136" s="685"/>
      <c r="T136" s="685"/>
      <c r="U136" s="685"/>
      <c r="V136" s="685"/>
      <c r="W136" s="685"/>
      <c r="X136" s="685"/>
      <c r="Y136" s="685"/>
      <c r="Z136" s="685"/>
      <c r="AA136" s="685"/>
      <c r="AB136" s="685"/>
      <c r="AC136" s="685"/>
      <c r="AD136" s="685"/>
      <c r="AE136" s="685"/>
      <c r="AF136" s="685"/>
      <c r="AG136" s="685"/>
      <c r="AH136" s="685"/>
      <c r="AI136" s="685"/>
      <c r="AJ136" s="685"/>
      <c r="AK136" s="685"/>
      <c r="AL136" s="685"/>
      <c r="AM136" s="685"/>
      <c r="AN136" s="685"/>
      <c r="AO136" s="685"/>
      <c r="AP136" s="685"/>
      <c r="AQ136" s="685"/>
      <c r="AR136" s="685"/>
      <c r="AS136" s="685"/>
      <c r="AT136" s="685"/>
      <c r="AU136" s="685"/>
      <c r="AV136" s="685"/>
      <c r="AW136" s="685"/>
      <c r="AX136" s="685"/>
      <c r="AY136" s="685"/>
      <c r="AZ136" s="685"/>
    </row>
    <row r="137" spans="1:52">
      <c r="A137" s="685"/>
      <c r="B137" s="685" t="s">
        <v>3003</v>
      </c>
      <c r="C137" s="848">
        <f>C138-C134-C136</f>
        <v>49871.421249999999</v>
      </c>
      <c r="D137" s="848">
        <f>D138-D134-D136</f>
        <v>55296.997499999998</v>
      </c>
      <c r="E137" s="848">
        <f>E138-E134-E136</f>
        <v>57883.877500000002</v>
      </c>
      <c r="F137" s="848">
        <f>F138-F134-F136</f>
        <v>64793</v>
      </c>
      <c r="G137" s="685"/>
      <c r="H137" s="685"/>
      <c r="I137" s="848">
        <f>D137</f>
        <v>55296.997499999998</v>
      </c>
      <c r="J137" s="685"/>
      <c r="K137" s="685"/>
      <c r="L137" s="685"/>
      <c r="M137" s="685"/>
      <c r="N137" s="685"/>
      <c r="O137" s="685"/>
      <c r="P137" s="685"/>
      <c r="Q137" s="685"/>
      <c r="R137" s="685"/>
      <c r="S137" s="685"/>
      <c r="T137" s="685"/>
      <c r="U137" s="685"/>
      <c r="V137" s="685"/>
      <c r="W137" s="685"/>
      <c r="X137" s="685"/>
      <c r="Y137" s="685"/>
      <c r="Z137" s="685"/>
      <c r="AA137" s="685"/>
      <c r="AB137" s="685"/>
      <c r="AC137" s="685"/>
      <c r="AD137" s="685"/>
      <c r="AE137" s="685"/>
      <c r="AF137" s="685"/>
      <c r="AG137" s="685"/>
      <c r="AH137" s="685"/>
      <c r="AI137" s="685"/>
      <c r="AJ137" s="685"/>
      <c r="AK137" s="685"/>
      <c r="AL137" s="685"/>
      <c r="AM137" s="685"/>
      <c r="AN137" s="685"/>
      <c r="AO137" s="685"/>
      <c r="AP137" s="685"/>
      <c r="AQ137" s="685"/>
      <c r="AR137" s="685"/>
      <c r="AS137" s="685"/>
      <c r="AT137" s="685"/>
      <c r="AU137" s="685"/>
      <c r="AV137" s="685"/>
      <c r="AW137" s="685"/>
      <c r="AX137" s="685"/>
      <c r="AY137" s="685"/>
      <c r="AZ137" s="685"/>
    </row>
    <row r="138" spans="1:52" ht="15.75" thickBot="1">
      <c r="A138" s="685"/>
      <c r="B138" s="874" t="s">
        <v>3005</v>
      </c>
      <c r="C138" s="876">
        <f>Master!N5</f>
        <v>88052</v>
      </c>
      <c r="D138" s="876">
        <f>Master!O5</f>
        <v>96287.4</v>
      </c>
      <c r="E138" s="876">
        <f>Master!P5</f>
        <v>94275</v>
      </c>
      <c r="F138" s="876">
        <f>Master!Q5</f>
        <v>101310</v>
      </c>
      <c r="G138" s="685"/>
      <c r="H138" s="685"/>
      <c r="I138" s="876">
        <f>I134+I136+I137</f>
        <v>98002.75</v>
      </c>
      <c r="J138" s="685"/>
      <c r="K138" s="685"/>
      <c r="L138" s="685"/>
      <c r="M138" s="685"/>
      <c r="N138" s="685"/>
      <c r="O138" s="685"/>
      <c r="P138" s="685"/>
      <c r="Q138" s="685"/>
      <c r="R138" s="685"/>
      <c r="S138" s="685"/>
      <c r="T138" s="685"/>
      <c r="U138" s="685"/>
      <c r="V138" s="685"/>
      <c r="W138" s="685"/>
      <c r="X138" s="685"/>
      <c r="Y138" s="685"/>
      <c r="Z138" s="685"/>
      <c r="AA138" s="685"/>
      <c r="AB138" s="685"/>
      <c r="AC138" s="685"/>
      <c r="AD138" s="685"/>
      <c r="AE138" s="685"/>
      <c r="AF138" s="685"/>
      <c r="AG138" s="685"/>
      <c r="AH138" s="685"/>
      <c r="AI138" s="685"/>
      <c r="AJ138" s="685"/>
      <c r="AK138" s="685"/>
      <c r="AL138" s="685"/>
      <c r="AM138" s="685"/>
      <c r="AN138" s="685"/>
      <c r="AO138" s="685"/>
      <c r="AP138" s="685"/>
      <c r="AQ138" s="685"/>
      <c r="AR138" s="685"/>
      <c r="AS138" s="685"/>
      <c r="AT138" s="685"/>
      <c r="AU138" s="685"/>
      <c r="AV138" s="685"/>
      <c r="AW138" s="685"/>
      <c r="AX138" s="685"/>
      <c r="AY138" s="685"/>
      <c r="AZ138" s="685"/>
    </row>
    <row r="139" spans="1:52" ht="15.75" thickBot="1">
      <c r="A139" s="685"/>
      <c r="B139" s="685" t="s">
        <v>181</v>
      </c>
      <c r="C139" s="848"/>
      <c r="D139" s="848"/>
      <c r="E139" s="685"/>
      <c r="F139" s="685"/>
      <c r="G139" s="685"/>
      <c r="H139" s="685"/>
      <c r="I139" s="1177">
        <f>I138/D138-1</f>
        <v>1.7814895822298782E-2</v>
      </c>
      <c r="J139" s="685"/>
      <c r="K139" s="685"/>
      <c r="L139" s="685"/>
      <c r="M139" s="685"/>
      <c r="N139" s="685"/>
      <c r="O139" s="685"/>
      <c r="P139" s="685"/>
      <c r="Q139" s="685"/>
      <c r="R139" s="685"/>
      <c r="S139" s="685"/>
      <c r="T139" s="685"/>
      <c r="U139" s="685"/>
      <c r="V139" s="685"/>
      <c r="W139" s="685"/>
      <c r="X139" s="685"/>
      <c r="Y139" s="685"/>
      <c r="Z139" s="685"/>
      <c r="AA139" s="685"/>
      <c r="AB139" s="685"/>
      <c r="AC139" s="685"/>
      <c r="AD139" s="685"/>
      <c r="AE139" s="685"/>
      <c r="AF139" s="685"/>
      <c r="AG139" s="685"/>
      <c r="AH139" s="685"/>
      <c r="AI139" s="685"/>
      <c r="AJ139" s="685"/>
      <c r="AK139" s="685"/>
      <c r="AL139" s="685"/>
      <c r="AM139" s="685"/>
      <c r="AN139" s="685"/>
      <c r="AO139" s="685"/>
      <c r="AP139" s="685"/>
      <c r="AQ139" s="685"/>
      <c r="AR139" s="685"/>
      <c r="AS139" s="685"/>
      <c r="AT139" s="685"/>
      <c r="AU139" s="685"/>
      <c r="AV139" s="685"/>
      <c r="AW139" s="685"/>
      <c r="AX139" s="685"/>
      <c r="AY139" s="685"/>
      <c r="AZ139" s="685"/>
    </row>
    <row r="140" spans="1:52">
      <c r="A140" s="685"/>
      <c r="B140" s="685"/>
      <c r="C140" s="848"/>
      <c r="D140" s="848"/>
      <c r="E140" s="848"/>
      <c r="F140" s="685"/>
      <c r="G140" s="685"/>
      <c r="H140" s="685"/>
      <c r="I140" s="685"/>
      <c r="J140" s="685"/>
      <c r="K140" s="685"/>
      <c r="L140" s="685"/>
      <c r="M140" s="685"/>
      <c r="N140" s="685"/>
      <c r="O140" s="685"/>
      <c r="P140" s="685"/>
      <c r="Q140" s="685"/>
      <c r="R140" s="685"/>
      <c r="S140" s="685"/>
      <c r="T140" s="685"/>
      <c r="U140" s="685"/>
      <c r="V140" s="685"/>
      <c r="W140" s="685"/>
      <c r="X140" s="685"/>
      <c r="Y140" s="685"/>
      <c r="Z140" s="685"/>
      <c r="AA140" s="685"/>
      <c r="AB140" s="685"/>
      <c r="AC140" s="685"/>
      <c r="AD140" s="685"/>
      <c r="AE140" s="685"/>
      <c r="AF140" s="685"/>
      <c r="AG140" s="685"/>
      <c r="AH140" s="685"/>
      <c r="AI140" s="685"/>
      <c r="AJ140" s="685"/>
      <c r="AK140" s="685"/>
      <c r="AL140" s="685"/>
      <c r="AM140" s="685"/>
      <c r="AN140" s="685"/>
      <c r="AO140" s="685"/>
      <c r="AP140" s="685"/>
      <c r="AQ140" s="685"/>
      <c r="AR140" s="685"/>
      <c r="AS140" s="685"/>
      <c r="AT140" s="685"/>
      <c r="AU140" s="685"/>
      <c r="AV140" s="685"/>
      <c r="AW140" s="685"/>
      <c r="AX140" s="685"/>
      <c r="AY140" s="685"/>
      <c r="AZ140" s="685"/>
    </row>
    <row r="141" spans="1:52">
      <c r="A141" s="685"/>
      <c r="B141" s="685" t="s">
        <v>2931</v>
      </c>
      <c r="C141" s="848">
        <f>C128+C131+C132+C125</f>
        <v>11117.43125</v>
      </c>
      <c r="D141" s="848">
        <f>D128+D131+D132+D125</f>
        <v>12849.797500000001</v>
      </c>
      <c r="E141" s="848">
        <f>E128+E131+E132+E125</f>
        <v>12499.077499999999</v>
      </c>
      <c r="F141" s="848">
        <f>F128+F131+F132+F125</f>
        <v>14272.824999999999</v>
      </c>
      <c r="G141" s="685"/>
      <c r="H141" s="685"/>
      <c r="I141" s="685"/>
      <c r="J141" s="685"/>
      <c r="K141" s="685"/>
      <c r="L141" s="685"/>
      <c r="M141" s="685"/>
      <c r="N141" s="685"/>
      <c r="O141" s="685"/>
      <c r="P141" s="685"/>
      <c r="Q141" s="685"/>
      <c r="R141" s="685"/>
      <c r="S141" s="685"/>
      <c r="T141" s="685"/>
      <c r="U141" s="685"/>
      <c r="V141" s="685"/>
      <c r="W141" s="685"/>
      <c r="X141" s="685"/>
      <c r="Y141" s="685"/>
      <c r="Z141" s="685"/>
      <c r="AA141" s="685"/>
      <c r="AB141" s="685"/>
      <c r="AC141" s="685"/>
      <c r="AD141" s="685"/>
      <c r="AE141" s="685"/>
      <c r="AF141" s="685"/>
      <c r="AG141" s="685"/>
      <c r="AH141" s="685"/>
      <c r="AI141" s="685"/>
      <c r="AJ141" s="685"/>
      <c r="AK141" s="685"/>
      <c r="AL141" s="685"/>
      <c r="AM141" s="685"/>
      <c r="AN141" s="685"/>
      <c r="AO141" s="685"/>
      <c r="AP141" s="685"/>
      <c r="AQ141" s="685"/>
      <c r="AR141" s="685"/>
      <c r="AS141" s="685"/>
      <c r="AT141" s="685"/>
      <c r="AU141" s="685"/>
      <c r="AV141" s="685"/>
      <c r="AW141" s="685"/>
      <c r="AX141" s="685"/>
      <c r="AY141" s="685"/>
      <c r="AZ141" s="685"/>
    </row>
    <row r="142" spans="1:52">
      <c r="A142" s="685"/>
      <c r="B142" s="805" t="s">
        <v>2942</v>
      </c>
      <c r="C142" s="848"/>
      <c r="D142" s="848"/>
      <c r="E142" s="848"/>
      <c r="F142" s="685"/>
      <c r="G142" s="685"/>
      <c r="H142" s="685"/>
      <c r="I142" s="685"/>
      <c r="J142" s="685"/>
      <c r="K142" s="685"/>
      <c r="L142" s="685"/>
      <c r="M142" s="685"/>
      <c r="N142" s="685"/>
      <c r="O142" s="685"/>
      <c r="P142" s="685"/>
      <c r="Q142" s="685"/>
      <c r="R142" s="685"/>
      <c r="S142" s="685"/>
      <c r="T142" s="685"/>
      <c r="U142" s="685"/>
      <c r="V142" s="685"/>
      <c r="W142" s="685"/>
      <c r="X142" s="685"/>
      <c r="Y142" s="685"/>
      <c r="Z142" s="685"/>
      <c r="AA142" s="685"/>
      <c r="AB142" s="685"/>
      <c r="AC142" s="685"/>
      <c r="AD142" s="685"/>
      <c r="AE142" s="685"/>
      <c r="AF142" s="685"/>
      <c r="AG142" s="685"/>
      <c r="AH142" s="685"/>
      <c r="AI142" s="685"/>
      <c r="AJ142" s="685"/>
      <c r="AK142" s="685"/>
      <c r="AL142" s="685"/>
      <c r="AM142" s="685"/>
      <c r="AN142" s="685"/>
      <c r="AO142" s="685"/>
      <c r="AP142" s="685"/>
      <c r="AQ142" s="685"/>
      <c r="AR142" s="685"/>
      <c r="AS142" s="685"/>
      <c r="AT142" s="685"/>
      <c r="AU142" s="685"/>
      <c r="AV142" s="685"/>
      <c r="AW142" s="685"/>
      <c r="AX142" s="685"/>
      <c r="AY142" s="685"/>
      <c r="AZ142" s="685"/>
    </row>
    <row r="143" spans="1:52">
      <c r="A143" s="685"/>
      <c r="B143" s="685" t="s">
        <v>2934</v>
      </c>
      <c r="C143" s="848">
        <f>C141/I45</f>
        <v>700.53126969124139</v>
      </c>
      <c r="D143" s="848">
        <f>D141/J45</f>
        <v>681.68687002652518</v>
      </c>
      <c r="E143" s="848">
        <f>E141/K45</f>
        <v>661.32685185185187</v>
      </c>
      <c r="F143" s="848">
        <f>F141/L45</f>
        <v>741.44545454545448</v>
      </c>
      <c r="G143" s="685"/>
      <c r="H143" s="685"/>
      <c r="I143" s="685"/>
      <c r="J143" s="685"/>
      <c r="K143" s="685"/>
      <c r="L143" s="685"/>
      <c r="M143" s="685"/>
      <c r="N143" s="685"/>
      <c r="O143" s="685"/>
      <c r="P143" s="685"/>
      <c r="Q143" s="685"/>
      <c r="R143" s="685"/>
      <c r="S143" s="685"/>
      <c r="T143" s="685"/>
      <c r="U143" s="685"/>
      <c r="V143" s="685"/>
      <c r="W143" s="685"/>
      <c r="X143" s="685"/>
      <c r="Y143" s="685"/>
      <c r="Z143" s="685"/>
      <c r="AA143" s="685"/>
      <c r="AB143" s="685"/>
      <c r="AC143" s="685"/>
      <c r="AD143" s="685"/>
      <c r="AE143" s="685"/>
      <c r="AF143" s="685"/>
      <c r="AG143" s="685"/>
      <c r="AH143" s="685"/>
      <c r="AI143" s="685"/>
      <c r="AJ143" s="685"/>
      <c r="AK143" s="685"/>
      <c r="AL143" s="685"/>
      <c r="AM143" s="685"/>
      <c r="AN143" s="685"/>
      <c r="AO143" s="685"/>
      <c r="AP143" s="685"/>
      <c r="AQ143" s="685"/>
      <c r="AR143" s="685"/>
      <c r="AS143" s="685"/>
      <c r="AT143" s="685"/>
      <c r="AU143" s="685"/>
      <c r="AV143" s="685"/>
      <c r="AW143" s="685"/>
      <c r="AX143" s="685"/>
      <c r="AY143" s="685"/>
      <c r="AZ143" s="685"/>
    </row>
    <row r="144" spans="1:52">
      <c r="A144" s="685"/>
      <c r="B144" s="743" t="s">
        <v>2935</v>
      </c>
      <c r="C144" s="901">
        <f>C145-C143</f>
        <v>242.46873030875861</v>
      </c>
      <c r="D144" s="901">
        <f>D145-D143</f>
        <v>228.31312997347482</v>
      </c>
      <c r="E144" s="901">
        <f>E145-E143</f>
        <v>126.67314814814813</v>
      </c>
      <c r="F144" s="685"/>
      <c r="G144" s="685"/>
      <c r="H144" s="685"/>
      <c r="I144" s="685"/>
      <c r="J144" s="685"/>
      <c r="K144" s="685"/>
      <c r="L144" s="685"/>
      <c r="M144" s="685"/>
      <c r="N144" s="685"/>
      <c r="O144" s="685"/>
      <c r="P144" s="685"/>
      <c r="Q144" s="685"/>
      <c r="R144" s="685"/>
      <c r="S144" s="685"/>
      <c r="T144" s="685"/>
      <c r="U144" s="685"/>
      <c r="V144" s="685"/>
      <c r="W144" s="685"/>
      <c r="X144" s="685"/>
      <c r="Y144" s="685"/>
      <c r="Z144" s="685"/>
      <c r="AA144" s="685"/>
      <c r="AB144" s="685"/>
      <c r="AC144" s="685"/>
      <c r="AD144" s="685"/>
      <c r="AE144" s="685"/>
      <c r="AF144" s="685"/>
      <c r="AG144" s="685"/>
      <c r="AH144" s="685"/>
      <c r="AI144" s="685"/>
      <c r="AJ144" s="685"/>
      <c r="AK144" s="685"/>
      <c r="AL144" s="685"/>
      <c r="AM144" s="685"/>
      <c r="AN144" s="685"/>
      <c r="AO144" s="685"/>
      <c r="AP144" s="685"/>
      <c r="AQ144" s="685"/>
      <c r="AR144" s="685"/>
      <c r="AS144" s="685"/>
      <c r="AT144" s="685"/>
      <c r="AU144" s="685"/>
      <c r="AV144" s="685"/>
      <c r="AW144" s="685"/>
      <c r="AX144" s="685"/>
      <c r="AY144" s="685"/>
      <c r="AZ144" s="685"/>
    </row>
    <row r="145" spans="1:52">
      <c r="A145" s="685"/>
      <c r="B145" s="685" t="s">
        <v>2936</v>
      </c>
      <c r="C145" s="978">
        <v>943</v>
      </c>
      <c r="D145" s="978">
        <v>910</v>
      </c>
      <c r="E145" s="978">
        <v>788</v>
      </c>
      <c r="F145" s="685"/>
      <c r="G145" s="685"/>
      <c r="H145" s="685"/>
      <c r="I145" s="685"/>
      <c r="J145" s="685"/>
      <c r="K145" s="685"/>
      <c r="L145" s="685"/>
      <c r="M145" s="685"/>
      <c r="N145" s="685"/>
      <c r="O145" s="685"/>
      <c r="P145" s="685"/>
      <c r="Q145" s="685"/>
      <c r="R145" s="685"/>
      <c r="S145" s="685"/>
      <c r="T145" s="685"/>
      <c r="U145" s="685"/>
      <c r="V145" s="685"/>
      <c r="W145" s="685"/>
      <c r="X145" s="685"/>
      <c r="Y145" s="685"/>
      <c r="Z145" s="685"/>
      <c r="AA145" s="685"/>
      <c r="AB145" s="685"/>
      <c r="AC145" s="685"/>
      <c r="AD145" s="685"/>
      <c r="AE145" s="685"/>
      <c r="AF145" s="685"/>
      <c r="AG145" s="685"/>
      <c r="AH145" s="685"/>
      <c r="AI145" s="685"/>
      <c r="AJ145" s="685"/>
      <c r="AK145" s="685"/>
      <c r="AL145" s="685"/>
      <c r="AM145" s="685"/>
      <c r="AN145" s="685"/>
      <c r="AO145" s="685"/>
      <c r="AP145" s="685"/>
      <c r="AQ145" s="685"/>
      <c r="AR145" s="685"/>
      <c r="AS145" s="685"/>
      <c r="AT145" s="685"/>
      <c r="AU145" s="685"/>
      <c r="AV145" s="685"/>
      <c r="AW145" s="685"/>
      <c r="AX145" s="685"/>
      <c r="AY145" s="685"/>
      <c r="AZ145" s="685"/>
    </row>
    <row r="146" spans="1:52">
      <c r="A146" s="685"/>
      <c r="B146" s="685"/>
      <c r="C146" s="685"/>
      <c r="D146" s="685"/>
      <c r="E146" s="685"/>
      <c r="F146" s="685"/>
      <c r="G146" s="685"/>
      <c r="H146" s="685"/>
      <c r="I146" s="685"/>
      <c r="J146" s="685"/>
      <c r="K146" s="685"/>
      <c r="L146" s="685"/>
      <c r="M146" s="685"/>
      <c r="N146" s="685"/>
      <c r="O146" s="685"/>
      <c r="P146" s="685"/>
      <c r="Q146" s="685"/>
      <c r="R146" s="685"/>
      <c r="S146" s="685"/>
      <c r="T146" s="685"/>
      <c r="U146" s="685"/>
      <c r="V146" s="685"/>
      <c r="W146" s="685"/>
      <c r="X146" s="685"/>
      <c r="Y146" s="685"/>
      <c r="Z146" s="685"/>
      <c r="AA146" s="685"/>
      <c r="AB146" s="685"/>
      <c r="AC146" s="685"/>
      <c r="AD146" s="685"/>
      <c r="AE146" s="685"/>
      <c r="AF146" s="685"/>
      <c r="AG146" s="685"/>
      <c r="AH146" s="685"/>
      <c r="AI146" s="685"/>
      <c r="AJ146" s="685"/>
      <c r="AK146" s="685"/>
      <c r="AL146" s="685"/>
      <c r="AM146" s="685"/>
      <c r="AN146" s="685"/>
      <c r="AO146" s="685"/>
      <c r="AP146" s="685"/>
      <c r="AQ146" s="685"/>
      <c r="AR146" s="685"/>
      <c r="AS146" s="685"/>
      <c r="AT146" s="685"/>
      <c r="AU146" s="685"/>
      <c r="AV146" s="685"/>
      <c r="AW146" s="685"/>
      <c r="AX146" s="685"/>
      <c r="AY146" s="685"/>
      <c r="AZ146" s="685"/>
    </row>
    <row r="147" spans="1:52">
      <c r="A147" s="685"/>
      <c r="B147" s="874"/>
      <c r="C147" s="874"/>
      <c r="D147" s="874"/>
      <c r="E147" s="874"/>
      <c r="F147" s="685"/>
      <c r="G147" s="685"/>
      <c r="H147" s="685"/>
      <c r="I147" s="685"/>
      <c r="J147" s="685"/>
      <c r="K147" s="685"/>
      <c r="L147" s="685"/>
      <c r="M147" s="685"/>
      <c r="N147" s="685"/>
      <c r="O147" s="685"/>
      <c r="P147" s="685"/>
      <c r="Q147" s="685"/>
      <c r="R147" s="685"/>
      <c r="S147" s="685"/>
      <c r="T147" s="685"/>
      <c r="U147" s="685"/>
      <c r="V147" s="685"/>
      <c r="W147" s="685"/>
      <c r="X147" s="685"/>
      <c r="Y147" s="685"/>
      <c r="Z147" s="685"/>
      <c r="AA147" s="685"/>
      <c r="AB147" s="685"/>
      <c r="AC147" s="685"/>
      <c r="AD147" s="685"/>
      <c r="AE147" s="685"/>
      <c r="AF147" s="685"/>
      <c r="AG147" s="685"/>
      <c r="AH147" s="685"/>
      <c r="AI147" s="685"/>
      <c r="AJ147" s="685"/>
      <c r="AK147" s="685"/>
      <c r="AL147" s="685"/>
      <c r="AM147" s="685"/>
      <c r="AN147" s="685"/>
      <c r="AO147" s="685"/>
      <c r="AP147" s="685"/>
      <c r="AQ147" s="685"/>
      <c r="AR147" s="685"/>
      <c r="AS147" s="685"/>
      <c r="AT147" s="685"/>
      <c r="AU147" s="685"/>
      <c r="AV147" s="685"/>
      <c r="AW147" s="685"/>
      <c r="AX147" s="685"/>
      <c r="AY147" s="685"/>
      <c r="AZ147" s="685"/>
    </row>
    <row r="148" spans="1:52">
      <c r="A148" s="685"/>
      <c r="B148" s="857" t="s">
        <v>1654</v>
      </c>
      <c r="C148" s="857">
        <f>C123</f>
        <v>2015</v>
      </c>
      <c r="D148" s="857">
        <f>D123</f>
        <v>2016</v>
      </c>
      <c r="E148" s="857">
        <f>E123</f>
        <v>2017</v>
      </c>
      <c r="F148" s="685"/>
      <c r="G148" s="685"/>
      <c r="H148" s="685"/>
      <c r="I148" s="685"/>
      <c r="J148" s="685"/>
      <c r="K148" s="685"/>
      <c r="L148" s="685"/>
      <c r="M148" s="685"/>
      <c r="N148" s="685"/>
      <c r="O148" s="685"/>
      <c r="P148" s="685"/>
      <c r="Q148" s="685"/>
      <c r="R148" s="685"/>
      <c r="S148" s="685"/>
      <c r="T148" s="685"/>
      <c r="U148" s="685"/>
      <c r="V148" s="685"/>
      <c r="W148" s="685"/>
      <c r="X148" s="685"/>
      <c r="Y148" s="685"/>
      <c r="Z148" s="685"/>
      <c r="AA148" s="685"/>
      <c r="AB148" s="685"/>
      <c r="AC148" s="685"/>
      <c r="AD148" s="685"/>
      <c r="AE148" s="685"/>
      <c r="AF148" s="685"/>
      <c r="AG148" s="685"/>
      <c r="AH148" s="685"/>
      <c r="AI148" s="685"/>
      <c r="AJ148" s="685"/>
      <c r="AK148" s="685"/>
      <c r="AL148" s="685"/>
      <c r="AM148" s="685"/>
      <c r="AN148" s="685"/>
      <c r="AO148" s="685"/>
      <c r="AP148" s="685"/>
      <c r="AQ148" s="685"/>
      <c r="AR148" s="685"/>
      <c r="AS148" s="685"/>
      <c r="AT148" s="685"/>
      <c r="AU148" s="685"/>
      <c r="AV148" s="685"/>
      <c r="AW148" s="685"/>
      <c r="AX148" s="685"/>
      <c r="AY148" s="685"/>
      <c r="AZ148" s="685"/>
    </row>
    <row r="149" spans="1:52">
      <c r="A149" s="685"/>
      <c r="B149" s="874" t="s">
        <v>2937</v>
      </c>
      <c r="C149" s="876">
        <f>I34</f>
        <v>19768.399999999998</v>
      </c>
      <c r="D149" s="876">
        <f>J34</f>
        <v>21938.699999999997</v>
      </c>
      <c r="E149" s="876">
        <f>K34</f>
        <v>21172</v>
      </c>
      <c r="F149" s="685"/>
      <c r="G149" s="685"/>
      <c r="H149" s="685"/>
      <c r="I149" s="685"/>
      <c r="J149" s="685"/>
      <c r="K149" s="685"/>
      <c r="L149" s="685"/>
      <c r="M149" s="685"/>
      <c r="N149" s="685"/>
      <c r="O149" s="685"/>
      <c r="P149" s="685"/>
      <c r="Q149" s="685"/>
      <c r="R149" s="685"/>
      <c r="S149" s="685"/>
      <c r="T149" s="685"/>
      <c r="U149" s="685"/>
      <c r="V149" s="685"/>
      <c r="W149" s="685"/>
      <c r="X149" s="685"/>
      <c r="Y149" s="685"/>
      <c r="Z149" s="685"/>
      <c r="AA149" s="685"/>
      <c r="AB149" s="685"/>
      <c r="AC149" s="685"/>
      <c r="AD149" s="685"/>
      <c r="AE149" s="685"/>
      <c r="AF149" s="685"/>
      <c r="AG149" s="685"/>
      <c r="AH149" s="685"/>
      <c r="AI149" s="685"/>
      <c r="AJ149" s="685"/>
      <c r="AK149" s="685"/>
      <c r="AL149" s="685"/>
      <c r="AM149" s="685"/>
      <c r="AN149" s="685"/>
      <c r="AO149" s="685"/>
      <c r="AP149" s="685"/>
      <c r="AQ149" s="685"/>
      <c r="AR149" s="685"/>
      <c r="AS149" s="685"/>
      <c r="AT149" s="685"/>
      <c r="AU149" s="685"/>
      <c r="AV149" s="685"/>
      <c r="AW149" s="685"/>
      <c r="AX149" s="685"/>
      <c r="AY149" s="685"/>
      <c r="AZ149" s="685"/>
    </row>
    <row r="150" spans="1:52">
      <c r="A150" s="685"/>
      <c r="B150" s="685" t="s">
        <v>2927</v>
      </c>
      <c r="C150" s="993">
        <v>0.2</v>
      </c>
      <c r="D150" s="993">
        <v>0.2</v>
      </c>
      <c r="E150" s="993">
        <v>0.2</v>
      </c>
      <c r="F150" s="685"/>
      <c r="G150" s="685"/>
      <c r="H150" s="685"/>
      <c r="I150" s="685"/>
      <c r="J150" s="685"/>
      <c r="K150" s="685"/>
      <c r="L150" s="685"/>
      <c r="M150" s="685"/>
      <c r="N150" s="685"/>
      <c r="O150" s="685"/>
      <c r="P150" s="685"/>
      <c r="Q150" s="685"/>
      <c r="R150" s="685"/>
      <c r="S150" s="685"/>
      <c r="T150" s="685"/>
      <c r="U150" s="685"/>
      <c r="V150" s="685"/>
      <c r="W150" s="685"/>
      <c r="X150" s="685"/>
      <c r="Y150" s="685"/>
      <c r="Z150" s="685"/>
      <c r="AA150" s="685"/>
      <c r="AB150" s="685"/>
      <c r="AC150" s="685"/>
      <c r="AD150" s="685"/>
      <c r="AE150" s="685"/>
      <c r="AF150" s="685"/>
      <c r="AG150" s="685"/>
      <c r="AH150" s="685"/>
      <c r="AI150" s="685"/>
      <c r="AJ150" s="685"/>
      <c r="AK150" s="685"/>
      <c r="AL150" s="685"/>
      <c r="AM150" s="685"/>
      <c r="AN150" s="685"/>
      <c r="AO150" s="685"/>
      <c r="AP150" s="685"/>
      <c r="AQ150" s="685"/>
      <c r="AR150" s="685"/>
      <c r="AS150" s="685"/>
      <c r="AT150" s="685"/>
      <c r="AU150" s="685"/>
      <c r="AV150" s="685"/>
      <c r="AW150" s="685"/>
      <c r="AX150" s="685"/>
      <c r="AY150" s="685"/>
      <c r="AZ150" s="685"/>
    </row>
    <row r="151" spans="1:52">
      <c r="A151" s="685"/>
      <c r="B151" s="992" t="s">
        <v>2996</v>
      </c>
      <c r="C151" s="848">
        <f>C150*C149</f>
        <v>3953.68</v>
      </c>
      <c r="D151" s="848">
        <f>D150*D149</f>
        <v>4387.74</v>
      </c>
      <c r="E151" s="848">
        <f>E150*E149</f>
        <v>4234.4000000000005</v>
      </c>
      <c r="F151" s="685"/>
      <c r="G151" s="685"/>
      <c r="H151" s="685"/>
      <c r="I151" s="685"/>
      <c r="J151" s="685"/>
      <c r="K151" s="685"/>
      <c r="L151" s="685"/>
      <c r="M151" s="685"/>
      <c r="N151" s="685"/>
      <c r="O151" s="685"/>
      <c r="P151" s="685"/>
      <c r="Q151" s="685"/>
      <c r="R151" s="685"/>
      <c r="S151" s="685"/>
      <c r="T151" s="685"/>
      <c r="U151" s="685"/>
      <c r="V151" s="685"/>
      <c r="W151" s="685"/>
      <c r="X151" s="685"/>
      <c r="Y151" s="685"/>
      <c r="Z151" s="685"/>
      <c r="AA151" s="685"/>
      <c r="AB151" s="685"/>
      <c r="AC151" s="685"/>
      <c r="AD151" s="685"/>
      <c r="AE151" s="685"/>
      <c r="AF151" s="685"/>
      <c r="AG151" s="685"/>
      <c r="AH151" s="685"/>
      <c r="AI151" s="685"/>
      <c r="AJ151" s="685"/>
      <c r="AK151" s="685"/>
      <c r="AL151" s="685"/>
      <c r="AM151" s="685"/>
      <c r="AN151" s="685"/>
      <c r="AO151" s="685"/>
      <c r="AP151" s="685"/>
      <c r="AQ151" s="685"/>
      <c r="AR151" s="685"/>
      <c r="AS151" s="685"/>
      <c r="AT151" s="685"/>
      <c r="AU151" s="685"/>
      <c r="AV151" s="685"/>
      <c r="AW151" s="685"/>
      <c r="AX151" s="685"/>
      <c r="AY151" s="685"/>
      <c r="AZ151" s="685"/>
    </row>
    <row r="152" spans="1:52">
      <c r="A152" s="685"/>
      <c r="B152" s="992" t="s">
        <v>2997</v>
      </c>
      <c r="C152" s="848">
        <f>C149-C151</f>
        <v>15814.719999999998</v>
      </c>
      <c r="D152" s="848">
        <f>D149-D151</f>
        <v>17550.96</v>
      </c>
      <c r="E152" s="848">
        <f>E149-E151</f>
        <v>16937.599999999999</v>
      </c>
      <c r="F152" s="685"/>
      <c r="G152" s="685"/>
      <c r="H152" s="685"/>
      <c r="I152" s="685"/>
      <c r="J152" s="685"/>
      <c r="K152" s="685"/>
      <c r="L152" s="685"/>
      <c r="M152" s="685"/>
      <c r="N152" s="685"/>
      <c r="O152" s="685"/>
      <c r="P152" s="685"/>
      <c r="Q152" s="685"/>
      <c r="R152" s="685"/>
      <c r="S152" s="685"/>
      <c r="T152" s="685"/>
      <c r="U152" s="685"/>
      <c r="V152" s="685"/>
      <c r="W152" s="685"/>
      <c r="X152" s="685"/>
      <c r="Y152" s="685"/>
      <c r="Z152" s="685"/>
      <c r="AA152" s="685"/>
      <c r="AB152" s="685"/>
      <c r="AC152" s="685"/>
      <c r="AD152" s="685"/>
      <c r="AE152" s="685"/>
      <c r="AF152" s="685"/>
      <c r="AG152" s="685"/>
      <c r="AH152" s="685"/>
      <c r="AI152" s="685"/>
      <c r="AJ152" s="685"/>
      <c r="AK152" s="685"/>
      <c r="AL152" s="685"/>
      <c r="AM152" s="685"/>
      <c r="AN152" s="685"/>
      <c r="AO152" s="685"/>
      <c r="AP152" s="685"/>
      <c r="AQ152" s="685"/>
      <c r="AR152" s="685"/>
      <c r="AS152" s="685"/>
      <c r="AT152" s="685"/>
      <c r="AU152" s="685"/>
      <c r="AV152" s="685"/>
      <c r="AW152" s="685"/>
      <c r="AX152" s="685"/>
      <c r="AY152" s="685"/>
      <c r="AZ152" s="685"/>
    </row>
    <row r="153" spans="1:52">
      <c r="A153" s="685"/>
      <c r="B153" s="874"/>
      <c r="C153" s="848"/>
      <c r="D153" s="848"/>
      <c r="E153" s="848"/>
      <c r="F153" s="685"/>
      <c r="G153" s="685"/>
      <c r="H153" s="685"/>
      <c r="I153" s="685"/>
      <c r="J153" s="685"/>
      <c r="K153" s="685"/>
      <c r="L153" s="685"/>
      <c r="M153" s="685"/>
      <c r="N153" s="685"/>
      <c r="O153" s="685"/>
      <c r="P153" s="685"/>
      <c r="Q153" s="685"/>
      <c r="R153" s="685"/>
      <c r="S153" s="685"/>
      <c r="T153" s="685"/>
      <c r="U153" s="685"/>
      <c r="V153" s="685"/>
      <c r="W153" s="685"/>
      <c r="X153" s="685"/>
      <c r="Y153" s="685"/>
      <c r="Z153" s="685"/>
      <c r="AA153" s="685"/>
      <c r="AB153" s="685"/>
      <c r="AC153" s="685"/>
      <c r="AD153" s="685"/>
      <c r="AE153" s="685"/>
      <c r="AF153" s="685"/>
      <c r="AG153" s="685"/>
      <c r="AH153" s="685"/>
      <c r="AI153" s="685"/>
      <c r="AJ153" s="685"/>
      <c r="AK153" s="685"/>
      <c r="AL153" s="685"/>
      <c r="AM153" s="685"/>
      <c r="AN153" s="685"/>
      <c r="AO153" s="685"/>
      <c r="AP153" s="685"/>
      <c r="AQ153" s="685"/>
      <c r="AR153" s="685"/>
      <c r="AS153" s="685"/>
      <c r="AT153" s="685"/>
      <c r="AU153" s="685"/>
      <c r="AV153" s="685"/>
      <c r="AW153" s="685"/>
      <c r="AX153" s="685"/>
      <c r="AY153" s="685"/>
      <c r="AZ153" s="685"/>
    </row>
    <row r="154" spans="1:52">
      <c r="A154" s="685"/>
      <c r="B154" s="685" t="s">
        <v>2994</v>
      </c>
      <c r="C154" s="848">
        <f>C158-C149</f>
        <v>35908.300000000017</v>
      </c>
      <c r="D154" s="848">
        <f>D158-D149</f>
        <v>40770.800000000003</v>
      </c>
      <c r="E154" s="848">
        <f>E158-E149</f>
        <v>40323</v>
      </c>
      <c r="F154" s="685"/>
      <c r="G154" s="685"/>
      <c r="H154" s="685"/>
      <c r="I154" s="685"/>
      <c r="J154" s="685"/>
      <c r="K154" s="685"/>
      <c r="L154" s="685"/>
      <c r="M154" s="685"/>
      <c r="N154" s="685"/>
      <c r="O154" s="685"/>
      <c r="P154" s="685"/>
      <c r="Q154" s="685"/>
      <c r="R154" s="685"/>
      <c r="S154" s="685"/>
      <c r="T154" s="685"/>
      <c r="U154" s="685"/>
      <c r="V154" s="685"/>
      <c r="W154" s="685"/>
      <c r="X154" s="685"/>
      <c r="Y154" s="685"/>
      <c r="Z154" s="685"/>
      <c r="AA154" s="685"/>
      <c r="AB154" s="685"/>
      <c r="AC154" s="685"/>
      <c r="AD154" s="685"/>
      <c r="AE154" s="685"/>
      <c r="AF154" s="685"/>
      <c r="AG154" s="685"/>
      <c r="AH154" s="685"/>
      <c r="AI154" s="685"/>
      <c r="AJ154" s="685"/>
      <c r="AK154" s="685"/>
      <c r="AL154" s="685"/>
      <c r="AM154" s="685"/>
      <c r="AN154" s="685"/>
      <c r="AO154" s="685"/>
      <c r="AP154" s="685"/>
      <c r="AQ154" s="685"/>
      <c r="AR154" s="685"/>
      <c r="AS154" s="685"/>
      <c r="AT154" s="685"/>
      <c r="AU154" s="685"/>
      <c r="AV154" s="685"/>
      <c r="AW154" s="685"/>
      <c r="AX154" s="685"/>
      <c r="AY154" s="685"/>
      <c r="AZ154" s="685"/>
    </row>
    <row r="155" spans="1:52">
      <c r="A155" s="685"/>
      <c r="B155" s="992" t="s">
        <v>2998</v>
      </c>
      <c r="C155" s="848">
        <f>C162*Master!N92</f>
        <v>9678.65</v>
      </c>
      <c r="D155" s="848">
        <f>D162*Master!O92</f>
        <v>11050.410000000002</v>
      </c>
      <c r="E155" s="848">
        <f>E162*Master!P92</f>
        <v>8806.5999999999985</v>
      </c>
      <c r="F155" s="685"/>
      <c r="G155" s="685"/>
      <c r="H155" s="685"/>
      <c r="I155" s="685"/>
      <c r="J155" s="685"/>
      <c r="K155" s="685"/>
      <c r="L155" s="685"/>
      <c r="M155" s="685"/>
      <c r="N155" s="685"/>
      <c r="O155" s="685"/>
      <c r="P155" s="685"/>
      <c r="Q155" s="685"/>
      <c r="R155" s="685"/>
      <c r="S155" s="685"/>
      <c r="T155" s="685"/>
      <c r="U155" s="685"/>
      <c r="V155" s="685"/>
      <c r="W155" s="685"/>
      <c r="X155" s="685"/>
      <c r="Y155" s="685"/>
      <c r="Z155" s="685"/>
      <c r="AA155" s="685"/>
      <c r="AB155" s="685"/>
      <c r="AC155" s="685"/>
      <c r="AD155" s="685"/>
      <c r="AE155" s="685"/>
      <c r="AF155" s="685"/>
      <c r="AG155" s="685"/>
      <c r="AH155" s="685"/>
      <c r="AI155" s="685"/>
      <c r="AJ155" s="685"/>
      <c r="AK155" s="685"/>
      <c r="AL155" s="685"/>
      <c r="AM155" s="685"/>
      <c r="AN155" s="685"/>
      <c r="AO155" s="685"/>
      <c r="AP155" s="685"/>
      <c r="AQ155" s="685"/>
      <c r="AR155" s="685"/>
      <c r="AS155" s="685"/>
      <c r="AT155" s="685"/>
      <c r="AU155" s="685"/>
      <c r="AV155" s="685"/>
      <c r="AW155" s="685"/>
      <c r="AX155" s="685"/>
      <c r="AY155" s="685"/>
      <c r="AZ155" s="685"/>
    </row>
    <row r="156" spans="1:52">
      <c r="A156" s="685"/>
      <c r="B156" s="992" t="s">
        <v>2999</v>
      </c>
      <c r="C156" s="848">
        <f>C154-C155</f>
        <v>26229.650000000016</v>
      </c>
      <c r="D156" s="848">
        <f>D154-D155</f>
        <v>29720.39</v>
      </c>
      <c r="E156" s="848">
        <f>E154-E155</f>
        <v>31516.400000000001</v>
      </c>
      <c r="F156" s="685"/>
      <c r="G156" s="685"/>
      <c r="H156" s="685"/>
      <c r="I156" s="685"/>
      <c r="J156" s="685"/>
      <c r="K156" s="685"/>
      <c r="L156" s="685"/>
      <c r="M156" s="685"/>
      <c r="N156" s="685"/>
      <c r="O156" s="685"/>
      <c r="P156" s="685"/>
      <c r="Q156" s="685"/>
      <c r="R156" s="685"/>
      <c r="S156" s="685"/>
      <c r="T156" s="685"/>
      <c r="U156" s="685"/>
      <c r="V156" s="685"/>
      <c r="W156" s="685"/>
      <c r="X156" s="685"/>
      <c r="Y156" s="685"/>
      <c r="Z156" s="685"/>
      <c r="AA156" s="685"/>
      <c r="AB156" s="685"/>
      <c r="AC156" s="685"/>
      <c r="AD156" s="685"/>
      <c r="AE156" s="685"/>
      <c r="AF156" s="685"/>
      <c r="AG156" s="685"/>
      <c r="AH156" s="685"/>
      <c r="AI156" s="685"/>
      <c r="AJ156" s="685"/>
      <c r="AK156" s="685"/>
      <c r="AL156" s="685"/>
      <c r="AM156" s="685"/>
      <c r="AN156" s="685"/>
      <c r="AO156" s="685"/>
      <c r="AP156" s="685"/>
      <c r="AQ156" s="685"/>
      <c r="AR156" s="685"/>
      <c r="AS156" s="685"/>
      <c r="AT156" s="685"/>
      <c r="AU156" s="685"/>
      <c r="AV156" s="685"/>
      <c r="AW156" s="685"/>
      <c r="AX156" s="685"/>
      <c r="AY156" s="685"/>
      <c r="AZ156" s="685"/>
    </row>
    <row r="157" spans="1:52">
      <c r="A157" s="685"/>
      <c r="B157" s="685"/>
      <c r="C157" s="848"/>
      <c r="D157" s="848"/>
      <c r="E157" s="848"/>
      <c r="F157" s="685"/>
      <c r="G157" s="685"/>
      <c r="H157" s="685"/>
      <c r="I157" s="685"/>
      <c r="J157" s="685"/>
      <c r="K157" s="685"/>
      <c r="L157" s="685"/>
      <c r="M157" s="685"/>
      <c r="N157" s="685"/>
      <c r="O157" s="685"/>
      <c r="P157" s="685"/>
      <c r="Q157" s="685"/>
      <c r="R157" s="685"/>
      <c r="S157" s="685"/>
      <c r="T157" s="685"/>
      <c r="U157" s="685"/>
      <c r="V157" s="685"/>
      <c r="W157" s="685"/>
      <c r="X157" s="685"/>
      <c r="Y157" s="685"/>
      <c r="Z157" s="685"/>
      <c r="AA157" s="685"/>
      <c r="AB157" s="685"/>
      <c r="AC157" s="685"/>
      <c r="AD157" s="685"/>
      <c r="AE157" s="685"/>
      <c r="AF157" s="685"/>
      <c r="AG157" s="685"/>
      <c r="AH157" s="685"/>
      <c r="AI157" s="685"/>
      <c r="AJ157" s="685"/>
      <c r="AK157" s="685"/>
      <c r="AL157" s="685"/>
      <c r="AM157" s="685"/>
      <c r="AN157" s="685"/>
      <c r="AO157" s="685"/>
      <c r="AP157" s="685"/>
      <c r="AQ157" s="685"/>
      <c r="AR157" s="685"/>
      <c r="AS157" s="685"/>
      <c r="AT157" s="685"/>
      <c r="AU157" s="685"/>
      <c r="AV157" s="685"/>
      <c r="AW157" s="685"/>
      <c r="AX157" s="685"/>
      <c r="AY157" s="685"/>
      <c r="AZ157" s="685"/>
    </row>
    <row r="158" spans="1:52">
      <c r="A158" s="685"/>
      <c r="B158" s="874" t="s">
        <v>2995</v>
      </c>
      <c r="C158" s="876">
        <f>Master!N5-Master!N13</f>
        <v>55676.700000000012</v>
      </c>
      <c r="D158" s="876">
        <f>Master!O5-Master!O13</f>
        <v>62709.5</v>
      </c>
      <c r="E158" s="876">
        <f>Master!P5-Master!P13</f>
        <v>61495</v>
      </c>
      <c r="F158" s="685"/>
      <c r="G158" s="685"/>
      <c r="H158" s="685"/>
      <c r="I158" s="685"/>
      <c r="J158" s="685"/>
      <c r="K158" s="685"/>
      <c r="L158" s="685"/>
      <c r="M158" s="685"/>
      <c r="N158" s="685"/>
      <c r="O158" s="685"/>
      <c r="P158" s="685"/>
      <c r="Q158" s="685"/>
      <c r="R158" s="685"/>
      <c r="S158" s="685"/>
      <c r="T158" s="685"/>
      <c r="U158" s="685"/>
      <c r="V158" s="685"/>
      <c r="W158" s="685"/>
      <c r="X158" s="685"/>
      <c r="Y158" s="685"/>
      <c r="Z158" s="685"/>
      <c r="AA158" s="685"/>
      <c r="AB158" s="685"/>
      <c r="AC158" s="685"/>
      <c r="AD158" s="685"/>
      <c r="AE158" s="685"/>
      <c r="AF158" s="685"/>
      <c r="AG158" s="685"/>
      <c r="AH158" s="685"/>
      <c r="AI158" s="685"/>
      <c r="AJ158" s="685"/>
      <c r="AK158" s="685"/>
      <c r="AL158" s="685"/>
      <c r="AM158" s="685"/>
      <c r="AN158" s="685"/>
      <c r="AO158" s="685"/>
      <c r="AP158" s="685"/>
      <c r="AQ158" s="685"/>
      <c r="AR158" s="685"/>
      <c r="AS158" s="685"/>
      <c r="AT158" s="685"/>
      <c r="AU158" s="685"/>
      <c r="AV158" s="685"/>
      <c r="AW158" s="685"/>
      <c r="AX158" s="685"/>
      <c r="AY158" s="685"/>
      <c r="AZ158" s="685"/>
    </row>
    <row r="159" spans="1:52">
      <c r="A159" s="685"/>
      <c r="B159" s="992"/>
      <c r="C159" s="848"/>
      <c r="D159" s="848"/>
      <c r="E159" s="848"/>
      <c r="F159" s="685"/>
      <c r="G159" s="685"/>
      <c r="H159" s="685"/>
      <c r="I159" s="685"/>
      <c r="J159" s="685"/>
      <c r="K159" s="685"/>
      <c r="L159" s="685"/>
      <c r="M159" s="685"/>
      <c r="N159" s="685"/>
      <c r="O159" s="685"/>
      <c r="P159" s="685"/>
      <c r="Q159" s="685"/>
      <c r="R159" s="685"/>
      <c r="S159" s="685"/>
      <c r="T159" s="685"/>
      <c r="U159" s="685"/>
      <c r="V159" s="685"/>
      <c r="W159" s="685"/>
      <c r="X159" s="685"/>
      <c r="Y159" s="685"/>
      <c r="Z159" s="685"/>
      <c r="AA159" s="685"/>
      <c r="AB159" s="685"/>
      <c r="AC159" s="685"/>
      <c r="AD159" s="685"/>
      <c r="AE159" s="685"/>
      <c r="AF159" s="685"/>
      <c r="AG159" s="685"/>
      <c r="AH159" s="685"/>
      <c r="AI159" s="685"/>
      <c r="AJ159" s="685"/>
      <c r="AK159" s="685"/>
      <c r="AL159" s="685"/>
      <c r="AM159" s="685"/>
      <c r="AN159" s="685"/>
      <c r="AO159" s="685"/>
      <c r="AP159" s="685"/>
      <c r="AQ159" s="685"/>
      <c r="AR159" s="685"/>
      <c r="AS159" s="685"/>
      <c r="AT159" s="685"/>
      <c r="AU159" s="685"/>
      <c r="AV159" s="685"/>
      <c r="AW159" s="685"/>
      <c r="AX159" s="685"/>
      <c r="AY159" s="685"/>
      <c r="AZ159" s="685"/>
    </row>
    <row r="160" spans="1:52">
      <c r="A160" s="685"/>
      <c r="B160" s="1178" t="s">
        <v>2942</v>
      </c>
      <c r="C160" s="848"/>
      <c r="D160" s="848"/>
      <c r="E160" s="848"/>
      <c r="F160" s="685"/>
      <c r="G160" s="685"/>
      <c r="H160" s="685"/>
      <c r="I160" s="685"/>
      <c r="J160" s="685"/>
      <c r="K160" s="685"/>
      <c r="L160" s="685"/>
      <c r="M160" s="685"/>
      <c r="N160" s="685"/>
      <c r="O160" s="685"/>
      <c r="P160" s="685"/>
      <c r="Q160" s="685"/>
      <c r="R160" s="685"/>
      <c r="S160" s="685"/>
      <c r="T160" s="685"/>
      <c r="U160" s="685"/>
      <c r="V160" s="685"/>
      <c r="W160" s="685"/>
      <c r="X160" s="685"/>
      <c r="Y160" s="685"/>
      <c r="Z160" s="685"/>
      <c r="AA160" s="685"/>
      <c r="AB160" s="685"/>
      <c r="AC160" s="685"/>
      <c r="AD160" s="685"/>
      <c r="AE160" s="685"/>
      <c r="AF160" s="685"/>
      <c r="AG160" s="685"/>
      <c r="AH160" s="685"/>
      <c r="AI160" s="685"/>
      <c r="AJ160" s="685"/>
      <c r="AK160" s="685"/>
      <c r="AL160" s="685"/>
      <c r="AM160" s="685"/>
      <c r="AN160" s="685"/>
      <c r="AO160" s="685"/>
      <c r="AP160" s="685"/>
      <c r="AQ160" s="685"/>
      <c r="AR160" s="685"/>
      <c r="AS160" s="685"/>
      <c r="AT160" s="685"/>
      <c r="AU160" s="685"/>
      <c r="AV160" s="685"/>
      <c r="AW160" s="685"/>
      <c r="AX160" s="685"/>
      <c r="AY160" s="685"/>
      <c r="AZ160" s="685"/>
    </row>
    <row r="161" spans="1:52">
      <c r="A161" s="685"/>
      <c r="B161" s="685" t="s">
        <v>2938</v>
      </c>
      <c r="C161" s="848">
        <f>C151/I45</f>
        <v>249.1291745431632</v>
      </c>
      <c r="D161" s="848">
        <f>D151/J45</f>
        <v>232.77135278514587</v>
      </c>
      <c r="E161" s="848">
        <f>E151/K45</f>
        <v>224.04232804232808</v>
      </c>
      <c r="F161" s="685"/>
      <c r="G161" s="685"/>
      <c r="H161" s="685"/>
      <c r="I161" s="685"/>
      <c r="J161" s="685"/>
      <c r="K161" s="685"/>
      <c r="L161" s="685"/>
      <c r="M161" s="685"/>
      <c r="N161" s="685"/>
      <c r="O161" s="685"/>
      <c r="P161" s="685"/>
      <c r="Q161" s="685"/>
      <c r="R161" s="685"/>
      <c r="S161" s="685"/>
      <c r="T161" s="685"/>
      <c r="U161" s="685"/>
      <c r="V161" s="685"/>
      <c r="W161" s="685"/>
      <c r="X161" s="685"/>
      <c r="Y161" s="685"/>
      <c r="Z161" s="685"/>
      <c r="AA161" s="685"/>
      <c r="AB161" s="685"/>
      <c r="AC161" s="685"/>
      <c r="AD161" s="685"/>
      <c r="AE161" s="685"/>
      <c r="AF161" s="685"/>
      <c r="AG161" s="685"/>
      <c r="AH161" s="685"/>
      <c r="AI161" s="685"/>
      <c r="AJ161" s="685"/>
      <c r="AK161" s="685"/>
      <c r="AL161" s="685"/>
      <c r="AM161" s="685"/>
      <c r="AN161" s="685"/>
      <c r="AO161" s="685"/>
      <c r="AP161" s="685"/>
      <c r="AQ161" s="685"/>
      <c r="AR161" s="685"/>
      <c r="AS161" s="685"/>
      <c r="AT161" s="685"/>
      <c r="AU161" s="685"/>
      <c r="AV161" s="685"/>
      <c r="AW161" s="685"/>
      <c r="AX161" s="685"/>
      <c r="AY161" s="685"/>
      <c r="AZ161" s="685"/>
    </row>
    <row r="162" spans="1:52">
      <c r="A162" s="685"/>
      <c r="B162" s="743" t="s">
        <v>2939</v>
      </c>
      <c r="C162" s="901">
        <f>C163-C161</f>
        <v>609.87082545683677</v>
      </c>
      <c r="D162" s="901">
        <f>D163-D161</f>
        <v>586.22864721485416</v>
      </c>
      <c r="E162" s="901">
        <f>E163-E161</f>
        <v>465.95767195767189</v>
      </c>
      <c r="F162" s="685"/>
      <c r="G162" s="685"/>
      <c r="H162" s="685"/>
      <c r="I162" s="685"/>
      <c r="J162" s="685"/>
      <c r="K162" s="685"/>
      <c r="L162" s="685"/>
      <c r="M162" s="685"/>
      <c r="N162" s="685"/>
      <c r="O162" s="685"/>
      <c r="P162" s="685"/>
      <c r="Q162" s="685"/>
      <c r="R162" s="685"/>
      <c r="S162" s="685"/>
      <c r="T162" s="685"/>
      <c r="U162" s="685"/>
      <c r="V162" s="685"/>
      <c r="W162" s="685"/>
      <c r="X162" s="685"/>
      <c r="Y162" s="685"/>
      <c r="Z162" s="685"/>
      <c r="AA162" s="685"/>
      <c r="AB162" s="685"/>
      <c r="AC162" s="685"/>
      <c r="AD162" s="685"/>
      <c r="AE162" s="685"/>
      <c r="AF162" s="685"/>
      <c r="AG162" s="685"/>
      <c r="AH162" s="685"/>
      <c r="AI162" s="685"/>
      <c r="AJ162" s="685"/>
      <c r="AK162" s="685"/>
      <c r="AL162" s="685"/>
      <c r="AM162" s="685"/>
      <c r="AN162" s="685"/>
      <c r="AO162" s="685"/>
      <c r="AP162" s="685"/>
      <c r="AQ162" s="685"/>
      <c r="AR162" s="685"/>
      <c r="AS162" s="685"/>
      <c r="AT162" s="685"/>
      <c r="AU162" s="685"/>
      <c r="AV162" s="685"/>
      <c r="AW162" s="685"/>
      <c r="AX162" s="685"/>
      <c r="AY162" s="685"/>
      <c r="AZ162" s="685"/>
    </row>
    <row r="163" spans="1:52">
      <c r="A163" s="685"/>
      <c r="B163" s="685" t="s">
        <v>2940</v>
      </c>
      <c r="C163" s="1004">
        <v>859</v>
      </c>
      <c r="D163" s="1002">
        <v>819</v>
      </c>
      <c r="E163" s="1002">
        <v>690</v>
      </c>
      <c r="F163" s="685"/>
      <c r="G163" s="685"/>
      <c r="H163" s="685"/>
      <c r="I163" s="685"/>
      <c r="J163" s="685"/>
      <c r="K163" s="685"/>
      <c r="L163" s="685"/>
      <c r="M163" s="685"/>
      <c r="N163" s="685"/>
      <c r="O163" s="685"/>
      <c r="P163" s="685"/>
      <c r="Q163" s="685"/>
      <c r="R163" s="685"/>
      <c r="S163" s="685"/>
      <c r="T163" s="685"/>
      <c r="U163" s="685"/>
      <c r="V163" s="685"/>
      <c r="W163" s="685"/>
      <c r="X163" s="685"/>
      <c r="Y163" s="685"/>
      <c r="Z163" s="685"/>
      <c r="AA163" s="685"/>
      <c r="AB163" s="685"/>
      <c r="AC163" s="685"/>
      <c r="AD163" s="685"/>
      <c r="AE163" s="685"/>
      <c r="AF163" s="685"/>
      <c r="AG163" s="685"/>
      <c r="AH163" s="685"/>
      <c r="AI163" s="685"/>
      <c r="AJ163" s="685"/>
      <c r="AK163" s="685"/>
      <c r="AL163" s="685"/>
      <c r="AM163" s="685"/>
      <c r="AN163" s="685"/>
      <c r="AO163" s="685"/>
      <c r="AP163" s="685"/>
      <c r="AQ163" s="685"/>
      <c r="AR163" s="685"/>
      <c r="AS163" s="685"/>
      <c r="AT163" s="685"/>
      <c r="AU163" s="685"/>
      <c r="AV163" s="685"/>
      <c r="AW163" s="685"/>
      <c r="AX163" s="685"/>
      <c r="AY163" s="685"/>
      <c r="AZ163" s="685"/>
    </row>
    <row r="164" spans="1:52">
      <c r="A164" s="685"/>
      <c r="B164" s="685"/>
      <c r="C164" s="685"/>
      <c r="D164" s="685"/>
      <c r="E164" s="685"/>
      <c r="F164" s="685"/>
      <c r="G164" s="685"/>
      <c r="H164" s="685"/>
      <c r="I164" s="685"/>
      <c r="J164" s="685"/>
      <c r="K164" s="685"/>
      <c r="L164" s="685"/>
      <c r="M164" s="685"/>
      <c r="N164" s="685"/>
      <c r="O164" s="685"/>
      <c r="P164" s="685"/>
      <c r="Q164" s="685"/>
      <c r="R164" s="685"/>
      <c r="S164" s="685"/>
      <c r="T164" s="685"/>
      <c r="U164" s="685"/>
      <c r="V164" s="685"/>
      <c r="W164" s="685"/>
      <c r="X164" s="685"/>
      <c r="Y164" s="685"/>
      <c r="Z164" s="685"/>
      <c r="AA164" s="685"/>
      <c r="AB164" s="685"/>
      <c r="AC164" s="685"/>
      <c r="AD164" s="685"/>
      <c r="AE164" s="685"/>
      <c r="AF164" s="685"/>
      <c r="AG164" s="685"/>
      <c r="AH164" s="685"/>
      <c r="AI164" s="685"/>
      <c r="AJ164" s="685"/>
      <c r="AK164" s="685"/>
      <c r="AL164" s="685"/>
      <c r="AM164" s="685"/>
      <c r="AN164" s="685"/>
      <c r="AO164" s="685"/>
      <c r="AP164" s="685"/>
      <c r="AQ164" s="685"/>
      <c r="AR164" s="685"/>
      <c r="AS164" s="685"/>
      <c r="AT164" s="685"/>
      <c r="AU164" s="685"/>
      <c r="AV164" s="685"/>
      <c r="AW164" s="685"/>
      <c r="AX164" s="685"/>
      <c r="AY164" s="685"/>
      <c r="AZ164" s="685"/>
    </row>
    <row r="165" spans="1:52">
      <c r="A165" s="685"/>
      <c r="B165" s="685" t="s">
        <v>4333</v>
      </c>
      <c r="C165" s="848">
        <f>C145-C163</f>
        <v>84</v>
      </c>
      <c r="D165" s="848">
        <f>D145-D163</f>
        <v>91</v>
      </c>
      <c r="E165" s="848">
        <f>E145-E163</f>
        <v>98</v>
      </c>
      <c r="F165" s="685"/>
      <c r="G165" s="685"/>
      <c r="H165" s="685"/>
      <c r="I165" s="685"/>
      <c r="J165" s="685"/>
      <c r="K165" s="685"/>
      <c r="L165" s="685"/>
      <c r="M165" s="685"/>
      <c r="N165" s="685"/>
      <c r="O165" s="685"/>
      <c r="P165" s="685"/>
      <c r="Q165" s="685"/>
      <c r="R165" s="685"/>
      <c r="S165" s="685"/>
      <c r="T165" s="685"/>
      <c r="U165" s="685"/>
      <c r="V165" s="685"/>
      <c r="W165" s="685"/>
      <c r="X165" s="685"/>
      <c r="Y165" s="685"/>
      <c r="Z165" s="685"/>
      <c r="AA165" s="685"/>
      <c r="AB165" s="685"/>
      <c r="AC165" s="685"/>
      <c r="AD165" s="685"/>
      <c r="AE165" s="685"/>
      <c r="AF165" s="685"/>
      <c r="AG165" s="685"/>
      <c r="AH165" s="685"/>
      <c r="AI165" s="685"/>
      <c r="AJ165" s="685"/>
      <c r="AK165" s="685"/>
      <c r="AL165" s="685"/>
      <c r="AM165" s="685"/>
      <c r="AN165" s="685"/>
      <c r="AO165" s="685"/>
      <c r="AP165" s="685"/>
      <c r="AQ165" s="685"/>
      <c r="AR165" s="685"/>
      <c r="AS165" s="685"/>
      <c r="AT165" s="685"/>
      <c r="AU165" s="685"/>
      <c r="AV165" s="685"/>
      <c r="AW165" s="685"/>
      <c r="AX165" s="685"/>
      <c r="AY165" s="685"/>
      <c r="AZ165" s="685"/>
    </row>
    <row r="166" spans="1:52">
      <c r="A166" s="685"/>
      <c r="B166" s="685" t="s">
        <v>4334</v>
      </c>
      <c r="C166" s="848">
        <f>C165*Master!N92</f>
        <v>1333.08</v>
      </c>
      <c r="D166" s="848">
        <f>D165*Master!O92</f>
        <v>1715.3500000000001</v>
      </c>
      <c r="E166" s="848">
        <f>E165*Master!P92</f>
        <v>1852.1999999999998</v>
      </c>
      <c r="F166" s="685"/>
      <c r="G166" s="685"/>
      <c r="H166" s="685"/>
      <c r="I166" s="685"/>
      <c r="J166" s="685"/>
      <c r="K166" s="685"/>
      <c r="L166" s="685"/>
      <c r="M166" s="685"/>
      <c r="N166" s="685"/>
      <c r="O166" s="685"/>
      <c r="P166" s="685"/>
      <c r="Q166" s="685"/>
      <c r="R166" s="685"/>
      <c r="S166" s="685"/>
      <c r="T166" s="685"/>
      <c r="U166" s="685"/>
      <c r="V166" s="685"/>
      <c r="W166" s="685"/>
      <c r="X166" s="685"/>
      <c r="Y166" s="685"/>
      <c r="Z166" s="685"/>
      <c r="AA166" s="685"/>
      <c r="AB166" s="685"/>
      <c r="AC166" s="685"/>
      <c r="AD166" s="685"/>
      <c r="AE166" s="685"/>
      <c r="AF166" s="685"/>
      <c r="AG166" s="685"/>
      <c r="AH166" s="685"/>
      <c r="AI166" s="685"/>
      <c r="AJ166" s="685"/>
      <c r="AK166" s="685"/>
      <c r="AL166" s="685"/>
      <c r="AM166" s="685"/>
      <c r="AN166" s="685"/>
      <c r="AO166" s="685"/>
      <c r="AP166" s="685"/>
      <c r="AQ166" s="685"/>
      <c r="AR166" s="685"/>
      <c r="AS166" s="685"/>
      <c r="AT166" s="685"/>
      <c r="AU166" s="685"/>
      <c r="AV166" s="685"/>
      <c r="AW166" s="685"/>
      <c r="AX166" s="685"/>
      <c r="AY166" s="685"/>
      <c r="AZ166" s="685"/>
    </row>
    <row r="167" spans="1:52">
      <c r="A167" s="685"/>
      <c r="B167" s="685" t="s">
        <v>1613</v>
      </c>
      <c r="C167" s="807">
        <f>C166/Master!N13</f>
        <v>4.1175834664080341E-2</v>
      </c>
      <c r="D167" s="807">
        <f>D166/Master!O13</f>
        <v>5.1085684334041155E-2</v>
      </c>
      <c r="E167" s="807">
        <f>E166/Master!P13</f>
        <v>5.6503965832824889E-2</v>
      </c>
      <c r="F167" s="685"/>
      <c r="G167" s="685"/>
      <c r="H167" s="685"/>
      <c r="I167" s="685"/>
      <c r="J167" s="685"/>
      <c r="K167" s="685"/>
      <c r="L167" s="685"/>
      <c r="M167" s="685"/>
      <c r="N167" s="685"/>
      <c r="O167" s="685"/>
      <c r="P167" s="685"/>
      <c r="Q167" s="685"/>
      <c r="R167" s="685"/>
      <c r="S167" s="685"/>
      <c r="T167" s="685"/>
      <c r="U167" s="685"/>
      <c r="V167" s="685"/>
      <c r="W167" s="685"/>
      <c r="X167" s="685"/>
      <c r="Y167" s="685"/>
      <c r="Z167" s="685"/>
      <c r="AA167" s="685"/>
      <c r="AB167" s="685"/>
      <c r="AC167" s="685"/>
      <c r="AD167" s="685"/>
      <c r="AE167" s="685"/>
      <c r="AF167" s="685"/>
      <c r="AG167" s="685"/>
      <c r="AH167" s="685"/>
      <c r="AI167" s="685"/>
      <c r="AJ167" s="685"/>
      <c r="AK167" s="685"/>
      <c r="AL167" s="685"/>
      <c r="AM167" s="685"/>
      <c r="AN167" s="685"/>
      <c r="AO167" s="685"/>
      <c r="AP167" s="685"/>
      <c r="AQ167" s="685"/>
      <c r="AR167" s="685"/>
      <c r="AS167" s="685"/>
      <c r="AT167" s="685"/>
      <c r="AU167" s="685"/>
      <c r="AV167" s="685"/>
      <c r="AW167" s="685"/>
      <c r="AX167" s="685"/>
      <c r="AY167" s="685"/>
      <c r="AZ167" s="685"/>
    </row>
    <row r="168" spans="1:52">
      <c r="A168" s="685"/>
      <c r="B168" s="685"/>
      <c r="C168" s="685"/>
      <c r="D168" s="685"/>
      <c r="E168" s="685"/>
      <c r="F168" s="685"/>
      <c r="G168" s="685"/>
      <c r="H168" s="685"/>
      <c r="I168" s="685"/>
      <c r="J168" s="685"/>
      <c r="K168" s="685"/>
      <c r="L168" s="685"/>
      <c r="M168" s="685"/>
      <c r="N168" s="685"/>
      <c r="O168" s="685"/>
      <c r="P168" s="685"/>
      <c r="Q168" s="685"/>
      <c r="R168" s="685"/>
      <c r="S168" s="685"/>
      <c r="T168" s="685"/>
      <c r="U168" s="685"/>
      <c r="V168" s="685"/>
      <c r="W168" s="685"/>
      <c r="X168" s="685"/>
      <c r="Y168" s="685"/>
      <c r="Z168" s="685"/>
      <c r="AA168" s="685"/>
      <c r="AB168" s="685"/>
      <c r="AC168" s="685"/>
      <c r="AD168" s="685"/>
      <c r="AE168" s="685"/>
      <c r="AF168" s="685"/>
      <c r="AG168" s="685"/>
      <c r="AH168" s="685"/>
      <c r="AI168" s="685"/>
      <c r="AJ168" s="685"/>
      <c r="AK168" s="685"/>
      <c r="AL168" s="685"/>
      <c r="AM168" s="685"/>
      <c r="AN168" s="685"/>
      <c r="AO168" s="685"/>
      <c r="AP168" s="685"/>
      <c r="AQ168" s="685"/>
      <c r="AR168" s="685"/>
      <c r="AS168" s="685"/>
      <c r="AT168" s="685"/>
      <c r="AU168" s="685"/>
      <c r="AV168" s="685"/>
      <c r="AW168" s="685"/>
      <c r="AX168" s="685"/>
      <c r="AY168" s="685"/>
      <c r="AZ168" s="685"/>
    </row>
    <row r="169" spans="1:52">
      <c r="A169" s="685"/>
      <c r="B169" s="685" t="s">
        <v>2943</v>
      </c>
      <c r="C169" s="848">
        <f>C162*I45</f>
        <v>9678.65</v>
      </c>
      <c r="D169" s="685"/>
      <c r="E169" s="685"/>
      <c r="F169" s="685"/>
      <c r="G169" s="685"/>
      <c r="H169" s="685"/>
      <c r="I169" s="685"/>
      <c r="J169" s="685"/>
      <c r="K169" s="685"/>
      <c r="L169" s="685"/>
      <c r="M169" s="685"/>
      <c r="N169" s="685"/>
      <c r="O169" s="685"/>
      <c r="P169" s="685"/>
      <c r="Q169" s="685"/>
      <c r="R169" s="685"/>
      <c r="S169" s="685"/>
      <c r="T169" s="685"/>
      <c r="U169" s="685"/>
      <c r="V169" s="685"/>
      <c r="W169" s="685"/>
      <c r="X169" s="685"/>
      <c r="Y169" s="685"/>
      <c r="Z169" s="685"/>
      <c r="AA169" s="685"/>
      <c r="AB169" s="685"/>
      <c r="AC169" s="685"/>
      <c r="AD169" s="685"/>
      <c r="AE169" s="685"/>
      <c r="AF169" s="685"/>
      <c r="AG169" s="685"/>
      <c r="AH169" s="685"/>
      <c r="AI169" s="685"/>
      <c r="AJ169" s="685"/>
      <c r="AK169" s="685"/>
      <c r="AL169" s="685"/>
      <c r="AM169" s="685"/>
      <c r="AN169" s="685"/>
      <c r="AO169" s="685"/>
      <c r="AP169" s="685"/>
      <c r="AQ169" s="685"/>
      <c r="AR169" s="685"/>
      <c r="AS169" s="685"/>
      <c r="AT169" s="685"/>
      <c r="AU169" s="685"/>
      <c r="AV169" s="685"/>
      <c r="AW169" s="685"/>
      <c r="AX169" s="685"/>
      <c r="AY169" s="685"/>
      <c r="AZ169" s="685"/>
    </row>
    <row r="170" spans="1:52">
      <c r="A170" s="685"/>
      <c r="B170" s="685" t="s">
        <v>2944</v>
      </c>
      <c r="C170" s="807">
        <f>C169/(Master!N5-Master!N13-Content!C169)</f>
        <v>0.21041435452155033</v>
      </c>
      <c r="D170" s="848"/>
      <c r="E170" s="848"/>
      <c r="F170" s="685"/>
      <c r="G170" s="685"/>
      <c r="H170" s="685"/>
      <c r="I170" s="685"/>
      <c r="J170" s="685"/>
      <c r="K170" s="685"/>
      <c r="L170" s="685"/>
      <c r="M170" s="685"/>
      <c r="N170" s="685"/>
      <c r="O170" s="685"/>
      <c r="P170" s="685"/>
      <c r="Q170" s="685"/>
      <c r="R170" s="685"/>
      <c r="S170" s="685"/>
      <c r="T170" s="685"/>
      <c r="U170" s="685"/>
      <c r="V170" s="685"/>
      <c r="W170" s="685"/>
      <c r="X170" s="685"/>
      <c r="Y170" s="685"/>
      <c r="Z170" s="685"/>
      <c r="AA170" s="685"/>
      <c r="AB170" s="685"/>
      <c r="AC170" s="685"/>
      <c r="AD170" s="685"/>
      <c r="AE170" s="685"/>
      <c r="AF170" s="685"/>
      <c r="AG170" s="685"/>
      <c r="AH170" s="685"/>
      <c r="AI170" s="685"/>
      <c r="AJ170" s="685"/>
      <c r="AK170" s="685"/>
      <c r="AL170" s="685"/>
      <c r="AM170" s="685"/>
      <c r="AN170" s="685"/>
      <c r="AO170" s="685"/>
      <c r="AP170" s="685"/>
      <c r="AQ170" s="685"/>
      <c r="AR170" s="685"/>
      <c r="AS170" s="685"/>
      <c r="AT170" s="685"/>
      <c r="AU170" s="685"/>
      <c r="AV170" s="685"/>
      <c r="AW170" s="685"/>
      <c r="AX170" s="685"/>
      <c r="AY170" s="685"/>
      <c r="AZ170" s="685"/>
    </row>
    <row r="171" spans="1:52">
      <c r="A171" s="685"/>
      <c r="B171" s="685"/>
      <c r="C171" s="848"/>
      <c r="D171" s="848"/>
      <c r="E171" s="848"/>
      <c r="F171" s="685"/>
      <c r="G171" s="685"/>
      <c r="H171" s="685"/>
      <c r="I171" s="685"/>
      <c r="J171" s="685"/>
      <c r="K171" s="685"/>
      <c r="L171" s="685"/>
      <c r="M171" s="685"/>
      <c r="N171" s="685"/>
      <c r="O171" s="685"/>
      <c r="P171" s="685"/>
      <c r="Q171" s="685"/>
      <c r="R171" s="685"/>
      <c r="S171" s="685"/>
      <c r="T171" s="685"/>
      <c r="U171" s="685"/>
      <c r="V171" s="685"/>
      <c r="W171" s="685"/>
      <c r="X171" s="685"/>
      <c r="Y171" s="685"/>
      <c r="Z171" s="685"/>
      <c r="AA171" s="685"/>
      <c r="AB171" s="685"/>
      <c r="AC171" s="685"/>
      <c r="AD171" s="685"/>
      <c r="AE171" s="685"/>
      <c r="AF171" s="685"/>
      <c r="AG171" s="685"/>
      <c r="AH171" s="685"/>
      <c r="AI171" s="685"/>
      <c r="AJ171" s="685"/>
      <c r="AK171" s="685"/>
      <c r="AL171" s="685"/>
      <c r="AM171" s="685"/>
      <c r="AN171" s="685"/>
      <c r="AO171" s="685"/>
      <c r="AP171" s="685"/>
      <c r="AQ171" s="685"/>
      <c r="AR171" s="685"/>
      <c r="AS171" s="685"/>
      <c r="AT171" s="685"/>
      <c r="AU171" s="685"/>
      <c r="AV171" s="685"/>
      <c r="AW171" s="685"/>
      <c r="AX171" s="685"/>
      <c r="AY171" s="685"/>
      <c r="AZ171" s="685"/>
    </row>
    <row r="172" spans="1:52">
      <c r="A172" s="685"/>
      <c r="B172" s="1179" t="s">
        <v>2941</v>
      </c>
      <c r="C172" s="1153">
        <f>C134-C149</f>
        <v>14564.2</v>
      </c>
      <c r="D172" s="1153">
        <f>D134-D149</f>
        <v>14748</v>
      </c>
      <c r="E172" s="1180">
        <f>I134-E149</f>
        <v>16799.679750000003</v>
      </c>
      <c r="F172" s="685"/>
      <c r="G172" s="685"/>
      <c r="H172" s="685"/>
      <c r="I172" s="685"/>
      <c r="J172" s="685"/>
      <c r="K172" s="685"/>
      <c r="L172" s="685"/>
      <c r="M172" s="685"/>
      <c r="N172" s="685"/>
      <c r="O172" s="685"/>
      <c r="P172" s="685"/>
      <c r="Q172" s="685"/>
      <c r="R172" s="685"/>
      <c r="S172" s="685"/>
      <c r="T172" s="685"/>
      <c r="U172" s="685"/>
      <c r="V172" s="685"/>
      <c r="W172" s="685"/>
      <c r="X172" s="685"/>
      <c r="Y172" s="685"/>
      <c r="Z172" s="685"/>
      <c r="AA172" s="685"/>
      <c r="AB172" s="685"/>
      <c r="AC172" s="685"/>
      <c r="AD172" s="685"/>
      <c r="AE172" s="685"/>
      <c r="AF172" s="685"/>
      <c r="AG172" s="685"/>
      <c r="AH172" s="685"/>
      <c r="AI172" s="685"/>
      <c r="AJ172" s="685"/>
      <c r="AK172" s="685"/>
      <c r="AL172" s="685"/>
      <c r="AM172" s="685"/>
      <c r="AN172" s="685"/>
      <c r="AO172" s="685"/>
      <c r="AP172" s="685"/>
      <c r="AQ172" s="685"/>
      <c r="AR172" s="685"/>
      <c r="AS172" s="685"/>
      <c r="AT172" s="685"/>
      <c r="AU172" s="685"/>
      <c r="AV172" s="685"/>
      <c r="AW172" s="685"/>
      <c r="AX172" s="685"/>
      <c r="AY172" s="685"/>
      <c r="AZ172" s="685"/>
    </row>
    <row r="173" spans="1:52">
      <c r="A173" s="685"/>
      <c r="B173" s="1181" t="s">
        <v>158</v>
      </c>
      <c r="C173" s="1182">
        <f>C172/C134</f>
        <v>0.42420906077605547</v>
      </c>
      <c r="D173" s="1182">
        <f>D172/D134</f>
        <v>0.4019985444316333</v>
      </c>
      <c r="E173" s="1183">
        <f>E172/I134</f>
        <v>0.44242656265423713</v>
      </c>
      <c r="F173" s="685"/>
      <c r="G173" s="685"/>
      <c r="H173" s="685"/>
      <c r="I173" s="685"/>
      <c r="J173" s="685"/>
      <c r="K173" s="685"/>
      <c r="L173" s="685"/>
      <c r="M173" s="685"/>
      <c r="N173" s="685"/>
      <c r="O173" s="685"/>
      <c r="P173" s="685"/>
      <c r="Q173" s="685"/>
      <c r="R173" s="685"/>
      <c r="S173" s="685"/>
      <c r="T173" s="685"/>
      <c r="U173" s="685"/>
      <c r="V173" s="685"/>
      <c r="W173" s="685"/>
      <c r="X173" s="685"/>
      <c r="Y173" s="685"/>
      <c r="Z173" s="685"/>
      <c r="AA173" s="685"/>
      <c r="AB173" s="685"/>
      <c r="AC173" s="685"/>
      <c r="AD173" s="685"/>
      <c r="AE173" s="685"/>
      <c r="AF173" s="685"/>
      <c r="AG173" s="685"/>
      <c r="AH173" s="685"/>
      <c r="AI173" s="685"/>
      <c r="AJ173" s="685"/>
      <c r="AK173" s="685"/>
      <c r="AL173" s="685"/>
      <c r="AM173" s="685"/>
      <c r="AN173" s="685"/>
      <c r="AO173" s="685"/>
      <c r="AP173" s="685"/>
      <c r="AQ173" s="685"/>
      <c r="AR173" s="685"/>
      <c r="AS173" s="685"/>
      <c r="AT173" s="685"/>
      <c r="AU173" s="685"/>
      <c r="AV173" s="685"/>
      <c r="AW173" s="685"/>
      <c r="AX173" s="685"/>
      <c r="AY173" s="685"/>
      <c r="AZ173" s="685"/>
    </row>
    <row r="174" spans="1:52">
      <c r="A174" s="685"/>
      <c r="B174" s="685"/>
      <c r="C174" s="685"/>
      <c r="D174" s="685"/>
      <c r="E174" s="685"/>
      <c r="F174" s="685"/>
      <c r="G174" s="685"/>
      <c r="H174" s="685"/>
      <c r="I174" s="685"/>
      <c r="J174" s="685"/>
      <c r="K174" s="685"/>
      <c r="L174" s="685"/>
      <c r="M174" s="685"/>
      <c r="N174" s="685"/>
      <c r="O174" s="685"/>
      <c r="P174" s="685"/>
      <c r="Q174" s="685"/>
      <c r="R174" s="685"/>
      <c r="S174" s="685"/>
      <c r="T174" s="685"/>
      <c r="U174" s="685"/>
      <c r="V174" s="685"/>
      <c r="W174" s="685"/>
      <c r="X174" s="685"/>
      <c r="Y174" s="685"/>
      <c r="Z174" s="685"/>
      <c r="AA174" s="685"/>
      <c r="AB174" s="685"/>
      <c r="AC174" s="685"/>
      <c r="AD174" s="685"/>
      <c r="AE174" s="685"/>
      <c r="AF174" s="685"/>
      <c r="AG174" s="685"/>
      <c r="AH174" s="685"/>
      <c r="AI174" s="685"/>
      <c r="AJ174" s="685"/>
      <c r="AK174" s="685"/>
      <c r="AL174" s="685"/>
      <c r="AM174" s="685"/>
      <c r="AN174" s="685"/>
      <c r="AO174" s="685"/>
      <c r="AP174" s="685"/>
      <c r="AQ174" s="685"/>
      <c r="AR174" s="685"/>
      <c r="AS174" s="685"/>
      <c r="AT174" s="685"/>
      <c r="AU174" s="685"/>
      <c r="AV174" s="685"/>
      <c r="AW174" s="685"/>
      <c r="AX174" s="685"/>
      <c r="AY174" s="685"/>
      <c r="AZ174" s="685"/>
    </row>
    <row r="175" spans="1:52">
      <c r="A175" s="685"/>
      <c r="B175" s="685" t="s">
        <v>3000</v>
      </c>
      <c r="C175" s="848">
        <f>C136+C137-C154</f>
        <v>17811.099999999984</v>
      </c>
      <c r="D175" s="848">
        <f>D136+D137-D154</f>
        <v>18829.899999999994</v>
      </c>
      <c r="E175" s="848">
        <f>I136+I137-E154</f>
        <v>19708.070249999997</v>
      </c>
      <c r="F175" s="685"/>
      <c r="G175" s="685"/>
      <c r="H175" s="685"/>
      <c r="I175" s="685"/>
      <c r="J175" s="685"/>
      <c r="K175" s="685"/>
      <c r="L175" s="685"/>
      <c r="M175" s="685"/>
      <c r="N175" s="685"/>
      <c r="O175" s="685"/>
      <c r="P175" s="685"/>
      <c r="Q175" s="685"/>
      <c r="R175" s="685"/>
      <c r="S175" s="685"/>
      <c r="T175" s="685"/>
      <c r="U175" s="685"/>
      <c r="V175" s="685"/>
      <c r="W175" s="685"/>
      <c r="X175" s="685"/>
      <c r="Y175" s="685"/>
      <c r="Z175" s="685"/>
      <c r="AA175" s="685"/>
      <c r="AB175" s="685"/>
      <c r="AC175" s="685"/>
      <c r="AD175" s="685"/>
      <c r="AE175" s="685"/>
      <c r="AF175" s="685"/>
      <c r="AG175" s="685"/>
      <c r="AH175" s="685"/>
      <c r="AI175" s="685"/>
      <c r="AJ175" s="685"/>
      <c r="AK175" s="685"/>
      <c r="AL175" s="685"/>
      <c r="AM175" s="685"/>
      <c r="AN175" s="685"/>
      <c r="AO175" s="685"/>
      <c r="AP175" s="685"/>
      <c r="AQ175" s="685"/>
      <c r="AR175" s="685"/>
      <c r="AS175" s="685"/>
      <c r="AT175" s="685"/>
      <c r="AU175" s="685"/>
      <c r="AV175" s="685"/>
      <c r="AW175" s="685"/>
      <c r="AX175" s="685"/>
      <c r="AY175" s="685"/>
      <c r="AZ175" s="685"/>
    </row>
    <row r="176" spans="1:52">
      <c r="A176" s="685"/>
      <c r="B176" s="1179" t="s">
        <v>3001</v>
      </c>
      <c r="C176" s="1153">
        <f>C172+C175</f>
        <v>32375.299999999985</v>
      </c>
      <c r="D176" s="1153">
        <f>D172+D175</f>
        <v>33577.899999999994</v>
      </c>
      <c r="E176" s="1180">
        <f>E172+E175</f>
        <v>36507.75</v>
      </c>
      <c r="F176" s="685"/>
      <c r="G176" s="685"/>
      <c r="H176" s="685"/>
      <c r="I176" s="685"/>
      <c r="J176" s="685"/>
      <c r="K176" s="685"/>
      <c r="L176" s="685"/>
      <c r="M176" s="685"/>
      <c r="N176" s="685"/>
      <c r="O176" s="685"/>
      <c r="P176" s="685"/>
      <c r="Q176" s="685"/>
      <c r="R176" s="685"/>
      <c r="S176" s="685"/>
      <c r="T176" s="685"/>
      <c r="U176" s="685"/>
      <c r="V176" s="685"/>
      <c r="W176" s="685"/>
      <c r="X176" s="685"/>
      <c r="Y176" s="685"/>
      <c r="Z176" s="685"/>
      <c r="AA176" s="685"/>
      <c r="AB176" s="685"/>
      <c r="AC176" s="685"/>
      <c r="AD176" s="685"/>
      <c r="AE176" s="685"/>
      <c r="AF176" s="685"/>
      <c r="AG176" s="685"/>
      <c r="AH176" s="685"/>
      <c r="AI176" s="685"/>
      <c r="AJ176" s="685"/>
      <c r="AK176" s="685"/>
      <c r="AL176" s="685"/>
      <c r="AM176" s="685"/>
      <c r="AN176" s="685"/>
      <c r="AO176" s="685"/>
      <c r="AP176" s="685"/>
      <c r="AQ176" s="685"/>
      <c r="AR176" s="685"/>
      <c r="AS176" s="685"/>
      <c r="AT176" s="685"/>
      <c r="AU176" s="685"/>
      <c r="AV176" s="685"/>
      <c r="AW176" s="685"/>
      <c r="AX176" s="685"/>
      <c r="AY176" s="685"/>
      <c r="AZ176" s="685"/>
    </row>
    <row r="177" spans="1:52">
      <c r="A177" s="685"/>
      <c r="B177" s="1181" t="s">
        <v>158</v>
      </c>
      <c r="C177" s="1182">
        <f>C176/C138</f>
        <v>0.36768386862308616</v>
      </c>
      <c r="D177" s="1182">
        <f>D176/D138</f>
        <v>0.34872579382141378</v>
      </c>
      <c r="E177" s="1183">
        <f>E176/I138</f>
        <v>0.37251760792426741</v>
      </c>
      <c r="F177" s="685"/>
      <c r="G177" s="685"/>
      <c r="H177" s="685"/>
      <c r="I177" s="685"/>
      <c r="J177" s="685"/>
      <c r="K177" s="685"/>
      <c r="L177" s="685"/>
      <c r="M177" s="685"/>
      <c r="N177" s="685"/>
      <c r="O177" s="685"/>
      <c r="P177" s="685"/>
      <c r="Q177" s="685"/>
      <c r="R177" s="685"/>
      <c r="S177" s="685"/>
      <c r="T177" s="685"/>
      <c r="U177" s="685"/>
      <c r="V177" s="685"/>
      <c r="W177" s="685"/>
      <c r="X177" s="685"/>
      <c r="Y177" s="685"/>
      <c r="Z177" s="685"/>
      <c r="AA177" s="685"/>
      <c r="AB177" s="685"/>
      <c r="AC177" s="685"/>
      <c r="AD177" s="685"/>
      <c r="AE177" s="685"/>
      <c r="AF177" s="685"/>
      <c r="AG177" s="685"/>
      <c r="AH177" s="685"/>
      <c r="AI177" s="685"/>
      <c r="AJ177" s="685"/>
      <c r="AK177" s="685"/>
      <c r="AL177" s="685"/>
      <c r="AM177" s="685"/>
      <c r="AN177" s="685"/>
      <c r="AO177" s="685"/>
      <c r="AP177" s="685"/>
      <c r="AQ177" s="685"/>
      <c r="AR177" s="685"/>
      <c r="AS177" s="685"/>
      <c r="AT177" s="685"/>
      <c r="AU177" s="685"/>
      <c r="AV177" s="685"/>
      <c r="AW177" s="685"/>
      <c r="AX177" s="685"/>
      <c r="AY177" s="685"/>
      <c r="AZ177" s="685"/>
    </row>
    <row r="178" spans="1:52">
      <c r="A178" s="685"/>
      <c r="B178" s="685"/>
      <c r="C178" s="685"/>
      <c r="D178" s="685"/>
      <c r="E178" s="685"/>
      <c r="F178" s="685"/>
      <c r="G178" s="685"/>
      <c r="H178" s="685"/>
      <c r="I178" s="685"/>
      <c r="J178" s="685"/>
      <c r="K178" s="685"/>
      <c r="L178" s="685"/>
      <c r="M178" s="685"/>
      <c r="N178" s="685"/>
      <c r="O178" s="685"/>
      <c r="P178" s="685"/>
      <c r="Q178" s="685"/>
      <c r="R178" s="685"/>
      <c r="S178" s="685"/>
      <c r="T178" s="685"/>
      <c r="U178" s="685"/>
      <c r="V178" s="685"/>
      <c r="W178" s="685"/>
      <c r="X178" s="685"/>
      <c r="Y178" s="685"/>
      <c r="Z178" s="685"/>
      <c r="AA178" s="685"/>
      <c r="AB178" s="685"/>
      <c r="AC178" s="685"/>
      <c r="AD178" s="685"/>
      <c r="AE178" s="685"/>
      <c r="AF178" s="685"/>
      <c r="AG178" s="685"/>
      <c r="AH178" s="685"/>
      <c r="AI178" s="685"/>
      <c r="AJ178" s="685"/>
      <c r="AK178" s="685"/>
      <c r="AL178" s="685"/>
      <c r="AM178" s="685"/>
      <c r="AN178" s="685"/>
      <c r="AO178" s="685"/>
      <c r="AP178" s="685"/>
      <c r="AQ178" s="685"/>
      <c r="AR178" s="685"/>
      <c r="AS178" s="685"/>
      <c r="AT178" s="685"/>
      <c r="AU178" s="685"/>
      <c r="AV178" s="685"/>
      <c r="AW178" s="685"/>
      <c r="AX178" s="685"/>
      <c r="AY178" s="685"/>
      <c r="AZ178" s="685"/>
    </row>
    <row r="179" spans="1:52">
      <c r="A179" s="685"/>
      <c r="B179" s="685" t="s">
        <v>533</v>
      </c>
      <c r="C179" s="848">
        <f>Master!N15+Master!N16</f>
        <v>14660.9</v>
      </c>
      <c r="D179" s="848">
        <f>Master!O15+Master!O16</f>
        <v>16979.8</v>
      </c>
      <c r="E179" s="848">
        <f>E180+E181</f>
        <v>17998.588</v>
      </c>
      <c r="F179" s="685"/>
      <c r="G179" s="685"/>
      <c r="H179" s="685"/>
      <c r="I179" s="685"/>
      <c r="J179" s="685"/>
      <c r="K179" s="685"/>
      <c r="L179" s="685"/>
      <c r="M179" s="685"/>
      <c r="N179" s="685"/>
      <c r="O179" s="685"/>
      <c r="P179" s="685"/>
      <c r="Q179" s="685"/>
      <c r="R179" s="685"/>
      <c r="S179" s="685"/>
      <c r="T179" s="685"/>
      <c r="U179" s="685"/>
      <c r="V179" s="685"/>
      <c r="W179" s="685"/>
      <c r="X179" s="685"/>
      <c r="Y179" s="685"/>
      <c r="Z179" s="685"/>
      <c r="AA179" s="685"/>
      <c r="AB179" s="685"/>
      <c r="AC179" s="685"/>
      <c r="AD179" s="685"/>
      <c r="AE179" s="685"/>
      <c r="AF179" s="685"/>
      <c r="AG179" s="685"/>
      <c r="AH179" s="685"/>
      <c r="AI179" s="685"/>
      <c r="AJ179" s="685"/>
      <c r="AK179" s="685"/>
      <c r="AL179" s="685"/>
      <c r="AM179" s="685"/>
      <c r="AN179" s="685"/>
      <c r="AO179" s="685"/>
      <c r="AP179" s="685"/>
      <c r="AQ179" s="685"/>
      <c r="AR179" s="685"/>
      <c r="AS179" s="685"/>
      <c r="AT179" s="685"/>
      <c r="AU179" s="685"/>
      <c r="AV179" s="685"/>
      <c r="AW179" s="685"/>
      <c r="AX179" s="685"/>
      <c r="AY179" s="685"/>
      <c r="AZ179" s="685"/>
    </row>
    <row r="180" spans="1:52">
      <c r="A180" s="685"/>
      <c r="B180" s="992" t="s">
        <v>3015</v>
      </c>
      <c r="C180" s="848">
        <f>C179*0.6</f>
        <v>8796.5399999999991</v>
      </c>
      <c r="D180" s="848">
        <f>D179*0.6</f>
        <v>10187.879999999999</v>
      </c>
      <c r="E180" s="848">
        <f>D180*(1+$I$123)</f>
        <v>11206.668</v>
      </c>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row>
    <row r="181" spans="1:52">
      <c r="A181" s="685"/>
      <c r="B181" s="992" t="s">
        <v>2999</v>
      </c>
      <c r="C181" s="848">
        <f>C179-C180</f>
        <v>5864.3600000000006</v>
      </c>
      <c r="D181" s="848">
        <f>D179-D180</f>
        <v>6791.92</v>
      </c>
      <c r="E181" s="848">
        <f>D181</f>
        <v>6791.92</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row>
    <row r="182" spans="1:52">
      <c r="A182" s="685"/>
      <c r="B182" s="992"/>
      <c r="C182" s="848"/>
      <c r="D182" s="848"/>
      <c r="E182" s="848"/>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row>
    <row r="183" spans="1:52">
      <c r="A183" s="685"/>
      <c r="B183" s="1000" t="s">
        <v>186</v>
      </c>
      <c r="C183" s="876">
        <f>C176-C179</f>
        <v>17714.399999999987</v>
      </c>
      <c r="D183" s="876">
        <f>D176-D179</f>
        <v>16598.099999999995</v>
      </c>
      <c r="E183" s="876">
        <f>E176-E179</f>
        <v>18509.162</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row>
    <row r="184" spans="1:52">
      <c r="A184" s="685"/>
      <c r="B184" s="1000"/>
      <c r="C184" s="876"/>
      <c r="D184" s="876"/>
      <c r="E184" s="876"/>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row>
    <row r="185" spans="1:52">
      <c r="A185" s="685"/>
      <c r="B185" s="992" t="s">
        <v>3011</v>
      </c>
      <c r="C185" s="848">
        <f>Master!N23</f>
        <v>35.4</v>
      </c>
      <c r="D185" s="848">
        <f>Master!O23</f>
        <v>1139.4000000000001</v>
      </c>
      <c r="E185" s="848">
        <f>E186+E187</f>
        <v>1224.855</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row>
    <row r="186" spans="1:52">
      <c r="A186" s="685"/>
      <c r="B186" s="992" t="s">
        <v>3013</v>
      </c>
      <c r="C186" s="848">
        <f>C185*0.75</f>
        <v>26.549999999999997</v>
      </c>
      <c r="D186" s="848">
        <f>D185*0.75</f>
        <v>854.55000000000007</v>
      </c>
      <c r="E186" s="848">
        <f>D186*(1+$I$123)</f>
        <v>940.00500000000011</v>
      </c>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row>
    <row r="187" spans="1:52">
      <c r="A187" s="685"/>
      <c r="B187" s="992" t="s">
        <v>3012</v>
      </c>
      <c r="C187" s="848">
        <f>C185-C186</f>
        <v>8.8500000000000014</v>
      </c>
      <c r="D187" s="848">
        <f>D185-D186</f>
        <v>284.85000000000002</v>
      </c>
      <c r="E187" s="848">
        <f>D187</f>
        <v>284.85000000000002</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row>
    <row r="188" spans="1:52">
      <c r="A188" s="685"/>
      <c r="B188" s="1000"/>
      <c r="C188" s="876"/>
      <c r="D188" s="876"/>
      <c r="E188" s="876"/>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row>
    <row r="189" spans="1:52">
      <c r="A189" s="685"/>
      <c r="B189" s="992" t="s">
        <v>3008</v>
      </c>
      <c r="C189" s="848">
        <f>Master!N238</f>
        <v>5211</v>
      </c>
      <c r="D189" s="848">
        <f>Master!O238</f>
        <v>6998.4</v>
      </c>
      <c r="E189" s="848">
        <f>E190+E191</f>
        <v>7348.32</v>
      </c>
      <c r="F189" s="685"/>
      <c r="G189" s="685"/>
      <c r="H189" s="685"/>
      <c r="I189" s="685"/>
      <c r="J189" s="685"/>
      <c r="K189" s="685"/>
      <c r="L189" s="685"/>
      <c r="M189" s="685"/>
      <c r="N189" s="685"/>
      <c r="O189" s="685"/>
      <c r="P189" s="685"/>
      <c r="Q189" s="685"/>
      <c r="R189" s="685"/>
      <c r="S189" s="685"/>
      <c r="T189" s="685"/>
      <c r="U189" s="685"/>
      <c r="V189" s="685"/>
      <c r="W189" s="685"/>
      <c r="X189" s="685"/>
      <c r="Y189" s="685"/>
      <c r="Z189" s="685"/>
      <c r="AA189" s="685"/>
      <c r="AB189" s="685"/>
      <c r="AC189" s="685"/>
      <c r="AD189" s="685"/>
      <c r="AE189" s="685"/>
      <c r="AF189" s="685"/>
      <c r="AG189" s="685"/>
      <c r="AH189" s="685"/>
      <c r="AI189" s="685"/>
      <c r="AJ189" s="685"/>
      <c r="AK189" s="685"/>
      <c r="AL189" s="685"/>
      <c r="AM189" s="685"/>
      <c r="AN189" s="685"/>
      <c r="AO189" s="685"/>
      <c r="AP189" s="685"/>
      <c r="AQ189" s="685"/>
      <c r="AR189" s="685"/>
      <c r="AS189" s="685"/>
      <c r="AT189" s="685"/>
      <c r="AU189" s="685"/>
      <c r="AV189" s="685"/>
      <c r="AW189" s="685"/>
      <c r="AX189" s="685"/>
      <c r="AY189" s="685"/>
      <c r="AZ189" s="685"/>
    </row>
    <row r="190" spans="1:52">
      <c r="A190" s="685"/>
      <c r="B190" s="992" t="s">
        <v>3016</v>
      </c>
      <c r="C190" s="848">
        <f>C189*0.5</f>
        <v>2605.5</v>
      </c>
      <c r="D190" s="848">
        <f>D189*0.5</f>
        <v>3499.2</v>
      </c>
      <c r="E190" s="848">
        <f>D190*(1+$I$123)</f>
        <v>3849.12</v>
      </c>
      <c r="F190" s="685"/>
      <c r="G190" s="685"/>
      <c r="H190" s="685"/>
      <c r="I190" s="685"/>
      <c r="J190" s="685"/>
      <c r="K190" s="685"/>
      <c r="L190" s="685"/>
      <c r="M190" s="685"/>
      <c r="N190" s="685"/>
      <c r="O190" s="685"/>
      <c r="P190" s="685"/>
      <c r="Q190" s="685"/>
      <c r="R190" s="685"/>
      <c r="S190" s="685"/>
      <c r="T190" s="685"/>
      <c r="U190" s="685"/>
      <c r="V190" s="685"/>
      <c r="W190" s="685"/>
      <c r="X190" s="685"/>
      <c r="Y190" s="685"/>
      <c r="Z190" s="685"/>
      <c r="AA190" s="685"/>
      <c r="AB190" s="685"/>
      <c r="AC190" s="685"/>
      <c r="AD190" s="685"/>
      <c r="AE190" s="685"/>
      <c r="AF190" s="685"/>
      <c r="AG190" s="685"/>
      <c r="AH190" s="685"/>
      <c r="AI190" s="685"/>
      <c r="AJ190" s="685"/>
      <c r="AK190" s="685"/>
      <c r="AL190" s="685"/>
      <c r="AM190" s="685"/>
      <c r="AN190" s="685"/>
      <c r="AO190" s="685"/>
      <c r="AP190" s="685"/>
      <c r="AQ190" s="685"/>
      <c r="AR190" s="685"/>
      <c r="AS190" s="685"/>
      <c r="AT190" s="685"/>
      <c r="AU190" s="685"/>
      <c r="AV190" s="685"/>
      <c r="AW190" s="685"/>
      <c r="AX190" s="685"/>
      <c r="AY190" s="685"/>
      <c r="AZ190" s="685"/>
    </row>
    <row r="191" spans="1:52">
      <c r="A191" s="685"/>
      <c r="B191" s="992" t="s">
        <v>3007</v>
      </c>
      <c r="C191" s="848">
        <f>C189-C190</f>
        <v>2605.5</v>
      </c>
      <c r="D191" s="848">
        <f>D189-D190</f>
        <v>3499.2</v>
      </c>
      <c r="E191" s="848">
        <f>D191</f>
        <v>3499.2</v>
      </c>
      <c r="F191" s="685"/>
      <c r="G191" s="685"/>
      <c r="H191" s="685"/>
      <c r="I191" s="685"/>
      <c r="J191" s="685"/>
      <c r="K191" s="685"/>
      <c r="L191" s="685"/>
      <c r="M191" s="685"/>
      <c r="N191" s="685"/>
      <c r="O191" s="685"/>
      <c r="P191" s="685"/>
      <c r="Q191" s="685"/>
      <c r="R191" s="685"/>
      <c r="S191" s="685"/>
      <c r="T191" s="685"/>
      <c r="U191" s="685"/>
      <c r="V191" s="685"/>
      <c r="W191" s="685"/>
      <c r="X191" s="685"/>
      <c r="Y191" s="685"/>
      <c r="Z191" s="685"/>
      <c r="AA191" s="685"/>
      <c r="AB191" s="685"/>
      <c r="AC191" s="685"/>
      <c r="AD191" s="685"/>
      <c r="AE191" s="685"/>
      <c r="AF191" s="685"/>
      <c r="AG191" s="685"/>
      <c r="AH191" s="685"/>
      <c r="AI191" s="685"/>
      <c r="AJ191" s="685"/>
      <c r="AK191" s="685"/>
      <c r="AL191" s="685"/>
      <c r="AM191" s="685"/>
      <c r="AN191" s="685"/>
      <c r="AO191" s="685"/>
      <c r="AP191" s="685"/>
      <c r="AQ191" s="685"/>
      <c r="AR191" s="685"/>
      <c r="AS191" s="685"/>
      <c r="AT191" s="685"/>
      <c r="AU191" s="685"/>
      <c r="AV191" s="685"/>
      <c r="AW191" s="685"/>
      <c r="AX191" s="685"/>
      <c r="AY191" s="685"/>
      <c r="AZ191" s="685"/>
    </row>
    <row r="192" spans="1:52">
      <c r="A192" s="685"/>
      <c r="B192" s="685"/>
      <c r="C192" s="848"/>
      <c r="D192" s="685"/>
      <c r="E192" s="685"/>
      <c r="F192" s="685"/>
      <c r="G192" s="685"/>
      <c r="H192" s="685"/>
      <c r="I192" s="685"/>
      <c r="J192" s="685"/>
      <c r="K192" s="685"/>
      <c r="L192" s="685"/>
      <c r="M192" s="685"/>
      <c r="N192" s="685"/>
      <c r="O192" s="685"/>
      <c r="P192" s="685"/>
      <c r="Q192" s="685"/>
      <c r="R192" s="685"/>
      <c r="S192" s="685"/>
      <c r="T192" s="685"/>
      <c r="U192" s="685"/>
      <c r="V192" s="685"/>
      <c r="W192" s="685"/>
      <c r="X192" s="685"/>
      <c r="Y192" s="685"/>
      <c r="Z192" s="685"/>
      <c r="AA192" s="685"/>
      <c r="AB192" s="685"/>
      <c r="AC192" s="685"/>
      <c r="AD192" s="685"/>
      <c r="AE192" s="685"/>
      <c r="AF192" s="685"/>
      <c r="AG192" s="685"/>
      <c r="AH192" s="685"/>
      <c r="AI192" s="685"/>
      <c r="AJ192" s="685"/>
      <c r="AK192" s="685"/>
      <c r="AL192" s="685"/>
      <c r="AM192" s="685"/>
      <c r="AN192" s="685"/>
      <c r="AO192" s="685"/>
      <c r="AP192" s="685"/>
      <c r="AQ192" s="685"/>
      <c r="AR192" s="685"/>
      <c r="AS192" s="685"/>
      <c r="AT192" s="685"/>
      <c r="AU192" s="685"/>
      <c r="AV192" s="685"/>
      <c r="AW192" s="685"/>
      <c r="AX192" s="685"/>
      <c r="AY192" s="685"/>
      <c r="AZ192" s="685"/>
    </row>
    <row r="193" spans="1:52">
      <c r="A193" s="685"/>
      <c r="B193" s="685" t="s">
        <v>3009</v>
      </c>
      <c r="C193" s="848">
        <f>C194-C183+C189-C185</f>
        <v>7944.0000000000091</v>
      </c>
      <c r="D193" s="848">
        <f>D194-D183+D189-D185</f>
        <v>-2533.7000000000012</v>
      </c>
      <c r="E193" s="848">
        <f>D193</f>
        <v>-2533.7000000000012</v>
      </c>
      <c r="F193" s="685"/>
      <c r="G193" s="685"/>
      <c r="H193" s="685"/>
      <c r="I193" s="685"/>
      <c r="J193" s="685"/>
      <c r="K193" s="685"/>
      <c r="L193" s="685"/>
      <c r="M193" s="685"/>
      <c r="N193" s="685"/>
      <c r="O193" s="685"/>
      <c r="P193" s="685"/>
      <c r="Q193" s="685"/>
      <c r="R193" s="685"/>
      <c r="S193" s="685"/>
      <c r="T193" s="685"/>
      <c r="U193" s="685"/>
      <c r="V193" s="685"/>
      <c r="W193" s="685"/>
      <c r="X193" s="685"/>
      <c r="Y193" s="685"/>
      <c r="Z193" s="685"/>
      <c r="AA193" s="685"/>
      <c r="AB193" s="685"/>
      <c r="AC193" s="685"/>
      <c r="AD193" s="685"/>
      <c r="AE193" s="685"/>
      <c r="AF193" s="685"/>
      <c r="AG193" s="685"/>
      <c r="AH193" s="685"/>
      <c r="AI193" s="685"/>
      <c r="AJ193" s="685"/>
      <c r="AK193" s="685"/>
      <c r="AL193" s="685"/>
      <c r="AM193" s="685"/>
      <c r="AN193" s="685"/>
      <c r="AO193" s="685"/>
      <c r="AP193" s="685"/>
      <c r="AQ193" s="685"/>
      <c r="AR193" s="685"/>
      <c r="AS193" s="685"/>
      <c r="AT193" s="685"/>
      <c r="AU193" s="685"/>
      <c r="AV193" s="685"/>
      <c r="AW193" s="685"/>
      <c r="AX193" s="685"/>
      <c r="AY193" s="685"/>
      <c r="AZ193" s="685"/>
    </row>
    <row r="194" spans="1:52">
      <c r="A194" s="685"/>
      <c r="B194" s="874" t="s">
        <v>191</v>
      </c>
      <c r="C194" s="876">
        <f>Master!N25</f>
        <v>20482.799999999996</v>
      </c>
      <c r="D194" s="876">
        <f>Master!O25</f>
        <v>8205.3999999999942</v>
      </c>
      <c r="E194" s="876">
        <f>E183+E185-E189+E193</f>
        <v>9851.9969999999994</v>
      </c>
      <c r="F194" s="685"/>
      <c r="G194" s="848"/>
      <c r="H194" s="685"/>
      <c r="I194" s="685"/>
      <c r="J194" s="685"/>
      <c r="K194" s="685"/>
      <c r="L194" s="685"/>
      <c r="M194" s="685"/>
      <c r="N194" s="685"/>
      <c r="O194" s="685"/>
      <c r="P194" s="685"/>
      <c r="Q194" s="685"/>
      <c r="R194" s="685"/>
      <c r="S194" s="685"/>
      <c r="T194" s="685"/>
      <c r="U194" s="685"/>
      <c r="V194" s="685"/>
      <c r="W194" s="685"/>
      <c r="X194" s="685"/>
      <c r="Y194" s="685"/>
      <c r="Z194" s="685"/>
      <c r="AA194" s="685"/>
      <c r="AB194" s="685"/>
      <c r="AC194" s="685"/>
      <c r="AD194" s="685"/>
      <c r="AE194" s="685"/>
      <c r="AF194" s="685"/>
      <c r="AG194" s="685"/>
      <c r="AH194" s="685"/>
      <c r="AI194" s="685"/>
      <c r="AJ194" s="685"/>
      <c r="AK194" s="685"/>
      <c r="AL194" s="685"/>
      <c r="AM194" s="685"/>
      <c r="AN194" s="685"/>
      <c r="AO194" s="685"/>
      <c r="AP194" s="685"/>
      <c r="AQ194" s="685"/>
      <c r="AR194" s="685"/>
      <c r="AS194" s="685"/>
      <c r="AT194" s="685"/>
      <c r="AU194" s="685"/>
      <c r="AV194" s="685"/>
      <c r="AW194" s="685"/>
      <c r="AX194" s="685"/>
      <c r="AY194" s="685"/>
      <c r="AZ194" s="685"/>
    </row>
    <row r="195" spans="1:52">
      <c r="A195" s="685"/>
      <c r="B195" s="685" t="s">
        <v>192</v>
      </c>
      <c r="C195" s="848">
        <f>-Master!N27</f>
        <v>6332.2</v>
      </c>
      <c r="D195" s="848">
        <f>-Master!O27</f>
        <v>2872.2</v>
      </c>
      <c r="E195" s="848">
        <f>E196*E194</f>
        <v>3448.5711584322544</v>
      </c>
      <c r="F195" s="685"/>
      <c r="G195" s="685"/>
      <c r="H195" s="685"/>
      <c r="I195" s="685"/>
      <c r="J195" s="685"/>
      <c r="K195" s="685"/>
      <c r="L195" s="685"/>
      <c r="M195" s="685"/>
      <c r="N195" s="685"/>
      <c r="O195" s="685"/>
      <c r="P195" s="685"/>
      <c r="Q195" s="685"/>
      <c r="R195" s="685"/>
      <c r="S195" s="685"/>
      <c r="T195" s="685"/>
      <c r="U195" s="685"/>
      <c r="V195" s="685"/>
      <c r="W195" s="685"/>
      <c r="X195" s="685"/>
      <c r="Y195" s="685"/>
      <c r="Z195" s="685"/>
      <c r="AA195" s="685"/>
      <c r="AB195" s="685"/>
      <c r="AC195" s="685"/>
      <c r="AD195" s="685"/>
      <c r="AE195" s="685"/>
      <c r="AF195" s="685"/>
      <c r="AG195" s="685"/>
      <c r="AH195" s="685"/>
      <c r="AI195" s="685"/>
      <c r="AJ195" s="685"/>
      <c r="AK195" s="685"/>
      <c r="AL195" s="685"/>
      <c r="AM195" s="685"/>
      <c r="AN195" s="685"/>
      <c r="AO195" s="685"/>
      <c r="AP195" s="685"/>
      <c r="AQ195" s="685"/>
      <c r="AR195" s="685"/>
      <c r="AS195" s="685"/>
      <c r="AT195" s="685"/>
      <c r="AU195" s="685"/>
      <c r="AV195" s="685"/>
      <c r="AW195" s="685"/>
      <c r="AX195" s="685"/>
      <c r="AY195" s="685"/>
      <c r="AZ195" s="685"/>
    </row>
    <row r="196" spans="1:52">
      <c r="A196" s="685"/>
      <c r="B196" s="685" t="s">
        <v>3010</v>
      </c>
      <c r="C196" s="869">
        <f>C195/C194</f>
        <v>0.30914718690803999</v>
      </c>
      <c r="D196" s="869">
        <f>D195/D194</f>
        <v>0.3500377799985378</v>
      </c>
      <c r="E196" s="869">
        <f>D196</f>
        <v>0.3500377799985378</v>
      </c>
      <c r="F196" s="685"/>
      <c r="G196" s="685"/>
      <c r="H196" s="685"/>
      <c r="I196" s="685"/>
      <c r="J196" s="685"/>
      <c r="K196" s="685"/>
      <c r="L196" s="685"/>
      <c r="M196" s="685"/>
      <c r="N196" s="685"/>
      <c r="O196" s="685"/>
      <c r="P196" s="685"/>
      <c r="Q196" s="685"/>
      <c r="R196" s="685"/>
      <c r="S196" s="685"/>
      <c r="T196" s="685"/>
      <c r="U196" s="685"/>
      <c r="V196" s="685"/>
      <c r="W196" s="685"/>
      <c r="X196" s="685"/>
      <c r="Y196" s="685"/>
      <c r="Z196" s="685"/>
      <c r="AA196" s="685"/>
      <c r="AB196" s="685"/>
      <c r="AC196" s="685"/>
      <c r="AD196" s="685"/>
      <c r="AE196" s="685"/>
      <c r="AF196" s="685"/>
      <c r="AG196" s="685"/>
      <c r="AH196" s="685"/>
      <c r="AI196" s="685"/>
      <c r="AJ196" s="685"/>
      <c r="AK196" s="685"/>
      <c r="AL196" s="685"/>
      <c r="AM196" s="685"/>
      <c r="AN196" s="685"/>
      <c r="AO196" s="685"/>
      <c r="AP196" s="685"/>
      <c r="AQ196" s="685"/>
      <c r="AR196" s="685"/>
      <c r="AS196" s="685"/>
      <c r="AT196" s="685"/>
      <c r="AU196" s="685"/>
      <c r="AV196" s="685"/>
      <c r="AW196" s="685"/>
      <c r="AX196" s="685"/>
      <c r="AY196" s="685"/>
      <c r="AZ196" s="685"/>
    </row>
    <row r="197" spans="1:52">
      <c r="A197" s="685"/>
      <c r="B197" s="685"/>
      <c r="C197" s="685"/>
      <c r="D197" s="685"/>
      <c r="E197" s="685"/>
      <c r="F197" s="685"/>
      <c r="G197" s="685"/>
      <c r="H197" s="685"/>
      <c r="I197" s="685"/>
      <c r="J197" s="685"/>
      <c r="K197" s="685"/>
      <c r="L197" s="685"/>
      <c r="M197" s="685"/>
      <c r="N197" s="685"/>
      <c r="O197" s="685"/>
      <c r="P197" s="685"/>
      <c r="Q197" s="685"/>
      <c r="R197" s="685"/>
      <c r="S197" s="685"/>
      <c r="T197" s="685"/>
      <c r="U197" s="685"/>
      <c r="V197" s="685"/>
      <c r="W197" s="685"/>
      <c r="X197" s="685"/>
      <c r="Y197" s="685"/>
      <c r="Z197" s="685"/>
      <c r="AA197" s="685"/>
      <c r="AB197" s="685"/>
      <c r="AC197" s="685"/>
      <c r="AD197" s="685"/>
      <c r="AE197" s="685"/>
      <c r="AF197" s="685"/>
      <c r="AG197" s="685"/>
      <c r="AH197" s="685"/>
      <c r="AI197" s="685"/>
      <c r="AJ197" s="685"/>
      <c r="AK197" s="685"/>
      <c r="AL197" s="685"/>
      <c r="AM197" s="685"/>
      <c r="AN197" s="685"/>
      <c r="AO197" s="685"/>
      <c r="AP197" s="685"/>
      <c r="AQ197" s="685"/>
      <c r="AR197" s="685"/>
      <c r="AS197" s="685"/>
      <c r="AT197" s="685"/>
      <c r="AU197" s="685"/>
      <c r="AV197" s="685"/>
      <c r="AW197" s="685"/>
      <c r="AX197" s="685"/>
      <c r="AY197" s="685"/>
      <c r="AZ197" s="685"/>
    </row>
    <row r="198" spans="1:52">
      <c r="A198" s="685"/>
      <c r="B198" s="685" t="s">
        <v>3014</v>
      </c>
      <c r="C198" s="848">
        <f>-Master!N28</f>
        <v>1426.3</v>
      </c>
      <c r="D198" s="848">
        <f>-Master!O28</f>
        <v>1612</v>
      </c>
      <c r="E198" s="848">
        <f>D198</f>
        <v>1612</v>
      </c>
      <c r="F198" s="685"/>
      <c r="G198" s="685"/>
      <c r="H198" s="685"/>
      <c r="I198" s="685"/>
      <c r="J198" s="685"/>
      <c r="K198" s="685"/>
      <c r="L198" s="685"/>
      <c r="M198" s="685"/>
      <c r="N198" s="685"/>
      <c r="O198" s="685"/>
      <c r="P198" s="685"/>
      <c r="Q198" s="685"/>
      <c r="R198" s="685"/>
      <c r="S198" s="685"/>
      <c r="T198" s="685"/>
      <c r="U198" s="685"/>
      <c r="V198" s="685"/>
      <c r="W198" s="685"/>
      <c r="X198" s="685"/>
      <c r="Y198" s="685"/>
      <c r="Z198" s="685"/>
      <c r="AA198" s="685"/>
      <c r="AB198" s="685"/>
      <c r="AC198" s="685"/>
      <c r="AD198" s="685"/>
      <c r="AE198" s="685"/>
      <c r="AF198" s="685"/>
      <c r="AG198" s="685"/>
      <c r="AH198" s="685"/>
      <c r="AI198" s="685"/>
      <c r="AJ198" s="685"/>
      <c r="AK198" s="685"/>
      <c r="AL198" s="685"/>
      <c r="AM198" s="685"/>
      <c r="AN198" s="685"/>
      <c r="AO198" s="685"/>
      <c r="AP198" s="685"/>
      <c r="AQ198" s="685"/>
      <c r="AR198" s="685"/>
      <c r="AS198" s="685"/>
      <c r="AT198" s="685"/>
      <c r="AU198" s="685"/>
      <c r="AV198" s="685"/>
      <c r="AW198" s="685"/>
      <c r="AX198" s="685"/>
      <c r="AY198" s="685"/>
      <c r="AZ198" s="685"/>
    </row>
    <row r="199" spans="1:52" ht="15.75" thickBot="1">
      <c r="A199" s="685"/>
      <c r="B199" s="874" t="s">
        <v>194</v>
      </c>
      <c r="C199" s="876">
        <f>C194-C195-C198</f>
        <v>12724.299999999996</v>
      </c>
      <c r="D199" s="876">
        <f>D194-D195-D198</f>
        <v>3721.1999999999944</v>
      </c>
      <c r="E199" s="876">
        <f>E194-E195-E198</f>
        <v>4791.425841567745</v>
      </c>
      <c r="F199" s="685"/>
      <c r="G199" s="685"/>
      <c r="H199" s="685"/>
      <c r="I199" s="685"/>
      <c r="J199" s="685"/>
      <c r="K199" s="685"/>
      <c r="L199" s="685"/>
      <c r="M199" s="685"/>
      <c r="N199" s="685"/>
      <c r="O199" s="685"/>
      <c r="P199" s="685"/>
      <c r="Q199" s="685"/>
      <c r="R199" s="685"/>
      <c r="S199" s="685"/>
      <c r="T199" s="685"/>
      <c r="U199" s="685"/>
      <c r="V199" s="685"/>
      <c r="W199" s="685"/>
      <c r="X199" s="685"/>
      <c r="Y199" s="685"/>
      <c r="Z199" s="685"/>
      <c r="AA199" s="685"/>
      <c r="AB199" s="685"/>
      <c r="AC199" s="685"/>
      <c r="AD199" s="685"/>
      <c r="AE199" s="685"/>
      <c r="AF199" s="685"/>
      <c r="AG199" s="685"/>
      <c r="AH199" s="685"/>
      <c r="AI199" s="685"/>
      <c r="AJ199" s="685"/>
      <c r="AK199" s="685"/>
      <c r="AL199" s="685"/>
      <c r="AM199" s="685"/>
      <c r="AN199" s="685"/>
      <c r="AO199" s="685"/>
      <c r="AP199" s="685"/>
      <c r="AQ199" s="685"/>
      <c r="AR199" s="685"/>
      <c r="AS199" s="685"/>
      <c r="AT199" s="685"/>
      <c r="AU199" s="685"/>
      <c r="AV199" s="685"/>
      <c r="AW199" s="685"/>
      <c r="AX199" s="685"/>
      <c r="AY199" s="685"/>
      <c r="AZ199" s="685"/>
    </row>
    <row r="200" spans="1:52" ht="15.75" thickBot="1">
      <c r="A200" s="685"/>
      <c r="B200" s="874" t="s">
        <v>181</v>
      </c>
      <c r="C200" s="876"/>
      <c r="D200" s="876"/>
      <c r="E200" s="1184">
        <f>E199/D199-1</f>
        <v>0.28760234375141147</v>
      </c>
      <c r="F200" s="685"/>
      <c r="G200" s="685"/>
      <c r="H200" s="685"/>
      <c r="I200" s="685"/>
      <c r="J200" s="685"/>
      <c r="K200" s="685"/>
      <c r="L200" s="685"/>
      <c r="M200" s="685"/>
      <c r="N200" s="685"/>
      <c r="O200" s="685"/>
      <c r="P200" s="685"/>
      <c r="Q200" s="685"/>
      <c r="R200" s="685"/>
      <c r="S200" s="685"/>
      <c r="T200" s="685"/>
      <c r="U200" s="685"/>
      <c r="V200" s="685"/>
      <c r="W200" s="685"/>
      <c r="X200" s="685"/>
      <c r="Y200" s="685"/>
      <c r="Z200" s="685"/>
      <c r="AA200" s="685"/>
      <c r="AB200" s="685"/>
      <c r="AC200" s="685"/>
      <c r="AD200" s="685"/>
      <c r="AE200" s="685"/>
      <c r="AF200" s="685"/>
      <c r="AG200" s="685"/>
      <c r="AH200" s="685"/>
      <c r="AI200" s="685"/>
      <c r="AJ200" s="685"/>
      <c r="AK200" s="685"/>
      <c r="AL200" s="685"/>
      <c r="AM200" s="685"/>
      <c r="AN200" s="685"/>
      <c r="AO200" s="685"/>
      <c r="AP200" s="685"/>
      <c r="AQ200" s="685"/>
      <c r="AR200" s="685"/>
      <c r="AS200" s="685"/>
      <c r="AT200" s="685"/>
      <c r="AU200" s="685"/>
      <c r="AV200" s="685"/>
      <c r="AW200" s="685"/>
      <c r="AX200" s="685"/>
      <c r="AY200" s="685"/>
      <c r="AZ200" s="685"/>
    </row>
    <row r="201" spans="1:52">
      <c r="A201" s="685"/>
      <c r="B201" s="685"/>
      <c r="C201" s="685"/>
      <c r="D201" s="685"/>
      <c r="E201" s="685"/>
      <c r="F201" s="685"/>
      <c r="G201" s="685"/>
      <c r="H201" s="685"/>
      <c r="I201" s="685"/>
      <c r="J201" s="685"/>
      <c r="K201" s="685"/>
      <c r="L201" s="685"/>
      <c r="M201" s="685"/>
      <c r="N201" s="685"/>
      <c r="O201" s="685"/>
      <c r="P201" s="685"/>
      <c r="Q201" s="685"/>
      <c r="R201" s="685"/>
      <c r="S201" s="685"/>
      <c r="T201" s="685"/>
      <c r="U201" s="685"/>
      <c r="V201" s="685"/>
      <c r="W201" s="685"/>
      <c r="X201" s="685"/>
      <c r="Y201" s="685"/>
      <c r="Z201" s="685"/>
      <c r="AA201" s="685"/>
      <c r="AB201" s="685"/>
      <c r="AC201" s="685"/>
      <c r="AD201" s="685"/>
      <c r="AE201" s="685"/>
      <c r="AF201" s="685"/>
      <c r="AG201" s="685"/>
      <c r="AH201" s="685"/>
      <c r="AI201" s="685"/>
      <c r="AJ201" s="685"/>
      <c r="AK201" s="685"/>
      <c r="AL201" s="685"/>
      <c r="AM201" s="685"/>
      <c r="AN201" s="685"/>
      <c r="AO201" s="685"/>
      <c r="AP201" s="685"/>
      <c r="AQ201" s="685"/>
      <c r="AR201" s="685"/>
      <c r="AS201" s="685"/>
      <c r="AT201" s="685"/>
      <c r="AU201" s="685"/>
      <c r="AV201" s="685"/>
      <c r="AW201" s="685"/>
      <c r="AX201" s="685"/>
      <c r="AY201" s="685"/>
      <c r="AZ201" s="685"/>
    </row>
    <row r="202" spans="1:52">
      <c r="A202" s="685"/>
      <c r="B202" s="874" t="s">
        <v>358</v>
      </c>
      <c r="C202" s="876">
        <f>Master!N90</f>
        <v>25477.698</v>
      </c>
      <c r="D202" s="876">
        <f>Master!O90</f>
        <v>27913.08</v>
      </c>
      <c r="E202" s="876">
        <f>E203+E204</f>
        <v>29587.864800000003</v>
      </c>
      <c r="F202" s="685"/>
      <c r="G202" s="685"/>
      <c r="H202" s="685"/>
      <c r="I202" s="685"/>
      <c r="J202" s="685"/>
      <c r="K202" s="685"/>
      <c r="L202" s="685"/>
      <c r="M202" s="685"/>
      <c r="N202" s="685"/>
      <c r="O202" s="685"/>
      <c r="P202" s="685"/>
      <c r="Q202" s="685"/>
      <c r="R202" s="685"/>
      <c r="S202" s="685"/>
      <c r="T202" s="685"/>
      <c r="U202" s="685"/>
      <c r="V202" s="685"/>
      <c r="W202" s="685"/>
      <c r="X202" s="685"/>
      <c r="Y202" s="685"/>
      <c r="Z202" s="685"/>
      <c r="AA202" s="685"/>
      <c r="AB202" s="685"/>
      <c r="AC202" s="685"/>
      <c r="AD202" s="685"/>
      <c r="AE202" s="685"/>
      <c r="AF202" s="685"/>
      <c r="AG202" s="685"/>
      <c r="AH202" s="685"/>
      <c r="AI202" s="685"/>
      <c r="AJ202" s="685"/>
      <c r="AK202" s="685"/>
      <c r="AL202" s="685"/>
      <c r="AM202" s="685"/>
      <c r="AN202" s="685"/>
      <c r="AO202" s="685"/>
      <c r="AP202" s="685"/>
      <c r="AQ202" s="685"/>
      <c r="AR202" s="685"/>
      <c r="AS202" s="685"/>
      <c r="AT202" s="685"/>
      <c r="AU202" s="685"/>
      <c r="AV202" s="685"/>
      <c r="AW202" s="685"/>
      <c r="AX202" s="685"/>
      <c r="AY202" s="685"/>
      <c r="AZ202" s="685"/>
    </row>
    <row r="203" spans="1:52">
      <c r="A203" s="685"/>
      <c r="B203" s="992" t="s">
        <v>3004</v>
      </c>
      <c r="C203" s="848">
        <f>C202*0.6</f>
        <v>15286.6188</v>
      </c>
      <c r="D203" s="848">
        <f>D202*0.6</f>
        <v>16747.848000000002</v>
      </c>
      <c r="E203" s="848">
        <f>D203*(1+$I$123)</f>
        <v>18422.632800000003</v>
      </c>
      <c r="F203" s="685"/>
      <c r="G203" s="685"/>
      <c r="H203" s="685"/>
      <c r="I203" s="685"/>
      <c r="J203" s="685"/>
      <c r="K203" s="685"/>
      <c r="L203" s="685"/>
      <c r="M203" s="685"/>
      <c r="N203" s="685"/>
      <c r="O203" s="685"/>
      <c r="P203" s="685"/>
      <c r="Q203" s="685"/>
      <c r="R203" s="685"/>
      <c r="S203" s="685"/>
      <c r="T203" s="685"/>
      <c r="U203" s="685"/>
      <c r="V203" s="685"/>
      <c r="W203" s="685"/>
      <c r="X203" s="685"/>
      <c r="Y203" s="685"/>
      <c r="Z203" s="685"/>
      <c r="AA203" s="685"/>
      <c r="AB203" s="685"/>
      <c r="AC203" s="685"/>
      <c r="AD203" s="685"/>
      <c r="AE203" s="685"/>
      <c r="AF203" s="685"/>
      <c r="AG203" s="685"/>
      <c r="AH203" s="685"/>
      <c r="AI203" s="685"/>
      <c r="AJ203" s="685"/>
      <c r="AK203" s="685"/>
      <c r="AL203" s="685"/>
      <c r="AM203" s="685"/>
      <c r="AN203" s="685"/>
      <c r="AO203" s="685"/>
      <c r="AP203" s="685"/>
      <c r="AQ203" s="685"/>
      <c r="AR203" s="685"/>
      <c r="AS203" s="685"/>
      <c r="AT203" s="685"/>
      <c r="AU203" s="685"/>
      <c r="AV203" s="685"/>
      <c r="AW203" s="685"/>
      <c r="AX203" s="685"/>
      <c r="AY203" s="685"/>
      <c r="AZ203" s="685"/>
    </row>
    <row r="204" spans="1:52">
      <c r="A204" s="685"/>
      <c r="B204" s="992" t="s">
        <v>2999</v>
      </c>
      <c r="C204" s="848">
        <f>C202-C203</f>
        <v>10191.0792</v>
      </c>
      <c r="D204" s="848">
        <f>D202-D203</f>
        <v>11165.232</v>
      </c>
      <c r="E204" s="848">
        <f>D204</f>
        <v>11165.232</v>
      </c>
      <c r="F204" s="685"/>
      <c r="G204" s="685"/>
      <c r="H204" s="685"/>
      <c r="I204" s="685"/>
      <c r="J204" s="685"/>
      <c r="K204" s="685"/>
      <c r="L204" s="685"/>
      <c r="M204" s="685"/>
      <c r="N204" s="685"/>
      <c r="O204" s="685"/>
      <c r="P204" s="685"/>
      <c r="Q204" s="685"/>
      <c r="R204" s="685"/>
      <c r="S204" s="685"/>
      <c r="T204" s="685"/>
      <c r="U204" s="685"/>
      <c r="V204" s="685"/>
      <c r="W204" s="685"/>
      <c r="X204" s="685"/>
      <c r="Y204" s="685"/>
      <c r="Z204" s="685"/>
      <c r="AA204" s="685"/>
      <c r="AB204" s="685"/>
      <c r="AC204" s="685"/>
      <c r="AD204" s="685"/>
      <c r="AE204" s="685"/>
      <c r="AF204" s="685"/>
      <c r="AG204" s="685"/>
      <c r="AH204" s="685"/>
      <c r="AI204" s="685"/>
      <c r="AJ204" s="685"/>
      <c r="AK204" s="685"/>
      <c r="AL204" s="685"/>
      <c r="AM204" s="685"/>
      <c r="AN204" s="685"/>
      <c r="AO204" s="685"/>
      <c r="AP204" s="685"/>
      <c r="AQ204" s="685"/>
      <c r="AR204" s="685"/>
      <c r="AS204" s="685"/>
      <c r="AT204" s="685"/>
      <c r="AU204" s="685"/>
      <c r="AV204" s="685"/>
      <c r="AW204" s="685"/>
      <c r="AX204" s="685"/>
      <c r="AY204" s="685"/>
      <c r="AZ204" s="685"/>
    </row>
    <row r="205" spans="1:52">
      <c r="A205" s="685"/>
      <c r="B205" s="685"/>
      <c r="C205" s="685"/>
      <c r="D205" s="685"/>
      <c r="E205" s="685"/>
      <c r="F205" s="685"/>
      <c r="G205" s="685"/>
      <c r="H205" s="685"/>
      <c r="I205" s="685"/>
      <c r="J205" s="685"/>
      <c r="K205" s="685"/>
      <c r="L205" s="685"/>
      <c r="M205" s="685"/>
      <c r="N205" s="685"/>
      <c r="O205" s="685"/>
      <c r="P205" s="685"/>
      <c r="Q205" s="685"/>
      <c r="R205" s="685"/>
      <c r="S205" s="685"/>
      <c r="T205" s="685"/>
      <c r="U205" s="685"/>
      <c r="V205" s="685"/>
      <c r="W205" s="685"/>
      <c r="X205" s="685"/>
      <c r="Y205" s="685"/>
      <c r="Z205" s="685"/>
      <c r="AA205" s="685"/>
      <c r="AB205" s="685"/>
      <c r="AC205" s="685"/>
      <c r="AD205" s="685"/>
      <c r="AE205" s="685"/>
      <c r="AF205" s="685"/>
      <c r="AG205" s="685"/>
      <c r="AH205" s="685"/>
      <c r="AI205" s="685"/>
      <c r="AJ205" s="685"/>
      <c r="AK205" s="685"/>
      <c r="AL205" s="685"/>
      <c r="AM205" s="685"/>
      <c r="AN205" s="685"/>
      <c r="AO205" s="685"/>
      <c r="AP205" s="685"/>
      <c r="AQ205" s="685"/>
      <c r="AR205" s="685"/>
      <c r="AS205" s="685"/>
      <c r="AT205" s="685"/>
      <c r="AU205" s="685"/>
      <c r="AV205" s="685"/>
      <c r="AW205" s="685"/>
      <c r="AX205" s="685"/>
      <c r="AY205" s="685"/>
      <c r="AZ205" s="685"/>
    </row>
    <row r="206" spans="1:52" ht="15.75" thickBot="1">
      <c r="A206" s="685"/>
      <c r="B206" s="874" t="s">
        <v>203</v>
      </c>
      <c r="C206" s="876">
        <f>C176-C202</f>
        <v>6897.6019999999844</v>
      </c>
      <c r="D206" s="876">
        <f>D176-D202</f>
        <v>5664.8199999999924</v>
      </c>
      <c r="E206" s="876">
        <f>E176-E202</f>
        <v>6919.885199999997</v>
      </c>
      <c r="F206" s="685"/>
      <c r="G206" s="685"/>
      <c r="H206" s="685"/>
      <c r="I206" s="685"/>
      <c r="J206" s="685"/>
      <c r="K206" s="685"/>
      <c r="L206" s="685"/>
      <c r="M206" s="685"/>
      <c r="N206" s="685"/>
      <c r="O206" s="685"/>
      <c r="P206" s="685"/>
      <c r="Q206" s="685"/>
      <c r="R206" s="685"/>
      <c r="S206" s="685"/>
      <c r="T206" s="685"/>
      <c r="U206" s="685"/>
      <c r="V206" s="685"/>
      <c r="W206" s="685"/>
      <c r="X206" s="685"/>
      <c r="Y206" s="685"/>
      <c r="Z206" s="685"/>
      <c r="AA206" s="685"/>
      <c r="AB206" s="685"/>
      <c r="AC206" s="685"/>
      <c r="AD206" s="685"/>
      <c r="AE206" s="685"/>
      <c r="AF206" s="685"/>
      <c r="AG206" s="685"/>
      <c r="AH206" s="685"/>
      <c r="AI206" s="685"/>
      <c r="AJ206" s="685"/>
      <c r="AK206" s="685"/>
      <c r="AL206" s="685"/>
      <c r="AM206" s="685"/>
      <c r="AN206" s="685"/>
      <c r="AO206" s="685"/>
      <c r="AP206" s="685"/>
      <c r="AQ206" s="685"/>
      <c r="AR206" s="685"/>
      <c r="AS206" s="685"/>
      <c r="AT206" s="685"/>
      <c r="AU206" s="685"/>
      <c r="AV206" s="685"/>
      <c r="AW206" s="685"/>
      <c r="AX206" s="685"/>
      <c r="AY206" s="685"/>
      <c r="AZ206" s="685"/>
    </row>
    <row r="207" spans="1:52" ht="15.75" thickBot="1">
      <c r="A207" s="685"/>
      <c r="B207" s="874"/>
      <c r="C207" s="876"/>
      <c r="D207" s="876"/>
      <c r="E207" s="1177">
        <f>E206/D206-1</f>
        <v>0.22155429475252642</v>
      </c>
      <c r="F207" s="685"/>
      <c r="G207" s="685"/>
      <c r="H207" s="685"/>
      <c r="I207" s="685"/>
      <c r="J207" s="685"/>
      <c r="K207" s="685"/>
      <c r="L207" s="685"/>
      <c r="M207" s="685"/>
      <c r="N207" s="685"/>
      <c r="O207" s="685"/>
      <c r="P207" s="685"/>
      <c r="Q207" s="685"/>
      <c r="R207" s="685"/>
      <c r="S207" s="685"/>
      <c r="T207" s="685"/>
      <c r="U207" s="685"/>
      <c r="V207" s="685"/>
      <c r="W207" s="685"/>
      <c r="X207" s="685"/>
      <c r="Y207" s="685"/>
      <c r="Z207" s="685"/>
      <c r="AA207" s="685"/>
      <c r="AB207" s="685"/>
      <c r="AC207" s="685"/>
      <c r="AD207" s="685"/>
      <c r="AE207" s="685"/>
      <c r="AF207" s="685"/>
      <c r="AG207" s="685"/>
      <c r="AH207" s="685"/>
      <c r="AI207" s="685"/>
      <c r="AJ207" s="685"/>
      <c r="AK207" s="685"/>
      <c r="AL207" s="685"/>
      <c r="AM207" s="685"/>
      <c r="AN207" s="685"/>
      <c r="AO207" s="685"/>
      <c r="AP207" s="685"/>
      <c r="AQ207" s="685"/>
      <c r="AR207" s="685"/>
      <c r="AS207" s="685"/>
      <c r="AT207" s="685"/>
      <c r="AU207" s="685"/>
      <c r="AV207" s="685"/>
      <c r="AW207" s="685"/>
      <c r="AX207" s="685"/>
      <c r="AY207" s="685"/>
      <c r="AZ207" s="685"/>
    </row>
    <row r="208" spans="1:52">
      <c r="A208" s="685"/>
      <c r="B208" s="874" t="s">
        <v>372</v>
      </c>
      <c r="C208" s="876">
        <f>C199+C179-C202</f>
        <v>1907.5019999999968</v>
      </c>
      <c r="D208" s="876">
        <f>D199+D179-D202</f>
        <v>-7212.080000000009</v>
      </c>
      <c r="E208" s="876">
        <f>E199+E179-E202</f>
        <v>-6797.8509584322601</v>
      </c>
      <c r="F208" s="685"/>
      <c r="G208" s="685"/>
      <c r="H208" s="685"/>
      <c r="I208" s="685"/>
      <c r="J208" s="685"/>
      <c r="K208" s="685"/>
      <c r="L208" s="685"/>
      <c r="M208" s="685"/>
      <c r="N208" s="685"/>
      <c r="O208" s="685"/>
      <c r="P208" s="685"/>
      <c r="Q208" s="685"/>
      <c r="R208" s="685"/>
      <c r="S208" s="685"/>
      <c r="T208" s="685"/>
      <c r="U208" s="685"/>
      <c r="V208" s="685"/>
      <c r="W208" s="685"/>
      <c r="X208" s="685"/>
      <c r="Y208" s="685"/>
      <c r="Z208" s="685"/>
      <c r="AA208" s="685"/>
      <c r="AB208" s="685"/>
      <c r="AC208" s="685"/>
      <c r="AD208" s="685"/>
      <c r="AE208" s="685"/>
      <c r="AF208" s="685"/>
      <c r="AG208" s="685"/>
      <c r="AH208" s="685"/>
      <c r="AI208" s="685"/>
      <c r="AJ208" s="685"/>
      <c r="AK208" s="685"/>
      <c r="AL208" s="685"/>
      <c r="AM208" s="685"/>
      <c r="AN208" s="685"/>
      <c r="AO208" s="685"/>
      <c r="AP208" s="685"/>
      <c r="AQ208" s="685"/>
      <c r="AR208" s="685"/>
      <c r="AS208" s="685"/>
      <c r="AT208" s="685"/>
      <c r="AU208" s="685"/>
      <c r="AV208" s="685"/>
      <c r="AW208" s="685"/>
      <c r="AX208" s="685"/>
      <c r="AY208" s="685"/>
      <c r="AZ208" s="685"/>
    </row>
    <row r="209" spans="1:52">
      <c r="A209" s="685"/>
      <c r="B209" s="874"/>
      <c r="C209" s="1027"/>
      <c r="D209" s="1027"/>
      <c r="E209" s="1027"/>
      <c r="F209" s="685"/>
      <c r="G209" s="685"/>
      <c r="H209" s="685"/>
      <c r="I209" s="685"/>
      <c r="J209" s="685"/>
      <c r="K209" s="685"/>
      <c r="L209" s="685"/>
      <c r="M209" s="685"/>
      <c r="N209" s="685"/>
      <c r="O209" s="685"/>
      <c r="P209" s="685"/>
      <c r="Q209" s="685"/>
      <c r="R209" s="685"/>
      <c r="S209" s="685"/>
      <c r="T209" s="685"/>
      <c r="U209" s="685"/>
      <c r="V209" s="685"/>
      <c r="W209" s="685"/>
      <c r="X209" s="685"/>
      <c r="Y209" s="685"/>
      <c r="Z209" s="685"/>
      <c r="AA209" s="685"/>
      <c r="AB209" s="685"/>
      <c r="AC209" s="685"/>
      <c r="AD209" s="685"/>
      <c r="AE209" s="685"/>
      <c r="AF209" s="685"/>
      <c r="AG209" s="685"/>
      <c r="AH209" s="685"/>
      <c r="AI209" s="685"/>
      <c r="AJ209" s="685"/>
      <c r="AK209" s="685"/>
      <c r="AL209" s="685"/>
      <c r="AM209" s="685"/>
      <c r="AN209" s="685"/>
      <c r="AO209" s="685"/>
      <c r="AP209" s="685"/>
      <c r="AQ209" s="685"/>
      <c r="AR209" s="685"/>
      <c r="AS209" s="685"/>
      <c r="AT209" s="685"/>
      <c r="AU209" s="685"/>
      <c r="AV209" s="685"/>
      <c r="AW209" s="685"/>
      <c r="AX209" s="685"/>
      <c r="AY209" s="685"/>
      <c r="AZ209" s="685"/>
    </row>
    <row r="210" spans="1:52">
      <c r="A210" s="685"/>
      <c r="B210" s="874" t="s">
        <v>3054</v>
      </c>
      <c r="C210" s="685"/>
      <c r="D210" s="685"/>
      <c r="E210" s="685"/>
      <c r="F210" s="685"/>
      <c r="G210" s="685"/>
      <c r="H210" s="685"/>
      <c r="I210" s="685"/>
      <c r="J210" s="685"/>
      <c r="K210" s="685"/>
      <c r="L210" s="685"/>
      <c r="M210" s="685"/>
      <c r="N210" s="685"/>
      <c r="O210" s="685"/>
      <c r="P210" s="685"/>
      <c r="Q210" s="685"/>
      <c r="R210" s="685"/>
      <c r="S210" s="685"/>
      <c r="T210" s="685"/>
      <c r="U210" s="685"/>
      <c r="V210" s="685"/>
      <c r="W210" s="685"/>
      <c r="X210" s="685"/>
      <c r="Y210" s="685"/>
      <c r="Z210" s="685"/>
      <c r="AA210" s="685"/>
      <c r="AB210" s="685"/>
      <c r="AC210" s="685"/>
      <c r="AD210" s="685"/>
      <c r="AE210" s="685"/>
      <c r="AF210" s="685"/>
      <c r="AG210" s="685"/>
      <c r="AH210" s="685"/>
      <c r="AI210" s="685"/>
      <c r="AJ210" s="685"/>
      <c r="AK210" s="685"/>
      <c r="AL210" s="685"/>
      <c r="AM210" s="685"/>
      <c r="AN210" s="685"/>
      <c r="AO210" s="685"/>
      <c r="AP210" s="685"/>
      <c r="AQ210" s="685"/>
      <c r="AR210" s="685"/>
      <c r="AS210" s="685"/>
      <c r="AT210" s="685"/>
      <c r="AU210" s="685"/>
      <c r="AV210" s="685"/>
      <c r="AW210" s="685"/>
      <c r="AX210" s="685"/>
      <c r="AY210" s="685"/>
      <c r="AZ210" s="685"/>
    </row>
    <row r="211" spans="1:52">
      <c r="A211" s="685"/>
      <c r="B211" s="874"/>
      <c r="C211" s="685"/>
      <c r="D211" s="685"/>
      <c r="E211" s="685"/>
      <c r="F211" s="685"/>
      <c r="G211" s="685"/>
      <c r="H211" s="685"/>
      <c r="I211" s="685"/>
      <c r="J211" s="685"/>
      <c r="K211" s="685"/>
      <c r="L211" s="685"/>
      <c r="M211" s="685"/>
      <c r="N211" s="685"/>
      <c r="O211" s="685"/>
      <c r="P211" s="685"/>
      <c r="Q211" s="685"/>
      <c r="R211" s="685"/>
      <c r="S211" s="685"/>
      <c r="T211" s="685"/>
      <c r="U211" s="685"/>
      <c r="V211" s="685"/>
      <c r="W211" s="685"/>
      <c r="X211" s="685"/>
      <c r="Y211" s="685"/>
      <c r="Z211" s="685"/>
      <c r="AA211" s="685"/>
      <c r="AB211" s="685"/>
      <c r="AC211" s="685"/>
      <c r="AD211" s="685"/>
      <c r="AE211" s="685"/>
      <c r="AF211" s="685"/>
      <c r="AG211" s="685"/>
      <c r="AH211" s="685"/>
      <c r="AI211" s="685"/>
      <c r="AJ211" s="685"/>
      <c r="AK211" s="685"/>
      <c r="AL211" s="685"/>
      <c r="AM211" s="685"/>
      <c r="AN211" s="685"/>
      <c r="AO211" s="685"/>
      <c r="AP211" s="685"/>
      <c r="AQ211" s="685"/>
      <c r="AR211" s="685"/>
      <c r="AS211" s="685"/>
      <c r="AT211" s="685"/>
      <c r="AU211" s="685"/>
      <c r="AV211" s="685"/>
      <c r="AW211" s="685"/>
      <c r="AX211" s="685"/>
      <c r="AY211" s="685"/>
      <c r="AZ211" s="685"/>
    </row>
    <row r="212" spans="1:52">
      <c r="A212" s="685"/>
      <c r="B212" s="874" t="s">
        <v>1889</v>
      </c>
      <c r="C212" s="874">
        <f>C123</f>
        <v>2015</v>
      </c>
      <c r="D212" s="874">
        <f>D123</f>
        <v>2016</v>
      </c>
      <c r="E212" s="874">
        <f>E123</f>
        <v>2017</v>
      </c>
      <c r="F212" s="874"/>
      <c r="G212" s="685"/>
      <c r="H212" s="685"/>
      <c r="I212" s="685"/>
      <c r="J212" s="685"/>
      <c r="K212" s="685"/>
      <c r="L212" s="685"/>
      <c r="M212" s="685"/>
      <c r="N212" s="685"/>
      <c r="O212" s="685"/>
      <c r="P212" s="685"/>
      <c r="Q212" s="685"/>
      <c r="R212" s="685"/>
      <c r="S212" s="685"/>
      <c r="T212" s="685"/>
      <c r="U212" s="685"/>
      <c r="V212" s="685"/>
      <c r="W212" s="685"/>
      <c r="X212" s="685"/>
      <c r="Y212" s="685"/>
      <c r="Z212" s="685"/>
      <c r="AA212" s="685"/>
      <c r="AB212" s="685"/>
      <c r="AC212" s="685"/>
      <c r="AD212" s="685"/>
      <c r="AE212" s="685"/>
      <c r="AF212" s="685"/>
      <c r="AG212" s="685"/>
      <c r="AH212" s="685"/>
      <c r="AI212" s="685"/>
      <c r="AJ212" s="685"/>
      <c r="AK212" s="685"/>
      <c r="AL212" s="685"/>
      <c r="AM212" s="685"/>
      <c r="AN212" s="685"/>
      <c r="AO212" s="685"/>
      <c r="AP212" s="685"/>
      <c r="AQ212" s="685"/>
      <c r="AR212" s="685"/>
      <c r="AS212" s="685"/>
      <c r="AT212" s="685"/>
      <c r="AU212" s="685"/>
      <c r="AV212" s="685"/>
      <c r="AW212" s="685"/>
      <c r="AX212" s="685"/>
      <c r="AY212" s="685"/>
      <c r="AZ212" s="685"/>
    </row>
    <row r="213" spans="1:52">
      <c r="A213" s="685"/>
      <c r="B213" s="857" t="s">
        <v>200</v>
      </c>
      <c r="C213" s="857"/>
      <c r="D213" s="858"/>
      <c r="E213" s="1176"/>
      <c r="F213" s="1185"/>
      <c r="G213" s="685"/>
      <c r="H213" s="685"/>
      <c r="I213" s="685"/>
      <c r="J213" s="685"/>
      <c r="K213" s="685"/>
      <c r="L213" s="685"/>
      <c r="M213" s="685"/>
      <c r="N213" s="685"/>
      <c r="O213" s="685"/>
      <c r="P213" s="685"/>
      <c r="Q213" s="685"/>
      <c r="R213" s="685"/>
      <c r="S213" s="685"/>
      <c r="T213" s="685"/>
      <c r="U213" s="685"/>
      <c r="V213" s="685"/>
      <c r="W213" s="685"/>
      <c r="X213" s="685"/>
      <c r="Y213" s="685"/>
      <c r="Z213" s="685"/>
      <c r="AA213" s="685"/>
      <c r="AB213" s="685"/>
      <c r="AC213" s="685"/>
      <c r="AD213" s="685"/>
      <c r="AE213" s="685"/>
      <c r="AF213" s="685"/>
      <c r="AG213" s="685"/>
      <c r="AH213" s="685"/>
      <c r="AI213" s="685"/>
      <c r="AJ213" s="685"/>
      <c r="AK213" s="685"/>
      <c r="AL213" s="685"/>
      <c r="AM213" s="685"/>
      <c r="AN213" s="685"/>
      <c r="AO213" s="685"/>
      <c r="AP213" s="685"/>
      <c r="AQ213" s="685"/>
      <c r="AR213" s="685"/>
      <c r="AS213" s="685"/>
      <c r="AT213" s="685"/>
      <c r="AU213" s="685"/>
      <c r="AV213" s="685"/>
      <c r="AW213" s="685"/>
      <c r="AX213" s="685"/>
      <c r="AY213" s="685"/>
      <c r="AZ213" s="685"/>
    </row>
    <row r="214" spans="1:52">
      <c r="A214" s="685"/>
      <c r="B214" s="992" t="s">
        <v>3057</v>
      </c>
      <c r="C214" s="848">
        <f>C125+C128+C131+C132</f>
        <v>11117.43125</v>
      </c>
      <c r="D214" s="848">
        <f>D125+D128+D131+D132</f>
        <v>12849.797500000001</v>
      </c>
      <c r="E214" s="848">
        <f>E125+E128+E131+E132</f>
        <v>12499.077499999999</v>
      </c>
      <c r="F214" s="848"/>
      <c r="G214" s="685"/>
      <c r="H214" s="685"/>
      <c r="I214" s="685"/>
      <c r="J214" s="685"/>
      <c r="K214" s="685"/>
      <c r="L214" s="685"/>
      <c r="M214" s="685"/>
      <c r="N214" s="685"/>
      <c r="O214" s="685"/>
      <c r="P214" s="685"/>
      <c r="Q214" s="685"/>
      <c r="R214" s="685"/>
      <c r="S214" s="685"/>
      <c r="T214" s="685"/>
      <c r="U214" s="685"/>
      <c r="V214" s="685"/>
      <c r="W214" s="685"/>
      <c r="X214" s="685"/>
      <c r="Y214" s="685"/>
      <c r="Z214" s="685"/>
      <c r="AA214" s="685"/>
      <c r="AB214" s="685"/>
      <c r="AC214" s="685"/>
      <c r="AD214" s="685"/>
      <c r="AE214" s="685"/>
      <c r="AF214" s="685"/>
      <c r="AG214" s="685"/>
      <c r="AH214" s="685"/>
      <c r="AI214" s="685"/>
      <c r="AJ214" s="685"/>
      <c r="AK214" s="685"/>
      <c r="AL214" s="685"/>
      <c r="AM214" s="685"/>
      <c r="AN214" s="685"/>
      <c r="AO214" s="685"/>
      <c r="AP214" s="685"/>
      <c r="AQ214" s="685"/>
      <c r="AR214" s="685"/>
      <c r="AS214" s="685"/>
      <c r="AT214" s="685"/>
      <c r="AU214" s="685"/>
      <c r="AV214" s="685"/>
      <c r="AW214" s="685"/>
      <c r="AX214" s="685"/>
      <c r="AY214" s="685"/>
      <c r="AZ214" s="685"/>
    </row>
    <row r="215" spans="1:52">
      <c r="A215" s="685"/>
      <c r="B215" s="999" t="s">
        <v>3058</v>
      </c>
      <c r="C215" s="901">
        <f>C134-C214</f>
        <v>23215.168749999997</v>
      </c>
      <c r="D215" s="901">
        <f>D134-D214</f>
        <v>23836.902499999997</v>
      </c>
      <c r="E215" s="901">
        <f>E134-E214</f>
        <v>21497.922500000001</v>
      </c>
      <c r="F215" s="901"/>
      <c r="G215" s="685"/>
      <c r="H215" s="685"/>
      <c r="I215" s="685"/>
      <c r="J215" s="685"/>
      <c r="K215" s="685"/>
      <c r="L215" s="685"/>
      <c r="M215" s="685"/>
      <c r="N215" s="685"/>
      <c r="O215" s="685"/>
      <c r="P215" s="685"/>
      <c r="Q215" s="685"/>
      <c r="R215" s="685"/>
      <c r="S215" s="685"/>
      <c r="T215" s="685"/>
      <c r="U215" s="685"/>
      <c r="V215" s="685"/>
      <c r="W215" s="685"/>
      <c r="X215" s="685"/>
      <c r="Y215" s="685"/>
      <c r="Z215" s="685"/>
      <c r="AA215" s="685"/>
      <c r="AB215" s="685"/>
      <c r="AC215" s="685"/>
      <c r="AD215" s="685"/>
      <c r="AE215" s="685"/>
      <c r="AF215" s="685"/>
      <c r="AG215" s="685"/>
      <c r="AH215" s="685"/>
      <c r="AI215" s="685"/>
      <c r="AJ215" s="685"/>
      <c r="AK215" s="685"/>
      <c r="AL215" s="685"/>
      <c r="AM215" s="685"/>
      <c r="AN215" s="685"/>
      <c r="AO215" s="685"/>
      <c r="AP215" s="685"/>
      <c r="AQ215" s="685"/>
      <c r="AR215" s="685"/>
      <c r="AS215" s="685"/>
      <c r="AT215" s="685"/>
      <c r="AU215" s="685"/>
      <c r="AV215" s="685"/>
      <c r="AW215" s="685"/>
      <c r="AX215" s="685"/>
      <c r="AY215" s="685"/>
      <c r="AZ215" s="685"/>
    </row>
    <row r="216" spans="1:52">
      <c r="A216" s="685"/>
      <c r="B216" s="992" t="s">
        <v>98</v>
      </c>
      <c r="C216" s="848">
        <f>C214+C215</f>
        <v>34332.6</v>
      </c>
      <c r="D216" s="848">
        <f>D214+D215</f>
        <v>36686.699999999997</v>
      </c>
      <c r="E216" s="848">
        <f>E214+E215</f>
        <v>33997</v>
      </c>
      <c r="F216" s="848"/>
      <c r="G216" s="685"/>
      <c r="H216" s="685"/>
      <c r="I216" s="685"/>
      <c r="J216" s="685"/>
      <c r="K216" s="685"/>
      <c r="L216" s="685"/>
      <c r="M216" s="685"/>
      <c r="N216" s="685"/>
      <c r="O216" s="685"/>
      <c r="P216" s="685"/>
      <c r="Q216" s="685"/>
      <c r="R216" s="685"/>
      <c r="S216" s="685"/>
      <c r="T216" s="685"/>
      <c r="U216" s="685"/>
      <c r="V216" s="685"/>
      <c r="W216" s="685"/>
      <c r="X216" s="685"/>
      <c r="Y216" s="685"/>
      <c r="Z216" s="685"/>
      <c r="AA216" s="685"/>
      <c r="AB216" s="685"/>
      <c r="AC216" s="685"/>
      <c r="AD216" s="685"/>
      <c r="AE216" s="685"/>
      <c r="AF216" s="685"/>
      <c r="AG216" s="685"/>
      <c r="AH216" s="685"/>
      <c r="AI216" s="685"/>
      <c r="AJ216" s="685"/>
      <c r="AK216" s="685"/>
      <c r="AL216" s="685"/>
      <c r="AM216" s="685"/>
      <c r="AN216" s="685"/>
      <c r="AO216" s="685"/>
      <c r="AP216" s="685"/>
      <c r="AQ216" s="685"/>
      <c r="AR216" s="685"/>
      <c r="AS216" s="685"/>
      <c r="AT216" s="685"/>
      <c r="AU216" s="685"/>
      <c r="AV216" s="685"/>
      <c r="AW216" s="685"/>
      <c r="AX216" s="685"/>
      <c r="AY216" s="685"/>
      <c r="AZ216" s="685"/>
    </row>
    <row r="217" spans="1:52">
      <c r="A217" s="685"/>
      <c r="B217" s="992" t="s">
        <v>181</v>
      </c>
      <c r="C217" s="848"/>
      <c r="D217" s="848"/>
      <c r="E217" s="869"/>
      <c r="F217" s="685"/>
      <c r="G217" s="685"/>
      <c r="H217" s="685"/>
      <c r="I217" s="685"/>
      <c r="J217" s="685"/>
      <c r="K217" s="685"/>
      <c r="L217" s="685"/>
      <c r="M217" s="685"/>
      <c r="N217" s="685"/>
      <c r="O217" s="685"/>
      <c r="P217" s="685"/>
      <c r="Q217" s="685"/>
      <c r="R217" s="685"/>
      <c r="S217" s="685"/>
      <c r="T217" s="685"/>
      <c r="U217" s="685"/>
      <c r="V217" s="685"/>
      <c r="W217" s="685"/>
      <c r="X217" s="685"/>
      <c r="Y217" s="685"/>
      <c r="Z217" s="685"/>
      <c r="AA217" s="685"/>
      <c r="AB217" s="685"/>
      <c r="AC217" s="685"/>
      <c r="AD217" s="685"/>
      <c r="AE217" s="685"/>
      <c r="AF217" s="685"/>
      <c r="AG217" s="685"/>
      <c r="AH217" s="685"/>
      <c r="AI217" s="685"/>
      <c r="AJ217" s="685"/>
      <c r="AK217" s="685"/>
      <c r="AL217" s="685"/>
      <c r="AM217" s="685"/>
      <c r="AN217" s="685"/>
      <c r="AO217" s="685"/>
      <c r="AP217" s="685"/>
      <c r="AQ217" s="685"/>
      <c r="AR217" s="685"/>
      <c r="AS217" s="685"/>
      <c r="AT217" s="685"/>
      <c r="AU217" s="685"/>
      <c r="AV217" s="685"/>
      <c r="AW217" s="685"/>
      <c r="AX217" s="685"/>
      <c r="AY217" s="685"/>
      <c r="AZ217" s="685"/>
    </row>
    <row r="218" spans="1:52">
      <c r="A218" s="685"/>
      <c r="B218" s="685"/>
      <c r="C218" s="685"/>
      <c r="D218" s="685"/>
      <c r="E218" s="685"/>
      <c r="F218" s="685"/>
      <c r="G218" s="685"/>
      <c r="H218" s="685"/>
      <c r="I218" s="685"/>
      <c r="J218" s="685"/>
      <c r="K218" s="685"/>
      <c r="L218" s="685"/>
      <c r="M218" s="685"/>
      <c r="N218" s="685"/>
      <c r="O218" s="685"/>
      <c r="P218" s="685"/>
      <c r="Q218" s="685"/>
      <c r="R218" s="685"/>
      <c r="S218" s="685"/>
      <c r="T218" s="685"/>
      <c r="U218" s="685"/>
      <c r="V218" s="685"/>
      <c r="W218" s="685"/>
      <c r="X218" s="685"/>
      <c r="Y218" s="685"/>
      <c r="Z218" s="685"/>
      <c r="AA218" s="685"/>
      <c r="AB218" s="685"/>
      <c r="AC218" s="685"/>
      <c r="AD218" s="685"/>
      <c r="AE218" s="685"/>
      <c r="AF218" s="685"/>
      <c r="AG218" s="685"/>
      <c r="AH218" s="685"/>
      <c r="AI218" s="685"/>
      <c r="AJ218" s="685"/>
      <c r="AK218" s="685"/>
      <c r="AL218" s="685"/>
      <c r="AM218" s="685"/>
      <c r="AN218" s="685"/>
      <c r="AO218" s="685"/>
      <c r="AP218" s="685"/>
      <c r="AQ218" s="685"/>
      <c r="AR218" s="685"/>
      <c r="AS218" s="685"/>
      <c r="AT218" s="685"/>
      <c r="AU218" s="685"/>
      <c r="AV218" s="685"/>
      <c r="AW218" s="685"/>
      <c r="AX218" s="685"/>
      <c r="AY218" s="685"/>
      <c r="AZ218" s="685"/>
    </row>
    <row r="219" spans="1:52">
      <c r="A219" s="685"/>
      <c r="B219" s="685" t="s">
        <v>3055</v>
      </c>
      <c r="C219" s="848">
        <f t="shared" ref="C219:E220" si="98">C136</f>
        <v>3847.9787499999989</v>
      </c>
      <c r="D219" s="848">
        <f t="shared" si="98"/>
        <v>4303.7025000000003</v>
      </c>
      <c r="E219" s="848">
        <f t="shared" si="98"/>
        <v>2394.1224999999995</v>
      </c>
      <c r="F219" s="848"/>
      <c r="G219" s="685"/>
      <c r="H219" s="685"/>
      <c r="I219" s="685"/>
      <c r="J219" s="685"/>
      <c r="K219" s="685"/>
      <c r="L219" s="685"/>
      <c r="M219" s="685"/>
      <c r="N219" s="685"/>
      <c r="O219" s="685"/>
      <c r="P219" s="685"/>
      <c r="Q219" s="685"/>
      <c r="R219" s="685"/>
      <c r="S219" s="685"/>
      <c r="T219" s="685"/>
      <c r="U219" s="685"/>
      <c r="V219" s="685"/>
      <c r="W219" s="685"/>
      <c r="X219" s="685"/>
      <c r="Y219" s="685"/>
      <c r="Z219" s="685"/>
      <c r="AA219" s="685"/>
      <c r="AB219" s="685"/>
      <c r="AC219" s="685"/>
      <c r="AD219" s="685"/>
      <c r="AE219" s="685"/>
      <c r="AF219" s="685"/>
      <c r="AG219" s="685"/>
      <c r="AH219" s="685"/>
      <c r="AI219" s="685"/>
      <c r="AJ219" s="685"/>
      <c r="AK219" s="685"/>
      <c r="AL219" s="685"/>
      <c r="AM219" s="685"/>
      <c r="AN219" s="685"/>
      <c r="AO219" s="685"/>
      <c r="AP219" s="685"/>
      <c r="AQ219" s="685"/>
      <c r="AR219" s="685"/>
      <c r="AS219" s="685"/>
      <c r="AT219" s="685"/>
      <c r="AU219" s="685"/>
      <c r="AV219" s="685"/>
      <c r="AW219" s="685"/>
      <c r="AX219" s="685"/>
      <c r="AY219" s="685"/>
      <c r="AZ219" s="685"/>
    </row>
    <row r="220" spans="1:52">
      <c r="A220" s="685"/>
      <c r="B220" s="743" t="s">
        <v>3056</v>
      </c>
      <c r="C220" s="901">
        <f t="shared" si="98"/>
        <v>49871.421249999999</v>
      </c>
      <c r="D220" s="901">
        <f t="shared" si="98"/>
        <v>55296.997499999998</v>
      </c>
      <c r="E220" s="901">
        <f>I137</f>
        <v>55296.997499999998</v>
      </c>
      <c r="F220" s="1026"/>
      <c r="G220" s="685"/>
      <c r="H220" s="685"/>
      <c r="I220" s="685"/>
      <c r="J220" s="685"/>
      <c r="K220" s="685"/>
      <c r="L220" s="685"/>
      <c r="M220" s="685"/>
      <c r="N220" s="685"/>
      <c r="O220" s="685"/>
      <c r="P220" s="685"/>
      <c r="Q220" s="685"/>
      <c r="R220" s="685"/>
      <c r="S220" s="685"/>
      <c r="T220" s="685"/>
      <c r="U220" s="685"/>
      <c r="V220" s="685"/>
      <c r="W220" s="685"/>
      <c r="X220" s="685"/>
      <c r="Y220" s="685"/>
      <c r="Z220" s="685"/>
      <c r="AA220" s="685"/>
      <c r="AB220" s="685"/>
      <c r="AC220" s="685"/>
      <c r="AD220" s="685"/>
      <c r="AE220" s="685"/>
      <c r="AF220" s="685"/>
      <c r="AG220" s="685"/>
      <c r="AH220" s="685"/>
      <c r="AI220" s="685"/>
      <c r="AJ220" s="685"/>
      <c r="AK220" s="685"/>
      <c r="AL220" s="685"/>
      <c r="AM220" s="685"/>
      <c r="AN220" s="685"/>
      <c r="AO220" s="685"/>
      <c r="AP220" s="685"/>
      <c r="AQ220" s="685"/>
      <c r="AR220" s="685"/>
      <c r="AS220" s="685"/>
      <c r="AT220" s="685"/>
      <c r="AU220" s="685"/>
      <c r="AV220" s="685"/>
      <c r="AW220" s="685"/>
      <c r="AX220" s="685"/>
      <c r="AY220" s="685"/>
      <c r="AZ220" s="685"/>
    </row>
    <row r="221" spans="1:52">
      <c r="A221" s="685"/>
      <c r="B221" s="685" t="s">
        <v>3062</v>
      </c>
      <c r="C221" s="848">
        <f>SUM(C219:C220)</f>
        <v>53719.4</v>
      </c>
      <c r="D221" s="848">
        <f>SUM(D219:D220)</f>
        <v>59600.7</v>
      </c>
      <c r="E221" s="848">
        <f>SUM(E219:E220)</f>
        <v>57691.119999999995</v>
      </c>
      <c r="F221" s="869"/>
      <c r="G221" s="685"/>
      <c r="H221" s="685"/>
      <c r="I221" s="685"/>
      <c r="J221" s="685"/>
      <c r="K221" s="685"/>
      <c r="L221" s="685"/>
      <c r="M221" s="685"/>
      <c r="N221" s="685"/>
      <c r="O221" s="685"/>
      <c r="P221" s="685"/>
      <c r="Q221" s="685"/>
      <c r="R221" s="685"/>
      <c r="S221" s="685"/>
      <c r="T221" s="685"/>
      <c r="U221" s="685"/>
      <c r="V221" s="685"/>
      <c r="W221" s="685"/>
      <c r="X221" s="685"/>
      <c r="Y221" s="685"/>
      <c r="Z221" s="685"/>
      <c r="AA221" s="685"/>
      <c r="AB221" s="685"/>
      <c r="AC221" s="685"/>
      <c r="AD221" s="685"/>
      <c r="AE221" s="685"/>
      <c r="AF221" s="685"/>
      <c r="AG221" s="685"/>
      <c r="AH221" s="685"/>
      <c r="AI221" s="685"/>
      <c r="AJ221" s="685"/>
      <c r="AK221" s="685"/>
      <c r="AL221" s="685"/>
      <c r="AM221" s="685"/>
      <c r="AN221" s="685"/>
      <c r="AO221" s="685"/>
      <c r="AP221" s="685"/>
      <c r="AQ221" s="685"/>
      <c r="AR221" s="685"/>
      <c r="AS221" s="685"/>
      <c r="AT221" s="685"/>
      <c r="AU221" s="685"/>
      <c r="AV221" s="685"/>
      <c r="AW221" s="685"/>
      <c r="AX221" s="685"/>
      <c r="AY221" s="685"/>
      <c r="AZ221" s="685"/>
    </row>
    <row r="222" spans="1:52">
      <c r="A222" s="685"/>
      <c r="B222" s="992" t="s">
        <v>181</v>
      </c>
      <c r="C222" s="685"/>
      <c r="D222" s="685"/>
      <c r="E222" s="869"/>
      <c r="F222" s="685"/>
      <c r="G222" s="685"/>
      <c r="H222" s="685"/>
      <c r="I222" s="685"/>
      <c r="J222" s="685"/>
      <c r="K222" s="685"/>
      <c r="L222" s="685"/>
      <c r="M222" s="685"/>
      <c r="N222" s="685"/>
      <c r="O222" s="685"/>
      <c r="P222" s="685"/>
      <c r="Q222" s="685"/>
      <c r="R222" s="685"/>
      <c r="S222" s="685"/>
      <c r="T222" s="685"/>
      <c r="U222" s="685"/>
      <c r="V222" s="685"/>
      <c r="W222" s="685"/>
      <c r="X222" s="685"/>
      <c r="Y222" s="685"/>
      <c r="Z222" s="685"/>
      <c r="AA222" s="685"/>
      <c r="AB222" s="685"/>
      <c r="AC222" s="685"/>
      <c r="AD222" s="685"/>
      <c r="AE222" s="685"/>
      <c r="AF222" s="685"/>
      <c r="AG222" s="685"/>
      <c r="AH222" s="685"/>
      <c r="AI222" s="685"/>
      <c r="AJ222" s="685"/>
      <c r="AK222" s="685"/>
      <c r="AL222" s="685"/>
      <c r="AM222" s="685"/>
      <c r="AN222" s="685"/>
      <c r="AO222" s="685"/>
      <c r="AP222" s="685"/>
      <c r="AQ222" s="685"/>
      <c r="AR222" s="685"/>
      <c r="AS222" s="685"/>
      <c r="AT222" s="685"/>
      <c r="AU222" s="685"/>
      <c r="AV222" s="685"/>
      <c r="AW222" s="685"/>
      <c r="AX222" s="685"/>
      <c r="AY222" s="685"/>
      <c r="AZ222" s="685"/>
    </row>
    <row r="223" spans="1:52">
      <c r="A223" s="685"/>
      <c r="B223" s="992" t="s">
        <v>4332</v>
      </c>
      <c r="C223" s="685"/>
      <c r="D223" s="685"/>
      <c r="E223" s="869"/>
      <c r="F223" s="685"/>
      <c r="G223" s="685"/>
      <c r="H223" s="685"/>
      <c r="I223" s="685"/>
      <c r="J223" s="685"/>
      <c r="K223" s="685"/>
      <c r="L223" s="685"/>
      <c r="M223" s="685"/>
      <c r="N223" s="685"/>
      <c r="O223" s="685"/>
      <c r="P223" s="685"/>
      <c r="Q223" s="685"/>
      <c r="R223" s="685"/>
      <c r="S223" s="685"/>
      <c r="T223" s="685"/>
      <c r="U223" s="685"/>
      <c r="V223" s="685"/>
      <c r="W223" s="685"/>
      <c r="X223" s="685"/>
      <c r="Y223" s="685"/>
      <c r="Z223" s="685"/>
      <c r="AA223" s="685"/>
      <c r="AB223" s="685"/>
      <c r="AC223" s="685"/>
      <c r="AD223" s="685"/>
      <c r="AE223" s="685"/>
      <c r="AF223" s="685"/>
      <c r="AG223" s="685"/>
      <c r="AH223" s="685"/>
      <c r="AI223" s="685"/>
      <c r="AJ223" s="685"/>
      <c r="AK223" s="685"/>
      <c r="AL223" s="685"/>
      <c r="AM223" s="685"/>
      <c r="AN223" s="685"/>
      <c r="AO223" s="685"/>
      <c r="AP223" s="685"/>
      <c r="AQ223" s="685"/>
      <c r="AR223" s="685"/>
      <c r="AS223" s="685"/>
      <c r="AT223" s="685"/>
      <c r="AU223" s="685"/>
      <c r="AV223" s="685"/>
      <c r="AW223" s="685"/>
      <c r="AX223" s="685"/>
      <c r="AY223" s="685"/>
      <c r="AZ223" s="685"/>
    </row>
    <row r="224" spans="1:52">
      <c r="A224" s="685"/>
      <c r="B224" s="685"/>
      <c r="C224" s="685"/>
      <c r="D224" s="685"/>
      <c r="E224" s="869"/>
      <c r="F224" s="685"/>
      <c r="G224" s="685"/>
      <c r="H224" s="685"/>
      <c r="I224" s="685"/>
      <c r="J224" s="685"/>
      <c r="K224" s="685"/>
      <c r="L224" s="685"/>
      <c r="M224" s="685"/>
      <c r="N224" s="685"/>
      <c r="O224" s="685"/>
      <c r="P224" s="685"/>
      <c r="Q224" s="685"/>
      <c r="R224" s="685"/>
      <c r="S224" s="685"/>
      <c r="T224" s="685"/>
      <c r="U224" s="685"/>
      <c r="V224" s="685"/>
      <c r="W224" s="685"/>
      <c r="X224" s="685"/>
      <c r="Y224" s="685"/>
      <c r="Z224" s="685"/>
      <c r="AA224" s="685"/>
      <c r="AB224" s="685"/>
      <c r="AC224" s="685"/>
      <c r="AD224" s="685"/>
      <c r="AE224" s="685"/>
      <c r="AF224" s="685"/>
      <c r="AG224" s="685"/>
      <c r="AH224" s="685"/>
      <c r="AI224" s="685"/>
      <c r="AJ224" s="685"/>
      <c r="AK224" s="685"/>
      <c r="AL224" s="685"/>
      <c r="AM224" s="685"/>
      <c r="AN224" s="685"/>
      <c r="AO224" s="685"/>
      <c r="AP224" s="685"/>
      <c r="AQ224" s="685"/>
      <c r="AR224" s="685"/>
      <c r="AS224" s="685"/>
      <c r="AT224" s="685"/>
      <c r="AU224" s="685"/>
      <c r="AV224" s="685"/>
      <c r="AW224" s="685"/>
      <c r="AX224" s="685"/>
      <c r="AY224" s="685"/>
      <c r="AZ224" s="685"/>
    </row>
    <row r="225" spans="1:52">
      <c r="A225" s="685"/>
      <c r="B225" s="874" t="s">
        <v>1654</v>
      </c>
      <c r="C225" s="685"/>
      <c r="D225" s="685"/>
      <c r="E225" s="685"/>
      <c r="F225" s="685"/>
      <c r="G225" s="685"/>
      <c r="H225" s="685"/>
      <c r="I225" s="685"/>
      <c r="J225" s="685"/>
      <c r="K225" s="685"/>
      <c r="L225" s="685"/>
      <c r="M225" s="685"/>
      <c r="N225" s="685"/>
      <c r="O225" s="685"/>
      <c r="P225" s="685"/>
      <c r="Q225" s="685"/>
      <c r="R225" s="685"/>
      <c r="S225" s="685"/>
      <c r="T225" s="685"/>
      <c r="U225" s="685"/>
      <c r="V225" s="685"/>
      <c r="W225" s="685"/>
      <c r="X225" s="685"/>
      <c r="Y225" s="685"/>
      <c r="Z225" s="685"/>
      <c r="AA225" s="685"/>
      <c r="AB225" s="685"/>
      <c r="AC225" s="685"/>
      <c r="AD225" s="685"/>
      <c r="AE225" s="685"/>
      <c r="AF225" s="685"/>
      <c r="AG225" s="685"/>
      <c r="AH225" s="685"/>
      <c r="AI225" s="685"/>
      <c r="AJ225" s="685"/>
      <c r="AK225" s="685"/>
      <c r="AL225" s="685"/>
      <c r="AM225" s="685"/>
      <c r="AN225" s="685"/>
      <c r="AO225" s="685"/>
      <c r="AP225" s="685"/>
      <c r="AQ225" s="685"/>
      <c r="AR225" s="685"/>
      <c r="AS225" s="685"/>
      <c r="AT225" s="685"/>
      <c r="AU225" s="685"/>
      <c r="AV225" s="685"/>
      <c r="AW225" s="685"/>
      <c r="AX225" s="685"/>
      <c r="AY225" s="685"/>
      <c r="AZ225" s="685"/>
    </row>
    <row r="226" spans="1:52">
      <c r="A226" s="685"/>
      <c r="B226" s="992" t="s">
        <v>3059</v>
      </c>
      <c r="C226" s="848">
        <f t="shared" ref="C226:E227" si="99">C151</f>
        <v>3953.68</v>
      </c>
      <c r="D226" s="848">
        <f t="shared" si="99"/>
        <v>4387.74</v>
      </c>
      <c r="E226" s="848">
        <f t="shared" si="99"/>
        <v>4234.4000000000005</v>
      </c>
      <c r="F226" s="869"/>
      <c r="G226" s="685"/>
      <c r="H226" s="685"/>
      <c r="I226" s="685"/>
      <c r="J226" s="685"/>
      <c r="K226" s="685"/>
      <c r="L226" s="685"/>
      <c r="M226" s="685"/>
      <c r="N226" s="685"/>
      <c r="O226" s="685"/>
      <c r="P226" s="685"/>
      <c r="Q226" s="685"/>
      <c r="R226" s="685"/>
      <c r="S226" s="685"/>
      <c r="T226" s="685"/>
      <c r="U226" s="685"/>
      <c r="V226" s="685"/>
      <c r="W226" s="685"/>
      <c r="X226" s="685"/>
      <c r="Y226" s="685"/>
      <c r="Z226" s="685"/>
      <c r="AA226" s="685"/>
      <c r="AB226" s="685"/>
      <c r="AC226" s="685"/>
      <c r="AD226" s="685"/>
      <c r="AE226" s="685"/>
      <c r="AF226" s="685"/>
      <c r="AG226" s="685"/>
      <c r="AH226" s="685"/>
      <c r="AI226" s="685"/>
      <c r="AJ226" s="685"/>
      <c r="AK226" s="685"/>
      <c r="AL226" s="685"/>
      <c r="AM226" s="685"/>
      <c r="AN226" s="685"/>
      <c r="AO226" s="685"/>
      <c r="AP226" s="685"/>
      <c r="AQ226" s="685"/>
      <c r="AR226" s="685"/>
      <c r="AS226" s="685"/>
      <c r="AT226" s="685"/>
      <c r="AU226" s="685"/>
      <c r="AV226" s="685"/>
      <c r="AW226" s="685"/>
      <c r="AX226" s="685"/>
      <c r="AY226" s="685"/>
      <c r="AZ226" s="685"/>
    </row>
    <row r="227" spans="1:52">
      <c r="A227" s="685"/>
      <c r="B227" s="999" t="s">
        <v>3060</v>
      </c>
      <c r="C227" s="901">
        <f t="shared" si="99"/>
        <v>15814.719999999998</v>
      </c>
      <c r="D227" s="901">
        <f t="shared" si="99"/>
        <v>17550.96</v>
      </c>
      <c r="E227" s="901">
        <f t="shared" si="99"/>
        <v>16937.599999999999</v>
      </c>
      <c r="F227" s="1026"/>
      <c r="G227" s="685"/>
      <c r="H227" s="685"/>
      <c r="I227" s="685"/>
      <c r="J227" s="685"/>
      <c r="K227" s="685"/>
      <c r="L227" s="685"/>
      <c r="M227" s="685"/>
      <c r="N227" s="685"/>
      <c r="O227" s="685"/>
      <c r="P227" s="685"/>
      <c r="Q227" s="685"/>
      <c r="R227" s="685"/>
      <c r="S227" s="685"/>
      <c r="T227" s="685"/>
      <c r="U227" s="685"/>
      <c r="V227" s="685"/>
      <c r="W227" s="685"/>
      <c r="X227" s="685"/>
      <c r="Y227" s="685"/>
      <c r="Z227" s="685"/>
      <c r="AA227" s="685"/>
      <c r="AB227" s="685"/>
      <c r="AC227" s="685"/>
      <c r="AD227" s="685"/>
      <c r="AE227" s="685"/>
      <c r="AF227" s="685"/>
      <c r="AG227" s="685"/>
      <c r="AH227" s="685"/>
      <c r="AI227" s="685"/>
      <c r="AJ227" s="685"/>
      <c r="AK227" s="685"/>
      <c r="AL227" s="685"/>
      <c r="AM227" s="685"/>
      <c r="AN227" s="685"/>
      <c r="AO227" s="685"/>
      <c r="AP227" s="685"/>
      <c r="AQ227" s="685"/>
      <c r="AR227" s="685"/>
      <c r="AS227" s="685"/>
      <c r="AT227" s="685"/>
      <c r="AU227" s="685"/>
      <c r="AV227" s="685"/>
      <c r="AW227" s="685"/>
      <c r="AX227" s="685"/>
      <c r="AY227" s="685"/>
      <c r="AZ227" s="685"/>
    </row>
    <row r="228" spans="1:52">
      <c r="A228" s="685"/>
      <c r="B228" s="992" t="s">
        <v>98</v>
      </c>
      <c r="C228" s="848">
        <f>SUM(C226:C227)</f>
        <v>19768.399999999998</v>
      </c>
      <c r="D228" s="848">
        <f>SUM(D226:D227)</f>
        <v>21938.699999999997</v>
      </c>
      <c r="E228" s="848">
        <f>SUM(E226:E227)</f>
        <v>21172</v>
      </c>
      <c r="F228" s="869"/>
      <c r="G228" s="685"/>
      <c r="H228" s="685"/>
      <c r="I228" s="685"/>
      <c r="J228" s="685"/>
      <c r="K228" s="685"/>
      <c r="L228" s="685"/>
      <c r="M228" s="685"/>
      <c r="N228" s="685"/>
      <c r="O228" s="685"/>
      <c r="P228" s="685"/>
      <c r="Q228" s="685"/>
      <c r="R228" s="685"/>
      <c r="S228" s="685"/>
      <c r="T228" s="685"/>
      <c r="U228" s="685"/>
      <c r="V228" s="685"/>
      <c r="W228" s="685"/>
      <c r="X228" s="685"/>
      <c r="Y228" s="685"/>
      <c r="Z228" s="685"/>
      <c r="AA228" s="685"/>
      <c r="AB228" s="685"/>
      <c r="AC228" s="685"/>
      <c r="AD228" s="685"/>
      <c r="AE228" s="685"/>
      <c r="AF228" s="685"/>
      <c r="AG228" s="685"/>
      <c r="AH228" s="685"/>
      <c r="AI228" s="685"/>
      <c r="AJ228" s="685"/>
      <c r="AK228" s="685"/>
      <c r="AL228" s="685"/>
      <c r="AM228" s="685"/>
      <c r="AN228" s="685"/>
      <c r="AO228" s="685"/>
      <c r="AP228" s="685"/>
      <c r="AQ228" s="685"/>
      <c r="AR228" s="685"/>
      <c r="AS228" s="685"/>
      <c r="AT228" s="685"/>
      <c r="AU228" s="685"/>
      <c r="AV228" s="685"/>
      <c r="AW228" s="685"/>
      <c r="AX228" s="685"/>
      <c r="AY228" s="685"/>
      <c r="AZ228" s="685"/>
    </row>
    <row r="229" spans="1:52">
      <c r="A229" s="685"/>
      <c r="B229" s="685"/>
      <c r="C229" s="685"/>
      <c r="D229" s="685"/>
      <c r="E229" s="685"/>
      <c r="F229" s="685"/>
      <c r="G229" s="685"/>
      <c r="H229" s="685"/>
      <c r="I229" s="685"/>
      <c r="J229" s="685"/>
      <c r="K229" s="685"/>
      <c r="L229" s="685"/>
      <c r="M229" s="685"/>
      <c r="N229" s="685"/>
      <c r="O229" s="685"/>
      <c r="P229" s="685"/>
      <c r="Q229" s="685"/>
      <c r="R229" s="685"/>
      <c r="S229" s="685"/>
      <c r="T229" s="685"/>
      <c r="U229" s="685"/>
      <c r="V229" s="685"/>
      <c r="W229" s="685"/>
      <c r="X229" s="685"/>
      <c r="Y229" s="685"/>
      <c r="Z229" s="685"/>
      <c r="AA229" s="685"/>
      <c r="AB229" s="685"/>
      <c r="AC229" s="685"/>
      <c r="AD229" s="685"/>
      <c r="AE229" s="685"/>
      <c r="AF229" s="685"/>
      <c r="AG229" s="685"/>
      <c r="AH229" s="685"/>
      <c r="AI229" s="685"/>
      <c r="AJ229" s="685"/>
      <c r="AK229" s="685"/>
      <c r="AL229" s="685"/>
      <c r="AM229" s="685"/>
      <c r="AN229" s="685"/>
      <c r="AO229" s="685"/>
      <c r="AP229" s="685"/>
      <c r="AQ229" s="685"/>
      <c r="AR229" s="685"/>
      <c r="AS229" s="685"/>
      <c r="AT229" s="685"/>
      <c r="AU229" s="685"/>
      <c r="AV229" s="685"/>
      <c r="AW229" s="685"/>
      <c r="AX229" s="685"/>
      <c r="AY229" s="685"/>
      <c r="AZ229" s="685"/>
    </row>
    <row r="230" spans="1:52">
      <c r="A230" s="685"/>
      <c r="B230" s="685" t="s">
        <v>2939</v>
      </c>
      <c r="C230" s="848">
        <f t="shared" ref="C230:E231" si="100">C155</f>
        <v>9678.65</v>
      </c>
      <c r="D230" s="848">
        <f t="shared" si="100"/>
        <v>11050.410000000002</v>
      </c>
      <c r="E230" s="848">
        <f t="shared" si="100"/>
        <v>8806.5999999999985</v>
      </c>
      <c r="F230" s="869"/>
      <c r="G230" s="685"/>
      <c r="H230" s="685"/>
      <c r="I230" s="685"/>
      <c r="J230" s="685"/>
      <c r="K230" s="685"/>
      <c r="L230" s="685"/>
      <c r="M230" s="685"/>
      <c r="N230" s="685"/>
      <c r="O230" s="685"/>
      <c r="P230" s="685"/>
      <c r="Q230" s="685"/>
      <c r="R230" s="685"/>
      <c r="S230" s="685"/>
      <c r="T230" s="685"/>
      <c r="U230" s="685"/>
      <c r="V230" s="685"/>
      <c r="W230" s="685"/>
      <c r="X230" s="685"/>
      <c r="Y230" s="685"/>
      <c r="Z230" s="685"/>
      <c r="AA230" s="685"/>
      <c r="AB230" s="685"/>
      <c r="AC230" s="685"/>
      <c r="AD230" s="685"/>
      <c r="AE230" s="685"/>
      <c r="AF230" s="685"/>
      <c r="AG230" s="685"/>
      <c r="AH230" s="685"/>
      <c r="AI230" s="685"/>
      <c r="AJ230" s="685"/>
      <c r="AK230" s="685"/>
      <c r="AL230" s="685"/>
      <c r="AM230" s="685"/>
      <c r="AN230" s="685"/>
      <c r="AO230" s="685"/>
      <c r="AP230" s="685"/>
      <c r="AQ230" s="685"/>
      <c r="AR230" s="685"/>
      <c r="AS230" s="685"/>
      <c r="AT230" s="685"/>
      <c r="AU230" s="685"/>
      <c r="AV230" s="685"/>
      <c r="AW230" s="685"/>
      <c r="AX230" s="685"/>
      <c r="AY230" s="685"/>
      <c r="AZ230" s="685"/>
    </row>
    <row r="231" spans="1:52">
      <c r="A231" s="685"/>
      <c r="B231" s="743" t="s">
        <v>3061</v>
      </c>
      <c r="C231" s="901">
        <f t="shared" si="100"/>
        <v>26229.650000000016</v>
      </c>
      <c r="D231" s="901">
        <f t="shared" si="100"/>
        <v>29720.39</v>
      </c>
      <c r="E231" s="901">
        <f t="shared" si="100"/>
        <v>31516.400000000001</v>
      </c>
      <c r="F231" s="1026"/>
      <c r="G231" s="685"/>
      <c r="H231" s="685"/>
      <c r="I231" s="685"/>
      <c r="J231" s="685"/>
      <c r="K231" s="685"/>
      <c r="L231" s="685"/>
      <c r="M231" s="685"/>
      <c r="N231" s="685"/>
      <c r="O231" s="685"/>
      <c r="P231" s="685"/>
      <c r="Q231" s="685"/>
      <c r="R231" s="685"/>
      <c r="S231" s="685"/>
      <c r="T231" s="685"/>
      <c r="U231" s="685"/>
      <c r="V231" s="685"/>
      <c r="W231" s="685"/>
      <c r="X231" s="685"/>
      <c r="Y231" s="685"/>
      <c r="Z231" s="685"/>
      <c r="AA231" s="685"/>
      <c r="AB231" s="685"/>
      <c r="AC231" s="685"/>
      <c r="AD231" s="685"/>
      <c r="AE231" s="685"/>
      <c r="AF231" s="685"/>
      <c r="AG231" s="685"/>
      <c r="AH231" s="685"/>
      <c r="AI231" s="685"/>
      <c r="AJ231" s="685"/>
      <c r="AK231" s="685"/>
      <c r="AL231" s="685"/>
      <c r="AM231" s="685"/>
      <c r="AN231" s="685"/>
      <c r="AO231" s="685"/>
      <c r="AP231" s="685"/>
      <c r="AQ231" s="685"/>
      <c r="AR231" s="685"/>
      <c r="AS231" s="685"/>
      <c r="AT231" s="685"/>
      <c r="AU231" s="685"/>
      <c r="AV231" s="685"/>
      <c r="AW231" s="685"/>
      <c r="AX231" s="685"/>
      <c r="AY231" s="685"/>
      <c r="AZ231" s="685"/>
    </row>
    <row r="232" spans="1:52">
      <c r="A232" s="685"/>
      <c r="B232" s="685" t="s">
        <v>98</v>
      </c>
      <c r="C232" s="848">
        <f>SUM(C230:C231)</f>
        <v>35908.300000000017</v>
      </c>
      <c r="D232" s="848">
        <f>SUM(D230:D231)</f>
        <v>40770.800000000003</v>
      </c>
      <c r="E232" s="848">
        <f>SUM(E230:E231)</f>
        <v>40323</v>
      </c>
      <c r="F232" s="869"/>
      <c r="G232" s="685"/>
      <c r="H232" s="685"/>
      <c r="I232" s="685"/>
      <c r="J232" s="685"/>
      <c r="K232" s="685"/>
      <c r="L232" s="685"/>
      <c r="M232" s="685"/>
      <c r="N232" s="685"/>
      <c r="O232" s="685"/>
      <c r="P232" s="685"/>
      <c r="Q232" s="685"/>
      <c r="R232" s="685"/>
      <c r="S232" s="685"/>
      <c r="T232" s="685"/>
      <c r="U232" s="685"/>
      <c r="V232" s="685"/>
      <c r="W232" s="685"/>
      <c r="X232" s="685"/>
      <c r="Y232" s="685"/>
      <c r="Z232" s="685"/>
      <c r="AA232" s="685"/>
      <c r="AB232" s="685"/>
      <c r="AC232" s="685"/>
      <c r="AD232" s="685"/>
      <c r="AE232" s="685"/>
      <c r="AF232" s="685"/>
      <c r="AG232" s="685"/>
      <c r="AH232" s="685"/>
      <c r="AI232" s="685"/>
      <c r="AJ232" s="685"/>
      <c r="AK232" s="685"/>
      <c r="AL232" s="685"/>
      <c r="AM232" s="685"/>
      <c r="AN232" s="685"/>
      <c r="AO232" s="685"/>
      <c r="AP232" s="685"/>
      <c r="AQ232" s="685"/>
      <c r="AR232" s="685"/>
      <c r="AS232" s="685"/>
      <c r="AT232" s="685"/>
      <c r="AU232" s="685"/>
      <c r="AV232" s="685"/>
      <c r="AW232" s="685"/>
      <c r="AX232" s="685"/>
      <c r="AY232" s="685"/>
      <c r="AZ232" s="685"/>
    </row>
    <row r="233" spans="1:52">
      <c r="A233" s="685"/>
      <c r="B233" s="685"/>
      <c r="C233" s="685"/>
      <c r="D233" s="685"/>
      <c r="E233" s="685"/>
      <c r="F233" s="685"/>
      <c r="G233" s="685"/>
      <c r="H233" s="685"/>
      <c r="I233" s="685"/>
      <c r="J233" s="685"/>
      <c r="K233" s="685"/>
      <c r="L233" s="685"/>
      <c r="M233" s="685"/>
      <c r="N233" s="685"/>
      <c r="O233" s="685"/>
      <c r="P233" s="685"/>
      <c r="Q233" s="685"/>
      <c r="R233" s="685"/>
      <c r="S233" s="685"/>
      <c r="T233" s="685"/>
      <c r="U233" s="685"/>
      <c r="V233" s="685"/>
      <c r="W233" s="685"/>
      <c r="X233" s="685"/>
      <c r="Y233" s="685"/>
      <c r="Z233" s="685"/>
      <c r="AA233" s="685"/>
      <c r="AB233" s="685"/>
      <c r="AC233" s="685"/>
      <c r="AD233" s="685"/>
      <c r="AE233" s="685"/>
      <c r="AF233" s="685"/>
      <c r="AG233" s="685"/>
      <c r="AH233" s="685"/>
      <c r="AI233" s="685"/>
      <c r="AJ233" s="685"/>
      <c r="AK233" s="685"/>
      <c r="AL233" s="685"/>
      <c r="AM233" s="685"/>
      <c r="AN233" s="685"/>
      <c r="AO233" s="685"/>
      <c r="AP233" s="685"/>
      <c r="AQ233" s="685"/>
      <c r="AR233" s="685"/>
      <c r="AS233" s="685"/>
      <c r="AT233" s="685"/>
      <c r="AU233" s="685"/>
      <c r="AV233" s="685"/>
      <c r="AW233" s="685"/>
      <c r="AX233" s="685"/>
      <c r="AY233" s="685"/>
      <c r="AZ233" s="685"/>
    </row>
    <row r="234" spans="1:52">
      <c r="A234" s="685"/>
      <c r="B234" s="874" t="s">
        <v>57</v>
      </c>
      <c r="C234" s="685"/>
      <c r="D234" s="685"/>
      <c r="E234" s="685"/>
      <c r="F234" s="685"/>
      <c r="G234" s="685"/>
      <c r="H234" s="685"/>
      <c r="I234" s="685"/>
      <c r="J234" s="685"/>
      <c r="K234" s="685"/>
      <c r="L234" s="685"/>
      <c r="M234" s="685"/>
      <c r="N234" s="685"/>
      <c r="O234" s="685"/>
      <c r="P234" s="685"/>
      <c r="Q234" s="685"/>
      <c r="R234" s="685"/>
      <c r="S234" s="685"/>
      <c r="T234" s="685"/>
      <c r="U234" s="685"/>
      <c r="V234" s="685"/>
      <c r="W234" s="685"/>
      <c r="X234" s="685"/>
      <c r="Y234" s="685"/>
      <c r="Z234" s="685"/>
      <c r="AA234" s="685"/>
      <c r="AB234" s="685"/>
      <c r="AC234" s="685"/>
      <c r="AD234" s="685"/>
      <c r="AE234" s="685"/>
      <c r="AF234" s="685"/>
      <c r="AG234" s="685"/>
      <c r="AH234" s="685"/>
      <c r="AI234" s="685"/>
      <c r="AJ234" s="685"/>
      <c r="AK234" s="685"/>
      <c r="AL234" s="685"/>
      <c r="AM234" s="685"/>
      <c r="AN234" s="685"/>
      <c r="AO234" s="685"/>
      <c r="AP234" s="685"/>
      <c r="AQ234" s="685"/>
      <c r="AR234" s="685"/>
      <c r="AS234" s="685"/>
      <c r="AT234" s="685"/>
      <c r="AU234" s="685"/>
      <c r="AV234" s="685"/>
      <c r="AW234" s="685"/>
      <c r="AX234" s="685"/>
      <c r="AY234" s="685"/>
      <c r="AZ234" s="685"/>
    </row>
    <row r="235" spans="1:52">
      <c r="A235" s="685"/>
      <c r="B235" s="992" t="s">
        <v>145</v>
      </c>
      <c r="C235" s="848">
        <f>C216-C228</f>
        <v>14564.2</v>
      </c>
      <c r="D235" s="848">
        <f>D216-D228</f>
        <v>14748</v>
      </c>
      <c r="E235" s="848">
        <f>E216-E228</f>
        <v>12825</v>
      </c>
      <c r="F235" s="869"/>
      <c r="G235" s="685"/>
      <c r="H235" s="685"/>
      <c r="I235" s="685"/>
      <c r="J235" s="685"/>
      <c r="K235" s="685"/>
      <c r="L235" s="685"/>
      <c r="M235" s="685"/>
      <c r="N235" s="685"/>
      <c r="O235" s="685"/>
      <c r="P235" s="685"/>
      <c r="Q235" s="685"/>
      <c r="R235" s="685"/>
      <c r="S235" s="685"/>
      <c r="T235" s="685"/>
      <c r="U235" s="685"/>
      <c r="V235" s="685"/>
      <c r="W235" s="685"/>
      <c r="X235" s="685"/>
      <c r="Y235" s="685"/>
      <c r="Z235" s="685"/>
      <c r="AA235" s="685"/>
      <c r="AB235" s="685"/>
      <c r="AC235" s="685"/>
      <c r="AD235" s="685"/>
      <c r="AE235" s="685"/>
      <c r="AF235" s="685"/>
      <c r="AG235" s="685"/>
      <c r="AH235" s="685"/>
      <c r="AI235" s="685"/>
      <c r="AJ235" s="685"/>
      <c r="AK235" s="685"/>
      <c r="AL235" s="685"/>
      <c r="AM235" s="685"/>
      <c r="AN235" s="685"/>
      <c r="AO235" s="685"/>
      <c r="AP235" s="685"/>
      <c r="AQ235" s="685"/>
      <c r="AR235" s="685"/>
      <c r="AS235" s="685"/>
      <c r="AT235" s="685"/>
      <c r="AU235" s="685"/>
      <c r="AV235" s="685"/>
      <c r="AW235" s="685"/>
      <c r="AX235" s="685"/>
      <c r="AY235" s="685"/>
      <c r="AZ235" s="685"/>
    </row>
    <row r="236" spans="1:52">
      <c r="A236" s="685"/>
      <c r="B236" s="999" t="s">
        <v>44</v>
      </c>
      <c r="C236" s="901">
        <f>C221-C232</f>
        <v>17811.099999999984</v>
      </c>
      <c r="D236" s="901">
        <f>D221-D232</f>
        <v>18829.899999999994</v>
      </c>
      <c r="E236" s="901">
        <f>E221-E232</f>
        <v>17368.119999999995</v>
      </c>
      <c r="F236" s="1026"/>
      <c r="G236" s="685"/>
      <c r="H236" s="685"/>
      <c r="I236" s="685"/>
      <c r="J236" s="685"/>
      <c r="K236" s="685"/>
      <c r="L236" s="685"/>
      <c r="M236" s="685"/>
      <c r="N236" s="685"/>
      <c r="O236" s="685"/>
      <c r="P236" s="685"/>
      <c r="Q236" s="685"/>
      <c r="R236" s="685"/>
      <c r="S236" s="685"/>
      <c r="T236" s="685"/>
      <c r="U236" s="685"/>
      <c r="V236" s="685"/>
      <c r="W236" s="685"/>
      <c r="X236" s="685"/>
      <c r="Y236" s="685"/>
      <c r="Z236" s="685"/>
      <c r="AA236" s="685"/>
      <c r="AB236" s="685"/>
      <c r="AC236" s="685"/>
      <c r="AD236" s="685"/>
      <c r="AE236" s="685"/>
      <c r="AF236" s="685"/>
      <c r="AG236" s="685"/>
      <c r="AH236" s="685"/>
      <c r="AI236" s="685"/>
      <c r="AJ236" s="685"/>
      <c r="AK236" s="685"/>
      <c r="AL236" s="685"/>
      <c r="AM236" s="685"/>
      <c r="AN236" s="685"/>
      <c r="AO236" s="685"/>
      <c r="AP236" s="685"/>
      <c r="AQ236" s="685"/>
      <c r="AR236" s="685"/>
      <c r="AS236" s="685"/>
      <c r="AT236" s="685"/>
      <c r="AU236" s="685"/>
      <c r="AV236" s="685"/>
      <c r="AW236" s="685"/>
      <c r="AX236" s="685"/>
      <c r="AY236" s="685"/>
      <c r="AZ236" s="685"/>
    </row>
    <row r="237" spans="1:52">
      <c r="A237" s="685"/>
      <c r="B237" s="992" t="s">
        <v>98</v>
      </c>
      <c r="C237" s="848">
        <f>SUM(C235:C236)</f>
        <v>32375.299999999985</v>
      </c>
      <c r="D237" s="848">
        <f>SUM(D235:D236)</f>
        <v>33577.899999999994</v>
      </c>
      <c r="E237" s="848">
        <f>SUM(E235:E236)</f>
        <v>30193.119999999995</v>
      </c>
      <c r="F237" s="869"/>
      <c r="G237" s="685"/>
      <c r="H237" s="685"/>
      <c r="I237" s="685"/>
      <c r="J237" s="685"/>
      <c r="K237" s="685"/>
      <c r="L237" s="685"/>
      <c r="M237" s="685"/>
      <c r="N237" s="685"/>
      <c r="O237" s="685"/>
      <c r="P237" s="685"/>
      <c r="Q237" s="685"/>
      <c r="R237" s="685"/>
      <c r="S237" s="685"/>
      <c r="T237" s="685"/>
      <c r="U237" s="685"/>
      <c r="V237" s="685"/>
      <c r="W237" s="685"/>
      <c r="X237" s="685"/>
      <c r="Y237" s="685"/>
      <c r="Z237" s="685"/>
      <c r="AA237" s="685"/>
      <c r="AB237" s="685"/>
      <c r="AC237" s="685"/>
      <c r="AD237" s="685"/>
      <c r="AE237" s="685"/>
      <c r="AF237" s="685"/>
      <c r="AG237" s="685"/>
      <c r="AH237" s="685"/>
      <c r="AI237" s="685"/>
      <c r="AJ237" s="685"/>
      <c r="AK237" s="685"/>
      <c r="AL237" s="685"/>
      <c r="AM237" s="685"/>
      <c r="AN237" s="685"/>
      <c r="AO237" s="685"/>
      <c r="AP237" s="685"/>
      <c r="AQ237" s="685"/>
      <c r="AR237" s="685"/>
      <c r="AS237" s="685"/>
      <c r="AT237" s="685"/>
      <c r="AU237" s="685"/>
      <c r="AV237" s="685"/>
      <c r="AW237" s="685"/>
      <c r="AX237" s="685"/>
      <c r="AY237" s="685"/>
      <c r="AZ237" s="685"/>
    </row>
    <row r="238" spans="1:52">
      <c r="A238" s="685"/>
      <c r="B238" s="992"/>
      <c r="C238" s="848"/>
      <c r="D238" s="848"/>
      <c r="E238" s="848"/>
      <c r="F238" s="869"/>
      <c r="G238" s="685"/>
      <c r="H238" s="685"/>
      <c r="I238" s="685"/>
      <c r="J238" s="685"/>
      <c r="K238" s="685"/>
      <c r="L238" s="685"/>
      <c r="M238" s="685"/>
      <c r="N238" s="685"/>
      <c r="O238" s="685"/>
      <c r="P238" s="685"/>
      <c r="Q238" s="685"/>
      <c r="R238" s="685"/>
      <c r="S238" s="685"/>
      <c r="T238" s="685"/>
      <c r="U238" s="685"/>
      <c r="V238" s="685"/>
      <c r="W238" s="685"/>
      <c r="X238" s="685"/>
      <c r="Y238" s="685"/>
      <c r="Z238" s="685"/>
      <c r="AA238" s="685"/>
      <c r="AB238" s="685"/>
      <c r="AC238" s="685"/>
      <c r="AD238" s="685"/>
      <c r="AE238" s="685"/>
      <c r="AF238" s="685"/>
      <c r="AG238" s="685"/>
      <c r="AH238" s="685"/>
      <c r="AI238" s="685"/>
      <c r="AJ238" s="685"/>
      <c r="AK238" s="685"/>
      <c r="AL238" s="685"/>
      <c r="AM238" s="685"/>
      <c r="AN238" s="685"/>
      <c r="AO238" s="685"/>
      <c r="AP238" s="685"/>
      <c r="AQ238" s="685"/>
      <c r="AR238" s="685"/>
      <c r="AS238" s="685"/>
      <c r="AT238" s="685"/>
      <c r="AU238" s="685"/>
      <c r="AV238" s="685"/>
      <c r="AW238" s="685"/>
      <c r="AX238" s="685"/>
      <c r="AY238" s="685"/>
      <c r="AZ238" s="685"/>
    </row>
    <row r="239" spans="1:52">
      <c r="A239" s="685"/>
      <c r="B239" s="992" t="s">
        <v>4329</v>
      </c>
      <c r="C239" s="848"/>
      <c r="D239" s="848"/>
      <c r="E239" s="848"/>
      <c r="F239" s="869"/>
      <c r="G239" s="685"/>
      <c r="H239" s="685"/>
      <c r="I239" s="685"/>
      <c r="J239" s="685"/>
      <c r="K239" s="685"/>
      <c r="L239" s="685"/>
      <c r="M239" s="685"/>
      <c r="N239" s="685"/>
      <c r="O239" s="685"/>
      <c r="P239" s="685"/>
      <c r="Q239" s="685"/>
      <c r="R239" s="685"/>
      <c r="S239" s="685"/>
      <c r="T239" s="685"/>
      <c r="U239" s="685"/>
      <c r="V239" s="685"/>
      <c r="W239" s="685"/>
      <c r="X239" s="685"/>
      <c r="Y239" s="685"/>
      <c r="Z239" s="685"/>
      <c r="AA239" s="685"/>
      <c r="AB239" s="685"/>
      <c r="AC239" s="685"/>
      <c r="AD239" s="685"/>
      <c r="AE239" s="685"/>
      <c r="AF239" s="685"/>
      <c r="AG239" s="685"/>
      <c r="AH239" s="685"/>
      <c r="AI239" s="685"/>
      <c r="AJ239" s="685"/>
      <c r="AK239" s="685"/>
      <c r="AL239" s="685"/>
      <c r="AM239" s="685"/>
      <c r="AN239" s="685"/>
      <c r="AO239" s="685"/>
      <c r="AP239" s="685"/>
      <c r="AQ239" s="685"/>
      <c r="AR239" s="685"/>
      <c r="AS239" s="685"/>
      <c r="AT239" s="685"/>
      <c r="AU239" s="685"/>
      <c r="AV239" s="685"/>
      <c r="AW239" s="685"/>
      <c r="AX239" s="685"/>
      <c r="AY239" s="685"/>
      <c r="AZ239" s="685"/>
    </row>
    <row r="240" spans="1:52">
      <c r="A240" s="685"/>
      <c r="B240" s="992" t="s">
        <v>4330</v>
      </c>
      <c r="C240" s="848">
        <f>C214+C219</f>
        <v>14965.409999999998</v>
      </c>
      <c r="D240" s="848">
        <f>D214+D219</f>
        <v>17153.5</v>
      </c>
      <c r="E240" s="848">
        <f>E214+E219</f>
        <v>14893.199999999999</v>
      </c>
      <c r="F240" s="869"/>
      <c r="G240" s="685"/>
      <c r="H240" s="685"/>
      <c r="I240" s="685"/>
      <c r="J240" s="685"/>
      <c r="K240" s="685"/>
      <c r="L240" s="685"/>
      <c r="M240" s="685"/>
      <c r="N240" s="685"/>
      <c r="O240" s="685"/>
      <c r="P240" s="685"/>
      <c r="Q240" s="685"/>
      <c r="R240" s="685"/>
      <c r="S240" s="685"/>
      <c r="T240" s="685"/>
      <c r="U240" s="685"/>
      <c r="V240" s="685"/>
      <c r="W240" s="685"/>
      <c r="X240" s="685"/>
      <c r="Y240" s="685"/>
      <c r="Z240" s="685"/>
      <c r="AA240" s="685"/>
      <c r="AB240" s="685"/>
      <c r="AC240" s="685"/>
      <c r="AD240" s="685"/>
      <c r="AE240" s="685"/>
      <c r="AF240" s="685"/>
      <c r="AG240" s="685"/>
      <c r="AH240" s="685"/>
      <c r="AI240" s="685"/>
      <c r="AJ240" s="685"/>
      <c r="AK240" s="685"/>
      <c r="AL240" s="685"/>
      <c r="AM240" s="685"/>
      <c r="AN240" s="685"/>
      <c r="AO240" s="685"/>
      <c r="AP240" s="685"/>
      <c r="AQ240" s="685"/>
      <c r="AR240" s="685"/>
      <c r="AS240" s="685"/>
      <c r="AT240" s="685"/>
      <c r="AU240" s="685"/>
      <c r="AV240" s="685"/>
      <c r="AW240" s="685"/>
      <c r="AX240" s="685"/>
      <c r="AY240" s="685"/>
      <c r="AZ240" s="685"/>
    </row>
    <row r="241" spans="1:52">
      <c r="A241" s="685"/>
      <c r="B241" s="992" t="s">
        <v>4331</v>
      </c>
      <c r="C241" s="848">
        <f>C226+C230</f>
        <v>13632.33</v>
      </c>
      <c r="D241" s="848">
        <f>D226+D230</f>
        <v>15438.150000000001</v>
      </c>
      <c r="E241" s="848">
        <f>E226+E230</f>
        <v>13041</v>
      </c>
      <c r="F241" s="869"/>
      <c r="G241" s="685"/>
      <c r="H241" s="685"/>
      <c r="I241" s="685"/>
      <c r="J241" s="685"/>
      <c r="K241" s="685"/>
      <c r="L241" s="685"/>
      <c r="M241" s="685"/>
      <c r="N241" s="685"/>
      <c r="O241" s="685"/>
      <c r="P241" s="685"/>
      <c r="Q241" s="685"/>
      <c r="R241" s="685"/>
      <c r="S241" s="685"/>
      <c r="T241" s="685"/>
      <c r="U241" s="685"/>
      <c r="V241" s="685"/>
      <c r="W241" s="685"/>
      <c r="X241" s="685"/>
      <c r="Y241" s="685"/>
      <c r="Z241" s="685"/>
      <c r="AA241" s="685"/>
      <c r="AB241" s="685"/>
      <c r="AC241" s="685"/>
      <c r="AD241" s="685"/>
      <c r="AE241" s="685"/>
      <c r="AF241" s="685"/>
      <c r="AG241" s="685"/>
      <c r="AH241" s="685"/>
      <c r="AI241" s="685"/>
      <c r="AJ241" s="685"/>
      <c r="AK241" s="685"/>
      <c r="AL241" s="685"/>
      <c r="AM241" s="685"/>
      <c r="AN241" s="685"/>
      <c r="AO241" s="685"/>
      <c r="AP241" s="685"/>
      <c r="AQ241" s="685"/>
      <c r="AR241" s="685"/>
      <c r="AS241" s="685"/>
      <c r="AT241" s="685"/>
      <c r="AU241" s="685"/>
      <c r="AV241" s="685"/>
      <c r="AW241" s="685"/>
      <c r="AX241" s="685"/>
      <c r="AY241" s="685"/>
      <c r="AZ241" s="685"/>
    </row>
    <row r="242" spans="1:52">
      <c r="A242" s="685"/>
      <c r="B242" s="992" t="s">
        <v>4329</v>
      </c>
      <c r="C242" s="848">
        <f>C240-C241</f>
        <v>1333.0799999999981</v>
      </c>
      <c r="D242" s="848">
        <f>D240-D241</f>
        <v>1715.3499999999985</v>
      </c>
      <c r="E242" s="848">
        <f>E240-E241</f>
        <v>1852.1999999999989</v>
      </c>
      <c r="F242" s="869"/>
      <c r="G242" s="685"/>
      <c r="H242" s="685"/>
      <c r="I242" s="685"/>
      <c r="J242" s="685"/>
      <c r="K242" s="685"/>
      <c r="L242" s="685"/>
      <c r="M242" s="685"/>
      <c r="N242" s="685"/>
      <c r="O242" s="685"/>
      <c r="P242" s="685"/>
      <c r="Q242" s="685"/>
      <c r="R242" s="685"/>
      <c r="S242" s="685"/>
      <c r="T242" s="685"/>
      <c r="U242" s="685"/>
      <c r="V242" s="685"/>
      <c r="W242" s="685"/>
      <c r="X242" s="685"/>
      <c r="Y242" s="685"/>
      <c r="Z242" s="685"/>
      <c r="AA242" s="685"/>
      <c r="AB242" s="685"/>
      <c r="AC242" s="685"/>
      <c r="AD242" s="685"/>
      <c r="AE242" s="685"/>
      <c r="AF242" s="685"/>
      <c r="AG242" s="685"/>
      <c r="AH242" s="685"/>
      <c r="AI242" s="685"/>
      <c r="AJ242" s="685"/>
      <c r="AK242" s="685"/>
      <c r="AL242" s="685"/>
      <c r="AM242" s="685"/>
      <c r="AN242" s="685"/>
      <c r="AO242" s="685"/>
      <c r="AP242" s="685"/>
      <c r="AQ242" s="685"/>
      <c r="AR242" s="685"/>
      <c r="AS242" s="685"/>
      <c r="AT242" s="685"/>
      <c r="AU242" s="685"/>
      <c r="AV242" s="685"/>
      <c r="AW242" s="685"/>
      <c r="AX242" s="685"/>
      <c r="AY242" s="685"/>
      <c r="AZ242" s="685"/>
    </row>
    <row r="243" spans="1:52">
      <c r="A243" s="685"/>
      <c r="B243" s="685"/>
      <c r="C243" s="685"/>
      <c r="D243" s="685"/>
      <c r="E243" s="685"/>
      <c r="F243" s="685"/>
      <c r="G243" s="685"/>
      <c r="H243" s="685"/>
      <c r="I243" s="685"/>
      <c r="J243" s="685"/>
      <c r="K243" s="685"/>
      <c r="L243" s="685"/>
      <c r="M243" s="685"/>
      <c r="N243" s="685"/>
      <c r="O243" s="685"/>
      <c r="P243" s="685"/>
      <c r="Q243" s="685"/>
      <c r="R243" s="685"/>
      <c r="S243" s="685"/>
      <c r="T243" s="685"/>
      <c r="U243" s="685"/>
      <c r="V243" s="685"/>
      <c r="W243" s="685"/>
      <c r="X243" s="685"/>
      <c r="Y243" s="685"/>
      <c r="Z243" s="685"/>
      <c r="AA243" s="685"/>
      <c r="AB243" s="685"/>
      <c r="AC243" s="685"/>
      <c r="AD243" s="685"/>
      <c r="AE243" s="685"/>
      <c r="AF243" s="685"/>
      <c r="AG243" s="685"/>
      <c r="AH243" s="685"/>
      <c r="AI243" s="685"/>
      <c r="AJ243" s="685"/>
      <c r="AK243" s="685"/>
      <c r="AL243" s="685"/>
      <c r="AM243" s="685"/>
      <c r="AN243" s="685"/>
      <c r="AO243" s="685"/>
      <c r="AP243" s="685"/>
      <c r="AQ243" s="685"/>
      <c r="AR243" s="685"/>
      <c r="AS243" s="685"/>
      <c r="AT243" s="685"/>
      <c r="AU243" s="685"/>
      <c r="AV243" s="685"/>
      <c r="AW243" s="685"/>
      <c r="AX243" s="685"/>
      <c r="AY243" s="685"/>
      <c r="AZ243" s="685"/>
    </row>
    <row r="244" spans="1:52">
      <c r="A244" s="685"/>
      <c r="B244" s="874" t="s">
        <v>506</v>
      </c>
      <c r="C244" s="685"/>
      <c r="D244" s="685"/>
      <c r="E244" s="685"/>
      <c r="F244" s="685"/>
      <c r="G244" s="685"/>
      <c r="H244" s="685"/>
      <c r="I244" s="685"/>
      <c r="J244" s="685"/>
      <c r="K244" s="685"/>
      <c r="L244" s="685"/>
      <c r="M244" s="685"/>
      <c r="N244" s="685"/>
      <c r="O244" s="685"/>
      <c r="P244" s="685"/>
      <c r="Q244" s="685"/>
      <c r="R244" s="685"/>
      <c r="S244" s="685"/>
      <c r="T244" s="685"/>
      <c r="U244" s="685"/>
      <c r="V244" s="685"/>
      <c r="W244" s="685"/>
      <c r="X244" s="685"/>
      <c r="Y244" s="685"/>
      <c r="Z244" s="685"/>
      <c r="AA244" s="685"/>
      <c r="AB244" s="685"/>
      <c r="AC244" s="685"/>
      <c r="AD244" s="685"/>
      <c r="AE244" s="685"/>
      <c r="AF244" s="685"/>
      <c r="AG244" s="685"/>
      <c r="AH244" s="685"/>
      <c r="AI244" s="685"/>
      <c r="AJ244" s="685"/>
      <c r="AK244" s="685"/>
      <c r="AL244" s="685"/>
      <c r="AM244" s="685"/>
      <c r="AN244" s="685"/>
      <c r="AO244" s="685"/>
      <c r="AP244" s="685"/>
      <c r="AQ244" s="685"/>
      <c r="AR244" s="685"/>
      <c r="AS244" s="685"/>
      <c r="AT244" s="685"/>
      <c r="AU244" s="685"/>
      <c r="AV244" s="685"/>
      <c r="AW244" s="685"/>
      <c r="AX244" s="685"/>
      <c r="AY244" s="685"/>
      <c r="AZ244" s="685"/>
    </row>
    <row r="245" spans="1:52">
      <c r="A245" s="685"/>
      <c r="B245" s="685" t="str">
        <f>B235</f>
        <v>Content</v>
      </c>
      <c r="C245" s="869">
        <f>C235/C216</f>
        <v>0.42420906077605547</v>
      </c>
      <c r="D245" s="869">
        <f>D235/D216</f>
        <v>0.4019985444316333</v>
      </c>
      <c r="E245" s="869">
        <f>E235/E216</f>
        <v>0.37723916816189662</v>
      </c>
      <c r="F245" s="685"/>
      <c r="G245" s="685"/>
      <c r="H245" s="685"/>
      <c r="I245" s="685"/>
      <c r="J245" s="685"/>
      <c r="K245" s="685"/>
      <c r="L245" s="685"/>
      <c r="M245" s="685"/>
      <c r="N245" s="685"/>
      <c r="O245" s="685"/>
      <c r="P245" s="685"/>
      <c r="Q245" s="685"/>
      <c r="R245" s="685"/>
      <c r="S245" s="685"/>
      <c r="T245" s="685"/>
      <c r="U245" s="685"/>
      <c r="V245" s="685"/>
      <c r="W245" s="685"/>
      <c r="X245" s="685"/>
      <c r="Y245" s="685"/>
      <c r="Z245" s="685"/>
      <c r="AA245" s="685"/>
      <c r="AB245" s="685"/>
      <c r="AC245" s="685"/>
      <c r="AD245" s="685"/>
      <c r="AE245" s="685"/>
      <c r="AF245" s="685"/>
      <c r="AG245" s="685"/>
      <c r="AH245" s="685"/>
      <c r="AI245" s="685"/>
      <c r="AJ245" s="685"/>
      <c r="AK245" s="685"/>
      <c r="AL245" s="685"/>
      <c r="AM245" s="685"/>
      <c r="AN245" s="685"/>
      <c r="AO245" s="685"/>
      <c r="AP245" s="685"/>
      <c r="AQ245" s="685"/>
      <c r="AR245" s="685"/>
      <c r="AS245" s="685"/>
      <c r="AT245" s="685"/>
      <c r="AU245" s="685"/>
      <c r="AV245" s="685"/>
      <c r="AW245" s="685"/>
      <c r="AX245" s="685"/>
      <c r="AY245" s="685"/>
      <c r="AZ245" s="685"/>
    </row>
    <row r="246" spans="1:52">
      <c r="A246" s="685"/>
      <c r="B246" s="743" t="str">
        <f>B236</f>
        <v>Other</v>
      </c>
      <c r="C246" s="1026">
        <f>C236/C221</f>
        <v>0.33155805909969177</v>
      </c>
      <c r="D246" s="1026">
        <f>D236/D221</f>
        <v>0.31593420882640633</v>
      </c>
      <c r="E246" s="1026">
        <f>E236/E221</f>
        <v>0.30105361102367223</v>
      </c>
      <c r="F246" s="685"/>
      <c r="G246" s="685"/>
      <c r="H246" s="685"/>
      <c r="I246" s="685"/>
      <c r="J246" s="685"/>
      <c r="K246" s="685"/>
      <c r="L246" s="685"/>
      <c r="M246" s="685"/>
      <c r="N246" s="685"/>
      <c r="O246" s="685"/>
      <c r="P246" s="685"/>
      <c r="Q246" s="685"/>
      <c r="R246" s="685"/>
      <c r="S246" s="685"/>
      <c r="T246" s="685"/>
      <c r="U246" s="685"/>
      <c r="V246" s="685"/>
      <c r="W246" s="685"/>
      <c r="X246" s="685"/>
      <c r="Y246" s="685"/>
      <c r="Z246" s="685"/>
      <c r="AA246" s="685"/>
      <c r="AB246" s="685"/>
      <c r="AC246" s="685"/>
      <c r="AD246" s="685"/>
      <c r="AE246" s="685"/>
      <c r="AF246" s="685"/>
      <c r="AG246" s="685"/>
      <c r="AH246" s="685"/>
      <c r="AI246" s="685"/>
      <c r="AJ246" s="685"/>
      <c r="AK246" s="685"/>
      <c r="AL246" s="685"/>
      <c r="AM246" s="685"/>
      <c r="AN246" s="685"/>
      <c r="AO246" s="685"/>
      <c r="AP246" s="685"/>
      <c r="AQ246" s="685"/>
      <c r="AR246" s="685"/>
      <c r="AS246" s="685"/>
      <c r="AT246" s="685"/>
      <c r="AU246" s="685"/>
      <c r="AV246" s="685"/>
      <c r="AW246" s="685"/>
      <c r="AX246" s="685"/>
      <c r="AY246" s="685"/>
      <c r="AZ246" s="685"/>
    </row>
    <row r="247" spans="1:52">
      <c r="A247" s="685"/>
      <c r="B247" s="685" t="str">
        <f>B237</f>
        <v>Total</v>
      </c>
      <c r="C247" s="869">
        <f>C237/(C216+C221)</f>
        <v>0.36768386862308616</v>
      </c>
      <c r="D247" s="869">
        <f>D237/(D216+D221)</f>
        <v>0.34872579382141378</v>
      </c>
      <c r="E247" s="869">
        <f>E237/(E216+E221)</f>
        <v>0.32930242216767008</v>
      </c>
      <c r="F247" s="685"/>
      <c r="G247" s="685"/>
      <c r="H247" s="685"/>
      <c r="I247" s="685"/>
      <c r="J247" s="685"/>
      <c r="K247" s="685"/>
      <c r="L247" s="685"/>
      <c r="M247" s="685"/>
      <c r="N247" s="685"/>
      <c r="O247" s="685"/>
      <c r="P247" s="685"/>
      <c r="Q247" s="685"/>
      <c r="R247" s="685"/>
      <c r="S247" s="685"/>
      <c r="T247" s="685"/>
      <c r="U247" s="685"/>
      <c r="V247" s="685"/>
      <c r="W247" s="685"/>
      <c r="X247" s="685"/>
      <c r="Y247" s="685"/>
      <c r="Z247" s="685"/>
      <c r="AA247" s="685"/>
      <c r="AB247" s="685"/>
      <c r="AC247" s="685"/>
      <c r="AD247" s="685"/>
      <c r="AE247" s="685"/>
      <c r="AF247" s="685"/>
      <c r="AG247" s="685"/>
      <c r="AH247" s="685"/>
      <c r="AI247" s="685"/>
      <c r="AJ247" s="685"/>
      <c r="AK247" s="685"/>
      <c r="AL247" s="685"/>
      <c r="AM247" s="685"/>
      <c r="AN247" s="685"/>
      <c r="AO247" s="685"/>
      <c r="AP247" s="685"/>
      <c r="AQ247" s="685"/>
      <c r="AR247" s="685"/>
      <c r="AS247" s="685"/>
      <c r="AT247" s="685"/>
      <c r="AU247" s="685"/>
      <c r="AV247" s="685"/>
      <c r="AW247" s="685"/>
      <c r="AX247" s="685"/>
      <c r="AY247" s="685"/>
      <c r="AZ247" s="685"/>
    </row>
    <row r="248" spans="1:52">
      <c r="A248" s="685"/>
      <c r="B248" s="685"/>
      <c r="C248" s="685"/>
      <c r="D248" s="685"/>
      <c r="E248" s="685"/>
      <c r="F248" s="685"/>
      <c r="G248" s="685"/>
      <c r="H248" s="685"/>
      <c r="I248" s="685"/>
      <c r="J248" s="685"/>
      <c r="K248" s="685"/>
      <c r="L248" s="685"/>
      <c r="M248" s="685"/>
      <c r="N248" s="685"/>
      <c r="O248" s="685"/>
      <c r="P248" s="685"/>
      <c r="Q248" s="685"/>
      <c r="R248" s="685"/>
      <c r="S248" s="685"/>
      <c r="T248" s="685"/>
      <c r="U248" s="685"/>
      <c r="V248" s="685"/>
      <c r="W248" s="685"/>
      <c r="X248" s="685"/>
      <c r="Y248" s="685"/>
      <c r="Z248" s="685"/>
      <c r="AA248" s="685"/>
      <c r="AB248" s="685"/>
      <c r="AC248" s="685"/>
      <c r="AD248" s="685"/>
      <c r="AE248" s="685"/>
      <c r="AF248" s="685"/>
      <c r="AG248" s="685"/>
      <c r="AH248" s="685"/>
      <c r="AI248" s="685"/>
      <c r="AJ248" s="685"/>
      <c r="AK248" s="685"/>
      <c r="AL248" s="685"/>
      <c r="AM248" s="685"/>
      <c r="AN248" s="685"/>
      <c r="AO248" s="685"/>
      <c r="AP248" s="685"/>
      <c r="AQ248" s="685"/>
      <c r="AR248" s="685"/>
      <c r="AS248" s="685"/>
      <c r="AT248" s="685"/>
      <c r="AU248" s="685"/>
      <c r="AV248" s="685"/>
      <c r="AW248" s="685"/>
      <c r="AX248" s="685"/>
      <c r="AY248" s="685"/>
      <c r="AZ248" s="685"/>
    </row>
    <row r="249" spans="1:52">
      <c r="A249" s="685"/>
      <c r="B249" s="685"/>
      <c r="C249" s="685"/>
      <c r="D249" s="685"/>
      <c r="E249" s="685"/>
      <c r="F249" s="685"/>
      <c r="G249" s="685"/>
      <c r="H249" s="685"/>
      <c r="I249" s="685"/>
      <c r="J249" s="685"/>
      <c r="K249" s="685"/>
      <c r="L249" s="685"/>
      <c r="M249" s="685"/>
      <c r="N249" s="685"/>
      <c r="O249" s="685"/>
      <c r="P249" s="685"/>
      <c r="Q249" s="685"/>
      <c r="R249" s="685"/>
      <c r="S249" s="685"/>
      <c r="T249" s="685"/>
      <c r="U249" s="685"/>
      <c r="V249" s="685"/>
      <c r="W249" s="685"/>
      <c r="X249" s="685"/>
      <c r="Y249" s="685"/>
      <c r="Z249" s="685"/>
      <c r="AA249" s="685"/>
      <c r="AB249" s="685"/>
      <c r="AC249" s="685"/>
      <c r="AD249" s="685"/>
      <c r="AE249" s="685"/>
      <c r="AF249" s="685"/>
      <c r="AG249" s="685"/>
      <c r="AH249" s="685"/>
      <c r="AI249" s="685"/>
      <c r="AJ249" s="685"/>
      <c r="AK249" s="685"/>
      <c r="AL249" s="685"/>
      <c r="AM249" s="685"/>
      <c r="AN249" s="685"/>
      <c r="AO249" s="685"/>
      <c r="AP249" s="685"/>
      <c r="AQ249" s="685"/>
      <c r="AR249" s="685"/>
      <c r="AS249" s="685"/>
      <c r="AT249" s="685"/>
      <c r="AU249" s="685"/>
      <c r="AV249" s="685"/>
      <c r="AW249" s="685"/>
      <c r="AX249" s="685"/>
      <c r="AY249" s="685"/>
      <c r="AZ249" s="685"/>
    </row>
    <row r="250" spans="1:52">
      <c r="A250" s="685"/>
      <c r="B250" s="685"/>
      <c r="C250" s="685"/>
      <c r="D250" s="685"/>
      <c r="E250" s="685"/>
      <c r="F250" s="685"/>
      <c r="G250" s="685"/>
      <c r="H250" s="685"/>
      <c r="I250" s="685"/>
      <c r="J250" s="685"/>
      <c r="K250" s="685"/>
      <c r="L250" s="685"/>
      <c r="M250" s="685"/>
      <c r="N250" s="685"/>
      <c r="O250" s="685"/>
      <c r="P250" s="685"/>
      <c r="Q250" s="685"/>
      <c r="R250" s="685"/>
      <c r="S250" s="685"/>
      <c r="T250" s="685"/>
      <c r="U250" s="685"/>
      <c r="V250" s="685"/>
      <c r="W250" s="685"/>
      <c r="X250" s="685"/>
      <c r="Y250" s="685"/>
      <c r="Z250" s="685"/>
      <c r="AA250" s="685"/>
      <c r="AB250" s="685"/>
      <c r="AC250" s="685"/>
      <c r="AD250" s="685"/>
      <c r="AE250" s="685"/>
      <c r="AF250" s="685"/>
      <c r="AG250" s="685"/>
      <c r="AH250" s="685"/>
      <c r="AI250" s="685"/>
      <c r="AJ250" s="685"/>
      <c r="AK250" s="685"/>
      <c r="AL250" s="685"/>
      <c r="AM250" s="685"/>
      <c r="AN250" s="685"/>
      <c r="AO250" s="685"/>
      <c r="AP250" s="685"/>
      <c r="AQ250" s="685"/>
      <c r="AR250" s="685"/>
      <c r="AS250" s="685"/>
      <c r="AT250" s="685"/>
      <c r="AU250" s="685"/>
      <c r="AV250" s="685"/>
      <c r="AW250" s="685"/>
      <c r="AX250" s="685"/>
      <c r="AY250" s="685"/>
      <c r="AZ250" s="685"/>
    </row>
    <row r="251" spans="1:52">
      <c r="A251" s="685"/>
      <c r="B251" s="685"/>
      <c r="C251" s="685"/>
      <c r="D251" s="685"/>
      <c r="E251" s="685"/>
      <c r="F251" s="685"/>
      <c r="G251" s="685"/>
      <c r="H251" s="685"/>
      <c r="I251" s="685"/>
      <c r="J251" s="685"/>
      <c r="K251" s="685"/>
      <c r="L251" s="685"/>
      <c r="M251" s="685"/>
      <c r="N251" s="685"/>
      <c r="O251" s="685"/>
      <c r="P251" s="685"/>
      <c r="Q251" s="685"/>
      <c r="R251" s="685"/>
      <c r="S251" s="685"/>
      <c r="T251" s="685"/>
      <c r="U251" s="685"/>
      <c r="V251" s="685"/>
      <c r="W251" s="685"/>
      <c r="X251" s="685"/>
      <c r="Y251" s="685"/>
      <c r="Z251" s="685"/>
      <c r="AA251" s="685"/>
      <c r="AB251" s="685"/>
      <c r="AC251" s="685"/>
      <c r="AD251" s="685"/>
      <c r="AE251" s="685"/>
      <c r="AF251" s="685"/>
      <c r="AG251" s="685"/>
      <c r="AH251" s="685"/>
      <c r="AI251" s="685"/>
      <c r="AJ251" s="685"/>
      <c r="AK251" s="685"/>
      <c r="AL251" s="685"/>
      <c r="AM251" s="685"/>
      <c r="AN251" s="685"/>
      <c r="AO251" s="685"/>
      <c r="AP251" s="685"/>
      <c r="AQ251" s="685"/>
      <c r="AR251" s="685"/>
      <c r="AS251" s="685"/>
      <c r="AT251" s="685"/>
      <c r="AU251" s="685"/>
      <c r="AV251" s="685"/>
      <c r="AW251" s="685"/>
      <c r="AX251" s="685"/>
      <c r="AY251" s="685"/>
      <c r="AZ251" s="685"/>
    </row>
    <row r="252" spans="1:52">
      <c r="A252" s="685"/>
      <c r="B252" s="685"/>
      <c r="C252" s="685"/>
      <c r="D252" s="685"/>
      <c r="E252" s="685"/>
      <c r="F252" s="685"/>
      <c r="G252" s="685"/>
      <c r="H252" s="685"/>
      <c r="I252" s="685"/>
      <c r="J252" s="685"/>
      <c r="K252" s="685"/>
      <c r="L252" s="685"/>
      <c r="M252" s="685"/>
      <c r="N252" s="685"/>
      <c r="O252" s="685"/>
      <c r="P252" s="685"/>
      <c r="Q252" s="685"/>
      <c r="R252" s="685"/>
      <c r="S252" s="685"/>
      <c r="T252" s="685"/>
      <c r="U252" s="685"/>
      <c r="V252" s="685"/>
      <c r="W252" s="685"/>
      <c r="X252" s="685"/>
      <c r="Y252" s="685"/>
      <c r="Z252" s="685"/>
      <c r="AA252" s="685"/>
      <c r="AB252" s="685"/>
      <c r="AC252" s="685"/>
      <c r="AD252" s="685"/>
      <c r="AE252" s="685"/>
      <c r="AF252" s="685"/>
      <c r="AG252" s="685"/>
      <c r="AH252" s="685"/>
      <c r="AI252" s="685"/>
      <c r="AJ252" s="685"/>
      <c r="AK252" s="685"/>
      <c r="AL252" s="685"/>
      <c r="AM252" s="685"/>
      <c r="AN252" s="685"/>
      <c r="AO252" s="685"/>
      <c r="AP252" s="685"/>
      <c r="AQ252" s="685"/>
      <c r="AR252" s="685"/>
      <c r="AS252" s="685"/>
      <c r="AT252" s="685"/>
      <c r="AU252" s="685"/>
      <c r="AV252" s="685"/>
      <c r="AW252" s="685"/>
      <c r="AX252" s="685"/>
      <c r="AY252" s="685"/>
      <c r="AZ252" s="685"/>
    </row>
    <row r="253" spans="1:52">
      <c r="A253" s="685"/>
      <c r="B253" s="685"/>
      <c r="C253" s="685"/>
      <c r="D253" s="685"/>
      <c r="E253" s="685"/>
      <c r="F253" s="685"/>
      <c r="G253" s="685"/>
      <c r="H253" s="685"/>
      <c r="I253" s="685"/>
      <c r="J253" s="685"/>
      <c r="K253" s="685"/>
      <c r="L253" s="685"/>
      <c r="M253" s="685"/>
      <c r="N253" s="685"/>
      <c r="O253" s="685"/>
      <c r="P253" s="685"/>
      <c r="Q253" s="685"/>
      <c r="R253" s="685"/>
      <c r="S253" s="685"/>
      <c r="T253" s="685"/>
      <c r="U253" s="685"/>
      <c r="V253" s="685"/>
      <c r="W253" s="685"/>
      <c r="X253" s="685"/>
      <c r="Y253" s="685"/>
      <c r="Z253" s="685"/>
      <c r="AA253" s="685"/>
      <c r="AB253" s="685"/>
      <c r="AC253" s="685"/>
      <c r="AD253" s="685"/>
      <c r="AE253" s="685"/>
      <c r="AF253" s="685"/>
      <c r="AG253" s="685"/>
      <c r="AH253" s="685"/>
      <c r="AI253" s="685"/>
      <c r="AJ253" s="685"/>
      <c r="AK253" s="685"/>
      <c r="AL253" s="685"/>
      <c r="AM253" s="685"/>
      <c r="AN253" s="685"/>
      <c r="AO253" s="685"/>
      <c r="AP253" s="685"/>
      <c r="AQ253" s="685"/>
      <c r="AR253" s="685"/>
      <c r="AS253" s="685"/>
      <c r="AT253" s="685"/>
      <c r="AU253" s="685"/>
      <c r="AV253" s="685"/>
      <c r="AW253" s="685"/>
      <c r="AX253" s="685"/>
      <c r="AY253" s="685"/>
      <c r="AZ253" s="685"/>
    </row>
    <row r="254" spans="1:52">
      <c r="A254" s="685"/>
      <c r="B254" s="685"/>
      <c r="C254" s="685"/>
      <c r="D254" s="685"/>
      <c r="E254" s="685"/>
      <c r="F254" s="685"/>
      <c r="G254" s="685"/>
      <c r="H254" s="685"/>
      <c r="I254" s="685"/>
      <c r="J254" s="685"/>
      <c r="K254" s="685"/>
      <c r="L254" s="685"/>
      <c r="M254" s="685"/>
      <c r="N254" s="685"/>
      <c r="O254" s="685"/>
      <c r="P254" s="685"/>
      <c r="Q254" s="685"/>
      <c r="R254" s="685"/>
      <c r="S254" s="685"/>
      <c r="T254" s="685"/>
      <c r="U254" s="685"/>
      <c r="V254" s="685"/>
      <c r="W254" s="685"/>
      <c r="X254" s="685"/>
      <c r="Y254" s="685"/>
      <c r="Z254" s="685"/>
      <c r="AA254" s="685"/>
      <c r="AB254" s="685"/>
      <c r="AC254" s="685"/>
      <c r="AD254" s="685"/>
      <c r="AE254" s="685"/>
      <c r="AF254" s="685"/>
      <c r="AG254" s="685"/>
      <c r="AH254" s="685"/>
      <c r="AI254" s="685"/>
      <c r="AJ254" s="685"/>
      <c r="AK254" s="685"/>
      <c r="AL254" s="685"/>
      <c r="AM254" s="685"/>
      <c r="AN254" s="685"/>
      <c r="AO254" s="685"/>
      <c r="AP254" s="685"/>
      <c r="AQ254" s="685"/>
      <c r="AR254" s="685"/>
      <c r="AS254" s="685"/>
      <c r="AT254" s="685"/>
      <c r="AU254" s="685"/>
      <c r="AV254" s="685"/>
      <c r="AW254" s="685"/>
      <c r="AX254" s="685"/>
      <c r="AY254" s="685"/>
      <c r="AZ254" s="685"/>
    </row>
    <row r="255" spans="1:52">
      <c r="A255" s="685"/>
      <c r="B255" s="685"/>
      <c r="C255" s="685"/>
      <c r="D255" s="685"/>
      <c r="E255" s="685"/>
      <c r="F255" s="685"/>
      <c r="G255" s="685"/>
      <c r="H255" s="685"/>
      <c r="I255" s="685"/>
      <c r="J255" s="685"/>
      <c r="K255" s="685"/>
      <c r="L255" s="685"/>
      <c r="M255" s="685"/>
      <c r="N255" s="685"/>
      <c r="O255" s="685"/>
      <c r="P255" s="685"/>
      <c r="Q255" s="685"/>
      <c r="R255" s="685"/>
      <c r="S255" s="685"/>
      <c r="T255" s="685"/>
      <c r="U255" s="685"/>
      <c r="V255" s="685"/>
      <c r="W255" s="685"/>
      <c r="X255" s="685"/>
      <c r="Y255" s="685"/>
      <c r="Z255" s="685"/>
      <c r="AA255" s="685"/>
      <c r="AB255" s="685"/>
      <c r="AC255" s="685"/>
      <c r="AD255" s="685"/>
      <c r="AE255" s="685"/>
      <c r="AF255" s="685"/>
      <c r="AG255" s="685"/>
      <c r="AH255" s="685"/>
      <c r="AI255" s="685"/>
      <c r="AJ255" s="685"/>
      <c r="AK255" s="685"/>
      <c r="AL255" s="685"/>
      <c r="AM255" s="685"/>
      <c r="AN255" s="685"/>
      <c r="AO255" s="685"/>
      <c r="AP255" s="685"/>
      <c r="AQ255" s="685"/>
      <c r="AR255" s="685"/>
      <c r="AS255" s="685"/>
      <c r="AT255" s="685"/>
      <c r="AU255" s="685"/>
      <c r="AV255" s="685"/>
      <c r="AW255" s="685"/>
      <c r="AX255" s="685"/>
      <c r="AY255" s="685"/>
      <c r="AZ255" s="685"/>
    </row>
    <row r="256" spans="1:52">
      <c r="A256" s="685"/>
      <c r="B256" s="685"/>
      <c r="C256" s="685"/>
      <c r="D256" s="685"/>
      <c r="E256" s="685"/>
      <c r="F256" s="685"/>
      <c r="G256" s="685"/>
      <c r="H256" s="685"/>
      <c r="I256" s="685"/>
      <c r="J256" s="685"/>
      <c r="K256" s="685"/>
      <c r="L256" s="685"/>
      <c r="M256" s="685"/>
      <c r="N256" s="685"/>
      <c r="O256" s="685"/>
      <c r="P256" s="685"/>
      <c r="Q256" s="685"/>
      <c r="R256" s="685"/>
      <c r="S256" s="685"/>
      <c r="T256" s="685"/>
      <c r="U256" s="685"/>
      <c r="V256" s="685"/>
      <c r="W256" s="685"/>
      <c r="X256" s="685"/>
      <c r="Y256" s="685"/>
      <c r="Z256" s="685"/>
      <c r="AA256" s="685"/>
      <c r="AB256" s="685"/>
      <c r="AC256" s="685"/>
      <c r="AD256" s="685"/>
      <c r="AE256" s="685"/>
      <c r="AF256" s="685"/>
      <c r="AG256" s="685"/>
      <c r="AH256" s="685"/>
      <c r="AI256" s="685"/>
      <c r="AJ256" s="685"/>
      <c r="AK256" s="685"/>
      <c r="AL256" s="685"/>
      <c r="AM256" s="685"/>
      <c r="AN256" s="685"/>
      <c r="AO256" s="685"/>
      <c r="AP256" s="685"/>
      <c r="AQ256" s="685"/>
      <c r="AR256" s="685"/>
      <c r="AS256" s="685"/>
      <c r="AT256" s="685"/>
      <c r="AU256" s="685"/>
      <c r="AV256" s="685"/>
      <c r="AW256" s="685"/>
      <c r="AX256" s="685"/>
      <c r="AY256" s="685"/>
      <c r="AZ256" s="685"/>
    </row>
    <row r="257" spans="1:52">
      <c r="A257" s="685"/>
      <c r="B257" s="685"/>
      <c r="C257" s="685"/>
      <c r="D257" s="685"/>
      <c r="E257" s="685"/>
      <c r="F257" s="685"/>
      <c r="G257" s="685"/>
      <c r="H257" s="685"/>
      <c r="I257" s="685"/>
      <c r="J257" s="685"/>
      <c r="K257" s="685"/>
      <c r="L257" s="685"/>
      <c r="M257" s="685"/>
      <c r="N257" s="685"/>
      <c r="O257" s="685"/>
      <c r="P257" s="685"/>
      <c r="Q257" s="685"/>
      <c r="R257" s="685"/>
      <c r="S257" s="685"/>
      <c r="T257" s="685"/>
      <c r="U257" s="685"/>
      <c r="V257" s="685"/>
      <c r="W257" s="685"/>
      <c r="X257" s="685"/>
      <c r="Y257" s="685"/>
      <c r="Z257" s="685"/>
      <c r="AA257" s="685"/>
      <c r="AB257" s="685"/>
      <c r="AC257" s="685"/>
      <c r="AD257" s="685"/>
      <c r="AE257" s="685"/>
      <c r="AF257" s="685"/>
      <c r="AG257" s="685"/>
      <c r="AH257" s="685"/>
      <c r="AI257" s="685"/>
      <c r="AJ257" s="685"/>
      <c r="AK257" s="685"/>
      <c r="AL257" s="685"/>
      <c r="AM257" s="685"/>
      <c r="AN257" s="685"/>
      <c r="AO257" s="685"/>
      <c r="AP257" s="685"/>
      <c r="AQ257" s="685"/>
      <c r="AR257" s="685"/>
      <c r="AS257" s="685"/>
      <c r="AT257" s="685"/>
      <c r="AU257" s="685"/>
      <c r="AV257" s="685"/>
      <c r="AW257" s="685"/>
      <c r="AX257" s="685"/>
      <c r="AY257" s="685"/>
      <c r="AZ257" s="685"/>
    </row>
    <row r="258" spans="1:52">
      <c r="A258" s="685"/>
      <c r="B258" s="685"/>
      <c r="C258" s="685"/>
      <c r="D258" s="685"/>
      <c r="E258" s="685"/>
      <c r="F258" s="685"/>
      <c r="G258" s="685"/>
      <c r="H258" s="685"/>
      <c r="I258" s="685"/>
      <c r="J258" s="685"/>
      <c r="K258" s="685"/>
      <c r="L258" s="685"/>
      <c r="M258" s="685"/>
      <c r="N258" s="685"/>
      <c r="O258" s="685"/>
      <c r="P258" s="685"/>
      <c r="Q258" s="685"/>
      <c r="R258" s="685"/>
      <c r="S258" s="685"/>
      <c r="T258" s="685"/>
      <c r="U258" s="685"/>
      <c r="V258" s="685"/>
      <c r="W258" s="685"/>
      <c r="X258" s="685"/>
      <c r="Y258" s="685"/>
      <c r="Z258" s="685"/>
      <c r="AA258" s="685"/>
      <c r="AB258" s="685"/>
      <c r="AC258" s="685"/>
      <c r="AD258" s="685"/>
      <c r="AE258" s="685"/>
      <c r="AF258" s="685"/>
      <c r="AG258" s="685"/>
      <c r="AH258" s="685"/>
      <c r="AI258" s="685"/>
      <c r="AJ258" s="685"/>
      <c r="AK258" s="685"/>
      <c r="AL258" s="685"/>
      <c r="AM258" s="685"/>
      <c r="AN258" s="685"/>
      <c r="AO258" s="685"/>
      <c r="AP258" s="685"/>
      <c r="AQ258" s="685"/>
      <c r="AR258" s="685"/>
      <c r="AS258" s="685"/>
      <c r="AT258" s="685"/>
      <c r="AU258" s="685"/>
      <c r="AV258" s="685"/>
      <c r="AW258" s="685"/>
      <c r="AX258" s="685"/>
      <c r="AY258" s="685"/>
      <c r="AZ258" s="685"/>
    </row>
    <row r="259" spans="1:52">
      <c r="A259" s="685"/>
      <c r="B259" s="685"/>
      <c r="C259" s="685"/>
      <c r="D259" s="685"/>
      <c r="E259" s="685"/>
      <c r="F259" s="685"/>
      <c r="G259" s="685"/>
      <c r="H259" s="685"/>
      <c r="I259" s="685"/>
      <c r="J259" s="685"/>
      <c r="K259" s="685"/>
      <c r="L259" s="685"/>
      <c r="M259" s="685"/>
      <c r="N259" s="685"/>
      <c r="O259" s="685"/>
      <c r="P259" s="685"/>
      <c r="Q259" s="685"/>
      <c r="R259" s="685"/>
      <c r="S259" s="685"/>
      <c r="T259" s="685"/>
      <c r="U259" s="685"/>
      <c r="V259" s="685"/>
      <c r="W259" s="685"/>
      <c r="X259" s="685"/>
      <c r="Y259" s="685"/>
      <c r="Z259" s="685"/>
      <c r="AA259" s="685"/>
      <c r="AB259" s="685"/>
      <c r="AC259" s="685"/>
      <c r="AD259" s="685"/>
      <c r="AE259" s="685"/>
      <c r="AF259" s="685"/>
      <c r="AG259" s="685"/>
      <c r="AH259" s="685"/>
      <c r="AI259" s="685"/>
      <c r="AJ259" s="685"/>
      <c r="AK259" s="685"/>
      <c r="AL259" s="685"/>
      <c r="AM259" s="685"/>
      <c r="AN259" s="685"/>
      <c r="AO259" s="685"/>
      <c r="AP259" s="685"/>
      <c r="AQ259" s="685"/>
      <c r="AR259" s="685"/>
      <c r="AS259" s="685"/>
      <c r="AT259" s="685"/>
      <c r="AU259" s="685"/>
      <c r="AV259" s="685"/>
      <c r="AW259" s="685"/>
      <c r="AX259" s="685"/>
      <c r="AY259" s="685"/>
      <c r="AZ259" s="685"/>
    </row>
    <row r="260" spans="1:52">
      <c r="A260" s="685"/>
      <c r="B260" s="685"/>
      <c r="C260" s="685"/>
      <c r="D260" s="685"/>
      <c r="E260" s="685"/>
      <c r="F260" s="685"/>
      <c r="G260" s="685"/>
      <c r="H260" s="685"/>
      <c r="I260" s="685"/>
      <c r="J260" s="685"/>
      <c r="K260" s="685"/>
      <c r="L260" s="685"/>
      <c r="M260" s="685"/>
      <c r="N260" s="685"/>
      <c r="O260" s="685"/>
      <c r="P260" s="685"/>
      <c r="Q260" s="685"/>
      <c r="R260" s="685"/>
      <c r="S260" s="685"/>
      <c r="T260" s="685"/>
      <c r="U260" s="685"/>
      <c r="V260" s="685"/>
      <c r="W260" s="685"/>
      <c r="X260" s="685"/>
      <c r="Y260" s="685"/>
      <c r="Z260" s="685"/>
      <c r="AA260" s="685"/>
      <c r="AB260" s="685"/>
      <c r="AC260" s="685"/>
      <c r="AD260" s="685"/>
      <c r="AE260" s="685"/>
      <c r="AF260" s="685"/>
      <c r="AG260" s="685"/>
      <c r="AH260" s="685"/>
      <c r="AI260" s="685"/>
      <c r="AJ260" s="685"/>
      <c r="AK260" s="685"/>
      <c r="AL260" s="685"/>
      <c r="AM260" s="685"/>
      <c r="AN260" s="685"/>
      <c r="AO260" s="685"/>
      <c r="AP260" s="685"/>
      <c r="AQ260" s="685"/>
      <c r="AR260" s="685"/>
      <c r="AS260" s="685"/>
      <c r="AT260" s="685"/>
      <c r="AU260" s="685"/>
      <c r="AV260" s="685"/>
      <c r="AW260" s="685"/>
      <c r="AX260" s="685"/>
      <c r="AY260" s="685"/>
      <c r="AZ260" s="685"/>
    </row>
    <row r="261" spans="1:52">
      <c r="A261" s="685"/>
      <c r="B261" s="685"/>
      <c r="C261" s="685"/>
      <c r="D261" s="685"/>
      <c r="E261" s="685"/>
      <c r="F261" s="685"/>
      <c r="G261" s="685"/>
      <c r="H261" s="685"/>
      <c r="I261" s="685"/>
      <c r="J261" s="685"/>
      <c r="K261" s="685"/>
      <c r="L261" s="685"/>
      <c r="M261" s="685"/>
      <c r="N261" s="685"/>
      <c r="O261" s="685"/>
      <c r="P261" s="685"/>
      <c r="Q261" s="685"/>
      <c r="R261" s="685"/>
      <c r="S261" s="685"/>
      <c r="T261" s="685"/>
      <c r="U261" s="685"/>
      <c r="V261" s="685"/>
      <c r="W261" s="685"/>
      <c r="X261" s="685"/>
      <c r="Y261" s="685"/>
      <c r="Z261" s="685"/>
      <c r="AA261" s="685"/>
      <c r="AB261" s="685"/>
      <c r="AC261" s="685"/>
      <c r="AD261" s="685"/>
      <c r="AE261" s="685"/>
      <c r="AF261" s="685"/>
      <c r="AG261" s="685"/>
      <c r="AH261" s="685"/>
      <c r="AI261" s="685"/>
      <c r="AJ261" s="685"/>
      <c r="AK261" s="685"/>
      <c r="AL261" s="685"/>
      <c r="AM261" s="685"/>
      <c r="AN261" s="685"/>
      <c r="AO261" s="685"/>
      <c r="AP261" s="685"/>
      <c r="AQ261" s="685"/>
      <c r="AR261" s="685"/>
      <c r="AS261" s="685"/>
      <c r="AT261" s="685"/>
      <c r="AU261" s="685"/>
      <c r="AV261" s="685"/>
      <c r="AW261" s="685"/>
      <c r="AX261" s="685"/>
      <c r="AY261" s="685"/>
      <c r="AZ261" s="685"/>
    </row>
    <row r="262" spans="1:52">
      <c r="A262" s="685"/>
      <c r="B262" s="685"/>
      <c r="C262" s="685"/>
      <c r="D262" s="685"/>
      <c r="E262" s="685"/>
      <c r="F262" s="685"/>
      <c r="G262" s="685"/>
      <c r="H262" s="685"/>
      <c r="I262" s="685"/>
      <c r="J262" s="685"/>
      <c r="K262" s="685"/>
      <c r="L262" s="685"/>
      <c r="M262" s="685"/>
      <c r="N262" s="685"/>
      <c r="O262" s="685"/>
      <c r="P262" s="685"/>
      <c r="Q262" s="685"/>
      <c r="R262" s="685"/>
      <c r="S262" s="685"/>
      <c r="T262" s="685"/>
      <c r="U262" s="685"/>
      <c r="V262" s="685"/>
      <c r="W262" s="685"/>
      <c r="X262" s="685"/>
      <c r="Y262" s="685"/>
      <c r="Z262" s="685"/>
      <c r="AA262" s="685"/>
      <c r="AB262" s="685"/>
      <c r="AC262" s="685"/>
      <c r="AD262" s="685"/>
      <c r="AE262" s="685"/>
      <c r="AF262" s="685"/>
      <c r="AG262" s="685"/>
      <c r="AH262" s="685"/>
      <c r="AI262" s="685"/>
      <c r="AJ262" s="685"/>
      <c r="AK262" s="685"/>
      <c r="AL262" s="685"/>
      <c r="AM262" s="685"/>
      <c r="AN262" s="685"/>
      <c r="AO262" s="685"/>
      <c r="AP262" s="685"/>
      <c r="AQ262" s="685"/>
      <c r="AR262" s="685"/>
      <c r="AS262" s="685"/>
      <c r="AT262" s="685"/>
      <c r="AU262" s="685"/>
      <c r="AV262" s="685"/>
      <c r="AW262" s="685"/>
      <c r="AX262" s="685"/>
      <c r="AY262" s="685"/>
      <c r="AZ262" s="685"/>
    </row>
    <row r="263" spans="1:52">
      <c r="A263" s="685"/>
      <c r="B263" s="685"/>
      <c r="C263" s="685"/>
      <c r="D263" s="685"/>
      <c r="E263" s="685"/>
      <c r="F263" s="685"/>
      <c r="G263" s="685"/>
      <c r="H263" s="685"/>
      <c r="I263" s="685"/>
      <c r="J263" s="685"/>
      <c r="K263" s="685"/>
      <c r="L263" s="685"/>
      <c r="M263" s="685"/>
      <c r="N263" s="685"/>
      <c r="O263" s="685"/>
      <c r="P263" s="685"/>
      <c r="Q263" s="685"/>
      <c r="R263" s="685"/>
      <c r="S263" s="685"/>
      <c r="T263" s="685"/>
      <c r="U263" s="685"/>
      <c r="V263" s="685"/>
      <c r="W263" s="685"/>
      <c r="X263" s="685"/>
      <c r="Y263" s="685"/>
      <c r="Z263" s="685"/>
      <c r="AA263" s="685"/>
      <c r="AB263" s="685"/>
      <c r="AC263" s="685"/>
      <c r="AD263" s="685"/>
      <c r="AE263" s="685"/>
      <c r="AF263" s="685"/>
      <c r="AG263" s="685"/>
      <c r="AH263" s="685"/>
      <c r="AI263" s="685"/>
      <c r="AJ263" s="685"/>
      <c r="AK263" s="685"/>
      <c r="AL263" s="685"/>
      <c r="AM263" s="685"/>
      <c r="AN263" s="685"/>
      <c r="AO263" s="685"/>
      <c r="AP263" s="685"/>
      <c r="AQ263" s="685"/>
      <c r="AR263" s="685"/>
      <c r="AS263" s="685"/>
      <c r="AT263" s="685"/>
      <c r="AU263" s="685"/>
      <c r="AV263" s="685"/>
      <c r="AW263" s="685"/>
      <c r="AX263" s="685"/>
      <c r="AY263" s="685"/>
      <c r="AZ263" s="685"/>
    </row>
    <row r="264" spans="1:52">
      <c r="A264" s="685"/>
      <c r="B264" s="685"/>
      <c r="C264" s="685"/>
      <c r="D264" s="685"/>
      <c r="E264" s="685"/>
      <c r="F264" s="685"/>
      <c r="G264" s="685"/>
      <c r="H264" s="685"/>
      <c r="I264" s="685"/>
      <c r="J264" s="685"/>
      <c r="K264" s="685"/>
      <c r="L264" s="685"/>
      <c r="M264" s="685"/>
      <c r="N264" s="685"/>
      <c r="O264" s="685"/>
      <c r="P264" s="685"/>
      <c r="Q264" s="685"/>
      <c r="R264" s="685"/>
      <c r="S264" s="685"/>
      <c r="T264" s="685"/>
      <c r="U264" s="685"/>
      <c r="V264" s="685"/>
      <c r="W264" s="685"/>
      <c r="X264" s="685"/>
      <c r="Y264" s="685"/>
      <c r="Z264" s="685"/>
      <c r="AA264" s="685"/>
      <c r="AB264" s="685"/>
      <c r="AC264" s="685"/>
      <c r="AD264" s="685"/>
      <c r="AE264" s="685"/>
      <c r="AF264" s="685"/>
      <c r="AG264" s="685"/>
      <c r="AH264" s="685"/>
      <c r="AI264" s="685"/>
      <c r="AJ264" s="685"/>
      <c r="AK264" s="685"/>
      <c r="AL264" s="685"/>
      <c r="AM264" s="685"/>
      <c r="AN264" s="685"/>
      <c r="AO264" s="685"/>
      <c r="AP264" s="685"/>
      <c r="AQ264" s="685"/>
      <c r="AR264" s="685"/>
      <c r="AS264" s="685"/>
      <c r="AT264" s="685"/>
      <c r="AU264" s="685"/>
      <c r="AV264" s="685"/>
      <c r="AW264" s="685"/>
      <c r="AX264" s="685"/>
      <c r="AY264" s="685"/>
      <c r="AZ264" s="685"/>
    </row>
    <row r="265" spans="1:52">
      <c r="A265" s="685"/>
      <c r="B265" s="685"/>
      <c r="C265" s="685"/>
      <c r="D265" s="685"/>
      <c r="E265" s="685"/>
      <c r="F265" s="685"/>
      <c r="G265" s="685"/>
      <c r="H265" s="685"/>
      <c r="I265" s="685"/>
      <c r="J265" s="685"/>
      <c r="K265" s="685"/>
      <c r="L265" s="685"/>
      <c r="M265" s="685"/>
      <c r="N265" s="685"/>
      <c r="O265" s="685"/>
      <c r="P265" s="685"/>
      <c r="Q265" s="685"/>
      <c r="R265" s="685"/>
      <c r="S265" s="685"/>
      <c r="T265" s="685"/>
      <c r="U265" s="685"/>
      <c r="V265" s="685"/>
      <c r="W265" s="685"/>
      <c r="X265" s="685"/>
      <c r="Y265" s="685"/>
      <c r="Z265" s="685"/>
      <c r="AA265" s="685"/>
      <c r="AB265" s="685"/>
      <c r="AC265" s="685"/>
      <c r="AD265" s="685"/>
      <c r="AE265" s="685"/>
      <c r="AF265" s="685"/>
      <c r="AG265" s="685"/>
      <c r="AH265" s="685"/>
      <c r="AI265" s="685"/>
      <c r="AJ265" s="685"/>
      <c r="AK265" s="685"/>
      <c r="AL265" s="685"/>
      <c r="AM265" s="685"/>
      <c r="AN265" s="685"/>
      <c r="AO265" s="685"/>
      <c r="AP265" s="685"/>
      <c r="AQ265" s="685"/>
      <c r="AR265" s="685"/>
      <c r="AS265" s="685"/>
      <c r="AT265" s="685"/>
      <c r="AU265" s="685"/>
      <c r="AV265" s="685"/>
      <c r="AW265" s="685"/>
      <c r="AX265" s="685"/>
      <c r="AY265" s="685"/>
      <c r="AZ265" s="685"/>
    </row>
    <row r="266" spans="1:52">
      <c r="A266" s="685"/>
      <c r="B266" s="685"/>
      <c r="C266" s="685"/>
      <c r="D266" s="685"/>
      <c r="E266" s="685"/>
      <c r="F266" s="685"/>
      <c r="G266" s="685"/>
      <c r="H266" s="685"/>
      <c r="I266" s="685"/>
      <c r="J266" s="685"/>
      <c r="K266" s="685"/>
      <c r="L266" s="685"/>
      <c r="M266" s="685"/>
      <c r="N266" s="685"/>
      <c r="O266" s="685"/>
      <c r="P266" s="685"/>
      <c r="Q266" s="685"/>
      <c r="R266" s="685"/>
      <c r="S266" s="685"/>
      <c r="T266" s="685"/>
      <c r="U266" s="685"/>
      <c r="V266" s="685"/>
      <c r="W266" s="685"/>
      <c r="X266" s="685"/>
      <c r="Y266" s="685"/>
      <c r="Z266" s="685"/>
      <c r="AA266" s="685"/>
      <c r="AB266" s="685"/>
      <c r="AC266" s="685"/>
      <c r="AD266" s="685"/>
      <c r="AE266" s="685"/>
      <c r="AF266" s="685"/>
      <c r="AG266" s="685"/>
      <c r="AH266" s="685"/>
      <c r="AI266" s="685"/>
      <c r="AJ266" s="685"/>
      <c r="AK266" s="685"/>
      <c r="AL266" s="685"/>
      <c r="AM266" s="685"/>
      <c r="AN266" s="685"/>
      <c r="AO266" s="685"/>
      <c r="AP266" s="685"/>
      <c r="AQ266" s="685"/>
      <c r="AR266" s="685"/>
      <c r="AS266" s="685"/>
      <c r="AT266" s="685"/>
      <c r="AU266" s="685"/>
      <c r="AV266" s="685"/>
      <c r="AW266" s="685"/>
      <c r="AX266" s="685"/>
      <c r="AY266" s="685"/>
      <c r="AZ266" s="685"/>
    </row>
    <row r="267" spans="1:52">
      <c r="A267" s="685"/>
      <c r="B267" s="685"/>
      <c r="C267" s="685"/>
      <c r="D267" s="685"/>
      <c r="E267" s="685"/>
      <c r="F267" s="685"/>
      <c r="G267" s="685"/>
      <c r="H267" s="685"/>
      <c r="I267" s="685"/>
      <c r="J267" s="685"/>
      <c r="K267" s="685"/>
      <c r="L267" s="685"/>
      <c r="M267" s="685"/>
      <c r="N267" s="685"/>
      <c r="O267" s="685"/>
      <c r="P267" s="685"/>
      <c r="Q267" s="685"/>
      <c r="R267" s="685"/>
      <c r="S267" s="685"/>
      <c r="T267" s="685"/>
      <c r="U267" s="685"/>
      <c r="V267" s="685"/>
      <c r="W267" s="685"/>
      <c r="X267" s="685"/>
      <c r="Y267" s="685"/>
      <c r="Z267" s="685"/>
      <c r="AA267" s="685"/>
      <c r="AB267" s="685"/>
      <c r="AC267" s="685"/>
      <c r="AD267" s="685"/>
      <c r="AE267" s="685"/>
      <c r="AF267" s="685"/>
      <c r="AG267" s="685"/>
      <c r="AH267" s="685"/>
      <c r="AI267" s="685"/>
      <c r="AJ267" s="685"/>
      <c r="AK267" s="685"/>
      <c r="AL267" s="685"/>
      <c r="AM267" s="685"/>
      <c r="AN267" s="685"/>
      <c r="AO267" s="685"/>
      <c r="AP267" s="685"/>
      <c r="AQ267" s="685"/>
      <c r="AR267" s="685"/>
      <c r="AS267" s="685"/>
      <c r="AT267" s="685"/>
      <c r="AU267" s="685"/>
      <c r="AV267" s="685"/>
      <c r="AW267" s="685"/>
      <c r="AX267" s="685"/>
      <c r="AY267" s="685"/>
      <c r="AZ267" s="685"/>
    </row>
    <row r="268" spans="1:52">
      <c r="A268" s="685"/>
      <c r="B268" s="685"/>
      <c r="C268" s="685"/>
      <c r="D268" s="685"/>
      <c r="E268" s="685"/>
      <c r="F268" s="685"/>
      <c r="G268" s="685"/>
      <c r="H268" s="685"/>
      <c r="I268" s="685"/>
      <c r="J268" s="685"/>
      <c r="K268" s="685"/>
      <c r="L268" s="685"/>
      <c r="M268" s="685"/>
      <c r="N268" s="685"/>
      <c r="O268" s="685"/>
      <c r="P268" s="685"/>
      <c r="Q268" s="685"/>
      <c r="R268" s="685"/>
      <c r="S268" s="685"/>
      <c r="T268" s="685"/>
      <c r="U268" s="685"/>
      <c r="V268" s="685"/>
      <c r="W268" s="685"/>
      <c r="X268" s="685"/>
      <c r="Y268" s="685"/>
      <c r="Z268" s="685"/>
      <c r="AA268" s="685"/>
      <c r="AB268" s="685"/>
      <c r="AC268" s="685"/>
      <c r="AD268" s="685"/>
      <c r="AE268" s="685"/>
      <c r="AF268" s="685"/>
      <c r="AG268" s="685"/>
      <c r="AH268" s="685"/>
      <c r="AI268" s="685"/>
      <c r="AJ268" s="685"/>
      <c r="AK268" s="685"/>
      <c r="AL268" s="685"/>
      <c r="AM268" s="685"/>
      <c r="AN268" s="685"/>
      <c r="AO268" s="685"/>
      <c r="AP268" s="685"/>
      <c r="AQ268" s="685"/>
      <c r="AR268" s="685"/>
      <c r="AS268" s="685"/>
      <c r="AT268" s="685"/>
      <c r="AU268" s="685"/>
      <c r="AV268" s="685"/>
      <c r="AW268" s="685"/>
      <c r="AX268" s="685"/>
      <c r="AY268" s="685"/>
      <c r="AZ268" s="685"/>
    </row>
    <row r="269" spans="1:52">
      <c r="A269" s="685"/>
      <c r="B269" s="685"/>
      <c r="C269" s="685"/>
      <c r="D269" s="685"/>
      <c r="E269" s="685"/>
      <c r="F269" s="685"/>
      <c r="G269" s="685"/>
      <c r="H269" s="685"/>
      <c r="I269" s="685"/>
      <c r="J269" s="685"/>
      <c r="K269" s="685"/>
      <c r="L269" s="685"/>
      <c r="M269" s="685"/>
      <c r="N269" s="685"/>
      <c r="O269" s="685"/>
      <c r="P269" s="685"/>
      <c r="Q269" s="685"/>
      <c r="R269" s="685"/>
      <c r="S269" s="685"/>
      <c r="T269" s="685"/>
      <c r="U269" s="685"/>
      <c r="V269" s="685"/>
      <c r="W269" s="685"/>
      <c r="X269" s="685"/>
      <c r="Y269" s="685"/>
      <c r="Z269" s="685"/>
      <c r="AA269" s="685"/>
      <c r="AB269" s="685"/>
      <c r="AC269" s="685"/>
      <c r="AD269" s="685"/>
      <c r="AE269" s="685"/>
      <c r="AF269" s="685"/>
      <c r="AG269" s="685"/>
      <c r="AH269" s="685"/>
      <c r="AI269" s="685"/>
      <c r="AJ269" s="685"/>
      <c r="AK269" s="685"/>
      <c r="AL269" s="685"/>
      <c r="AM269" s="685"/>
      <c r="AN269" s="685"/>
      <c r="AO269" s="685"/>
      <c r="AP269" s="685"/>
      <c r="AQ269" s="685"/>
      <c r="AR269" s="685"/>
      <c r="AS269" s="685"/>
      <c r="AT269" s="685"/>
      <c r="AU269" s="685"/>
      <c r="AV269" s="685"/>
      <c r="AW269" s="685"/>
      <c r="AX269" s="685"/>
      <c r="AY269" s="685"/>
      <c r="AZ269" s="685"/>
    </row>
    <row r="270" spans="1:52">
      <c r="A270" s="685"/>
      <c r="B270" s="685"/>
      <c r="C270" s="685"/>
      <c r="D270" s="685"/>
      <c r="E270" s="685"/>
      <c r="F270" s="685"/>
      <c r="G270" s="685"/>
      <c r="H270" s="685"/>
      <c r="I270" s="685"/>
      <c r="J270" s="685"/>
      <c r="K270" s="685"/>
      <c r="L270" s="685"/>
      <c r="M270" s="685"/>
      <c r="N270" s="685"/>
      <c r="O270" s="685"/>
      <c r="P270" s="685"/>
      <c r="Q270" s="685"/>
      <c r="R270" s="685"/>
      <c r="S270" s="685"/>
      <c r="T270" s="685"/>
      <c r="U270" s="685"/>
      <c r="V270" s="685"/>
      <c r="W270" s="685"/>
      <c r="X270" s="685"/>
      <c r="Y270" s="685"/>
      <c r="Z270" s="685"/>
      <c r="AA270" s="685"/>
      <c r="AB270" s="685"/>
      <c r="AC270" s="685"/>
      <c r="AD270" s="685"/>
      <c r="AE270" s="685"/>
      <c r="AF270" s="685"/>
      <c r="AG270" s="685"/>
      <c r="AH270" s="685"/>
      <c r="AI270" s="685"/>
      <c r="AJ270" s="685"/>
      <c r="AK270" s="685"/>
      <c r="AL270" s="685"/>
      <c r="AM270" s="685"/>
      <c r="AN270" s="685"/>
      <c r="AO270" s="685"/>
      <c r="AP270" s="685"/>
      <c r="AQ270" s="685"/>
      <c r="AR270" s="685"/>
      <c r="AS270" s="685"/>
      <c r="AT270" s="685"/>
      <c r="AU270" s="685"/>
      <c r="AV270" s="685"/>
      <c r="AW270" s="685"/>
      <c r="AX270" s="685"/>
      <c r="AY270" s="685"/>
      <c r="AZ270" s="685"/>
    </row>
    <row r="271" spans="1:52">
      <c r="A271" s="685"/>
      <c r="B271" s="685"/>
      <c r="C271" s="685"/>
      <c r="D271" s="685"/>
      <c r="E271" s="685"/>
      <c r="F271" s="685"/>
      <c r="G271" s="685"/>
      <c r="H271" s="685"/>
      <c r="I271" s="685"/>
      <c r="J271" s="685"/>
      <c r="K271" s="685"/>
      <c r="L271" s="685"/>
      <c r="M271" s="685"/>
      <c r="N271" s="685"/>
      <c r="O271" s="685"/>
      <c r="P271" s="685"/>
      <c r="Q271" s="685"/>
      <c r="R271" s="685"/>
      <c r="S271" s="685"/>
      <c r="T271" s="685"/>
      <c r="U271" s="685"/>
      <c r="V271" s="685"/>
      <c r="W271" s="685"/>
      <c r="X271" s="685"/>
      <c r="Y271" s="685"/>
      <c r="Z271" s="685"/>
      <c r="AA271" s="685"/>
      <c r="AB271" s="685"/>
      <c r="AC271" s="685"/>
      <c r="AD271" s="685"/>
      <c r="AE271" s="685"/>
      <c r="AF271" s="685"/>
      <c r="AG271" s="685"/>
      <c r="AH271" s="685"/>
      <c r="AI271" s="685"/>
      <c r="AJ271" s="685"/>
      <c r="AK271" s="685"/>
      <c r="AL271" s="685"/>
      <c r="AM271" s="685"/>
      <c r="AN271" s="685"/>
      <c r="AO271" s="685"/>
      <c r="AP271" s="685"/>
      <c r="AQ271" s="685"/>
      <c r="AR271" s="685"/>
      <c r="AS271" s="685"/>
      <c r="AT271" s="685"/>
      <c r="AU271" s="685"/>
      <c r="AV271" s="685"/>
      <c r="AW271" s="685"/>
      <c r="AX271" s="685"/>
      <c r="AY271" s="685"/>
      <c r="AZ271" s="685"/>
    </row>
    <row r="272" spans="1:52">
      <c r="A272" s="685"/>
      <c r="B272" s="685"/>
      <c r="C272" s="685"/>
      <c r="D272" s="685"/>
      <c r="E272" s="685"/>
      <c r="F272" s="685"/>
      <c r="G272" s="685"/>
      <c r="H272" s="685"/>
      <c r="I272" s="685"/>
      <c r="J272" s="685"/>
      <c r="K272" s="685"/>
      <c r="L272" s="685"/>
      <c r="M272" s="685"/>
      <c r="N272" s="685"/>
      <c r="O272" s="685"/>
      <c r="P272" s="685"/>
      <c r="Q272" s="685"/>
      <c r="R272" s="685"/>
      <c r="S272" s="685"/>
      <c r="T272" s="685"/>
      <c r="U272" s="685"/>
      <c r="V272" s="685"/>
      <c r="W272" s="685"/>
      <c r="X272" s="685"/>
      <c r="Y272" s="685"/>
      <c r="Z272" s="685"/>
      <c r="AA272" s="685"/>
      <c r="AB272" s="685"/>
      <c r="AC272" s="685"/>
      <c r="AD272" s="685"/>
      <c r="AE272" s="685"/>
      <c r="AF272" s="685"/>
      <c r="AG272" s="685"/>
      <c r="AH272" s="685"/>
      <c r="AI272" s="685"/>
      <c r="AJ272" s="685"/>
      <c r="AK272" s="685"/>
      <c r="AL272" s="685"/>
      <c r="AM272" s="685"/>
      <c r="AN272" s="685"/>
      <c r="AO272" s="685"/>
      <c r="AP272" s="685"/>
      <c r="AQ272" s="685"/>
      <c r="AR272" s="685"/>
      <c r="AS272" s="685"/>
      <c r="AT272" s="685"/>
      <c r="AU272" s="685"/>
      <c r="AV272" s="685"/>
      <c r="AW272" s="685"/>
      <c r="AX272" s="685"/>
      <c r="AY272" s="685"/>
      <c r="AZ272" s="685"/>
    </row>
    <row r="273" spans="1:52">
      <c r="A273" s="685"/>
      <c r="B273" s="685"/>
      <c r="C273" s="685"/>
      <c r="D273" s="685"/>
      <c r="E273" s="685"/>
      <c r="F273" s="685"/>
      <c r="G273" s="685"/>
      <c r="H273" s="685"/>
      <c r="I273" s="685"/>
      <c r="J273" s="685"/>
      <c r="K273" s="685"/>
      <c r="L273" s="685"/>
      <c r="M273" s="685"/>
      <c r="N273" s="685"/>
      <c r="O273" s="685"/>
      <c r="P273" s="685"/>
      <c r="Q273" s="685"/>
      <c r="R273" s="685"/>
      <c r="S273" s="685"/>
      <c r="T273" s="685"/>
      <c r="U273" s="685"/>
      <c r="V273" s="685"/>
      <c r="W273" s="685"/>
      <c r="X273" s="685"/>
      <c r="Y273" s="685"/>
      <c r="Z273" s="685"/>
      <c r="AA273" s="685"/>
      <c r="AB273" s="685"/>
      <c r="AC273" s="685"/>
      <c r="AD273" s="685"/>
      <c r="AE273" s="685"/>
      <c r="AF273" s="685"/>
      <c r="AG273" s="685"/>
      <c r="AH273" s="685"/>
      <c r="AI273" s="685"/>
      <c r="AJ273" s="685"/>
      <c r="AK273" s="685"/>
      <c r="AL273" s="685"/>
      <c r="AM273" s="685"/>
      <c r="AN273" s="685"/>
      <c r="AO273" s="685"/>
      <c r="AP273" s="685"/>
      <c r="AQ273" s="685"/>
      <c r="AR273" s="685"/>
      <c r="AS273" s="685"/>
      <c r="AT273" s="685"/>
      <c r="AU273" s="685"/>
      <c r="AV273" s="685"/>
      <c r="AW273" s="685"/>
      <c r="AX273" s="685"/>
      <c r="AY273" s="685"/>
      <c r="AZ273" s="685"/>
    </row>
    <row r="274" spans="1:52">
      <c r="A274" s="685"/>
      <c r="B274" s="685"/>
      <c r="C274" s="685"/>
      <c r="D274" s="685"/>
      <c r="E274" s="685"/>
      <c r="F274" s="685"/>
      <c r="G274" s="685"/>
      <c r="H274" s="685"/>
      <c r="I274" s="685"/>
      <c r="J274" s="685"/>
      <c r="K274" s="685"/>
      <c r="L274" s="685"/>
      <c r="M274" s="685"/>
      <c r="N274" s="685"/>
      <c r="O274" s="685"/>
      <c r="P274" s="685"/>
      <c r="Q274" s="685"/>
      <c r="R274" s="685"/>
      <c r="S274" s="685"/>
      <c r="T274" s="685"/>
      <c r="U274" s="685"/>
      <c r="V274" s="685"/>
      <c r="W274" s="685"/>
      <c r="X274" s="685"/>
      <c r="Y274" s="685"/>
      <c r="Z274" s="685"/>
      <c r="AA274" s="685"/>
      <c r="AB274" s="685"/>
      <c r="AC274" s="685"/>
      <c r="AD274" s="685"/>
      <c r="AE274" s="685"/>
      <c r="AF274" s="685"/>
      <c r="AG274" s="685"/>
      <c r="AH274" s="685"/>
      <c r="AI274" s="685"/>
      <c r="AJ274" s="685"/>
      <c r="AK274" s="685"/>
      <c r="AL274" s="685"/>
      <c r="AM274" s="685"/>
      <c r="AN274" s="685"/>
      <c r="AO274" s="685"/>
      <c r="AP274" s="685"/>
      <c r="AQ274" s="685"/>
      <c r="AR274" s="685"/>
      <c r="AS274" s="685"/>
      <c r="AT274" s="685"/>
      <c r="AU274" s="685"/>
      <c r="AV274" s="685"/>
      <c r="AW274" s="685"/>
      <c r="AX274" s="685"/>
      <c r="AY274" s="685"/>
      <c r="AZ274" s="685"/>
    </row>
    <row r="275" spans="1:52">
      <c r="A275" s="685"/>
      <c r="B275" s="685"/>
      <c r="C275" s="685"/>
      <c r="D275" s="685"/>
      <c r="E275" s="685"/>
      <c r="F275" s="685"/>
      <c r="G275" s="685"/>
      <c r="H275" s="685"/>
      <c r="I275" s="685"/>
      <c r="J275" s="685"/>
      <c r="K275" s="685"/>
      <c r="L275" s="685"/>
      <c r="M275" s="685"/>
      <c r="N275" s="685"/>
      <c r="O275" s="685"/>
      <c r="P275" s="685"/>
      <c r="Q275" s="685"/>
      <c r="R275" s="685"/>
      <c r="S275" s="685"/>
      <c r="T275" s="685"/>
      <c r="U275" s="685"/>
      <c r="V275" s="685"/>
      <c r="W275" s="685"/>
      <c r="X275" s="685"/>
      <c r="Y275" s="685"/>
      <c r="Z275" s="685"/>
      <c r="AA275" s="685"/>
      <c r="AB275" s="685"/>
      <c r="AC275" s="685"/>
      <c r="AD275" s="685"/>
      <c r="AE275" s="685"/>
      <c r="AF275" s="685"/>
      <c r="AG275" s="685"/>
      <c r="AH275" s="685"/>
      <c r="AI275" s="685"/>
      <c r="AJ275" s="685"/>
      <c r="AK275" s="685"/>
      <c r="AL275" s="685"/>
      <c r="AM275" s="685"/>
      <c r="AN275" s="685"/>
      <c r="AO275" s="685"/>
      <c r="AP275" s="685"/>
      <c r="AQ275" s="685"/>
      <c r="AR275" s="685"/>
      <c r="AS275" s="685"/>
      <c r="AT275" s="685"/>
      <c r="AU275" s="685"/>
      <c r="AV275" s="685"/>
      <c r="AW275" s="685"/>
      <c r="AX275" s="685"/>
      <c r="AY275" s="685"/>
      <c r="AZ275" s="685"/>
    </row>
    <row r="276" spans="1:52">
      <c r="A276" s="685"/>
      <c r="B276" s="685"/>
      <c r="C276" s="685"/>
      <c r="D276" s="685"/>
      <c r="E276" s="685"/>
      <c r="F276" s="685"/>
      <c r="G276" s="685"/>
      <c r="H276" s="685"/>
      <c r="I276" s="685"/>
      <c r="J276" s="685"/>
      <c r="K276" s="685"/>
      <c r="L276" s="685"/>
      <c r="M276" s="685"/>
      <c r="N276" s="685"/>
      <c r="O276" s="685"/>
      <c r="P276" s="685"/>
      <c r="Q276" s="685"/>
      <c r="R276" s="685"/>
      <c r="S276" s="685"/>
      <c r="T276" s="685"/>
      <c r="U276" s="685"/>
      <c r="V276" s="685"/>
      <c r="W276" s="685"/>
      <c r="X276" s="685"/>
      <c r="Y276" s="685"/>
      <c r="Z276" s="685"/>
      <c r="AA276" s="685"/>
      <c r="AB276" s="685"/>
      <c r="AC276" s="685"/>
      <c r="AD276" s="685"/>
      <c r="AE276" s="685"/>
      <c r="AF276" s="685"/>
      <c r="AG276" s="685"/>
      <c r="AH276" s="685"/>
      <c r="AI276" s="685"/>
      <c r="AJ276" s="685"/>
      <c r="AK276" s="685"/>
      <c r="AL276" s="685"/>
      <c r="AM276" s="685"/>
      <c r="AN276" s="685"/>
      <c r="AO276" s="685"/>
      <c r="AP276" s="685"/>
      <c r="AQ276" s="685"/>
      <c r="AR276" s="685"/>
      <c r="AS276" s="685"/>
      <c r="AT276" s="685"/>
      <c r="AU276" s="685"/>
      <c r="AV276" s="685"/>
      <c r="AW276" s="685"/>
      <c r="AX276" s="685"/>
      <c r="AY276" s="685"/>
      <c r="AZ276" s="685"/>
    </row>
    <row r="277" spans="1:52">
      <c r="A277" s="685"/>
      <c r="B277" s="685"/>
      <c r="C277" s="685"/>
      <c r="D277" s="685"/>
      <c r="E277" s="685"/>
      <c r="F277" s="685"/>
      <c r="G277" s="685"/>
      <c r="H277" s="685"/>
      <c r="I277" s="685"/>
      <c r="J277" s="685"/>
      <c r="K277" s="685"/>
      <c r="L277" s="685"/>
      <c r="M277" s="685"/>
      <c r="N277" s="685"/>
      <c r="O277" s="685"/>
      <c r="P277" s="685"/>
      <c r="Q277" s="685"/>
      <c r="R277" s="685"/>
      <c r="S277" s="685"/>
      <c r="T277" s="685"/>
      <c r="U277" s="685"/>
      <c r="V277" s="685"/>
      <c r="W277" s="685"/>
      <c r="X277" s="685"/>
      <c r="Y277" s="685"/>
      <c r="Z277" s="685"/>
      <c r="AA277" s="685"/>
      <c r="AB277" s="685"/>
      <c r="AC277" s="685"/>
      <c r="AD277" s="685"/>
      <c r="AE277" s="685"/>
      <c r="AF277" s="685"/>
      <c r="AG277" s="685"/>
      <c r="AH277" s="685"/>
      <c r="AI277" s="685"/>
      <c r="AJ277" s="685"/>
      <c r="AK277" s="685"/>
      <c r="AL277" s="685"/>
      <c r="AM277" s="685"/>
      <c r="AN277" s="685"/>
      <c r="AO277" s="685"/>
      <c r="AP277" s="685"/>
      <c r="AQ277" s="685"/>
      <c r="AR277" s="685"/>
      <c r="AS277" s="685"/>
      <c r="AT277" s="685"/>
      <c r="AU277" s="685"/>
      <c r="AV277" s="685"/>
      <c r="AW277" s="685"/>
      <c r="AX277" s="685"/>
      <c r="AY277" s="685"/>
      <c r="AZ277" s="685"/>
    </row>
    <row r="278" spans="1:52">
      <c r="A278" s="685"/>
      <c r="B278" s="685"/>
      <c r="C278" s="685"/>
      <c r="D278" s="685"/>
      <c r="E278" s="685"/>
      <c r="F278" s="685"/>
      <c r="G278" s="685"/>
      <c r="H278" s="685"/>
      <c r="I278" s="685"/>
      <c r="J278" s="685"/>
      <c r="K278" s="685"/>
      <c r="L278" s="685"/>
      <c r="M278" s="685"/>
      <c r="N278" s="685"/>
      <c r="O278" s="685"/>
      <c r="P278" s="685"/>
      <c r="Q278" s="685"/>
      <c r="R278" s="685"/>
      <c r="S278" s="685"/>
      <c r="T278" s="685"/>
      <c r="U278" s="685"/>
      <c r="V278" s="685"/>
      <c r="W278" s="685"/>
      <c r="X278" s="685"/>
      <c r="Y278" s="685"/>
      <c r="Z278" s="685"/>
      <c r="AA278" s="685"/>
      <c r="AB278" s="685"/>
      <c r="AC278" s="685"/>
      <c r="AD278" s="685"/>
      <c r="AE278" s="685"/>
      <c r="AF278" s="685"/>
      <c r="AG278" s="685"/>
      <c r="AH278" s="685"/>
      <c r="AI278" s="685"/>
      <c r="AJ278" s="685"/>
      <c r="AK278" s="685"/>
      <c r="AL278" s="685"/>
      <c r="AM278" s="685"/>
      <c r="AN278" s="685"/>
      <c r="AO278" s="685"/>
      <c r="AP278" s="685"/>
      <c r="AQ278" s="685"/>
      <c r="AR278" s="685"/>
      <c r="AS278" s="685"/>
      <c r="AT278" s="685"/>
      <c r="AU278" s="685"/>
      <c r="AV278" s="685"/>
      <c r="AW278" s="685"/>
      <c r="AX278" s="685"/>
      <c r="AY278" s="685"/>
      <c r="AZ278" s="685"/>
    </row>
    <row r="279" spans="1:52">
      <c r="A279" s="685"/>
      <c r="B279" s="685"/>
      <c r="C279" s="685"/>
      <c r="D279" s="685"/>
      <c r="E279" s="685"/>
      <c r="F279" s="685"/>
      <c r="G279" s="685"/>
      <c r="H279" s="685"/>
      <c r="I279" s="685"/>
      <c r="J279" s="685"/>
      <c r="K279" s="685"/>
      <c r="L279" s="685"/>
      <c r="M279" s="685"/>
      <c r="N279" s="685"/>
      <c r="O279" s="685"/>
      <c r="P279" s="685"/>
      <c r="Q279" s="685"/>
      <c r="R279" s="685"/>
      <c r="S279" s="685"/>
      <c r="T279" s="685"/>
      <c r="U279" s="685"/>
      <c r="V279" s="685"/>
      <c r="W279" s="685"/>
      <c r="X279" s="685"/>
      <c r="Y279" s="685"/>
      <c r="Z279" s="685"/>
      <c r="AA279" s="685"/>
      <c r="AB279" s="685"/>
      <c r="AC279" s="685"/>
      <c r="AD279" s="685"/>
      <c r="AE279" s="685"/>
      <c r="AF279" s="685"/>
      <c r="AG279" s="685"/>
      <c r="AH279" s="685"/>
      <c r="AI279" s="685"/>
      <c r="AJ279" s="685"/>
      <c r="AK279" s="685"/>
      <c r="AL279" s="685"/>
      <c r="AM279" s="685"/>
      <c r="AN279" s="685"/>
      <c r="AO279" s="685"/>
      <c r="AP279" s="685"/>
      <c r="AQ279" s="685"/>
      <c r="AR279" s="685"/>
      <c r="AS279" s="685"/>
      <c r="AT279" s="685"/>
      <c r="AU279" s="685"/>
      <c r="AV279" s="685"/>
      <c r="AW279" s="685"/>
      <c r="AX279" s="685"/>
      <c r="AY279" s="685"/>
      <c r="AZ279" s="685"/>
    </row>
    <row r="280" spans="1:52">
      <c r="A280" s="685"/>
      <c r="B280" s="685"/>
      <c r="C280" s="685"/>
      <c r="D280" s="685"/>
      <c r="E280" s="685"/>
      <c r="F280" s="685"/>
      <c r="G280" s="685"/>
      <c r="H280" s="685"/>
      <c r="I280" s="685"/>
      <c r="J280" s="685"/>
      <c r="K280" s="685"/>
      <c r="L280" s="685"/>
      <c r="M280" s="685"/>
      <c r="N280" s="685"/>
      <c r="O280" s="685"/>
      <c r="P280" s="685"/>
      <c r="Q280" s="685"/>
      <c r="R280" s="685"/>
      <c r="S280" s="685"/>
      <c r="T280" s="685"/>
      <c r="U280" s="685"/>
      <c r="V280" s="685"/>
      <c r="W280" s="685"/>
      <c r="X280" s="685"/>
      <c r="Y280" s="685"/>
      <c r="Z280" s="685"/>
      <c r="AA280" s="685"/>
      <c r="AB280" s="685"/>
      <c r="AC280" s="685"/>
      <c r="AD280" s="685"/>
      <c r="AE280" s="685"/>
      <c r="AF280" s="685"/>
      <c r="AG280" s="685"/>
      <c r="AH280" s="685"/>
      <c r="AI280" s="685"/>
      <c r="AJ280" s="685"/>
      <c r="AK280" s="685"/>
      <c r="AL280" s="685"/>
      <c r="AM280" s="685"/>
      <c r="AN280" s="685"/>
      <c r="AO280" s="685"/>
      <c r="AP280" s="685"/>
      <c r="AQ280" s="685"/>
      <c r="AR280" s="685"/>
      <c r="AS280" s="685"/>
      <c r="AT280" s="685"/>
      <c r="AU280" s="685"/>
      <c r="AV280" s="685"/>
      <c r="AW280" s="685"/>
      <c r="AX280" s="685"/>
      <c r="AY280" s="685"/>
      <c r="AZ280" s="685"/>
    </row>
    <row r="281" spans="1:52">
      <c r="A281" s="685"/>
      <c r="B281" s="685"/>
      <c r="C281" s="685"/>
      <c r="D281" s="685"/>
      <c r="E281" s="685"/>
      <c r="F281" s="685"/>
      <c r="G281" s="685"/>
      <c r="H281" s="685"/>
      <c r="I281" s="685"/>
      <c r="J281" s="685"/>
      <c r="K281" s="685"/>
      <c r="L281" s="685"/>
      <c r="M281" s="685"/>
      <c r="N281" s="685"/>
      <c r="O281" s="685"/>
      <c r="P281" s="685"/>
      <c r="Q281" s="685"/>
      <c r="R281" s="685"/>
      <c r="S281" s="685"/>
      <c r="T281" s="685"/>
      <c r="U281" s="685"/>
      <c r="V281" s="685"/>
      <c r="W281" s="685"/>
      <c r="X281" s="685"/>
      <c r="Y281" s="685"/>
      <c r="Z281" s="685"/>
      <c r="AA281" s="685"/>
      <c r="AB281" s="685"/>
      <c r="AC281" s="685"/>
      <c r="AD281" s="685"/>
      <c r="AE281" s="685"/>
      <c r="AF281" s="685"/>
      <c r="AG281" s="685"/>
      <c r="AH281" s="685"/>
      <c r="AI281" s="685"/>
      <c r="AJ281" s="685"/>
      <c r="AK281" s="685"/>
      <c r="AL281" s="685"/>
      <c r="AM281" s="685"/>
      <c r="AN281" s="685"/>
      <c r="AO281" s="685"/>
      <c r="AP281" s="685"/>
      <c r="AQ281" s="685"/>
      <c r="AR281" s="685"/>
      <c r="AS281" s="685"/>
      <c r="AT281" s="685"/>
      <c r="AU281" s="685"/>
      <c r="AV281" s="685"/>
      <c r="AW281" s="685"/>
      <c r="AX281" s="685"/>
      <c r="AY281" s="685"/>
      <c r="AZ281" s="685"/>
    </row>
    <row r="282" spans="1:52">
      <c r="A282" s="685"/>
      <c r="B282" s="685"/>
      <c r="C282" s="685"/>
      <c r="D282" s="685"/>
      <c r="E282" s="685"/>
      <c r="F282" s="685"/>
      <c r="G282" s="685"/>
      <c r="H282" s="685"/>
      <c r="I282" s="685"/>
      <c r="J282" s="685"/>
      <c r="K282" s="685"/>
      <c r="L282" s="685"/>
      <c r="M282" s="685"/>
      <c r="N282" s="685"/>
      <c r="O282" s="685"/>
      <c r="P282" s="685"/>
      <c r="Q282" s="685"/>
      <c r="R282" s="685"/>
      <c r="S282" s="685"/>
      <c r="T282" s="685"/>
      <c r="U282" s="685"/>
      <c r="V282" s="685"/>
      <c r="W282" s="685"/>
      <c r="X282" s="685"/>
      <c r="Y282" s="685"/>
      <c r="Z282" s="685"/>
      <c r="AA282" s="685"/>
      <c r="AB282" s="685"/>
      <c r="AC282" s="685"/>
      <c r="AD282" s="685"/>
      <c r="AE282" s="685"/>
      <c r="AF282" s="685"/>
      <c r="AG282" s="685"/>
      <c r="AH282" s="685"/>
      <c r="AI282" s="685"/>
      <c r="AJ282" s="685"/>
      <c r="AK282" s="685"/>
      <c r="AL282" s="685"/>
      <c r="AM282" s="685"/>
      <c r="AN282" s="685"/>
      <c r="AO282" s="685"/>
      <c r="AP282" s="685"/>
      <c r="AQ282" s="685"/>
      <c r="AR282" s="685"/>
      <c r="AS282" s="685"/>
      <c r="AT282" s="685"/>
      <c r="AU282" s="685"/>
      <c r="AV282" s="685"/>
      <c r="AW282" s="685"/>
      <c r="AX282" s="685"/>
      <c r="AY282" s="685"/>
      <c r="AZ282" s="685"/>
    </row>
    <row r="283" spans="1:52">
      <c r="A283" s="685"/>
      <c r="B283" s="685"/>
      <c r="C283" s="685"/>
      <c r="D283" s="685"/>
      <c r="E283" s="685"/>
      <c r="F283" s="685"/>
      <c r="G283" s="685"/>
      <c r="H283" s="685"/>
      <c r="I283" s="685"/>
      <c r="J283" s="685"/>
      <c r="K283" s="685"/>
      <c r="L283" s="685"/>
      <c r="M283" s="685"/>
      <c r="N283" s="685"/>
      <c r="O283" s="685"/>
      <c r="P283" s="685"/>
      <c r="Q283" s="685"/>
      <c r="R283" s="685"/>
      <c r="S283" s="685"/>
      <c r="T283" s="685"/>
      <c r="U283" s="685"/>
      <c r="V283" s="685"/>
      <c r="W283" s="685"/>
      <c r="X283" s="685"/>
      <c r="Y283" s="685"/>
      <c r="Z283" s="685"/>
      <c r="AA283" s="685"/>
      <c r="AB283" s="685"/>
      <c r="AC283" s="685"/>
      <c r="AD283" s="685"/>
      <c r="AE283" s="685"/>
      <c r="AF283" s="685"/>
      <c r="AG283" s="685"/>
      <c r="AH283" s="685"/>
      <c r="AI283" s="685"/>
      <c r="AJ283" s="685"/>
      <c r="AK283" s="685"/>
      <c r="AL283" s="685"/>
      <c r="AM283" s="685"/>
      <c r="AN283" s="685"/>
      <c r="AO283" s="685"/>
      <c r="AP283" s="685"/>
      <c r="AQ283" s="685"/>
      <c r="AR283" s="685"/>
      <c r="AS283" s="685"/>
      <c r="AT283" s="685"/>
      <c r="AU283" s="685"/>
      <c r="AV283" s="685"/>
      <c r="AW283" s="685"/>
      <c r="AX283" s="685"/>
      <c r="AY283" s="685"/>
      <c r="AZ283" s="685"/>
    </row>
    <row r="284" spans="1:52">
      <c r="A284" s="685"/>
      <c r="B284" s="685"/>
      <c r="C284" s="685"/>
      <c r="D284" s="685"/>
      <c r="E284" s="685"/>
      <c r="F284" s="685"/>
      <c r="G284" s="685"/>
      <c r="H284" s="685"/>
      <c r="I284" s="685"/>
      <c r="J284" s="685"/>
      <c r="K284" s="685"/>
      <c r="L284" s="685"/>
      <c r="M284" s="685"/>
      <c r="N284" s="685"/>
      <c r="O284" s="685"/>
      <c r="P284" s="685"/>
      <c r="Q284" s="685"/>
      <c r="R284" s="685"/>
      <c r="S284" s="685"/>
      <c r="T284" s="685"/>
      <c r="U284" s="685"/>
      <c r="V284" s="685"/>
      <c r="W284" s="685"/>
      <c r="X284" s="685"/>
      <c r="Y284" s="685"/>
      <c r="Z284" s="685"/>
      <c r="AA284" s="685"/>
      <c r="AB284" s="685"/>
      <c r="AC284" s="685"/>
      <c r="AD284" s="685"/>
      <c r="AE284" s="685"/>
      <c r="AF284" s="685"/>
      <c r="AG284" s="685"/>
      <c r="AH284" s="685"/>
      <c r="AI284" s="685"/>
      <c r="AJ284" s="685"/>
      <c r="AK284" s="685"/>
      <c r="AL284" s="685"/>
      <c r="AM284" s="685"/>
      <c r="AN284" s="685"/>
      <c r="AO284" s="685"/>
      <c r="AP284" s="685"/>
      <c r="AQ284" s="685"/>
      <c r="AR284" s="685"/>
      <c r="AS284" s="685"/>
      <c r="AT284" s="685"/>
      <c r="AU284" s="685"/>
      <c r="AV284" s="685"/>
      <c r="AW284" s="685"/>
      <c r="AX284" s="685"/>
      <c r="AY284" s="685"/>
      <c r="AZ284" s="685"/>
    </row>
    <row r="285" spans="1:52">
      <c r="A285" s="685"/>
      <c r="B285" s="685"/>
      <c r="C285" s="685"/>
      <c r="D285" s="685"/>
      <c r="E285" s="685"/>
      <c r="F285" s="685"/>
      <c r="G285" s="685"/>
      <c r="H285" s="685"/>
      <c r="I285" s="685"/>
      <c r="J285" s="685"/>
      <c r="K285" s="685"/>
      <c r="L285" s="685"/>
      <c r="M285" s="685"/>
      <c r="N285" s="685"/>
      <c r="O285" s="685"/>
      <c r="P285" s="685"/>
      <c r="Q285" s="685"/>
      <c r="R285" s="685"/>
      <c r="S285" s="685"/>
      <c r="T285" s="685"/>
      <c r="U285" s="685"/>
      <c r="V285" s="685"/>
      <c r="W285" s="685"/>
      <c r="X285" s="685"/>
      <c r="Y285" s="685"/>
      <c r="Z285" s="685"/>
      <c r="AA285" s="685"/>
      <c r="AB285" s="685"/>
      <c r="AC285" s="685"/>
      <c r="AD285" s="685"/>
      <c r="AE285" s="685"/>
      <c r="AF285" s="685"/>
      <c r="AG285" s="685"/>
      <c r="AH285" s="685"/>
      <c r="AI285" s="685"/>
      <c r="AJ285" s="685"/>
      <c r="AK285" s="685"/>
      <c r="AL285" s="685"/>
      <c r="AM285" s="685"/>
      <c r="AN285" s="685"/>
      <c r="AO285" s="685"/>
      <c r="AP285" s="685"/>
      <c r="AQ285" s="685"/>
      <c r="AR285" s="685"/>
      <c r="AS285" s="685"/>
      <c r="AT285" s="685"/>
      <c r="AU285" s="685"/>
      <c r="AV285" s="685"/>
      <c r="AW285" s="685"/>
      <c r="AX285" s="685"/>
      <c r="AY285" s="685"/>
      <c r="AZ285" s="685"/>
    </row>
    <row r="286" spans="1:52">
      <c r="A286" s="685"/>
      <c r="B286" s="685"/>
      <c r="C286" s="685"/>
      <c r="D286" s="685"/>
      <c r="E286" s="685"/>
      <c r="F286" s="685"/>
      <c r="G286" s="685"/>
      <c r="H286" s="685"/>
      <c r="I286" s="685"/>
      <c r="J286" s="685"/>
      <c r="K286" s="685"/>
      <c r="L286" s="685"/>
      <c r="M286" s="685"/>
      <c r="N286" s="685"/>
      <c r="O286" s="685"/>
      <c r="P286" s="685"/>
      <c r="Q286" s="685"/>
      <c r="R286" s="685"/>
      <c r="S286" s="685"/>
      <c r="T286" s="685"/>
      <c r="U286" s="685"/>
      <c r="V286" s="685"/>
      <c r="W286" s="685"/>
      <c r="X286" s="685"/>
      <c r="Y286" s="685"/>
      <c r="Z286" s="685"/>
      <c r="AA286" s="685"/>
      <c r="AB286" s="685"/>
      <c r="AC286" s="685"/>
      <c r="AD286" s="685"/>
      <c r="AE286" s="685"/>
      <c r="AF286" s="685"/>
      <c r="AG286" s="685"/>
      <c r="AH286" s="685"/>
      <c r="AI286" s="685"/>
      <c r="AJ286" s="685"/>
      <c r="AK286" s="685"/>
      <c r="AL286" s="685"/>
      <c r="AM286" s="685"/>
      <c r="AN286" s="685"/>
      <c r="AO286" s="685"/>
      <c r="AP286" s="685"/>
      <c r="AQ286" s="685"/>
      <c r="AR286" s="685"/>
      <c r="AS286" s="685"/>
      <c r="AT286" s="685"/>
      <c r="AU286" s="685"/>
      <c r="AV286" s="685"/>
      <c r="AW286" s="685"/>
      <c r="AX286" s="685"/>
      <c r="AY286" s="685"/>
      <c r="AZ286" s="685"/>
    </row>
    <row r="287" spans="1:52">
      <c r="A287" s="685"/>
      <c r="B287" s="685"/>
      <c r="C287" s="685"/>
      <c r="D287" s="685"/>
      <c r="E287" s="685"/>
      <c r="F287" s="685"/>
      <c r="G287" s="685"/>
      <c r="H287" s="685"/>
      <c r="I287" s="685"/>
      <c r="J287" s="685"/>
      <c r="K287" s="685"/>
      <c r="L287" s="685"/>
      <c r="M287" s="685"/>
      <c r="N287" s="685"/>
      <c r="O287" s="685"/>
      <c r="P287" s="685"/>
      <c r="Q287" s="685"/>
      <c r="R287" s="685"/>
      <c r="S287" s="685"/>
      <c r="T287" s="685"/>
      <c r="U287" s="685"/>
      <c r="V287" s="685"/>
      <c r="W287" s="685"/>
      <c r="X287" s="685"/>
      <c r="Y287" s="685"/>
      <c r="Z287" s="685"/>
      <c r="AA287" s="685"/>
      <c r="AB287" s="685"/>
      <c r="AC287" s="685"/>
      <c r="AD287" s="685"/>
      <c r="AE287" s="685"/>
      <c r="AF287" s="685"/>
      <c r="AG287" s="685"/>
      <c r="AH287" s="685"/>
      <c r="AI287" s="685"/>
      <c r="AJ287" s="685"/>
      <c r="AK287" s="685"/>
      <c r="AL287" s="685"/>
      <c r="AM287" s="685"/>
      <c r="AN287" s="685"/>
      <c r="AO287" s="685"/>
      <c r="AP287" s="685"/>
      <c r="AQ287" s="685"/>
      <c r="AR287" s="685"/>
      <c r="AS287" s="685"/>
      <c r="AT287" s="685"/>
      <c r="AU287" s="685"/>
      <c r="AV287" s="685"/>
      <c r="AW287" s="685"/>
      <c r="AX287" s="685"/>
      <c r="AY287" s="685"/>
      <c r="AZ287" s="685"/>
    </row>
    <row r="288" spans="1:52">
      <c r="A288" s="685"/>
      <c r="B288" s="685"/>
      <c r="C288" s="685"/>
      <c r="D288" s="685"/>
      <c r="E288" s="685"/>
      <c r="F288" s="685"/>
      <c r="G288" s="685"/>
      <c r="H288" s="685"/>
      <c r="I288" s="685"/>
      <c r="J288" s="685"/>
      <c r="K288" s="685"/>
      <c r="L288" s="685"/>
      <c r="M288" s="685"/>
      <c r="N288" s="685"/>
      <c r="O288" s="685"/>
      <c r="P288" s="685"/>
      <c r="Q288" s="685"/>
      <c r="R288" s="685"/>
      <c r="S288" s="685"/>
      <c r="T288" s="685"/>
      <c r="U288" s="685"/>
      <c r="V288" s="685"/>
      <c r="W288" s="685"/>
      <c r="X288" s="685"/>
      <c r="Y288" s="685"/>
      <c r="Z288" s="685"/>
      <c r="AA288" s="685"/>
      <c r="AB288" s="685"/>
      <c r="AC288" s="685"/>
      <c r="AD288" s="685"/>
      <c r="AE288" s="685"/>
      <c r="AF288" s="685"/>
      <c r="AG288" s="685"/>
      <c r="AH288" s="685"/>
      <c r="AI288" s="685"/>
      <c r="AJ288" s="685"/>
      <c r="AK288" s="685"/>
      <c r="AL288" s="685"/>
      <c r="AM288" s="685"/>
      <c r="AN288" s="685"/>
      <c r="AO288" s="685"/>
      <c r="AP288" s="685"/>
      <c r="AQ288" s="685"/>
      <c r="AR288" s="685"/>
      <c r="AS288" s="685"/>
      <c r="AT288" s="685"/>
      <c r="AU288" s="685"/>
      <c r="AV288" s="685"/>
      <c r="AW288" s="685"/>
      <c r="AX288" s="685"/>
      <c r="AY288" s="685"/>
      <c r="AZ288" s="685"/>
    </row>
    <row r="289" spans="1:52">
      <c r="A289" s="685"/>
      <c r="B289" s="685"/>
      <c r="C289" s="685"/>
      <c r="D289" s="685"/>
      <c r="E289" s="685"/>
      <c r="F289" s="685"/>
      <c r="G289" s="685"/>
      <c r="H289" s="685"/>
      <c r="I289" s="685"/>
      <c r="J289" s="685"/>
      <c r="K289" s="685"/>
      <c r="L289" s="685"/>
      <c r="M289" s="685"/>
      <c r="N289" s="685"/>
      <c r="O289" s="685"/>
      <c r="P289" s="685"/>
      <c r="Q289" s="685"/>
      <c r="R289" s="685"/>
      <c r="S289" s="685"/>
      <c r="T289" s="685"/>
      <c r="U289" s="685"/>
      <c r="V289" s="685"/>
      <c r="W289" s="685"/>
      <c r="X289" s="685"/>
      <c r="Y289" s="685"/>
      <c r="Z289" s="685"/>
      <c r="AA289" s="685"/>
      <c r="AB289" s="685"/>
      <c r="AC289" s="685"/>
      <c r="AD289" s="685"/>
      <c r="AE289" s="685"/>
      <c r="AF289" s="685"/>
      <c r="AG289" s="685"/>
      <c r="AH289" s="685"/>
      <c r="AI289" s="685"/>
      <c r="AJ289" s="685"/>
      <c r="AK289" s="685"/>
      <c r="AL289" s="685"/>
      <c r="AM289" s="685"/>
      <c r="AN289" s="685"/>
      <c r="AO289" s="685"/>
      <c r="AP289" s="685"/>
      <c r="AQ289" s="685"/>
      <c r="AR289" s="685"/>
      <c r="AS289" s="685"/>
      <c r="AT289" s="685"/>
      <c r="AU289" s="685"/>
      <c r="AV289" s="685"/>
      <c r="AW289" s="685"/>
      <c r="AX289" s="685"/>
      <c r="AY289" s="685"/>
      <c r="AZ289" s="685"/>
    </row>
    <row r="290" spans="1:52">
      <c r="A290" s="685"/>
      <c r="B290" s="685"/>
      <c r="C290" s="685"/>
      <c r="D290" s="685"/>
      <c r="E290" s="685"/>
      <c r="F290" s="685"/>
      <c r="G290" s="685"/>
      <c r="H290" s="685"/>
      <c r="I290" s="685"/>
      <c r="J290" s="685"/>
      <c r="K290" s="685"/>
      <c r="L290" s="685"/>
      <c r="M290" s="685"/>
      <c r="N290" s="685"/>
      <c r="O290" s="685"/>
      <c r="P290" s="685"/>
      <c r="Q290" s="685"/>
      <c r="R290" s="685"/>
      <c r="S290" s="685"/>
      <c r="T290" s="685"/>
      <c r="U290" s="685"/>
      <c r="V290" s="685"/>
      <c r="W290" s="685"/>
      <c r="X290" s="685"/>
      <c r="Y290" s="685"/>
      <c r="Z290" s="685"/>
      <c r="AA290" s="685"/>
      <c r="AB290" s="685"/>
      <c r="AC290" s="685"/>
      <c r="AD290" s="685"/>
      <c r="AE290" s="685"/>
      <c r="AF290" s="685"/>
      <c r="AG290" s="685"/>
      <c r="AH290" s="685"/>
      <c r="AI290" s="685"/>
      <c r="AJ290" s="685"/>
      <c r="AK290" s="685"/>
      <c r="AL290" s="685"/>
      <c r="AM290" s="685"/>
      <c r="AN290" s="685"/>
      <c r="AO290" s="685"/>
      <c r="AP290" s="685"/>
      <c r="AQ290" s="685"/>
      <c r="AR290" s="685"/>
      <c r="AS290" s="685"/>
      <c r="AT290" s="685"/>
      <c r="AU290" s="685"/>
      <c r="AV290" s="685"/>
      <c r="AW290" s="685"/>
      <c r="AX290" s="685"/>
      <c r="AY290" s="685"/>
      <c r="AZ290" s="685"/>
    </row>
    <row r="291" spans="1:52">
      <c r="A291" s="685"/>
      <c r="B291" s="685"/>
      <c r="C291" s="685"/>
      <c r="D291" s="685"/>
      <c r="E291" s="685"/>
      <c r="F291" s="685"/>
      <c r="G291" s="685"/>
      <c r="H291" s="685"/>
      <c r="I291" s="685"/>
      <c r="J291" s="685"/>
      <c r="K291" s="685"/>
      <c r="L291" s="685"/>
      <c r="M291" s="685"/>
      <c r="N291" s="685"/>
      <c r="O291" s="685"/>
      <c r="P291" s="685"/>
      <c r="Q291" s="685"/>
      <c r="R291" s="685"/>
      <c r="S291" s="685"/>
      <c r="T291" s="685"/>
      <c r="U291" s="685"/>
      <c r="V291" s="685"/>
      <c r="W291" s="685"/>
      <c r="X291" s="685"/>
      <c r="Y291" s="685"/>
      <c r="Z291" s="685"/>
      <c r="AA291" s="685"/>
      <c r="AB291" s="685"/>
      <c r="AC291" s="685"/>
      <c r="AD291" s="685"/>
      <c r="AE291" s="685"/>
      <c r="AF291" s="685"/>
      <c r="AG291" s="685"/>
      <c r="AH291" s="685"/>
      <c r="AI291" s="685"/>
      <c r="AJ291" s="685"/>
      <c r="AK291" s="685"/>
      <c r="AL291" s="685"/>
      <c r="AM291" s="685"/>
      <c r="AN291" s="685"/>
      <c r="AO291" s="685"/>
      <c r="AP291" s="685"/>
      <c r="AQ291" s="685"/>
      <c r="AR291" s="685"/>
      <c r="AS291" s="685"/>
      <c r="AT291" s="685"/>
      <c r="AU291" s="685"/>
      <c r="AV291" s="685"/>
      <c r="AW291" s="685"/>
      <c r="AX291" s="685"/>
      <c r="AY291" s="685"/>
      <c r="AZ291" s="685"/>
    </row>
    <row r="292" spans="1:52">
      <c r="A292" s="685"/>
      <c r="B292" s="685"/>
      <c r="C292" s="685"/>
      <c r="D292" s="685"/>
      <c r="E292" s="685"/>
      <c r="F292" s="685"/>
      <c r="G292" s="685"/>
      <c r="H292" s="685"/>
      <c r="I292" s="685"/>
      <c r="J292" s="685"/>
      <c r="K292" s="685"/>
      <c r="L292" s="685"/>
      <c r="M292" s="685"/>
      <c r="N292" s="685"/>
      <c r="O292" s="685"/>
      <c r="P292" s="685"/>
      <c r="Q292" s="685"/>
      <c r="R292" s="685"/>
      <c r="S292" s="685"/>
      <c r="T292" s="685"/>
      <c r="U292" s="685"/>
      <c r="V292" s="685"/>
      <c r="W292" s="685"/>
      <c r="X292" s="685"/>
      <c r="Y292" s="685"/>
      <c r="Z292" s="685"/>
      <c r="AA292" s="685"/>
      <c r="AB292" s="685"/>
      <c r="AC292" s="685"/>
      <c r="AD292" s="685"/>
      <c r="AE292" s="685"/>
      <c r="AF292" s="685"/>
      <c r="AG292" s="685"/>
      <c r="AH292" s="685"/>
      <c r="AI292" s="685"/>
      <c r="AJ292" s="685"/>
      <c r="AK292" s="685"/>
      <c r="AL292" s="685"/>
      <c r="AM292" s="685"/>
      <c r="AN292" s="685"/>
      <c r="AO292" s="685"/>
      <c r="AP292" s="685"/>
      <c r="AQ292" s="685"/>
      <c r="AR292" s="685"/>
      <c r="AS292" s="685"/>
      <c r="AT292" s="685"/>
      <c r="AU292" s="685"/>
      <c r="AV292" s="685"/>
      <c r="AW292" s="685"/>
      <c r="AX292" s="685"/>
      <c r="AY292" s="685"/>
      <c r="AZ292" s="685"/>
    </row>
    <row r="293" spans="1:52">
      <c r="A293" s="685"/>
      <c r="B293" s="685"/>
      <c r="C293" s="685"/>
      <c r="D293" s="685"/>
      <c r="E293" s="685"/>
      <c r="F293" s="685"/>
      <c r="G293" s="685"/>
      <c r="H293" s="685"/>
      <c r="I293" s="685"/>
      <c r="J293" s="685"/>
      <c r="K293" s="685"/>
      <c r="L293" s="685"/>
      <c r="M293" s="685"/>
      <c r="N293" s="685"/>
      <c r="O293" s="685"/>
      <c r="P293" s="685"/>
      <c r="Q293" s="685"/>
      <c r="R293" s="685"/>
      <c r="S293" s="685"/>
      <c r="T293" s="685"/>
      <c r="U293" s="685"/>
      <c r="V293" s="685"/>
      <c r="W293" s="685"/>
      <c r="X293" s="685"/>
      <c r="Y293" s="685"/>
      <c r="Z293" s="685"/>
      <c r="AA293" s="685"/>
      <c r="AB293" s="685"/>
      <c r="AC293" s="685"/>
      <c r="AD293" s="685"/>
      <c r="AE293" s="685"/>
      <c r="AF293" s="685"/>
      <c r="AG293" s="685"/>
      <c r="AH293" s="685"/>
      <c r="AI293" s="685"/>
      <c r="AJ293" s="685"/>
      <c r="AK293" s="685"/>
      <c r="AL293" s="685"/>
      <c r="AM293" s="685"/>
      <c r="AN293" s="685"/>
      <c r="AO293" s="685"/>
      <c r="AP293" s="685"/>
      <c r="AQ293" s="685"/>
      <c r="AR293" s="685"/>
      <c r="AS293" s="685"/>
      <c r="AT293" s="685"/>
      <c r="AU293" s="685"/>
      <c r="AV293" s="685"/>
      <c r="AW293" s="685"/>
      <c r="AX293" s="685"/>
      <c r="AY293" s="685"/>
      <c r="AZ293" s="685"/>
    </row>
    <row r="294" spans="1:52">
      <c r="A294" s="685"/>
      <c r="B294" s="685"/>
      <c r="C294" s="685"/>
      <c r="D294" s="685"/>
      <c r="E294" s="685"/>
      <c r="F294" s="685"/>
      <c r="G294" s="685"/>
      <c r="H294" s="685"/>
      <c r="I294" s="685"/>
      <c r="J294" s="685"/>
      <c r="K294" s="685"/>
      <c r="L294" s="685"/>
      <c r="M294" s="685"/>
      <c r="N294" s="685"/>
      <c r="O294" s="685"/>
      <c r="P294" s="685"/>
      <c r="Q294" s="685"/>
      <c r="R294" s="685"/>
      <c r="S294" s="685"/>
      <c r="T294" s="685"/>
      <c r="U294" s="685"/>
      <c r="V294" s="685"/>
      <c r="W294" s="685"/>
      <c r="X294" s="685"/>
      <c r="Y294" s="685"/>
      <c r="Z294" s="685"/>
      <c r="AA294" s="685"/>
      <c r="AB294" s="685"/>
      <c r="AC294" s="685"/>
      <c r="AD294" s="685"/>
      <c r="AE294" s="685"/>
      <c r="AF294" s="685"/>
      <c r="AG294" s="685"/>
      <c r="AH294" s="685"/>
      <c r="AI294" s="685"/>
      <c r="AJ294" s="685"/>
      <c r="AK294" s="685"/>
      <c r="AL294" s="685"/>
      <c r="AM294" s="685"/>
      <c r="AN294" s="685"/>
      <c r="AO294" s="685"/>
      <c r="AP294" s="685"/>
      <c r="AQ294" s="685"/>
      <c r="AR294" s="685"/>
      <c r="AS294" s="685"/>
      <c r="AT294" s="685"/>
      <c r="AU294" s="685"/>
      <c r="AV294" s="685"/>
      <c r="AW294" s="685"/>
      <c r="AX294" s="685"/>
      <c r="AY294" s="685"/>
      <c r="AZ294" s="685"/>
    </row>
    <row r="295" spans="1:52">
      <c r="A295" s="685"/>
      <c r="B295" s="685"/>
      <c r="C295" s="685"/>
      <c r="D295" s="685"/>
      <c r="E295" s="685"/>
      <c r="F295" s="685"/>
      <c r="G295" s="685"/>
      <c r="H295" s="685"/>
      <c r="I295" s="685"/>
      <c r="J295" s="685"/>
      <c r="K295" s="685"/>
      <c r="L295" s="685"/>
      <c r="M295" s="685"/>
      <c r="N295" s="685"/>
      <c r="O295" s="685"/>
      <c r="P295" s="685"/>
      <c r="Q295" s="685"/>
      <c r="R295" s="685"/>
      <c r="S295" s="685"/>
      <c r="T295" s="685"/>
      <c r="U295" s="685"/>
      <c r="V295" s="685"/>
      <c r="W295" s="685"/>
      <c r="X295" s="685"/>
      <c r="Y295" s="685"/>
      <c r="Z295" s="685"/>
      <c r="AA295" s="685"/>
      <c r="AB295" s="685"/>
      <c r="AC295" s="685"/>
      <c r="AD295" s="685"/>
      <c r="AE295" s="685"/>
      <c r="AF295" s="685"/>
      <c r="AG295" s="685"/>
      <c r="AH295" s="685"/>
      <c r="AI295" s="685"/>
      <c r="AJ295" s="685"/>
      <c r="AK295" s="685"/>
      <c r="AL295" s="685"/>
      <c r="AM295" s="685"/>
      <c r="AN295" s="685"/>
      <c r="AO295" s="685"/>
      <c r="AP295" s="685"/>
      <c r="AQ295" s="685"/>
      <c r="AR295" s="685"/>
      <c r="AS295" s="685"/>
      <c r="AT295" s="685"/>
      <c r="AU295" s="685"/>
      <c r="AV295" s="685"/>
      <c r="AW295" s="685"/>
      <c r="AX295" s="685"/>
      <c r="AY295" s="685"/>
      <c r="AZ295" s="685"/>
    </row>
    <row r="296" spans="1:52">
      <c r="A296" s="685"/>
      <c r="B296" s="685"/>
      <c r="C296" s="685"/>
      <c r="D296" s="685"/>
      <c r="E296" s="685"/>
      <c r="F296" s="685"/>
      <c r="G296" s="685"/>
      <c r="H296" s="685"/>
      <c r="I296" s="685"/>
      <c r="J296" s="685"/>
      <c r="K296" s="685"/>
      <c r="L296" s="685"/>
      <c r="M296" s="685"/>
      <c r="N296" s="685"/>
      <c r="O296" s="685"/>
      <c r="P296" s="685"/>
      <c r="Q296" s="685"/>
      <c r="R296" s="685"/>
      <c r="S296" s="685"/>
      <c r="T296" s="685"/>
      <c r="U296" s="685"/>
      <c r="V296" s="685"/>
      <c r="W296" s="685"/>
      <c r="X296" s="685"/>
      <c r="Y296" s="685"/>
      <c r="Z296" s="685"/>
      <c r="AA296" s="685"/>
      <c r="AB296" s="685"/>
      <c r="AC296" s="685"/>
      <c r="AD296" s="685"/>
      <c r="AE296" s="685"/>
      <c r="AF296" s="685"/>
      <c r="AG296" s="685"/>
      <c r="AH296" s="685"/>
      <c r="AI296" s="685"/>
      <c r="AJ296" s="685"/>
      <c r="AK296" s="685"/>
      <c r="AL296" s="685"/>
      <c r="AM296" s="685"/>
      <c r="AN296" s="685"/>
      <c r="AO296" s="685"/>
      <c r="AP296" s="685"/>
      <c r="AQ296" s="685"/>
      <c r="AR296" s="685"/>
      <c r="AS296" s="685"/>
      <c r="AT296" s="685"/>
      <c r="AU296" s="685"/>
      <c r="AV296" s="685"/>
      <c r="AW296" s="685"/>
      <c r="AX296" s="685"/>
      <c r="AY296" s="685"/>
      <c r="AZ296" s="685"/>
    </row>
    <row r="297" spans="1:52">
      <c r="A297" s="685"/>
      <c r="B297" s="685"/>
      <c r="C297" s="685"/>
      <c r="D297" s="685"/>
      <c r="E297" s="685"/>
      <c r="F297" s="685"/>
      <c r="G297" s="685"/>
      <c r="H297" s="685"/>
      <c r="I297" s="685"/>
      <c r="J297" s="685"/>
      <c r="K297" s="685"/>
      <c r="L297" s="685"/>
      <c r="M297" s="685"/>
      <c r="N297" s="685"/>
      <c r="O297" s="685"/>
      <c r="P297" s="685"/>
      <c r="Q297" s="685"/>
      <c r="R297" s="685"/>
      <c r="S297" s="685"/>
      <c r="T297" s="685"/>
      <c r="U297" s="685"/>
      <c r="V297" s="685"/>
      <c r="W297" s="685"/>
      <c r="X297" s="685"/>
      <c r="Y297" s="685"/>
      <c r="Z297" s="685"/>
      <c r="AA297" s="685"/>
      <c r="AB297" s="685"/>
      <c r="AC297" s="685"/>
      <c r="AD297" s="685"/>
      <c r="AE297" s="685"/>
      <c r="AF297" s="685"/>
      <c r="AG297" s="685"/>
      <c r="AH297" s="685"/>
      <c r="AI297" s="685"/>
      <c r="AJ297" s="685"/>
      <c r="AK297" s="685"/>
      <c r="AL297" s="685"/>
      <c r="AM297" s="685"/>
      <c r="AN297" s="685"/>
      <c r="AO297" s="685"/>
      <c r="AP297" s="685"/>
      <c r="AQ297" s="685"/>
      <c r="AR297" s="685"/>
      <c r="AS297" s="685"/>
      <c r="AT297" s="685"/>
      <c r="AU297" s="685"/>
      <c r="AV297" s="685"/>
      <c r="AW297" s="685"/>
      <c r="AX297" s="685"/>
      <c r="AY297" s="685"/>
      <c r="AZ297" s="685"/>
    </row>
    <row r="298" spans="1:52">
      <c r="A298" s="685"/>
      <c r="B298" s="685"/>
      <c r="C298" s="685"/>
      <c r="D298" s="685"/>
      <c r="E298" s="685"/>
      <c r="F298" s="685"/>
      <c r="G298" s="685"/>
      <c r="H298" s="685"/>
      <c r="I298" s="685"/>
      <c r="J298" s="685"/>
      <c r="K298" s="685"/>
      <c r="L298" s="685"/>
      <c r="M298" s="685"/>
      <c r="N298" s="685"/>
      <c r="O298" s="685"/>
      <c r="P298" s="685"/>
      <c r="Q298" s="685"/>
      <c r="R298" s="685"/>
      <c r="S298" s="685"/>
      <c r="T298" s="685"/>
      <c r="U298" s="685"/>
      <c r="V298" s="685"/>
      <c r="W298" s="685"/>
      <c r="X298" s="685"/>
      <c r="Y298" s="685"/>
      <c r="Z298" s="685"/>
      <c r="AA298" s="685"/>
      <c r="AB298" s="685"/>
      <c r="AC298" s="685"/>
      <c r="AD298" s="685"/>
      <c r="AE298" s="685"/>
      <c r="AF298" s="685"/>
      <c r="AG298" s="685"/>
      <c r="AH298" s="685"/>
      <c r="AI298" s="685"/>
      <c r="AJ298" s="685"/>
      <c r="AK298" s="685"/>
      <c r="AL298" s="685"/>
      <c r="AM298" s="685"/>
      <c r="AN298" s="685"/>
      <c r="AO298" s="685"/>
      <c r="AP298" s="685"/>
      <c r="AQ298" s="685"/>
      <c r="AR298" s="685"/>
      <c r="AS298" s="685"/>
      <c r="AT298" s="685"/>
      <c r="AU298" s="685"/>
      <c r="AV298" s="685"/>
      <c r="AW298" s="685"/>
      <c r="AX298" s="685"/>
      <c r="AY298" s="685"/>
      <c r="AZ298" s="685"/>
    </row>
    <row r="299" spans="1:52">
      <c r="A299" s="685"/>
      <c r="B299" s="685"/>
      <c r="C299" s="685"/>
      <c r="D299" s="685"/>
      <c r="E299" s="685"/>
      <c r="F299" s="685"/>
      <c r="G299" s="685"/>
      <c r="H299" s="685"/>
      <c r="I299" s="685"/>
      <c r="J299" s="685"/>
      <c r="K299" s="685"/>
      <c r="L299" s="685"/>
      <c r="M299" s="685"/>
      <c r="N299" s="685"/>
      <c r="O299" s="685"/>
      <c r="P299" s="685"/>
      <c r="Q299" s="685"/>
      <c r="R299" s="685"/>
      <c r="S299" s="685"/>
      <c r="T299" s="685"/>
      <c r="U299" s="685"/>
      <c r="V299" s="685"/>
      <c r="W299" s="685"/>
      <c r="X299" s="685"/>
      <c r="Y299" s="685"/>
      <c r="Z299" s="685"/>
      <c r="AA299" s="685"/>
      <c r="AB299" s="685"/>
      <c r="AC299" s="685"/>
      <c r="AD299" s="685"/>
      <c r="AE299" s="685"/>
      <c r="AF299" s="685"/>
      <c r="AG299" s="685"/>
      <c r="AH299" s="685"/>
      <c r="AI299" s="685"/>
      <c r="AJ299" s="685"/>
      <c r="AK299" s="685"/>
      <c r="AL299" s="685"/>
      <c r="AM299" s="685"/>
      <c r="AN299" s="685"/>
      <c r="AO299" s="685"/>
      <c r="AP299" s="685"/>
      <c r="AQ299" s="685"/>
      <c r="AR299" s="685"/>
      <c r="AS299" s="685"/>
      <c r="AT299" s="685"/>
      <c r="AU299" s="685"/>
      <c r="AV299" s="685"/>
      <c r="AW299" s="685"/>
      <c r="AX299" s="685"/>
      <c r="AY299" s="685"/>
      <c r="AZ299" s="685"/>
    </row>
    <row r="300" spans="1:52">
      <c r="A300" s="685"/>
      <c r="B300" s="685"/>
      <c r="C300" s="685"/>
      <c r="D300" s="685"/>
      <c r="E300" s="685"/>
      <c r="F300" s="685"/>
      <c r="G300" s="685"/>
      <c r="H300" s="685"/>
      <c r="I300" s="685"/>
      <c r="J300" s="685"/>
      <c r="K300" s="685"/>
      <c r="L300" s="685"/>
      <c r="M300" s="685"/>
      <c r="N300" s="685"/>
      <c r="O300" s="685"/>
      <c r="P300" s="685"/>
      <c r="Q300" s="685"/>
      <c r="R300" s="685"/>
      <c r="S300" s="685"/>
      <c r="T300" s="685"/>
      <c r="U300" s="685"/>
      <c r="V300" s="685"/>
      <c r="W300" s="685"/>
      <c r="X300" s="685"/>
      <c r="Y300" s="685"/>
      <c r="Z300" s="685"/>
      <c r="AA300" s="685"/>
      <c r="AB300" s="685"/>
      <c r="AC300" s="685"/>
      <c r="AD300" s="685"/>
      <c r="AE300" s="685"/>
      <c r="AF300" s="685"/>
      <c r="AG300" s="685"/>
      <c r="AH300" s="685"/>
      <c r="AI300" s="685"/>
      <c r="AJ300" s="685"/>
      <c r="AK300" s="685"/>
      <c r="AL300" s="685"/>
      <c r="AM300" s="685"/>
      <c r="AN300" s="685"/>
      <c r="AO300" s="685"/>
      <c r="AP300" s="685"/>
      <c r="AQ300" s="685"/>
      <c r="AR300" s="685"/>
      <c r="AS300" s="685"/>
      <c r="AT300" s="685"/>
      <c r="AU300" s="685"/>
      <c r="AV300" s="685"/>
      <c r="AW300" s="685"/>
      <c r="AX300" s="685"/>
      <c r="AY300" s="685"/>
      <c r="AZ300" s="685"/>
    </row>
    <row r="301" spans="1:52">
      <c r="A301" s="685"/>
      <c r="B301" s="685"/>
      <c r="C301" s="685"/>
      <c r="D301" s="685"/>
      <c r="E301" s="685"/>
      <c r="F301" s="685"/>
      <c r="G301" s="685"/>
      <c r="H301" s="685"/>
      <c r="I301" s="685"/>
      <c r="J301" s="685"/>
      <c r="K301" s="685"/>
      <c r="L301" s="685"/>
      <c r="M301" s="685"/>
      <c r="N301" s="685"/>
      <c r="O301" s="685"/>
      <c r="P301" s="685"/>
      <c r="Q301" s="685"/>
      <c r="R301" s="685"/>
      <c r="S301" s="685"/>
      <c r="T301" s="685"/>
      <c r="U301" s="685"/>
      <c r="V301" s="685"/>
      <c r="W301" s="685"/>
      <c r="X301" s="685"/>
      <c r="Y301" s="685"/>
      <c r="Z301" s="685"/>
      <c r="AA301" s="685"/>
      <c r="AB301" s="685"/>
      <c r="AC301" s="685"/>
      <c r="AD301" s="685"/>
      <c r="AE301" s="685"/>
      <c r="AF301" s="685"/>
      <c r="AG301" s="685"/>
      <c r="AH301" s="685"/>
      <c r="AI301" s="685"/>
      <c r="AJ301" s="685"/>
      <c r="AK301" s="685"/>
      <c r="AL301" s="685"/>
      <c r="AM301" s="685"/>
      <c r="AN301" s="685"/>
      <c r="AO301" s="685"/>
      <c r="AP301" s="685"/>
      <c r="AQ301" s="685"/>
      <c r="AR301" s="685"/>
      <c r="AS301" s="685"/>
      <c r="AT301" s="685"/>
      <c r="AU301" s="685"/>
      <c r="AV301" s="685"/>
      <c r="AW301" s="685"/>
      <c r="AX301" s="685"/>
      <c r="AY301" s="685"/>
      <c r="AZ301" s="685"/>
    </row>
    <row r="302" spans="1:52">
      <c r="A302" s="685"/>
      <c r="B302" s="685"/>
      <c r="C302" s="685"/>
      <c r="D302" s="685"/>
      <c r="E302" s="685"/>
      <c r="F302" s="685"/>
      <c r="G302" s="685"/>
      <c r="H302" s="685"/>
      <c r="I302" s="685"/>
      <c r="J302" s="685"/>
      <c r="K302" s="685"/>
      <c r="L302" s="685"/>
      <c r="M302" s="685"/>
      <c r="N302" s="685"/>
      <c r="O302" s="685"/>
      <c r="P302" s="685"/>
      <c r="Q302" s="685"/>
      <c r="R302" s="685"/>
      <c r="S302" s="685"/>
      <c r="T302" s="685"/>
      <c r="U302" s="685"/>
      <c r="V302" s="685"/>
      <c r="W302" s="685"/>
      <c r="X302" s="685"/>
      <c r="Y302" s="685"/>
      <c r="Z302" s="685"/>
      <c r="AA302" s="685"/>
      <c r="AB302" s="685"/>
      <c r="AC302" s="685"/>
      <c r="AD302" s="685"/>
      <c r="AE302" s="685"/>
      <c r="AF302" s="685"/>
      <c r="AG302" s="685"/>
      <c r="AH302" s="685"/>
      <c r="AI302" s="685"/>
      <c r="AJ302" s="685"/>
      <c r="AK302" s="685"/>
      <c r="AL302" s="685"/>
      <c r="AM302" s="685"/>
      <c r="AN302" s="685"/>
      <c r="AO302" s="685"/>
      <c r="AP302" s="685"/>
      <c r="AQ302" s="685"/>
      <c r="AR302" s="685"/>
      <c r="AS302" s="685"/>
      <c r="AT302" s="685"/>
      <c r="AU302" s="685"/>
      <c r="AV302" s="685"/>
      <c r="AW302" s="685"/>
      <c r="AX302" s="685"/>
      <c r="AY302" s="685"/>
      <c r="AZ302" s="685"/>
    </row>
    <row r="303" spans="1:52">
      <c r="A303" s="685"/>
      <c r="B303" s="685"/>
      <c r="C303" s="685"/>
      <c r="D303" s="685"/>
      <c r="E303" s="685"/>
      <c r="F303" s="685"/>
      <c r="G303" s="685"/>
      <c r="H303" s="685"/>
      <c r="I303" s="685"/>
      <c r="J303" s="685"/>
      <c r="K303" s="685"/>
      <c r="L303" s="685"/>
      <c r="M303" s="685"/>
      <c r="N303" s="685"/>
      <c r="O303" s="685"/>
      <c r="P303" s="685"/>
      <c r="Q303" s="685"/>
      <c r="R303" s="685"/>
      <c r="S303" s="685"/>
      <c r="T303" s="685"/>
      <c r="U303" s="685"/>
      <c r="V303" s="685"/>
      <c r="W303" s="685"/>
      <c r="X303" s="685"/>
      <c r="Y303" s="685"/>
      <c r="Z303" s="685"/>
      <c r="AA303" s="685"/>
      <c r="AB303" s="685"/>
      <c r="AC303" s="685"/>
      <c r="AD303" s="685"/>
      <c r="AE303" s="685"/>
      <c r="AF303" s="685"/>
      <c r="AG303" s="685"/>
      <c r="AH303" s="685"/>
      <c r="AI303" s="685"/>
      <c r="AJ303" s="685"/>
      <c r="AK303" s="685"/>
      <c r="AL303" s="685"/>
      <c r="AM303" s="685"/>
      <c r="AN303" s="685"/>
      <c r="AO303" s="685"/>
      <c r="AP303" s="685"/>
      <c r="AQ303" s="685"/>
      <c r="AR303" s="685"/>
      <c r="AS303" s="685"/>
      <c r="AT303" s="685"/>
      <c r="AU303" s="685"/>
      <c r="AV303" s="685"/>
      <c r="AW303" s="685"/>
      <c r="AX303" s="685"/>
      <c r="AY303" s="685"/>
      <c r="AZ303" s="685"/>
    </row>
    <row r="304" spans="1:52">
      <c r="A304" s="685"/>
      <c r="B304" s="685"/>
      <c r="C304" s="685"/>
      <c r="D304" s="685"/>
      <c r="E304" s="685"/>
      <c r="F304" s="685"/>
      <c r="G304" s="685"/>
      <c r="H304" s="685"/>
      <c r="I304" s="685"/>
      <c r="J304" s="685"/>
      <c r="K304" s="685"/>
      <c r="L304" s="685"/>
      <c r="M304" s="685"/>
      <c r="N304" s="685"/>
      <c r="O304" s="685"/>
      <c r="P304" s="685"/>
      <c r="Q304" s="685"/>
      <c r="R304" s="685"/>
      <c r="S304" s="685"/>
      <c r="T304" s="685"/>
      <c r="U304" s="685"/>
      <c r="V304" s="685"/>
      <c r="W304" s="685"/>
      <c r="X304" s="685"/>
      <c r="Y304" s="685"/>
      <c r="Z304" s="685"/>
      <c r="AA304" s="685"/>
      <c r="AB304" s="685"/>
      <c r="AC304" s="685"/>
      <c r="AD304" s="685"/>
      <c r="AE304" s="685"/>
      <c r="AF304" s="685"/>
      <c r="AG304" s="685"/>
      <c r="AH304" s="685"/>
      <c r="AI304" s="685"/>
      <c r="AJ304" s="685"/>
      <c r="AK304" s="685"/>
      <c r="AL304" s="685"/>
      <c r="AM304" s="685"/>
      <c r="AN304" s="685"/>
      <c r="AO304" s="685"/>
      <c r="AP304" s="685"/>
      <c r="AQ304" s="685"/>
      <c r="AR304" s="685"/>
      <c r="AS304" s="685"/>
      <c r="AT304" s="685"/>
      <c r="AU304" s="685"/>
      <c r="AV304" s="685"/>
      <c r="AW304" s="685"/>
      <c r="AX304" s="685"/>
      <c r="AY304" s="685"/>
      <c r="AZ304" s="685"/>
    </row>
    <row r="305" spans="1:52">
      <c r="A305" s="685"/>
      <c r="B305" s="685"/>
      <c r="C305" s="685"/>
      <c r="D305" s="685"/>
      <c r="E305" s="685"/>
      <c r="F305" s="685"/>
      <c r="G305" s="685"/>
      <c r="H305" s="685"/>
      <c r="I305" s="685"/>
      <c r="J305" s="685"/>
      <c r="K305" s="685"/>
      <c r="L305" s="685"/>
      <c r="M305" s="685"/>
      <c r="N305" s="685"/>
      <c r="O305" s="685"/>
      <c r="P305" s="685"/>
      <c r="Q305" s="685"/>
      <c r="R305" s="685"/>
      <c r="S305" s="685"/>
      <c r="T305" s="685"/>
      <c r="U305" s="685"/>
      <c r="V305" s="685"/>
      <c r="W305" s="685"/>
      <c r="X305" s="685"/>
      <c r="Y305" s="685"/>
      <c r="Z305" s="685"/>
      <c r="AA305" s="685"/>
      <c r="AB305" s="685"/>
      <c r="AC305" s="685"/>
      <c r="AD305" s="685"/>
      <c r="AE305" s="685"/>
      <c r="AF305" s="685"/>
      <c r="AG305" s="685"/>
      <c r="AH305" s="685"/>
      <c r="AI305" s="685"/>
      <c r="AJ305" s="685"/>
      <c r="AK305" s="685"/>
      <c r="AL305" s="685"/>
      <c r="AM305" s="685"/>
      <c r="AN305" s="685"/>
      <c r="AO305" s="685"/>
      <c r="AP305" s="685"/>
      <c r="AQ305" s="685"/>
      <c r="AR305" s="685"/>
      <c r="AS305" s="685"/>
      <c r="AT305" s="685"/>
      <c r="AU305" s="685"/>
      <c r="AV305" s="685"/>
      <c r="AW305" s="685"/>
      <c r="AX305" s="685"/>
      <c r="AY305" s="685"/>
      <c r="AZ305" s="685"/>
    </row>
    <row r="306" spans="1:52">
      <c r="A306" s="685"/>
      <c r="B306" s="685"/>
      <c r="C306" s="685"/>
      <c r="D306" s="685"/>
      <c r="E306" s="685"/>
      <c r="F306" s="685"/>
      <c r="G306" s="685"/>
      <c r="H306" s="685"/>
      <c r="I306" s="685"/>
      <c r="J306" s="685"/>
      <c r="K306" s="685"/>
      <c r="L306" s="685"/>
      <c r="M306" s="685"/>
      <c r="N306" s="685"/>
      <c r="O306" s="685"/>
      <c r="P306" s="685"/>
      <c r="Q306" s="685"/>
      <c r="R306" s="685"/>
      <c r="S306" s="685"/>
      <c r="T306" s="685"/>
      <c r="U306" s="685"/>
      <c r="V306" s="685"/>
      <c r="W306" s="685"/>
      <c r="X306" s="685"/>
      <c r="Y306" s="685"/>
      <c r="Z306" s="685"/>
      <c r="AA306" s="685"/>
      <c r="AB306" s="685"/>
      <c r="AC306" s="685"/>
      <c r="AD306" s="685"/>
      <c r="AE306" s="685"/>
      <c r="AF306" s="685"/>
      <c r="AG306" s="685"/>
      <c r="AH306" s="685"/>
      <c r="AI306" s="685"/>
      <c r="AJ306" s="685"/>
      <c r="AK306" s="685"/>
      <c r="AL306" s="685"/>
      <c r="AM306" s="685"/>
      <c r="AN306" s="685"/>
      <c r="AO306" s="685"/>
      <c r="AP306" s="685"/>
      <c r="AQ306" s="685"/>
      <c r="AR306" s="685"/>
      <c r="AS306" s="685"/>
      <c r="AT306" s="685"/>
      <c r="AU306" s="685"/>
      <c r="AV306" s="685"/>
      <c r="AW306" s="685"/>
      <c r="AX306" s="685"/>
      <c r="AY306" s="685"/>
      <c r="AZ306" s="685"/>
    </row>
    <row r="307" spans="1:52">
      <c r="A307" s="685"/>
      <c r="B307" s="685"/>
      <c r="C307" s="685"/>
      <c r="D307" s="685"/>
      <c r="E307" s="685"/>
      <c r="F307" s="685"/>
      <c r="G307" s="685"/>
      <c r="H307" s="685"/>
      <c r="I307" s="685"/>
      <c r="J307" s="685"/>
      <c r="K307" s="685"/>
      <c r="L307" s="685"/>
      <c r="M307" s="685"/>
      <c r="N307" s="685"/>
      <c r="O307" s="685"/>
      <c r="P307" s="685"/>
      <c r="Q307" s="685"/>
      <c r="R307" s="685"/>
      <c r="S307" s="685"/>
      <c r="T307" s="685"/>
      <c r="U307" s="685"/>
      <c r="V307" s="685"/>
      <c r="W307" s="685"/>
      <c r="X307" s="685"/>
      <c r="Y307" s="685"/>
      <c r="Z307" s="685"/>
      <c r="AA307" s="685"/>
      <c r="AB307" s="685"/>
      <c r="AC307" s="685"/>
      <c r="AD307" s="685"/>
      <c r="AE307" s="685"/>
      <c r="AF307" s="685"/>
      <c r="AG307" s="685"/>
      <c r="AH307" s="685"/>
      <c r="AI307" s="685"/>
      <c r="AJ307" s="685"/>
      <c r="AK307" s="685"/>
      <c r="AL307" s="685"/>
      <c r="AM307" s="685"/>
      <c r="AN307" s="685"/>
      <c r="AO307" s="685"/>
      <c r="AP307" s="685"/>
      <c r="AQ307" s="685"/>
      <c r="AR307" s="685"/>
      <c r="AS307" s="685"/>
      <c r="AT307" s="685"/>
      <c r="AU307" s="685"/>
      <c r="AV307" s="685"/>
      <c r="AW307" s="685"/>
      <c r="AX307" s="685"/>
      <c r="AY307" s="685"/>
      <c r="AZ307" s="685"/>
    </row>
    <row r="308" spans="1:52">
      <c r="A308" s="685"/>
      <c r="B308" s="685"/>
      <c r="C308" s="685"/>
      <c r="D308" s="685"/>
      <c r="E308" s="685"/>
      <c r="F308" s="685"/>
      <c r="G308" s="685"/>
      <c r="H308" s="685"/>
      <c r="I308" s="685"/>
      <c r="J308" s="685"/>
      <c r="K308" s="685"/>
      <c r="L308" s="685"/>
      <c r="M308" s="685"/>
      <c r="N308" s="685"/>
      <c r="O308" s="685"/>
      <c r="P308" s="685"/>
      <c r="Q308" s="685"/>
      <c r="R308" s="685"/>
      <c r="S308" s="685"/>
      <c r="T308" s="685"/>
      <c r="U308" s="685"/>
      <c r="V308" s="685"/>
      <c r="W308" s="685"/>
      <c r="X308" s="685"/>
      <c r="Y308" s="685"/>
      <c r="Z308" s="685"/>
      <c r="AA308" s="685"/>
      <c r="AB308" s="685"/>
      <c r="AC308" s="685"/>
      <c r="AD308" s="685"/>
      <c r="AE308" s="685"/>
      <c r="AF308" s="685"/>
      <c r="AG308" s="685"/>
      <c r="AH308" s="685"/>
      <c r="AI308" s="685"/>
      <c r="AJ308" s="685"/>
      <c r="AK308" s="685"/>
      <c r="AL308" s="685"/>
      <c r="AM308" s="685"/>
      <c r="AN308" s="685"/>
      <c r="AO308" s="685"/>
      <c r="AP308" s="685"/>
      <c r="AQ308" s="685"/>
      <c r="AR308" s="685"/>
      <c r="AS308" s="685"/>
      <c r="AT308" s="685"/>
      <c r="AU308" s="685"/>
      <c r="AV308" s="685"/>
      <c r="AW308" s="685"/>
      <c r="AX308" s="685"/>
      <c r="AY308" s="685"/>
      <c r="AZ308" s="685"/>
    </row>
    <row r="309" spans="1:52">
      <c r="A309" s="685"/>
      <c r="B309" s="685"/>
      <c r="C309" s="685"/>
      <c r="D309" s="685"/>
      <c r="E309" s="685"/>
      <c r="F309" s="685"/>
      <c r="G309" s="685"/>
      <c r="H309" s="685"/>
      <c r="I309" s="685"/>
      <c r="J309" s="685"/>
      <c r="K309" s="685"/>
      <c r="L309" s="685"/>
      <c r="M309" s="685"/>
      <c r="N309" s="685"/>
      <c r="O309" s="685"/>
      <c r="P309" s="685"/>
      <c r="Q309" s="685"/>
      <c r="R309" s="685"/>
      <c r="S309" s="685"/>
      <c r="T309" s="685"/>
      <c r="U309" s="685"/>
      <c r="V309" s="685"/>
      <c r="W309" s="685"/>
      <c r="X309" s="685"/>
      <c r="Y309" s="685"/>
      <c r="Z309" s="685"/>
      <c r="AA309" s="685"/>
      <c r="AB309" s="685"/>
      <c r="AC309" s="685"/>
      <c r="AD309" s="685"/>
      <c r="AE309" s="685"/>
      <c r="AF309" s="685"/>
      <c r="AG309" s="685"/>
      <c r="AH309" s="685"/>
      <c r="AI309" s="685"/>
      <c r="AJ309" s="685"/>
      <c r="AK309" s="685"/>
      <c r="AL309" s="685"/>
      <c r="AM309" s="685"/>
      <c r="AN309" s="685"/>
      <c r="AO309" s="685"/>
      <c r="AP309" s="685"/>
      <c r="AQ309" s="685"/>
      <c r="AR309" s="685"/>
      <c r="AS309" s="685"/>
      <c r="AT309" s="685"/>
      <c r="AU309" s="685"/>
      <c r="AV309" s="685"/>
      <c r="AW309" s="685"/>
      <c r="AX309" s="685"/>
      <c r="AY309" s="685"/>
      <c r="AZ309" s="685"/>
    </row>
    <row r="310" spans="1:52">
      <c r="A310" s="685"/>
      <c r="B310" s="685"/>
      <c r="C310" s="685"/>
      <c r="D310" s="685"/>
      <c r="E310" s="685"/>
      <c r="F310" s="685"/>
      <c r="G310" s="685"/>
      <c r="H310" s="685"/>
      <c r="I310" s="685"/>
      <c r="J310" s="685"/>
      <c r="K310" s="685"/>
      <c r="L310" s="685"/>
      <c r="M310" s="685"/>
      <c r="N310" s="685"/>
      <c r="O310" s="685"/>
      <c r="P310" s="685"/>
      <c r="Q310" s="685"/>
      <c r="R310" s="685"/>
      <c r="S310" s="685"/>
      <c r="T310" s="685"/>
      <c r="U310" s="685"/>
      <c r="V310" s="685"/>
      <c r="W310" s="685"/>
      <c r="X310" s="685"/>
      <c r="Y310" s="685"/>
      <c r="Z310" s="685"/>
      <c r="AA310" s="685"/>
      <c r="AB310" s="685"/>
      <c r="AC310" s="685"/>
      <c r="AD310" s="685"/>
      <c r="AE310" s="685"/>
      <c r="AF310" s="685"/>
      <c r="AG310" s="685"/>
      <c r="AH310" s="685"/>
      <c r="AI310" s="685"/>
      <c r="AJ310" s="685"/>
      <c r="AK310" s="685"/>
      <c r="AL310" s="685"/>
      <c r="AM310" s="685"/>
      <c r="AN310" s="685"/>
      <c r="AO310" s="685"/>
      <c r="AP310" s="685"/>
      <c r="AQ310" s="685"/>
      <c r="AR310" s="685"/>
      <c r="AS310" s="685"/>
      <c r="AT310" s="685"/>
      <c r="AU310" s="685"/>
      <c r="AV310" s="685"/>
      <c r="AW310" s="685"/>
      <c r="AX310" s="685"/>
      <c r="AY310" s="685"/>
      <c r="AZ310" s="685"/>
    </row>
    <row r="311" spans="1:52">
      <c r="A311" s="685"/>
      <c r="B311" s="685"/>
      <c r="C311" s="685"/>
      <c r="D311" s="685"/>
      <c r="E311" s="685"/>
      <c r="F311" s="685"/>
      <c r="G311" s="685"/>
      <c r="H311" s="685"/>
      <c r="I311" s="685"/>
      <c r="J311" s="685"/>
      <c r="K311" s="685"/>
      <c r="L311" s="685"/>
      <c r="M311" s="685"/>
      <c r="N311" s="685"/>
      <c r="O311" s="685"/>
      <c r="P311" s="685"/>
      <c r="Q311" s="685"/>
      <c r="R311" s="685"/>
      <c r="S311" s="685"/>
      <c r="T311" s="685"/>
      <c r="U311" s="685"/>
      <c r="V311" s="685"/>
      <c r="W311" s="685"/>
      <c r="X311" s="685"/>
      <c r="Y311" s="685"/>
      <c r="Z311" s="685"/>
      <c r="AA311" s="685"/>
      <c r="AB311" s="685"/>
      <c r="AC311" s="685"/>
      <c r="AD311" s="685"/>
      <c r="AE311" s="685"/>
      <c r="AF311" s="685"/>
      <c r="AG311" s="685"/>
      <c r="AH311" s="685"/>
      <c r="AI311" s="685"/>
      <c r="AJ311" s="685"/>
      <c r="AK311" s="685"/>
      <c r="AL311" s="685"/>
      <c r="AM311" s="685"/>
      <c r="AN311" s="685"/>
      <c r="AO311" s="685"/>
      <c r="AP311" s="685"/>
      <c r="AQ311" s="685"/>
      <c r="AR311" s="685"/>
      <c r="AS311" s="685"/>
      <c r="AT311" s="685"/>
      <c r="AU311" s="685"/>
      <c r="AV311" s="685"/>
      <c r="AW311" s="685"/>
      <c r="AX311" s="685"/>
      <c r="AY311" s="685"/>
      <c r="AZ311" s="685"/>
    </row>
    <row r="312" spans="1:52">
      <c r="A312" s="685"/>
      <c r="B312" s="685"/>
      <c r="C312" s="685"/>
      <c r="D312" s="685"/>
      <c r="E312" s="685"/>
      <c r="F312" s="685"/>
      <c r="G312" s="685"/>
      <c r="H312" s="685"/>
      <c r="I312" s="685"/>
      <c r="J312" s="685"/>
      <c r="K312" s="685"/>
      <c r="L312" s="685"/>
      <c r="M312" s="685"/>
      <c r="N312" s="685"/>
      <c r="O312" s="685"/>
      <c r="P312" s="685"/>
      <c r="Q312" s="685"/>
      <c r="R312" s="685"/>
      <c r="S312" s="685"/>
      <c r="T312" s="685"/>
      <c r="U312" s="685"/>
      <c r="V312" s="685"/>
      <c r="W312" s="685"/>
      <c r="X312" s="685"/>
      <c r="Y312" s="685"/>
      <c r="Z312" s="685"/>
      <c r="AA312" s="685"/>
      <c r="AB312" s="685"/>
      <c r="AC312" s="685"/>
      <c r="AD312" s="685"/>
      <c r="AE312" s="685"/>
      <c r="AF312" s="685"/>
      <c r="AG312" s="685"/>
      <c r="AH312" s="685"/>
      <c r="AI312" s="685"/>
      <c r="AJ312" s="685"/>
      <c r="AK312" s="685"/>
      <c r="AL312" s="685"/>
      <c r="AM312" s="685"/>
      <c r="AN312" s="685"/>
      <c r="AO312" s="685"/>
      <c r="AP312" s="685"/>
      <c r="AQ312" s="685"/>
      <c r="AR312" s="685"/>
      <c r="AS312" s="685"/>
      <c r="AT312" s="685"/>
      <c r="AU312" s="685"/>
      <c r="AV312" s="685"/>
      <c r="AW312" s="685"/>
      <c r="AX312" s="685"/>
      <c r="AY312" s="685"/>
      <c r="AZ312" s="685"/>
    </row>
    <row r="313" spans="1:52">
      <c r="A313" s="685"/>
      <c r="B313" s="685"/>
      <c r="C313" s="685"/>
      <c r="D313" s="685"/>
      <c r="E313" s="685"/>
      <c r="F313" s="685"/>
      <c r="G313" s="685"/>
      <c r="H313" s="685"/>
      <c r="I313" s="685"/>
      <c r="J313" s="685"/>
      <c r="K313" s="685"/>
      <c r="L313" s="685"/>
      <c r="M313" s="685"/>
      <c r="N313" s="685"/>
      <c r="O313" s="685"/>
      <c r="P313" s="685"/>
      <c r="Q313" s="685"/>
      <c r="R313" s="685"/>
      <c r="S313" s="685"/>
      <c r="T313" s="685"/>
      <c r="U313" s="685"/>
      <c r="V313" s="685"/>
      <c r="W313" s="685"/>
      <c r="X313" s="685"/>
      <c r="Y313" s="685"/>
      <c r="Z313" s="685"/>
      <c r="AA313" s="685"/>
      <c r="AB313" s="685"/>
      <c r="AC313" s="685"/>
      <c r="AD313" s="685"/>
      <c r="AE313" s="685"/>
      <c r="AF313" s="685"/>
      <c r="AG313" s="685"/>
      <c r="AH313" s="685"/>
      <c r="AI313" s="685"/>
      <c r="AJ313" s="685"/>
      <c r="AK313" s="685"/>
      <c r="AL313" s="685"/>
      <c r="AM313" s="685"/>
      <c r="AN313" s="685"/>
      <c r="AO313" s="685"/>
      <c r="AP313" s="685"/>
      <c r="AQ313" s="685"/>
      <c r="AR313" s="685"/>
      <c r="AS313" s="685"/>
      <c r="AT313" s="685"/>
      <c r="AU313" s="685"/>
      <c r="AV313" s="685"/>
      <c r="AW313" s="685"/>
      <c r="AX313" s="685"/>
      <c r="AY313" s="685"/>
      <c r="AZ313" s="685"/>
    </row>
    <row r="314" spans="1:52">
      <c r="A314" s="685"/>
      <c r="B314" s="685"/>
      <c r="C314" s="685"/>
      <c r="D314" s="685"/>
      <c r="E314" s="685"/>
      <c r="F314" s="685"/>
      <c r="G314" s="685"/>
      <c r="H314" s="685"/>
      <c r="I314" s="685"/>
      <c r="J314" s="685"/>
      <c r="K314" s="685"/>
      <c r="L314" s="685"/>
      <c r="M314" s="685"/>
      <c r="N314" s="685"/>
      <c r="O314" s="685"/>
      <c r="P314" s="685"/>
      <c r="Q314" s="685"/>
      <c r="R314" s="685"/>
      <c r="S314" s="685"/>
      <c r="T314" s="685"/>
      <c r="U314" s="685"/>
      <c r="V314" s="685"/>
      <c r="W314" s="685"/>
      <c r="X314" s="685"/>
      <c r="Y314" s="685"/>
      <c r="Z314" s="685"/>
      <c r="AA314" s="685"/>
      <c r="AB314" s="685"/>
      <c r="AC314" s="685"/>
      <c r="AD314" s="685"/>
      <c r="AE314" s="685"/>
      <c r="AF314" s="685"/>
      <c r="AG314" s="685"/>
      <c r="AH314" s="685"/>
      <c r="AI314" s="685"/>
      <c r="AJ314" s="685"/>
      <c r="AK314" s="685"/>
      <c r="AL314" s="685"/>
      <c r="AM314" s="685"/>
      <c r="AN314" s="685"/>
      <c r="AO314" s="685"/>
      <c r="AP314" s="685"/>
      <c r="AQ314" s="685"/>
      <c r="AR314" s="685"/>
      <c r="AS314" s="685"/>
      <c r="AT314" s="685"/>
      <c r="AU314" s="685"/>
      <c r="AV314" s="685"/>
      <c r="AW314" s="685"/>
      <c r="AX314" s="685"/>
      <c r="AY314" s="685"/>
      <c r="AZ314" s="685"/>
    </row>
    <row r="315" spans="1:52">
      <c r="A315" s="685"/>
      <c r="B315" s="685"/>
      <c r="C315" s="685"/>
      <c r="D315" s="685"/>
      <c r="E315" s="685"/>
      <c r="F315" s="685"/>
      <c r="G315" s="685"/>
      <c r="H315" s="685"/>
      <c r="I315" s="685"/>
      <c r="J315" s="685"/>
      <c r="K315" s="685"/>
      <c r="L315" s="685"/>
      <c r="M315" s="685"/>
      <c r="N315" s="685"/>
      <c r="O315" s="685"/>
      <c r="P315" s="685"/>
      <c r="Q315" s="685"/>
      <c r="R315" s="685"/>
      <c r="S315" s="685"/>
      <c r="T315" s="685"/>
      <c r="U315" s="685"/>
      <c r="V315" s="685"/>
      <c r="W315" s="685"/>
      <c r="X315" s="685"/>
      <c r="Y315" s="685"/>
      <c r="Z315" s="685"/>
      <c r="AA315" s="685"/>
      <c r="AB315" s="685"/>
      <c r="AC315" s="685"/>
      <c r="AD315" s="685"/>
      <c r="AE315" s="685"/>
      <c r="AF315" s="685"/>
      <c r="AG315" s="685"/>
      <c r="AH315" s="685"/>
      <c r="AI315" s="685"/>
      <c r="AJ315" s="685"/>
      <c r="AK315" s="685"/>
      <c r="AL315" s="685"/>
      <c r="AM315" s="685"/>
      <c r="AN315" s="685"/>
      <c r="AO315" s="685"/>
      <c r="AP315" s="685"/>
      <c r="AQ315" s="685"/>
      <c r="AR315" s="685"/>
      <c r="AS315" s="685"/>
      <c r="AT315" s="685"/>
      <c r="AU315" s="685"/>
      <c r="AV315" s="685"/>
      <c r="AW315" s="685"/>
      <c r="AX315" s="685"/>
      <c r="AY315" s="685"/>
      <c r="AZ315" s="685"/>
    </row>
    <row r="316" spans="1:52">
      <c r="A316" s="685"/>
      <c r="B316" s="685"/>
      <c r="C316" s="685"/>
      <c r="D316" s="685"/>
      <c r="E316" s="685"/>
      <c r="F316" s="685"/>
      <c r="G316" s="685"/>
      <c r="H316" s="685"/>
      <c r="I316" s="685"/>
      <c r="J316" s="685"/>
      <c r="K316" s="685"/>
      <c r="L316" s="685"/>
      <c r="M316" s="685"/>
      <c r="N316" s="685"/>
      <c r="O316" s="685"/>
      <c r="P316" s="685"/>
      <c r="Q316" s="685"/>
      <c r="R316" s="685"/>
      <c r="S316" s="685"/>
      <c r="T316" s="685"/>
      <c r="U316" s="685"/>
      <c r="V316" s="685"/>
      <c r="W316" s="685"/>
      <c r="X316" s="685"/>
      <c r="Y316" s="685"/>
      <c r="Z316" s="685"/>
      <c r="AA316" s="685"/>
      <c r="AB316" s="685"/>
      <c r="AC316" s="685"/>
      <c r="AD316" s="685"/>
      <c r="AE316" s="685"/>
      <c r="AF316" s="685"/>
      <c r="AG316" s="685"/>
      <c r="AH316" s="685"/>
      <c r="AI316" s="685"/>
      <c r="AJ316" s="685"/>
      <c r="AK316" s="685"/>
      <c r="AL316" s="685"/>
      <c r="AM316" s="685"/>
      <c r="AN316" s="685"/>
      <c r="AO316" s="685"/>
      <c r="AP316" s="685"/>
      <c r="AQ316" s="685"/>
      <c r="AR316" s="685"/>
      <c r="AS316" s="685"/>
      <c r="AT316" s="685"/>
      <c r="AU316" s="685"/>
      <c r="AV316" s="685"/>
      <c r="AW316" s="685"/>
      <c r="AX316" s="685"/>
      <c r="AY316" s="685"/>
      <c r="AZ316" s="685"/>
    </row>
    <row r="317" spans="1:52">
      <c r="A317" s="763"/>
      <c r="B317" s="763"/>
      <c r="C317" s="763"/>
      <c r="D317" s="763"/>
      <c r="E317" s="763"/>
      <c r="F317" s="763"/>
      <c r="G317" s="763"/>
      <c r="H317" s="763"/>
      <c r="I317" s="763"/>
      <c r="J317" s="763"/>
      <c r="K317" s="763"/>
      <c r="L317" s="763"/>
      <c r="M317" s="763"/>
      <c r="N317" s="763"/>
      <c r="O317" s="763"/>
      <c r="P317" s="763"/>
      <c r="Q317" s="763"/>
      <c r="R317" s="763"/>
      <c r="S317" s="763"/>
      <c r="T317" s="763"/>
      <c r="U317" s="763"/>
      <c r="V317" s="763"/>
      <c r="W317" s="763"/>
      <c r="X317" s="763"/>
      <c r="Y317" s="763"/>
      <c r="Z317" s="763"/>
      <c r="AA317" s="763"/>
      <c r="AB317" s="763"/>
      <c r="AC317" s="763"/>
      <c r="AD317" s="763"/>
      <c r="AE317" s="763"/>
      <c r="AF317" s="763"/>
      <c r="AG317" s="763"/>
      <c r="AH317" s="763"/>
      <c r="AI317" s="763"/>
      <c r="AJ317" s="763"/>
      <c r="AK317" s="763"/>
      <c r="AL317" s="763"/>
      <c r="AM317" s="763"/>
      <c r="AN317" s="763"/>
      <c r="AO317" s="763"/>
      <c r="AP317" s="763"/>
      <c r="AQ317" s="763"/>
      <c r="AR317" s="763"/>
      <c r="AS317" s="763"/>
      <c r="AT317" s="763"/>
      <c r="AU317" s="763"/>
      <c r="AV317" s="763"/>
      <c r="AW317" s="763"/>
      <c r="AX317" s="763"/>
      <c r="AY317" s="763"/>
      <c r="AZ317" s="763"/>
    </row>
    <row r="318" spans="1:52">
      <c r="A318" s="763"/>
      <c r="B318" s="763"/>
      <c r="C318" s="763"/>
      <c r="D318" s="763"/>
      <c r="E318" s="763"/>
      <c r="F318" s="763"/>
      <c r="G318" s="763"/>
      <c r="H318" s="763"/>
      <c r="I318" s="763"/>
      <c r="J318" s="763"/>
      <c r="K318" s="763"/>
      <c r="L318" s="763"/>
      <c r="M318" s="763"/>
      <c r="N318" s="763"/>
      <c r="O318" s="763"/>
      <c r="P318" s="763"/>
      <c r="Q318" s="763"/>
      <c r="R318" s="763"/>
      <c r="S318" s="763"/>
      <c r="T318" s="763"/>
      <c r="U318" s="763"/>
      <c r="V318" s="763"/>
      <c r="W318" s="763"/>
      <c r="X318" s="763"/>
      <c r="Y318" s="763"/>
      <c r="Z318" s="763"/>
      <c r="AA318" s="763"/>
      <c r="AB318" s="763"/>
      <c r="AC318" s="763"/>
      <c r="AD318" s="763"/>
      <c r="AE318" s="763"/>
      <c r="AF318" s="763"/>
      <c r="AG318" s="763"/>
      <c r="AH318" s="763"/>
      <c r="AI318" s="763"/>
      <c r="AJ318" s="763"/>
      <c r="AK318" s="763"/>
      <c r="AL318" s="763"/>
      <c r="AM318" s="763"/>
      <c r="AN318" s="763"/>
      <c r="AO318" s="763"/>
      <c r="AP318" s="763"/>
      <c r="AQ318" s="763"/>
      <c r="AR318" s="763"/>
      <c r="AS318" s="763"/>
      <c r="AT318" s="763"/>
      <c r="AU318" s="763"/>
      <c r="AV318" s="763"/>
      <c r="AW318" s="763"/>
      <c r="AX318" s="763"/>
      <c r="AY318" s="763"/>
      <c r="AZ318" s="763"/>
    </row>
    <row r="319" spans="1:52">
      <c r="A319" s="763"/>
      <c r="B319" s="763"/>
      <c r="C319" s="763"/>
      <c r="D319" s="763"/>
      <c r="E319" s="763"/>
      <c r="F319" s="763"/>
      <c r="G319" s="763"/>
      <c r="H319" s="763"/>
      <c r="I319" s="763"/>
      <c r="J319" s="763"/>
      <c r="K319" s="763"/>
      <c r="L319" s="763"/>
      <c r="M319" s="763"/>
      <c r="N319" s="763"/>
      <c r="O319" s="763"/>
      <c r="P319" s="763"/>
      <c r="Q319" s="763"/>
      <c r="R319" s="763"/>
      <c r="S319" s="763"/>
      <c r="T319" s="763"/>
      <c r="U319" s="763"/>
      <c r="V319" s="763"/>
      <c r="W319" s="763"/>
      <c r="X319" s="763"/>
      <c r="Y319" s="763"/>
      <c r="Z319" s="763"/>
      <c r="AA319" s="763"/>
      <c r="AB319" s="763"/>
      <c r="AC319" s="763"/>
      <c r="AD319" s="763"/>
      <c r="AE319" s="763"/>
      <c r="AF319" s="763"/>
      <c r="AG319" s="763"/>
      <c r="AH319" s="763"/>
      <c r="AI319" s="763"/>
      <c r="AJ319" s="763"/>
      <c r="AK319" s="763"/>
      <c r="AL319" s="763"/>
      <c r="AM319" s="763"/>
      <c r="AN319" s="763"/>
      <c r="AO319" s="763"/>
      <c r="AP319" s="763"/>
      <c r="AQ319" s="763"/>
      <c r="AR319" s="763"/>
      <c r="AS319" s="763"/>
      <c r="AT319" s="763"/>
      <c r="AU319" s="763"/>
      <c r="AV319" s="763"/>
      <c r="AW319" s="763"/>
      <c r="AX319" s="763"/>
      <c r="AY319" s="763"/>
      <c r="AZ319" s="763"/>
    </row>
    <row r="320" spans="1:52">
      <c r="A320" s="763"/>
      <c r="B320" s="763"/>
      <c r="C320" s="763"/>
      <c r="D320" s="763"/>
      <c r="E320" s="763"/>
      <c r="F320" s="763"/>
      <c r="G320" s="763"/>
      <c r="H320" s="763"/>
      <c r="I320" s="763"/>
      <c r="J320" s="763"/>
      <c r="K320" s="763"/>
      <c r="L320" s="763"/>
      <c r="M320" s="763"/>
      <c r="N320" s="763"/>
      <c r="O320" s="763"/>
      <c r="P320" s="763"/>
      <c r="Q320" s="763"/>
      <c r="R320" s="763"/>
      <c r="S320" s="763"/>
      <c r="T320" s="763"/>
      <c r="U320" s="763"/>
      <c r="V320" s="763"/>
      <c r="W320" s="763"/>
      <c r="X320" s="763"/>
      <c r="Y320" s="763"/>
      <c r="Z320" s="763"/>
      <c r="AA320" s="763"/>
      <c r="AB320" s="763"/>
      <c r="AC320" s="763"/>
      <c r="AD320" s="763"/>
      <c r="AE320" s="763"/>
      <c r="AF320" s="763"/>
      <c r="AG320" s="763"/>
      <c r="AH320" s="763"/>
      <c r="AI320" s="763"/>
      <c r="AJ320" s="763"/>
      <c r="AK320" s="763"/>
      <c r="AL320" s="763"/>
      <c r="AM320" s="763"/>
      <c r="AN320" s="763"/>
      <c r="AO320" s="763"/>
      <c r="AP320" s="763"/>
      <c r="AQ320" s="763"/>
      <c r="AR320" s="763"/>
      <c r="AS320" s="763"/>
      <c r="AT320" s="763"/>
      <c r="AU320" s="763"/>
      <c r="AV320" s="763"/>
      <c r="AW320" s="763"/>
      <c r="AX320" s="763"/>
      <c r="AY320" s="763"/>
      <c r="AZ320" s="763"/>
    </row>
    <row r="321" spans="1:52">
      <c r="A321" s="763"/>
      <c r="B321" s="763"/>
      <c r="C321" s="763"/>
      <c r="D321" s="763"/>
      <c r="E321" s="763"/>
      <c r="F321" s="763"/>
      <c r="G321" s="763"/>
      <c r="H321" s="763"/>
      <c r="I321" s="763"/>
      <c r="J321" s="763"/>
      <c r="K321" s="763"/>
      <c r="L321" s="763"/>
      <c r="M321" s="763"/>
      <c r="N321" s="763"/>
      <c r="O321" s="763"/>
      <c r="P321" s="763"/>
      <c r="Q321" s="763"/>
      <c r="R321" s="763"/>
      <c r="S321" s="763"/>
      <c r="T321" s="763"/>
      <c r="U321" s="763"/>
      <c r="V321" s="763"/>
      <c r="W321" s="763"/>
      <c r="X321" s="763"/>
      <c r="Y321" s="763"/>
      <c r="Z321" s="763"/>
      <c r="AA321" s="763"/>
      <c r="AB321" s="763"/>
      <c r="AC321" s="763"/>
      <c r="AD321" s="763"/>
      <c r="AE321" s="763"/>
      <c r="AF321" s="763"/>
      <c r="AG321" s="763"/>
      <c r="AH321" s="763"/>
      <c r="AI321" s="763"/>
      <c r="AJ321" s="763"/>
      <c r="AK321" s="763"/>
      <c r="AL321" s="763"/>
      <c r="AM321" s="763"/>
      <c r="AN321" s="763"/>
      <c r="AO321" s="763"/>
      <c r="AP321" s="763"/>
      <c r="AQ321" s="763"/>
      <c r="AR321" s="763"/>
      <c r="AS321" s="763"/>
      <c r="AT321" s="763"/>
      <c r="AU321" s="763"/>
      <c r="AV321" s="763"/>
      <c r="AW321" s="763"/>
      <c r="AX321" s="763"/>
      <c r="AY321" s="763"/>
      <c r="AZ321" s="763"/>
    </row>
    <row r="322" spans="1:52">
      <c r="A322" s="763"/>
      <c r="B322" s="763"/>
      <c r="C322" s="763"/>
      <c r="D322" s="763"/>
      <c r="E322" s="763"/>
      <c r="F322" s="763"/>
      <c r="G322" s="763"/>
      <c r="H322" s="763"/>
      <c r="I322" s="763"/>
      <c r="J322" s="763"/>
      <c r="K322" s="763"/>
      <c r="L322" s="763"/>
      <c r="M322" s="763"/>
      <c r="N322" s="763"/>
      <c r="O322" s="763"/>
      <c r="P322" s="763"/>
      <c r="Q322" s="763"/>
      <c r="R322" s="763"/>
      <c r="S322" s="763"/>
      <c r="T322" s="763"/>
      <c r="U322" s="763"/>
      <c r="V322" s="763"/>
      <c r="W322" s="763"/>
      <c r="X322" s="763"/>
      <c r="Y322" s="763"/>
      <c r="Z322" s="763"/>
      <c r="AA322" s="763"/>
      <c r="AB322" s="763"/>
      <c r="AC322" s="763"/>
      <c r="AD322" s="763"/>
      <c r="AE322" s="763"/>
      <c r="AF322" s="763"/>
      <c r="AG322" s="763"/>
      <c r="AH322" s="763"/>
      <c r="AI322" s="763"/>
      <c r="AJ322" s="763"/>
      <c r="AK322" s="763"/>
      <c r="AL322" s="763"/>
      <c r="AM322" s="763"/>
      <c r="AN322" s="763"/>
      <c r="AO322" s="763"/>
      <c r="AP322" s="763"/>
      <c r="AQ322" s="763"/>
      <c r="AR322" s="763"/>
      <c r="AS322" s="763"/>
      <c r="AT322" s="763"/>
      <c r="AU322" s="763"/>
      <c r="AV322" s="763"/>
      <c r="AW322" s="763"/>
      <c r="AX322" s="763"/>
      <c r="AY322" s="763"/>
      <c r="AZ322" s="763"/>
    </row>
    <row r="323" spans="1:52">
      <c r="A323" s="763"/>
      <c r="B323" s="763"/>
      <c r="C323" s="763"/>
      <c r="D323" s="763"/>
      <c r="E323" s="763"/>
      <c r="F323" s="763"/>
      <c r="G323" s="763"/>
      <c r="H323" s="763"/>
      <c r="I323" s="763"/>
      <c r="J323" s="763"/>
      <c r="K323" s="763"/>
      <c r="L323" s="763"/>
      <c r="M323" s="763"/>
      <c r="N323" s="763"/>
      <c r="O323" s="763"/>
      <c r="P323" s="763"/>
      <c r="Q323" s="763"/>
      <c r="R323" s="763"/>
      <c r="S323" s="763"/>
      <c r="T323" s="763"/>
      <c r="U323" s="763"/>
      <c r="V323" s="763"/>
      <c r="W323" s="763"/>
      <c r="X323" s="763"/>
      <c r="Y323" s="763"/>
      <c r="Z323" s="763"/>
      <c r="AA323" s="763"/>
      <c r="AB323" s="763"/>
      <c r="AC323" s="763"/>
      <c r="AD323" s="763"/>
      <c r="AE323" s="763"/>
      <c r="AF323" s="763"/>
      <c r="AG323" s="763"/>
      <c r="AH323" s="763"/>
      <c r="AI323" s="763"/>
      <c r="AJ323" s="763"/>
      <c r="AK323" s="763"/>
      <c r="AL323" s="763"/>
      <c r="AM323" s="763"/>
      <c r="AN323" s="763"/>
      <c r="AO323" s="763"/>
      <c r="AP323" s="763"/>
      <c r="AQ323" s="763"/>
      <c r="AR323" s="763"/>
      <c r="AS323" s="763"/>
      <c r="AT323" s="763"/>
      <c r="AU323" s="763"/>
      <c r="AV323" s="763"/>
      <c r="AW323" s="763"/>
      <c r="AX323" s="763"/>
      <c r="AY323" s="763"/>
      <c r="AZ323" s="763"/>
    </row>
    <row r="324" spans="1:52">
      <c r="A324" s="763"/>
      <c r="B324" s="763"/>
      <c r="C324" s="763"/>
      <c r="D324" s="763"/>
      <c r="E324" s="763"/>
      <c r="F324" s="763"/>
      <c r="G324" s="763"/>
      <c r="H324" s="763"/>
      <c r="I324" s="763"/>
      <c r="J324" s="763"/>
      <c r="K324" s="763"/>
      <c r="L324" s="763"/>
      <c r="M324" s="763"/>
      <c r="N324" s="763"/>
      <c r="O324" s="763"/>
      <c r="P324" s="763"/>
      <c r="Q324" s="763"/>
      <c r="R324" s="763"/>
      <c r="S324" s="763"/>
      <c r="T324" s="763"/>
      <c r="U324" s="763"/>
      <c r="V324" s="763"/>
      <c r="W324" s="763"/>
      <c r="X324" s="763"/>
      <c r="Y324" s="763"/>
      <c r="Z324" s="763"/>
      <c r="AA324" s="763"/>
      <c r="AB324" s="763"/>
      <c r="AC324" s="763"/>
      <c r="AD324" s="763"/>
      <c r="AE324" s="763"/>
      <c r="AF324" s="763"/>
      <c r="AG324" s="763"/>
      <c r="AH324" s="763"/>
      <c r="AI324" s="763"/>
      <c r="AJ324" s="763"/>
      <c r="AK324" s="763"/>
      <c r="AL324" s="763"/>
      <c r="AM324" s="763"/>
      <c r="AN324" s="763"/>
      <c r="AO324" s="763"/>
      <c r="AP324" s="763"/>
      <c r="AQ324" s="763"/>
      <c r="AR324" s="763"/>
      <c r="AS324" s="763"/>
      <c r="AT324" s="763"/>
      <c r="AU324" s="763"/>
      <c r="AV324" s="763"/>
      <c r="AW324" s="763"/>
      <c r="AX324" s="763"/>
      <c r="AY324" s="763"/>
      <c r="AZ324" s="763"/>
    </row>
    <row r="325" spans="1:52">
      <c r="A325" s="763"/>
      <c r="B325" s="763"/>
      <c r="C325" s="763"/>
      <c r="D325" s="763"/>
      <c r="E325" s="763"/>
      <c r="F325" s="763"/>
      <c r="G325" s="763"/>
      <c r="H325" s="763"/>
      <c r="I325" s="763"/>
      <c r="J325" s="763"/>
      <c r="K325" s="763"/>
      <c r="L325" s="763"/>
      <c r="M325" s="763"/>
      <c r="N325" s="763"/>
      <c r="O325" s="763"/>
      <c r="P325" s="763"/>
      <c r="Q325" s="763"/>
      <c r="R325" s="763"/>
      <c r="S325" s="763"/>
      <c r="T325" s="763"/>
      <c r="U325" s="763"/>
      <c r="V325" s="763"/>
      <c r="W325" s="763"/>
      <c r="X325" s="763"/>
      <c r="Y325" s="763"/>
      <c r="Z325" s="763"/>
      <c r="AA325" s="763"/>
      <c r="AB325" s="763"/>
      <c r="AC325" s="763"/>
      <c r="AD325" s="763"/>
      <c r="AE325" s="763"/>
      <c r="AF325" s="763"/>
      <c r="AG325" s="763"/>
      <c r="AH325" s="763"/>
      <c r="AI325" s="763"/>
      <c r="AJ325" s="763"/>
      <c r="AK325" s="763"/>
      <c r="AL325" s="763"/>
      <c r="AM325" s="763"/>
      <c r="AN325" s="763"/>
      <c r="AO325" s="763"/>
      <c r="AP325" s="763"/>
      <c r="AQ325" s="763"/>
      <c r="AR325" s="763"/>
      <c r="AS325" s="763"/>
      <c r="AT325" s="763"/>
      <c r="AU325" s="763"/>
      <c r="AV325" s="763"/>
      <c r="AW325" s="763"/>
      <c r="AX325" s="763"/>
      <c r="AY325" s="763"/>
      <c r="AZ325" s="763"/>
    </row>
    <row r="326" spans="1:52">
      <c r="A326" s="763"/>
      <c r="B326" s="763"/>
      <c r="C326" s="763"/>
      <c r="D326" s="763"/>
      <c r="E326" s="763"/>
      <c r="F326" s="763"/>
      <c r="G326" s="763"/>
      <c r="H326" s="763"/>
      <c r="I326" s="763"/>
      <c r="J326" s="763"/>
      <c r="K326" s="763"/>
      <c r="L326" s="763"/>
      <c r="M326" s="763"/>
      <c r="N326" s="763"/>
      <c r="O326" s="763"/>
      <c r="P326" s="763"/>
      <c r="Q326" s="763"/>
      <c r="R326" s="763"/>
      <c r="S326" s="763"/>
      <c r="T326" s="763"/>
      <c r="U326" s="763"/>
      <c r="V326" s="763"/>
      <c r="W326" s="763"/>
      <c r="X326" s="763"/>
      <c r="Y326" s="763"/>
      <c r="Z326" s="763"/>
      <c r="AA326" s="763"/>
      <c r="AB326" s="763"/>
      <c r="AC326" s="763"/>
      <c r="AD326" s="763"/>
      <c r="AE326" s="763"/>
      <c r="AF326" s="763"/>
      <c r="AG326" s="763"/>
      <c r="AH326" s="763"/>
      <c r="AI326" s="763"/>
      <c r="AJ326" s="763"/>
      <c r="AK326" s="763"/>
      <c r="AL326" s="763"/>
      <c r="AM326" s="763"/>
      <c r="AN326" s="763"/>
      <c r="AO326" s="763"/>
      <c r="AP326" s="763"/>
      <c r="AQ326" s="763"/>
      <c r="AR326" s="763"/>
      <c r="AS326" s="763"/>
      <c r="AT326" s="763"/>
      <c r="AU326" s="763"/>
      <c r="AV326" s="763"/>
      <c r="AW326" s="763"/>
      <c r="AX326" s="763"/>
      <c r="AY326" s="763"/>
      <c r="AZ326" s="763"/>
    </row>
    <row r="327" spans="1:52">
      <c r="A327" s="763"/>
      <c r="B327" s="763"/>
      <c r="C327" s="763"/>
      <c r="D327" s="763"/>
      <c r="E327" s="763"/>
      <c r="F327" s="763"/>
      <c r="G327" s="763"/>
      <c r="H327" s="763"/>
      <c r="I327" s="763"/>
      <c r="J327" s="763"/>
      <c r="K327" s="763"/>
      <c r="L327" s="763"/>
      <c r="M327" s="763"/>
      <c r="N327" s="763"/>
      <c r="O327" s="763"/>
      <c r="P327" s="763"/>
      <c r="Q327" s="763"/>
      <c r="R327" s="763"/>
      <c r="S327" s="763"/>
      <c r="T327" s="763"/>
      <c r="U327" s="763"/>
      <c r="V327" s="763"/>
      <c r="W327" s="763"/>
      <c r="X327" s="763"/>
      <c r="Y327" s="763"/>
      <c r="Z327" s="763"/>
      <c r="AA327" s="763"/>
      <c r="AB327" s="763"/>
      <c r="AC327" s="763"/>
      <c r="AD327" s="763"/>
      <c r="AE327" s="763"/>
      <c r="AF327" s="763"/>
      <c r="AG327" s="763"/>
      <c r="AH327" s="763"/>
      <c r="AI327" s="763"/>
      <c r="AJ327" s="763"/>
      <c r="AK327" s="763"/>
      <c r="AL327" s="763"/>
      <c r="AM327" s="763"/>
      <c r="AN327" s="763"/>
      <c r="AO327" s="763"/>
      <c r="AP327" s="763"/>
      <c r="AQ327" s="763"/>
      <c r="AR327" s="763"/>
      <c r="AS327" s="763"/>
      <c r="AT327" s="763"/>
      <c r="AU327" s="763"/>
      <c r="AV327" s="763"/>
      <c r="AW327" s="763"/>
      <c r="AX327" s="763"/>
      <c r="AY327" s="763"/>
      <c r="AZ327" s="763"/>
    </row>
    <row r="328" spans="1:52">
      <c r="A328" s="763"/>
      <c r="B328" s="763"/>
      <c r="C328" s="763"/>
      <c r="D328" s="763"/>
      <c r="E328" s="763"/>
      <c r="F328" s="763"/>
      <c r="G328" s="763"/>
      <c r="H328" s="763"/>
      <c r="I328" s="763"/>
      <c r="J328" s="763"/>
      <c r="K328" s="763"/>
      <c r="L328" s="763"/>
      <c r="M328" s="763"/>
      <c r="N328" s="763"/>
      <c r="O328" s="763"/>
      <c r="P328" s="763"/>
      <c r="Q328" s="763"/>
      <c r="R328" s="763"/>
      <c r="S328" s="763"/>
      <c r="T328" s="763"/>
      <c r="U328" s="763"/>
      <c r="V328" s="763"/>
      <c r="W328" s="763"/>
      <c r="X328" s="763"/>
      <c r="Y328" s="763"/>
      <c r="Z328" s="763"/>
      <c r="AA328" s="763"/>
      <c r="AB328" s="763"/>
      <c r="AC328" s="763"/>
      <c r="AD328" s="763"/>
      <c r="AE328" s="763"/>
      <c r="AF328" s="763"/>
      <c r="AG328" s="763"/>
      <c r="AH328" s="763"/>
      <c r="AI328" s="763"/>
      <c r="AJ328" s="763"/>
      <c r="AK328" s="763"/>
      <c r="AL328" s="763"/>
      <c r="AM328" s="763"/>
      <c r="AN328" s="763"/>
      <c r="AO328" s="763"/>
      <c r="AP328" s="763"/>
      <c r="AQ328" s="763"/>
      <c r="AR328" s="763"/>
      <c r="AS328" s="763"/>
      <c r="AT328" s="763"/>
      <c r="AU328" s="763"/>
      <c r="AV328" s="763"/>
      <c r="AW328" s="763"/>
      <c r="AX328" s="763"/>
      <c r="AY328" s="763"/>
      <c r="AZ328" s="763"/>
    </row>
    <row r="329" spans="1:52">
      <c r="A329" s="763"/>
      <c r="B329" s="763"/>
      <c r="C329" s="763"/>
      <c r="D329" s="763"/>
      <c r="E329" s="763"/>
      <c r="F329" s="763"/>
      <c r="G329" s="763"/>
      <c r="H329" s="763"/>
      <c r="I329" s="763"/>
      <c r="J329" s="763"/>
      <c r="K329" s="763"/>
      <c r="L329" s="763"/>
      <c r="M329" s="763"/>
      <c r="N329" s="763"/>
      <c r="O329" s="763"/>
      <c r="P329" s="763"/>
      <c r="Q329" s="763"/>
      <c r="R329" s="763"/>
      <c r="S329" s="763"/>
      <c r="T329" s="763"/>
      <c r="U329" s="763"/>
      <c r="V329" s="763"/>
      <c r="W329" s="763"/>
      <c r="X329" s="763"/>
      <c r="Y329" s="763"/>
      <c r="Z329" s="763"/>
      <c r="AA329" s="763"/>
      <c r="AB329" s="763"/>
      <c r="AC329" s="763"/>
      <c r="AD329" s="763"/>
      <c r="AE329" s="763"/>
      <c r="AF329" s="763"/>
      <c r="AG329" s="763"/>
      <c r="AH329" s="763"/>
      <c r="AI329" s="763"/>
      <c r="AJ329" s="763"/>
      <c r="AK329" s="763"/>
      <c r="AL329" s="763"/>
      <c r="AM329" s="763"/>
      <c r="AN329" s="763"/>
      <c r="AO329" s="763"/>
      <c r="AP329" s="763"/>
      <c r="AQ329" s="763"/>
      <c r="AR329" s="763"/>
      <c r="AS329" s="763"/>
      <c r="AT329" s="763"/>
      <c r="AU329" s="763"/>
      <c r="AV329" s="763"/>
      <c r="AW329" s="763"/>
      <c r="AX329" s="763"/>
      <c r="AY329" s="763"/>
      <c r="AZ329" s="763"/>
    </row>
    <row r="330" spans="1:52">
      <c r="A330" s="763"/>
      <c r="B330" s="763"/>
      <c r="C330" s="763"/>
      <c r="D330" s="763"/>
      <c r="E330" s="763"/>
      <c r="F330" s="763"/>
      <c r="G330" s="763"/>
      <c r="H330" s="763"/>
      <c r="I330" s="763"/>
      <c r="J330" s="763"/>
      <c r="K330" s="763"/>
      <c r="L330" s="763"/>
      <c r="M330" s="763"/>
      <c r="N330" s="763"/>
      <c r="O330" s="763"/>
      <c r="P330" s="763"/>
      <c r="Q330" s="763"/>
      <c r="R330" s="763"/>
      <c r="S330" s="763"/>
      <c r="T330" s="763"/>
      <c r="U330" s="763"/>
      <c r="V330" s="763"/>
      <c r="W330" s="763"/>
      <c r="X330" s="763"/>
      <c r="Y330" s="763"/>
      <c r="Z330" s="763"/>
      <c r="AA330" s="763"/>
      <c r="AB330" s="763"/>
      <c r="AC330" s="763"/>
      <c r="AD330" s="763"/>
      <c r="AE330" s="763"/>
      <c r="AF330" s="763"/>
      <c r="AG330" s="763"/>
      <c r="AH330" s="763"/>
      <c r="AI330" s="763"/>
      <c r="AJ330" s="763"/>
      <c r="AK330" s="763"/>
      <c r="AL330" s="763"/>
      <c r="AM330" s="763"/>
      <c r="AN330" s="763"/>
      <c r="AO330" s="763"/>
      <c r="AP330" s="763"/>
      <c r="AQ330" s="763"/>
      <c r="AR330" s="763"/>
      <c r="AS330" s="763"/>
      <c r="AT330" s="763"/>
      <c r="AU330" s="763"/>
      <c r="AV330" s="763"/>
      <c r="AW330" s="763"/>
      <c r="AX330" s="763"/>
      <c r="AY330" s="763"/>
      <c r="AZ330" s="763"/>
    </row>
    <row r="331" spans="1:52">
      <c r="A331" s="763"/>
      <c r="B331" s="763"/>
      <c r="C331" s="763"/>
      <c r="D331" s="763"/>
      <c r="E331" s="763"/>
      <c r="F331" s="763"/>
      <c r="G331" s="763"/>
      <c r="H331" s="763"/>
      <c r="I331" s="763"/>
      <c r="J331" s="763"/>
      <c r="K331" s="763"/>
      <c r="L331" s="763"/>
      <c r="M331" s="763"/>
      <c r="N331" s="763"/>
      <c r="O331" s="763"/>
      <c r="P331" s="763"/>
      <c r="Q331" s="763"/>
      <c r="R331" s="763"/>
      <c r="S331" s="763"/>
      <c r="T331" s="763"/>
      <c r="U331" s="763"/>
      <c r="V331" s="763"/>
      <c r="W331" s="763"/>
      <c r="X331" s="763"/>
      <c r="Y331" s="763"/>
      <c r="Z331" s="763"/>
      <c r="AA331" s="763"/>
      <c r="AB331" s="763"/>
      <c r="AC331" s="763"/>
      <c r="AD331" s="763"/>
      <c r="AE331" s="763"/>
      <c r="AF331" s="763"/>
      <c r="AG331" s="763"/>
      <c r="AH331" s="763"/>
      <c r="AI331" s="763"/>
      <c r="AJ331" s="763"/>
      <c r="AK331" s="763"/>
      <c r="AL331" s="763"/>
      <c r="AM331" s="763"/>
      <c r="AN331" s="763"/>
      <c r="AO331" s="763"/>
      <c r="AP331" s="763"/>
      <c r="AQ331" s="763"/>
      <c r="AR331" s="763"/>
      <c r="AS331" s="763"/>
      <c r="AT331" s="763"/>
      <c r="AU331" s="763"/>
      <c r="AV331" s="763"/>
      <c r="AW331" s="763"/>
      <c r="AX331" s="763"/>
      <c r="AY331" s="763"/>
      <c r="AZ331" s="763"/>
    </row>
    <row r="332" spans="1:52">
      <c r="A332" s="763"/>
      <c r="B332" s="763"/>
      <c r="C332" s="763"/>
      <c r="D332" s="763"/>
      <c r="E332" s="763"/>
      <c r="F332" s="763"/>
      <c r="G332" s="763"/>
      <c r="H332" s="763"/>
      <c r="I332" s="763"/>
      <c r="J332" s="763"/>
      <c r="K332" s="763"/>
      <c r="L332" s="763"/>
      <c r="M332" s="763"/>
      <c r="N332" s="763"/>
      <c r="O332" s="763"/>
      <c r="P332" s="763"/>
      <c r="Q332" s="763"/>
      <c r="R332" s="763"/>
      <c r="S332" s="763"/>
      <c r="T332" s="763"/>
      <c r="U332" s="763"/>
      <c r="V332" s="763"/>
      <c r="W332" s="763"/>
      <c r="X332" s="763"/>
      <c r="Y332" s="763"/>
      <c r="Z332" s="763"/>
      <c r="AA332" s="763"/>
      <c r="AB332" s="763"/>
      <c r="AC332" s="763"/>
      <c r="AD332" s="763"/>
      <c r="AE332" s="763"/>
      <c r="AF332" s="763"/>
      <c r="AG332" s="763"/>
      <c r="AH332" s="763"/>
      <c r="AI332" s="763"/>
      <c r="AJ332" s="763"/>
      <c r="AK332" s="763"/>
      <c r="AL332" s="763"/>
      <c r="AM332" s="763"/>
      <c r="AN332" s="763"/>
      <c r="AO332" s="763"/>
      <c r="AP332" s="763"/>
      <c r="AQ332" s="763"/>
      <c r="AR332" s="763"/>
      <c r="AS332" s="763"/>
      <c r="AT332" s="763"/>
      <c r="AU332" s="763"/>
      <c r="AV332" s="763"/>
      <c r="AW332" s="763"/>
      <c r="AX332" s="763"/>
      <c r="AY332" s="763"/>
      <c r="AZ332" s="763"/>
    </row>
    <row r="333" spans="1:52">
      <c r="A333" s="763"/>
      <c r="B333" s="763"/>
      <c r="C333" s="763"/>
      <c r="D333" s="763"/>
      <c r="E333" s="763"/>
      <c r="F333" s="763"/>
      <c r="G333" s="763"/>
      <c r="H333" s="763"/>
      <c r="I333" s="763"/>
      <c r="J333" s="763"/>
      <c r="K333" s="763"/>
      <c r="L333" s="763"/>
      <c r="M333" s="763"/>
      <c r="N333" s="763"/>
      <c r="O333" s="763"/>
      <c r="P333" s="763"/>
      <c r="Q333" s="763"/>
      <c r="R333" s="763"/>
      <c r="S333" s="763"/>
      <c r="T333" s="763"/>
      <c r="U333" s="763"/>
      <c r="V333" s="763"/>
      <c r="W333" s="763"/>
      <c r="X333" s="763"/>
      <c r="Y333" s="763"/>
      <c r="Z333" s="763"/>
      <c r="AA333" s="763"/>
      <c r="AB333" s="763"/>
      <c r="AC333" s="763"/>
      <c r="AD333" s="763"/>
      <c r="AE333" s="763"/>
      <c r="AF333" s="763"/>
      <c r="AG333" s="763"/>
      <c r="AH333" s="763"/>
      <c r="AI333" s="763"/>
      <c r="AJ333" s="763"/>
      <c r="AK333" s="763"/>
      <c r="AL333" s="763"/>
      <c r="AM333" s="763"/>
      <c r="AN333" s="763"/>
      <c r="AO333" s="763"/>
      <c r="AP333" s="763"/>
      <c r="AQ333" s="763"/>
      <c r="AR333" s="763"/>
      <c r="AS333" s="763"/>
      <c r="AT333" s="763"/>
      <c r="AU333" s="763"/>
      <c r="AV333" s="763"/>
      <c r="AW333" s="763"/>
      <c r="AX333" s="763"/>
      <c r="AY333" s="763"/>
      <c r="AZ333" s="763"/>
    </row>
    <row r="334" spans="1:52">
      <c r="A334" s="763"/>
      <c r="B334" s="763"/>
      <c r="C334" s="763"/>
      <c r="D334" s="763"/>
      <c r="E334" s="763"/>
      <c r="F334" s="763"/>
      <c r="G334" s="763"/>
      <c r="H334" s="763"/>
      <c r="I334" s="763"/>
      <c r="J334" s="763"/>
      <c r="K334" s="763"/>
      <c r="L334" s="763"/>
      <c r="M334" s="763"/>
      <c r="N334" s="763"/>
      <c r="O334" s="763"/>
      <c r="P334" s="763"/>
      <c r="Q334" s="763"/>
      <c r="R334" s="763"/>
      <c r="S334" s="763"/>
      <c r="T334" s="763"/>
      <c r="U334" s="763"/>
      <c r="V334" s="763"/>
      <c r="W334" s="763"/>
      <c r="X334" s="763"/>
      <c r="Y334" s="763"/>
      <c r="Z334" s="763"/>
      <c r="AA334" s="763"/>
      <c r="AB334" s="763"/>
      <c r="AC334" s="763"/>
      <c r="AD334" s="763"/>
      <c r="AE334" s="763"/>
      <c r="AF334" s="763"/>
      <c r="AG334" s="763"/>
      <c r="AH334" s="763"/>
      <c r="AI334" s="763"/>
      <c r="AJ334" s="763"/>
      <c r="AK334" s="763"/>
      <c r="AL334" s="763"/>
      <c r="AM334" s="763"/>
      <c r="AN334" s="763"/>
      <c r="AO334" s="763"/>
      <c r="AP334" s="763"/>
      <c r="AQ334" s="763"/>
      <c r="AR334" s="763"/>
      <c r="AS334" s="763"/>
      <c r="AT334" s="763"/>
      <c r="AU334" s="763"/>
      <c r="AV334" s="763"/>
      <c r="AW334" s="763"/>
      <c r="AX334" s="763"/>
      <c r="AY334" s="763"/>
      <c r="AZ334" s="763"/>
    </row>
    <row r="335" spans="1:52">
      <c r="A335" s="763"/>
      <c r="B335" s="763"/>
      <c r="C335" s="763"/>
      <c r="D335" s="763"/>
      <c r="E335" s="763"/>
      <c r="F335" s="763"/>
      <c r="G335" s="763"/>
      <c r="H335" s="763"/>
      <c r="I335" s="763"/>
      <c r="J335" s="763"/>
      <c r="K335" s="763"/>
      <c r="L335" s="763"/>
      <c r="M335" s="763"/>
      <c r="N335" s="763"/>
      <c r="O335" s="763"/>
      <c r="P335" s="763"/>
      <c r="Q335" s="763"/>
      <c r="R335" s="763"/>
      <c r="S335" s="763"/>
      <c r="T335" s="763"/>
      <c r="U335" s="763"/>
      <c r="V335" s="763"/>
      <c r="W335" s="763"/>
      <c r="X335" s="763"/>
      <c r="Y335" s="763"/>
      <c r="Z335" s="763"/>
      <c r="AA335" s="763"/>
      <c r="AB335" s="763"/>
      <c r="AC335" s="763"/>
      <c r="AD335" s="763"/>
      <c r="AE335" s="763"/>
      <c r="AF335" s="763"/>
      <c r="AG335" s="763"/>
      <c r="AH335" s="763"/>
      <c r="AI335" s="763"/>
      <c r="AJ335" s="763"/>
      <c r="AK335" s="763"/>
      <c r="AL335" s="763"/>
      <c r="AM335" s="763"/>
      <c r="AN335" s="763"/>
      <c r="AO335" s="763"/>
      <c r="AP335" s="763"/>
      <c r="AQ335" s="763"/>
      <c r="AR335" s="763"/>
      <c r="AS335" s="763"/>
      <c r="AT335" s="763"/>
      <c r="AU335" s="763"/>
      <c r="AV335" s="763"/>
      <c r="AW335" s="763"/>
      <c r="AX335" s="763"/>
      <c r="AY335" s="763"/>
      <c r="AZ335" s="763"/>
    </row>
    <row r="336" spans="1:52">
      <c r="A336" s="763"/>
      <c r="B336" s="763"/>
      <c r="C336" s="763"/>
      <c r="D336" s="763"/>
      <c r="E336" s="763"/>
      <c r="F336" s="763"/>
      <c r="G336" s="763"/>
      <c r="H336" s="763"/>
      <c r="I336" s="763"/>
      <c r="J336" s="763"/>
      <c r="K336" s="763"/>
      <c r="L336" s="763"/>
      <c r="M336" s="763"/>
      <c r="N336" s="763"/>
      <c r="O336" s="763"/>
      <c r="P336" s="763"/>
      <c r="Q336" s="763"/>
      <c r="R336" s="763"/>
      <c r="S336" s="763"/>
      <c r="T336" s="763"/>
      <c r="U336" s="763"/>
      <c r="V336" s="763"/>
      <c r="W336" s="763"/>
      <c r="X336" s="763"/>
      <c r="Y336" s="763"/>
      <c r="Z336" s="763"/>
      <c r="AA336" s="763"/>
      <c r="AB336" s="763"/>
      <c r="AC336" s="763"/>
      <c r="AD336" s="763"/>
      <c r="AE336" s="763"/>
      <c r="AF336" s="763"/>
      <c r="AG336" s="763"/>
      <c r="AH336" s="763"/>
      <c r="AI336" s="763"/>
      <c r="AJ336" s="763"/>
      <c r="AK336" s="763"/>
      <c r="AL336" s="763"/>
      <c r="AM336" s="763"/>
      <c r="AN336" s="763"/>
      <c r="AO336" s="763"/>
      <c r="AP336" s="763"/>
      <c r="AQ336" s="763"/>
      <c r="AR336" s="763"/>
      <c r="AS336" s="763"/>
      <c r="AT336" s="763"/>
      <c r="AU336" s="763"/>
      <c r="AV336" s="763"/>
      <c r="AW336" s="763"/>
      <c r="AX336" s="763"/>
      <c r="AY336" s="763"/>
      <c r="AZ336" s="763"/>
    </row>
    <row r="337" spans="1:52">
      <c r="A337" s="763"/>
      <c r="B337" s="763"/>
      <c r="C337" s="763"/>
      <c r="D337" s="763"/>
      <c r="E337" s="763"/>
      <c r="F337" s="763"/>
      <c r="G337" s="763"/>
      <c r="H337" s="763"/>
      <c r="I337" s="763"/>
      <c r="J337" s="763"/>
      <c r="K337" s="763"/>
      <c r="L337" s="763"/>
      <c r="M337" s="763"/>
      <c r="N337" s="763"/>
      <c r="O337" s="763"/>
      <c r="P337" s="763"/>
      <c r="Q337" s="763"/>
      <c r="R337" s="763"/>
      <c r="S337" s="763"/>
      <c r="T337" s="763"/>
      <c r="U337" s="763"/>
      <c r="V337" s="763"/>
      <c r="W337" s="763"/>
      <c r="X337" s="763"/>
      <c r="Y337" s="763"/>
      <c r="Z337" s="763"/>
      <c r="AA337" s="763"/>
      <c r="AB337" s="763"/>
      <c r="AC337" s="763"/>
      <c r="AD337" s="763"/>
      <c r="AE337" s="763"/>
      <c r="AF337" s="763"/>
      <c r="AG337" s="763"/>
      <c r="AH337" s="763"/>
      <c r="AI337" s="763"/>
      <c r="AJ337" s="763"/>
      <c r="AK337" s="763"/>
      <c r="AL337" s="763"/>
      <c r="AM337" s="763"/>
      <c r="AN337" s="763"/>
      <c r="AO337" s="763"/>
      <c r="AP337" s="763"/>
      <c r="AQ337" s="763"/>
      <c r="AR337" s="763"/>
      <c r="AS337" s="763"/>
      <c r="AT337" s="763"/>
      <c r="AU337" s="763"/>
      <c r="AV337" s="763"/>
      <c r="AW337" s="763"/>
      <c r="AX337" s="763"/>
      <c r="AY337" s="763"/>
      <c r="AZ337" s="763"/>
    </row>
    <row r="338" spans="1:52">
      <c r="A338" s="763"/>
      <c r="B338" s="763"/>
      <c r="C338" s="763"/>
      <c r="D338" s="763"/>
      <c r="E338" s="763"/>
      <c r="F338" s="763"/>
      <c r="G338" s="763"/>
      <c r="H338" s="763"/>
      <c r="I338" s="763"/>
      <c r="J338" s="763"/>
      <c r="K338" s="763"/>
      <c r="L338" s="763"/>
      <c r="M338" s="763"/>
      <c r="N338" s="763"/>
      <c r="O338" s="763"/>
      <c r="P338" s="763"/>
      <c r="Q338" s="763"/>
      <c r="R338" s="763"/>
      <c r="S338" s="763"/>
      <c r="T338" s="763"/>
      <c r="U338" s="763"/>
      <c r="V338" s="763"/>
      <c r="W338" s="763"/>
      <c r="X338" s="763"/>
      <c r="Y338" s="763"/>
      <c r="Z338" s="763"/>
      <c r="AA338" s="763"/>
      <c r="AB338" s="763"/>
      <c r="AC338" s="763"/>
      <c r="AD338" s="763"/>
      <c r="AE338" s="763"/>
      <c r="AF338" s="763"/>
      <c r="AG338" s="763"/>
      <c r="AH338" s="763"/>
      <c r="AI338" s="763"/>
      <c r="AJ338" s="763"/>
      <c r="AK338" s="763"/>
      <c r="AL338" s="763"/>
      <c r="AM338" s="763"/>
      <c r="AN338" s="763"/>
      <c r="AO338" s="763"/>
      <c r="AP338" s="763"/>
      <c r="AQ338" s="763"/>
      <c r="AR338" s="763"/>
      <c r="AS338" s="763"/>
      <c r="AT338" s="763"/>
      <c r="AU338" s="763"/>
      <c r="AV338" s="763"/>
      <c r="AW338" s="763"/>
      <c r="AX338" s="763"/>
      <c r="AY338" s="763"/>
      <c r="AZ338" s="763"/>
    </row>
    <row r="339" spans="1:52">
      <c r="A339" s="763"/>
      <c r="B339" s="763"/>
      <c r="C339" s="763"/>
      <c r="D339" s="763"/>
      <c r="E339" s="763"/>
      <c r="F339" s="763"/>
      <c r="G339" s="763"/>
      <c r="H339" s="763"/>
      <c r="I339" s="763"/>
      <c r="J339" s="763"/>
      <c r="K339" s="763"/>
      <c r="L339" s="763"/>
      <c r="M339" s="763"/>
      <c r="N339" s="763"/>
      <c r="O339" s="763"/>
      <c r="P339" s="763"/>
      <c r="Q339" s="763"/>
      <c r="R339" s="763"/>
      <c r="S339" s="763"/>
      <c r="T339" s="763"/>
      <c r="U339" s="763"/>
      <c r="V339" s="763"/>
      <c r="W339" s="763"/>
      <c r="X339" s="763"/>
      <c r="Y339" s="763"/>
      <c r="Z339" s="763"/>
      <c r="AA339" s="763"/>
      <c r="AB339" s="763"/>
      <c r="AC339" s="763"/>
      <c r="AD339" s="763"/>
      <c r="AE339" s="763"/>
      <c r="AF339" s="763"/>
      <c r="AG339" s="763"/>
      <c r="AH339" s="763"/>
      <c r="AI339" s="763"/>
      <c r="AJ339" s="763"/>
      <c r="AK339" s="763"/>
      <c r="AL339" s="763"/>
      <c r="AM339" s="763"/>
      <c r="AN339" s="763"/>
      <c r="AO339" s="763"/>
      <c r="AP339" s="763"/>
      <c r="AQ339" s="763"/>
      <c r="AR339" s="763"/>
      <c r="AS339" s="763"/>
      <c r="AT339" s="763"/>
      <c r="AU339" s="763"/>
      <c r="AV339" s="763"/>
      <c r="AW339" s="763"/>
      <c r="AX339" s="763"/>
      <c r="AY339" s="763"/>
      <c r="AZ339" s="763"/>
    </row>
    <row r="340" spans="1:52">
      <c r="A340" s="763"/>
      <c r="B340" s="763"/>
      <c r="C340" s="763"/>
      <c r="D340" s="763"/>
      <c r="E340" s="763"/>
      <c r="F340" s="763"/>
      <c r="G340" s="763"/>
      <c r="H340" s="763"/>
      <c r="I340" s="763"/>
      <c r="J340" s="763"/>
      <c r="K340" s="763"/>
      <c r="L340" s="763"/>
      <c r="M340" s="763"/>
      <c r="N340" s="763"/>
      <c r="O340" s="763"/>
      <c r="P340" s="763"/>
      <c r="Q340" s="763"/>
      <c r="R340" s="763"/>
      <c r="S340" s="763"/>
      <c r="T340" s="763"/>
      <c r="U340" s="763"/>
      <c r="V340" s="763"/>
      <c r="W340" s="763"/>
      <c r="X340" s="763"/>
      <c r="Y340" s="763"/>
      <c r="Z340" s="763"/>
      <c r="AA340" s="763"/>
      <c r="AB340" s="763"/>
      <c r="AC340" s="763"/>
      <c r="AD340" s="763"/>
      <c r="AE340" s="763"/>
      <c r="AF340" s="763"/>
      <c r="AG340" s="763"/>
      <c r="AH340" s="763"/>
      <c r="AI340" s="763"/>
      <c r="AJ340" s="763"/>
      <c r="AK340" s="763"/>
      <c r="AL340" s="763"/>
      <c r="AM340" s="763"/>
      <c r="AN340" s="763"/>
      <c r="AO340" s="763"/>
      <c r="AP340" s="763"/>
      <c r="AQ340" s="763"/>
      <c r="AR340" s="763"/>
      <c r="AS340" s="763"/>
      <c r="AT340" s="763"/>
      <c r="AU340" s="763"/>
      <c r="AV340" s="763"/>
      <c r="AW340" s="763"/>
      <c r="AX340" s="763"/>
      <c r="AY340" s="763"/>
      <c r="AZ340" s="763"/>
    </row>
    <row r="341" spans="1:52">
      <c r="A341" s="763"/>
      <c r="B341" s="763"/>
      <c r="C341" s="763"/>
      <c r="D341" s="763"/>
      <c r="E341" s="763"/>
      <c r="F341" s="763"/>
      <c r="G341" s="763"/>
      <c r="H341" s="763"/>
      <c r="I341" s="763"/>
      <c r="J341" s="763"/>
      <c r="K341" s="763"/>
      <c r="L341" s="763"/>
      <c r="M341" s="763"/>
      <c r="N341" s="763"/>
      <c r="O341" s="763"/>
      <c r="P341" s="763"/>
      <c r="Q341" s="763"/>
      <c r="R341" s="763"/>
      <c r="S341" s="763"/>
      <c r="T341" s="763"/>
      <c r="U341" s="763"/>
      <c r="V341" s="763"/>
      <c r="W341" s="763"/>
      <c r="X341" s="763"/>
      <c r="Y341" s="763"/>
      <c r="Z341" s="763"/>
      <c r="AA341" s="763"/>
      <c r="AB341" s="763"/>
      <c r="AC341" s="763"/>
      <c r="AD341" s="763"/>
      <c r="AE341" s="763"/>
      <c r="AF341" s="763"/>
      <c r="AG341" s="763"/>
      <c r="AH341" s="763"/>
      <c r="AI341" s="763"/>
      <c r="AJ341" s="763"/>
      <c r="AK341" s="763"/>
      <c r="AL341" s="763"/>
      <c r="AM341" s="763"/>
      <c r="AN341" s="763"/>
      <c r="AO341" s="763"/>
      <c r="AP341" s="763"/>
      <c r="AQ341" s="763"/>
      <c r="AR341" s="763"/>
      <c r="AS341" s="763"/>
      <c r="AT341" s="763"/>
      <c r="AU341" s="763"/>
      <c r="AV341" s="763"/>
      <c r="AW341" s="763"/>
      <c r="AX341" s="763"/>
      <c r="AY341" s="763"/>
      <c r="AZ341" s="763"/>
    </row>
    <row r="342" spans="1:52">
      <c r="A342" s="763"/>
      <c r="B342" s="763"/>
      <c r="C342" s="763"/>
      <c r="D342" s="763"/>
      <c r="E342" s="763"/>
      <c r="F342" s="763"/>
      <c r="G342" s="763"/>
      <c r="H342" s="763"/>
      <c r="I342" s="763"/>
      <c r="J342" s="763"/>
      <c r="K342" s="763"/>
      <c r="L342" s="763"/>
      <c r="M342" s="763"/>
      <c r="N342" s="763"/>
      <c r="O342" s="763"/>
      <c r="P342" s="763"/>
      <c r="Q342" s="763"/>
      <c r="R342" s="763"/>
      <c r="S342" s="763"/>
      <c r="T342" s="763"/>
      <c r="U342" s="763"/>
      <c r="V342" s="763"/>
      <c r="W342" s="763"/>
      <c r="X342" s="763"/>
      <c r="Y342" s="763"/>
      <c r="Z342" s="763"/>
      <c r="AA342" s="763"/>
      <c r="AB342" s="763"/>
      <c r="AC342" s="763"/>
      <c r="AD342" s="763"/>
      <c r="AE342" s="763"/>
      <c r="AF342" s="763"/>
      <c r="AG342" s="763"/>
      <c r="AH342" s="763"/>
      <c r="AI342" s="763"/>
      <c r="AJ342" s="763"/>
      <c r="AK342" s="763"/>
      <c r="AL342" s="763"/>
      <c r="AM342" s="763"/>
      <c r="AN342" s="763"/>
      <c r="AO342" s="763"/>
      <c r="AP342" s="763"/>
      <c r="AQ342" s="763"/>
      <c r="AR342" s="763"/>
      <c r="AS342" s="763"/>
      <c r="AT342" s="763"/>
      <c r="AU342" s="763"/>
      <c r="AV342" s="763"/>
      <c r="AW342" s="763"/>
      <c r="AX342" s="763"/>
      <c r="AY342" s="763"/>
      <c r="AZ342" s="763"/>
    </row>
    <row r="343" spans="1:52">
      <c r="A343" s="763"/>
      <c r="B343" s="763"/>
      <c r="C343" s="763"/>
      <c r="D343" s="763"/>
      <c r="E343" s="763"/>
      <c r="F343" s="763"/>
      <c r="G343" s="763"/>
      <c r="H343" s="763"/>
      <c r="I343" s="763"/>
      <c r="J343" s="763"/>
      <c r="K343" s="763"/>
      <c r="L343" s="763"/>
      <c r="M343" s="763"/>
      <c r="N343" s="763"/>
      <c r="O343" s="763"/>
      <c r="P343" s="763"/>
      <c r="Q343" s="763"/>
      <c r="R343" s="763"/>
      <c r="S343" s="763"/>
      <c r="T343" s="763"/>
      <c r="U343" s="763"/>
      <c r="V343" s="763"/>
      <c r="W343" s="763"/>
      <c r="X343" s="763"/>
      <c r="Y343" s="763"/>
      <c r="Z343" s="763"/>
      <c r="AA343" s="763"/>
      <c r="AB343" s="763"/>
      <c r="AC343" s="763"/>
      <c r="AD343" s="763"/>
      <c r="AE343" s="763"/>
      <c r="AF343" s="763"/>
      <c r="AG343" s="763"/>
      <c r="AH343" s="763"/>
      <c r="AI343" s="763"/>
      <c r="AJ343" s="763"/>
      <c r="AK343" s="763"/>
      <c r="AL343" s="763"/>
      <c r="AM343" s="763"/>
      <c r="AN343" s="763"/>
      <c r="AO343" s="763"/>
      <c r="AP343" s="763"/>
      <c r="AQ343" s="763"/>
      <c r="AR343" s="763"/>
      <c r="AS343" s="763"/>
      <c r="AT343" s="763"/>
      <c r="AU343" s="763"/>
      <c r="AV343" s="763"/>
      <c r="AW343" s="763"/>
      <c r="AX343" s="763"/>
      <c r="AY343" s="763"/>
      <c r="AZ343" s="763"/>
    </row>
    <row r="344" spans="1:52">
      <c r="A344" s="763"/>
      <c r="B344" s="763"/>
      <c r="C344" s="763"/>
      <c r="D344" s="763"/>
      <c r="E344" s="763"/>
      <c r="F344" s="763"/>
      <c r="G344" s="763"/>
      <c r="H344" s="763"/>
      <c r="I344" s="763"/>
      <c r="J344" s="763"/>
      <c r="K344" s="763"/>
      <c r="L344" s="763"/>
      <c r="M344" s="763"/>
      <c r="N344" s="763"/>
      <c r="O344" s="763"/>
      <c r="P344" s="763"/>
      <c r="Q344" s="763"/>
      <c r="R344" s="763"/>
      <c r="S344" s="763"/>
      <c r="T344" s="763"/>
      <c r="U344" s="763"/>
      <c r="V344" s="763"/>
      <c r="W344" s="763"/>
      <c r="X344" s="763"/>
      <c r="Y344" s="763"/>
      <c r="Z344" s="763"/>
      <c r="AA344" s="763"/>
      <c r="AB344" s="763"/>
      <c r="AC344" s="763"/>
      <c r="AD344" s="763"/>
      <c r="AE344" s="763"/>
      <c r="AF344" s="763"/>
      <c r="AG344" s="763"/>
      <c r="AH344" s="763"/>
      <c r="AI344" s="763"/>
      <c r="AJ344" s="763"/>
      <c r="AK344" s="763"/>
      <c r="AL344" s="763"/>
      <c r="AM344" s="763"/>
      <c r="AN344" s="763"/>
      <c r="AO344" s="763"/>
      <c r="AP344" s="763"/>
      <c r="AQ344" s="763"/>
      <c r="AR344" s="763"/>
      <c r="AS344" s="763"/>
      <c r="AT344" s="763"/>
      <c r="AU344" s="763"/>
      <c r="AV344" s="763"/>
      <c r="AW344" s="763"/>
      <c r="AX344" s="763"/>
      <c r="AY344" s="763"/>
      <c r="AZ344" s="763"/>
    </row>
    <row r="345" spans="1:52">
      <c r="A345" s="763"/>
      <c r="B345" s="763"/>
      <c r="C345" s="763"/>
      <c r="D345" s="763"/>
      <c r="E345" s="763"/>
      <c r="F345" s="763"/>
      <c r="G345" s="763"/>
      <c r="H345" s="763"/>
      <c r="I345" s="763"/>
      <c r="J345" s="763"/>
      <c r="K345" s="763"/>
      <c r="L345" s="763"/>
      <c r="M345" s="763"/>
      <c r="N345" s="763"/>
      <c r="O345" s="763"/>
      <c r="P345" s="763"/>
      <c r="Q345" s="763"/>
      <c r="R345" s="763"/>
      <c r="S345" s="763"/>
      <c r="T345" s="763"/>
      <c r="U345" s="763"/>
      <c r="V345" s="763"/>
      <c r="W345" s="763"/>
      <c r="X345" s="763"/>
      <c r="Y345" s="763"/>
      <c r="Z345" s="763"/>
      <c r="AA345" s="763"/>
      <c r="AB345" s="763"/>
      <c r="AC345" s="763"/>
      <c r="AD345" s="763"/>
      <c r="AE345" s="763"/>
      <c r="AF345" s="763"/>
      <c r="AG345" s="763"/>
      <c r="AH345" s="763"/>
      <c r="AI345" s="763"/>
      <c r="AJ345" s="763"/>
      <c r="AK345" s="763"/>
      <c r="AL345" s="763"/>
      <c r="AM345" s="763"/>
      <c r="AN345" s="763"/>
      <c r="AO345" s="763"/>
      <c r="AP345" s="763"/>
      <c r="AQ345" s="763"/>
      <c r="AR345" s="763"/>
      <c r="AS345" s="763"/>
      <c r="AT345" s="763"/>
      <c r="AU345" s="763"/>
      <c r="AV345" s="763"/>
      <c r="AW345" s="763"/>
      <c r="AX345" s="763"/>
      <c r="AY345" s="763"/>
      <c r="AZ345" s="763"/>
    </row>
    <row r="346" spans="1:52">
      <c r="A346" s="763"/>
      <c r="B346" s="763"/>
      <c r="C346" s="763"/>
      <c r="D346" s="763"/>
      <c r="E346" s="763"/>
      <c r="F346" s="763"/>
      <c r="G346" s="763"/>
      <c r="H346" s="763"/>
      <c r="I346" s="763"/>
      <c r="J346" s="763"/>
      <c r="K346" s="763"/>
      <c r="L346" s="763"/>
      <c r="M346" s="763"/>
      <c r="N346" s="763"/>
      <c r="O346" s="763"/>
      <c r="P346" s="763"/>
      <c r="Q346" s="763"/>
      <c r="R346" s="763"/>
      <c r="S346" s="763"/>
      <c r="T346" s="763"/>
      <c r="U346" s="763"/>
      <c r="V346" s="763"/>
      <c r="W346" s="763"/>
      <c r="X346" s="763"/>
      <c r="Y346" s="763"/>
      <c r="Z346" s="763"/>
      <c r="AA346" s="763"/>
      <c r="AB346" s="763"/>
      <c r="AC346" s="763"/>
      <c r="AD346" s="763"/>
      <c r="AE346" s="763"/>
      <c r="AF346" s="763"/>
      <c r="AG346" s="763"/>
      <c r="AH346" s="763"/>
      <c r="AI346" s="763"/>
      <c r="AJ346" s="763"/>
      <c r="AK346" s="763"/>
      <c r="AL346" s="763"/>
      <c r="AM346" s="763"/>
      <c r="AN346" s="763"/>
      <c r="AO346" s="763"/>
      <c r="AP346" s="763"/>
      <c r="AQ346" s="763"/>
      <c r="AR346" s="763"/>
      <c r="AS346" s="763"/>
      <c r="AT346" s="763"/>
      <c r="AU346" s="763"/>
      <c r="AV346" s="763"/>
      <c r="AW346" s="763"/>
      <c r="AX346" s="763"/>
      <c r="AY346" s="763"/>
      <c r="AZ346" s="763"/>
    </row>
    <row r="347" spans="1:52">
      <c r="A347" s="763"/>
      <c r="B347" s="763"/>
      <c r="C347" s="763"/>
      <c r="D347" s="763"/>
      <c r="E347" s="763"/>
      <c r="F347" s="763"/>
      <c r="G347" s="763"/>
      <c r="H347" s="763"/>
      <c r="I347" s="763"/>
      <c r="J347" s="763"/>
      <c r="K347" s="763"/>
      <c r="L347" s="763"/>
      <c r="M347" s="763"/>
      <c r="N347" s="763"/>
      <c r="O347" s="763"/>
      <c r="P347" s="763"/>
      <c r="Q347" s="763"/>
      <c r="R347" s="763"/>
      <c r="S347" s="763"/>
      <c r="T347" s="763"/>
      <c r="U347" s="763"/>
      <c r="V347" s="763"/>
      <c r="W347" s="763"/>
      <c r="X347" s="763"/>
      <c r="Y347" s="763"/>
      <c r="Z347" s="763"/>
      <c r="AA347" s="763"/>
      <c r="AB347" s="763"/>
      <c r="AC347" s="763"/>
      <c r="AD347" s="763"/>
      <c r="AE347" s="763"/>
      <c r="AF347" s="763"/>
      <c r="AG347" s="763"/>
      <c r="AH347" s="763"/>
      <c r="AI347" s="763"/>
      <c r="AJ347" s="763"/>
      <c r="AK347" s="763"/>
      <c r="AL347" s="763"/>
      <c r="AM347" s="763"/>
      <c r="AN347" s="763"/>
      <c r="AO347" s="763"/>
      <c r="AP347" s="763"/>
      <c r="AQ347" s="763"/>
      <c r="AR347" s="763"/>
      <c r="AS347" s="763"/>
      <c r="AT347" s="763"/>
      <c r="AU347" s="763"/>
      <c r="AV347" s="763"/>
      <c r="AW347" s="763"/>
      <c r="AX347" s="763"/>
      <c r="AY347" s="763"/>
      <c r="AZ347" s="763"/>
    </row>
    <row r="348" spans="1:52">
      <c r="A348" s="763"/>
      <c r="B348" s="763"/>
      <c r="C348" s="763"/>
      <c r="D348" s="763"/>
      <c r="E348" s="763"/>
      <c r="F348" s="763"/>
      <c r="G348" s="763"/>
      <c r="H348" s="763"/>
      <c r="I348" s="763"/>
      <c r="J348" s="763"/>
      <c r="K348" s="763"/>
      <c r="L348" s="763"/>
      <c r="M348" s="763"/>
      <c r="N348" s="763"/>
      <c r="O348" s="763"/>
      <c r="P348" s="763"/>
      <c r="Q348" s="763"/>
      <c r="R348" s="763"/>
      <c r="S348" s="763"/>
      <c r="T348" s="763"/>
      <c r="U348" s="763"/>
      <c r="V348" s="763"/>
      <c r="W348" s="763"/>
      <c r="X348" s="763"/>
      <c r="Y348" s="763"/>
      <c r="Z348" s="763"/>
      <c r="AA348" s="763"/>
      <c r="AB348" s="763"/>
      <c r="AC348" s="763"/>
      <c r="AD348" s="763"/>
      <c r="AE348" s="763"/>
      <c r="AF348" s="763"/>
      <c r="AG348" s="763"/>
      <c r="AH348" s="763"/>
      <c r="AI348" s="763"/>
      <c r="AJ348" s="763"/>
      <c r="AK348" s="763"/>
      <c r="AL348" s="763"/>
      <c r="AM348" s="763"/>
      <c r="AN348" s="763"/>
      <c r="AO348" s="763"/>
      <c r="AP348" s="763"/>
      <c r="AQ348" s="763"/>
      <c r="AR348" s="763"/>
      <c r="AS348" s="763"/>
      <c r="AT348" s="763"/>
      <c r="AU348" s="763"/>
      <c r="AV348" s="763"/>
      <c r="AW348" s="763"/>
      <c r="AX348" s="763"/>
      <c r="AY348" s="763"/>
      <c r="AZ348" s="763"/>
    </row>
    <row r="349" spans="1:52">
      <c r="A349" s="763"/>
      <c r="B349" s="763"/>
      <c r="C349" s="763"/>
      <c r="D349" s="763"/>
      <c r="E349" s="763"/>
      <c r="F349" s="763"/>
      <c r="G349" s="763"/>
      <c r="H349" s="763"/>
      <c r="I349" s="763"/>
      <c r="J349" s="763"/>
      <c r="K349" s="763"/>
      <c r="L349" s="763"/>
      <c r="M349" s="763"/>
      <c r="N349" s="763"/>
      <c r="O349" s="763"/>
      <c r="P349" s="763"/>
      <c r="Q349" s="763"/>
      <c r="R349" s="763"/>
      <c r="S349" s="763"/>
      <c r="T349" s="763"/>
      <c r="U349" s="763"/>
      <c r="V349" s="763"/>
      <c r="W349" s="763"/>
      <c r="X349" s="763"/>
      <c r="Y349" s="763"/>
      <c r="Z349" s="763"/>
      <c r="AA349" s="763"/>
      <c r="AB349" s="763"/>
      <c r="AC349" s="763"/>
      <c r="AD349" s="763"/>
      <c r="AE349" s="763"/>
      <c r="AF349" s="763"/>
      <c r="AG349" s="763"/>
      <c r="AH349" s="763"/>
      <c r="AI349" s="763"/>
      <c r="AJ349" s="763"/>
      <c r="AK349" s="763"/>
      <c r="AL349" s="763"/>
      <c r="AM349" s="763"/>
      <c r="AN349" s="763"/>
      <c r="AO349" s="763"/>
      <c r="AP349" s="763"/>
      <c r="AQ349" s="763"/>
      <c r="AR349" s="763"/>
      <c r="AS349" s="763"/>
      <c r="AT349" s="763"/>
      <c r="AU349" s="763"/>
      <c r="AV349" s="763"/>
      <c r="AW349" s="763"/>
      <c r="AX349" s="763"/>
      <c r="AY349" s="763"/>
      <c r="AZ349" s="763"/>
    </row>
    <row r="350" spans="1:52">
      <c r="A350" s="763"/>
      <c r="B350" s="763"/>
      <c r="C350" s="763"/>
      <c r="D350" s="763"/>
      <c r="E350" s="763"/>
      <c r="F350" s="763"/>
      <c r="G350" s="763"/>
      <c r="H350" s="763"/>
      <c r="I350" s="763"/>
      <c r="J350" s="763"/>
      <c r="K350" s="763"/>
      <c r="L350" s="763"/>
      <c r="M350" s="763"/>
      <c r="N350" s="763"/>
      <c r="O350" s="763"/>
      <c r="P350" s="763"/>
      <c r="Q350" s="763"/>
      <c r="R350" s="763"/>
      <c r="S350" s="763"/>
      <c r="T350" s="763"/>
      <c r="U350" s="763"/>
      <c r="V350" s="763"/>
      <c r="W350" s="763"/>
      <c r="X350" s="763"/>
      <c r="Y350" s="763"/>
      <c r="Z350" s="763"/>
      <c r="AA350" s="763"/>
      <c r="AB350" s="763"/>
      <c r="AC350" s="763"/>
      <c r="AD350" s="763"/>
      <c r="AE350" s="763"/>
      <c r="AF350" s="763"/>
      <c r="AG350" s="763"/>
      <c r="AH350" s="763"/>
      <c r="AI350" s="763"/>
      <c r="AJ350" s="763"/>
      <c r="AK350" s="763"/>
      <c r="AL350" s="763"/>
      <c r="AM350" s="763"/>
      <c r="AN350" s="763"/>
      <c r="AO350" s="763"/>
      <c r="AP350" s="763"/>
      <c r="AQ350" s="763"/>
      <c r="AR350" s="763"/>
      <c r="AS350" s="763"/>
      <c r="AT350" s="763"/>
      <c r="AU350" s="763"/>
      <c r="AV350" s="763"/>
      <c r="AW350" s="763"/>
      <c r="AX350" s="763"/>
      <c r="AY350" s="763"/>
      <c r="AZ350" s="763"/>
    </row>
    <row r="351" spans="1:52">
      <c r="A351" s="763"/>
      <c r="B351" s="763"/>
      <c r="C351" s="763"/>
      <c r="D351" s="763"/>
      <c r="E351" s="763"/>
      <c r="F351" s="763"/>
      <c r="G351" s="763"/>
      <c r="H351" s="763"/>
      <c r="I351" s="763"/>
      <c r="J351" s="763"/>
      <c r="K351" s="763"/>
      <c r="L351" s="763"/>
      <c r="M351" s="763"/>
      <c r="N351" s="763"/>
      <c r="O351" s="763"/>
      <c r="P351" s="763"/>
      <c r="Q351" s="763"/>
      <c r="R351" s="763"/>
      <c r="S351" s="763"/>
      <c r="T351" s="763"/>
      <c r="U351" s="763"/>
      <c r="V351" s="763"/>
      <c r="W351" s="763"/>
      <c r="X351" s="763"/>
      <c r="Y351" s="763"/>
      <c r="Z351" s="763"/>
      <c r="AA351" s="763"/>
      <c r="AB351" s="763"/>
      <c r="AC351" s="763"/>
      <c r="AD351" s="763"/>
      <c r="AE351" s="763"/>
      <c r="AF351" s="763"/>
      <c r="AG351" s="763"/>
      <c r="AH351" s="763"/>
      <c r="AI351" s="763"/>
      <c r="AJ351" s="763"/>
      <c r="AK351" s="763"/>
      <c r="AL351" s="763"/>
      <c r="AM351" s="763"/>
      <c r="AN351" s="763"/>
      <c r="AO351" s="763"/>
      <c r="AP351" s="763"/>
      <c r="AQ351" s="763"/>
      <c r="AR351" s="763"/>
      <c r="AS351" s="763"/>
      <c r="AT351" s="763"/>
      <c r="AU351" s="763"/>
      <c r="AV351" s="763"/>
      <c r="AW351" s="763"/>
      <c r="AX351" s="763"/>
      <c r="AY351" s="763"/>
      <c r="AZ351" s="763"/>
    </row>
    <row r="352" spans="1:52">
      <c r="A352" s="763"/>
      <c r="B352" s="763"/>
      <c r="C352" s="763"/>
      <c r="D352" s="763"/>
      <c r="E352" s="763"/>
      <c r="F352" s="763"/>
      <c r="G352" s="763"/>
      <c r="H352" s="763"/>
      <c r="I352" s="763"/>
      <c r="J352" s="763"/>
      <c r="K352" s="763"/>
      <c r="L352" s="763"/>
      <c r="M352" s="763"/>
      <c r="N352" s="763"/>
      <c r="O352" s="763"/>
      <c r="P352" s="763"/>
      <c r="Q352" s="763"/>
      <c r="R352" s="763"/>
      <c r="S352" s="763"/>
      <c r="T352" s="763"/>
      <c r="U352" s="763"/>
      <c r="V352" s="763"/>
      <c r="W352" s="763"/>
      <c r="X352" s="763"/>
      <c r="Y352" s="763"/>
      <c r="Z352" s="763"/>
      <c r="AA352" s="763"/>
      <c r="AB352" s="763"/>
      <c r="AC352" s="763"/>
      <c r="AD352" s="763"/>
      <c r="AE352" s="763"/>
      <c r="AF352" s="763"/>
      <c r="AG352" s="763"/>
      <c r="AH352" s="763"/>
      <c r="AI352" s="763"/>
      <c r="AJ352" s="763"/>
      <c r="AK352" s="763"/>
      <c r="AL352" s="763"/>
      <c r="AM352" s="763"/>
      <c r="AN352" s="763"/>
      <c r="AO352" s="763"/>
      <c r="AP352" s="763"/>
      <c r="AQ352" s="763"/>
      <c r="AR352" s="763"/>
      <c r="AS352" s="763"/>
      <c r="AT352" s="763"/>
      <c r="AU352" s="763"/>
      <c r="AV352" s="763"/>
      <c r="AW352" s="763"/>
      <c r="AX352" s="763"/>
      <c r="AY352" s="763"/>
      <c r="AZ352" s="763"/>
    </row>
    <row r="353" spans="1:52">
      <c r="A353" s="763"/>
      <c r="B353" s="763"/>
      <c r="C353" s="763"/>
      <c r="D353" s="763"/>
      <c r="E353" s="763"/>
      <c r="F353" s="763"/>
      <c r="G353" s="763"/>
      <c r="H353" s="763"/>
      <c r="I353" s="763"/>
      <c r="J353" s="763"/>
      <c r="K353" s="763"/>
      <c r="L353" s="763"/>
      <c r="M353" s="763"/>
      <c r="N353" s="763"/>
      <c r="O353" s="763"/>
      <c r="P353" s="763"/>
      <c r="Q353" s="763"/>
      <c r="R353" s="763"/>
      <c r="S353" s="763"/>
      <c r="T353" s="763"/>
      <c r="U353" s="763"/>
      <c r="V353" s="763"/>
      <c r="W353" s="763"/>
      <c r="X353" s="763"/>
      <c r="Y353" s="763"/>
      <c r="Z353" s="763"/>
      <c r="AA353" s="763"/>
      <c r="AB353" s="763"/>
      <c r="AC353" s="763"/>
      <c r="AD353" s="763"/>
      <c r="AE353" s="763"/>
      <c r="AF353" s="763"/>
      <c r="AG353" s="763"/>
      <c r="AH353" s="763"/>
      <c r="AI353" s="763"/>
      <c r="AJ353" s="763"/>
      <c r="AK353" s="763"/>
      <c r="AL353" s="763"/>
      <c r="AM353" s="763"/>
      <c r="AN353" s="763"/>
      <c r="AO353" s="763"/>
      <c r="AP353" s="763"/>
      <c r="AQ353" s="763"/>
      <c r="AR353" s="763"/>
      <c r="AS353" s="763"/>
      <c r="AT353" s="763"/>
      <c r="AU353" s="763"/>
      <c r="AV353" s="763"/>
      <c r="AW353" s="763"/>
      <c r="AX353" s="763"/>
      <c r="AY353" s="763"/>
      <c r="AZ353" s="763"/>
    </row>
    <row r="354" spans="1:52">
      <c r="A354" s="763"/>
      <c r="B354" s="763"/>
      <c r="C354" s="763"/>
      <c r="D354" s="763"/>
      <c r="E354" s="763"/>
      <c r="F354" s="763"/>
      <c r="G354" s="763"/>
      <c r="H354" s="763"/>
      <c r="I354" s="763"/>
      <c r="J354" s="763"/>
      <c r="K354" s="763"/>
      <c r="L354" s="763"/>
      <c r="M354" s="763"/>
      <c r="N354" s="763"/>
      <c r="O354" s="763"/>
      <c r="P354" s="763"/>
      <c r="Q354" s="763"/>
      <c r="R354" s="763"/>
      <c r="S354" s="763"/>
      <c r="T354" s="763"/>
      <c r="U354" s="763"/>
      <c r="V354" s="763"/>
      <c r="W354" s="763"/>
      <c r="X354" s="763"/>
      <c r="Y354" s="763"/>
      <c r="Z354" s="763"/>
      <c r="AA354" s="763"/>
      <c r="AB354" s="763"/>
      <c r="AC354" s="763"/>
      <c r="AD354" s="763"/>
      <c r="AE354" s="763"/>
      <c r="AF354" s="763"/>
      <c r="AG354" s="763"/>
      <c r="AH354" s="763"/>
      <c r="AI354" s="763"/>
      <c r="AJ354" s="763"/>
      <c r="AK354" s="763"/>
      <c r="AL354" s="763"/>
      <c r="AM354" s="763"/>
      <c r="AN354" s="763"/>
      <c r="AO354" s="763"/>
      <c r="AP354" s="763"/>
      <c r="AQ354" s="763"/>
      <c r="AR354" s="763"/>
      <c r="AS354" s="763"/>
      <c r="AT354" s="763"/>
      <c r="AU354" s="763"/>
      <c r="AV354" s="763"/>
      <c r="AW354" s="763"/>
      <c r="AX354" s="763"/>
      <c r="AY354" s="763"/>
      <c r="AZ354" s="763"/>
    </row>
    <row r="355" spans="1:52">
      <c r="A355" s="763"/>
      <c r="B355" s="763"/>
      <c r="C355" s="763"/>
      <c r="D355" s="763"/>
      <c r="E355" s="763"/>
      <c r="F355" s="763"/>
      <c r="G355" s="763"/>
      <c r="H355" s="763"/>
      <c r="I355" s="763"/>
      <c r="J355" s="763"/>
      <c r="K355" s="763"/>
      <c r="L355" s="763"/>
      <c r="M355" s="763"/>
      <c r="N355" s="763"/>
      <c r="O355" s="763"/>
      <c r="P355" s="763"/>
      <c r="Q355" s="763"/>
      <c r="R355" s="763"/>
      <c r="S355" s="763"/>
      <c r="T355" s="763"/>
      <c r="U355" s="763"/>
      <c r="V355" s="763"/>
      <c r="W355" s="763"/>
      <c r="X355" s="763"/>
      <c r="Y355" s="763"/>
      <c r="Z355" s="763"/>
      <c r="AA355" s="763"/>
      <c r="AB355" s="763"/>
      <c r="AC355" s="763"/>
      <c r="AD355" s="763"/>
      <c r="AE355" s="763"/>
      <c r="AF355" s="763"/>
      <c r="AG355" s="763"/>
      <c r="AH355" s="763"/>
      <c r="AI355" s="763"/>
      <c r="AJ355" s="763"/>
      <c r="AK355" s="763"/>
      <c r="AL355" s="763"/>
      <c r="AM355" s="763"/>
      <c r="AN355" s="763"/>
      <c r="AO355" s="763"/>
      <c r="AP355" s="763"/>
      <c r="AQ355" s="763"/>
      <c r="AR355" s="763"/>
      <c r="AS355" s="763"/>
      <c r="AT355" s="763"/>
      <c r="AU355" s="763"/>
      <c r="AV355" s="763"/>
      <c r="AW355" s="763"/>
      <c r="AX355" s="763"/>
      <c r="AY355" s="763"/>
      <c r="AZ355" s="763"/>
    </row>
    <row r="356" spans="1:52">
      <c r="A356" s="763"/>
      <c r="B356" s="763"/>
      <c r="C356" s="763"/>
      <c r="D356" s="763"/>
      <c r="E356" s="763"/>
      <c r="F356" s="763"/>
      <c r="G356" s="763"/>
      <c r="H356" s="763"/>
      <c r="I356" s="763"/>
      <c r="J356" s="763"/>
      <c r="K356" s="763"/>
      <c r="L356" s="763"/>
      <c r="M356" s="763"/>
      <c r="N356" s="763"/>
      <c r="O356" s="763"/>
      <c r="P356" s="763"/>
      <c r="Q356" s="763"/>
      <c r="R356" s="763"/>
      <c r="S356" s="763"/>
      <c r="T356" s="763"/>
      <c r="U356" s="763"/>
      <c r="V356" s="763"/>
      <c r="W356" s="763"/>
      <c r="X356" s="763"/>
      <c r="Y356" s="763"/>
      <c r="Z356" s="763"/>
      <c r="AA356" s="763"/>
      <c r="AB356" s="763"/>
      <c r="AC356" s="763"/>
      <c r="AD356" s="763"/>
      <c r="AE356" s="763"/>
      <c r="AF356" s="763"/>
      <c r="AG356" s="763"/>
      <c r="AH356" s="763"/>
      <c r="AI356" s="763"/>
      <c r="AJ356" s="763"/>
      <c r="AK356" s="763"/>
      <c r="AL356" s="763"/>
      <c r="AM356" s="763"/>
      <c r="AN356" s="763"/>
      <c r="AO356" s="763"/>
      <c r="AP356" s="763"/>
      <c r="AQ356" s="763"/>
      <c r="AR356" s="763"/>
      <c r="AS356" s="763"/>
      <c r="AT356" s="763"/>
      <c r="AU356" s="763"/>
      <c r="AV356" s="763"/>
      <c r="AW356" s="763"/>
      <c r="AX356" s="763"/>
      <c r="AY356" s="763"/>
      <c r="AZ356" s="763"/>
    </row>
    <row r="357" spans="1:52">
      <c r="A357" s="763"/>
      <c r="B357" s="763"/>
      <c r="C357" s="763"/>
      <c r="D357" s="763"/>
      <c r="E357" s="763"/>
      <c r="F357" s="763"/>
      <c r="G357" s="763"/>
      <c r="H357" s="763"/>
      <c r="I357" s="763"/>
      <c r="J357" s="763"/>
      <c r="K357" s="763"/>
      <c r="L357" s="763"/>
      <c r="M357" s="763"/>
      <c r="N357" s="763"/>
      <c r="O357" s="763"/>
      <c r="P357" s="763"/>
      <c r="Q357" s="763"/>
      <c r="R357" s="763"/>
      <c r="S357" s="763"/>
      <c r="T357" s="763"/>
      <c r="U357" s="763"/>
      <c r="V357" s="763"/>
      <c r="W357" s="763"/>
      <c r="X357" s="763"/>
      <c r="Y357" s="763"/>
      <c r="Z357" s="763"/>
      <c r="AA357" s="763"/>
      <c r="AB357" s="763"/>
      <c r="AC357" s="763"/>
      <c r="AD357" s="763"/>
      <c r="AE357" s="763"/>
      <c r="AF357" s="763"/>
      <c r="AG357" s="763"/>
      <c r="AH357" s="763"/>
      <c r="AI357" s="763"/>
      <c r="AJ357" s="763"/>
      <c r="AK357" s="763"/>
      <c r="AL357" s="763"/>
      <c r="AM357" s="763"/>
      <c r="AN357" s="763"/>
      <c r="AO357" s="763"/>
      <c r="AP357" s="763"/>
      <c r="AQ357" s="763"/>
      <c r="AR357" s="763"/>
      <c r="AS357" s="763"/>
      <c r="AT357" s="763"/>
      <c r="AU357" s="763"/>
      <c r="AV357" s="763"/>
      <c r="AW357" s="763"/>
      <c r="AX357" s="763"/>
      <c r="AY357" s="763"/>
      <c r="AZ357" s="763"/>
    </row>
    <row r="358" spans="1:52">
      <c r="A358" s="763"/>
      <c r="B358" s="763"/>
      <c r="C358" s="763"/>
      <c r="D358" s="763"/>
      <c r="E358" s="763"/>
      <c r="F358" s="763"/>
      <c r="G358" s="763"/>
      <c r="H358" s="763"/>
      <c r="I358" s="763"/>
      <c r="J358" s="763"/>
      <c r="K358" s="763"/>
      <c r="L358" s="763"/>
      <c r="M358" s="763"/>
      <c r="N358" s="763"/>
      <c r="O358" s="763"/>
      <c r="P358" s="763"/>
      <c r="Q358" s="763"/>
      <c r="R358" s="763"/>
      <c r="S358" s="763"/>
      <c r="T358" s="763"/>
      <c r="U358" s="763"/>
      <c r="V358" s="763"/>
      <c r="W358" s="763"/>
      <c r="X358" s="763"/>
      <c r="Y358" s="763"/>
      <c r="Z358" s="763"/>
      <c r="AA358" s="763"/>
      <c r="AB358" s="763"/>
      <c r="AC358" s="763"/>
      <c r="AD358" s="763"/>
      <c r="AE358" s="763"/>
      <c r="AF358" s="763"/>
      <c r="AG358" s="763"/>
      <c r="AH358" s="763"/>
      <c r="AI358" s="763"/>
      <c r="AJ358" s="763"/>
      <c r="AK358" s="763"/>
      <c r="AL358" s="763"/>
      <c r="AM358" s="763"/>
      <c r="AN358" s="763"/>
      <c r="AO358" s="763"/>
      <c r="AP358" s="763"/>
      <c r="AQ358" s="763"/>
      <c r="AR358" s="763"/>
      <c r="AS358" s="763"/>
      <c r="AT358" s="763"/>
      <c r="AU358" s="763"/>
      <c r="AV358" s="763"/>
      <c r="AW358" s="763"/>
      <c r="AX358" s="763"/>
      <c r="AY358" s="763"/>
      <c r="AZ358" s="763"/>
    </row>
    <row r="359" spans="1:52">
      <c r="A359" s="763"/>
      <c r="B359" s="763"/>
      <c r="C359" s="763"/>
      <c r="D359" s="763"/>
      <c r="E359" s="763"/>
      <c r="F359" s="763"/>
      <c r="G359" s="763"/>
      <c r="H359" s="763"/>
      <c r="I359" s="763"/>
      <c r="J359" s="763"/>
      <c r="K359" s="763"/>
      <c r="L359" s="763"/>
      <c r="M359" s="763"/>
      <c r="N359" s="763"/>
      <c r="O359" s="763"/>
      <c r="P359" s="763"/>
      <c r="Q359" s="763"/>
      <c r="R359" s="763"/>
      <c r="S359" s="763"/>
      <c r="T359" s="763"/>
      <c r="U359" s="763"/>
      <c r="V359" s="763"/>
      <c r="W359" s="763"/>
      <c r="X359" s="763"/>
      <c r="Y359" s="763"/>
      <c r="Z359" s="763"/>
      <c r="AA359" s="763"/>
      <c r="AB359" s="763"/>
      <c r="AC359" s="763"/>
      <c r="AD359" s="763"/>
      <c r="AE359" s="763"/>
      <c r="AF359" s="763"/>
      <c r="AG359" s="763"/>
      <c r="AH359" s="763"/>
      <c r="AI359" s="763"/>
      <c r="AJ359" s="763"/>
      <c r="AK359" s="763"/>
      <c r="AL359" s="763"/>
      <c r="AM359" s="763"/>
      <c r="AN359" s="763"/>
      <c r="AO359" s="763"/>
      <c r="AP359" s="763"/>
      <c r="AQ359" s="763"/>
      <c r="AR359" s="763"/>
      <c r="AS359" s="763"/>
      <c r="AT359" s="763"/>
      <c r="AU359" s="763"/>
      <c r="AV359" s="763"/>
      <c r="AW359" s="763"/>
      <c r="AX359" s="763"/>
      <c r="AY359" s="763"/>
      <c r="AZ359" s="763"/>
    </row>
    <row r="360" spans="1:52">
      <c r="A360" s="763"/>
      <c r="B360" s="763"/>
      <c r="C360" s="763"/>
      <c r="D360" s="763"/>
      <c r="E360" s="763"/>
      <c r="F360" s="763"/>
      <c r="G360" s="763"/>
      <c r="H360" s="763"/>
      <c r="I360" s="763"/>
      <c r="J360" s="763"/>
      <c r="K360" s="763"/>
      <c r="L360" s="763"/>
      <c r="M360" s="763"/>
      <c r="N360" s="763"/>
      <c r="O360" s="763"/>
      <c r="P360" s="763"/>
      <c r="Q360" s="763"/>
      <c r="R360" s="763"/>
      <c r="S360" s="763"/>
      <c r="T360" s="763"/>
      <c r="U360" s="763"/>
      <c r="V360" s="763"/>
      <c r="W360" s="763"/>
      <c r="X360" s="763"/>
      <c r="Y360" s="763"/>
      <c r="Z360" s="763"/>
      <c r="AA360" s="763"/>
      <c r="AB360" s="763"/>
      <c r="AC360" s="763"/>
      <c r="AD360" s="763"/>
      <c r="AE360" s="763"/>
      <c r="AF360" s="763"/>
      <c r="AG360" s="763"/>
      <c r="AH360" s="763"/>
      <c r="AI360" s="763"/>
      <c r="AJ360" s="763"/>
      <c r="AK360" s="763"/>
      <c r="AL360" s="763"/>
      <c r="AM360" s="763"/>
      <c r="AN360" s="763"/>
      <c r="AO360" s="763"/>
      <c r="AP360" s="763"/>
      <c r="AQ360" s="763"/>
      <c r="AR360" s="763"/>
      <c r="AS360" s="763"/>
      <c r="AT360" s="763"/>
      <c r="AU360" s="763"/>
      <c r="AV360" s="763"/>
      <c r="AW360" s="763"/>
      <c r="AX360" s="763"/>
      <c r="AY360" s="763"/>
      <c r="AZ360" s="763"/>
    </row>
    <row r="361" spans="1:52">
      <c r="A361" s="763"/>
      <c r="B361" s="763"/>
      <c r="C361" s="763"/>
      <c r="D361" s="763"/>
      <c r="E361" s="763"/>
      <c r="F361" s="763"/>
      <c r="G361" s="763"/>
      <c r="H361" s="763"/>
      <c r="I361" s="763"/>
      <c r="J361" s="763"/>
      <c r="K361" s="763"/>
      <c r="L361" s="763"/>
      <c r="M361" s="763"/>
      <c r="N361" s="763"/>
      <c r="O361" s="763"/>
      <c r="P361" s="763"/>
      <c r="Q361" s="763"/>
      <c r="R361" s="763"/>
      <c r="S361" s="763"/>
      <c r="T361" s="763"/>
      <c r="U361" s="763"/>
      <c r="V361" s="763"/>
      <c r="W361" s="763"/>
      <c r="X361" s="763"/>
      <c r="Y361" s="763"/>
      <c r="Z361" s="763"/>
      <c r="AA361" s="763"/>
      <c r="AB361" s="763"/>
      <c r="AC361" s="763"/>
      <c r="AD361" s="763"/>
      <c r="AE361" s="763"/>
      <c r="AF361" s="763"/>
      <c r="AG361" s="763"/>
      <c r="AH361" s="763"/>
      <c r="AI361" s="763"/>
      <c r="AJ361" s="763"/>
      <c r="AK361" s="763"/>
      <c r="AL361" s="763"/>
      <c r="AM361" s="763"/>
      <c r="AN361" s="763"/>
      <c r="AO361" s="763"/>
      <c r="AP361" s="763"/>
      <c r="AQ361" s="763"/>
      <c r="AR361" s="763"/>
      <c r="AS361" s="763"/>
      <c r="AT361" s="763"/>
      <c r="AU361" s="763"/>
      <c r="AV361" s="763"/>
      <c r="AW361" s="763"/>
      <c r="AX361" s="763"/>
      <c r="AY361" s="763"/>
      <c r="AZ361" s="763"/>
    </row>
    <row r="362" spans="1:52">
      <c r="A362" s="763"/>
      <c r="B362" s="763"/>
      <c r="C362" s="763"/>
      <c r="D362" s="763"/>
      <c r="E362" s="763"/>
      <c r="F362" s="763"/>
      <c r="G362" s="763"/>
      <c r="H362" s="763"/>
      <c r="I362" s="763"/>
      <c r="J362" s="763"/>
      <c r="K362" s="763"/>
      <c r="L362" s="763"/>
      <c r="M362" s="763"/>
      <c r="N362" s="763"/>
      <c r="O362" s="763"/>
      <c r="P362" s="763"/>
      <c r="Q362" s="763"/>
      <c r="R362" s="763"/>
      <c r="S362" s="763"/>
      <c r="T362" s="763"/>
      <c r="U362" s="763"/>
      <c r="V362" s="763"/>
      <c r="W362" s="763"/>
      <c r="X362" s="763"/>
      <c r="Y362" s="763"/>
      <c r="Z362" s="763"/>
      <c r="AA362" s="763"/>
      <c r="AB362" s="763"/>
      <c r="AC362" s="763"/>
      <c r="AD362" s="763"/>
      <c r="AE362" s="763"/>
      <c r="AF362" s="763"/>
      <c r="AG362" s="763"/>
      <c r="AH362" s="763"/>
      <c r="AI362" s="763"/>
      <c r="AJ362" s="763"/>
      <c r="AK362" s="763"/>
      <c r="AL362" s="763"/>
      <c r="AM362" s="763"/>
      <c r="AN362" s="763"/>
      <c r="AO362" s="763"/>
      <c r="AP362" s="763"/>
      <c r="AQ362" s="763"/>
      <c r="AR362" s="763"/>
      <c r="AS362" s="763"/>
      <c r="AT362" s="763"/>
      <c r="AU362" s="763"/>
      <c r="AV362" s="763"/>
      <c r="AW362" s="763"/>
      <c r="AX362" s="763"/>
      <c r="AY362" s="763"/>
      <c r="AZ362" s="763"/>
    </row>
    <row r="363" spans="1:52">
      <c r="A363" s="763"/>
      <c r="B363" s="763"/>
      <c r="C363" s="763"/>
      <c r="D363" s="763"/>
      <c r="E363" s="763"/>
      <c r="F363" s="763"/>
      <c r="G363" s="763"/>
      <c r="H363" s="763"/>
      <c r="I363" s="763"/>
      <c r="J363" s="763"/>
      <c r="K363" s="763"/>
      <c r="L363" s="763"/>
      <c r="M363" s="763"/>
      <c r="N363" s="763"/>
      <c r="O363" s="763"/>
      <c r="P363" s="763"/>
      <c r="Q363" s="763"/>
      <c r="R363" s="763"/>
      <c r="S363" s="763"/>
      <c r="T363" s="763"/>
      <c r="U363" s="763"/>
      <c r="V363" s="763"/>
      <c r="W363" s="763"/>
      <c r="X363" s="763"/>
      <c r="Y363" s="763"/>
      <c r="Z363" s="763"/>
      <c r="AA363" s="763"/>
      <c r="AB363" s="763"/>
      <c r="AC363" s="763"/>
      <c r="AD363" s="763"/>
      <c r="AE363" s="763"/>
      <c r="AF363" s="763"/>
      <c r="AG363" s="763"/>
      <c r="AH363" s="763"/>
      <c r="AI363" s="763"/>
      <c r="AJ363" s="763"/>
      <c r="AK363" s="763"/>
      <c r="AL363" s="763"/>
      <c r="AM363" s="763"/>
      <c r="AN363" s="763"/>
      <c r="AO363" s="763"/>
      <c r="AP363" s="763"/>
      <c r="AQ363" s="763"/>
      <c r="AR363" s="763"/>
      <c r="AS363" s="763"/>
      <c r="AT363" s="763"/>
      <c r="AU363" s="763"/>
      <c r="AV363" s="763"/>
      <c r="AW363" s="763"/>
      <c r="AX363" s="763"/>
      <c r="AY363" s="763"/>
      <c r="AZ363" s="763"/>
    </row>
    <row r="364" spans="1:52">
      <c r="A364" s="763"/>
      <c r="B364" s="763"/>
      <c r="C364" s="763"/>
      <c r="D364" s="763"/>
      <c r="E364" s="763"/>
      <c r="F364" s="763"/>
      <c r="G364" s="763"/>
      <c r="H364" s="763"/>
      <c r="I364" s="763"/>
      <c r="J364" s="763"/>
      <c r="K364" s="763"/>
      <c r="L364" s="763"/>
      <c r="M364" s="763"/>
      <c r="N364" s="763"/>
      <c r="O364" s="763"/>
      <c r="P364" s="763"/>
      <c r="Q364" s="763"/>
      <c r="R364" s="763"/>
      <c r="S364" s="763"/>
      <c r="T364" s="763"/>
      <c r="U364" s="763"/>
      <c r="V364" s="763"/>
      <c r="W364" s="763"/>
      <c r="X364" s="763"/>
      <c r="Y364" s="763"/>
      <c r="Z364" s="763"/>
      <c r="AA364" s="763"/>
      <c r="AB364" s="763"/>
      <c r="AC364" s="763"/>
      <c r="AD364" s="763"/>
      <c r="AE364" s="763"/>
      <c r="AF364" s="763"/>
      <c r="AG364" s="763"/>
      <c r="AH364" s="763"/>
      <c r="AI364" s="763"/>
      <c r="AJ364" s="763"/>
      <c r="AK364" s="763"/>
      <c r="AL364" s="763"/>
      <c r="AM364" s="763"/>
      <c r="AN364" s="763"/>
      <c r="AO364" s="763"/>
      <c r="AP364" s="763"/>
      <c r="AQ364" s="763"/>
      <c r="AR364" s="763"/>
      <c r="AS364" s="763"/>
      <c r="AT364" s="763"/>
      <c r="AU364" s="763"/>
      <c r="AV364" s="763"/>
      <c r="AW364" s="763"/>
      <c r="AX364" s="763"/>
      <c r="AY364" s="763"/>
      <c r="AZ364" s="763"/>
    </row>
    <row r="365" spans="1:52">
      <c r="A365" s="763"/>
      <c r="B365" s="763"/>
      <c r="C365" s="763"/>
      <c r="D365" s="763"/>
      <c r="E365" s="763"/>
      <c r="F365" s="763"/>
      <c r="G365" s="763"/>
      <c r="H365" s="763"/>
      <c r="I365" s="763"/>
      <c r="J365" s="763"/>
      <c r="K365" s="763"/>
      <c r="L365" s="763"/>
      <c r="M365" s="763"/>
      <c r="N365" s="763"/>
      <c r="O365" s="763"/>
      <c r="P365" s="763"/>
      <c r="Q365" s="763"/>
      <c r="R365" s="763"/>
      <c r="S365" s="763"/>
      <c r="T365" s="763"/>
      <c r="U365" s="763"/>
      <c r="V365" s="763"/>
      <c r="W365" s="763"/>
      <c r="X365" s="763"/>
      <c r="Y365" s="763"/>
      <c r="Z365" s="763"/>
      <c r="AA365" s="763"/>
      <c r="AB365" s="763"/>
      <c r="AC365" s="763"/>
      <c r="AD365" s="763"/>
      <c r="AE365" s="763"/>
      <c r="AF365" s="763"/>
      <c r="AG365" s="763"/>
      <c r="AH365" s="763"/>
      <c r="AI365" s="763"/>
      <c r="AJ365" s="763"/>
      <c r="AK365" s="763"/>
      <c r="AL365" s="763"/>
      <c r="AM365" s="763"/>
      <c r="AN365" s="763"/>
      <c r="AO365" s="763"/>
      <c r="AP365" s="763"/>
      <c r="AQ365" s="763"/>
      <c r="AR365" s="763"/>
      <c r="AS365" s="763"/>
      <c r="AT365" s="763"/>
      <c r="AU365" s="763"/>
      <c r="AV365" s="763"/>
      <c r="AW365" s="763"/>
      <c r="AX365" s="763"/>
      <c r="AY365" s="763"/>
      <c r="AZ365" s="763"/>
    </row>
    <row r="366" spans="1:52">
      <c r="A366" s="763"/>
      <c r="B366" s="763"/>
      <c r="C366" s="763"/>
      <c r="D366" s="763"/>
      <c r="E366" s="763"/>
      <c r="F366" s="763"/>
      <c r="G366" s="763"/>
      <c r="H366" s="763"/>
      <c r="I366" s="763"/>
      <c r="J366" s="763"/>
      <c r="K366" s="763"/>
      <c r="L366" s="763"/>
      <c r="M366" s="763"/>
      <c r="N366" s="763"/>
      <c r="O366" s="763"/>
      <c r="P366" s="763"/>
      <c r="Q366" s="763"/>
      <c r="R366" s="763"/>
      <c r="S366" s="763"/>
      <c r="T366" s="763"/>
      <c r="U366" s="763"/>
      <c r="V366" s="763"/>
      <c r="W366" s="763"/>
      <c r="X366" s="763"/>
      <c r="Y366" s="763"/>
      <c r="Z366" s="763"/>
      <c r="AA366" s="763"/>
      <c r="AB366" s="763"/>
      <c r="AC366" s="763"/>
      <c r="AD366" s="763"/>
      <c r="AE366" s="763"/>
      <c r="AF366" s="763"/>
      <c r="AG366" s="763"/>
      <c r="AH366" s="763"/>
      <c r="AI366" s="763"/>
      <c r="AJ366" s="763"/>
      <c r="AK366" s="763"/>
      <c r="AL366" s="763"/>
      <c r="AM366" s="763"/>
      <c r="AN366" s="763"/>
      <c r="AO366" s="763"/>
      <c r="AP366" s="763"/>
      <c r="AQ366" s="763"/>
      <c r="AR366" s="763"/>
      <c r="AS366" s="763"/>
      <c r="AT366" s="763"/>
      <c r="AU366" s="763"/>
      <c r="AV366" s="763"/>
      <c r="AW366" s="763"/>
      <c r="AX366" s="763"/>
      <c r="AY366" s="763"/>
      <c r="AZ366" s="763"/>
    </row>
    <row r="367" spans="1:52">
      <c r="A367" s="763"/>
      <c r="B367" s="763"/>
      <c r="C367" s="763"/>
      <c r="D367" s="763"/>
      <c r="E367" s="763"/>
      <c r="F367" s="763"/>
      <c r="G367" s="763"/>
      <c r="H367" s="763"/>
      <c r="I367" s="763"/>
      <c r="J367" s="763"/>
      <c r="K367" s="763"/>
      <c r="L367" s="763"/>
      <c r="M367" s="763"/>
      <c r="N367" s="763"/>
      <c r="O367" s="763"/>
      <c r="P367" s="763"/>
      <c r="Q367" s="763"/>
      <c r="R367" s="763"/>
      <c r="S367" s="763"/>
      <c r="T367" s="763"/>
      <c r="U367" s="763"/>
      <c r="V367" s="763"/>
      <c r="W367" s="763"/>
      <c r="X367" s="763"/>
      <c r="Y367" s="763"/>
      <c r="Z367" s="763"/>
      <c r="AA367" s="763"/>
      <c r="AB367" s="763"/>
      <c r="AC367" s="763"/>
      <c r="AD367" s="763"/>
      <c r="AE367" s="763"/>
      <c r="AF367" s="763"/>
      <c r="AG367" s="763"/>
      <c r="AH367" s="763"/>
      <c r="AI367" s="763"/>
      <c r="AJ367" s="763"/>
      <c r="AK367" s="763"/>
      <c r="AL367" s="763"/>
      <c r="AM367" s="763"/>
      <c r="AN367" s="763"/>
      <c r="AO367" s="763"/>
      <c r="AP367" s="763"/>
      <c r="AQ367" s="763"/>
      <c r="AR367" s="763"/>
      <c r="AS367" s="763"/>
      <c r="AT367" s="763"/>
      <c r="AU367" s="763"/>
      <c r="AV367" s="763"/>
      <c r="AW367" s="763"/>
      <c r="AX367" s="763"/>
      <c r="AY367" s="763"/>
      <c r="AZ367" s="763"/>
    </row>
    <row r="368" spans="1:52">
      <c r="A368" s="763"/>
      <c r="B368" s="763"/>
      <c r="C368" s="763"/>
      <c r="D368" s="763"/>
      <c r="E368" s="763"/>
      <c r="F368" s="763"/>
      <c r="G368" s="763"/>
      <c r="H368" s="763"/>
      <c r="I368" s="763"/>
      <c r="J368" s="763"/>
      <c r="K368" s="763"/>
      <c r="L368" s="763"/>
      <c r="M368" s="763"/>
      <c r="N368" s="763"/>
      <c r="O368" s="763"/>
      <c r="P368" s="763"/>
      <c r="Q368" s="763"/>
      <c r="R368" s="763"/>
      <c r="S368" s="763"/>
      <c r="T368" s="763"/>
      <c r="U368" s="763"/>
      <c r="V368" s="763"/>
      <c r="W368" s="763"/>
      <c r="X368" s="763"/>
      <c r="Y368" s="763"/>
      <c r="Z368" s="763"/>
      <c r="AA368" s="763"/>
      <c r="AB368" s="763"/>
      <c r="AC368" s="763"/>
      <c r="AD368" s="763"/>
      <c r="AE368" s="763"/>
      <c r="AF368" s="763"/>
      <c r="AG368" s="763"/>
      <c r="AH368" s="763"/>
      <c r="AI368" s="763"/>
      <c r="AJ368" s="763"/>
      <c r="AK368" s="763"/>
      <c r="AL368" s="763"/>
      <c r="AM368" s="763"/>
      <c r="AN368" s="763"/>
      <c r="AO368" s="763"/>
      <c r="AP368" s="763"/>
      <c r="AQ368" s="763"/>
      <c r="AR368" s="763"/>
      <c r="AS368" s="763"/>
      <c r="AT368" s="763"/>
      <c r="AU368" s="763"/>
      <c r="AV368" s="763"/>
      <c r="AW368" s="763"/>
      <c r="AX368" s="763"/>
      <c r="AY368" s="763"/>
      <c r="AZ368" s="763"/>
    </row>
    <row r="369" spans="1:52">
      <c r="A369" s="763"/>
      <c r="B369" s="763"/>
      <c r="C369" s="763"/>
      <c r="D369" s="763"/>
      <c r="E369" s="763"/>
      <c r="F369" s="763"/>
      <c r="G369" s="763"/>
      <c r="H369" s="763"/>
      <c r="I369" s="763"/>
      <c r="J369" s="763"/>
      <c r="K369" s="763"/>
      <c r="L369" s="763"/>
      <c r="M369" s="763"/>
      <c r="N369" s="763"/>
      <c r="O369" s="763"/>
      <c r="P369" s="763"/>
      <c r="Q369" s="763"/>
      <c r="R369" s="763"/>
      <c r="S369" s="763"/>
      <c r="T369" s="763"/>
      <c r="U369" s="763"/>
      <c r="V369" s="763"/>
      <c r="W369" s="763"/>
      <c r="X369" s="763"/>
      <c r="Y369" s="763"/>
      <c r="Z369" s="763"/>
      <c r="AA369" s="763"/>
      <c r="AB369" s="763"/>
      <c r="AC369" s="763"/>
      <c r="AD369" s="763"/>
      <c r="AE369" s="763"/>
      <c r="AF369" s="763"/>
      <c r="AG369" s="763"/>
      <c r="AH369" s="763"/>
      <c r="AI369" s="763"/>
      <c r="AJ369" s="763"/>
      <c r="AK369" s="763"/>
      <c r="AL369" s="763"/>
      <c r="AM369" s="763"/>
      <c r="AN369" s="763"/>
      <c r="AO369" s="763"/>
      <c r="AP369" s="763"/>
      <c r="AQ369" s="763"/>
      <c r="AR369" s="763"/>
      <c r="AS369" s="763"/>
      <c r="AT369" s="763"/>
      <c r="AU369" s="763"/>
      <c r="AV369" s="763"/>
      <c r="AW369" s="763"/>
      <c r="AX369" s="763"/>
      <c r="AY369" s="763"/>
      <c r="AZ369" s="763"/>
    </row>
    <row r="370" spans="1:52">
      <c r="A370" s="763"/>
      <c r="B370" s="763"/>
      <c r="C370" s="763"/>
      <c r="D370" s="763"/>
      <c r="E370" s="763"/>
      <c r="F370" s="763"/>
      <c r="G370" s="763"/>
      <c r="H370" s="763"/>
      <c r="I370" s="763"/>
      <c r="J370" s="763"/>
      <c r="K370" s="763"/>
      <c r="L370" s="763"/>
      <c r="M370" s="763"/>
      <c r="N370" s="763"/>
      <c r="O370" s="763"/>
      <c r="P370" s="763"/>
      <c r="Q370" s="763"/>
      <c r="R370" s="763"/>
      <c r="S370" s="763"/>
      <c r="T370" s="763"/>
      <c r="U370" s="763"/>
      <c r="V370" s="763"/>
      <c r="W370" s="763"/>
      <c r="X370" s="763"/>
      <c r="Y370" s="763"/>
      <c r="Z370" s="763"/>
      <c r="AA370" s="763"/>
      <c r="AB370" s="763"/>
      <c r="AC370" s="763"/>
      <c r="AD370" s="763"/>
      <c r="AE370" s="763"/>
      <c r="AF370" s="763"/>
      <c r="AG370" s="763"/>
      <c r="AH370" s="763"/>
      <c r="AI370" s="763"/>
      <c r="AJ370" s="763"/>
      <c r="AK370" s="763"/>
      <c r="AL370" s="763"/>
      <c r="AM370" s="763"/>
      <c r="AN370" s="763"/>
      <c r="AO370" s="763"/>
      <c r="AP370" s="763"/>
      <c r="AQ370" s="763"/>
      <c r="AR370" s="763"/>
      <c r="AS370" s="763"/>
      <c r="AT370" s="763"/>
      <c r="AU370" s="763"/>
      <c r="AV370" s="763"/>
      <c r="AW370" s="763"/>
      <c r="AX370" s="763"/>
      <c r="AY370" s="763"/>
      <c r="AZ370" s="763"/>
    </row>
    <row r="371" spans="1:52">
      <c r="A371" s="763"/>
      <c r="B371" s="763"/>
      <c r="C371" s="763"/>
      <c r="D371" s="763"/>
      <c r="E371" s="763"/>
      <c r="F371" s="763"/>
      <c r="G371" s="763"/>
      <c r="H371" s="763"/>
      <c r="I371" s="763"/>
      <c r="J371" s="763"/>
      <c r="K371" s="763"/>
      <c r="L371" s="763"/>
      <c r="M371" s="763"/>
      <c r="N371" s="763"/>
      <c r="O371" s="763"/>
      <c r="P371" s="763"/>
      <c r="Q371" s="763"/>
      <c r="R371" s="763"/>
      <c r="S371" s="763"/>
      <c r="T371" s="763"/>
      <c r="U371" s="763"/>
      <c r="V371" s="763"/>
      <c r="W371" s="763"/>
      <c r="X371" s="763"/>
      <c r="Y371" s="763"/>
      <c r="Z371" s="763"/>
      <c r="AA371" s="763"/>
      <c r="AB371" s="763"/>
      <c r="AC371" s="763"/>
      <c r="AD371" s="763"/>
      <c r="AE371" s="763"/>
      <c r="AF371" s="763"/>
      <c r="AG371" s="763"/>
      <c r="AH371" s="763"/>
      <c r="AI371" s="763"/>
      <c r="AJ371" s="763"/>
      <c r="AK371" s="763"/>
      <c r="AL371" s="763"/>
      <c r="AM371" s="763"/>
      <c r="AN371" s="763"/>
      <c r="AO371" s="763"/>
      <c r="AP371" s="763"/>
      <c r="AQ371" s="763"/>
      <c r="AR371" s="763"/>
      <c r="AS371" s="763"/>
      <c r="AT371" s="763"/>
      <c r="AU371" s="763"/>
      <c r="AV371" s="763"/>
      <c r="AW371" s="763"/>
      <c r="AX371" s="763"/>
      <c r="AY371" s="763"/>
      <c r="AZ371" s="763"/>
    </row>
    <row r="372" spans="1:52">
      <c r="A372" s="763"/>
      <c r="B372" s="763"/>
      <c r="C372" s="763"/>
      <c r="D372" s="763"/>
      <c r="E372" s="763"/>
      <c r="F372" s="763"/>
      <c r="G372" s="763"/>
      <c r="H372" s="763"/>
      <c r="I372" s="763"/>
      <c r="J372" s="763"/>
      <c r="K372" s="763"/>
      <c r="L372" s="763"/>
      <c r="M372" s="763"/>
      <c r="N372" s="763"/>
      <c r="O372" s="763"/>
      <c r="P372" s="763"/>
      <c r="Q372" s="763"/>
      <c r="R372" s="763"/>
      <c r="S372" s="763"/>
      <c r="T372" s="763"/>
      <c r="U372" s="763"/>
      <c r="V372" s="763"/>
      <c r="W372" s="763"/>
      <c r="X372" s="763"/>
      <c r="Y372" s="763"/>
      <c r="Z372" s="763"/>
      <c r="AA372" s="763"/>
      <c r="AB372" s="763"/>
      <c r="AC372" s="763"/>
      <c r="AD372" s="763"/>
      <c r="AE372" s="763"/>
      <c r="AF372" s="763"/>
      <c r="AG372" s="763"/>
      <c r="AH372" s="763"/>
      <c r="AI372" s="763"/>
      <c r="AJ372" s="763"/>
      <c r="AK372" s="763"/>
      <c r="AL372" s="763"/>
      <c r="AM372" s="763"/>
      <c r="AN372" s="763"/>
      <c r="AO372" s="763"/>
      <c r="AP372" s="763"/>
      <c r="AQ372" s="763"/>
      <c r="AR372" s="763"/>
      <c r="AS372" s="763"/>
      <c r="AT372" s="763"/>
      <c r="AU372" s="763"/>
      <c r="AV372" s="763"/>
      <c r="AW372" s="763"/>
      <c r="AX372" s="763"/>
      <c r="AY372" s="763"/>
      <c r="AZ372" s="763"/>
    </row>
    <row r="373" spans="1:52">
      <c r="A373" s="763"/>
      <c r="B373" s="763"/>
      <c r="C373" s="763"/>
      <c r="D373" s="763"/>
      <c r="E373" s="763"/>
      <c r="F373" s="763"/>
      <c r="G373" s="763"/>
      <c r="H373" s="763"/>
      <c r="I373" s="763"/>
      <c r="J373" s="763"/>
      <c r="K373" s="763"/>
      <c r="L373" s="763"/>
      <c r="M373" s="763"/>
      <c r="N373" s="763"/>
      <c r="O373" s="763"/>
      <c r="P373" s="763"/>
      <c r="Q373" s="763"/>
      <c r="R373" s="763"/>
      <c r="S373" s="763"/>
      <c r="T373" s="763"/>
      <c r="U373" s="763"/>
      <c r="V373" s="763"/>
      <c r="W373" s="763"/>
      <c r="X373" s="763"/>
      <c r="Y373" s="763"/>
      <c r="Z373" s="763"/>
      <c r="AA373" s="763"/>
      <c r="AB373" s="763"/>
      <c r="AC373" s="763"/>
      <c r="AD373" s="763"/>
      <c r="AE373" s="763"/>
      <c r="AF373" s="763"/>
      <c r="AG373" s="763"/>
      <c r="AH373" s="763"/>
      <c r="AI373" s="763"/>
      <c r="AJ373" s="763"/>
      <c r="AK373" s="763"/>
      <c r="AL373" s="763"/>
      <c r="AM373" s="763"/>
      <c r="AN373" s="763"/>
      <c r="AO373" s="763"/>
      <c r="AP373" s="763"/>
      <c r="AQ373" s="763"/>
      <c r="AR373" s="763"/>
      <c r="AS373" s="763"/>
      <c r="AT373" s="763"/>
      <c r="AU373" s="763"/>
      <c r="AV373" s="763"/>
      <c r="AW373" s="763"/>
      <c r="AX373" s="763"/>
      <c r="AY373" s="763"/>
      <c r="AZ373" s="763"/>
    </row>
    <row r="374" spans="1:52">
      <c r="A374" s="763"/>
      <c r="B374" s="763"/>
      <c r="C374" s="763"/>
      <c r="D374" s="763"/>
      <c r="E374" s="763"/>
      <c r="F374" s="763"/>
      <c r="G374" s="763"/>
      <c r="H374" s="763"/>
      <c r="I374" s="763"/>
      <c r="J374" s="763"/>
      <c r="K374" s="763"/>
      <c r="L374" s="763"/>
      <c r="M374" s="763"/>
      <c r="N374" s="763"/>
      <c r="O374" s="763"/>
      <c r="P374" s="763"/>
      <c r="Q374" s="763"/>
      <c r="R374" s="763"/>
      <c r="S374" s="763"/>
      <c r="T374" s="763"/>
      <c r="U374" s="763"/>
      <c r="V374" s="763"/>
      <c r="W374" s="763"/>
      <c r="X374" s="763"/>
      <c r="Y374" s="763"/>
      <c r="Z374" s="763"/>
      <c r="AA374" s="763"/>
      <c r="AB374" s="763"/>
      <c r="AC374" s="763"/>
      <c r="AD374" s="763"/>
      <c r="AE374" s="763"/>
      <c r="AF374" s="763"/>
      <c r="AG374" s="763"/>
      <c r="AH374" s="763"/>
      <c r="AI374" s="763"/>
      <c r="AJ374" s="763"/>
      <c r="AK374" s="763"/>
      <c r="AL374" s="763"/>
      <c r="AM374" s="763"/>
      <c r="AN374" s="763"/>
      <c r="AO374" s="763"/>
      <c r="AP374" s="763"/>
      <c r="AQ374" s="763"/>
      <c r="AR374" s="763"/>
      <c r="AS374" s="763"/>
      <c r="AT374" s="763"/>
      <c r="AU374" s="763"/>
      <c r="AV374" s="763"/>
      <c r="AW374" s="763"/>
      <c r="AX374" s="763"/>
      <c r="AY374" s="763"/>
      <c r="AZ374" s="763"/>
    </row>
    <row r="375" spans="1:52">
      <c r="A375" s="763"/>
      <c r="B375" s="763"/>
      <c r="C375" s="763"/>
      <c r="D375" s="763"/>
      <c r="E375" s="763"/>
      <c r="F375" s="763"/>
      <c r="G375" s="763"/>
      <c r="H375" s="763"/>
      <c r="I375" s="763"/>
      <c r="J375" s="763"/>
      <c r="K375" s="763"/>
      <c r="L375" s="763"/>
      <c r="M375" s="763"/>
      <c r="N375" s="763"/>
      <c r="O375" s="763"/>
      <c r="P375" s="763"/>
      <c r="Q375" s="763"/>
      <c r="R375" s="763"/>
      <c r="S375" s="763"/>
      <c r="T375" s="763"/>
      <c r="U375" s="763"/>
      <c r="V375" s="763"/>
      <c r="W375" s="763"/>
      <c r="X375" s="763"/>
      <c r="Y375" s="763"/>
      <c r="Z375" s="763"/>
      <c r="AA375" s="763"/>
      <c r="AB375" s="763"/>
      <c r="AC375" s="763"/>
      <c r="AD375" s="763"/>
      <c r="AE375" s="763"/>
      <c r="AF375" s="763"/>
      <c r="AG375" s="763"/>
      <c r="AH375" s="763"/>
      <c r="AI375" s="763"/>
      <c r="AJ375" s="763"/>
      <c r="AK375" s="763"/>
      <c r="AL375" s="763"/>
      <c r="AM375" s="763"/>
      <c r="AN375" s="763"/>
      <c r="AO375" s="763"/>
      <c r="AP375" s="763"/>
      <c r="AQ375" s="763"/>
      <c r="AR375" s="763"/>
      <c r="AS375" s="763"/>
      <c r="AT375" s="763"/>
      <c r="AU375" s="763"/>
      <c r="AV375" s="763"/>
      <c r="AW375" s="763"/>
      <c r="AX375" s="763"/>
      <c r="AY375" s="763"/>
      <c r="AZ375" s="763"/>
    </row>
    <row r="376" spans="1:52">
      <c r="A376" s="763"/>
      <c r="B376" s="763"/>
      <c r="C376" s="763"/>
      <c r="D376" s="763"/>
      <c r="E376" s="763"/>
      <c r="F376" s="763"/>
      <c r="G376" s="763"/>
      <c r="H376" s="763"/>
      <c r="I376" s="763"/>
      <c r="J376" s="763"/>
      <c r="K376" s="763"/>
      <c r="L376" s="763"/>
      <c r="M376" s="763"/>
      <c r="N376" s="763"/>
      <c r="O376" s="763"/>
      <c r="P376" s="763"/>
      <c r="Q376" s="763"/>
      <c r="R376" s="763"/>
      <c r="S376" s="763"/>
      <c r="T376" s="763"/>
      <c r="U376" s="763"/>
      <c r="V376" s="763"/>
      <c r="W376" s="763"/>
      <c r="X376" s="763"/>
      <c r="Y376" s="763"/>
      <c r="Z376" s="763"/>
      <c r="AA376" s="763"/>
      <c r="AB376" s="763"/>
      <c r="AC376" s="763"/>
      <c r="AD376" s="763"/>
      <c r="AE376" s="763"/>
      <c r="AF376" s="763"/>
      <c r="AG376" s="763"/>
      <c r="AH376" s="763"/>
      <c r="AI376" s="763"/>
      <c r="AJ376" s="763"/>
      <c r="AK376" s="763"/>
      <c r="AL376" s="763"/>
      <c r="AM376" s="763"/>
      <c r="AN376" s="763"/>
      <c r="AO376" s="763"/>
      <c r="AP376" s="763"/>
      <c r="AQ376" s="763"/>
      <c r="AR376" s="763"/>
      <c r="AS376" s="763"/>
      <c r="AT376" s="763"/>
      <c r="AU376" s="763"/>
      <c r="AV376" s="763"/>
      <c r="AW376" s="763"/>
      <c r="AX376" s="763"/>
      <c r="AY376" s="763"/>
      <c r="AZ376" s="763"/>
    </row>
    <row r="377" spans="1:52">
      <c r="A377" s="763"/>
      <c r="B377" s="763"/>
      <c r="C377" s="763"/>
      <c r="D377" s="763"/>
      <c r="E377" s="763"/>
      <c r="F377" s="763"/>
      <c r="G377" s="763"/>
      <c r="H377" s="763"/>
      <c r="I377" s="763"/>
      <c r="J377" s="763"/>
      <c r="K377" s="763"/>
      <c r="L377" s="763"/>
      <c r="M377" s="763"/>
      <c r="N377" s="763"/>
      <c r="O377" s="763"/>
      <c r="P377" s="763"/>
      <c r="Q377" s="763"/>
      <c r="R377" s="763"/>
      <c r="S377" s="763"/>
      <c r="T377" s="763"/>
      <c r="U377" s="763"/>
      <c r="V377" s="763"/>
      <c r="W377" s="763"/>
      <c r="X377" s="763"/>
      <c r="Y377" s="763"/>
      <c r="Z377" s="763"/>
      <c r="AA377" s="763"/>
      <c r="AB377" s="763"/>
      <c r="AC377" s="763"/>
      <c r="AD377" s="763"/>
      <c r="AE377" s="763"/>
      <c r="AF377" s="763"/>
      <c r="AG377" s="763"/>
      <c r="AH377" s="763"/>
      <c r="AI377" s="763"/>
      <c r="AJ377" s="763"/>
      <c r="AK377" s="763"/>
      <c r="AL377" s="763"/>
      <c r="AM377" s="763"/>
      <c r="AN377" s="763"/>
      <c r="AO377" s="763"/>
      <c r="AP377" s="763"/>
      <c r="AQ377" s="763"/>
      <c r="AR377" s="763"/>
      <c r="AS377" s="763"/>
      <c r="AT377" s="763"/>
      <c r="AU377" s="763"/>
      <c r="AV377" s="763"/>
      <c r="AW377" s="763"/>
      <c r="AX377" s="763"/>
      <c r="AY377" s="763"/>
      <c r="AZ377" s="763"/>
    </row>
    <row r="378" spans="1:52">
      <c r="A378" s="763"/>
      <c r="B378" s="763"/>
      <c r="C378" s="763"/>
      <c r="D378" s="763"/>
      <c r="E378" s="763"/>
      <c r="F378" s="763"/>
      <c r="G378" s="763"/>
      <c r="H378" s="763"/>
      <c r="I378" s="763"/>
      <c r="J378" s="763"/>
      <c r="K378" s="763"/>
      <c r="L378" s="763"/>
      <c r="M378" s="763"/>
      <c r="N378" s="763"/>
      <c r="O378" s="763"/>
      <c r="P378" s="763"/>
      <c r="Q378" s="763"/>
      <c r="R378" s="763"/>
      <c r="S378" s="763"/>
      <c r="T378" s="763"/>
      <c r="U378" s="763"/>
      <c r="V378" s="763"/>
      <c r="W378" s="763"/>
      <c r="X378" s="763"/>
      <c r="Y378" s="763"/>
      <c r="Z378" s="763"/>
      <c r="AA378" s="763"/>
      <c r="AB378" s="763"/>
      <c r="AC378" s="763"/>
      <c r="AD378" s="763"/>
      <c r="AE378" s="763"/>
      <c r="AF378" s="763"/>
      <c r="AG378" s="763"/>
      <c r="AH378" s="763"/>
      <c r="AI378" s="763"/>
      <c r="AJ378" s="763"/>
      <c r="AK378" s="763"/>
      <c r="AL378" s="763"/>
      <c r="AM378" s="763"/>
      <c r="AN378" s="763"/>
      <c r="AO378" s="763"/>
      <c r="AP378" s="763"/>
      <c r="AQ378" s="763"/>
      <c r="AR378" s="763"/>
      <c r="AS378" s="763"/>
      <c r="AT378" s="763"/>
      <c r="AU378" s="763"/>
      <c r="AV378" s="763"/>
      <c r="AW378" s="763"/>
      <c r="AX378" s="763"/>
      <c r="AY378" s="763"/>
      <c r="AZ378" s="763"/>
    </row>
    <row r="379" spans="1:52">
      <c r="A379" s="763"/>
      <c r="B379" s="763"/>
      <c r="C379" s="763"/>
      <c r="D379" s="763"/>
      <c r="E379" s="763"/>
      <c r="F379" s="763"/>
      <c r="G379" s="763"/>
      <c r="H379" s="763"/>
      <c r="I379" s="763"/>
      <c r="J379" s="763"/>
      <c r="K379" s="763"/>
      <c r="L379" s="763"/>
      <c r="M379" s="763"/>
      <c r="N379" s="763"/>
      <c r="O379" s="763"/>
      <c r="P379" s="763"/>
      <c r="Q379" s="763"/>
      <c r="R379" s="763"/>
      <c r="S379" s="763"/>
      <c r="T379" s="763"/>
      <c r="U379" s="763"/>
      <c r="V379" s="763"/>
      <c r="W379" s="763"/>
      <c r="X379" s="763"/>
      <c r="Y379" s="763"/>
      <c r="Z379" s="763"/>
      <c r="AA379" s="763"/>
      <c r="AB379" s="763"/>
      <c r="AC379" s="763"/>
      <c r="AD379" s="763"/>
      <c r="AE379" s="763"/>
      <c r="AF379" s="763"/>
      <c r="AG379" s="763"/>
      <c r="AH379" s="763"/>
      <c r="AI379" s="763"/>
      <c r="AJ379" s="763"/>
      <c r="AK379" s="763"/>
      <c r="AL379" s="763"/>
      <c r="AM379" s="763"/>
      <c r="AN379" s="763"/>
      <c r="AO379" s="763"/>
      <c r="AP379" s="763"/>
      <c r="AQ379" s="763"/>
      <c r="AR379" s="763"/>
      <c r="AS379" s="763"/>
      <c r="AT379" s="763"/>
      <c r="AU379" s="763"/>
      <c r="AV379" s="763"/>
      <c r="AW379" s="763"/>
      <c r="AX379" s="763"/>
      <c r="AY379" s="763"/>
      <c r="AZ379" s="763"/>
    </row>
    <row r="380" spans="1:52">
      <c r="A380" s="763"/>
      <c r="B380" s="763"/>
      <c r="C380" s="763"/>
      <c r="D380" s="763"/>
      <c r="E380" s="763"/>
      <c r="F380" s="763"/>
      <c r="G380" s="763"/>
      <c r="H380" s="763"/>
      <c r="I380" s="763"/>
      <c r="J380" s="763"/>
      <c r="K380" s="763"/>
      <c r="L380" s="763"/>
      <c r="M380" s="763"/>
      <c r="N380" s="763"/>
      <c r="O380" s="763"/>
      <c r="P380" s="763"/>
      <c r="Q380" s="763"/>
      <c r="R380" s="763"/>
      <c r="S380" s="763"/>
      <c r="T380" s="763"/>
      <c r="U380" s="763"/>
      <c r="V380" s="763"/>
      <c r="W380" s="763"/>
      <c r="X380" s="763"/>
      <c r="Y380" s="763"/>
      <c r="Z380" s="763"/>
      <c r="AA380" s="763"/>
      <c r="AB380" s="763"/>
      <c r="AC380" s="763"/>
      <c r="AD380" s="763"/>
      <c r="AE380" s="763"/>
      <c r="AF380" s="763"/>
      <c r="AG380" s="763"/>
      <c r="AH380" s="763"/>
      <c r="AI380" s="763"/>
      <c r="AJ380" s="763"/>
      <c r="AK380" s="763"/>
      <c r="AL380" s="763"/>
      <c r="AM380" s="763"/>
      <c r="AN380" s="763"/>
      <c r="AO380" s="763"/>
      <c r="AP380" s="763"/>
      <c r="AQ380" s="763"/>
      <c r="AR380" s="763"/>
      <c r="AS380" s="763"/>
      <c r="AT380" s="763"/>
      <c r="AU380" s="763"/>
      <c r="AV380" s="763"/>
      <c r="AW380" s="763"/>
      <c r="AX380" s="763"/>
      <c r="AY380" s="763"/>
      <c r="AZ380" s="763"/>
    </row>
    <row r="381" spans="1:52">
      <c r="A381" s="763"/>
      <c r="B381" s="763"/>
      <c r="C381" s="763"/>
      <c r="D381" s="763"/>
      <c r="E381" s="763"/>
      <c r="F381" s="763"/>
      <c r="G381" s="763"/>
      <c r="H381" s="763"/>
      <c r="I381" s="763"/>
      <c r="J381" s="763"/>
      <c r="K381" s="763"/>
      <c r="L381" s="763"/>
      <c r="M381" s="763"/>
      <c r="N381" s="763"/>
      <c r="O381" s="763"/>
      <c r="P381" s="763"/>
      <c r="Q381" s="763"/>
      <c r="R381" s="763"/>
      <c r="S381" s="763"/>
      <c r="T381" s="763"/>
      <c r="U381" s="763"/>
      <c r="V381" s="763"/>
      <c r="W381" s="763"/>
      <c r="X381" s="763"/>
      <c r="Y381" s="763"/>
      <c r="Z381" s="763"/>
      <c r="AA381" s="763"/>
      <c r="AB381" s="763"/>
      <c r="AC381" s="763"/>
      <c r="AD381" s="763"/>
      <c r="AE381" s="763"/>
      <c r="AF381" s="763"/>
      <c r="AG381" s="763"/>
      <c r="AH381" s="763"/>
      <c r="AI381" s="763"/>
      <c r="AJ381" s="763"/>
      <c r="AK381" s="763"/>
      <c r="AL381" s="763"/>
      <c r="AM381" s="763"/>
      <c r="AN381" s="763"/>
      <c r="AO381" s="763"/>
      <c r="AP381" s="763"/>
      <c r="AQ381" s="763"/>
      <c r="AR381" s="763"/>
      <c r="AS381" s="763"/>
      <c r="AT381" s="763"/>
      <c r="AU381" s="763"/>
      <c r="AV381" s="763"/>
      <c r="AW381" s="763"/>
      <c r="AX381" s="763"/>
      <c r="AY381" s="763"/>
      <c r="AZ381" s="763"/>
    </row>
  </sheetData>
  <sortState xmlns:xlrd2="http://schemas.microsoft.com/office/spreadsheetml/2017/richdata2" ref="B116:C125">
    <sortCondition ref="C116:C125"/>
  </sortState>
  <pageMargins left="0.70866141732283472" right="0.70866141732283472" top="0.74803149606299213" bottom="0.74803149606299213" header="0.31496062992125984" footer="0.31496062992125984"/>
  <pageSetup paperSize="9" scale="34"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59999389629810485"/>
  </sheetPr>
  <dimension ref="A1:U72"/>
  <sheetViews>
    <sheetView zoomScale="70" zoomScaleNormal="70" workbookViewId="0"/>
  </sheetViews>
  <sheetFormatPr defaultRowHeight="15"/>
  <cols>
    <col min="1" max="1" width="3.28515625" customWidth="1"/>
    <col min="2" max="2" width="24.5703125" bestFit="1" customWidth="1"/>
  </cols>
  <sheetData>
    <row r="1" spans="1:21">
      <c r="A1" s="685"/>
      <c r="B1" s="685"/>
      <c r="C1" s="685"/>
      <c r="D1" s="685"/>
      <c r="E1" s="685"/>
      <c r="F1" s="685"/>
      <c r="G1" s="685"/>
      <c r="H1" s="685"/>
      <c r="I1" s="685"/>
      <c r="J1" s="685"/>
      <c r="K1" s="685"/>
      <c r="L1" s="685"/>
      <c r="M1" s="685"/>
      <c r="N1" s="685"/>
      <c r="O1" s="685"/>
      <c r="P1" s="685"/>
      <c r="Q1" s="685"/>
      <c r="R1" s="685"/>
      <c r="S1" s="685"/>
      <c r="T1" s="685"/>
      <c r="U1" s="685"/>
    </row>
    <row r="2" spans="1:21">
      <c r="A2" s="685"/>
      <c r="B2" s="767" t="s">
        <v>1889</v>
      </c>
      <c r="C2" s="767">
        <f>D2-1</f>
        <v>2012</v>
      </c>
      <c r="D2" s="767">
        <f>E2-1</f>
        <v>2013</v>
      </c>
      <c r="E2" s="767">
        <v>2014</v>
      </c>
      <c r="F2" s="767">
        <f>E2+1</f>
        <v>2015</v>
      </c>
      <c r="G2" s="767">
        <f t="shared" ref="G2:P2" si="0">F2+1</f>
        <v>2016</v>
      </c>
      <c r="H2" s="767">
        <f t="shared" si="0"/>
        <v>2017</v>
      </c>
      <c r="I2" s="767">
        <f t="shared" si="0"/>
        <v>2018</v>
      </c>
      <c r="J2" s="767">
        <f t="shared" si="0"/>
        <v>2019</v>
      </c>
      <c r="K2" s="767">
        <f t="shared" si="0"/>
        <v>2020</v>
      </c>
      <c r="L2" s="767">
        <f t="shared" si="0"/>
        <v>2021</v>
      </c>
      <c r="M2" s="767">
        <f t="shared" si="0"/>
        <v>2022</v>
      </c>
      <c r="N2" s="767">
        <f t="shared" si="0"/>
        <v>2023</v>
      </c>
      <c r="O2" s="767">
        <f t="shared" si="0"/>
        <v>2024</v>
      </c>
      <c r="P2" s="767">
        <f t="shared" si="0"/>
        <v>2025</v>
      </c>
      <c r="Q2" s="685"/>
      <c r="R2" s="685"/>
      <c r="S2" s="685"/>
      <c r="T2" s="685"/>
      <c r="U2" s="685"/>
    </row>
    <row r="3" spans="1:21">
      <c r="A3" s="685"/>
      <c r="B3" s="763" t="s">
        <v>1910</v>
      </c>
      <c r="C3" s="1063">
        <v>100.7754495412844</v>
      </c>
      <c r="D3" s="1063">
        <v>105.10299999999999</v>
      </c>
      <c r="E3" s="1063">
        <v>109.76816654808124</v>
      </c>
      <c r="F3" s="1063">
        <v>113.34070499151689</v>
      </c>
      <c r="G3" s="1063">
        <v>116.97855733255579</v>
      </c>
      <c r="H3" s="1063">
        <v>120.68272819979359</v>
      </c>
      <c r="I3" s="1063">
        <v>123.84323686800283</v>
      </c>
      <c r="J3" s="1063">
        <v>126.74981384292558</v>
      </c>
      <c r="K3" s="1063">
        <v>129.39309274274802</v>
      </c>
      <c r="L3" s="1063">
        <v>132.07918705089156</v>
      </c>
      <c r="M3" s="1063">
        <v>134.80871886959241</v>
      </c>
      <c r="N3" s="1063">
        <v>137.58231880667151</v>
      </c>
      <c r="O3" s="1063">
        <v>140.40062608738316</v>
      </c>
      <c r="P3" s="1063">
        <v>143.26428866769481</v>
      </c>
      <c r="Q3" s="685"/>
      <c r="R3" s="685"/>
      <c r="S3" s="685"/>
      <c r="T3" s="685"/>
      <c r="U3" s="685"/>
    </row>
    <row r="4" spans="1:21">
      <c r="A4" s="685"/>
      <c r="B4" s="763" t="s">
        <v>1911</v>
      </c>
      <c r="C4" s="1063">
        <v>114.436338687926</v>
      </c>
      <c r="D4" s="1063">
        <v>115.69513841349317</v>
      </c>
      <c r="E4" s="1063">
        <v>116.96778493604158</v>
      </c>
      <c r="F4" s="1063">
        <v>118.25443057033803</v>
      </c>
      <c r="G4" s="1063">
        <v>119.55522930661174</v>
      </c>
      <c r="H4" s="1063">
        <v>120.87033682898445</v>
      </c>
      <c r="I4" s="1063">
        <v>122.19991053410327</v>
      </c>
      <c r="J4" s="1063">
        <v>123.54410954997839</v>
      </c>
      <c r="K4" s="1063">
        <v>124.90309475502814</v>
      </c>
      <c r="L4" s="1063">
        <v>126.27702879733343</v>
      </c>
      <c r="M4" s="1063">
        <v>127.66607611410409</v>
      </c>
      <c r="N4" s="1063">
        <v>129.07040295135923</v>
      </c>
      <c r="O4" s="1063">
        <v>130.49017738382418</v>
      </c>
      <c r="P4" s="1063">
        <v>131.92556933504622</v>
      </c>
      <c r="Q4" s="685"/>
      <c r="R4" s="685"/>
      <c r="S4" s="685"/>
      <c r="T4" s="685"/>
      <c r="U4" s="685"/>
    </row>
    <row r="5" spans="1:21">
      <c r="A5" s="685"/>
      <c r="B5" s="763" t="s">
        <v>513</v>
      </c>
      <c r="C5" s="845">
        <f>C3/C4</f>
        <v>0.88062455245186089</v>
      </c>
      <c r="D5" s="845">
        <f t="shared" ref="D5:P5" si="1">D3/D4</f>
        <v>0.90844785218513691</v>
      </c>
      <c r="E5" s="845">
        <f t="shared" si="1"/>
        <v>0.93844785218513693</v>
      </c>
      <c r="F5" s="845">
        <f t="shared" si="1"/>
        <v>0.95844785218513695</v>
      </c>
      <c r="G5" s="845">
        <f t="shared" si="1"/>
        <v>0.97844785218513697</v>
      </c>
      <c r="H5" s="845">
        <f t="shared" si="1"/>
        <v>0.99844785218513699</v>
      </c>
      <c r="I5" s="845">
        <f t="shared" si="1"/>
        <v>1.0134478521851369</v>
      </c>
      <c r="J5" s="845">
        <f t="shared" si="1"/>
        <v>1.0259478521851368</v>
      </c>
      <c r="K5" s="845">
        <f t="shared" si="1"/>
        <v>1.0359478521851369</v>
      </c>
      <c r="L5" s="845">
        <f t="shared" si="1"/>
        <v>1.0459478521851366</v>
      </c>
      <c r="M5" s="845">
        <f t="shared" si="1"/>
        <v>1.0559478521851369</v>
      </c>
      <c r="N5" s="845">
        <f t="shared" si="1"/>
        <v>1.0659478521851369</v>
      </c>
      <c r="O5" s="845">
        <f t="shared" si="1"/>
        <v>1.0759478521851369</v>
      </c>
      <c r="P5" s="845">
        <f t="shared" si="1"/>
        <v>1.0859478521851369</v>
      </c>
      <c r="Q5" s="685"/>
      <c r="R5" s="685"/>
      <c r="S5" s="685"/>
      <c r="T5" s="685"/>
      <c r="U5" s="685"/>
    </row>
    <row r="6" spans="1:21">
      <c r="A6" s="685"/>
      <c r="B6" s="763"/>
      <c r="C6" s="763"/>
      <c r="D6" s="763"/>
      <c r="E6" s="763"/>
      <c r="F6" s="763"/>
      <c r="G6" s="763"/>
      <c r="H6" s="763"/>
      <c r="I6" s="763"/>
      <c r="J6" s="763"/>
      <c r="K6" s="763"/>
      <c r="L6" s="763"/>
      <c r="M6" s="763"/>
      <c r="N6" s="763"/>
      <c r="O6" s="763"/>
      <c r="P6" s="763"/>
      <c r="Q6" s="685"/>
      <c r="R6" s="685"/>
      <c r="S6" s="685"/>
      <c r="T6" s="685"/>
      <c r="U6" s="685"/>
    </row>
    <row r="7" spans="1:21">
      <c r="A7" s="685"/>
      <c r="B7" s="763" t="s">
        <v>520</v>
      </c>
      <c r="C7" s="768">
        <f>C8/1000/C3</f>
        <v>0</v>
      </c>
      <c r="D7" s="768">
        <f t="shared" ref="D7:P7" si="2">D8/1000/D3</f>
        <v>0</v>
      </c>
      <c r="E7" s="768">
        <f t="shared" si="2"/>
        <v>0</v>
      </c>
      <c r="F7" s="768">
        <f t="shared" si="2"/>
        <v>0</v>
      </c>
      <c r="G7" s="768">
        <f t="shared" si="2"/>
        <v>0</v>
      </c>
      <c r="H7" s="768">
        <f t="shared" si="2"/>
        <v>0</v>
      </c>
      <c r="I7" s="768">
        <f t="shared" si="2"/>
        <v>0</v>
      </c>
      <c r="J7" s="768">
        <f t="shared" si="2"/>
        <v>0</v>
      </c>
      <c r="K7" s="768">
        <f t="shared" si="2"/>
        <v>5.8360920509207257E-4</v>
      </c>
      <c r="L7" s="768">
        <f t="shared" si="2"/>
        <v>1.1814957639001203E-3</v>
      </c>
      <c r="M7" s="768">
        <f t="shared" si="2"/>
        <v>1.7803002803710691E-3</v>
      </c>
      <c r="N7" s="768">
        <f t="shared" si="2"/>
        <v>2.2386597541853956E-3</v>
      </c>
      <c r="O7" s="768">
        <f t="shared" si="2"/>
        <v>2.487978479744093E-3</v>
      </c>
      <c r="P7" s="768">
        <f t="shared" si="2"/>
        <v>2.8885706533636453E-3</v>
      </c>
      <c r="Q7" s="685"/>
      <c r="R7" s="685"/>
      <c r="S7" s="685"/>
      <c r="T7" s="685"/>
      <c r="U7" s="685"/>
    </row>
    <row r="8" spans="1:21">
      <c r="A8" s="685"/>
      <c r="B8" s="763" t="s">
        <v>1912</v>
      </c>
      <c r="C8" s="1063">
        <f>C11*'Cable cos'!G152</f>
        <v>0</v>
      </c>
      <c r="D8" s="1063">
        <f>D11*'Cable cos'!H152</f>
        <v>0</v>
      </c>
      <c r="E8" s="1063">
        <f>E11*'Cable cos'!I152</f>
        <v>0</v>
      </c>
      <c r="F8" s="1063">
        <f>F11*'Cable cos'!J152</f>
        <v>0</v>
      </c>
      <c r="G8" s="1063">
        <f>G11*'Cable cos'!K152</f>
        <v>0</v>
      </c>
      <c r="H8" s="1063">
        <f>H11*'Cable cos'!L152</f>
        <v>0</v>
      </c>
      <c r="I8" s="1063">
        <f>I11*'Cable cos'!M152</f>
        <v>0</v>
      </c>
      <c r="J8" s="1063">
        <f>J11*'Cable cos'!N152</f>
        <v>0</v>
      </c>
      <c r="K8" s="1539">
        <v>75.515000000000001</v>
      </c>
      <c r="L8" s="1539">
        <f>Interims!BH237</f>
        <v>156.05099999999999</v>
      </c>
      <c r="M8" s="1539">
        <v>240</v>
      </c>
      <c r="N8" s="1539">
        <v>308</v>
      </c>
      <c r="O8" s="1063">
        <f>O11*'Cable cos'!S152</f>
        <v>349.31373624800636</v>
      </c>
      <c r="P8" s="1063">
        <f>P11*'Cable cos'!T152</f>
        <v>413.82901992052115</v>
      </c>
      <c r="Q8" s="685"/>
      <c r="R8" s="685"/>
      <c r="S8" s="685"/>
      <c r="T8" s="685"/>
      <c r="U8" s="685"/>
    </row>
    <row r="9" spans="1:21">
      <c r="A9" s="685"/>
      <c r="B9" s="763"/>
      <c r="C9" s="763"/>
      <c r="D9" s="763"/>
      <c r="E9" s="763"/>
      <c r="F9" s="763"/>
      <c r="G9" s="763"/>
      <c r="H9" s="763"/>
      <c r="I9" s="763"/>
      <c r="J9" s="763"/>
      <c r="K9" s="763"/>
      <c r="L9" s="1063"/>
      <c r="M9" s="1063"/>
      <c r="N9" s="1063"/>
      <c r="O9" s="1063"/>
      <c r="P9" s="1063"/>
      <c r="Q9" s="685"/>
      <c r="R9" s="685"/>
      <c r="S9" s="685"/>
      <c r="T9" s="685"/>
      <c r="U9" s="685"/>
    </row>
    <row r="10" spans="1:21">
      <c r="A10" s="685"/>
      <c r="B10" s="763" t="s">
        <v>1913</v>
      </c>
      <c r="C10" s="1063">
        <f>'Cable cos'!G152</f>
        <v>3303.6052979352689</v>
      </c>
      <c r="D10" s="1063">
        <f>'Cable cos'!H152</f>
        <v>3990.399700268656</v>
      </c>
      <c r="E10" s="1063">
        <f>'Cable cos'!I152</f>
        <v>4418.2352941176468</v>
      </c>
      <c r="F10" s="1063">
        <f>'Cable cos'!J152</f>
        <v>5067.4157303370785</v>
      </c>
      <c r="G10" s="1063">
        <f>'Cable cos'!K152</f>
        <v>5003.4321076043798</v>
      </c>
      <c r="H10" s="1063">
        <f>'Cable cos'!L152</f>
        <v>5117.0603583109059</v>
      </c>
      <c r="I10" s="1063">
        <f>'Cable cos'!M152</f>
        <v>5731.6922869103319</v>
      </c>
      <c r="J10" s="1063">
        <f>'Cable cos'!N152</f>
        <v>5761.2646102057342</v>
      </c>
      <c r="K10" s="1063">
        <f>'Cable cos'!O152</f>
        <v>5151.2341329553883</v>
      </c>
      <c r="L10" s="1063">
        <f>'Cable cos'!P152</f>
        <v>6414.5897777777782</v>
      </c>
      <c r="M10" s="1063">
        <f>'Cable cos'!Q152</f>
        <v>6967.1533333333336</v>
      </c>
      <c r="N10" s="1063">
        <f>'Cable cos'!R152</f>
        <v>6706.253333333334</v>
      </c>
      <c r="O10" s="1063">
        <f>'Cable cos'!S152</f>
        <v>6782.7909951069196</v>
      </c>
      <c r="P10" s="1063">
        <f>'Cable cos'!T152</f>
        <v>6897.1503320086858</v>
      </c>
      <c r="Q10" s="685"/>
      <c r="R10" s="685"/>
      <c r="S10" s="685"/>
      <c r="T10" s="685"/>
      <c r="U10" s="685"/>
    </row>
    <row r="11" spans="1:21">
      <c r="A11" s="685"/>
      <c r="B11" s="763" t="s">
        <v>1914</v>
      </c>
      <c r="C11" s="1540"/>
      <c r="D11" s="1540"/>
      <c r="E11" s="1540"/>
      <c r="F11" s="1540"/>
      <c r="G11" s="1540"/>
      <c r="H11" s="1540"/>
      <c r="I11" s="1540"/>
      <c r="J11" s="1540"/>
      <c r="K11" s="845">
        <f>K8/K10</f>
        <v>1.4659593808188098E-2</v>
      </c>
      <c r="L11" s="768">
        <f>L8/L10</f>
        <v>2.432751047317341E-2</v>
      </c>
      <c r="M11" s="768">
        <f>M8/M10</f>
        <v>3.4447354395338886E-2</v>
      </c>
      <c r="N11" s="768">
        <f>N8/N10</f>
        <v>4.5927283788861732E-2</v>
      </c>
      <c r="O11" s="1540">
        <v>5.1499999999999997E-2</v>
      </c>
      <c r="P11" s="1540">
        <v>0.06</v>
      </c>
      <c r="Q11" s="685"/>
      <c r="R11" s="685"/>
      <c r="S11" s="685"/>
      <c r="T11" s="685"/>
      <c r="U11" s="685"/>
    </row>
    <row r="12" spans="1:21">
      <c r="A12" s="685"/>
      <c r="B12" s="763" t="s">
        <v>5456</v>
      </c>
      <c r="C12" s="1540"/>
      <c r="D12" s="1540"/>
      <c r="E12" s="1540"/>
      <c r="F12" s="1540"/>
      <c r="G12" s="1540"/>
      <c r="H12" s="1540"/>
      <c r="I12" s="1540"/>
      <c r="J12" s="1540"/>
      <c r="K12" s="845">
        <f>K8/'Cable cos'!O140</f>
        <v>1.3904798485838058E-2</v>
      </c>
      <c r="L12" s="845">
        <f>L8/'Cable cos'!P140</f>
        <v>2.7624036528283609E-2</v>
      </c>
      <c r="M12" s="845">
        <f>M8/'Cable cos'!Q140</f>
        <v>4.010593984008759E-2</v>
      </c>
      <c r="N12" s="845">
        <f>N8/'Cable cos'!R140</f>
        <v>5.4240335050298231E-2</v>
      </c>
      <c r="O12" s="845">
        <f>O8/'Cable cos'!S140</f>
        <v>6.0428320508979977E-2</v>
      </c>
      <c r="P12" s="845">
        <f>P8/'Cable cos'!T140</f>
        <v>7.0166482442171482E-2</v>
      </c>
      <c r="Q12" s="685"/>
      <c r="R12" s="685"/>
      <c r="S12" s="685"/>
      <c r="T12" s="685"/>
      <c r="U12" s="685"/>
    </row>
    <row r="13" spans="1:21">
      <c r="A13" s="685"/>
      <c r="B13" s="763"/>
      <c r="C13" s="763"/>
      <c r="D13" s="763"/>
      <c r="E13" s="763"/>
      <c r="F13" s="763"/>
      <c r="G13" s="763"/>
      <c r="H13" s="763"/>
      <c r="I13" s="763"/>
      <c r="J13" s="763"/>
      <c r="K13" s="763"/>
      <c r="L13" s="763"/>
      <c r="M13" s="763"/>
      <c r="N13" s="763"/>
      <c r="O13" s="763"/>
      <c r="P13" s="763"/>
      <c r="Q13" s="685"/>
      <c r="R13" s="685"/>
      <c r="S13" s="685"/>
      <c r="T13" s="685"/>
      <c r="U13" s="685"/>
    </row>
    <row r="14" spans="1:21">
      <c r="A14" s="685"/>
      <c r="B14" s="763" t="s">
        <v>521</v>
      </c>
      <c r="C14" s="1541"/>
      <c r="D14" s="1541"/>
      <c r="E14" s="1541"/>
      <c r="F14" s="1541"/>
      <c r="G14" s="1541"/>
      <c r="H14" s="1541"/>
      <c r="I14" s="1541"/>
      <c r="J14" s="1541"/>
      <c r="K14" s="1541">
        <v>164.87520406021414</v>
      </c>
      <c r="L14" s="1541">
        <v>162.40207599931094</v>
      </c>
      <c r="M14" s="1541">
        <v>159.96604485932127</v>
      </c>
      <c r="N14" s="1541">
        <v>157.56655418643146</v>
      </c>
      <c r="O14" s="1541">
        <v>155.20305587363498</v>
      </c>
      <c r="P14" s="1541">
        <v>152.87501003553047</v>
      </c>
      <c r="Q14" s="685"/>
      <c r="R14" s="685"/>
      <c r="S14" s="685"/>
      <c r="T14" s="685"/>
      <c r="U14" s="685"/>
    </row>
    <row r="15" spans="1:21">
      <c r="A15" s="685"/>
      <c r="B15" s="763"/>
      <c r="C15" s="763"/>
      <c r="D15" s="763"/>
      <c r="E15" s="763"/>
      <c r="F15" s="763"/>
      <c r="G15" s="763"/>
      <c r="H15" s="763"/>
      <c r="I15" s="763"/>
      <c r="J15" s="763"/>
      <c r="K15" s="763"/>
      <c r="L15" s="763"/>
      <c r="M15" s="763"/>
      <c r="N15" s="763"/>
      <c r="O15" s="763"/>
      <c r="P15" s="763"/>
      <c r="Q15" s="685"/>
      <c r="R15" s="685"/>
      <c r="S15" s="685"/>
      <c r="T15" s="685"/>
      <c r="U15" s="685"/>
    </row>
    <row r="16" spans="1:21">
      <c r="A16" s="685"/>
      <c r="B16" s="763" t="s">
        <v>1890</v>
      </c>
      <c r="C16" s="1542"/>
      <c r="D16" s="1542"/>
      <c r="E16" s="1542"/>
      <c r="F16" s="1542"/>
      <c r="G16" s="1542"/>
      <c r="H16" s="1542"/>
      <c r="I16" s="1542"/>
      <c r="J16" s="1542"/>
      <c r="K16" s="845">
        <f t="shared" ref="K16:P16" si="3">K17/K14-1</f>
        <v>0.40712486951810645</v>
      </c>
      <c r="L16" s="845">
        <f t="shared" si="3"/>
        <v>0.42855316702345836</v>
      </c>
      <c r="M16" s="845">
        <f t="shared" si="3"/>
        <v>0.45030778378016079</v>
      </c>
      <c r="N16" s="845">
        <f t="shared" si="3"/>
        <v>0.47239368911691426</v>
      </c>
      <c r="O16" s="845">
        <f t="shared" si="3"/>
        <v>0.49481592803747665</v>
      </c>
      <c r="P16" s="845">
        <f t="shared" si="3"/>
        <v>0.51757962237307265</v>
      </c>
      <c r="Q16" s="685"/>
      <c r="R16" s="685"/>
      <c r="S16" s="685"/>
      <c r="T16" s="685"/>
      <c r="U16" s="685"/>
    </row>
    <row r="17" spans="1:21">
      <c r="A17" s="685"/>
      <c r="B17" s="763" t="s">
        <v>1895</v>
      </c>
      <c r="C17" s="872">
        <f>(1-C16)*C14</f>
        <v>0</v>
      </c>
      <c r="D17" s="872">
        <f t="shared" ref="D17:J17" si="4">(1-D16)*D14</f>
        <v>0</v>
      </c>
      <c r="E17" s="872">
        <f t="shared" si="4"/>
        <v>0</v>
      </c>
      <c r="F17" s="872">
        <f t="shared" si="4"/>
        <v>0</v>
      </c>
      <c r="G17" s="872">
        <f t="shared" si="4"/>
        <v>0</v>
      </c>
      <c r="H17" s="872">
        <f t="shared" si="4"/>
        <v>0</v>
      </c>
      <c r="I17" s="872">
        <f t="shared" si="4"/>
        <v>0</v>
      </c>
      <c r="J17" s="872">
        <f t="shared" si="4"/>
        <v>0</v>
      </c>
      <c r="K17" s="1541">
        <f>290*0.8</f>
        <v>232</v>
      </c>
      <c r="L17" s="1541">
        <f>K17</f>
        <v>232</v>
      </c>
      <c r="M17" s="1541">
        <f>L17</f>
        <v>232</v>
      </c>
      <c r="N17" s="1541">
        <f>M17</f>
        <v>232</v>
      </c>
      <c r="O17" s="1541">
        <f>N17</f>
        <v>232</v>
      </c>
      <c r="P17" s="1541">
        <f>O17</f>
        <v>232</v>
      </c>
      <c r="Q17" s="685"/>
      <c r="R17" s="685"/>
      <c r="S17" s="685"/>
      <c r="T17" s="685"/>
      <c r="U17" s="685"/>
    </row>
    <row r="18" spans="1:21">
      <c r="A18" s="685"/>
      <c r="B18" s="763"/>
      <c r="C18" s="763"/>
      <c r="D18" s="763"/>
      <c r="E18" s="763"/>
      <c r="F18" s="763"/>
      <c r="G18" s="763"/>
      <c r="H18" s="763"/>
      <c r="I18" s="763"/>
      <c r="J18" s="763"/>
      <c r="K18" s="763"/>
      <c r="L18" s="763"/>
      <c r="M18" s="763"/>
      <c r="N18" s="763"/>
      <c r="O18" s="763"/>
      <c r="P18" s="763"/>
      <c r="Q18" s="685"/>
      <c r="R18" s="685"/>
      <c r="S18" s="685"/>
      <c r="T18" s="685"/>
      <c r="U18" s="685"/>
    </row>
    <row r="19" spans="1:21">
      <c r="A19" s="685"/>
      <c r="B19" s="763" t="s">
        <v>1648</v>
      </c>
      <c r="C19" s="1063"/>
      <c r="D19" s="1063">
        <f>D17*AVERAGE(C8,D8)*12/1000</f>
        <v>0</v>
      </c>
      <c r="E19" s="1063">
        <f t="shared" ref="E19:P19" si="5">E17*AVERAGE(D8,E8)*12/1000</f>
        <v>0</v>
      </c>
      <c r="F19" s="1063">
        <f t="shared" si="5"/>
        <v>0</v>
      </c>
      <c r="G19" s="1063">
        <f t="shared" si="5"/>
        <v>0</v>
      </c>
      <c r="H19" s="1063">
        <f t="shared" si="5"/>
        <v>0</v>
      </c>
      <c r="I19" s="1063">
        <f t="shared" si="5"/>
        <v>0</v>
      </c>
      <c r="J19" s="1063">
        <f t="shared" si="5"/>
        <v>0</v>
      </c>
      <c r="K19" s="1063">
        <f t="shared" si="5"/>
        <v>105.11688000000001</v>
      </c>
      <c r="L19" s="1063">
        <f t="shared" si="5"/>
        <v>322.33987199999996</v>
      </c>
      <c r="M19" s="1063">
        <f t="shared" si="5"/>
        <v>551.30299200000002</v>
      </c>
      <c r="N19" s="1063">
        <f t="shared" si="5"/>
        <v>762.81600000000003</v>
      </c>
      <c r="O19" s="1063">
        <f t="shared" si="5"/>
        <v>914.98072085722492</v>
      </c>
      <c r="P19" s="1063">
        <f t="shared" si="5"/>
        <v>1062.2947165865903</v>
      </c>
      <c r="Q19" s="685"/>
      <c r="R19" s="685"/>
      <c r="S19" s="685"/>
      <c r="T19" s="685"/>
      <c r="U19" s="685"/>
    </row>
    <row r="20" spans="1:21">
      <c r="A20" s="685"/>
      <c r="B20" s="763"/>
      <c r="C20" s="763"/>
      <c r="D20" s="763"/>
      <c r="E20" s="763"/>
      <c r="F20" s="763"/>
      <c r="G20" s="763"/>
      <c r="H20" s="763"/>
      <c r="I20" s="763"/>
      <c r="J20" s="763"/>
      <c r="K20" s="763"/>
      <c r="L20" s="763"/>
      <c r="M20" s="763"/>
      <c r="N20" s="763"/>
      <c r="O20" s="763"/>
      <c r="P20" s="763"/>
      <c r="Q20" s="685"/>
      <c r="R20" s="685"/>
      <c r="S20" s="685"/>
      <c r="T20" s="685"/>
      <c r="U20" s="685"/>
    </row>
    <row r="21" spans="1:21">
      <c r="A21" s="685"/>
      <c r="B21" s="763" t="s">
        <v>1891</v>
      </c>
      <c r="C21" s="763"/>
      <c r="D21" s="1542"/>
      <c r="E21" s="1542"/>
      <c r="F21" s="1542"/>
      <c r="G21" s="1542"/>
      <c r="H21" s="1542"/>
      <c r="I21" s="1542"/>
      <c r="J21" s="1542"/>
      <c r="K21" s="1542">
        <v>1</v>
      </c>
      <c r="L21" s="1542">
        <f>K21</f>
        <v>1</v>
      </c>
      <c r="M21" s="1542">
        <f>L21</f>
        <v>1</v>
      </c>
      <c r="N21" s="1542">
        <f>M21</f>
        <v>1</v>
      </c>
      <c r="O21" s="1542">
        <f>N21</f>
        <v>1</v>
      </c>
      <c r="P21" s="1542">
        <f>O21</f>
        <v>1</v>
      </c>
      <c r="Q21" s="685"/>
      <c r="R21" s="685"/>
      <c r="S21" s="685"/>
      <c r="T21" s="685"/>
      <c r="U21" s="685"/>
    </row>
    <row r="22" spans="1:21">
      <c r="A22" s="685"/>
      <c r="B22" s="763"/>
      <c r="C22" s="763"/>
      <c r="D22" s="763"/>
      <c r="E22" s="763"/>
      <c r="F22" s="763"/>
      <c r="G22" s="763"/>
      <c r="H22" s="763"/>
      <c r="I22" s="763"/>
      <c r="J22" s="763"/>
      <c r="K22" s="763"/>
      <c r="L22" s="763"/>
      <c r="M22" s="763"/>
      <c r="N22" s="763"/>
      <c r="O22" s="763"/>
      <c r="P22" s="763"/>
      <c r="Q22" s="685"/>
      <c r="R22" s="685"/>
      <c r="S22" s="685"/>
      <c r="T22" s="685"/>
      <c r="U22" s="685"/>
    </row>
    <row r="23" spans="1:21">
      <c r="A23" s="685"/>
      <c r="B23" s="763" t="s">
        <v>1892</v>
      </c>
      <c r="C23" s="763"/>
      <c r="D23" s="1542"/>
      <c r="E23" s="1542"/>
      <c r="F23" s="1542"/>
      <c r="G23" s="1542"/>
      <c r="H23" s="1542"/>
      <c r="I23" s="1542"/>
      <c r="J23" s="1542"/>
      <c r="K23" s="1542">
        <v>-0.1</v>
      </c>
      <c r="L23" s="1542">
        <v>0</v>
      </c>
      <c r="M23" s="1542">
        <v>0.1</v>
      </c>
      <c r="N23" s="1542">
        <v>0.1</v>
      </c>
      <c r="O23" s="1542">
        <v>0.1</v>
      </c>
      <c r="P23" s="1542">
        <v>0.1</v>
      </c>
      <c r="Q23" s="685"/>
      <c r="R23" s="685"/>
      <c r="S23" s="685"/>
      <c r="T23" s="685"/>
      <c r="U23" s="685"/>
    </row>
    <row r="24" spans="1:21">
      <c r="A24" s="685"/>
      <c r="B24" s="763"/>
      <c r="C24" s="763"/>
      <c r="D24" s="763"/>
      <c r="E24" s="763"/>
      <c r="F24" s="763"/>
      <c r="G24" s="763"/>
      <c r="H24" s="763"/>
      <c r="I24" s="763"/>
      <c r="J24" s="763"/>
      <c r="K24" s="763"/>
      <c r="L24" s="763"/>
      <c r="M24" s="763"/>
      <c r="N24" s="763"/>
      <c r="O24" s="763"/>
      <c r="P24" s="763"/>
      <c r="Q24" s="685"/>
      <c r="R24" s="685"/>
      <c r="S24" s="685"/>
      <c r="T24" s="685"/>
      <c r="U24" s="685"/>
    </row>
    <row r="25" spans="1:21">
      <c r="A25" s="685"/>
      <c r="B25" s="763" t="s">
        <v>1893</v>
      </c>
      <c r="C25" s="763"/>
      <c r="D25" s="1542"/>
      <c r="E25" s="1542"/>
      <c r="F25" s="1542"/>
      <c r="G25" s="1542"/>
      <c r="H25" s="1542"/>
      <c r="I25" s="1542"/>
      <c r="J25" s="1542"/>
      <c r="K25" s="1542">
        <v>0.3</v>
      </c>
      <c r="L25" s="1542">
        <v>0.3</v>
      </c>
      <c r="M25" s="1542">
        <v>0.3</v>
      </c>
      <c r="N25" s="1542">
        <v>0.3</v>
      </c>
      <c r="O25" s="1542">
        <v>0.3</v>
      </c>
      <c r="P25" s="1542">
        <v>0.3</v>
      </c>
      <c r="Q25" s="685"/>
      <c r="R25" s="685"/>
      <c r="S25" s="685"/>
      <c r="T25" s="685"/>
      <c r="U25" s="685"/>
    </row>
    <row r="26" spans="1:21">
      <c r="A26" s="685"/>
      <c r="B26" s="763"/>
      <c r="C26" s="763"/>
      <c r="D26" s="763"/>
      <c r="E26" s="763"/>
      <c r="F26" s="763"/>
      <c r="G26" s="763"/>
      <c r="H26" s="763"/>
      <c r="I26" s="763"/>
      <c r="J26" s="763"/>
      <c r="K26" s="763"/>
      <c r="L26" s="763"/>
      <c r="M26" s="763"/>
      <c r="N26" s="763"/>
      <c r="O26" s="763"/>
      <c r="P26" s="763"/>
      <c r="Q26" s="685"/>
      <c r="R26" s="685"/>
      <c r="S26" s="685"/>
      <c r="T26" s="685"/>
      <c r="U26" s="685"/>
    </row>
    <row r="27" spans="1:21">
      <c r="A27" s="685"/>
      <c r="B27" s="763" t="s">
        <v>1894</v>
      </c>
      <c r="C27" s="763"/>
      <c r="D27" s="845">
        <f>(D21*D23)+(1-D21)*D25</f>
        <v>0</v>
      </c>
      <c r="E27" s="845">
        <f t="shared" ref="E27:P27" si="6">(E21*E23)+(1-E21)*E25</f>
        <v>0</v>
      </c>
      <c r="F27" s="845">
        <f t="shared" si="6"/>
        <v>0</v>
      </c>
      <c r="G27" s="845">
        <f t="shared" si="6"/>
        <v>0</v>
      </c>
      <c r="H27" s="845">
        <f t="shared" si="6"/>
        <v>0</v>
      </c>
      <c r="I27" s="845">
        <f t="shared" si="6"/>
        <v>0</v>
      </c>
      <c r="J27" s="845">
        <f t="shared" si="6"/>
        <v>0</v>
      </c>
      <c r="K27" s="845">
        <f t="shared" si="6"/>
        <v>-0.1</v>
      </c>
      <c r="L27" s="845">
        <f t="shared" si="6"/>
        <v>0</v>
      </c>
      <c r="M27" s="845">
        <f t="shared" si="6"/>
        <v>0.1</v>
      </c>
      <c r="N27" s="845">
        <f t="shared" si="6"/>
        <v>0.1</v>
      </c>
      <c r="O27" s="845">
        <f t="shared" si="6"/>
        <v>0.1</v>
      </c>
      <c r="P27" s="845">
        <f t="shared" si="6"/>
        <v>0.1</v>
      </c>
      <c r="Q27" s="685"/>
      <c r="R27" s="685"/>
      <c r="S27" s="685"/>
      <c r="T27" s="685"/>
      <c r="U27" s="685"/>
    </row>
    <row r="28" spans="1:21">
      <c r="A28" s="685"/>
      <c r="B28" s="763" t="s">
        <v>57</v>
      </c>
      <c r="C28" s="763"/>
      <c r="D28" s="872">
        <f>D27*D19</f>
        <v>0</v>
      </c>
      <c r="E28" s="872">
        <f t="shared" ref="E28:P28" si="7">E27*E19</f>
        <v>0</v>
      </c>
      <c r="F28" s="872">
        <f t="shared" si="7"/>
        <v>0</v>
      </c>
      <c r="G28" s="872">
        <f t="shared" si="7"/>
        <v>0</v>
      </c>
      <c r="H28" s="872">
        <f t="shared" si="7"/>
        <v>0</v>
      </c>
      <c r="I28" s="872">
        <f t="shared" si="7"/>
        <v>0</v>
      </c>
      <c r="J28" s="872">
        <f t="shared" si="7"/>
        <v>0</v>
      </c>
      <c r="K28" s="872">
        <f t="shared" si="7"/>
        <v>-10.511688000000001</v>
      </c>
      <c r="L28" s="872">
        <f t="shared" si="7"/>
        <v>0</v>
      </c>
      <c r="M28" s="872">
        <f t="shared" si="7"/>
        <v>55.130299200000003</v>
      </c>
      <c r="N28" s="872">
        <f t="shared" si="7"/>
        <v>76.281600000000012</v>
      </c>
      <c r="O28" s="872">
        <f t="shared" si="7"/>
        <v>91.498072085722498</v>
      </c>
      <c r="P28" s="872">
        <f t="shared" si="7"/>
        <v>106.22947165865904</v>
      </c>
      <c r="Q28" s="685"/>
      <c r="R28" s="685"/>
      <c r="S28" s="685"/>
      <c r="T28" s="685"/>
      <c r="U28" s="685"/>
    </row>
    <row r="29" spans="1:21">
      <c r="A29" s="685"/>
      <c r="B29" s="763"/>
      <c r="C29" s="763"/>
      <c r="D29" s="763"/>
      <c r="E29" s="763"/>
      <c r="F29" s="763"/>
      <c r="G29" s="763"/>
      <c r="H29" s="763"/>
      <c r="I29" s="763"/>
      <c r="J29" s="763"/>
      <c r="K29" s="763"/>
      <c r="L29" s="763"/>
      <c r="M29" s="763"/>
      <c r="N29" s="763"/>
      <c r="O29" s="763"/>
      <c r="P29" s="763"/>
      <c r="Q29" s="685"/>
      <c r="R29" s="685"/>
      <c r="S29" s="685"/>
      <c r="T29" s="685"/>
      <c r="U29" s="685"/>
    </row>
    <row r="30" spans="1:21">
      <c r="A30" s="685"/>
      <c r="B30" s="763" t="s">
        <v>201</v>
      </c>
      <c r="C30" s="763"/>
      <c r="D30" s="872">
        <f>D31*D19</f>
        <v>0</v>
      </c>
      <c r="E30" s="872">
        <f t="shared" ref="E30:P30" si="8">E31*E19</f>
        <v>0</v>
      </c>
      <c r="F30" s="872">
        <f t="shared" si="8"/>
        <v>0</v>
      </c>
      <c r="G30" s="872">
        <f t="shared" si="8"/>
        <v>0</v>
      </c>
      <c r="H30" s="872">
        <f t="shared" si="8"/>
        <v>0</v>
      </c>
      <c r="I30" s="872">
        <f t="shared" si="8"/>
        <v>0</v>
      </c>
      <c r="J30" s="872">
        <f t="shared" si="8"/>
        <v>0</v>
      </c>
      <c r="K30" s="872">
        <f t="shared" si="8"/>
        <v>1.0511688000000001</v>
      </c>
      <c r="L30" s="872">
        <f t="shared" si="8"/>
        <v>3.2233987199999996</v>
      </c>
      <c r="M30" s="872">
        <f t="shared" si="8"/>
        <v>5.5130299200000001</v>
      </c>
      <c r="N30" s="872">
        <f t="shared" si="8"/>
        <v>7.6281600000000003</v>
      </c>
      <c r="O30" s="872">
        <f t="shared" si="8"/>
        <v>9.1498072085722502</v>
      </c>
      <c r="P30" s="872">
        <f t="shared" si="8"/>
        <v>10.622947165865904</v>
      </c>
      <c r="Q30" s="685"/>
      <c r="R30" s="685"/>
      <c r="S30" s="685"/>
      <c r="T30" s="685"/>
      <c r="U30" s="685"/>
    </row>
    <row r="31" spans="1:21">
      <c r="A31" s="685"/>
      <c r="B31" s="763" t="s">
        <v>202</v>
      </c>
      <c r="C31" s="763"/>
      <c r="D31" s="1542">
        <v>0.01</v>
      </c>
      <c r="E31" s="1542">
        <v>0.01</v>
      </c>
      <c r="F31" s="1542">
        <v>0.01</v>
      </c>
      <c r="G31" s="1542">
        <v>0.01</v>
      </c>
      <c r="H31" s="1542">
        <v>0.01</v>
      </c>
      <c r="I31" s="1542">
        <v>0.01</v>
      </c>
      <c r="J31" s="1542">
        <v>0.01</v>
      </c>
      <c r="K31" s="1542">
        <v>0.01</v>
      </c>
      <c r="L31" s="1542">
        <v>0.01</v>
      </c>
      <c r="M31" s="1542">
        <v>0.01</v>
      </c>
      <c r="N31" s="1542">
        <v>0.01</v>
      </c>
      <c r="O31" s="1542">
        <v>0.01</v>
      </c>
      <c r="P31" s="1542">
        <v>0.01</v>
      </c>
      <c r="Q31" s="685"/>
      <c r="R31" s="685"/>
      <c r="S31" s="685"/>
      <c r="T31" s="685"/>
      <c r="U31" s="685"/>
    </row>
    <row r="32" spans="1:21">
      <c r="A32" s="685"/>
      <c r="B32" s="763"/>
      <c r="C32" s="763"/>
      <c r="D32" s="763"/>
      <c r="E32" s="763"/>
      <c r="F32" s="763"/>
      <c r="G32" s="763"/>
      <c r="H32" s="763"/>
      <c r="I32" s="763"/>
      <c r="J32" s="763"/>
      <c r="K32" s="763"/>
      <c r="L32" s="763"/>
      <c r="M32" s="763"/>
      <c r="N32" s="763"/>
      <c r="O32" s="763"/>
      <c r="P32" s="763"/>
      <c r="Q32" s="685"/>
      <c r="R32" s="685"/>
      <c r="S32" s="685"/>
      <c r="T32" s="685"/>
      <c r="U32" s="685"/>
    </row>
    <row r="33" spans="1:21">
      <c r="A33" s="685"/>
      <c r="B33" s="763" t="s">
        <v>203</v>
      </c>
      <c r="C33" s="763"/>
      <c r="D33" s="872">
        <f>D28-D30</f>
        <v>0</v>
      </c>
      <c r="E33" s="872">
        <f t="shared" ref="E33:P33" si="9">E28-E30</f>
        <v>0</v>
      </c>
      <c r="F33" s="872">
        <f t="shared" si="9"/>
        <v>0</v>
      </c>
      <c r="G33" s="872">
        <f t="shared" si="9"/>
        <v>0</v>
      </c>
      <c r="H33" s="872">
        <f t="shared" si="9"/>
        <v>0</v>
      </c>
      <c r="I33" s="872">
        <f t="shared" si="9"/>
        <v>0</v>
      </c>
      <c r="J33" s="872">
        <f t="shared" si="9"/>
        <v>0</v>
      </c>
      <c r="K33" s="872">
        <f t="shared" si="9"/>
        <v>-11.562856800000002</v>
      </c>
      <c r="L33" s="872">
        <f t="shared" si="9"/>
        <v>-3.2233987199999996</v>
      </c>
      <c r="M33" s="872">
        <f t="shared" si="9"/>
        <v>49.617269280000002</v>
      </c>
      <c r="N33" s="872">
        <f t="shared" si="9"/>
        <v>68.653440000000018</v>
      </c>
      <c r="O33" s="872">
        <f t="shared" si="9"/>
        <v>82.348264877150243</v>
      </c>
      <c r="P33" s="872">
        <f t="shared" si="9"/>
        <v>95.606524492793127</v>
      </c>
      <c r="Q33" s="685"/>
      <c r="R33" s="685"/>
      <c r="S33" s="685"/>
      <c r="T33" s="685"/>
      <c r="U33" s="685"/>
    </row>
    <row r="34" spans="1:21">
      <c r="A34" s="685"/>
      <c r="B34" s="763"/>
      <c r="C34" s="763"/>
      <c r="D34" s="763"/>
      <c r="E34" s="763"/>
      <c r="F34" s="763"/>
      <c r="G34" s="763"/>
      <c r="H34" s="763"/>
      <c r="I34" s="763"/>
      <c r="J34" s="763"/>
      <c r="K34" s="763"/>
      <c r="L34" s="763"/>
      <c r="M34" s="763"/>
      <c r="N34" s="763"/>
      <c r="O34" s="763"/>
      <c r="P34" s="763"/>
      <c r="Q34" s="685"/>
      <c r="R34" s="685"/>
      <c r="S34" s="685"/>
      <c r="T34" s="685"/>
      <c r="U34" s="685"/>
    </row>
    <row r="35" spans="1:21">
      <c r="A35" s="685"/>
      <c r="B35" s="767" t="s">
        <v>1900</v>
      </c>
      <c r="C35" s="767">
        <f>C2</f>
        <v>2012</v>
      </c>
      <c r="D35" s="767">
        <f t="shared" ref="D35:P35" si="10">D2</f>
        <v>2013</v>
      </c>
      <c r="E35" s="767">
        <f t="shared" si="10"/>
        <v>2014</v>
      </c>
      <c r="F35" s="767">
        <f t="shared" si="10"/>
        <v>2015</v>
      </c>
      <c r="G35" s="767">
        <f t="shared" si="10"/>
        <v>2016</v>
      </c>
      <c r="H35" s="767">
        <f t="shared" si="10"/>
        <v>2017</v>
      </c>
      <c r="I35" s="767">
        <f t="shared" si="10"/>
        <v>2018</v>
      </c>
      <c r="J35" s="767">
        <f t="shared" si="10"/>
        <v>2019</v>
      </c>
      <c r="K35" s="767">
        <f t="shared" si="10"/>
        <v>2020</v>
      </c>
      <c r="L35" s="767">
        <f t="shared" si="10"/>
        <v>2021</v>
      </c>
      <c r="M35" s="767">
        <f t="shared" si="10"/>
        <v>2022</v>
      </c>
      <c r="N35" s="767">
        <f t="shared" si="10"/>
        <v>2023</v>
      </c>
      <c r="O35" s="767">
        <f t="shared" si="10"/>
        <v>2024</v>
      </c>
      <c r="P35" s="767">
        <f t="shared" si="10"/>
        <v>2025</v>
      </c>
      <c r="Q35" s="685"/>
      <c r="R35" s="685"/>
      <c r="S35" s="685"/>
      <c r="T35" s="685"/>
      <c r="U35" s="685"/>
    </row>
    <row r="36" spans="1:21">
      <c r="A36" s="685"/>
      <c r="B36" s="763" t="s">
        <v>203</v>
      </c>
      <c r="C36" s="1063"/>
      <c r="D36" s="1063">
        <f>D33</f>
        <v>0</v>
      </c>
      <c r="E36" s="1063">
        <f t="shared" ref="E36:P36" si="11">E33</f>
        <v>0</v>
      </c>
      <c r="F36" s="1063">
        <f t="shared" si="11"/>
        <v>0</v>
      </c>
      <c r="G36" s="1063">
        <f t="shared" si="11"/>
        <v>0</v>
      </c>
      <c r="H36" s="1063">
        <f t="shared" si="11"/>
        <v>0</v>
      </c>
      <c r="I36" s="1063">
        <f t="shared" si="11"/>
        <v>0</v>
      </c>
      <c r="J36" s="1063">
        <f t="shared" si="11"/>
        <v>0</v>
      </c>
      <c r="K36" s="1063">
        <f t="shared" si="11"/>
        <v>-11.562856800000002</v>
      </c>
      <c r="L36" s="1063">
        <f t="shared" si="11"/>
        <v>-3.2233987199999996</v>
      </c>
      <c r="M36" s="1063">
        <f t="shared" si="11"/>
        <v>49.617269280000002</v>
      </c>
      <c r="N36" s="1063">
        <f t="shared" si="11"/>
        <v>68.653440000000018</v>
      </c>
      <c r="O36" s="1063">
        <f t="shared" si="11"/>
        <v>82.348264877150243</v>
      </c>
      <c r="P36" s="1063">
        <f t="shared" si="11"/>
        <v>95.606524492793127</v>
      </c>
      <c r="Q36" s="685"/>
      <c r="R36" s="685"/>
      <c r="S36" s="685"/>
      <c r="T36" s="685"/>
      <c r="U36" s="685"/>
    </row>
    <row r="37" spans="1:21">
      <c r="A37" s="685"/>
      <c r="B37" s="763" t="s">
        <v>469</v>
      </c>
      <c r="C37" s="1063"/>
      <c r="D37" s="1063">
        <f t="shared" ref="D37:P37" si="12">D36*(1-0.28)</f>
        <v>0</v>
      </c>
      <c r="E37" s="1063">
        <f t="shared" si="12"/>
        <v>0</v>
      </c>
      <c r="F37" s="1063">
        <f t="shared" si="12"/>
        <v>0</v>
      </c>
      <c r="G37" s="1063">
        <f t="shared" si="12"/>
        <v>0</v>
      </c>
      <c r="H37" s="1063">
        <f t="shared" si="12"/>
        <v>0</v>
      </c>
      <c r="I37" s="1063">
        <f t="shared" si="12"/>
        <v>0</v>
      </c>
      <c r="J37" s="1063">
        <f t="shared" si="12"/>
        <v>0</v>
      </c>
      <c r="K37" s="1063">
        <f t="shared" si="12"/>
        <v>-8.3252568960000009</v>
      </c>
      <c r="L37" s="1063">
        <f t="shared" si="12"/>
        <v>-2.3208470783999995</v>
      </c>
      <c r="M37" s="1063">
        <f t="shared" si="12"/>
        <v>35.7244338816</v>
      </c>
      <c r="N37" s="1063">
        <f t="shared" si="12"/>
        <v>49.430476800000008</v>
      </c>
      <c r="O37" s="1063">
        <f t="shared" si="12"/>
        <v>59.290750711548171</v>
      </c>
      <c r="P37" s="1063">
        <f t="shared" si="12"/>
        <v>68.836697634811046</v>
      </c>
      <c r="Q37" s="685"/>
      <c r="R37" s="685"/>
      <c r="S37" s="685"/>
      <c r="T37" s="685"/>
      <c r="U37" s="685"/>
    </row>
    <row r="38" spans="1:21">
      <c r="A38" s="685"/>
      <c r="B38" s="763"/>
      <c r="C38" s="763"/>
      <c r="D38" s="763"/>
      <c r="E38" s="763"/>
      <c r="F38" s="763"/>
      <c r="G38" s="763"/>
      <c r="H38" s="763"/>
      <c r="I38" s="763"/>
      <c r="J38" s="763"/>
      <c r="K38" s="763"/>
      <c r="L38" s="763"/>
      <c r="M38" s="763"/>
      <c r="N38" s="763"/>
      <c r="O38" s="685"/>
      <c r="P38" s="685"/>
      <c r="Q38" s="685"/>
      <c r="R38" s="685"/>
      <c r="S38" s="685"/>
      <c r="T38" s="685"/>
      <c r="U38" s="685"/>
    </row>
    <row r="39" spans="1:21">
      <c r="A39" s="685"/>
      <c r="B39" s="763" t="s">
        <v>1901</v>
      </c>
      <c r="C39" s="1063">
        <f>NPV(C41,G37:P37)</f>
        <v>98.907693165044293</v>
      </c>
      <c r="D39" s="763"/>
      <c r="E39" s="763"/>
      <c r="F39" s="763"/>
      <c r="G39" s="763"/>
      <c r="H39" s="763"/>
      <c r="I39" s="763"/>
      <c r="J39" s="763"/>
      <c r="K39" s="763"/>
      <c r="L39" s="763"/>
      <c r="M39" s="763"/>
      <c r="N39" s="763"/>
      <c r="O39" s="685"/>
      <c r="P39" s="685"/>
      <c r="Q39" s="685"/>
      <c r="R39" s="685"/>
      <c r="S39" s="685"/>
      <c r="T39" s="685"/>
      <c r="U39" s="685"/>
    </row>
    <row r="40" spans="1:21">
      <c r="A40" s="685"/>
      <c r="B40" s="763"/>
      <c r="C40" s="1063"/>
      <c r="D40" s="763"/>
      <c r="E40" s="763"/>
      <c r="F40" s="763"/>
      <c r="G40" s="763"/>
      <c r="H40" s="763"/>
      <c r="I40" s="763"/>
      <c r="J40" s="763"/>
      <c r="K40" s="763"/>
      <c r="L40" s="763"/>
      <c r="M40" s="763"/>
      <c r="N40" s="763"/>
      <c r="O40" s="685"/>
      <c r="P40" s="685"/>
      <c r="Q40" s="685"/>
      <c r="R40" s="685"/>
      <c r="S40" s="685"/>
      <c r="T40" s="685"/>
      <c r="U40" s="685"/>
    </row>
    <row r="41" spans="1:21">
      <c r="A41" s="685"/>
      <c r="B41" s="763" t="s">
        <v>457</v>
      </c>
      <c r="C41" s="1540">
        <v>8.3699999999999997E-2</v>
      </c>
      <c r="D41" s="763"/>
      <c r="E41" s="763"/>
      <c r="F41" s="763"/>
      <c r="G41" s="763"/>
      <c r="H41" s="763"/>
      <c r="I41" s="763"/>
      <c r="J41" s="763"/>
      <c r="K41" s="763"/>
      <c r="L41" s="763"/>
      <c r="M41" s="763"/>
      <c r="N41" s="763"/>
      <c r="O41" s="685"/>
      <c r="P41" s="685"/>
      <c r="Q41" s="685"/>
      <c r="R41" s="685"/>
      <c r="S41" s="685"/>
      <c r="T41" s="685"/>
      <c r="U41" s="685"/>
    </row>
    <row r="42" spans="1:21">
      <c r="A42" s="685"/>
      <c r="B42" s="763" t="s">
        <v>1902</v>
      </c>
      <c r="C42" s="1542">
        <v>0.01</v>
      </c>
      <c r="D42" s="763"/>
      <c r="E42" s="763"/>
      <c r="F42" s="763"/>
      <c r="G42" s="763"/>
      <c r="H42" s="763"/>
      <c r="I42" s="763"/>
      <c r="J42" s="763"/>
      <c r="K42" s="763"/>
      <c r="L42" s="763"/>
      <c r="M42" s="763"/>
      <c r="N42" s="763"/>
      <c r="O42" s="685"/>
      <c r="P42" s="685"/>
      <c r="Q42" s="685"/>
      <c r="R42" s="685"/>
      <c r="S42" s="685"/>
      <c r="T42" s="685"/>
      <c r="U42" s="685"/>
    </row>
    <row r="43" spans="1:21">
      <c r="A43" s="685"/>
      <c r="B43" s="763" t="s">
        <v>544</v>
      </c>
      <c r="C43" s="1543">
        <f>1/(C41-C42)</f>
        <v>13.568521031207599</v>
      </c>
      <c r="D43" s="763"/>
      <c r="E43" s="763"/>
      <c r="F43" s="763"/>
      <c r="G43" s="763"/>
      <c r="H43" s="763"/>
      <c r="I43" s="763"/>
      <c r="J43" s="763"/>
      <c r="K43" s="763"/>
      <c r="L43" s="763"/>
      <c r="M43" s="763"/>
      <c r="N43" s="763"/>
      <c r="O43" s="685"/>
      <c r="P43" s="685"/>
      <c r="Q43" s="685"/>
      <c r="R43" s="685"/>
      <c r="S43" s="685"/>
      <c r="T43" s="685"/>
      <c r="U43" s="685"/>
    </row>
    <row r="44" spans="1:21">
      <c r="A44" s="685"/>
      <c r="B44" s="763" t="s">
        <v>1903</v>
      </c>
      <c r="C44" s="1063">
        <f>C43*P37</f>
        <v>934.01217957681206</v>
      </c>
      <c r="D44" s="763"/>
      <c r="E44" s="763"/>
      <c r="F44" s="763"/>
      <c r="G44" s="763"/>
      <c r="H44" s="763"/>
      <c r="I44" s="763"/>
      <c r="J44" s="763"/>
      <c r="K44" s="763"/>
      <c r="L44" s="763"/>
      <c r="M44" s="763"/>
      <c r="N44" s="763"/>
      <c r="O44" s="685"/>
      <c r="P44" s="685"/>
      <c r="Q44" s="685"/>
      <c r="R44" s="685"/>
      <c r="S44" s="685"/>
      <c r="T44" s="685"/>
      <c r="U44" s="685"/>
    </row>
    <row r="45" spans="1:21">
      <c r="A45" s="685"/>
      <c r="B45" s="763" t="s">
        <v>1904</v>
      </c>
      <c r="C45" s="1063">
        <f>C44/(1+C82)^10</f>
        <v>934.01217957681206</v>
      </c>
      <c r="D45" s="763"/>
      <c r="E45" s="763"/>
      <c r="F45" s="763"/>
      <c r="G45" s="763"/>
      <c r="H45" s="763"/>
      <c r="I45" s="763"/>
      <c r="J45" s="763"/>
      <c r="K45" s="763"/>
      <c r="L45" s="763"/>
      <c r="M45" s="763"/>
      <c r="N45" s="763"/>
      <c r="O45" s="685"/>
      <c r="P45" s="685"/>
      <c r="Q45" s="685"/>
      <c r="R45" s="685"/>
      <c r="S45" s="685"/>
      <c r="T45" s="685"/>
      <c r="U45" s="685"/>
    </row>
    <row r="46" spans="1:21">
      <c r="A46" s="685"/>
      <c r="B46" s="763"/>
      <c r="C46" s="763"/>
      <c r="D46" s="763"/>
      <c r="E46" s="763"/>
      <c r="F46" s="763"/>
      <c r="G46" s="763"/>
      <c r="H46" s="763"/>
      <c r="I46" s="763"/>
      <c r="J46" s="763"/>
      <c r="K46" s="763"/>
      <c r="L46" s="763"/>
      <c r="M46" s="763"/>
      <c r="N46" s="763"/>
      <c r="O46" s="685"/>
      <c r="P46" s="685"/>
      <c r="Q46" s="685"/>
      <c r="R46" s="685"/>
      <c r="S46" s="685"/>
      <c r="T46" s="685"/>
      <c r="U46" s="685"/>
    </row>
    <row r="47" spans="1:21">
      <c r="A47" s="685"/>
      <c r="B47" s="763" t="s">
        <v>1905</v>
      </c>
      <c r="C47" s="1063">
        <f>C45+C39</f>
        <v>1032.9198727418564</v>
      </c>
      <c r="D47" s="1543"/>
      <c r="E47" s="763"/>
      <c r="F47" s="763"/>
      <c r="G47" s="763"/>
      <c r="H47" s="763"/>
      <c r="I47" s="763"/>
      <c r="J47" s="763"/>
      <c r="K47" s="763"/>
      <c r="L47" s="763"/>
      <c r="M47" s="763"/>
      <c r="N47" s="763"/>
      <c r="O47" s="685"/>
      <c r="P47" s="685"/>
      <c r="Q47" s="685"/>
      <c r="R47" s="685"/>
      <c r="S47" s="685"/>
      <c r="T47" s="685"/>
      <c r="U47" s="685"/>
    </row>
    <row r="48" spans="1:21">
      <c r="A48" s="685"/>
      <c r="B48" s="763" t="s">
        <v>1532</v>
      </c>
      <c r="C48" s="1063">
        <f>C47/Valuation!J19</f>
        <v>77.604798853633085</v>
      </c>
      <c r="D48" s="807">
        <f>C48/SOP!G6</f>
        <v>2.1908590222812913E-2</v>
      </c>
      <c r="E48" s="685"/>
      <c r="F48" s="685"/>
      <c r="G48" s="685"/>
      <c r="H48" s="685"/>
      <c r="I48" s="685"/>
      <c r="J48" s="685"/>
      <c r="K48" s="685"/>
      <c r="L48" s="685"/>
      <c r="M48" s="685"/>
      <c r="N48" s="685"/>
      <c r="O48" s="685"/>
      <c r="P48" s="685"/>
      <c r="Q48" s="685"/>
      <c r="R48" s="685"/>
      <c r="S48" s="685"/>
      <c r="T48" s="685"/>
      <c r="U48" s="685"/>
    </row>
    <row r="49" spans="1:21">
      <c r="A49" s="685"/>
      <c r="B49" s="763" t="s">
        <v>1906</v>
      </c>
      <c r="C49" s="1543">
        <f>C48/SOP!G29</f>
        <v>0.13534546444949277</v>
      </c>
      <c r="D49" s="1543">
        <f>C49*0.7</f>
        <v>9.4741825114644934E-2</v>
      </c>
      <c r="E49" s="685"/>
      <c r="F49" s="685"/>
      <c r="G49" s="685"/>
      <c r="H49" s="685"/>
      <c r="I49" s="685"/>
      <c r="J49" s="685"/>
      <c r="K49" s="685"/>
      <c r="L49" s="685"/>
      <c r="M49" s="685"/>
      <c r="N49" s="685"/>
      <c r="O49" s="685"/>
      <c r="P49" s="685"/>
      <c r="Q49" s="685"/>
      <c r="R49" s="685"/>
      <c r="S49" s="685"/>
      <c r="T49" s="685"/>
      <c r="U49" s="685"/>
    </row>
    <row r="50" spans="1:21">
      <c r="A50" s="685"/>
      <c r="B50" s="685"/>
      <c r="C50" s="685"/>
      <c r="D50" s="685"/>
      <c r="E50" s="685"/>
      <c r="F50" s="685"/>
      <c r="G50" s="685"/>
      <c r="H50" s="685"/>
      <c r="I50" s="685"/>
      <c r="J50" s="685"/>
      <c r="K50" s="685"/>
      <c r="L50" s="685"/>
      <c r="M50" s="685"/>
      <c r="N50" s="685"/>
      <c r="O50" s="685"/>
      <c r="P50" s="685"/>
      <c r="Q50" s="685"/>
      <c r="R50" s="685"/>
      <c r="S50" s="685"/>
      <c r="T50" s="685"/>
      <c r="U50" s="685"/>
    </row>
    <row r="51" spans="1:21">
      <c r="A51" s="685"/>
      <c r="B51" s="685"/>
      <c r="C51" s="685"/>
      <c r="D51" s="685"/>
      <c r="E51" s="685"/>
      <c r="F51" s="685"/>
      <c r="G51" s="685"/>
      <c r="H51" s="685"/>
      <c r="I51" s="685"/>
      <c r="J51" s="685"/>
      <c r="K51" s="685"/>
      <c r="L51" s="685"/>
      <c r="M51" s="685"/>
      <c r="N51" s="685"/>
      <c r="O51" s="685"/>
      <c r="P51" s="685"/>
      <c r="Q51" s="685"/>
      <c r="R51" s="685"/>
      <c r="S51" s="685"/>
      <c r="T51" s="685"/>
      <c r="U51" s="685"/>
    </row>
    <row r="52" spans="1:21">
      <c r="A52" s="685"/>
      <c r="B52" s="685"/>
      <c r="C52" s="685"/>
      <c r="D52" s="685"/>
      <c r="E52" s="685"/>
      <c r="F52" s="685"/>
      <c r="G52" s="685"/>
      <c r="H52" s="685"/>
      <c r="I52" s="685"/>
      <c r="J52" s="685"/>
      <c r="K52" s="685"/>
      <c r="L52" s="685"/>
      <c r="M52" s="685"/>
      <c r="N52" s="685"/>
      <c r="O52" s="685"/>
      <c r="P52" s="685"/>
      <c r="Q52" s="685"/>
      <c r="R52" s="685"/>
      <c r="S52" s="685"/>
      <c r="T52" s="685"/>
      <c r="U52" s="685"/>
    </row>
    <row r="53" spans="1:21">
      <c r="A53" s="685"/>
      <c r="B53" s="685"/>
      <c r="C53" s="685"/>
      <c r="D53" s="685"/>
      <c r="E53" s="685"/>
      <c r="F53" s="685"/>
      <c r="G53" s="685"/>
      <c r="H53" s="685"/>
      <c r="I53" s="685"/>
      <c r="J53" s="685"/>
      <c r="K53" s="685"/>
      <c r="L53" s="685"/>
      <c r="M53" s="685"/>
      <c r="N53" s="685"/>
      <c r="O53" s="685"/>
      <c r="P53" s="685"/>
      <c r="Q53" s="685"/>
      <c r="R53" s="685"/>
      <c r="S53" s="685"/>
      <c r="T53" s="685"/>
      <c r="U53" s="685"/>
    </row>
    <row r="54" spans="1:21">
      <c r="A54" s="685"/>
      <c r="B54" s="685"/>
      <c r="C54" s="685"/>
      <c r="D54" s="685"/>
      <c r="E54" s="685"/>
      <c r="F54" s="685"/>
      <c r="G54" s="685"/>
      <c r="H54" s="685"/>
      <c r="I54" s="685"/>
      <c r="J54" s="685"/>
      <c r="K54" s="685"/>
      <c r="L54" s="685"/>
      <c r="M54" s="685"/>
      <c r="N54" s="685"/>
      <c r="O54" s="685"/>
      <c r="P54" s="685"/>
      <c r="Q54" s="685"/>
      <c r="R54" s="685"/>
      <c r="S54" s="685"/>
      <c r="T54" s="685"/>
      <c r="U54" s="685"/>
    </row>
    <row r="55" spans="1:21">
      <c r="A55" s="685"/>
      <c r="B55" s="685"/>
      <c r="C55" s="685"/>
      <c r="D55" s="685"/>
      <c r="E55" s="685"/>
      <c r="F55" s="685"/>
      <c r="G55" s="685"/>
      <c r="H55" s="685"/>
      <c r="I55" s="685"/>
      <c r="J55" s="685"/>
      <c r="K55" s="685"/>
      <c r="L55" s="685"/>
      <c r="M55" s="685"/>
      <c r="N55" s="685"/>
      <c r="O55" s="685"/>
      <c r="P55" s="685"/>
      <c r="Q55" s="685"/>
      <c r="R55" s="685"/>
      <c r="S55" s="685"/>
      <c r="T55" s="685"/>
      <c r="U55" s="685"/>
    </row>
    <row r="56" spans="1:21">
      <c r="A56" s="685"/>
      <c r="B56" s="685"/>
      <c r="C56" s="685"/>
      <c r="D56" s="685"/>
      <c r="E56" s="685"/>
      <c r="F56" s="685"/>
      <c r="G56" s="685"/>
      <c r="H56" s="685"/>
      <c r="I56" s="685"/>
      <c r="J56" s="685"/>
      <c r="K56" s="685"/>
      <c r="L56" s="685"/>
      <c r="M56" s="685"/>
      <c r="N56" s="685"/>
      <c r="O56" s="685"/>
      <c r="P56" s="685"/>
      <c r="Q56" s="685"/>
      <c r="R56" s="685"/>
      <c r="S56" s="685"/>
      <c r="T56" s="685"/>
      <c r="U56" s="685"/>
    </row>
    <row r="57" spans="1:21">
      <c r="A57" s="685"/>
      <c r="B57" s="685"/>
      <c r="C57" s="685"/>
      <c r="D57" s="685"/>
      <c r="E57" s="685"/>
      <c r="F57" s="685"/>
      <c r="G57" s="685"/>
      <c r="H57" s="685"/>
      <c r="I57" s="685"/>
      <c r="J57" s="685"/>
      <c r="K57" s="685"/>
      <c r="L57" s="685"/>
      <c r="M57" s="685"/>
      <c r="N57" s="685"/>
      <c r="O57" s="685"/>
      <c r="P57" s="685"/>
      <c r="Q57" s="685"/>
      <c r="R57" s="685"/>
      <c r="S57" s="685"/>
      <c r="T57" s="685"/>
      <c r="U57" s="685"/>
    </row>
    <row r="58" spans="1:21">
      <c r="A58" s="685"/>
      <c r="B58" s="685"/>
      <c r="C58" s="685"/>
      <c r="D58" s="685"/>
      <c r="E58" s="685"/>
      <c r="F58" s="685"/>
      <c r="G58" s="685"/>
      <c r="H58" s="685"/>
      <c r="I58" s="685"/>
      <c r="J58" s="685"/>
      <c r="K58" s="685"/>
      <c r="L58" s="685"/>
      <c r="M58" s="685"/>
      <c r="N58" s="685"/>
      <c r="O58" s="685"/>
      <c r="P58" s="685"/>
      <c r="Q58" s="685"/>
      <c r="R58" s="685"/>
      <c r="S58" s="685"/>
      <c r="T58" s="685"/>
      <c r="U58" s="685"/>
    </row>
    <row r="59" spans="1:21">
      <c r="A59" s="685"/>
      <c r="B59" s="685"/>
      <c r="C59" s="685"/>
      <c r="D59" s="685"/>
      <c r="E59" s="685"/>
      <c r="F59" s="685"/>
      <c r="G59" s="685"/>
      <c r="H59" s="685"/>
      <c r="I59" s="685"/>
      <c r="J59" s="685"/>
      <c r="K59" s="685"/>
      <c r="L59" s="685"/>
      <c r="M59" s="685"/>
      <c r="N59" s="685"/>
      <c r="O59" s="685"/>
      <c r="P59" s="685"/>
      <c r="Q59" s="685"/>
      <c r="R59" s="685"/>
      <c r="S59" s="685"/>
      <c r="T59" s="685"/>
      <c r="U59" s="685"/>
    </row>
    <row r="60" spans="1:21">
      <c r="A60" s="685"/>
      <c r="B60" s="685"/>
      <c r="C60" s="685"/>
      <c r="D60" s="685"/>
      <c r="E60" s="685"/>
      <c r="F60" s="685"/>
      <c r="G60" s="685"/>
      <c r="H60" s="685"/>
      <c r="I60" s="685"/>
      <c r="J60" s="685"/>
      <c r="K60" s="685"/>
      <c r="L60" s="685"/>
      <c r="M60" s="685"/>
      <c r="N60" s="685"/>
      <c r="O60" s="685"/>
      <c r="P60" s="685"/>
      <c r="Q60" s="685"/>
      <c r="R60" s="685"/>
      <c r="S60" s="685"/>
      <c r="T60" s="685"/>
      <c r="U60" s="685"/>
    </row>
    <row r="61" spans="1:21">
      <c r="A61" s="685"/>
      <c r="B61" s="685"/>
      <c r="C61" s="685"/>
      <c r="D61" s="685"/>
      <c r="E61" s="685"/>
      <c r="F61" s="685"/>
      <c r="G61" s="685"/>
      <c r="H61" s="685"/>
      <c r="I61" s="685"/>
      <c r="J61" s="685"/>
      <c r="K61" s="685"/>
      <c r="L61" s="685"/>
      <c r="M61" s="685"/>
      <c r="N61" s="685"/>
      <c r="O61" s="685"/>
      <c r="P61" s="685"/>
      <c r="Q61" s="685"/>
      <c r="R61" s="685"/>
      <c r="S61" s="685"/>
      <c r="T61" s="685"/>
      <c r="U61" s="685"/>
    </row>
    <row r="62" spans="1:21">
      <c r="A62" s="685"/>
      <c r="B62" s="685"/>
      <c r="C62" s="685"/>
      <c r="D62" s="685"/>
      <c r="E62" s="685"/>
      <c r="F62" s="685"/>
      <c r="G62" s="685"/>
      <c r="H62" s="685"/>
      <c r="I62" s="685"/>
      <c r="J62" s="685"/>
      <c r="K62" s="685"/>
      <c r="L62" s="685"/>
      <c r="M62" s="685"/>
      <c r="N62" s="685"/>
      <c r="O62" s="685"/>
      <c r="P62" s="685"/>
      <c r="Q62" s="685"/>
      <c r="R62" s="685"/>
      <c r="S62" s="685"/>
      <c r="T62" s="685"/>
      <c r="U62" s="685"/>
    </row>
    <row r="63" spans="1:21">
      <c r="A63" s="685"/>
      <c r="B63" s="685"/>
      <c r="C63" s="685"/>
      <c r="D63" s="685"/>
      <c r="E63" s="685"/>
      <c r="F63" s="685"/>
      <c r="G63" s="685"/>
      <c r="H63" s="685"/>
      <c r="I63" s="685"/>
      <c r="J63" s="685"/>
      <c r="K63" s="685"/>
      <c r="L63" s="685"/>
      <c r="M63" s="685"/>
      <c r="N63" s="685"/>
      <c r="O63" s="685"/>
      <c r="P63" s="685"/>
      <c r="Q63" s="685"/>
      <c r="R63" s="685"/>
      <c r="S63" s="685"/>
      <c r="T63" s="685"/>
      <c r="U63" s="685"/>
    </row>
    <row r="64" spans="1:21">
      <c r="A64" s="685"/>
      <c r="B64" s="685"/>
      <c r="C64" s="685"/>
      <c r="D64" s="685"/>
      <c r="E64" s="685"/>
      <c r="F64" s="685"/>
      <c r="G64" s="685"/>
      <c r="H64" s="685"/>
      <c r="I64" s="685"/>
      <c r="J64" s="685"/>
      <c r="K64" s="685"/>
      <c r="L64" s="685"/>
      <c r="M64" s="685"/>
      <c r="N64" s="685"/>
      <c r="O64" s="685"/>
      <c r="P64" s="685"/>
      <c r="Q64" s="685"/>
      <c r="R64" s="685"/>
      <c r="S64" s="685"/>
      <c r="T64" s="685"/>
      <c r="U64" s="685"/>
    </row>
    <row r="65" spans="1:21">
      <c r="A65" s="685"/>
      <c r="B65" s="685"/>
      <c r="C65" s="685"/>
      <c r="D65" s="685"/>
      <c r="E65" s="685"/>
      <c r="F65" s="685"/>
      <c r="G65" s="685"/>
      <c r="H65" s="685"/>
      <c r="I65" s="685"/>
      <c r="J65" s="685"/>
      <c r="K65" s="685"/>
      <c r="L65" s="685"/>
      <c r="M65" s="685"/>
      <c r="N65" s="685"/>
      <c r="O65" s="685"/>
      <c r="P65" s="685"/>
      <c r="Q65" s="685"/>
      <c r="R65" s="685"/>
      <c r="S65" s="685"/>
      <c r="T65" s="685"/>
      <c r="U65" s="685"/>
    </row>
    <row r="66" spans="1:21">
      <c r="A66" s="685"/>
      <c r="B66" s="685"/>
      <c r="C66" s="685"/>
      <c r="D66" s="685"/>
      <c r="E66" s="685"/>
      <c r="F66" s="685"/>
      <c r="G66" s="685"/>
      <c r="H66" s="685"/>
      <c r="I66" s="685"/>
      <c r="J66" s="685"/>
      <c r="K66" s="685"/>
      <c r="L66" s="685"/>
      <c r="M66" s="685"/>
      <c r="N66" s="685"/>
      <c r="O66" s="685"/>
      <c r="P66" s="685"/>
      <c r="Q66" s="685"/>
      <c r="R66" s="685"/>
      <c r="S66" s="685"/>
      <c r="T66" s="685"/>
      <c r="U66" s="685"/>
    </row>
    <row r="67" spans="1:21">
      <c r="A67" s="685"/>
      <c r="B67" s="685"/>
      <c r="C67" s="685"/>
      <c r="D67" s="685"/>
      <c r="E67" s="685"/>
      <c r="F67" s="685"/>
      <c r="G67" s="685"/>
      <c r="H67" s="685"/>
      <c r="I67" s="685"/>
      <c r="J67" s="685"/>
      <c r="K67" s="685"/>
      <c r="L67" s="685"/>
      <c r="M67" s="685"/>
      <c r="N67" s="685"/>
      <c r="O67" s="685"/>
      <c r="P67" s="685"/>
      <c r="Q67" s="685"/>
      <c r="R67" s="685"/>
      <c r="S67" s="685"/>
      <c r="T67" s="685"/>
      <c r="U67" s="685"/>
    </row>
    <row r="68" spans="1:21">
      <c r="A68" s="685"/>
      <c r="B68" s="685"/>
      <c r="C68" s="685"/>
      <c r="D68" s="685"/>
      <c r="E68" s="685"/>
      <c r="F68" s="685"/>
      <c r="G68" s="685"/>
      <c r="H68" s="685"/>
      <c r="I68" s="685"/>
      <c r="J68" s="685"/>
      <c r="K68" s="685"/>
      <c r="L68" s="685"/>
      <c r="M68" s="685"/>
      <c r="N68" s="685"/>
      <c r="O68" s="685"/>
      <c r="P68" s="685"/>
      <c r="Q68" s="685"/>
      <c r="R68" s="685"/>
      <c r="S68" s="685"/>
      <c r="T68" s="685"/>
      <c r="U68" s="685"/>
    </row>
    <row r="69" spans="1:21">
      <c r="A69" s="685"/>
      <c r="B69" s="685"/>
      <c r="C69" s="685"/>
      <c r="D69" s="685"/>
      <c r="E69" s="685"/>
      <c r="F69" s="685"/>
      <c r="G69" s="685"/>
      <c r="H69" s="685"/>
      <c r="I69" s="685"/>
      <c r="J69" s="685"/>
      <c r="K69" s="685"/>
      <c r="L69" s="685"/>
      <c r="M69" s="685"/>
      <c r="N69" s="685"/>
      <c r="O69" s="685"/>
      <c r="P69" s="685"/>
      <c r="Q69" s="685"/>
      <c r="R69" s="685"/>
      <c r="S69" s="685"/>
      <c r="T69" s="685"/>
      <c r="U69" s="685"/>
    </row>
    <row r="70" spans="1:21">
      <c r="A70" s="685"/>
      <c r="B70" s="685"/>
      <c r="C70" s="685"/>
      <c r="D70" s="685"/>
      <c r="E70" s="685"/>
      <c r="F70" s="685"/>
      <c r="G70" s="685"/>
      <c r="H70" s="685"/>
      <c r="I70" s="685"/>
      <c r="J70" s="685"/>
      <c r="K70" s="685"/>
      <c r="L70" s="685"/>
      <c r="M70" s="685"/>
      <c r="N70" s="685"/>
      <c r="O70" s="685"/>
      <c r="P70" s="685"/>
      <c r="Q70" s="685"/>
      <c r="R70" s="685"/>
      <c r="S70" s="685"/>
      <c r="T70" s="685"/>
      <c r="U70" s="685"/>
    </row>
    <row r="71" spans="1:21">
      <c r="A71" s="685"/>
      <c r="B71" s="685"/>
      <c r="C71" s="685"/>
      <c r="D71" s="685"/>
      <c r="E71" s="685"/>
      <c r="F71" s="685"/>
      <c r="G71" s="685"/>
      <c r="H71" s="685"/>
      <c r="I71" s="685"/>
      <c r="J71" s="685"/>
      <c r="K71" s="685"/>
      <c r="L71" s="685"/>
      <c r="M71" s="685"/>
      <c r="N71" s="685"/>
      <c r="O71" s="685"/>
      <c r="P71" s="685"/>
      <c r="Q71" s="685"/>
      <c r="R71" s="685"/>
      <c r="S71" s="685"/>
      <c r="T71" s="685"/>
      <c r="U71" s="685"/>
    </row>
    <row r="72" spans="1:21">
      <c r="A72" s="685"/>
      <c r="B72" s="685"/>
      <c r="C72" s="685"/>
      <c r="D72" s="685"/>
      <c r="E72" s="685"/>
      <c r="F72" s="685"/>
      <c r="G72" s="685"/>
      <c r="H72" s="685"/>
      <c r="I72" s="685"/>
      <c r="J72" s="685"/>
      <c r="K72" s="685"/>
      <c r="L72" s="685"/>
      <c r="M72" s="685"/>
      <c r="N72" s="685"/>
      <c r="O72" s="685"/>
      <c r="P72" s="685"/>
      <c r="Q72" s="685"/>
      <c r="R72" s="685"/>
      <c r="S72" s="685"/>
      <c r="T72" s="685"/>
      <c r="U72" s="68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pageSetUpPr fitToPage="1"/>
  </sheetPr>
  <dimension ref="A1:FQ370"/>
  <sheetViews>
    <sheetView zoomScale="72" zoomScaleNormal="72" workbookViewId="0">
      <pane xSplit="1" ySplit="4" topLeftCell="BQ144" activePane="bottomRight" state="frozen"/>
      <selection activeCell="U242" sqref="U242"/>
      <selection pane="topRight" activeCell="U242" sqref="U242"/>
      <selection pane="bottomLeft" activeCell="U242" sqref="U242"/>
      <selection pane="bottomRight" activeCell="BU160" sqref="BU160"/>
    </sheetView>
  </sheetViews>
  <sheetFormatPr defaultRowHeight="15" outlineLevelCol="1"/>
  <cols>
    <col min="1" max="1" width="46" style="13" customWidth="1"/>
    <col min="2" max="12" width="10.7109375" style="13" hidden="1" customWidth="1" outlineLevel="1"/>
    <col min="13" max="13" width="10.7109375" style="13" hidden="1" customWidth="1" outlineLevel="1" collapsed="1"/>
    <col min="14" max="33" width="10.7109375" style="13" hidden="1" customWidth="1" outlineLevel="1"/>
    <col min="34" max="34" width="10.7109375" style="13" hidden="1" customWidth="1" outlineLevel="1" collapsed="1"/>
    <col min="35" max="36" width="10.7109375" style="13" hidden="1" customWidth="1" outlineLevel="1"/>
    <col min="37" max="37" width="10.7109375" style="13" hidden="1" customWidth="1" outlineLevel="1" collapsed="1"/>
    <col min="38" max="51" width="10.7109375" style="13" hidden="1" customWidth="1" outlineLevel="1"/>
    <col min="52" max="52" width="10.7109375" style="13" hidden="1" customWidth="1" outlineLevel="1" collapsed="1"/>
    <col min="53" max="56" width="10.7109375" style="13" hidden="1" customWidth="1" outlineLevel="1"/>
    <col min="57" max="57" width="10.7109375" style="13" hidden="1" customWidth="1" outlineLevel="1" collapsed="1"/>
    <col min="58" max="61" width="10.7109375" style="13" hidden="1" customWidth="1" outlineLevel="1"/>
    <col min="62" max="62" width="10.7109375" style="13" customWidth="1" collapsed="1"/>
    <col min="63" max="76" width="10.7109375" style="13" customWidth="1"/>
    <col min="77" max="77" width="9.5703125" style="13" customWidth="1"/>
    <col min="78" max="78" width="8.85546875" style="13" customWidth="1"/>
    <col min="79" max="87" width="7.85546875" style="13" hidden="1" customWidth="1" outlineLevel="1"/>
    <col min="88" max="112" width="8" style="13" hidden="1" customWidth="1" outlineLevel="1"/>
    <col min="113" max="117" width="8.140625" style="13" hidden="1" customWidth="1" outlineLevel="1"/>
    <col min="118" max="119" width="8" style="13" hidden="1" customWidth="1" outlineLevel="1"/>
    <col min="120" max="120" width="8.85546875" style="13" hidden="1" customWidth="1" outlineLevel="1"/>
    <col min="121" max="123" width="8" style="13" hidden="1" customWidth="1" outlineLevel="1"/>
    <col min="124" max="124" width="10.28515625" style="13" hidden="1" customWidth="1" outlineLevel="1" collapsed="1"/>
    <col min="125" max="125" width="10.28515625" style="13" hidden="1" customWidth="1" outlineLevel="1"/>
    <col min="126" max="128" width="10.28515625" style="128" hidden="1" customWidth="1" outlineLevel="1"/>
    <col min="129" max="129" width="10.28515625" style="128" customWidth="1" collapsed="1"/>
    <col min="130" max="143" width="10.28515625" style="128" customWidth="1"/>
    <col min="144" max="146" width="8" style="128" customWidth="1"/>
    <col min="147" max="147" width="17.140625" style="13" bestFit="1" customWidth="1"/>
    <col min="148" max="161" width="11.42578125" style="13" customWidth="1"/>
    <col min="162" max="162" width="10.7109375" style="13" customWidth="1"/>
    <col min="163" max="163" width="8.140625" style="128" bestFit="1" customWidth="1"/>
    <col min="164" max="164" width="10.7109375" style="13" customWidth="1"/>
    <col min="165" max="165" width="10.28515625" style="128" customWidth="1"/>
    <col min="166" max="166" width="10.7109375" style="13" customWidth="1"/>
    <col min="167" max="167" width="10.28515625" style="128" customWidth="1"/>
    <col min="168" max="343" width="11.42578125" style="13" customWidth="1"/>
    <col min="344" max="344" width="36.140625" style="13" customWidth="1"/>
    <col min="345" max="351" width="7.85546875" style="13" customWidth="1"/>
    <col min="352" max="352" width="8.140625" style="13" bestFit="1" customWidth="1"/>
    <col min="353" max="354" width="7.85546875" style="13" customWidth="1"/>
    <col min="355" max="599" width="11.42578125" style="13" customWidth="1"/>
    <col min="600" max="600" width="36.140625" style="13" customWidth="1"/>
    <col min="601" max="607" width="7.85546875" style="13" customWidth="1"/>
    <col min="608" max="608" width="8.140625" style="13" bestFit="1" customWidth="1"/>
    <col min="609" max="610" width="7.85546875" style="13" customWidth="1"/>
    <col min="611" max="855" width="11.42578125" style="13" customWidth="1"/>
    <col min="856" max="856" width="36.140625" style="13" customWidth="1"/>
    <col min="857" max="863" width="7.85546875" style="13" customWidth="1"/>
    <col min="864" max="864" width="8.140625" style="13" bestFit="1" customWidth="1"/>
    <col min="865" max="866" width="7.85546875" style="13" customWidth="1"/>
    <col min="867" max="1111" width="11.42578125" style="13" customWidth="1"/>
    <col min="1112" max="1112" width="36.140625" style="13" customWidth="1"/>
    <col min="1113" max="1119" width="7.85546875" style="13" customWidth="1"/>
    <col min="1120" max="1120" width="8.140625" style="13" bestFit="1" customWidth="1"/>
    <col min="1121" max="1122" width="7.85546875" style="13" customWidth="1"/>
    <col min="1123" max="1367" width="11.42578125" style="13" customWidth="1"/>
    <col min="1368" max="1368" width="36.140625" style="13" customWidth="1"/>
    <col min="1369" max="1375" width="7.85546875" style="13" customWidth="1"/>
    <col min="1376" max="1376" width="8.140625" style="13" bestFit="1" customWidth="1"/>
    <col min="1377" max="1378" width="7.85546875" style="13" customWidth="1"/>
    <col min="1379" max="1623" width="11.42578125" style="13" customWidth="1"/>
    <col min="1624" max="1624" width="36.140625" style="13" customWidth="1"/>
    <col min="1625" max="1631" width="7.85546875" style="13" customWidth="1"/>
    <col min="1632" max="1632" width="8.140625" style="13" bestFit="1" customWidth="1"/>
    <col min="1633" max="1634" width="7.85546875" style="13" customWidth="1"/>
    <col min="1635" max="1879" width="11.42578125" style="13" customWidth="1"/>
    <col min="1880" max="1880" width="36.140625" style="13" customWidth="1"/>
    <col min="1881" max="1887" width="7.85546875" style="13" customWidth="1"/>
    <col min="1888" max="1888" width="8.140625" style="13" bestFit="1" customWidth="1"/>
    <col min="1889" max="1890" width="7.85546875" style="13" customWidth="1"/>
    <col min="1891" max="2135" width="11.42578125" style="13" customWidth="1"/>
    <col min="2136" max="2136" width="36.140625" style="13" customWidth="1"/>
    <col min="2137" max="2143" width="7.85546875" style="13" customWidth="1"/>
    <col min="2144" max="2144" width="8.140625" style="13" bestFit="1" customWidth="1"/>
    <col min="2145" max="2146" width="7.85546875" style="13" customWidth="1"/>
    <col min="2147" max="2391" width="11.42578125" style="13" customWidth="1"/>
    <col min="2392" max="2392" width="36.140625" style="13" customWidth="1"/>
    <col min="2393" max="2399" width="7.85546875" style="13" customWidth="1"/>
    <col min="2400" max="2400" width="8.140625" style="13" bestFit="1" customWidth="1"/>
    <col min="2401" max="2402" width="7.85546875" style="13" customWidth="1"/>
    <col min="2403" max="2647" width="11.42578125" style="13" customWidth="1"/>
    <col min="2648" max="2648" width="36.140625" style="13" customWidth="1"/>
    <col min="2649" max="2655" width="7.85546875" style="13" customWidth="1"/>
    <col min="2656" max="2656" width="8.140625" style="13" bestFit="1" customWidth="1"/>
    <col min="2657" max="2658" width="7.85546875" style="13" customWidth="1"/>
    <col min="2659" max="2903" width="11.42578125" style="13" customWidth="1"/>
    <col min="2904" max="2904" width="36.140625" style="13" customWidth="1"/>
    <col min="2905" max="2911" width="7.85546875" style="13" customWidth="1"/>
    <col min="2912" max="2912" width="8.140625" style="13" bestFit="1" customWidth="1"/>
    <col min="2913" max="2914" width="7.85546875" style="13" customWidth="1"/>
    <col min="2915" max="3159" width="11.42578125" style="13" customWidth="1"/>
    <col min="3160" max="3160" width="36.140625" style="13" customWidth="1"/>
    <col min="3161" max="3167" width="7.85546875" style="13" customWidth="1"/>
    <col min="3168" max="3168" width="8.140625" style="13" bestFit="1" customWidth="1"/>
    <col min="3169" max="3170" width="7.85546875" style="13" customWidth="1"/>
    <col min="3171" max="3415" width="11.42578125" style="13" customWidth="1"/>
    <col min="3416" max="3416" width="36.140625" style="13" customWidth="1"/>
    <col min="3417" max="3423" width="7.85546875" style="13" customWidth="1"/>
    <col min="3424" max="3424" width="8.140625" style="13" bestFit="1" customWidth="1"/>
    <col min="3425" max="3426" width="7.85546875" style="13" customWidth="1"/>
    <col min="3427" max="3671" width="11.42578125" style="13" customWidth="1"/>
    <col min="3672" max="3672" width="36.140625" style="13" customWidth="1"/>
    <col min="3673" max="3679" width="7.85546875" style="13" customWidth="1"/>
    <col min="3680" max="3680" width="8.140625" style="13" bestFit="1" customWidth="1"/>
    <col min="3681" max="3682" width="7.85546875" style="13" customWidth="1"/>
    <col min="3683" max="3927" width="11.42578125" style="13" customWidth="1"/>
    <col min="3928" max="3928" width="36.140625" style="13" customWidth="1"/>
    <col min="3929" max="3935" width="7.85546875" style="13" customWidth="1"/>
    <col min="3936" max="3936" width="8.140625" style="13" bestFit="1" customWidth="1"/>
    <col min="3937" max="3938" width="7.85546875" style="13" customWidth="1"/>
    <col min="3939" max="4183" width="11.42578125" style="13" customWidth="1"/>
    <col min="4184" max="4184" width="36.140625" style="13" customWidth="1"/>
    <col min="4185" max="4191" width="7.85546875" style="13" customWidth="1"/>
    <col min="4192" max="4192" width="8.140625" style="13" bestFit="1" customWidth="1"/>
    <col min="4193" max="4194" width="7.85546875" style="13" customWidth="1"/>
    <col min="4195" max="4439" width="11.42578125" style="13" customWidth="1"/>
    <col min="4440" max="4440" width="36.140625" style="13" customWidth="1"/>
    <col min="4441" max="4447" width="7.85546875" style="13" customWidth="1"/>
    <col min="4448" max="4448" width="8.140625" style="13" bestFit="1" customWidth="1"/>
    <col min="4449" max="4450" width="7.85546875" style="13" customWidth="1"/>
    <col min="4451" max="4695" width="11.42578125" style="13" customWidth="1"/>
    <col min="4696" max="4696" width="36.140625" style="13" customWidth="1"/>
    <col min="4697" max="4703" width="7.85546875" style="13" customWidth="1"/>
    <col min="4704" max="4704" width="8.140625" style="13" bestFit="1" customWidth="1"/>
    <col min="4705" max="4706" width="7.85546875" style="13" customWidth="1"/>
    <col min="4707" max="4951" width="11.42578125" style="13" customWidth="1"/>
    <col min="4952" max="4952" width="36.140625" style="13" customWidth="1"/>
    <col min="4953" max="4959" width="7.85546875" style="13" customWidth="1"/>
    <col min="4960" max="4960" width="8.140625" style="13" bestFit="1" customWidth="1"/>
    <col min="4961" max="4962" width="7.85546875" style="13" customWidth="1"/>
    <col min="4963" max="5207" width="11.42578125" style="13" customWidth="1"/>
    <col min="5208" max="5208" width="36.140625" style="13" customWidth="1"/>
    <col min="5209" max="5215" width="7.85546875" style="13" customWidth="1"/>
    <col min="5216" max="5216" width="8.140625" style="13" bestFit="1" customWidth="1"/>
    <col min="5217" max="5218" width="7.85546875" style="13" customWidth="1"/>
    <col min="5219" max="5463" width="11.42578125" style="13" customWidth="1"/>
    <col min="5464" max="5464" width="36.140625" style="13" customWidth="1"/>
    <col min="5465" max="5471" width="7.85546875" style="13" customWidth="1"/>
    <col min="5472" max="5472" width="8.140625" style="13" bestFit="1" customWidth="1"/>
    <col min="5473" max="5474" width="7.85546875" style="13" customWidth="1"/>
    <col min="5475" max="5719" width="11.42578125" style="13" customWidth="1"/>
    <col min="5720" max="5720" width="36.140625" style="13" customWidth="1"/>
    <col min="5721" max="5727" width="7.85546875" style="13" customWidth="1"/>
    <col min="5728" max="5728" width="8.140625" style="13" bestFit="1" customWidth="1"/>
    <col min="5729" max="5730" width="7.85546875" style="13" customWidth="1"/>
    <col min="5731" max="5975" width="11.42578125" style="13" customWidth="1"/>
    <col min="5976" max="5976" width="36.140625" style="13" customWidth="1"/>
    <col min="5977" max="5983" width="7.85546875" style="13" customWidth="1"/>
    <col min="5984" max="5984" width="8.140625" style="13" bestFit="1" customWidth="1"/>
    <col min="5985" max="5986" width="7.85546875" style="13" customWidth="1"/>
    <col min="5987" max="6231" width="11.42578125" style="13" customWidth="1"/>
    <col min="6232" max="6232" width="36.140625" style="13" customWidth="1"/>
    <col min="6233" max="6239" width="7.85546875" style="13" customWidth="1"/>
    <col min="6240" max="6240" width="8.140625" style="13" bestFit="1" customWidth="1"/>
    <col min="6241" max="6242" width="7.85546875" style="13" customWidth="1"/>
    <col min="6243" max="6487" width="11.42578125" style="13" customWidth="1"/>
    <col min="6488" max="6488" width="36.140625" style="13" customWidth="1"/>
    <col min="6489" max="6495" width="7.85546875" style="13" customWidth="1"/>
    <col min="6496" max="6496" width="8.140625" style="13" bestFit="1" customWidth="1"/>
    <col min="6497" max="6498" width="7.85546875" style="13" customWidth="1"/>
    <col min="6499" max="6743" width="11.42578125" style="13" customWidth="1"/>
    <col min="6744" max="6744" width="36.140625" style="13" customWidth="1"/>
    <col min="6745" max="6751" width="7.85546875" style="13" customWidth="1"/>
    <col min="6752" max="6752" width="8.140625" style="13" bestFit="1" customWidth="1"/>
    <col min="6753" max="6754" width="7.85546875" style="13" customWidth="1"/>
    <col min="6755" max="6999" width="11.42578125" style="13" customWidth="1"/>
    <col min="7000" max="7000" width="36.140625" style="13" customWidth="1"/>
    <col min="7001" max="7007" width="7.85546875" style="13" customWidth="1"/>
    <col min="7008" max="7008" width="8.140625" style="13" bestFit="1" customWidth="1"/>
    <col min="7009" max="7010" width="7.85546875" style="13" customWidth="1"/>
    <col min="7011" max="7255" width="11.42578125" style="13" customWidth="1"/>
    <col min="7256" max="7256" width="36.140625" style="13" customWidth="1"/>
    <col min="7257" max="7263" width="7.85546875" style="13" customWidth="1"/>
    <col min="7264" max="7264" width="8.140625" style="13" bestFit="1" customWidth="1"/>
    <col min="7265" max="7266" width="7.85546875" style="13" customWidth="1"/>
    <col min="7267" max="7511" width="11.42578125" style="13" customWidth="1"/>
    <col min="7512" max="7512" width="36.140625" style="13" customWidth="1"/>
    <col min="7513" max="7519" width="7.85546875" style="13" customWidth="1"/>
    <col min="7520" max="7520" width="8.140625" style="13" bestFit="1" customWidth="1"/>
    <col min="7521" max="7522" width="7.85546875" style="13" customWidth="1"/>
    <col min="7523" max="7767" width="11.42578125" style="13" customWidth="1"/>
    <col min="7768" max="7768" width="36.140625" style="13" customWidth="1"/>
    <col min="7769" max="7775" width="7.85546875" style="13" customWidth="1"/>
    <col min="7776" max="7776" width="8.140625" style="13" bestFit="1" customWidth="1"/>
    <col min="7777" max="7778" width="7.85546875" style="13" customWidth="1"/>
    <col min="7779" max="8023" width="11.42578125" style="13" customWidth="1"/>
    <col min="8024" max="8024" width="36.140625" style="13" customWidth="1"/>
    <col min="8025" max="8031" width="7.85546875" style="13" customWidth="1"/>
    <col min="8032" max="8032" width="8.140625" style="13" bestFit="1" customWidth="1"/>
    <col min="8033" max="8034" width="7.85546875" style="13" customWidth="1"/>
    <col min="8035" max="8279" width="11.42578125" style="13" customWidth="1"/>
    <col min="8280" max="8280" width="36.140625" style="13" customWidth="1"/>
    <col min="8281" max="8287" width="7.85546875" style="13" customWidth="1"/>
    <col min="8288" max="8288" width="8.140625" style="13" bestFit="1" customWidth="1"/>
    <col min="8289" max="8290" width="7.85546875" style="13" customWidth="1"/>
    <col min="8291" max="8535" width="11.42578125" style="13" customWidth="1"/>
    <col min="8536" max="8536" width="36.140625" style="13" customWidth="1"/>
    <col min="8537" max="8543" width="7.85546875" style="13" customWidth="1"/>
    <col min="8544" max="8544" width="8.140625" style="13" bestFit="1" customWidth="1"/>
    <col min="8545" max="8546" width="7.85546875" style="13" customWidth="1"/>
    <col min="8547" max="8791" width="11.42578125" style="13" customWidth="1"/>
    <col min="8792" max="8792" width="36.140625" style="13" customWidth="1"/>
    <col min="8793" max="8799" width="7.85546875" style="13" customWidth="1"/>
    <col min="8800" max="8800" width="8.140625" style="13" bestFit="1" customWidth="1"/>
    <col min="8801" max="8802" width="7.85546875" style="13" customWidth="1"/>
    <col min="8803" max="9047" width="11.42578125" style="13" customWidth="1"/>
    <col min="9048" max="9048" width="36.140625" style="13" customWidth="1"/>
    <col min="9049" max="9055" width="7.85546875" style="13" customWidth="1"/>
    <col min="9056" max="9056" width="8.140625" style="13" bestFit="1" customWidth="1"/>
    <col min="9057" max="9058" width="7.85546875" style="13" customWidth="1"/>
    <col min="9059" max="9303" width="11.42578125" style="13" customWidth="1"/>
    <col min="9304" max="9304" width="36.140625" style="13" customWidth="1"/>
    <col min="9305" max="9311" width="7.85546875" style="13" customWidth="1"/>
    <col min="9312" max="9312" width="8.140625" style="13" bestFit="1" customWidth="1"/>
    <col min="9313" max="9314" width="7.85546875" style="13" customWidth="1"/>
    <col min="9315" max="9559" width="11.42578125" style="13" customWidth="1"/>
    <col min="9560" max="9560" width="36.140625" style="13" customWidth="1"/>
    <col min="9561" max="9567" width="7.85546875" style="13" customWidth="1"/>
    <col min="9568" max="9568" width="8.140625" style="13" bestFit="1" customWidth="1"/>
    <col min="9569" max="9570" width="7.85546875" style="13" customWidth="1"/>
    <col min="9571" max="9815" width="11.42578125" style="13" customWidth="1"/>
    <col min="9816" max="9816" width="36.140625" style="13" customWidth="1"/>
    <col min="9817" max="9823" width="7.85546875" style="13" customWidth="1"/>
    <col min="9824" max="9824" width="8.140625" style="13" bestFit="1" customWidth="1"/>
    <col min="9825" max="9826" width="7.85546875" style="13" customWidth="1"/>
    <col min="9827" max="10071" width="11.42578125" style="13" customWidth="1"/>
    <col min="10072" max="10072" width="36.140625" style="13" customWidth="1"/>
    <col min="10073" max="10079" width="7.85546875" style="13" customWidth="1"/>
    <col min="10080" max="10080" width="8.140625" style="13" bestFit="1" customWidth="1"/>
    <col min="10081" max="10082" width="7.85546875" style="13" customWidth="1"/>
    <col min="10083" max="10327" width="11.42578125" style="13" customWidth="1"/>
    <col min="10328" max="10328" width="36.140625" style="13" customWidth="1"/>
    <col min="10329" max="10335" width="7.85546875" style="13" customWidth="1"/>
    <col min="10336" max="10336" width="8.140625" style="13" bestFit="1" customWidth="1"/>
    <col min="10337" max="10338" width="7.85546875" style="13" customWidth="1"/>
    <col min="10339" max="10583" width="11.42578125" style="13" customWidth="1"/>
    <col min="10584" max="10584" width="36.140625" style="13" customWidth="1"/>
    <col min="10585" max="10591" width="7.85546875" style="13" customWidth="1"/>
    <col min="10592" max="10592" width="8.140625" style="13" bestFit="1" customWidth="1"/>
    <col min="10593" max="10594" width="7.85546875" style="13" customWidth="1"/>
    <col min="10595" max="10839" width="11.42578125" style="13" customWidth="1"/>
    <col min="10840" max="10840" width="36.140625" style="13" customWidth="1"/>
    <col min="10841" max="10847" width="7.85546875" style="13" customWidth="1"/>
    <col min="10848" max="10848" width="8.140625" style="13" bestFit="1" customWidth="1"/>
    <col min="10849" max="10850" width="7.85546875" style="13" customWidth="1"/>
    <col min="10851" max="11095" width="11.42578125" style="13" customWidth="1"/>
    <col min="11096" max="11096" width="36.140625" style="13" customWidth="1"/>
    <col min="11097" max="11103" width="7.85546875" style="13" customWidth="1"/>
    <col min="11104" max="11104" width="8.140625" style="13" bestFit="1" customWidth="1"/>
    <col min="11105" max="11106" width="7.85546875" style="13" customWidth="1"/>
    <col min="11107" max="11351" width="11.42578125" style="13" customWidth="1"/>
    <col min="11352" max="11352" width="36.140625" style="13" customWidth="1"/>
    <col min="11353" max="11359" width="7.85546875" style="13" customWidth="1"/>
    <col min="11360" max="11360" width="8.140625" style="13" bestFit="1" customWidth="1"/>
    <col min="11361" max="11362" width="7.85546875" style="13" customWidth="1"/>
    <col min="11363" max="11607" width="11.42578125" style="13" customWidth="1"/>
    <col min="11608" max="11608" width="36.140625" style="13" customWidth="1"/>
    <col min="11609" max="11615" width="7.85546875" style="13" customWidth="1"/>
    <col min="11616" max="11616" width="8.140625" style="13" bestFit="1" customWidth="1"/>
    <col min="11617" max="11618" width="7.85546875" style="13" customWidth="1"/>
    <col min="11619" max="11863" width="11.42578125" style="13" customWidth="1"/>
    <col min="11864" max="11864" width="36.140625" style="13" customWidth="1"/>
    <col min="11865" max="11871" width="7.85546875" style="13" customWidth="1"/>
    <col min="11872" max="11872" width="8.140625" style="13" bestFit="1" customWidth="1"/>
    <col min="11873" max="11874" width="7.85546875" style="13" customWidth="1"/>
    <col min="11875" max="12119" width="11.42578125" style="13" customWidth="1"/>
    <col min="12120" max="12120" width="36.140625" style="13" customWidth="1"/>
    <col min="12121" max="12127" width="7.85546875" style="13" customWidth="1"/>
    <col min="12128" max="12128" width="8.140625" style="13" bestFit="1" customWidth="1"/>
    <col min="12129" max="12130" width="7.85546875" style="13" customWidth="1"/>
    <col min="12131" max="12375" width="11.42578125" style="13" customWidth="1"/>
    <col min="12376" max="12376" width="36.140625" style="13" customWidth="1"/>
    <col min="12377" max="12383" width="7.85546875" style="13" customWidth="1"/>
    <col min="12384" max="12384" width="8.140625" style="13" bestFit="1" customWidth="1"/>
    <col min="12385" max="12386" width="7.85546875" style="13" customWidth="1"/>
    <col min="12387" max="12631" width="11.42578125" style="13" customWidth="1"/>
    <col min="12632" max="12632" width="36.140625" style="13" customWidth="1"/>
    <col min="12633" max="12639" width="7.85546875" style="13" customWidth="1"/>
    <col min="12640" max="12640" width="8.140625" style="13" bestFit="1" customWidth="1"/>
    <col min="12641" max="12642" width="7.85546875" style="13" customWidth="1"/>
    <col min="12643" max="12887" width="11.42578125" style="13" customWidth="1"/>
    <col min="12888" max="12888" width="36.140625" style="13" customWidth="1"/>
    <col min="12889" max="12895" width="7.85546875" style="13" customWidth="1"/>
    <col min="12896" max="12896" width="8.140625" style="13" bestFit="1" customWidth="1"/>
    <col min="12897" max="12898" width="7.85546875" style="13" customWidth="1"/>
    <col min="12899" max="13143" width="11.42578125" style="13" customWidth="1"/>
    <col min="13144" max="13144" width="36.140625" style="13" customWidth="1"/>
    <col min="13145" max="13151" width="7.85546875" style="13" customWidth="1"/>
    <col min="13152" max="13152" width="8.140625" style="13" bestFit="1" customWidth="1"/>
    <col min="13153" max="13154" width="7.85546875" style="13" customWidth="1"/>
    <col min="13155" max="13399" width="11.42578125" style="13" customWidth="1"/>
    <col min="13400" max="13400" width="36.140625" style="13" customWidth="1"/>
    <col min="13401" max="13407" width="7.85546875" style="13" customWidth="1"/>
    <col min="13408" max="13408" width="8.140625" style="13" bestFit="1" customWidth="1"/>
    <col min="13409" max="13410" width="7.85546875" style="13" customWidth="1"/>
    <col min="13411" max="13655" width="11.42578125" style="13" customWidth="1"/>
    <col min="13656" max="13656" width="36.140625" style="13" customWidth="1"/>
    <col min="13657" max="13663" width="7.85546875" style="13" customWidth="1"/>
    <col min="13664" max="13664" width="8.140625" style="13" bestFit="1" customWidth="1"/>
    <col min="13665" max="13666" width="7.85546875" style="13" customWidth="1"/>
    <col min="13667" max="13911" width="11.42578125" style="13" customWidth="1"/>
    <col min="13912" max="13912" width="36.140625" style="13" customWidth="1"/>
    <col min="13913" max="13919" width="7.85546875" style="13" customWidth="1"/>
    <col min="13920" max="13920" width="8.140625" style="13" bestFit="1" customWidth="1"/>
    <col min="13921" max="13922" width="7.85546875" style="13" customWidth="1"/>
    <col min="13923" max="14167" width="11.42578125" style="13" customWidth="1"/>
    <col min="14168" max="14168" width="36.140625" style="13" customWidth="1"/>
    <col min="14169" max="14175" width="7.85546875" style="13" customWidth="1"/>
    <col min="14176" max="14176" width="8.140625" style="13" bestFit="1" customWidth="1"/>
    <col min="14177" max="14178" width="7.85546875" style="13" customWidth="1"/>
    <col min="14179" max="14423" width="11.42578125" style="13" customWidth="1"/>
    <col min="14424" max="14424" width="36.140625" style="13" customWidth="1"/>
    <col min="14425" max="14431" width="7.85546875" style="13" customWidth="1"/>
    <col min="14432" max="14432" width="8.140625" style="13" bestFit="1" customWidth="1"/>
    <col min="14433" max="14434" width="7.85546875" style="13" customWidth="1"/>
    <col min="14435" max="14679" width="11.42578125" style="13" customWidth="1"/>
    <col min="14680" max="14680" width="36.140625" style="13" customWidth="1"/>
    <col min="14681" max="14687" width="7.85546875" style="13" customWidth="1"/>
    <col min="14688" max="14688" width="8.140625" style="13" bestFit="1" customWidth="1"/>
    <col min="14689" max="14690" width="7.85546875" style="13" customWidth="1"/>
    <col min="14691" max="14935" width="11.42578125" style="13" customWidth="1"/>
    <col min="14936" max="14936" width="36.140625" style="13" customWidth="1"/>
    <col min="14937" max="14943" width="7.85546875" style="13" customWidth="1"/>
    <col min="14944" max="14944" width="8.140625" style="13" bestFit="1" customWidth="1"/>
    <col min="14945" max="14946" width="7.85546875" style="13" customWidth="1"/>
    <col min="14947" max="15191" width="11.42578125" style="13" customWidth="1"/>
    <col min="15192" max="15192" width="36.140625" style="13" customWidth="1"/>
    <col min="15193" max="15199" width="7.85546875" style="13" customWidth="1"/>
    <col min="15200" max="15200" width="8.140625" style="13" bestFit="1" customWidth="1"/>
    <col min="15201" max="15202" width="7.85546875" style="13" customWidth="1"/>
    <col min="15203" max="15447" width="11.42578125" style="13" customWidth="1"/>
    <col min="15448" max="15448" width="36.140625" style="13" customWidth="1"/>
    <col min="15449" max="15455" width="7.85546875" style="13" customWidth="1"/>
    <col min="15456" max="15456" width="8.140625" style="13" bestFit="1" customWidth="1"/>
    <col min="15457" max="15458" width="7.85546875" style="13" customWidth="1"/>
    <col min="15459" max="15703" width="11.42578125" style="13" customWidth="1"/>
    <col min="15704" max="15704" width="36.140625" style="13" customWidth="1"/>
    <col min="15705" max="15711" width="7.85546875" style="13" customWidth="1"/>
    <col min="15712" max="15712" width="8.140625" style="13" bestFit="1" customWidth="1"/>
    <col min="15713" max="15714" width="7.85546875" style="13" customWidth="1"/>
    <col min="15715" max="15959" width="11.42578125" style="13" customWidth="1"/>
    <col min="15960" max="15960" width="36.140625" style="13" customWidth="1"/>
    <col min="15961" max="15967" width="7.85546875" style="13" customWidth="1"/>
    <col min="15968" max="15968" width="8.140625" style="13" bestFit="1" customWidth="1"/>
    <col min="15969" max="15970" width="7.85546875" style="13" customWidth="1"/>
    <col min="15971" max="16215" width="11.42578125" style="13" customWidth="1"/>
    <col min="16216" max="16216" width="36.140625" style="13" customWidth="1"/>
    <col min="16217" max="16223" width="7.85546875" style="13" customWidth="1"/>
    <col min="16224" max="16224" width="8.140625" style="13" bestFit="1" customWidth="1"/>
    <col min="16225" max="16226" width="7.85546875" style="13" customWidth="1"/>
    <col min="16227" max="16384" width="11.42578125" style="13" customWidth="1"/>
  </cols>
  <sheetData>
    <row r="1" spans="1:173">
      <c r="A1" s="928"/>
      <c r="B1" s="928"/>
      <c r="C1" s="928"/>
      <c r="D1" s="928"/>
      <c r="E1" s="928"/>
      <c r="F1" s="928"/>
      <c r="G1" s="928"/>
      <c r="H1" s="928"/>
      <c r="I1" s="928"/>
      <c r="J1" s="928"/>
      <c r="K1" s="928"/>
      <c r="L1" s="928"/>
      <c r="M1" s="928"/>
      <c r="N1" s="928"/>
      <c r="O1" s="928"/>
      <c r="P1" s="928"/>
      <c r="Q1" s="928"/>
      <c r="R1" s="928"/>
      <c r="S1" s="928"/>
      <c r="T1" s="928"/>
      <c r="U1" s="928"/>
      <c r="V1" s="928"/>
      <c r="W1" s="928"/>
      <c r="X1" s="928"/>
      <c r="Y1" s="928"/>
      <c r="Z1" s="928"/>
      <c r="AA1" s="928"/>
      <c r="AB1" s="928"/>
      <c r="AC1" s="928"/>
      <c r="AD1" s="928"/>
      <c r="AE1" s="928"/>
      <c r="AF1" s="928"/>
      <c r="AG1" s="928"/>
      <c r="AH1" s="928"/>
      <c r="AI1" s="928"/>
      <c r="AJ1" s="928"/>
      <c r="AK1" s="928"/>
      <c r="AL1" s="928"/>
      <c r="AM1" s="928"/>
      <c r="AN1" s="928"/>
      <c r="AO1" s="928"/>
      <c r="AP1" s="928"/>
      <c r="AQ1" s="928"/>
      <c r="AR1" s="928"/>
      <c r="AS1" s="928"/>
      <c r="AT1" s="928"/>
      <c r="AU1" s="928"/>
      <c r="AV1" s="928"/>
      <c r="AW1" s="928"/>
      <c r="AX1" s="928"/>
      <c r="AY1" s="928"/>
      <c r="AZ1" s="928"/>
      <c r="BA1" s="928"/>
      <c r="BB1" s="928"/>
      <c r="BC1" s="928"/>
      <c r="BD1" s="928"/>
      <c r="BE1" s="928"/>
      <c r="BF1" s="928"/>
      <c r="BG1" s="928"/>
      <c r="BH1" s="928"/>
      <c r="BI1" s="928"/>
      <c r="BJ1" s="928"/>
      <c r="BK1" s="928"/>
      <c r="BL1" s="928"/>
      <c r="BM1" s="928"/>
      <c r="BN1" s="928"/>
      <c r="BO1" s="928"/>
      <c r="BP1" s="928"/>
      <c r="BQ1" s="928"/>
      <c r="BR1" s="928"/>
      <c r="BS1" s="928"/>
      <c r="BT1" s="928"/>
      <c r="BU1" s="928"/>
      <c r="BV1" s="928"/>
      <c r="BW1" s="928"/>
      <c r="BX1" s="928"/>
      <c r="BY1" s="928"/>
      <c r="BZ1" s="928"/>
      <c r="CA1" s="928"/>
      <c r="CB1" s="928"/>
      <c r="CC1" s="928"/>
      <c r="CD1" s="928"/>
      <c r="CE1" s="928"/>
      <c r="CF1" s="928"/>
      <c r="CG1" s="928"/>
      <c r="CH1" s="928"/>
      <c r="CI1" s="928"/>
      <c r="CJ1" s="928"/>
      <c r="CK1" s="928"/>
      <c r="CL1" s="928"/>
      <c r="CM1" s="928"/>
      <c r="CN1" s="928"/>
      <c r="CO1" s="928"/>
      <c r="CP1" s="928"/>
      <c r="CQ1" s="928"/>
      <c r="CR1" s="928"/>
      <c r="CS1" s="928"/>
      <c r="CT1" s="928"/>
      <c r="CU1" s="928"/>
      <c r="CV1" s="928"/>
      <c r="CW1" s="928"/>
      <c r="CX1" s="928"/>
      <c r="CY1" s="928"/>
      <c r="CZ1" s="928"/>
      <c r="DA1" s="928"/>
      <c r="DB1" s="928"/>
      <c r="DC1" s="928"/>
      <c r="DD1" s="928"/>
      <c r="DE1" s="928"/>
      <c r="DF1" s="928"/>
      <c r="DG1" s="928"/>
      <c r="DH1" s="928"/>
      <c r="DI1" s="928"/>
      <c r="DJ1" s="928"/>
      <c r="DK1" s="928"/>
      <c r="DL1" s="928"/>
      <c r="DM1" s="928"/>
      <c r="DN1" s="928"/>
      <c r="DO1" s="928"/>
      <c r="DP1" s="928"/>
      <c r="DQ1" s="928"/>
      <c r="DR1" s="928"/>
      <c r="DS1" s="928"/>
      <c r="DT1" s="928"/>
      <c r="DU1" s="928"/>
      <c r="DV1" s="928"/>
      <c r="DW1" s="928"/>
      <c r="DX1" s="928"/>
      <c r="DY1" s="928"/>
      <c r="DZ1" s="928"/>
      <c r="EA1" s="928"/>
      <c r="EB1" s="928"/>
      <c r="EC1" s="928"/>
      <c r="ED1" s="1316"/>
      <c r="EE1" s="1316"/>
      <c r="EF1" s="1316"/>
      <c r="EG1" s="1316"/>
      <c r="EH1" s="928"/>
      <c r="EI1" s="928"/>
      <c r="EJ1" s="928"/>
      <c r="EK1" s="928"/>
      <c r="EL1" s="928"/>
      <c r="EM1" s="928"/>
      <c r="EN1" s="928"/>
      <c r="EO1" s="928"/>
      <c r="EP1" s="928"/>
      <c r="EQ1" s="928"/>
      <c r="ER1" s="928"/>
      <c r="ES1" s="928"/>
      <c r="ET1" s="928"/>
      <c r="EU1" s="928"/>
      <c r="EV1" s="928"/>
      <c r="EW1" s="928"/>
      <c r="EX1" s="928"/>
      <c r="EY1" s="928"/>
      <c r="EZ1" s="928"/>
      <c r="FA1" s="928"/>
      <c r="FB1" s="928"/>
      <c r="FC1" s="928"/>
      <c r="FD1" s="928"/>
      <c r="FE1" s="928"/>
      <c r="FF1" s="1317"/>
      <c r="FG1" s="1318"/>
      <c r="FH1" s="1319" t="s">
        <v>7666</v>
      </c>
      <c r="FI1" s="1319" t="s">
        <v>7666</v>
      </c>
      <c r="FJ1" s="1605"/>
      <c r="FK1" s="1605"/>
      <c r="FL1" s="928"/>
      <c r="FM1" s="928"/>
      <c r="FN1" s="928"/>
      <c r="FO1" s="928"/>
      <c r="FP1" s="928"/>
      <c r="FQ1" s="928"/>
    </row>
    <row r="2" spans="1:173">
      <c r="A2" s="928"/>
      <c r="B2" s="928"/>
      <c r="C2" s="928"/>
      <c r="D2" s="928"/>
      <c r="E2" s="928"/>
      <c r="F2" s="928"/>
      <c r="G2" s="928"/>
      <c r="H2" s="928"/>
      <c r="I2" s="928"/>
      <c r="J2" s="928"/>
      <c r="K2" s="928"/>
      <c r="L2" s="928"/>
      <c r="M2" s="928"/>
      <c r="N2" s="928"/>
      <c r="O2" s="928"/>
      <c r="P2" s="928"/>
      <c r="Q2" s="928"/>
      <c r="R2" s="928"/>
      <c r="S2" s="928"/>
      <c r="T2" s="928"/>
      <c r="U2" s="928"/>
      <c r="V2" s="928"/>
      <c r="W2" s="928"/>
      <c r="X2" s="928"/>
      <c r="Y2" s="1254"/>
      <c r="Z2" s="928"/>
      <c r="AA2" s="928"/>
      <c r="AB2" s="928"/>
      <c r="AC2" s="928"/>
      <c r="AD2" s="1254"/>
      <c r="AE2" s="928"/>
      <c r="AF2" s="928"/>
      <c r="AG2" s="928"/>
      <c r="AH2" s="928"/>
      <c r="AI2" s="1254"/>
      <c r="AJ2" s="928"/>
      <c r="AK2" s="928"/>
      <c r="AL2" s="928"/>
      <c r="AM2" s="928"/>
      <c r="AN2" s="1254"/>
      <c r="AO2" s="928"/>
      <c r="AP2" s="928"/>
      <c r="AQ2" s="928"/>
      <c r="AR2" s="928"/>
      <c r="AS2" s="928"/>
      <c r="AT2" s="928"/>
      <c r="AU2" s="928"/>
      <c r="AV2" s="928"/>
      <c r="AW2" s="928"/>
      <c r="AX2" s="928"/>
      <c r="AY2" s="928"/>
      <c r="AZ2" s="928"/>
      <c r="BA2" s="928"/>
      <c r="BB2" s="928"/>
      <c r="BC2" s="928"/>
      <c r="BD2" s="928"/>
      <c r="BE2" s="928"/>
      <c r="BF2" s="928"/>
      <c r="BG2" s="928"/>
      <c r="BH2" s="928"/>
      <c r="BI2" s="928"/>
      <c r="BJ2" s="928"/>
      <c r="BK2" s="928"/>
      <c r="BL2" s="928"/>
      <c r="BM2" s="928"/>
      <c r="BN2" s="928"/>
      <c r="BO2" s="928"/>
      <c r="BP2" s="928"/>
      <c r="BQ2" s="928"/>
      <c r="BR2" s="928"/>
      <c r="BS2" s="928"/>
      <c r="BT2" s="928"/>
      <c r="BU2" s="928"/>
      <c r="BV2" s="928"/>
      <c r="BW2" s="928"/>
      <c r="BX2" s="928"/>
      <c r="BY2" s="928"/>
      <c r="BZ2" s="928"/>
      <c r="CA2" s="928"/>
      <c r="CB2" s="928"/>
      <c r="CC2" s="928"/>
      <c r="CD2" s="928"/>
      <c r="CE2" s="928"/>
      <c r="CF2" s="928"/>
      <c r="CG2" s="928"/>
      <c r="CH2" s="928"/>
      <c r="CI2" s="928"/>
      <c r="CJ2" s="928"/>
      <c r="CK2" s="928"/>
      <c r="CL2" s="928"/>
      <c r="CM2" s="928"/>
      <c r="CN2" s="928"/>
      <c r="CO2" s="928"/>
      <c r="CP2" s="928"/>
      <c r="CQ2" s="928"/>
      <c r="CR2" s="928"/>
      <c r="CS2" s="928"/>
      <c r="CT2" s="928"/>
      <c r="CU2" s="928"/>
      <c r="CV2" s="928"/>
      <c r="CW2" s="928"/>
      <c r="CX2" s="928"/>
      <c r="CY2" s="928"/>
      <c r="CZ2" s="928"/>
      <c r="DA2" s="928"/>
      <c r="DB2" s="928"/>
      <c r="DC2" s="928"/>
      <c r="DD2" s="928"/>
      <c r="DE2" s="928"/>
      <c r="DF2" s="928"/>
      <c r="DG2" s="928"/>
      <c r="DH2" s="928"/>
      <c r="DI2" s="928"/>
      <c r="DJ2" s="928"/>
      <c r="DK2" s="928"/>
      <c r="DL2" s="928"/>
      <c r="DM2" s="928"/>
      <c r="DN2" s="928"/>
      <c r="DO2" s="928"/>
      <c r="DP2" s="928"/>
      <c r="DQ2" s="928"/>
      <c r="DR2" s="928"/>
      <c r="DS2" s="928"/>
      <c r="DT2" s="928"/>
      <c r="DU2" s="928"/>
      <c r="DV2" s="928"/>
      <c r="DW2" s="928"/>
      <c r="DX2" s="928"/>
      <c r="DY2" s="928"/>
      <c r="DZ2" s="928"/>
      <c r="EA2" s="928"/>
      <c r="EB2" s="928"/>
      <c r="EC2" s="928"/>
      <c r="ED2" s="928"/>
      <c r="EE2" s="928"/>
      <c r="EF2" s="928"/>
      <c r="EG2" s="928"/>
      <c r="EH2" s="928"/>
      <c r="EI2" s="928"/>
      <c r="EJ2" s="928"/>
      <c r="EK2" s="928"/>
      <c r="EL2" s="928"/>
      <c r="EM2" s="928"/>
      <c r="EN2" s="928"/>
      <c r="EO2" s="928"/>
      <c r="EP2" s="928"/>
      <c r="EQ2" s="928"/>
      <c r="ER2" s="928"/>
      <c r="ES2" s="928"/>
      <c r="ET2" s="928"/>
      <c r="EU2" s="928"/>
      <c r="EV2" s="928"/>
      <c r="EW2" s="928"/>
      <c r="EX2" s="928"/>
      <c r="EY2" s="928"/>
      <c r="EZ2" s="928"/>
      <c r="FA2" s="928"/>
      <c r="FB2" s="928"/>
      <c r="FC2" s="928"/>
      <c r="FD2" s="928"/>
      <c r="FE2" s="928"/>
      <c r="FF2" s="1317"/>
      <c r="FG2" s="1317"/>
      <c r="FH2" s="1319"/>
      <c r="FI2" s="1319"/>
      <c r="FJ2" s="1606" t="s">
        <v>7666</v>
      </c>
      <c r="FK2" s="1606" t="s">
        <v>7666</v>
      </c>
      <c r="FL2" s="928"/>
      <c r="FM2" s="928"/>
      <c r="FN2" s="928"/>
      <c r="FO2" s="928"/>
      <c r="FP2" s="928"/>
      <c r="FQ2" s="928"/>
    </row>
    <row r="3" spans="1:173" ht="18.75" customHeight="1">
      <c r="A3" s="1320" t="s">
        <v>112</v>
      </c>
      <c r="B3" s="1715">
        <v>2010</v>
      </c>
      <c r="C3" s="1716"/>
      <c r="D3" s="1716"/>
      <c r="E3" s="1716"/>
      <c r="F3" s="1716"/>
      <c r="G3" s="1715">
        <v>2011</v>
      </c>
      <c r="H3" s="1716"/>
      <c r="I3" s="1716"/>
      <c r="J3" s="1716"/>
      <c r="K3" s="1717"/>
      <c r="L3" s="1715">
        <v>2012</v>
      </c>
      <c r="M3" s="1716"/>
      <c r="N3" s="1716"/>
      <c r="O3" s="1716"/>
      <c r="P3" s="1717"/>
      <c r="Q3" s="1715">
        <v>2013</v>
      </c>
      <c r="R3" s="1716"/>
      <c r="S3" s="1716"/>
      <c r="T3" s="1716"/>
      <c r="U3" s="1716"/>
      <c r="V3" s="1715">
        <v>2014</v>
      </c>
      <c r="W3" s="1716"/>
      <c r="X3" s="1716"/>
      <c r="Y3" s="1716"/>
      <c r="Z3" s="1717"/>
      <c r="AA3" s="1716">
        <v>2015</v>
      </c>
      <c r="AB3" s="1716"/>
      <c r="AC3" s="1716"/>
      <c r="AD3" s="1716"/>
      <c r="AE3" s="1716"/>
      <c r="AF3" s="1715">
        <v>2016</v>
      </c>
      <c r="AG3" s="1716"/>
      <c r="AH3" s="1716"/>
      <c r="AI3" s="1716"/>
      <c r="AJ3" s="1717"/>
      <c r="AK3" s="1715">
        <v>2017</v>
      </c>
      <c r="AL3" s="1716"/>
      <c r="AM3" s="1716"/>
      <c r="AN3" s="1716"/>
      <c r="AO3" s="1716"/>
      <c r="AP3" s="1716">
        <v>2018</v>
      </c>
      <c r="AQ3" s="1716"/>
      <c r="AR3" s="1716"/>
      <c r="AS3" s="1716"/>
      <c r="AT3" s="1717"/>
      <c r="AU3" s="1715">
        <v>2019</v>
      </c>
      <c r="AV3" s="1716"/>
      <c r="AW3" s="1716"/>
      <c r="AX3" s="1716"/>
      <c r="AY3" s="1717"/>
      <c r="AZ3" s="1715">
        <v>2020</v>
      </c>
      <c r="BA3" s="1716"/>
      <c r="BB3" s="1716"/>
      <c r="BC3" s="1716"/>
      <c r="BD3" s="1716"/>
      <c r="BE3" s="1715">
        <v>2021</v>
      </c>
      <c r="BF3" s="1716"/>
      <c r="BG3" s="1716"/>
      <c r="BH3" s="1716"/>
      <c r="BI3" s="1717"/>
      <c r="BJ3" s="1715">
        <v>2022</v>
      </c>
      <c r="BK3" s="1716"/>
      <c r="BL3" s="1716"/>
      <c r="BM3" s="1716"/>
      <c r="BN3" s="1717"/>
      <c r="BO3" s="1715">
        <v>2023</v>
      </c>
      <c r="BP3" s="1716"/>
      <c r="BQ3" s="1716"/>
      <c r="BR3" s="1716"/>
      <c r="BS3" s="1717"/>
      <c r="BT3" s="1715">
        <v>2024</v>
      </c>
      <c r="BU3" s="1716"/>
      <c r="BV3" s="1716"/>
      <c r="BW3" s="1716"/>
      <c r="BX3" s="1717"/>
      <c r="BY3" s="928"/>
      <c r="BZ3" s="1321"/>
      <c r="CA3" s="1718">
        <v>2012</v>
      </c>
      <c r="CB3" s="1713"/>
      <c r="CC3" s="1713"/>
      <c r="CD3" s="1713"/>
      <c r="CE3" s="1714"/>
      <c r="CF3" s="1718">
        <v>2013</v>
      </c>
      <c r="CG3" s="1713"/>
      <c r="CH3" s="1713"/>
      <c r="CI3" s="1713"/>
      <c r="CJ3" s="1713"/>
      <c r="CK3" s="1718">
        <v>2014</v>
      </c>
      <c r="CL3" s="1713"/>
      <c r="CM3" s="1713"/>
      <c r="CN3" s="1713"/>
      <c r="CO3" s="1714"/>
      <c r="CP3" s="1718">
        <v>2015</v>
      </c>
      <c r="CQ3" s="1713"/>
      <c r="CR3" s="1713"/>
      <c r="CS3" s="1713"/>
      <c r="CT3" s="1714"/>
      <c r="CU3" s="1718">
        <v>2016</v>
      </c>
      <c r="CV3" s="1713"/>
      <c r="CW3" s="1713"/>
      <c r="CX3" s="1713"/>
      <c r="CY3" s="1714"/>
      <c r="CZ3" s="1718">
        <v>2017</v>
      </c>
      <c r="DA3" s="1713"/>
      <c r="DB3" s="1713"/>
      <c r="DC3" s="1713"/>
      <c r="DD3" s="1714"/>
      <c r="DE3" s="1718">
        <v>2018</v>
      </c>
      <c r="DF3" s="1713"/>
      <c r="DG3" s="1713"/>
      <c r="DH3" s="1713"/>
      <c r="DI3" s="1713"/>
      <c r="DJ3" s="1718">
        <v>2019</v>
      </c>
      <c r="DK3" s="1713"/>
      <c r="DL3" s="1713"/>
      <c r="DM3" s="1713"/>
      <c r="DN3" s="1714"/>
      <c r="DO3" s="1718">
        <v>2020</v>
      </c>
      <c r="DP3" s="1713"/>
      <c r="DQ3" s="1713"/>
      <c r="DR3" s="1713"/>
      <c r="DS3" s="1714"/>
      <c r="DT3" s="1713">
        <v>2021</v>
      </c>
      <c r="DU3" s="1713"/>
      <c r="DV3" s="1713"/>
      <c r="DW3" s="1713"/>
      <c r="DX3" s="1713"/>
      <c r="DY3" s="1718">
        <v>2022</v>
      </c>
      <c r="DZ3" s="1713"/>
      <c r="EA3" s="1713"/>
      <c r="EB3" s="1713"/>
      <c r="EC3" s="1714"/>
      <c r="ED3" s="1718">
        <v>2023</v>
      </c>
      <c r="EE3" s="1713"/>
      <c r="EF3" s="1713"/>
      <c r="EG3" s="1713"/>
      <c r="EH3" s="1714"/>
      <c r="EI3" s="1713">
        <v>2024</v>
      </c>
      <c r="EJ3" s="1713"/>
      <c r="EK3" s="1713"/>
      <c r="EL3" s="1713"/>
      <c r="EM3" s="1714"/>
      <c r="EN3" s="1321"/>
      <c r="EO3" s="1321"/>
      <c r="EP3" s="1321"/>
      <c r="EQ3" s="928"/>
      <c r="ER3" s="928"/>
      <c r="ES3" s="928"/>
      <c r="ET3" s="928"/>
      <c r="EU3" s="928"/>
      <c r="EV3" s="928"/>
      <c r="EW3" s="928"/>
      <c r="EX3" s="928"/>
      <c r="EY3" s="928"/>
      <c r="EZ3" s="928"/>
      <c r="FA3" s="928"/>
      <c r="FB3" s="928"/>
      <c r="FC3" s="928"/>
      <c r="FD3" s="928"/>
      <c r="FE3" s="928"/>
      <c r="FF3" s="1322"/>
      <c r="FG3" s="1322"/>
      <c r="FH3" s="1323"/>
      <c r="FI3" s="1324"/>
      <c r="FJ3" s="1651"/>
      <c r="FK3" s="1652"/>
      <c r="FL3" s="928"/>
      <c r="FM3" s="928"/>
      <c r="FN3" s="928"/>
      <c r="FO3" s="928"/>
      <c r="FP3" s="928"/>
      <c r="FQ3" s="928"/>
    </row>
    <row r="4" spans="1:173" ht="14.25" customHeight="1">
      <c r="A4" s="1325"/>
      <c r="B4" s="1326" t="s">
        <v>120</v>
      </c>
      <c r="C4" s="1326" t="s">
        <v>121</v>
      </c>
      <c r="D4" s="1326" t="s">
        <v>122</v>
      </c>
      <c r="E4" s="1326" t="s">
        <v>123</v>
      </c>
      <c r="F4" s="1326" t="s">
        <v>119</v>
      </c>
      <c r="G4" s="1327" t="s">
        <v>120</v>
      </c>
      <c r="H4" s="1326" t="s">
        <v>121</v>
      </c>
      <c r="I4" s="1326" t="s">
        <v>122</v>
      </c>
      <c r="J4" s="1326" t="s">
        <v>123</v>
      </c>
      <c r="K4" s="1328" t="s">
        <v>119</v>
      </c>
      <c r="L4" s="1326" t="s">
        <v>120</v>
      </c>
      <c r="M4" s="1326" t="s">
        <v>121</v>
      </c>
      <c r="N4" s="1326" t="s">
        <v>122</v>
      </c>
      <c r="O4" s="1326" t="s">
        <v>123</v>
      </c>
      <c r="P4" s="1328" t="s">
        <v>119</v>
      </c>
      <c r="Q4" s="1326" t="s">
        <v>120</v>
      </c>
      <c r="R4" s="1326" t="s">
        <v>121</v>
      </c>
      <c r="S4" s="1326" t="s">
        <v>122</v>
      </c>
      <c r="T4" s="1326" t="s">
        <v>123</v>
      </c>
      <c r="U4" s="1326" t="s">
        <v>119</v>
      </c>
      <c r="V4" s="1327" t="s">
        <v>120</v>
      </c>
      <c r="W4" s="1326" t="s">
        <v>121</v>
      </c>
      <c r="X4" s="1326" t="s">
        <v>122</v>
      </c>
      <c r="Y4" s="1326" t="s">
        <v>123</v>
      </c>
      <c r="Z4" s="1328" t="s">
        <v>119</v>
      </c>
      <c r="AA4" s="1326" t="s">
        <v>120</v>
      </c>
      <c r="AB4" s="1326" t="s">
        <v>121</v>
      </c>
      <c r="AC4" s="1326" t="s">
        <v>122</v>
      </c>
      <c r="AD4" s="1326" t="s">
        <v>123</v>
      </c>
      <c r="AE4" s="1326" t="s">
        <v>119</v>
      </c>
      <c r="AF4" s="1327" t="s">
        <v>120</v>
      </c>
      <c r="AG4" s="1326" t="s">
        <v>121</v>
      </c>
      <c r="AH4" s="1326" t="s">
        <v>122</v>
      </c>
      <c r="AI4" s="1326" t="s">
        <v>123</v>
      </c>
      <c r="AJ4" s="1328" t="s">
        <v>119</v>
      </c>
      <c r="AK4" s="1326" t="s">
        <v>120</v>
      </c>
      <c r="AL4" s="1326" t="s">
        <v>121</v>
      </c>
      <c r="AM4" s="1326" t="s">
        <v>122</v>
      </c>
      <c r="AN4" s="1326" t="s">
        <v>123</v>
      </c>
      <c r="AO4" s="1328" t="s">
        <v>119</v>
      </c>
      <c r="AP4" s="1326" t="s">
        <v>120</v>
      </c>
      <c r="AQ4" s="1326" t="s">
        <v>121</v>
      </c>
      <c r="AR4" s="1326" t="s">
        <v>122</v>
      </c>
      <c r="AS4" s="1326" t="s">
        <v>123</v>
      </c>
      <c r="AT4" s="1328" t="s">
        <v>119</v>
      </c>
      <c r="AU4" s="1326" t="s">
        <v>120</v>
      </c>
      <c r="AV4" s="1326" t="s">
        <v>121</v>
      </c>
      <c r="AW4" s="1326" t="s">
        <v>122</v>
      </c>
      <c r="AX4" s="1326" t="s">
        <v>123</v>
      </c>
      <c r="AY4" s="1328" t="s">
        <v>119</v>
      </c>
      <c r="AZ4" s="1326" t="s">
        <v>120</v>
      </c>
      <c r="BA4" s="1326" t="s">
        <v>121</v>
      </c>
      <c r="BB4" s="1326" t="s">
        <v>122</v>
      </c>
      <c r="BC4" s="1326" t="s">
        <v>123</v>
      </c>
      <c r="BD4" s="1326" t="s">
        <v>119</v>
      </c>
      <c r="BE4" s="1327" t="s">
        <v>120</v>
      </c>
      <c r="BF4" s="1326" t="s">
        <v>121</v>
      </c>
      <c r="BG4" s="1326" t="s">
        <v>122</v>
      </c>
      <c r="BH4" s="1326" t="s">
        <v>123</v>
      </c>
      <c r="BI4" s="1328" t="s">
        <v>119</v>
      </c>
      <c r="BJ4" s="1327" t="s">
        <v>120</v>
      </c>
      <c r="BK4" s="1326" t="s">
        <v>121</v>
      </c>
      <c r="BL4" s="1326" t="s">
        <v>122</v>
      </c>
      <c r="BM4" s="1326" t="s">
        <v>123</v>
      </c>
      <c r="BN4" s="1328" t="s">
        <v>119</v>
      </c>
      <c r="BO4" s="1327" t="s">
        <v>120</v>
      </c>
      <c r="BP4" s="1326" t="s">
        <v>121</v>
      </c>
      <c r="BQ4" s="1326" t="s">
        <v>122</v>
      </c>
      <c r="BR4" s="1326" t="s">
        <v>123</v>
      </c>
      <c r="BS4" s="1328" t="s">
        <v>119</v>
      </c>
      <c r="BT4" s="1327" t="s">
        <v>120</v>
      </c>
      <c r="BU4" s="1326" t="s">
        <v>121</v>
      </c>
      <c r="BV4" s="1326" t="s">
        <v>122</v>
      </c>
      <c r="BW4" s="1326" t="s">
        <v>123</v>
      </c>
      <c r="BX4" s="1328" t="s">
        <v>119</v>
      </c>
      <c r="BY4" s="1326"/>
      <c r="BZ4" s="928"/>
      <c r="CA4" s="1327" t="s">
        <v>120</v>
      </c>
      <c r="CB4" s="1326" t="s">
        <v>121</v>
      </c>
      <c r="CC4" s="1326" t="s">
        <v>122</v>
      </c>
      <c r="CD4" s="1326" t="s">
        <v>123</v>
      </c>
      <c r="CE4" s="1328" t="s">
        <v>119</v>
      </c>
      <c r="CF4" s="1327" t="s">
        <v>120</v>
      </c>
      <c r="CG4" s="1326" t="s">
        <v>121</v>
      </c>
      <c r="CH4" s="1326" t="s">
        <v>122</v>
      </c>
      <c r="CI4" s="1326" t="s">
        <v>123</v>
      </c>
      <c r="CJ4" s="1326" t="s">
        <v>119</v>
      </c>
      <c r="CK4" s="1327" t="str">
        <f t="shared" ref="CK4:CT4" si="0">CF4</f>
        <v>1Q</v>
      </c>
      <c r="CL4" s="1326" t="str">
        <f t="shared" si="0"/>
        <v>2Q</v>
      </c>
      <c r="CM4" s="1326" t="str">
        <f t="shared" si="0"/>
        <v>3Q</v>
      </c>
      <c r="CN4" s="1326" t="str">
        <f t="shared" si="0"/>
        <v>4Q</v>
      </c>
      <c r="CO4" s="1328" t="str">
        <f t="shared" si="0"/>
        <v>FY</v>
      </c>
      <c r="CP4" s="1327" t="str">
        <f t="shared" si="0"/>
        <v>1Q</v>
      </c>
      <c r="CQ4" s="1326" t="str">
        <f t="shared" si="0"/>
        <v>2Q</v>
      </c>
      <c r="CR4" s="1326" t="str">
        <f t="shared" si="0"/>
        <v>3Q</v>
      </c>
      <c r="CS4" s="1326" t="str">
        <f t="shared" si="0"/>
        <v>4Q</v>
      </c>
      <c r="CT4" s="1328" t="str">
        <f t="shared" si="0"/>
        <v>FY</v>
      </c>
      <c r="CU4" s="1327" t="str">
        <f>AF4</f>
        <v>1Q</v>
      </c>
      <c r="CV4" s="1326" t="str">
        <f>AG4</f>
        <v>2Q</v>
      </c>
      <c r="CW4" s="1326" t="str">
        <f>AH4</f>
        <v>3Q</v>
      </c>
      <c r="CX4" s="1326" t="str">
        <f>AI4</f>
        <v>4Q</v>
      </c>
      <c r="CY4" s="1328" t="str">
        <f>CT4</f>
        <v>FY</v>
      </c>
      <c r="CZ4" s="1327" t="str">
        <f>AK4</f>
        <v>1Q</v>
      </c>
      <c r="DA4" s="1326" t="str">
        <f>AL4</f>
        <v>2Q</v>
      </c>
      <c r="DB4" s="1326" t="str">
        <f>AM4</f>
        <v>3Q</v>
      </c>
      <c r="DC4" s="1326" t="str">
        <f>AN4</f>
        <v>4Q</v>
      </c>
      <c r="DD4" s="1328" t="str">
        <f>CY4</f>
        <v>FY</v>
      </c>
      <c r="DE4" s="1327" t="str">
        <f>AP4</f>
        <v>1Q</v>
      </c>
      <c r="DF4" s="1326" t="str">
        <f>AQ4</f>
        <v>2Q</v>
      </c>
      <c r="DG4" s="1326" t="str">
        <f>AR4</f>
        <v>3Q</v>
      </c>
      <c r="DH4" s="1326" t="str">
        <f>AS4</f>
        <v>4Q</v>
      </c>
      <c r="DI4" s="1326" t="str">
        <f>DD4</f>
        <v>FY</v>
      </c>
      <c r="DJ4" s="1327" t="str">
        <f>AU4</f>
        <v>1Q</v>
      </c>
      <c r="DK4" s="1326" t="str">
        <f>AV4</f>
        <v>2Q</v>
      </c>
      <c r="DL4" s="1326" t="str">
        <f>AW4</f>
        <v>3Q</v>
      </c>
      <c r="DM4" s="1326" t="str">
        <f>AX4</f>
        <v>4Q</v>
      </c>
      <c r="DN4" s="1328" t="str">
        <f>DI4</f>
        <v>FY</v>
      </c>
      <c r="DO4" s="1327" t="str">
        <f>DJ4</f>
        <v>1Q</v>
      </c>
      <c r="DP4" s="1326" t="s">
        <v>121</v>
      </c>
      <c r="DQ4" s="1326" t="s">
        <v>122</v>
      </c>
      <c r="DR4" s="1326" t="str">
        <f>DM4</f>
        <v>4Q</v>
      </c>
      <c r="DS4" s="1328" t="str">
        <f>DN4</f>
        <v>FY</v>
      </c>
      <c r="DT4" s="1330" t="s">
        <v>120</v>
      </c>
      <c r="DU4" s="1330" t="s">
        <v>121</v>
      </c>
      <c r="DV4" s="1330" t="s">
        <v>122</v>
      </c>
      <c r="DW4" s="1330" t="str">
        <f>DR4</f>
        <v>4Q</v>
      </c>
      <c r="DX4" s="1330" t="str">
        <f>DS4</f>
        <v>FY</v>
      </c>
      <c r="DY4" s="1329" t="s">
        <v>120</v>
      </c>
      <c r="DZ4" s="1330" t="s">
        <v>121</v>
      </c>
      <c r="EA4" s="1330" t="s">
        <v>122</v>
      </c>
      <c r="EB4" s="1330" t="str">
        <f>DW4</f>
        <v>4Q</v>
      </c>
      <c r="EC4" s="1331" t="str">
        <f>DX4</f>
        <v>FY</v>
      </c>
      <c r="ED4" s="1329" t="s">
        <v>120</v>
      </c>
      <c r="EE4" s="1330" t="s">
        <v>121</v>
      </c>
      <c r="EF4" s="1330" t="s">
        <v>122</v>
      </c>
      <c r="EG4" s="1330" t="str">
        <f>EB4</f>
        <v>4Q</v>
      </c>
      <c r="EH4" s="1331" t="str">
        <f>EC4</f>
        <v>FY</v>
      </c>
      <c r="EI4" s="1330" t="s">
        <v>120</v>
      </c>
      <c r="EJ4" s="1330" t="s">
        <v>121</v>
      </c>
      <c r="EK4" s="1330" t="s">
        <v>122</v>
      </c>
      <c r="EL4" s="1330" t="str">
        <f>EG4</f>
        <v>4Q</v>
      </c>
      <c r="EM4" s="1331" t="str">
        <f>EH4</f>
        <v>FY</v>
      </c>
      <c r="EN4" s="1326"/>
      <c r="EO4" s="1326"/>
      <c r="EP4" s="1326"/>
      <c r="EQ4" s="928"/>
      <c r="ER4" s="928"/>
      <c r="ES4" s="928"/>
      <c r="ET4" s="928"/>
      <c r="EU4" s="928"/>
      <c r="EV4" s="928"/>
      <c r="EW4" s="928"/>
      <c r="EX4" s="928"/>
      <c r="EY4" s="928"/>
      <c r="EZ4" s="928"/>
      <c r="FA4" s="928"/>
      <c r="FB4" s="928"/>
      <c r="FC4" s="928"/>
      <c r="FD4" s="928"/>
      <c r="FE4" s="928"/>
      <c r="FF4" s="1332" t="s">
        <v>7361</v>
      </c>
      <c r="FG4" s="1332" t="s">
        <v>122</v>
      </c>
      <c r="FH4" s="1333" t="s">
        <v>6006</v>
      </c>
      <c r="FI4" s="1334" t="s">
        <v>123</v>
      </c>
      <c r="FJ4" s="1607" t="s">
        <v>120</v>
      </c>
      <c r="FK4" s="1330" t="s">
        <v>120</v>
      </c>
      <c r="FL4" s="928"/>
      <c r="FM4" s="928"/>
      <c r="FN4" s="928"/>
      <c r="FO4" s="928"/>
      <c r="FP4" s="928"/>
      <c r="FQ4" s="928"/>
    </row>
    <row r="5" spans="1:173" ht="14.25" customHeight="1">
      <c r="A5" s="1325"/>
      <c r="B5" s="1335"/>
      <c r="C5" s="1335"/>
      <c r="D5" s="1335"/>
      <c r="E5" s="1335"/>
      <c r="F5" s="1335"/>
      <c r="G5" s="1336"/>
      <c r="H5" s="928"/>
      <c r="I5" s="928"/>
      <c r="J5" s="928"/>
      <c r="K5" s="1337"/>
      <c r="L5" s="1335"/>
      <c r="M5" s="1335"/>
      <c r="N5" s="1335"/>
      <c r="O5" s="928"/>
      <c r="P5" s="1337"/>
      <c r="Q5" s="928"/>
      <c r="R5" s="928"/>
      <c r="S5" s="928"/>
      <c r="T5" s="928"/>
      <c r="U5" s="928"/>
      <c r="V5" s="1338"/>
      <c r="W5" s="928"/>
      <c r="X5" s="928"/>
      <c r="Y5" s="928"/>
      <c r="Z5" s="1337"/>
      <c r="AA5" s="928"/>
      <c r="AB5" s="928"/>
      <c r="AC5" s="928"/>
      <c r="AD5" s="928"/>
      <c r="AE5" s="928"/>
      <c r="AF5" s="1338"/>
      <c r="AG5" s="928"/>
      <c r="AH5" s="928"/>
      <c r="AI5" s="928"/>
      <c r="AJ5" s="1337"/>
      <c r="AK5" s="928"/>
      <c r="AL5" s="928"/>
      <c r="AM5" s="928"/>
      <c r="AN5" s="928"/>
      <c r="AO5" s="1337"/>
      <c r="AP5" s="928"/>
      <c r="AQ5" s="928"/>
      <c r="AR5" s="928"/>
      <c r="AS5" s="928"/>
      <c r="AT5" s="1337"/>
      <c r="AU5" s="928"/>
      <c r="AV5" s="928"/>
      <c r="AW5" s="928"/>
      <c r="AX5" s="1339"/>
      <c r="AY5" s="1337"/>
      <c r="AZ5" s="928"/>
      <c r="BA5" s="928"/>
      <c r="BB5" s="928"/>
      <c r="BC5" s="928"/>
      <c r="BD5" s="928"/>
      <c r="BE5" s="1338"/>
      <c r="BF5" s="928"/>
      <c r="BG5" s="928"/>
      <c r="BH5" s="928"/>
      <c r="BI5" s="1337"/>
      <c r="BJ5" s="1338"/>
      <c r="BK5" s="928"/>
      <c r="BL5" s="928"/>
      <c r="BM5" s="928"/>
      <c r="BN5" s="1337"/>
      <c r="BO5" s="1338"/>
      <c r="BP5" s="928"/>
      <c r="BQ5" s="928"/>
      <c r="BR5" s="928"/>
      <c r="BS5" s="1337"/>
      <c r="BT5" s="1338"/>
      <c r="BU5" s="928"/>
      <c r="BV5" s="928"/>
      <c r="BW5" s="928"/>
      <c r="BX5" s="1337"/>
      <c r="BY5" s="928"/>
      <c r="BZ5" s="928"/>
      <c r="CA5" s="1338"/>
      <c r="CB5" s="928"/>
      <c r="CC5" s="928"/>
      <c r="CD5" s="928"/>
      <c r="CE5" s="1337"/>
      <c r="CF5" s="1338"/>
      <c r="CG5" s="928"/>
      <c r="CH5" s="928"/>
      <c r="CI5" s="928"/>
      <c r="CJ5" s="928"/>
      <c r="CK5" s="1338"/>
      <c r="CL5" s="928"/>
      <c r="CM5" s="928"/>
      <c r="CN5" s="928"/>
      <c r="CO5" s="1337"/>
      <c r="CP5" s="1338"/>
      <c r="CQ5" s="928"/>
      <c r="CR5" s="928"/>
      <c r="CS5" s="928"/>
      <c r="CT5" s="1337"/>
      <c r="CU5" s="1338"/>
      <c r="CV5" s="928"/>
      <c r="CW5" s="928"/>
      <c r="CX5" s="928"/>
      <c r="CY5" s="1337"/>
      <c r="CZ5" s="1338"/>
      <c r="DA5" s="928"/>
      <c r="DB5" s="928"/>
      <c r="DC5" s="928"/>
      <c r="DD5" s="1337"/>
      <c r="DE5" s="1338"/>
      <c r="DF5" s="928"/>
      <c r="DG5" s="928"/>
      <c r="DH5" s="928"/>
      <c r="DI5" s="928"/>
      <c r="DJ5" s="1338"/>
      <c r="DK5" s="928"/>
      <c r="DL5" s="928"/>
      <c r="DM5" s="928"/>
      <c r="DN5" s="1337"/>
      <c r="DO5" s="1338"/>
      <c r="DP5" s="928"/>
      <c r="DQ5" s="928"/>
      <c r="DR5" s="928"/>
      <c r="DS5" s="1337"/>
      <c r="DT5" s="928"/>
      <c r="DU5" s="928"/>
      <c r="DV5" s="928"/>
      <c r="DW5" s="928"/>
      <c r="DX5" s="928"/>
      <c r="DY5" s="1338"/>
      <c r="DZ5" s="928"/>
      <c r="EA5" s="928"/>
      <c r="EB5" s="928"/>
      <c r="EC5" s="1337"/>
      <c r="ED5" s="1338"/>
      <c r="EE5" s="928"/>
      <c r="EF5" s="928"/>
      <c r="EG5" s="928"/>
      <c r="EH5" s="1337"/>
      <c r="EI5" s="928"/>
      <c r="EJ5" s="928"/>
      <c r="EK5" s="928"/>
      <c r="EL5" s="928"/>
      <c r="EM5" s="1337"/>
      <c r="EN5" s="928"/>
      <c r="EO5" s="928"/>
      <c r="EP5" s="928"/>
      <c r="EQ5" s="928"/>
      <c r="ER5" s="928"/>
      <c r="ES5" s="928"/>
      <c r="ET5" s="928"/>
      <c r="EU5" s="928"/>
      <c r="EV5" s="928"/>
      <c r="EW5" s="928"/>
      <c r="EX5" s="928"/>
      <c r="EY5" s="928"/>
      <c r="EZ5" s="928"/>
      <c r="FA5" s="928"/>
      <c r="FB5" s="928"/>
      <c r="FC5" s="928"/>
      <c r="FD5" s="928"/>
      <c r="FE5" s="928"/>
      <c r="FF5" s="1340"/>
      <c r="FG5" s="1340"/>
      <c r="FH5" s="1319"/>
      <c r="FI5" s="1319"/>
      <c r="FJ5" s="1605"/>
      <c r="FK5" s="1605"/>
      <c r="FL5" s="928"/>
      <c r="FM5" s="928"/>
      <c r="FN5" s="928"/>
      <c r="FO5" s="928"/>
      <c r="FP5" s="928"/>
      <c r="FQ5" s="928"/>
    </row>
    <row r="6" spans="1:173">
      <c r="A6" s="1341" t="s">
        <v>124</v>
      </c>
      <c r="B6" s="1335"/>
      <c r="C6" s="1335"/>
      <c r="D6" s="1335"/>
      <c r="E6" s="1335"/>
      <c r="F6" s="1335"/>
      <c r="G6" s="1336"/>
      <c r="H6" s="1254">
        <f>H8/H18</f>
        <v>0.3682936988040223</v>
      </c>
      <c r="I6" s="928"/>
      <c r="J6" s="928"/>
      <c r="K6" s="1337"/>
      <c r="L6" s="1335"/>
      <c r="M6" s="1254">
        <f>M8/M18</f>
        <v>0.32777705813775482</v>
      </c>
      <c r="N6" s="1342"/>
      <c r="O6" s="1254">
        <f>O8/N8-1</f>
        <v>0.26087880124842733</v>
      </c>
      <c r="P6" s="1337"/>
      <c r="Q6" s="928"/>
      <c r="R6" s="1254">
        <f>R8/R18</f>
        <v>0.32723126062142605</v>
      </c>
      <c r="S6" s="928"/>
      <c r="T6" s="1254">
        <f>T8/S8-1</f>
        <v>0.29455241414722977</v>
      </c>
      <c r="U6" s="928"/>
      <c r="V6" s="1338"/>
      <c r="W6" s="1254">
        <f>W8/W18</f>
        <v>0.32188613488255002</v>
      </c>
      <c r="X6" s="928"/>
      <c r="Y6" s="928"/>
      <c r="Z6" s="1337"/>
      <c r="AA6" s="928"/>
      <c r="AB6" s="1254">
        <f>AB8/AB18</f>
        <v>0.24962236189405165</v>
      </c>
      <c r="AC6" s="1316"/>
      <c r="AD6" s="1316"/>
      <c r="AE6" s="928"/>
      <c r="AF6" s="1338"/>
      <c r="AG6" s="1254">
        <f>AG8/AG18</f>
        <v>0.22747465300656786</v>
      </c>
      <c r="AH6" s="928"/>
      <c r="AI6" s="1316"/>
      <c r="AJ6" s="1337"/>
      <c r="AK6" s="928"/>
      <c r="AL6" s="1254"/>
      <c r="AM6" s="928"/>
      <c r="AN6" s="928"/>
      <c r="AO6" s="1337"/>
      <c r="AP6" s="928"/>
      <c r="AQ6" s="1254"/>
      <c r="AR6" s="928"/>
      <c r="AS6" s="928"/>
      <c r="AT6" s="1337"/>
      <c r="AU6" s="1254"/>
      <c r="AV6" s="1254"/>
      <c r="AW6" s="1254"/>
      <c r="AX6" s="1343"/>
      <c r="AY6" s="1337"/>
      <c r="AZ6" s="928"/>
      <c r="BA6" s="928"/>
      <c r="BB6" s="928"/>
      <c r="BC6" s="928"/>
      <c r="BD6" s="928"/>
      <c r="BE6" s="1338"/>
      <c r="BF6" s="928"/>
      <c r="BG6" s="928"/>
      <c r="BH6" s="928"/>
      <c r="BI6" s="1337"/>
      <c r="BJ6" s="1338"/>
      <c r="BK6" s="928"/>
      <c r="BL6" s="928"/>
      <c r="BM6" s="928"/>
      <c r="BN6" s="1337"/>
      <c r="BO6" s="1338"/>
      <c r="BP6" s="928"/>
      <c r="BQ6" s="928"/>
      <c r="BR6" s="928"/>
      <c r="BS6" s="1337"/>
      <c r="BT6" s="1338"/>
      <c r="BU6" s="928"/>
      <c r="BV6" s="928"/>
      <c r="BW6" s="928"/>
      <c r="BX6" s="1337"/>
      <c r="BY6" s="928"/>
      <c r="BZ6" s="928"/>
      <c r="CA6" s="1338"/>
      <c r="CB6" s="928"/>
      <c r="CC6" s="928"/>
      <c r="CD6" s="928"/>
      <c r="CE6" s="1337"/>
      <c r="CF6" s="1338"/>
      <c r="CG6" s="1316"/>
      <c r="CH6" s="1316"/>
      <c r="CI6" s="1316"/>
      <c r="CJ6" s="928"/>
      <c r="CK6" s="1338"/>
      <c r="CL6" s="928"/>
      <c r="CM6" s="1316"/>
      <c r="CN6" s="1316"/>
      <c r="CO6" s="1337"/>
      <c r="CP6" s="1338"/>
      <c r="CQ6" s="928"/>
      <c r="CR6" s="928"/>
      <c r="CS6" s="928"/>
      <c r="CT6" s="1337"/>
      <c r="CU6" s="1338"/>
      <c r="CV6" s="928"/>
      <c r="CW6" s="1316"/>
      <c r="CX6" s="1316"/>
      <c r="CY6" s="1337"/>
      <c r="CZ6" s="1338"/>
      <c r="DA6" s="928"/>
      <c r="DB6" s="928"/>
      <c r="DC6" s="928"/>
      <c r="DD6" s="1337"/>
      <c r="DE6" s="1338"/>
      <c r="DF6" s="928"/>
      <c r="DG6" s="928"/>
      <c r="DH6" s="928"/>
      <c r="DI6" s="928"/>
      <c r="DJ6" s="1338"/>
      <c r="DK6" s="928"/>
      <c r="DL6" s="928"/>
      <c r="DM6" s="928"/>
      <c r="DN6" s="1337"/>
      <c r="DO6" s="1338"/>
      <c r="DP6" s="928"/>
      <c r="DQ6" s="928"/>
      <c r="DR6" s="928"/>
      <c r="DS6" s="1337"/>
      <c r="DT6" s="928"/>
      <c r="DU6" s="928"/>
      <c r="DV6" s="928"/>
      <c r="DW6" s="928"/>
      <c r="DX6" s="928"/>
      <c r="DY6" s="1338"/>
      <c r="DZ6" s="928"/>
      <c r="EA6" s="928"/>
      <c r="EB6" s="928"/>
      <c r="EC6" s="1337"/>
      <c r="ED6" s="1338"/>
      <c r="EE6" s="928"/>
      <c r="EF6" s="928"/>
      <c r="EG6" s="928"/>
      <c r="EH6" s="1337"/>
      <c r="EI6" s="928"/>
      <c r="EJ6" s="928"/>
      <c r="EK6" s="928"/>
      <c r="EL6" s="928"/>
      <c r="EM6" s="1337"/>
      <c r="EN6" s="928"/>
      <c r="EO6" s="928"/>
      <c r="EP6" s="928"/>
      <c r="EQ6" s="928"/>
      <c r="ER6" s="928"/>
      <c r="ES6" s="928"/>
      <c r="ET6" s="928"/>
      <c r="EU6" s="928"/>
      <c r="EV6" s="928"/>
      <c r="EW6" s="928"/>
      <c r="EX6" s="928"/>
      <c r="EY6" s="928"/>
      <c r="EZ6" s="928"/>
      <c r="FA6" s="928"/>
      <c r="FB6" s="928"/>
      <c r="FC6" s="928"/>
      <c r="FD6" s="928"/>
      <c r="FE6" s="928"/>
      <c r="FF6" s="1340"/>
      <c r="FG6" s="1340"/>
      <c r="FH6" s="1319"/>
      <c r="FI6" s="1319"/>
      <c r="FJ6" s="1605"/>
      <c r="FK6" s="1605"/>
      <c r="FL6" s="928"/>
      <c r="FM6" s="928"/>
      <c r="FN6" s="928"/>
      <c r="FO6" s="928"/>
      <c r="FP6" s="928"/>
      <c r="FQ6" s="928"/>
    </row>
    <row r="7" spans="1:173" ht="14.25" hidden="1" customHeight="1">
      <c r="A7" s="1344" t="s">
        <v>145</v>
      </c>
      <c r="B7" s="1342"/>
      <c r="C7" s="1342"/>
      <c r="D7" s="1342"/>
      <c r="E7" s="1342"/>
      <c r="F7" s="1342"/>
      <c r="G7" s="1345">
        <f>+SUM(G8:G10)</f>
        <v>5696.4999999999991</v>
      </c>
      <c r="H7" s="1343">
        <f>+SUM(H8:H10)</f>
        <v>7253.2</v>
      </c>
      <c r="I7" s="1343">
        <f>+SUM(I8:I10)</f>
        <v>7997.3</v>
      </c>
      <c r="J7" s="1343">
        <f>+SUM(J8:J10)</f>
        <v>9738.6</v>
      </c>
      <c r="K7" s="1346">
        <f>+SUM(G7:J7)</f>
        <v>30685.599999999999</v>
      </c>
      <c r="L7" s="1343">
        <v>6470.1</v>
      </c>
      <c r="M7" s="1343">
        <v>7845.4</v>
      </c>
      <c r="N7" s="1343">
        <v>8349.7999999999993</v>
      </c>
      <c r="O7" s="1343">
        <v>10218.700000000001</v>
      </c>
      <c r="P7" s="1346">
        <f>+SUM(L7:O7)</f>
        <v>32884</v>
      </c>
      <c r="Q7" s="1343">
        <v>6348</v>
      </c>
      <c r="R7" s="1343">
        <v>8241.7000000000007</v>
      </c>
      <c r="S7" s="1343">
        <v>8794</v>
      </c>
      <c r="T7" s="1343">
        <f>T8+T9+T10</f>
        <v>10436.800000000001</v>
      </c>
      <c r="U7" s="1343">
        <f>+SUM(Q7:T7)</f>
        <v>33820.5</v>
      </c>
      <c r="V7" s="1345">
        <v>6641.8</v>
      </c>
      <c r="W7" s="1343">
        <f>W8+W9+W10</f>
        <v>8723.6723500000007</v>
      </c>
      <c r="X7" s="1343">
        <f>X8+X9+X10</f>
        <v>8372.8276499999993</v>
      </c>
      <c r="Y7" s="1343">
        <f>Y8+Y9+Y10</f>
        <v>11129.8</v>
      </c>
      <c r="Z7" s="1346">
        <f>Master!M47</f>
        <v>34868.1</v>
      </c>
      <c r="AA7" s="1343">
        <v>7021</v>
      </c>
      <c r="AB7" s="1343">
        <v>7923</v>
      </c>
      <c r="AC7" s="1343">
        <f>SUM(AC8:AC10)</f>
        <v>8626</v>
      </c>
      <c r="AD7" s="1343">
        <f>SUM(AD8:AD10)</f>
        <v>10762.6</v>
      </c>
      <c r="AE7" s="1343">
        <f>Master!N47</f>
        <v>34332.6</v>
      </c>
      <c r="AF7" s="1345">
        <f>SUM(AF8:AF10)</f>
        <v>7526.4000000000005</v>
      </c>
      <c r="AG7" s="1343">
        <f>SUM(AG8:AG10)</f>
        <v>8793</v>
      </c>
      <c r="AH7" s="1343">
        <f>SUM(AH8:AH10)</f>
        <v>8676.1</v>
      </c>
      <c r="AI7" s="1343">
        <f>SUM(AI8:AI10)</f>
        <v>11691.2</v>
      </c>
      <c r="AJ7" s="1346">
        <f>Master!O47</f>
        <v>36686.699999999997</v>
      </c>
      <c r="AK7" s="1343">
        <v>7290.7</v>
      </c>
      <c r="AL7" s="1343">
        <f>SUM(AL8:AL10)</f>
        <v>8075.9000000000005</v>
      </c>
      <c r="AM7" s="1343">
        <f>SUM(AM8:AM10)</f>
        <v>8025</v>
      </c>
      <c r="AN7" s="1343">
        <f>SUM(AN8:AN10)</f>
        <v>10605.8</v>
      </c>
      <c r="AO7" s="1346">
        <f>Master!P47</f>
        <v>33997</v>
      </c>
      <c r="AP7" s="1343">
        <f>SUM(AP8:AP11)</f>
        <v>7899.4</v>
      </c>
      <c r="AQ7" s="1343">
        <f>SUM(AQ8:AQ11)</f>
        <v>10971.400000000001</v>
      </c>
      <c r="AR7" s="1343">
        <f>SUM(AR8:AR11)</f>
        <v>9710.1</v>
      </c>
      <c r="AS7" s="1343">
        <f>SUM(AS8:AS11)</f>
        <v>10642.800000000001</v>
      </c>
      <c r="AT7" s="1346">
        <f>Master!Q47</f>
        <v>39251</v>
      </c>
      <c r="AU7" s="1343">
        <f>SUM(AU8:AU11)</f>
        <v>7184.9</v>
      </c>
      <c r="AV7" s="1343">
        <f>SUM(AV8:AV11)</f>
        <v>8050</v>
      </c>
      <c r="AW7" s="1343">
        <f>SUM(AW8:AW11)</f>
        <v>8659.2999999999993</v>
      </c>
      <c r="AX7" s="1343">
        <f>SUM(AX8:AX11)</f>
        <v>11166.6</v>
      </c>
      <c r="AY7" s="1346">
        <f>Master!R47</f>
        <v>34795.4</v>
      </c>
      <c r="AZ7" s="1343">
        <f>SUM(AZ8:AZ11)</f>
        <v>6727.6</v>
      </c>
      <c r="BA7" s="1343">
        <f>SUM(BA8:BA11)</f>
        <v>6740.5999999999995</v>
      </c>
      <c r="BB7" s="1343">
        <f>SUM(BB8:BB11)</f>
        <v>8033.4</v>
      </c>
      <c r="BC7" s="1343">
        <f>SUM(BC8:BC11)</f>
        <v>11111.400000000001</v>
      </c>
      <c r="BD7" s="1343">
        <f>Master!S47</f>
        <v>32613</v>
      </c>
      <c r="BE7" s="1345">
        <v>7416</v>
      </c>
      <c r="BF7" s="1343">
        <f>SUM(BF8:BF10)</f>
        <v>7856</v>
      </c>
      <c r="BG7" s="1343">
        <f>SUM(BG8:BG10)</f>
        <v>9109.8000000000011</v>
      </c>
      <c r="BH7" s="1343">
        <f>SUM(BH8:BH11)</f>
        <v>11559.300000000001</v>
      </c>
      <c r="BI7" s="1346">
        <f>Master!T47</f>
        <v>35941.9</v>
      </c>
      <c r="BJ7" s="1345"/>
      <c r="BK7" s="1343"/>
      <c r="BL7" s="1343"/>
      <c r="BM7" s="1343"/>
      <c r="BN7" s="1346"/>
      <c r="BO7" s="1345"/>
      <c r="BP7" s="1343"/>
      <c r="BQ7" s="1343"/>
      <c r="BR7" s="1343"/>
      <c r="BS7" s="1346"/>
      <c r="BT7" s="1345"/>
      <c r="BU7" s="1343"/>
      <c r="BV7" s="1343"/>
      <c r="BW7" s="1343"/>
      <c r="BX7" s="1346"/>
      <c r="BY7" s="1343"/>
      <c r="BZ7" s="928"/>
      <c r="CA7" s="1355">
        <f t="shared" ref="CA7:CN10" si="1">L7/G7-1</f>
        <v>0.13580268585973876</v>
      </c>
      <c r="CB7" s="1254">
        <f t="shared" si="1"/>
        <v>8.1646721447085291E-2</v>
      </c>
      <c r="CC7" s="1254">
        <f t="shared" si="1"/>
        <v>4.4077376114438405E-2</v>
      </c>
      <c r="CD7" s="1316">
        <f t="shared" si="1"/>
        <v>4.929866715955078E-2</v>
      </c>
      <c r="CE7" s="1415">
        <f t="shared" si="1"/>
        <v>7.1642724926349821E-2</v>
      </c>
      <c r="CF7" s="1347">
        <f t="shared" si="1"/>
        <v>-1.8871423934715081E-2</v>
      </c>
      <c r="CG7" s="1316">
        <f t="shared" si="1"/>
        <v>5.0513676804242014E-2</v>
      </c>
      <c r="CH7" s="1316">
        <f t="shared" si="1"/>
        <v>5.3198879015066369E-2</v>
      </c>
      <c r="CI7" s="1316">
        <f t="shared" si="1"/>
        <v>2.1343223697730673E-2</v>
      </c>
      <c r="CJ7" s="1316">
        <f t="shared" si="1"/>
        <v>2.8478895511494962E-2</v>
      </c>
      <c r="CK7" s="1347">
        <f t="shared" si="1"/>
        <v>4.6282293635790728E-2</v>
      </c>
      <c r="CL7" s="1316">
        <f t="shared" si="1"/>
        <v>5.8479725056723719E-2</v>
      </c>
      <c r="CM7" s="1316">
        <f t="shared" si="1"/>
        <v>-4.7893148737775837E-2</v>
      </c>
      <c r="CN7" s="1316">
        <f t="shared" si="1"/>
        <v>6.63996627318717E-2</v>
      </c>
      <c r="CO7" s="1337"/>
      <c r="CP7" s="1347">
        <f t="shared" ref="CP7:CS10" si="2">AA7/V7-1</f>
        <v>5.7092956728597599E-2</v>
      </c>
      <c r="CQ7" s="1316">
        <f t="shared" si="2"/>
        <v>-9.178157063636172E-2</v>
      </c>
      <c r="CR7" s="1316">
        <f t="shared" si="2"/>
        <v>3.0237377452765335E-2</v>
      </c>
      <c r="CS7" s="1316">
        <f t="shared" si="2"/>
        <v>-3.2992506603892191E-2</v>
      </c>
      <c r="CT7" s="1337"/>
      <c r="CU7" s="1347">
        <f t="shared" ref="CU7:CX10" si="3">AF7/AA7-1</f>
        <v>7.1984047856430866E-2</v>
      </c>
      <c r="CV7" s="1316">
        <f t="shared" si="3"/>
        <v>0.10980689132904198</v>
      </c>
      <c r="CW7" s="1316">
        <f t="shared" si="3"/>
        <v>5.8080222582890251E-3</v>
      </c>
      <c r="CX7" s="1316">
        <f t="shared" si="3"/>
        <v>8.6280266850017773E-2</v>
      </c>
      <c r="CY7" s="1337"/>
      <c r="CZ7" s="1347">
        <f t="shared" ref="CZ7:DC10" si="4">AK7/AF7-1</f>
        <v>-3.1316432823129348E-2</v>
      </c>
      <c r="DA7" s="1316">
        <f t="shared" si="4"/>
        <v>-8.1553508472648639E-2</v>
      </c>
      <c r="DB7" s="1316">
        <f t="shared" si="4"/>
        <v>-7.5045239220387083E-2</v>
      </c>
      <c r="DC7" s="1316">
        <f t="shared" si="4"/>
        <v>-9.2839058437115263E-2</v>
      </c>
      <c r="DD7" s="1415"/>
      <c r="DE7" s="1347">
        <f t="shared" ref="DE7:DH10" si="5">AP7/AK7-1</f>
        <v>8.3489925521554875E-2</v>
      </c>
      <c r="DF7" s="1316">
        <f t="shared" si="5"/>
        <v>0.35853589073663628</v>
      </c>
      <c r="DG7" s="1316">
        <f t="shared" si="5"/>
        <v>0.20998130841121498</v>
      </c>
      <c r="DH7" s="1316">
        <f t="shared" si="5"/>
        <v>3.4886571498615737E-3</v>
      </c>
      <c r="DI7" s="928"/>
      <c r="DJ7" s="1347">
        <f t="shared" ref="DJ7:DM10" si="6">AU7/AP7-1</f>
        <v>-9.0449907587918044E-2</v>
      </c>
      <c r="DK7" s="1316">
        <f t="shared" si="6"/>
        <v>-0.26627413092221608</v>
      </c>
      <c r="DL7" s="1316">
        <f t="shared" si="6"/>
        <v>-0.10821721712443755</v>
      </c>
      <c r="DM7" s="1316">
        <f t="shared" si="6"/>
        <v>4.921637163152548E-2</v>
      </c>
      <c r="DN7" s="1337"/>
      <c r="DO7" s="1347">
        <f t="shared" ref="DO7:DR10" si="7">AZ7/AU7-1</f>
        <v>-6.3647371570933364E-2</v>
      </c>
      <c r="DP7" s="1316">
        <f t="shared" si="7"/>
        <v>-0.16265838509316777</v>
      </c>
      <c r="DQ7" s="1316">
        <f t="shared" si="7"/>
        <v>-7.2280669338168124E-2</v>
      </c>
      <c r="DR7" s="1316">
        <f t="shared" si="7"/>
        <v>-4.9433130944064319E-3</v>
      </c>
      <c r="DS7" s="1337"/>
      <c r="DT7" s="1316">
        <f t="shared" ref="DT7:DW10" si="8">BE7/AZ7-1</f>
        <v>0.10232475176883282</v>
      </c>
      <c r="DU7" s="1316">
        <f t="shared" si="8"/>
        <v>0.16547488354152451</v>
      </c>
      <c r="DV7" s="1254">
        <f t="shared" si="8"/>
        <v>0.13399058928971552</v>
      </c>
      <c r="DW7" s="1254">
        <f t="shared" si="8"/>
        <v>4.0309951941249533E-2</v>
      </c>
      <c r="DX7" s="928"/>
      <c r="DY7" s="1338"/>
      <c r="DZ7" s="928"/>
      <c r="EA7" s="928"/>
      <c r="EB7" s="1254"/>
      <c r="EC7" s="1337"/>
      <c r="ED7" s="1338"/>
      <c r="EE7" s="928"/>
      <c r="EF7" s="928"/>
      <c r="EG7" s="1254"/>
      <c r="EH7" s="1337"/>
      <c r="EI7" s="928"/>
      <c r="EJ7" s="928"/>
      <c r="EK7" s="928"/>
      <c r="EL7" s="1254"/>
      <c r="EM7" s="1337"/>
      <c r="EN7" s="928"/>
      <c r="EO7" s="928"/>
      <c r="EP7" s="928"/>
      <c r="EQ7" s="928"/>
      <c r="ER7" s="1348" t="str">
        <f>ER12</f>
        <v>Q1 18</v>
      </c>
      <c r="ES7" s="1348" t="str">
        <f t="shared" ref="ES7:FC7" si="9">ES12</f>
        <v>Q2 18</v>
      </c>
      <c r="ET7" s="1348" t="str">
        <f t="shared" si="9"/>
        <v>Q3 18</v>
      </c>
      <c r="EU7" s="1348" t="str">
        <f t="shared" si="9"/>
        <v>Q4 18</v>
      </c>
      <c r="EV7" s="1348" t="str">
        <f t="shared" si="9"/>
        <v>Q1 19</v>
      </c>
      <c r="EW7" s="1348" t="str">
        <f t="shared" si="9"/>
        <v>Q2 19</v>
      </c>
      <c r="EX7" s="1348" t="str">
        <f t="shared" si="9"/>
        <v>Q3 19</v>
      </c>
      <c r="EY7" s="1348" t="str">
        <f t="shared" si="9"/>
        <v>Q4 19</v>
      </c>
      <c r="EZ7" s="1348" t="str">
        <f t="shared" si="9"/>
        <v>Q1 20</v>
      </c>
      <c r="FA7" s="1348" t="str">
        <f t="shared" si="9"/>
        <v>Q2 20</v>
      </c>
      <c r="FB7" s="1348" t="str">
        <f t="shared" si="9"/>
        <v>Q3 20</v>
      </c>
      <c r="FC7" s="1348" t="str">
        <f t="shared" si="9"/>
        <v>Q4 20</v>
      </c>
      <c r="FD7" s="928"/>
      <c r="FE7" s="928"/>
      <c r="FF7" s="1349"/>
      <c r="FG7" s="1340"/>
      <c r="FH7" s="1350"/>
      <c r="FI7" s="1351"/>
      <c r="FJ7" s="1608"/>
      <c r="FK7" s="1605"/>
      <c r="FL7" s="928"/>
      <c r="FM7" s="928"/>
      <c r="FN7" s="928"/>
      <c r="FO7" s="928"/>
      <c r="FP7" s="928"/>
      <c r="FQ7" s="928"/>
    </row>
    <row r="8" spans="1:173" ht="14.25" hidden="1" customHeight="1">
      <c r="A8" s="1352" t="s">
        <v>146</v>
      </c>
      <c r="B8" s="1342"/>
      <c r="C8" s="1342"/>
      <c r="D8" s="1342"/>
      <c r="E8" s="1342"/>
      <c r="F8" s="1342"/>
      <c r="G8" s="1345">
        <v>4131.3999999999996</v>
      </c>
      <c r="H8" s="1343">
        <v>5570.7</v>
      </c>
      <c r="I8" s="1343">
        <v>6059.4</v>
      </c>
      <c r="J8" s="1343">
        <v>7444.6</v>
      </c>
      <c r="K8" s="1346">
        <f>+SUM(G8:J8)</f>
        <v>23206.1</v>
      </c>
      <c r="L8" s="1343">
        <v>4533.1000000000004</v>
      </c>
      <c r="M8" s="1343">
        <v>5566.9</v>
      </c>
      <c r="N8" s="1343">
        <v>6119.7</v>
      </c>
      <c r="O8" s="1343">
        <v>7716.2</v>
      </c>
      <c r="P8" s="1346">
        <f>+SUM(L8:O8)</f>
        <v>23935.9</v>
      </c>
      <c r="Q8" s="1343">
        <v>4207.7</v>
      </c>
      <c r="R8" s="1343">
        <v>5911.4</v>
      </c>
      <c r="S8" s="1343">
        <v>6426.7</v>
      </c>
      <c r="T8" s="1343">
        <f>24865.5-Q8-R8-S8</f>
        <v>8319.7000000000007</v>
      </c>
      <c r="U8" s="1343">
        <f>+SUM(Q8:T8)</f>
        <v>24865.5</v>
      </c>
      <c r="V8" s="1345">
        <v>4552.6000000000004</v>
      </c>
      <c r="W8" s="1343">
        <v>6264.7</v>
      </c>
      <c r="X8" s="1343">
        <v>6015.4</v>
      </c>
      <c r="Y8" s="1343">
        <f>25465.7-V8-W8-X8</f>
        <v>8632.9999999999982</v>
      </c>
      <c r="Z8" s="1346">
        <f>+SUM(V8:Y8)</f>
        <v>25465.699999999997</v>
      </c>
      <c r="AA8" s="1343">
        <v>4623.8999999999996</v>
      </c>
      <c r="AB8" s="1343">
        <v>5238.5</v>
      </c>
      <c r="AC8" s="1343">
        <v>5480</v>
      </c>
      <c r="AD8" s="1343">
        <f>23029.3-AA8-AB8-AC8</f>
        <v>7686.9000000000015</v>
      </c>
      <c r="AE8" s="1343">
        <f>Master!N43</f>
        <v>23029.3</v>
      </c>
      <c r="AF8" s="1345">
        <v>4478.7</v>
      </c>
      <c r="AG8" s="1343">
        <v>5351</v>
      </c>
      <c r="AH8" s="1343">
        <v>5397.7</v>
      </c>
      <c r="AI8" s="1343">
        <f>23223.2-AF8-AG8-AH8</f>
        <v>7995.8</v>
      </c>
      <c r="AJ8" s="1346">
        <f>Master!O43</f>
        <v>23223.200000000001</v>
      </c>
      <c r="AK8" s="1343">
        <v>4128.2</v>
      </c>
      <c r="AL8" s="1343">
        <v>4826.6000000000004</v>
      </c>
      <c r="AM8" s="1343">
        <f>4943.8</f>
        <v>4943.8</v>
      </c>
      <c r="AN8" s="1343">
        <v>6820.5</v>
      </c>
      <c r="AO8" s="1346">
        <f>Master!P43</f>
        <v>20719</v>
      </c>
      <c r="AP8" s="1343">
        <v>4272.7</v>
      </c>
      <c r="AQ8" s="1343">
        <v>5265.8</v>
      </c>
      <c r="AR8" s="1343">
        <v>5051.2</v>
      </c>
      <c r="AS8" s="1343">
        <f>21154.9-AP8-AQ8-AR8</f>
        <v>6565.2000000000016</v>
      </c>
      <c r="AT8" s="1346">
        <f>Master!Q43</f>
        <v>21155</v>
      </c>
      <c r="AU8" s="1343">
        <v>3681.9</v>
      </c>
      <c r="AV8" s="1343">
        <v>4370.3</v>
      </c>
      <c r="AW8" s="1343">
        <v>4786.8999999999996</v>
      </c>
      <c r="AX8" s="1353">
        <v>6620.6</v>
      </c>
      <c r="AY8" s="1346">
        <f>Master!R43</f>
        <v>19420.400000000001</v>
      </c>
      <c r="AZ8" s="1343">
        <v>2635.1</v>
      </c>
      <c r="BA8" s="1343">
        <v>2922.2</v>
      </c>
      <c r="BB8" s="1343">
        <v>4164.3999999999996</v>
      </c>
      <c r="BC8" s="1343">
        <f>BD8-AZ8-BA8-BB8</f>
        <v>6628.1</v>
      </c>
      <c r="BD8" s="1343">
        <f>Master!S43</f>
        <v>16349.8</v>
      </c>
      <c r="BE8" s="1345">
        <v>3374.9</v>
      </c>
      <c r="BF8" s="1343">
        <v>3860</v>
      </c>
      <c r="BG8" s="1343">
        <v>4823.8</v>
      </c>
      <c r="BH8" s="1343">
        <v>7103.2</v>
      </c>
      <c r="BI8" s="1346">
        <f>Master!T43</f>
        <v>19162</v>
      </c>
      <c r="BJ8" s="1345"/>
      <c r="BK8" s="1343"/>
      <c r="BL8" s="1343"/>
      <c r="BM8" s="1343"/>
      <c r="BN8" s="1346"/>
      <c r="BO8" s="1345"/>
      <c r="BP8" s="1343"/>
      <c r="BQ8" s="1343"/>
      <c r="BR8" s="1343"/>
      <c r="BS8" s="1346"/>
      <c r="BT8" s="1345"/>
      <c r="BU8" s="1343"/>
      <c r="BV8" s="1343"/>
      <c r="BW8" s="1343"/>
      <c r="BX8" s="1346"/>
      <c r="BY8" s="1343"/>
      <c r="BZ8" s="928"/>
      <c r="CA8" s="1347">
        <f t="shared" si="1"/>
        <v>9.7230962869729654E-2</v>
      </c>
      <c r="CB8" s="1316">
        <f t="shared" si="1"/>
        <v>-6.8214048503778546E-4</v>
      </c>
      <c r="CC8" s="1316">
        <f t="shared" si="1"/>
        <v>9.9514803445885924E-3</v>
      </c>
      <c r="CD8" s="1316">
        <f t="shared" si="1"/>
        <v>3.6482819761975094E-2</v>
      </c>
      <c r="CE8" s="1415">
        <f t="shared" si="1"/>
        <v>3.144862773150181E-2</v>
      </c>
      <c r="CF8" s="1347">
        <f t="shared" si="1"/>
        <v>-7.178310648342201E-2</v>
      </c>
      <c r="CG8" s="1316">
        <f t="shared" si="1"/>
        <v>6.1883633620147593E-2</v>
      </c>
      <c r="CH8" s="1316">
        <f t="shared" si="1"/>
        <v>5.0165857803487146E-2</v>
      </c>
      <c r="CI8" s="1316">
        <f t="shared" si="1"/>
        <v>7.821207330032931E-2</v>
      </c>
      <c r="CJ8" s="1316">
        <f t="shared" si="1"/>
        <v>3.8837060649484556E-2</v>
      </c>
      <c r="CK8" s="1347">
        <f t="shared" si="1"/>
        <v>8.1968771537894947E-2</v>
      </c>
      <c r="CL8" s="1316">
        <f t="shared" si="1"/>
        <v>5.9765876103799576E-2</v>
      </c>
      <c r="CM8" s="1316">
        <f t="shared" si="1"/>
        <v>-6.3998630712496341E-2</v>
      </c>
      <c r="CN8" s="1316">
        <f t="shared" si="1"/>
        <v>3.7657607846436569E-2</v>
      </c>
      <c r="CO8" s="1337"/>
      <c r="CP8" s="1347">
        <f t="shared" si="2"/>
        <v>1.5661380310152184E-2</v>
      </c>
      <c r="CQ8" s="1316">
        <f t="shared" si="2"/>
        <v>-0.16380672657908601</v>
      </c>
      <c r="CR8" s="1316">
        <f t="shared" si="2"/>
        <v>-8.9004887455530701E-2</v>
      </c>
      <c r="CS8" s="1316">
        <f t="shared" si="2"/>
        <v>-0.10959110390362525</v>
      </c>
      <c r="CT8" s="1337"/>
      <c r="CU8" s="1347">
        <f t="shared" si="3"/>
        <v>-3.1402063193408103E-2</v>
      </c>
      <c r="CV8" s="1316">
        <f t="shared" si="3"/>
        <v>2.1475613248067127E-2</v>
      </c>
      <c r="CW8" s="1316">
        <f t="shared" si="3"/>
        <v>-1.5018248175182491E-2</v>
      </c>
      <c r="CX8" s="1316">
        <f t="shared" si="3"/>
        <v>4.0185250230912128E-2</v>
      </c>
      <c r="CY8" s="1337"/>
      <c r="CZ8" s="1347">
        <f t="shared" si="4"/>
        <v>-7.8259316319467698E-2</v>
      </c>
      <c r="DA8" s="1316">
        <f t="shared" si="4"/>
        <v>-9.8000373761913617E-2</v>
      </c>
      <c r="DB8" s="1316">
        <f t="shared" si="4"/>
        <v>-8.4091372251143937E-2</v>
      </c>
      <c r="DC8" s="1316">
        <f t="shared" si="4"/>
        <v>-0.1469896695765277</v>
      </c>
      <c r="DD8" s="1337"/>
      <c r="DE8" s="1347">
        <f t="shared" si="5"/>
        <v>3.5003149072234896E-2</v>
      </c>
      <c r="DF8" s="1316">
        <f t="shared" si="5"/>
        <v>9.0995731985248351E-2</v>
      </c>
      <c r="DG8" s="1316">
        <f t="shared" si="5"/>
        <v>2.1724179780735486E-2</v>
      </c>
      <c r="DH8" s="1316">
        <f t="shared" si="5"/>
        <v>-3.7431273367054985E-2</v>
      </c>
      <c r="DI8" s="928"/>
      <c r="DJ8" s="1347">
        <f t="shared" si="6"/>
        <v>-0.13827322302057243</v>
      </c>
      <c r="DK8" s="1316">
        <f t="shared" si="6"/>
        <v>-0.17005963006570701</v>
      </c>
      <c r="DL8" s="1316">
        <f t="shared" si="6"/>
        <v>-5.2324200190053904E-2</v>
      </c>
      <c r="DM8" s="1316">
        <f t="shared" si="6"/>
        <v>8.4384329494910926E-3</v>
      </c>
      <c r="DN8" s="1337"/>
      <c r="DO8" s="1347">
        <f t="shared" si="7"/>
        <v>-0.28430973138868521</v>
      </c>
      <c r="DP8" s="1316">
        <f t="shared" si="7"/>
        <v>-0.33135025055488188</v>
      </c>
      <c r="DQ8" s="1316">
        <f t="shared" si="7"/>
        <v>-0.13004240740353878</v>
      </c>
      <c r="DR8" s="1316">
        <f t="shared" si="7"/>
        <v>1.1328278403770486E-3</v>
      </c>
      <c r="DS8" s="1337"/>
      <c r="DT8" s="1316">
        <f t="shared" si="8"/>
        <v>0.28074835869606485</v>
      </c>
      <c r="DU8" s="1316">
        <f t="shared" si="8"/>
        <v>0.32092259256724387</v>
      </c>
      <c r="DV8" s="1316">
        <f t="shared" si="8"/>
        <v>0.15834213812313913</v>
      </c>
      <c r="DW8" s="1316">
        <f t="shared" si="8"/>
        <v>7.1679666872859427E-2</v>
      </c>
      <c r="DX8" s="928"/>
      <c r="DY8" s="1338"/>
      <c r="DZ8" s="928"/>
      <c r="EA8" s="928"/>
      <c r="EB8" s="1254"/>
      <c r="EC8" s="1337"/>
      <c r="ED8" s="1338"/>
      <c r="EE8" s="928"/>
      <c r="EF8" s="928"/>
      <c r="EG8" s="1254"/>
      <c r="EH8" s="1337"/>
      <c r="EI8" s="928"/>
      <c r="EJ8" s="928"/>
      <c r="EK8" s="928"/>
      <c r="EL8" s="1254"/>
      <c r="EM8" s="1337"/>
      <c r="EN8" s="928"/>
      <c r="EO8" s="928"/>
      <c r="EP8" s="928"/>
      <c r="EQ8" s="928"/>
      <c r="ER8" s="1316">
        <f>DE8</f>
        <v>3.5003149072234896E-2</v>
      </c>
      <c r="ES8" s="1316">
        <f>DF8</f>
        <v>9.0995731985248351E-2</v>
      </c>
      <c r="ET8" s="1316">
        <f>DG8</f>
        <v>2.1724179780735486E-2</v>
      </c>
      <c r="EU8" s="1316">
        <f>DH8</f>
        <v>-3.7431273367054985E-2</v>
      </c>
      <c r="EV8" s="1316">
        <f t="shared" ref="EV8:FC8" si="10">DJ8</f>
        <v>-0.13827322302057243</v>
      </c>
      <c r="EW8" s="1316">
        <f t="shared" si="10"/>
        <v>-0.17005963006570701</v>
      </c>
      <c r="EX8" s="1316">
        <f t="shared" si="10"/>
        <v>-5.2324200190053904E-2</v>
      </c>
      <c r="EY8" s="1316">
        <f t="shared" si="10"/>
        <v>8.4384329494910926E-3</v>
      </c>
      <c r="EZ8" s="1316">
        <f t="shared" si="10"/>
        <v>0</v>
      </c>
      <c r="FA8" s="1316">
        <f t="shared" si="10"/>
        <v>-0.28430973138868521</v>
      </c>
      <c r="FB8" s="1316">
        <f t="shared" si="10"/>
        <v>-0.33135025055488188</v>
      </c>
      <c r="FC8" s="1316">
        <f t="shared" si="10"/>
        <v>-0.13004240740353878</v>
      </c>
      <c r="FD8" s="928"/>
      <c r="FE8" s="928"/>
      <c r="FF8" s="1349"/>
      <c r="FG8" s="1340"/>
      <c r="FH8" s="1350"/>
      <c r="FI8" s="1351"/>
      <c r="FJ8" s="1608"/>
      <c r="FK8" s="1605"/>
      <c r="FL8" s="928"/>
      <c r="FM8" s="928"/>
      <c r="FN8" s="928"/>
      <c r="FO8" s="928"/>
      <c r="FP8" s="928"/>
      <c r="FQ8" s="928"/>
    </row>
    <row r="9" spans="1:173" ht="14.25" hidden="1" customHeight="1">
      <c r="A9" s="1352" t="s">
        <v>147</v>
      </c>
      <c r="B9" s="1342"/>
      <c r="C9" s="1342"/>
      <c r="D9" s="1342"/>
      <c r="E9" s="1342"/>
      <c r="F9" s="1342"/>
      <c r="G9" s="1345">
        <v>606.4</v>
      </c>
      <c r="H9" s="1343">
        <v>613.20000000000005</v>
      </c>
      <c r="I9" s="1343">
        <v>672.6</v>
      </c>
      <c r="J9" s="1343">
        <v>698.6</v>
      </c>
      <c r="K9" s="1346">
        <f>+SUM(G9:J9)</f>
        <v>2590.7999999999997</v>
      </c>
      <c r="L9" s="1343">
        <v>742.7</v>
      </c>
      <c r="M9" s="1343">
        <v>805.4</v>
      </c>
      <c r="N9" s="1343">
        <v>821.7</v>
      </c>
      <c r="O9" s="1343">
        <v>819.4</v>
      </c>
      <c r="P9" s="1346">
        <f>+SUM(L9:O9)</f>
        <v>3189.2000000000003</v>
      </c>
      <c r="Q9" s="1343">
        <v>870.9</v>
      </c>
      <c r="R9" s="1343">
        <v>881.7</v>
      </c>
      <c r="S9" s="1343">
        <v>872.3</v>
      </c>
      <c r="T9" s="1343">
        <f>3265.6-Q9-R9-S9</f>
        <v>640.69999999999982</v>
      </c>
      <c r="U9" s="1343">
        <f>+SUM(Q9:T9)</f>
        <v>3265.5999999999995</v>
      </c>
      <c r="V9" s="1345">
        <v>688.1</v>
      </c>
      <c r="W9" s="1343">
        <v>672</v>
      </c>
      <c r="X9" s="1343">
        <v>718.5</v>
      </c>
      <c r="Y9" s="1343">
        <f>2854.4-V9-W9-X9</f>
        <v>775.80000000000018</v>
      </c>
      <c r="Z9" s="1346">
        <f>+SUM(V9:Y9)</f>
        <v>2854.4</v>
      </c>
      <c r="AA9" s="1343">
        <v>821.8</v>
      </c>
      <c r="AB9" s="1343">
        <v>854.1</v>
      </c>
      <c r="AC9" s="1343">
        <v>935</v>
      </c>
      <c r="AD9" s="1343">
        <f>3595.4-AA9-AB9-AC9</f>
        <v>984.50000000000045</v>
      </c>
      <c r="AE9" s="1343">
        <f>Master!N44</f>
        <v>3595.4</v>
      </c>
      <c r="AF9" s="1345">
        <v>1077.9000000000001</v>
      </c>
      <c r="AG9" s="1343">
        <v>1150.3</v>
      </c>
      <c r="AH9" s="1343">
        <v>1125.8</v>
      </c>
      <c r="AI9" s="1343">
        <f>4399.3-AF9-AG9-AH9</f>
        <v>1045.3000000000004</v>
      </c>
      <c r="AJ9" s="1346">
        <f>Master!O44</f>
        <v>4399.3</v>
      </c>
      <c r="AK9" s="1343">
        <v>1042.3</v>
      </c>
      <c r="AL9" s="1343">
        <v>941.1</v>
      </c>
      <c r="AM9" s="1343">
        <v>929.7</v>
      </c>
      <c r="AN9" s="1343">
        <v>1145.0999999999999</v>
      </c>
      <c r="AO9" s="1346">
        <f>Master!P44</f>
        <v>4058</v>
      </c>
      <c r="AP9" s="1343">
        <v>1179.0999999999999</v>
      </c>
      <c r="AQ9" s="1343">
        <v>1200.8</v>
      </c>
      <c r="AR9" s="1343">
        <v>1182.8</v>
      </c>
      <c r="AS9" s="1343">
        <f>4814.3-AP9-AQ9-AR9</f>
        <v>1251.6000000000006</v>
      </c>
      <c r="AT9" s="1346">
        <f>Master!Q44</f>
        <v>4841</v>
      </c>
      <c r="AU9" s="1343">
        <v>1218.3</v>
      </c>
      <c r="AV9" s="1343">
        <v>1206</v>
      </c>
      <c r="AW9" s="1343">
        <v>1238.9000000000001</v>
      </c>
      <c r="AX9" s="1353">
        <v>1330</v>
      </c>
      <c r="AY9" s="1346">
        <f>Master!R44</f>
        <v>4939</v>
      </c>
      <c r="AZ9" s="1343">
        <v>1332.1</v>
      </c>
      <c r="BA9" s="1343">
        <v>1400.7</v>
      </c>
      <c r="BB9" s="1343">
        <v>1331.7</v>
      </c>
      <c r="BC9" s="1343">
        <f>BD9-AZ9-BA9-BB9</f>
        <v>1401.7000000000005</v>
      </c>
      <c r="BD9" s="1343">
        <f>Master!S44</f>
        <v>5466.2</v>
      </c>
      <c r="BE9" s="1345">
        <v>1344.8</v>
      </c>
      <c r="BF9" s="1343">
        <v>1329</v>
      </c>
      <c r="BG9" s="1343">
        <v>1323.9</v>
      </c>
      <c r="BH9" s="1343">
        <v>1392.5</v>
      </c>
      <c r="BI9" s="1346">
        <f>Master!T44</f>
        <v>5390.8</v>
      </c>
      <c r="BJ9" s="1345"/>
      <c r="BK9" s="1343"/>
      <c r="BL9" s="1343"/>
      <c r="BM9" s="1343"/>
      <c r="BN9" s="1346"/>
      <c r="BO9" s="1345"/>
      <c r="BP9" s="1343"/>
      <c r="BQ9" s="1343"/>
      <c r="BR9" s="1343"/>
      <c r="BS9" s="1346"/>
      <c r="BT9" s="1345"/>
      <c r="BU9" s="1343"/>
      <c r="BV9" s="1343"/>
      <c r="BW9" s="1343"/>
      <c r="BX9" s="1346"/>
      <c r="BY9" s="1343"/>
      <c r="BZ9" s="928"/>
      <c r="CA9" s="1355">
        <f t="shared" si="1"/>
        <v>0.22476912928759907</v>
      </c>
      <c r="CB9" s="1254">
        <f t="shared" si="1"/>
        <v>0.31343770384866265</v>
      </c>
      <c r="CC9" s="1254">
        <f t="shared" si="1"/>
        <v>0.22167707404103476</v>
      </c>
      <c r="CD9" s="1254">
        <f t="shared" si="1"/>
        <v>0.17291726309762367</v>
      </c>
      <c r="CE9" s="1415">
        <f t="shared" si="1"/>
        <v>0.23097112860892421</v>
      </c>
      <c r="CF9" s="1355">
        <f t="shared" si="1"/>
        <v>0.17261343745792379</v>
      </c>
      <c r="CG9" s="1254">
        <f t="shared" si="1"/>
        <v>9.4735535137819848E-2</v>
      </c>
      <c r="CH9" s="1254">
        <f t="shared" si="1"/>
        <v>6.1579651941097602E-2</v>
      </c>
      <c r="CI9" s="1254">
        <f t="shared" si="1"/>
        <v>-0.21808640468635609</v>
      </c>
      <c r="CJ9" s="1316">
        <f t="shared" si="1"/>
        <v>2.3955850997114947E-2</v>
      </c>
      <c r="CK9" s="1355">
        <f t="shared" si="1"/>
        <v>-0.20989780686645998</v>
      </c>
      <c r="CL9" s="1254">
        <f t="shared" si="1"/>
        <v>-0.23783599863899285</v>
      </c>
      <c r="CM9" s="1254">
        <f t="shared" si="1"/>
        <v>-0.17631548779089756</v>
      </c>
      <c r="CN9" s="1254">
        <f t="shared" si="1"/>
        <v>0.21086311846418049</v>
      </c>
      <c r="CO9" s="1337"/>
      <c r="CP9" s="1355">
        <f t="shared" si="2"/>
        <v>0.1943031536113935</v>
      </c>
      <c r="CQ9" s="1254">
        <f t="shared" si="2"/>
        <v>0.27098214285714284</v>
      </c>
      <c r="CR9" s="1254">
        <f t="shared" si="2"/>
        <v>0.30132219902574819</v>
      </c>
      <c r="CS9" s="1254">
        <f t="shared" si="2"/>
        <v>0.26901263212168103</v>
      </c>
      <c r="CT9" s="1337"/>
      <c r="CU9" s="1355">
        <f t="shared" si="3"/>
        <v>0.31163300073010491</v>
      </c>
      <c r="CV9" s="1254">
        <f t="shared" si="3"/>
        <v>0.34679779885259321</v>
      </c>
      <c r="CW9" s="1254">
        <f t="shared" si="3"/>
        <v>0.20406417112299469</v>
      </c>
      <c r="CX9" s="1254">
        <f t="shared" si="3"/>
        <v>6.1757237176231605E-2</v>
      </c>
      <c r="CY9" s="1337"/>
      <c r="CZ9" s="1355">
        <f t="shared" si="4"/>
        <v>-3.3027182484460682E-2</v>
      </c>
      <c r="DA9" s="1254">
        <f t="shared" si="4"/>
        <v>-0.18186560027818821</v>
      </c>
      <c r="DB9" s="1254">
        <f t="shared" si="4"/>
        <v>-0.17418724462604362</v>
      </c>
      <c r="DC9" s="1254">
        <f t="shared" si="4"/>
        <v>9.5474983258394097E-2</v>
      </c>
      <c r="DD9" s="1337"/>
      <c r="DE9" s="1355">
        <f t="shared" si="5"/>
        <v>0.13124820109373503</v>
      </c>
      <c r="DF9" s="1254">
        <f t="shared" si="5"/>
        <v>0.27595367123578773</v>
      </c>
      <c r="DG9" s="1254">
        <f t="shared" si="5"/>
        <v>0.27223835645907268</v>
      </c>
      <c r="DH9" s="1254">
        <f t="shared" si="5"/>
        <v>9.3004977731203198E-2</v>
      </c>
      <c r="DI9" s="928"/>
      <c r="DJ9" s="1347">
        <f t="shared" si="6"/>
        <v>3.324569586973114E-2</v>
      </c>
      <c r="DK9" s="1316">
        <f t="shared" si="6"/>
        <v>4.3304463690874151E-3</v>
      </c>
      <c r="DL9" s="1316">
        <f t="shared" si="6"/>
        <v>4.7429827527899926E-2</v>
      </c>
      <c r="DM9" s="1316">
        <f t="shared" si="6"/>
        <v>6.2639821029082166E-2</v>
      </c>
      <c r="DN9" s="1337"/>
      <c r="DO9" s="1347">
        <f t="shared" si="7"/>
        <v>9.3408848395304833E-2</v>
      </c>
      <c r="DP9" s="1316">
        <f t="shared" si="7"/>
        <v>0.16144278606965168</v>
      </c>
      <c r="DQ9" s="1316">
        <f t="shared" si="7"/>
        <v>7.4905157801275379E-2</v>
      </c>
      <c r="DR9" s="1316">
        <f t="shared" si="7"/>
        <v>5.3909774436090574E-2</v>
      </c>
      <c r="DS9" s="1337"/>
      <c r="DT9" s="1316">
        <f t="shared" si="8"/>
        <v>9.5338187823736931E-3</v>
      </c>
      <c r="DU9" s="1316">
        <f t="shared" si="8"/>
        <v>-5.1188691368601491E-2</v>
      </c>
      <c r="DV9" s="1316">
        <f t="shared" si="8"/>
        <v>-5.8571750394232902E-3</v>
      </c>
      <c r="DW9" s="1316">
        <f t="shared" si="8"/>
        <v>-6.5634586573449782E-3</v>
      </c>
      <c r="DX9" s="928"/>
      <c r="DY9" s="1338"/>
      <c r="DZ9" s="928"/>
      <c r="EA9" s="928"/>
      <c r="EB9" s="1254"/>
      <c r="EC9" s="1337"/>
      <c r="ED9" s="1338"/>
      <c r="EE9" s="928"/>
      <c r="EF9" s="928"/>
      <c r="EG9" s="1254"/>
      <c r="EH9" s="1337"/>
      <c r="EI9" s="928"/>
      <c r="EJ9" s="928"/>
      <c r="EK9" s="928"/>
      <c r="EL9" s="1254"/>
      <c r="EM9" s="1337"/>
      <c r="EN9" s="928"/>
      <c r="EO9" s="928"/>
      <c r="EP9" s="928"/>
      <c r="EQ9" s="928"/>
      <c r="ER9" s="928"/>
      <c r="ES9" s="928"/>
      <c r="ET9" s="928"/>
      <c r="EU9" s="928"/>
      <c r="EV9" s="928"/>
      <c r="EW9" s="928"/>
      <c r="EX9" s="928"/>
      <c r="EY9" s="928"/>
      <c r="EZ9" s="928"/>
      <c r="FA9" s="928"/>
      <c r="FB9" s="928"/>
      <c r="FC9" s="928"/>
      <c r="FD9" s="928"/>
      <c r="FE9" s="928"/>
      <c r="FF9" s="1349"/>
      <c r="FG9" s="1340"/>
      <c r="FH9" s="1350"/>
      <c r="FI9" s="1351"/>
      <c r="FJ9" s="1608"/>
      <c r="FK9" s="1605"/>
      <c r="FL9" s="928"/>
      <c r="FM9" s="928"/>
      <c r="FN9" s="928"/>
      <c r="FO9" s="928"/>
      <c r="FP9" s="928"/>
      <c r="FQ9" s="928"/>
    </row>
    <row r="10" spans="1:173" ht="14.25" hidden="1" customHeight="1">
      <c r="A10" s="1352" t="s">
        <v>148</v>
      </c>
      <c r="B10" s="1342"/>
      <c r="C10" s="1342"/>
      <c r="D10" s="1342"/>
      <c r="E10" s="1342"/>
      <c r="F10" s="1342"/>
      <c r="G10" s="1345">
        <v>958.7</v>
      </c>
      <c r="H10" s="1343">
        <v>1069.3</v>
      </c>
      <c r="I10" s="1343">
        <v>1265.3</v>
      </c>
      <c r="J10" s="1343">
        <v>1595.4</v>
      </c>
      <c r="K10" s="1346">
        <f>+SUM(G10:J10)</f>
        <v>4888.7000000000007</v>
      </c>
      <c r="L10" s="1343">
        <v>1194.3</v>
      </c>
      <c r="M10" s="1343">
        <v>1473.1</v>
      </c>
      <c r="N10" s="1343">
        <v>1408.4</v>
      </c>
      <c r="O10" s="1343">
        <v>1683.1</v>
      </c>
      <c r="P10" s="1346">
        <f>+SUM(L10:O10)</f>
        <v>5758.9</v>
      </c>
      <c r="Q10" s="1343">
        <v>1269.5</v>
      </c>
      <c r="R10" s="1343">
        <v>1448.6</v>
      </c>
      <c r="S10" s="1343">
        <v>1495</v>
      </c>
      <c r="T10" s="1343">
        <f>5689.5-Q10-R10-S10</f>
        <v>1476.4</v>
      </c>
      <c r="U10" s="1343">
        <f>+SUM(Q10:T10)</f>
        <v>5689.5</v>
      </c>
      <c r="V10" s="1345">
        <v>1401.1</v>
      </c>
      <c r="W10" s="1354">
        <f>1668.9+9*X180</f>
        <v>1786.97235</v>
      </c>
      <c r="X10" s="1354">
        <f>1757-9*X180</f>
        <v>1638.9276500000001</v>
      </c>
      <c r="Y10" s="1343">
        <f>6548-V10-W10-X10</f>
        <v>1720.9999999999995</v>
      </c>
      <c r="Z10" s="1346">
        <f>+SUM(V10:Y10)</f>
        <v>6548</v>
      </c>
      <c r="AA10" s="1343">
        <v>1575.3</v>
      </c>
      <c r="AB10" s="1343">
        <v>1830.4</v>
      </c>
      <c r="AC10" s="1343">
        <v>2211</v>
      </c>
      <c r="AD10" s="1343">
        <f>7707.9-AA10-AB10-AC10</f>
        <v>2091.1999999999989</v>
      </c>
      <c r="AE10" s="1343">
        <f>Master!N45</f>
        <v>7707.9</v>
      </c>
      <c r="AF10" s="1345">
        <v>1969.8</v>
      </c>
      <c r="AG10" s="1343">
        <v>2291.6999999999998</v>
      </c>
      <c r="AH10" s="1343">
        <v>2152.6</v>
      </c>
      <c r="AI10" s="1343">
        <f>9064.2-AF10-AG10-AH10</f>
        <v>2650.1000000000008</v>
      </c>
      <c r="AJ10" s="1346">
        <f>Master!O45</f>
        <v>9064.2000000000007</v>
      </c>
      <c r="AK10" s="1343">
        <v>2120.1999999999998</v>
      </c>
      <c r="AL10" s="1343">
        <v>2308.1999999999998</v>
      </c>
      <c r="AM10" s="1343">
        <v>2151.5</v>
      </c>
      <c r="AN10" s="1343">
        <v>2640.2</v>
      </c>
      <c r="AO10" s="1346">
        <f>Master!P45</f>
        <v>9220</v>
      </c>
      <c r="AP10" s="1343">
        <v>2447.6</v>
      </c>
      <c r="AQ10" s="1343">
        <v>2781.3</v>
      </c>
      <c r="AR10" s="1343">
        <v>2466</v>
      </c>
      <c r="AS10" s="1343">
        <f>10520.9-AP10-AQ10-AR10</f>
        <v>2825.9999999999991</v>
      </c>
      <c r="AT10" s="1346">
        <f>Master!Q45</f>
        <v>10521</v>
      </c>
      <c r="AU10" s="1343">
        <v>2284.6999999999998</v>
      </c>
      <c r="AV10" s="1343">
        <v>2473.6999999999998</v>
      </c>
      <c r="AW10" s="1343">
        <v>2633.5</v>
      </c>
      <c r="AX10" s="1353">
        <v>3216</v>
      </c>
      <c r="AY10" s="1346">
        <f>Master!R45</f>
        <v>10436</v>
      </c>
      <c r="AZ10" s="1343">
        <v>2760.4</v>
      </c>
      <c r="BA10" s="1343">
        <v>2417.6999999999998</v>
      </c>
      <c r="BB10" s="1343">
        <v>2537.3000000000002</v>
      </c>
      <c r="BC10" s="1343">
        <f>BD10-AZ10-BA10-BB10</f>
        <v>3081.6000000000004</v>
      </c>
      <c r="BD10" s="1343">
        <f>Master!S45</f>
        <v>10797</v>
      </c>
      <c r="BE10" s="1345">
        <v>2696.4</v>
      </c>
      <c r="BF10" s="1343">
        <v>2667</v>
      </c>
      <c r="BG10" s="1343">
        <v>2962.1</v>
      </c>
      <c r="BH10" s="1343">
        <v>3063.6</v>
      </c>
      <c r="BI10" s="1346">
        <f>Master!T45</f>
        <v>11389.1</v>
      </c>
      <c r="BJ10" s="1345"/>
      <c r="BK10" s="1343"/>
      <c r="BL10" s="1343"/>
      <c r="BM10" s="1343"/>
      <c r="BN10" s="1346"/>
      <c r="BO10" s="1345"/>
      <c r="BP10" s="1343"/>
      <c r="BQ10" s="1343"/>
      <c r="BR10" s="1343"/>
      <c r="BS10" s="1346"/>
      <c r="BT10" s="1345"/>
      <c r="BU10" s="1343"/>
      <c r="BV10" s="1343"/>
      <c r="BW10" s="1343"/>
      <c r="BX10" s="1346"/>
      <c r="BY10" s="1544"/>
      <c r="BZ10" s="928"/>
      <c r="CA10" s="1355">
        <f t="shared" si="1"/>
        <v>0.24574945238343582</v>
      </c>
      <c r="CB10" s="1254">
        <f t="shared" si="1"/>
        <v>0.37763022538109037</v>
      </c>
      <c r="CC10" s="1254">
        <f t="shared" si="1"/>
        <v>0.11309570852762207</v>
      </c>
      <c r="CD10" s="1254">
        <f t="shared" si="1"/>
        <v>5.4970540303372006E-2</v>
      </c>
      <c r="CE10" s="1415">
        <f t="shared" si="1"/>
        <v>0.17800233190827797</v>
      </c>
      <c r="CF10" s="1355">
        <f t="shared" si="1"/>
        <v>6.2965753998157847E-2</v>
      </c>
      <c r="CG10" s="1254">
        <f t="shared" si="1"/>
        <v>-1.6631593238748188E-2</v>
      </c>
      <c r="CH10" s="1254">
        <f t="shared" si="1"/>
        <v>6.1488213575688677E-2</v>
      </c>
      <c r="CI10" s="1254">
        <f t="shared" si="1"/>
        <v>-0.1228091022517972</v>
      </c>
      <c r="CJ10" s="1316">
        <f t="shared" si="1"/>
        <v>-1.2050912500651156E-2</v>
      </c>
      <c r="CK10" s="1355">
        <f t="shared" si="1"/>
        <v>0.10366285939346187</v>
      </c>
      <c r="CL10" s="1254">
        <f t="shared" si="1"/>
        <v>0.23358577246997103</v>
      </c>
      <c r="CM10" s="1254">
        <f t="shared" si="1"/>
        <v>9.6272675585284295E-2</v>
      </c>
      <c r="CN10" s="1254">
        <f t="shared" si="1"/>
        <v>0.16567325927932774</v>
      </c>
      <c r="CO10" s="1337"/>
      <c r="CP10" s="1355">
        <f t="shared" si="2"/>
        <v>0.12433088287773897</v>
      </c>
      <c r="CQ10" s="1254">
        <f t="shared" si="2"/>
        <v>2.4302362596712923E-2</v>
      </c>
      <c r="CR10" s="1254">
        <f t="shared" si="2"/>
        <v>0.34905283951979205</v>
      </c>
      <c r="CS10" s="1254">
        <f t="shared" si="2"/>
        <v>0.21510749564206821</v>
      </c>
      <c r="CT10" s="1337"/>
      <c r="CU10" s="1355">
        <f t="shared" si="3"/>
        <v>0.25042848981146459</v>
      </c>
      <c r="CV10" s="1254">
        <f t="shared" si="3"/>
        <v>0.25202141608391582</v>
      </c>
      <c r="CW10" s="1254">
        <f t="shared" si="3"/>
        <v>-2.6413387607417516E-2</v>
      </c>
      <c r="CX10" s="1254">
        <f t="shared" si="3"/>
        <v>0.26726281560826415</v>
      </c>
      <c r="CY10" s="1337"/>
      <c r="CZ10" s="1355">
        <f t="shared" si="4"/>
        <v>7.6352929231394029E-2</v>
      </c>
      <c r="DA10" s="1254">
        <f t="shared" si="4"/>
        <v>7.1998952742504674E-3</v>
      </c>
      <c r="DB10" s="1254">
        <f t="shared" si="4"/>
        <v>-5.1100994146613399E-4</v>
      </c>
      <c r="DC10" s="1254">
        <f t="shared" si="4"/>
        <v>-3.7357080864877101E-3</v>
      </c>
      <c r="DD10" s="1337"/>
      <c r="DE10" s="1355">
        <f t="shared" si="5"/>
        <v>0.15441939439675512</v>
      </c>
      <c r="DF10" s="1254">
        <f t="shared" si="5"/>
        <v>0.20496490772030174</v>
      </c>
      <c r="DG10" s="1254">
        <f t="shared" si="5"/>
        <v>0.14617708575412514</v>
      </c>
      <c r="DH10" s="1254">
        <f t="shared" si="5"/>
        <v>7.0373456556321212E-2</v>
      </c>
      <c r="DI10" s="928"/>
      <c r="DJ10" s="1347">
        <f t="shared" si="6"/>
        <v>-6.6554992645857181E-2</v>
      </c>
      <c r="DK10" s="1316">
        <f t="shared" si="6"/>
        <v>-0.11059576457052467</v>
      </c>
      <c r="DL10" s="1316">
        <f t="shared" si="6"/>
        <v>6.792376317923754E-2</v>
      </c>
      <c r="DM10" s="1316">
        <f t="shared" si="6"/>
        <v>0.13800424628450148</v>
      </c>
      <c r="DN10" s="1337"/>
      <c r="DO10" s="1347">
        <f t="shared" si="7"/>
        <v>0.2082111436950147</v>
      </c>
      <c r="DP10" s="1316">
        <f t="shared" si="7"/>
        <v>-2.2638153373489067E-2</v>
      </c>
      <c r="DQ10" s="1316">
        <f t="shared" si="7"/>
        <v>-3.6529333586481805E-2</v>
      </c>
      <c r="DR10" s="1316">
        <f t="shared" si="7"/>
        <v>-4.1791044776119279E-2</v>
      </c>
      <c r="DS10" s="1337"/>
      <c r="DT10" s="1316">
        <f t="shared" si="8"/>
        <v>-2.3185045645558566E-2</v>
      </c>
      <c r="DU10" s="1316">
        <f t="shared" si="8"/>
        <v>0.10311453033875173</v>
      </c>
      <c r="DV10" s="1316">
        <f t="shared" si="8"/>
        <v>0.16742206282268546</v>
      </c>
      <c r="DW10" s="1316">
        <f t="shared" si="8"/>
        <v>-5.8411214953272284E-3</v>
      </c>
      <c r="DX10" s="928"/>
      <c r="DY10" s="1338"/>
      <c r="DZ10" s="928"/>
      <c r="EA10" s="928"/>
      <c r="EB10" s="1254"/>
      <c r="EC10" s="1337"/>
      <c r="ED10" s="1338"/>
      <c r="EE10" s="928"/>
      <c r="EF10" s="928"/>
      <c r="EG10" s="1254"/>
      <c r="EH10" s="1337"/>
      <c r="EI10" s="928"/>
      <c r="EJ10" s="928"/>
      <c r="EK10" s="928"/>
      <c r="EL10" s="1254"/>
      <c r="EM10" s="1337"/>
      <c r="EN10" s="928"/>
      <c r="EO10" s="928"/>
      <c r="EP10" s="928"/>
      <c r="EQ10" s="928"/>
      <c r="ER10" s="928"/>
      <c r="ES10" s="928"/>
      <c r="ET10" s="928"/>
      <c r="EU10" s="928"/>
      <c r="EV10" s="928"/>
      <c r="EW10" s="928"/>
      <c r="EX10" s="928"/>
      <c r="EY10" s="928"/>
      <c r="EZ10" s="928"/>
      <c r="FA10" s="928"/>
      <c r="FB10" s="928"/>
      <c r="FC10" s="928"/>
      <c r="FD10" s="928"/>
      <c r="FE10" s="928"/>
      <c r="FF10" s="1349"/>
      <c r="FG10" s="1340"/>
      <c r="FH10" s="1350"/>
      <c r="FI10" s="1351"/>
      <c r="FJ10" s="1608"/>
      <c r="FK10" s="1605"/>
      <c r="FL10" s="928"/>
      <c r="FM10" s="928"/>
      <c r="FN10" s="928"/>
      <c r="FO10" s="928"/>
      <c r="FP10" s="928"/>
      <c r="FQ10" s="928"/>
    </row>
    <row r="11" spans="1:173" ht="14.25" hidden="1" customHeight="1">
      <c r="A11" s="1352" t="s">
        <v>4326</v>
      </c>
      <c r="B11" s="1342"/>
      <c r="C11" s="1342"/>
      <c r="D11" s="1342"/>
      <c r="E11" s="1342"/>
      <c r="F11" s="1342"/>
      <c r="G11" s="1345"/>
      <c r="H11" s="1343"/>
      <c r="I11" s="1343"/>
      <c r="J11" s="1343"/>
      <c r="K11" s="1346"/>
      <c r="L11" s="1343"/>
      <c r="M11" s="1343"/>
      <c r="N11" s="1343"/>
      <c r="O11" s="1343"/>
      <c r="P11" s="1346"/>
      <c r="Q11" s="1343"/>
      <c r="R11" s="1343"/>
      <c r="S11" s="1343"/>
      <c r="T11" s="1343"/>
      <c r="U11" s="1343"/>
      <c r="V11" s="1345"/>
      <c r="W11" s="1343"/>
      <c r="X11" s="1343"/>
      <c r="Y11" s="1343"/>
      <c r="Z11" s="1346"/>
      <c r="AA11" s="1343"/>
      <c r="AB11" s="1343"/>
      <c r="AC11" s="1343"/>
      <c r="AD11" s="1343"/>
      <c r="AE11" s="1343"/>
      <c r="AF11" s="1345"/>
      <c r="AG11" s="1343"/>
      <c r="AH11" s="1343"/>
      <c r="AI11" s="1343"/>
      <c r="AJ11" s="1346"/>
      <c r="AK11" s="1343"/>
      <c r="AL11" s="1343"/>
      <c r="AM11" s="1343"/>
      <c r="AN11" s="1343"/>
      <c r="AO11" s="1346"/>
      <c r="AP11" s="1343">
        <v>0</v>
      </c>
      <c r="AQ11" s="1343">
        <v>1723.5</v>
      </c>
      <c r="AR11" s="1343">
        <v>1010.1</v>
      </c>
      <c r="AS11" s="1343">
        <v>0</v>
      </c>
      <c r="AT11" s="1346">
        <f>Master!Q46</f>
        <v>2734</v>
      </c>
      <c r="AU11" s="1343"/>
      <c r="AV11" s="1343"/>
      <c r="AW11" s="1343"/>
      <c r="AX11" s="1343"/>
      <c r="AY11" s="1346"/>
      <c r="AZ11" s="1343"/>
      <c r="BA11" s="1343"/>
      <c r="BB11" s="1343"/>
      <c r="BC11" s="1343"/>
      <c r="BD11" s="1343"/>
      <c r="BE11" s="1345"/>
      <c r="BF11" s="1343"/>
      <c r="BG11" s="1343"/>
      <c r="BH11" s="1343"/>
      <c r="BI11" s="1346"/>
      <c r="BJ11" s="1345"/>
      <c r="BK11" s="1343"/>
      <c r="BL11" s="1343"/>
      <c r="BM11" s="1343"/>
      <c r="BN11" s="1346"/>
      <c r="BO11" s="1345"/>
      <c r="BP11" s="1343"/>
      <c r="BQ11" s="1343"/>
      <c r="BR11" s="1343"/>
      <c r="BS11" s="1346"/>
      <c r="BT11" s="1345"/>
      <c r="BU11" s="1343"/>
      <c r="BV11" s="1343"/>
      <c r="BW11" s="1343"/>
      <c r="BX11" s="1346"/>
      <c r="BY11" s="1544"/>
      <c r="BZ11" s="928"/>
      <c r="CA11" s="1355"/>
      <c r="CB11" s="1254"/>
      <c r="CC11" s="1254"/>
      <c r="CD11" s="1254"/>
      <c r="CE11" s="1415"/>
      <c r="CF11" s="1355"/>
      <c r="CG11" s="1254"/>
      <c r="CH11" s="1254"/>
      <c r="CI11" s="1254"/>
      <c r="CJ11" s="1316"/>
      <c r="CK11" s="1355"/>
      <c r="CL11" s="1254"/>
      <c r="CM11" s="1254"/>
      <c r="CN11" s="1254"/>
      <c r="CO11" s="1337"/>
      <c r="CP11" s="1355"/>
      <c r="CQ11" s="1254"/>
      <c r="CR11" s="1254"/>
      <c r="CS11" s="1254"/>
      <c r="CT11" s="1337"/>
      <c r="CU11" s="1355"/>
      <c r="CV11" s="1254"/>
      <c r="CW11" s="1254"/>
      <c r="CX11" s="1254"/>
      <c r="CY11" s="1337"/>
      <c r="CZ11" s="1355"/>
      <c r="DA11" s="1254"/>
      <c r="DB11" s="1254"/>
      <c r="DC11" s="1254"/>
      <c r="DD11" s="1337"/>
      <c r="DE11" s="1355"/>
      <c r="DF11" s="1254"/>
      <c r="DG11" s="1254"/>
      <c r="DH11" s="1254"/>
      <c r="DI11" s="928"/>
      <c r="DJ11" s="1355"/>
      <c r="DK11" s="1254"/>
      <c r="DL11" s="1254"/>
      <c r="DM11" s="1254"/>
      <c r="DN11" s="1337"/>
      <c r="DO11" s="1355"/>
      <c r="DP11" s="1254"/>
      <c r="DQ11" s="1254"/>
      <c r="DR11" s="1254"/>
      <c r="DS11" s="1337"/>
      <c r="DT11" s="1254"/>
      <c r="DU11" s="1254"/>
      <c r="DV11" s="928"/>
      <c r="DW11" s="928"/>
      <c r="DX11" s="928"/>
      <c r="DY11" s="1338"/>
      <c r="DZ11" s="928"/>
      <c r="EA11" s="928"/>
      <c r="EB11" s="928"/>
      <c r="EC11" s="1337"/>
      <c r="ED11" s="1338"/>
      <c r="EE11" s="928"/>
      <c r="EF11" s="928"/>
      <c r="EG11" s="928"/>
      <c r="EH11" s="1337"/>
      <c r="EI11" s="928"/>
      <c r="EJ11" s="928"/>
      <c r="EK11" s="928"/>
      <c r="EL11" s="928"/>
      <c r="EM11" s="1337"/>
      <c r="EN11" s="928"/>
      <c r="EO11" s="928"/>
      <c r="EP11" s="928"/>
      <c r="EQ11" s="928"/>
      <c r="ER11" s="928"/>
      <c r="ES11" s="928"/>
      <c r="ET11" s="928"/>
      <c r="EU11" s="928"/>
      <c r="EV11" s="928"/>
      <c r="EW11" s="928"/>
      <c r="EX11" s="928"/>
      <c r="EY11" s="928"/>
      <c r="EZ11" s="928"/>
      <c r="FA11" s="928"/>
      <c r="FB11" s="928"/>
      <c r="FC11" s="928"/>
      <c r="FD11" s="928"/>
      <c r="FE11" s="928"/>
      <c r="FF11" s="1349"/>
      <c r="FG11" s="1340"/>
      <c r="FH11" s="1350"/>
      <c r="FI11" s="1319"/>
      <c r="FJ11" s="1608"/>
      <c r="FK11" s="1605"/>
      <c r="FL11" s="928"/>
      <c r="FM11" s="928"/>
      <c r="FN11" s="928"/>
      <c r="FO11" s="928"/>
      <c r="FP11" s="928"/>
      <c r="FQ11" s="928"/>
    </row>
    <row r="12" spans="1:173" ht="14.25" hidden="1" customHeight="1">
      <c r="A12" s="1344" t="s">
        <v>25</v>
      </c>
      <c r="B12" s="1342"/>
      <c r="C12" s="1342"/>
      <c r="D12" s="1342"/>
      <c r="E12" s="1342"/>
      <c r="F12" s="1342"/>
      <c r="G12" s="1345">
        <v>609.70000000000005</v>
      </c>
      <c r="H12" s="1343">
        <v>795.8</v>
      </c>
      <c r="I12" s="1343">
        <v>810.9</v>
      </c>
      <c r="J12" s="1343">
        <v>975.4</v>
      </c>
      <c r="K12" s="1346">
        <f>+SUM(G12:J12)</f>
        <v>3191.8</v>
      </c>
      <c r="L12" s="1343">
        <v>695.6</v>
      </c>
      <c r="M12" s="1343">
        <v>928.7</v>
      </c>
      <c r="N12" s="1343">
        <v>828.3</v>
      </c>
      <c r="O12" s="1343">
        <v>1000.3</v>
      </c>
      <c r="P12" s="1346">
        <f>+SUM(L12:O12)</f>
        <v>3452.9000000000005</v>
      </c>
      <c r="Q12" s="1343">
        <v>666.5</v>
      </c>
      <c r="R12" s="1343">
        <v>838.7</v>
      </c>
      <c r="S12" s="1343">
        <v>785.4</v>
      </c>
      <c r="T12" s="1343">
        <f>3218.3-Q12-R12-S12</f>
        <v>927.70000000000016</v>
      </c>
      <c r="U12" s="1343">
        <f>+SUM(Q12:T12)</f>
        <v>3218.3</v>
      </c>
      <c r="V12" s="1345"/>
      <c r="W12" s="1343"/>
      <c r="X12" s="1343"/>
      <c r="Y12" s="1343"/>
      <c r="Z12" s="1346"/>
      <c r="AA12" s="1343"/>
      <c r="AB12" s="1343"/>
      <c r="AC12" s="1343"/>
      <c r="AD12" s="1343"/>
      <c r="AE12" s="1343"/>
      <c r="AF12" s="1345"/>
      <c r="AG12" s="1343"/>
      <c r="AH12" s="1343"/>
      <c r="AI12" s="1343"/>
      <c r="AJ12" s="1346"/>
      <c r="AK12" s="1343"/>
      <c r="AL12" s="1343"/>
      <c r="AM12" s="1343"/>
      <c r="AN12" s="1343"/>
      <c r="AO12" s="1346"/>
      <c r="AP12" s="1343"/>
      <c r="AQ12" s="1343"/>
      <c r="AR12" s="1343"/>
      <c r="AS12" s="1343"/>
      <c r="AT12" s="1346"/>
      <c r="AU12" s="1343"/>
      <c r="AV12" s="1343"/>
      <c r="AW12" s="1343"/>
      <c r="AX12" s="1343"/>
      <c r="AY12" s="1346"/>
      <c r="AZ12" s="1343"/>
      <c r="BA12" s="1343"/>
      <c r="BB12" s="1343"/>
      <c r="BC12" s="1343"/>
      <c r="BD12" s="1343"/>
      <c r="BE12" s="1345"/>
      <c r="BF12" s="1343"/>
      <c r="BG12" s="1343"/>
      <c r="BH12" s="1343"/>
      <c r="BI12" s="1346"/>
      <c r="BJ12" s="1345"/>
      <c r="BK12" s="1343"/>
      <c r="BL12" s="1343"/>
      <c r="BM12" s="1343"/>
      <c r="BN12" s="1346"/>
      <c r="BO12" s="1345"/>
      <c r="BP12" s="1343"/>
      <c r="BQ12" s="1343"/>
      <c r="BR12" s="1356"/>
      <c r="BS12" s="1346"/>
      <c r="BT12" s="1345"/>
      <c r="BU12" s="1343"/>
      <c r="BV12" s="1343"/>
      <c r="BW12" s="1356"/>
      <c r="BX12" s="1346"/>
      <c r="BY12" s="1544"/>
      <c r="BZ12" s="928"/>
      <c r="CA12" s="1355">
        <f t="shared" ref="CA12:CD18" si="11">L12/G12-1</f>
        <v>0.14088896178448418</v>
      </c>
      <c r="CB12" s="1254">
        <f t="shared" si="11"/>
        <v>0.16700175923598914</v>
      </c>
      <c r="CC12" s="1254">
        <f t="shared" si="11"/>
        <v>2.1457639659637318E-2</v>
      </c>
      <c r="CD12" s="1254">
        <f t="shared" si="11"/>
        <v>2.5527988517531242E-2</v>
      </c>
      <c r="CE12" s="1415"/>
      <c r="CF12" s="1355">
        <f t="shared" ref="CF12:CI18" si="12">Q12/L12-1</f>
        <v>-4.1834387579068433E-2</v>
      </c>
      <c r="CG12" s="1254">
        <f t="shared" si="12"/>
        <v>-9.6909658662646669E-2</v>
      </c>
      <c r="CH12" s="1254">
        <f t="shared" si="12"/>
        <v>-5.1792828685258918E-2</v>
      </c>
      <c r="CI12" s="1254">
        <f t="shared" si="12"/>
        <v>-7.2578226532040158E-2</v>
      </c>
      <c r="CJ12" s="1316"/>
      <c r="CK12" s="1355"/>
      <c r="CL12" s="1254"/>
      <c r="CM12" s="1254"/>
      <c r="CN12" s="1254"/>
      <c r="CO12" s="1337"/>
      <c r="CP12" s="1338"/>
      <c r="CQ12" s="928"/>
      <c r="CR12" s="928"/>
      <c r="CS12" s="928"/>
      <c r="CT12" s="1337"/>
      <c r="CU12" s="1338"/>
      <c r="CV12" s="928"/>
      <c r="CW12" s="928"/>
      <c r="CX12" s="928"/>
      <c r="CY12" s="1337"/>
      <c r="CZ12" s="1338"/>
      <c r="DA12" s="928"/>
      <c r="DB12" s="928"/>
      <c r="DC12" s="928"/>
      <c r="DD12" s="1337"/>
      <c r="DE12" s="1338"/>
      <c r="DF12" s="928"/>
      <c r="DG12" s="928"/>
      <c r="DH12" s="928"/>
      <c r="DI12" s="928"/>
      <c r="DJ12" s="1347"/>
      <c r="DK12" s="1316"/>
      <c r="DL12" s="1316"/>
      <c r="DM12" s="1316"/>
      <c r="DN12" s="1337"/>
      <c r="DO12" s="1347"/>
      <c r="DP12" s="1316"/>
      <c r="DQ12" s="1316"/>
      <c r="DR12" s="1316"/>
      <c r="DS12" s="1337"/>
      <c r="DT12" s="1316"/>
      <c r="DU12" s="1316"/>
      <c r="DV12" s="928"/>
      <c r="DW12" s="928"/>
      <c r="DX12" s="928"/>
      <c r="DY12" s="1338"/>
      <c r="DZ12" s="928"/>
      <c r="EA12" s="928"/>
      <c r="EB12" s="928"/>
      <c r="EC12" s="1337"/>
      <c r="ED12" s="1338"/>
      <c r="EE12" s="928"/>
      <c r="EF12" s="928"/>
      <c r="EG12" s="928"/>
      <c r="EH12" s="1337"/>
      <c r="EI12" s="928"/>
      <c r="EJ12" s="928"/>
      <c r="EK12" s="928"/>
      <c r="EL12" s="928"/>
      <c r="EM12" s="1337"/>
      <c r="EN12" s="928"/>
      <c r="EO12" s="928"/>
      <c r="EP12" s="928"/>
      <c r="EQ12" s="1357"/>
      <c r="ER12" s="1358" t="s">
        <v>3805</v>
      </c>
      <c r="ES12" s="1358" t="s">
        <v>3806</v>
      </c>
      <c r="ET12" s="1358" t="s">
        <v>3807</v>
      </c>
      <c r="EU12" s="1358" t="s">
        <v>3808</v>
      </c>
      <c r="EV12" s="1358" t="s">
        <v>4551</v>
      </c>
      <c r="EW12" s="1358" t="s">
        <v>4594</v>
      </c>
      <c r="EX12" s="1358" t="s">
        <v>4595</v>
      </c>
      <c r="EY12" s="1358" t="s">
        <v>4596</v>
      </c>
      <c r="EZ12" s="1358" t="s">
        <v>5307</v>
      </c>
      <c r="FA12" s="1358" t="s">
        <v>5308</v>
      </c>
      <c r="FB12" s="1358" t="s">
        <v>5309</v>
      </c>
      <c r="FC12" s="1358" t="s">
        <v>5310</v>
      </c>
      <c r="FD12" s="928"/>
      <c r="FE12" s="928"/>
      <c r="FF12" s="1349"/>
      <c r="FG12" s="1340"/>
      <c r="FH12" s="1350"/>
      <c r="FI12" s="1319"/>
      <c r="FJ12" s="1608"/>
      <c r="FK12" s="1605"/>
      <c r="FL12" s="928"/>
      <c r="FM12" s="928"/>
      <c r="FN12" s="928"/>
      <c r="FO12" s="928"/>
      <c r="FP12" s="928"/>
      <c r="FQ12" s="928"/>
    </row>
    <row r="13" spans="1:173" ht="14.25" customHeight="1">
      <c r="A13" s="1344" t="s">
        <v>128</v>
      </c>
      <c r="B13" s="1342"/>
      <c r="C13" s="1342"/>
      <c r="D13" s="1342"/>
      <c r="E13" s="1342"/>
      <c r="F13" s="1342"/>
      <c r="G13" s="1345">
        <v>3028.9</v>
      </c>
      <c r="H13" s="1343">
        <v>3122.4</v>
      </c>
      <c r="I13" s="1343">
        <v>3131.7</v>
      </c>
      <c r="J13" s="1343">
        <v>3196.2</v>
      </c>
      <c r="K13" s="1346">
        <f>+SUM(G13:J13)</f>
        <v>12479.2</v>
      </c>
      <c r="L13" s="1343">
        <v>3386.7</v>
      </c>
      <c r="M13" s="1343">
        <v>3545.5</v>
      </c>
      <c r="N13" s="1343">
        <v>3722.7</v>
      </c>
      <c r="O13" s="1343">
        <v>3810.5</v>
      </c>
      <c r="P13" s="1346">
        <f>+SUM(L13:O13)</f>
        <v>14465.4</v>
      </c>
      <c r="Q13" s="1343">
        <v>3826.8</v>
      </c>
      <c r="R13" s="1343">
        <v>4000.9</v>
      </c>
      <c r="S13" s="1343">
        <v>4089.8</v>
      </c>
      <c r="T13" s="1343">
        <f>16098.3-Q13-R13-S13</f>
        <v>4180.8</v>
      </c>
      <c r="U13" s="1343">
        <f>+SUM(Q13:T13)</f>
        <v>16098.3</v>
      </c>
      <c r="V13" s="1345">
        <v>4199.2</v>
      </c>
      <c r="W13" s="1343">
        <v>4333.1000000000004</v>
      </c>
      <c r="X13" s="1343">
        <v>4476.8</v>
      </c>
      <c r="Y13" s="1343">
        <v>4489.3999999999996</v>
      </c>
      <c r="Z13" s="1346">
        <f>+SUM(V13:Y13)</f>
        <v>17498.5</v>
      </c>
      <c r="AA13" s="1343">
        <v>4621.7</v>
      </c>
      <c r="AB13" s="1343">
        <v>4724.5</v>
      </c>
      <c r="AC13" s="1343">
        <v>4895</v>
      </c>
      <c r="AD13" s="1343">
        <f>19253.5-AA13-AB13-AC13</f>
        <v>5012.2999999999993</v>
      </c>
      <c r="AE13" s="1343">
        <f>Master!N51</f>
        <v>19253.5</v>
      </c>
      <c r="AF13" s="1345">
        <v>5349.6</v>
      </c>
      <c r="AG13" s="1343">
        <v>5580.7</v>
      </c>
      <c r="AH13" s="1343">
        <v>5505.8</v>
      </c>
      <c r="AI13" s="1343">
        <v>5505.1</v>
      </c>
      <c r="AJ13" s="1346">
        <f>Master!O51</f>
        <v>21941.200000000001</v>
      </c>
      <c r="AK13" s="1343">
        <v>5540.6</v>
      </c>
      <c r="AL13" s="1343">
        <v>5641.9</v>
      </c>
      <c r="AM13" s="1343">
        <v>5445.2</v>
      </c>
      <c r="AN13" s="1343">
        <v>5568.8</v>
      </c>
      <c r="AO13" s="1346">
        <f>Master!P51</f>
        <v>22197</v>
      </c>
      <c r="AP13" s="1343">
        <v>5474.2</v>
      </c>
      <c r="AQ13" s="1343">
        <v>5658.8</v>
      </c>
      <c r="AR13" s="1343">
        <v>5407.3</v>
      </c>
      <c r="AS13" s="1343">
        <v>5461.9</v>
      </c>
      <c r="AT13" s="1346">
        <f>Master!Q51</f>
        <v>22002</v>
      </c>
      <c r="AU13" s="1343">
        <v>5281.6</v>
      </c>
      <c r="AV13" s="1343">
        <v>5348.1</v>
      </c>
      <c r="AW13" s="1343">
        <v>5338.3</v>
      </c>
      <c r="AX13" s="1343">
        <v>5379.1</v>
      </c>
      <c r="AY13" s="1346">
        <f>Master!R51</f>
        <v>21347</v>
      </c>
      <c r="AZ13" s="1359">
        <v>5405.3</v>
      </c>
      <c r="BA13" s="1359">
        <v>5514.7</v>
      </c>
      <c r="BB13" s="1359">
        <v>5597.9</v>
      </c>
      <c r="BC13" s="1343">
        <f>BD13-AZ13-BA13-BB13</f>
        <v>5616.8000000000011</v>
      </c>
      <c r="BD13" s="1343">
        <f>Master!S51</f>
        <v>22134.7</v>
      </c>
      <c r="BE13" s="1494">
        <v>5624.8</v>
      </c>
      <c r="BF13" s="1359">
        <v>5570.1</v>
      </c>
      <c r="BG13" s="1359">
        <v>5459.4</v>
      </c>
      <c r="BH13" s="1359">
        <v>5372.3</v>
      </c>
      <c r="BI13" s="1346">
        <f>Master!T51</f>
        <v>22026.6</v>
      </c>
      <c r="BJ13" s="1494">
        <v>5275.7</v>
      </c>
      <c r="BK13" s="1359">
        <v>5140.1000000000004</v>
      </c>
      <c r="BL13" s="1359">
        <v>4986.6000000000004</v>
      </c>
      <c r="BM13" s="1359">
        <v>4936.6000000000004</v>
      </c>
      <c r="BN13" s="1346">
        <f>Master!U51</f>
        <v>20339</v>
      </c>
      <c r="BO13" s="1494">
        <v>4657.6000000000004</v>
      </c>
      <c r="BP13" s="1359">
        <v>4449.5</v>
      </c>
      <c r="BQ13" s="1359">
        <v>4296.6000000000004</v>
      </c>
      <c r="BR13" s="1359">
        <v>4181.6000000000004</v>
      </c>
      <c r="BS13" s="1346">
        <f>Master!V51</f>
        <v>17585.2</v>
      </c>
      <c r="BT13" s="1494">
        <v>4083.6</v>
      </c>
      <c r="BU13" s="1535">
        <v>3950</v>
      </c>
      <c r="BV13" s="1535">
        <v>3850</v>
      </c>
      <c r="BW13" s="1398">
        <f>BX13-BT13-BU13-BV13</f>
        <v>3786.0510645709255</v>
      </c>
      <c r="BX13" s="1346">
        <f>Master!W51</f>
        <v>15669.651064570926</v>
      </c>
      <c r="BY13" s="928"/>
      <c r="BZ13" s="928"/>
      <c r="CA13" s="1355">
        <f t="shared" si="11"/>
        <v>0.11812869358512978</v>
      </c>
      <c r="CB13" s="1254">
        <f t="shared" si="11"/>
        <v>0.1355047399436331</v>
      </c>
      <c r="CC13" s="1254">
        <f t="shared" si="11"/>
        <v>0.18871539419484629</v>
      </c>
      <c r="CD13" s="1254">
        <f t="shared" si="11"/>
        <v>0.19219698391840323</v>
      </c>
      <c r="CE13" s="1337"/>
      <c r="CF13" s="1355">
        <f t="shared" si="12"/>
        <v>0.12994950837098074</v>
      </c>
      <c r="CG13" s="1254">
        <f t="shared" si="12"/>
        <v>0.12844450712170352</v>
      </c>
      <c r="CH13" s="1254">
        <f t="shared" si="12"/>
        <v>9.8611223037043061E-2</v>
      </c>
      <c r="CI13" s="1254">
        <f t="shared" si="12"/>
        <v>9.7178847920220468E-2</v>
      </c>
      <c r="CJ13" s="928"/>
      <c r="CK13" s="1355">
        <f>V13/Q13-1</f>
        <v>9.7313682450088645E-2</v>
      </c>
      <c r="CL13" s="1254">
        <f>W13/R13-1</f>
        <v>8.3031317953460526E-2</v>
      </c>
      <c r="CM13" s="1254">
        <f>X13/S13-1</f>
        <v>9.4625654066213594E-2</v>
      </c>
      <c r="CN13" s="1254">
        <f>Y13/T13-1</f>
        <v>7.3813624186758409E-2</v>
      </c>
      <c r="CO13" s="1337"/>
      <c r="CP13" s="1347">
        <f>AA13/V13-1</f>
        <v>0.10061440274337974</v>
      </c>
      <c r="CQ13" s="1316">
        <f>AB13/W13-1</f>
        <v>9.0327940735270174E-2</v>
      </c>
      <c r="CR13" s="1316">
        <f>AC13/X13-1</f>
        <v>9.3414939242315809E-2</v>
      </c>
      <c r="CS13" s="1316">
        <f>AD13/Y13-1</f>
        <v>0.11647436183008852</v>
      </c>
      <c r="CT13" s="1337"/>
      <c r="CU13" s="1347">
        <f t="shared" ref="CU13:CX15" si="13">AF13/AA13-1</f>
        <v>0.1574961594218578</v>
      </c>
      <c r="CV13" s="1316">
        <f t="shared" si="13"/>
        <v>0.18122552651074186</v>
      </c>
      <c r="CW13" s="1316">
        <f t="shared" si="13"/>
        <v>0.12478038815117465</v>
      </c>
      <c r="CX13" s="1316">
        <f t="shared" si="13"/>
        <v>9.8318137382040316E-2</v>
      </c>
      <c r="CY13" s="1337"/>
      <c r="CZ13" s="1347">
        <f t="shared" ref="CZ13:DC15" si="14">AK13/AF13-1</f>
        <v>3.570360400777628E-2</v>
      </c>
      <c r="DA13" s="1316">
        <f t="shared" si="14"/>
        <v>1.0966366226458968E-2</v>
      </c>
      <c r="DB13" s="1316">
        <f t="shared" si="14"/>
        <v>-1.1006574884667164E-2</v>
      </c>
      <c r="DC13" s="1316">
        <f t="shared" si="14"/>
        <v>1.1571088626909587E-2</v>
      </c>
      <c r="DD13" s="1337"/>
      <c r="DE13" s="1347">
        <f t="shared" ref="DE13:DH18" si="15">AP13/AK13-1</f>
        <v>-1.1984261632314253E-2</v>
      </c>
      <c r="DF13" s="1316">
        <f t="shared" si="15"/>
        <v>2.9954447969655629E-3</v>
      </c>
      <c r="DG13" s="1316">
        <f t="shared" si="15"/>
        <v>-6.9602585763607339E-3</v>
      </c>
      <c r="DH13" s="1316">
        <f t="shared" si="15"/>
        <v>-1.9196236172963732E-2</v>
      </c>
      <c r="DI13" s="928"/>
      <c r="DJ13" s="1347">
        <f t="shared" ref="DJ13:DM18" si="16">AU13/AP13-1</f>
        <v>-3.5183223119359841E-2</v>
      </c>
      <c r="DK13" s="1316">
        <f t="shared" si="16"/>
        <v>-5.4905633703258627E-2</v>
      </c>
      <c r="DL13" s="1316">
        <f t="shared" si="16"/>
        <v>-1.2760527435134006E-2</v>
      </c>
      <c r="DM13" s="1316">
        <f t="shared" si="16"/>
        <v>-1.5159559860121852E-2</v>
      </c>
      <c r="DN13" s="1337"/>
      <c r="DO13" s="1347">
        <f t="shared" ref="DO13:DR18" si="17">AZ13/AU13-1</f>
        <v>2.3420933050590786E-2</v>
      </c>
      <c r="DP13" s="1316">
        <f t="shared" si="17"/>
        <v>3.1151249976627104E-2</v>
      </c>
      <c r="DQ13" s="1316">
        <f t="shared" si="17"/>
        <v>4.8629713579229294E-2</v>
      </c>
      <c r="DR13" s="1316">
        <f t="shared" si="17"/>
        <v>4.4189548437471027E-2</v>
      </c>
      <c r="DS13" s="1337"/>
      <c r="DT13" s="1316">
        <f t="shared" ref="DT13:DW18" si="18">BE13/AZ13-1</f>
        <v>4.0608291861691237E-2</v>
      </c>
      <c r="DU13" s="1316">
        <f t="shared" si="18"/>
        <v>1.0045877382269364E-2</v>
      </c>
      <c r="DV13" s="1316">
        <f t="shared" si="18"/>
        <v>-2.4741420889976551E-2</v>
      </c>
      <c r="DW13" s="1316">
        <f t="shared" si="18"/>
        <v>-4.3530123913972485E-2</v>
      </c>
      <c r="DX13" s="928"/>
      <c r="DY13" s="1347">
        <f t="shared" ref="DY13:EB18" si="19">BJ13/BE13-1</f>
        <v>-6.2064428957474105E-2</v>
      </c>
      <c r="DZ13" s="1316">
        <f t="shared" si="19"/>
        <v>-7.719789590851156E-2</v>
      </c>
      <c r="EA13" s="1316">
        <f t="shared" si="19"/>
        <v>-8.6602923398175546E-2</v>
      </c>
      <c r="EB13" s="1316">
        <f t="shared" si="19"/>
        <v>-8.110120432589385E-2</v>
      </c>
      <c r="EC13" s="1337"/>
      <c r="ED13" s="1347">
        <f t="shared" ref="ED13:EG18" si="20">BO13/BJ13-1</f>
        <v>-0.1171598081771138</v>
      </c>
      <c r="EE13" s="1316">
        <f t="shared" si="20"/>
        <v>-0.13435536273613358</v>
      </c>
      <c r="EF13" s="1316">
        <f t="shared" si="20"/>
        <v>-0.13837083383467697</v>
      </c>
      <c r="EG13" s="1316">
        <f t="shared" si="20"/>
        <v>-0.15293926994287566</v>
      </c>
      <c r="EH13" s="1337"/>
      <c r="EI13" s="1316">
        <f t="shared" ref="EI13:EL15" si="21">BT13/BO13-1</f>
        <v>-0.12323943661971837</v>
      </c>
      <c r="EJ13" s="1316">
        <f t="shared" si="21"/>
        <v>-0.11225980447241268</v>
      </c>
      <c r="EK13" s="1316">
        <f t="shared" si="21"/>
        <v>-0.1039426523297492</v>
      </c>
      <c r="EL13" s="1316">
        <f t="shared" si="21"/>
        <v>-9.4592724179518584E-2</v>
      </c>
      <c r="EM13" s="1337"/>
      <c r="EN13" s="928"/>
      <c r="EO13" s="928"/>
      <c r="EP13" s="928"/>
      <c r="EQ13" s="928" t="s">
        <v>4772</v>
      </c>
      <c r="ER13" s="1316">
        <f>DE14</f>
        <v>7.082247446364387E-2</v>
      </c>
      <c r="ES13" s="1316">
        <f>DF14</f>
        <v>9.8174623912800074E-2</v>
      </c>
      <c r="ET13" s="1316">
        <f>DG14</f>
        <v>0.10782817662961852</v>
      </c>
      <c r="EU13" s="1316">
        <f>DH14</f>
        <v>0.10762373587496676</v>
      </c>
      <c r="EV13" s="1316">
        <f>DJ14</f>
        <v>0.14168887043380973</v>
      </c>
      <c r="EW13" s="1316">
        <f>DK14</f>
        <v>0.15749458966427587</v>
      </c>
      <c r="EX13" s="1316">
        <f>DL14</f>
        <v>0.14666102669226366</v>
      </c>
      <c r="EY13" s="1316">
        <f>DM14</f>
        <v>0.15743299326517946</v>
      </c>
      <c r="EZ13" s="1316">
        <f>DO14</f>
        <v>9.3613925904971751E-2</v>
      </c>
      <c r="FA13" s="1316">
        <f>DP14</f>
        <v>0.10700196755973623</v>
      </c>
      <c r="FB13" s="1316">
        <f>DQ14</f>
        <v>7.9057140965371087E-2</v>
      </c>
      <c r="FC13" s="1316">
        <f>DR14</f>
        <v>7.3492433801435553E-2</v>
      </c>
      <c r="FD13" s="928"/>
      <c r="FE13" s="928"/>
      <c r="FF13" s="1349">
        <v>4330</v>
      </c>
      <c r="FG13" s="1360">
        <v>-0.1316728833273173</v>
      </c>
      <c r="FH13" s="1350">
        <v>4290.1534856085564</v>
      </c>
      <c r="FI13" s="1361">
        <v>-0.13094974565317097</v>
      </c>
      <c r="FJ13" s="1609">
        <v>4000</v>
      </c>
      <c r="FK13" s="1615">
        <v>-0.1411885949845415</v>
      </c>
      <c r="FL13" s="928"/>
      <c r="FM13" s="928"/>
      <c r="FN13" s="928"/>
      <c r="FO13" s="928"/>
      <c r="FP13" s="928"/>
      <c r="FQ13" s="928"/>
    </row>
    <row r="14" spans="1:173" ht="14.25" customHeight="1">
      <c r="A14" s="1344" t="s">
        <v>129</v>
      </c>
      <c r="B14" s="1342"/>
      <c r="C14" s="1342"/>
      <c r="D14" s="1342"/>
      <c r="E14" s="1342"/>
      <c r="F14" s="1342"/>
      <c r="G14" s="1345">
        <v>3229.7</v>
      </c>
      <c r="H14" s="1343">
        <v>3332.7</v>
      </c>
      <c r="I14" s="1343">
        <v>3394.8</v>
      </c>
      <c r="J14" s="1343">
        <v>3678.2</v>
      </c>
      <c r="K14" s="1346">
        <f>+SUM(G14:J14)</f>
        <v>13635.400000000001</v>
      </c>
      <c r="L14" s="1343">
        <v>3771.1</v>
      </c>
      <c r="M14" s="1343">
        <v>3871.7</v>
      </c>
      <c r="N14" s="1343">
        <v>3890.6</v>
      </c>
      <c r="O14" s="1343">
        <v>4037</v>
      </c>
      <c r="P14" s="1346">
        <f>+SUM(L14:O14)</f>
        <v>15570.4</v>
      </c>
      <c r="Q14" s="1343">
        <v>3976.5</v>
      </c>
      <c r="R14" s="1343">
        <v>4188.3999999999996</v>
      </c>
      <c r="S14" s="1343">
        <v>4374.5</v>
      </c>
      <c r="T14" s="1343">
        <f>17138.8-Q14-R14-S14</f>
        <v>4599.3999999999996</v>
      </c>
      <c r="U14" s="1343">
        <f>+SUM(Q14:T14)</f>
        <v>17138.8</v>
      </c>
      <c r="V14" s="1345">
        <v>4600.6000000000004</v>
      </c>
      <c r="W14" s="1343">
        <v>4803.7</v>
      </c>
      <c r="X14" s="1343">
        <v>5305.1</v>
      </c>
      <c r="Y14" s="1343">
        <v>6227.8</v>
      </c>
      <c r="Z14" s="1346">
        <f>+SUM(V14:Y14)</f>
        <v>20937.2</v>
      </c>
      <c r="AA14" s="1343">
        <v>6714.5</v>
      </c>
      <c r="AB14" s="1343">
        <v>6909.7</v>
      </c>
      <c r="AC14" s="1343">
        <v>7294</v>
      </c>
      <c r="AD14" s="1343">
        <f>28488.3-AA14-AB14-AC14</f>
        <v>7570.0999999999985</v>
      </c>
      <c r="AE14" s="1343">
        <f>Master!N52</f>
        <v>28488.3</v>
      </c>
      <c r="AF14" s="1345">
        <v>7621.1</v>
      </c>
      <c r="AG14" s="1343">
        <v>7802.1</v>
      </c>
      <c r="AH14" s="1343">
        <v>8155.2</v>
      </c>
      <c r="AI14" s="1343">
        <v>8313.2000000000007</v>
      </c>
      <c r="AJ14" s="1346">
        <f>Master!O52</f>
        <v>31891.599999999999</v>
      </c>
      <c r="AK14" s="1343">
        <v>8096.3</v>
      </c>
      <c r="AL14" s="1343">
        <v>8036.7</v>
      </c>
      <c r="AM14" s="1343">
        <v>8322.5</v>
      </c>
      <c r="AN14" s="1343">
        <v>8592.9</v>
      </c>
      <c r="AO14" s="1346">
        <f>Master!P52</f>
        <v>33048</v>
      </c>
      <c r="AP14" s="1343">
        <v>8669.7000000000007</v>
      </c>
      <c r="AQ14" s="1343">
        <v>8825.7000000000007</v>
      </c>
      <c r="AR14" s="1343">
        <v>9219.9</v>
      </c>
      <c r="AS14" s="1343">
        <v>9517.7000000000007</v>
      </c>
      <c r="AT14" s="1346">
        <f>Master!Q52</f>
        <v>36233</v>
      </c>
      <c r="AU14" s="1343">
        <v>9898.1</v>
      </c>
      <c r="AV14" s="1343">
        <v>10215.700000000001</v>
      </c>
      <c r="AW14" s="1343">
        <v>10572.1</v>
      </c>
      <c r="AX14" s="1343">
        <v>11016.1</v>
      </c>
      <c r="AY14" s="1346">
        <f>Master!R52</f>
        <v>41702</v>
      </c>
      <c r="AZ14" s="1359">
        <v>10824.7</v>
      </c>
      <c r="BA14" s="1359">
        <v>11308.8</v>
      </c>
      <c r="BB14" s="1359">
        <v>11407.9</v>
      </c>
      <c r="BC14" s="1343">
        <f>BD14-AZ14-BA14-BB14</f>
        <v>11825.699999999995</v>
      </c>
      <c r="BD14" s="1343">
        <f>Master!S52</f>
        <v>45367.1</v>
      </c>
      <c r="BE14" s="1494">
        <v>11676.5</v>
      </c>
      <c r="BF14" s="1359">
        <v>11981.6</v>
      </c>
      <c r="BG14" s="1359">
        <v>12066.6</v>
      </c>
      <c r="BH14" s="1359">
        <v>12296.2</v>
      </c>
      <c r="BI14" s="1346">
        <f>Master!T52</f>
        <v>48020.9</v>
      </c>
      <c r="BJ14" s="1494">
        <v>11804.5</v>
      </c>
      <c r="BK14" s="1359">
        <v>11750</v>
      </c>
      <c r="BL14" s="1359">
        <v>12394</v>
      </c>
      <c r="BM14" s="1359">
        <v>12463.3</v>
      </c>
      <c r="BN14" s="1346">
        <f>Master!U52</f>
        <v>48411.8</v>
      </c>
      <c r="BO14" s="1494">
        <v>12122.7</v>
      </c>
      <c r="BP14" s="1359">
        <v>12291.5</v>
      </c>
      <c r="BQ14" s="1359">
        <v>12147.9</v>
      </c>
      <c r="BR14" s="1359">
        <v>12240.4</v>
      </c>
      <c r="BS14" s="1346">
        <f>Master!V52</f>
        <v>48802.5</v>
      </c>
      <c r="BT14" s="1494">
        <v>11908.7</v>
      </c>
      <c r="BU14" s="1535">
        <v>12200</v>
      </c>
      <c r="BV14" s="1535">
        <v>12300</v>
      </c>
      <c r="BW14" s="1398">
        <f>BX14-BT14-BU14-BV14</f>
        <v>12393.800000000003</v>
      </c>
      <c r="BX14" s="1346">
        <f>Master!W52</f>
        <v>48802.5</v>
      </c>
      <c r="BY14" s="1544"/>
      <c r="BZ14" s="1339"/>
      <c r="CA14" s="1355">
        <f t="shared" si="11"/>
        <v>0.16763166857602885</v>
      </c>
      <c r="CB14" s="1254">
        <f t="shared" si="11"/>
        <v>0.16173072883847928</v>
      </c>
      <c r="CC14" s="1254">
        <f t="shared" si="11"/>
        <v>0.14604689525156123</v>
      </c>
      <c r="CD14" s="1254">
        <f t="shared" si="11"/>
        <v>9.7547713555543591E-2</v>
      </c>
      <c r="CE14" s="1337"/>
      <c r="CF14" s="1347">
        <f t="shared" si="12"/>
        <v>5.4466866431545302E-2</v>
      </c>
      <c r="CG14" s="1316">
        <f t="shared" si="12"/>
        <v>8.1798693080558982E-2</v>
      </c>
      <c r="CH14" s="1316">
        <f t="shared" si="12"/>
        <v>0.12437670282218694</v>
      </c>
      <c r="CI14" s="1316">
        <f t="shared" si="12"/>
        <v>0.13931136982908088</v>
      </c>
      <c r="CJ14" s="928"/>
      <c r="CK14" s="1347">
        <f t="shared" ref="CK14:CL18" si="22">V14/Q14-1</f>
        <v>0.156947064001006</v>
      </c>
      <c r="CL14" s="1316">
        <f t="shared" si="22"/>
        <v>0.14690573966192355</v>
      </c>
      <c r="CM14" s="1362">
        <f>(X14-X262)/S14-1</f>
        <v>0.13736427020230901</v>
      </c>
      <c r="CN14" s="1362">
        <f>(Y14-Y262)/T14-1</f>
        <v>0.12792972996477814</v>
      </c>
      <c r="CO14" s="1337"/>
      <c r="CP14" s="1529">
        <f>(AA14-1545)/V14-1</f>
        <v>0.12365778376733472</v>
      </c>
      <c r="CQ14" s="1362">
        <f>(AB14-1598.5)/W14-1</f>
        <v>0.10564772987488813</v>
      </c>
      <c r="CR14" s="1362">
        <f>(AC14-1632)/(X14-X262)-1</f>
        <v>0.13799895485790081</v>
      </c>
      <c r="CS14" s="1362">
        <f>(AD14-559.7)/(Y14)-1</f>
        <v>0.12566235267670733</v>
      </c>
      <c r="CT14" s="1337"/>
      <c r="CU14" s="1347">
        <f t="shared" si="13"/>
        <v>0.13502122272693429</v>
      </c>
      <c r="CV14" s="1316">
        <f t="shared" si="13"/>
        <v>0.12915177214640305</v>
      </c>
      <c r="CW14" s="1316">
        <f t="shared" si="13"/>
        <v>0.11806964628461758</v>
      </c>
      <c r="CX14" s="1316">
        <f t="shared" si="13"/>
        <v>9.8162507760796158E-2</v>
      </c>
      <c r="CY14" s="1337"/>
      <c r="CZ14" s="1347">
        <f t="shared" si="14"/>
        <v>6.2353203605778562E-2</v>
      </c>
      <c r="DA14" s="1316">
        <f t="shared" si="14"/>
        <v>3.0068827623332073E-2</v>
      </c>
      <c r="DB14" s="1316">
        <f t="shared" si="14"/>
        <v>2.0514518344123989E-2</v>
      </c>
      <c r="DC14" s="1316">
        <f t="shared" si="14"/>
        <v>3.3645287013424285E-2</v>
      </c>
      <c r="DD14" s="1337"/>
      <c r="DE14" s="1347">
        <f t="shared" si="15"/>
        <v>7.082247446364387E-2</v>
      </c>
      <c r="DF14" s="1316">
        <f t="shared" si="15"/>
        <v>9.8174623912800074E-2</v>
      </c>
      <c r="DG14" s="1316">
        <f t="shared" si="15"/>
        <v>0.10782817662961852</v>
      </c>
      <c r="DH14" s="1316">
        <f t="shared" si="15"/>
        <v>0.10762373587496676</v>
      </c>
      <c r="DI14" s="928"/>
      <c r="DJ14" s="1347">
        <f t="shared" si="16"/>
        <v>0.14168887043380973</v>
      </c>
      <c r="DK14" s="1316">
        <f t="shared" si="16"/>
        <v>0.15749458966427587</v>
      </c>
      <c r="DL14" s="1316">
        <f t="shared" si="16"/>
        <v>0.14666102669226366</v>
      </c>
      <c r="DM14" s="1316">
        <f t="shared" si="16"/>
        <v>0.15743299326517946</v>
      </c>
      <c r="DN14" s="1337"/>
      <c r="DO14" s="1347">
        <f t="shared" si="17"/>
        <v>9.3613925904971751E-2</v>
      </c>
      <c r="DP14" s="1316">
        <f t="shared" si="17"/>
        <v>0.10700196755973623</v>
      </c>
      <c r="DQ14" s="1316">
        <f t="shared" si="17"/>
        <v>7.9057140965371087E-2</v>
      </c>
      <c r="DR14" s="1316">
        <f t="shared" si="17"/>
        <v>7.3492433801435553E-2</v>
      </c>
      <c r="DS14" s="1337"/>
      <c r="DT14" s="1316">
        <f t="shared" si="18"/>
        <v>7.8690402505381174E-2</v>
      </c>
      <c r="DU14" s="1316">
        <f t="shared" si="18"/>
        <v>5.9493491794001319E-2</v>
      </c>
      <c r="DV14" s="1316">
        <f t="shared" si="18"/>
        <v>5.7740688470270696E-2</v>
      </c>
      <c r="DW14" s="1316">
        <f t="shared" si="18"/>
        <v>3.9786228299382387E-2</v>
      </c>
      <c r="DX14" s="928"/>
      <c r="DY14" s="1347">
        <f t="shared" si="19"/>
        <v>1.0962189012118317E-2</v>
      </c>
      <c r="DZ14" s="1316">
        <f t="shared" si="19"/>
        <v>-1.9329638779461922E-2</v>
      </c>
      <c r="EA14" s="1316">
        <f t="shared" si="19"/>
        <v>2.7132746589760171E-2</v>
      </c>
      <c r="EB14" s="1316">
        <f t="shared" si="19"/>
        <v>1.3589564255623632E-2</v>
      </c>
      <c r="EC14" s="1337"/>
      <c r="ED14" s="1347">
        <f t="shared" si="20"/>
        <v>2.695582193231405E-2</v>
      </c>
      <c r="EE14" s="1316">
        <f t="shared" si="20"/>
        <v>4.6085106382978802E-2</v>
      </c>
      <c r="EF14" s="1316">
        <f t="shared" si="20"/>
        <v>-1.9856382120380878E-2</v>
      </c>
      <c r="EG14" s="1316">
        <f t="shared" si="20"/>
        <v>-1.7884508918183717E-2</v>
      </c>
      <c r="EH14" s="1337"/>
      <c r="EI14" s="1316">
        <f t="shared" si="21"/>
        <v>-1.76528331147352E-2</v>
      </c>
      <c r="EJ14" s="1316">
        <f t="shared" si="21"/>
        <v>-7.4441687344912744E-3</v>
      </c>
      <c r="EK14" s="1316">
        <f t="shared" si="21"/>
        <v>1.2520682587113807E-2</v>
      </c>
      <c r="EL14" s="1316">
        <f t="shared" si="21"/>
        <v>1.2532270187249006E-2</v>
      </c>
      <c r="EM14" s="1337"/>
      <c r="EN14" s="928"/>
      <c r="EO14" s="928"/>
      <c r="EP14" s="928"/>
      <c r="EQ14" s="928" t="s">
        <v>4773</v>
      </c>
      <c r="ER14" s="928"/>
      <c r="ES14" s="928"/>
      <c r="ET14" s="928"/>
      <c r="EU14" s="928"/>
      <c r="EV14" s="1316">
        <f t="shared" ref="EV14:FA14" si="23">EV13</f>
        <v>0.14168887043380973</v>
      </c>
      <c r="EW14" s="1316">
        <f t="shared" si="23"/>
        <v>0.15749458966427587</v>
      </c>
      <c r="EX14" s="1316">
        <f t="shared" si="23"/>
        <v>0.14666102669226366</v>
      </c>
      <c r="EY14" s="1316">
        <f t="shared" si="23"/>
        <v>0.15743299326517946</v>
      </c>
      <c r="EZ14" s="1316">
        <f t="shared" si="23"/>
        <v>9.3613925904971751E-2</v>
      </c>
      <c r="FA14" s="1316">
        <f t="shared" si="23"/>
        <v>0.10700196755973623</v>
      </c>
      <c r="FB14" s="1316">
        <f t="shared" ref="FB14" si="24">FB13</f>
        <v>7.9057140965371087E-2</v>
      </c>
      <c r="FC14" s="1316">
        <f>FC13+2%</f>
        <v>9.3492433801435557E-2</v>
      </c>
      <c r="FD14" s="928"/>
      <c r="FE14" s="928"/>
      <c r="FF14" s="1349">
        <v>12550.089999999998</v>
      </c>
      <c r="FG14" s="1360">
        <v>1.259399709536857E-2</v>
      </c>
      <c r="FH14" s="1350">
        <v>12575.877000000002</v>
      </c>
      <c r="FI14" s="1361">
        <v>9.0326799483284592E-3</v>
      </c>
      <c r="FJ14" s="1609">
        <v>12200</v>
      </c>
      <c r="FK14" s="1615">
        <v>6.3764672886401641E-3</v>
      </c>
      <c r="FL14" s="928"/>
      <c r="FM14" s="928"/>
      <c r="FN14" s="928"/>
      <c r="FO14" s="928"/>
      <c r="FP14" s="928"/>
      <c r="FQ14" s="928"/>
    </row>
    <row r="15" spans="1:173" ht="14.25" customHeight="1">
      <c r="A15" s="1344" t="s">
        <v>130</v>
      </c>
      <c r="B15" s="1342"/>
      <c r="C15" s="1342"/>
      <c r="D15" s="1342"/>
      <c r="E15" s="1342"/>
      <c r="F15" s="1342"/>
      <c r="G15" s="1345">
        <v>907.6</v>
      </c>
      <c r="H15" s="1343">
        <v>927.09999999999991</v>
      </c>
      <c r="I15" s="1343">
        <v>962.1</v>
      </c>
      <c r="J15" s="1343">
        <v>1028.4000000000001</v>
      </c>
      <c r="K15" s="1346">
        <f>+SUM(G15:J15)</f>
        <v>3825.2</v>
      </c>
      <c r="L15" s="1343">
        <v>1117</v>
      </c>
      <c r="M15" s="1343">
        <v>1113.8</v>
      </c>
      <c r="N15" s="1343">
        <v>920.1</v>
      </c>
      <c r="O15" s="1343">
        <v>1060.5</v>
      </c>
      <c r="P15" s="1346">
        <f>+SUM(L15:O15)</f>
        <v>4211.3999999999996</v>
      </c>
      <c r="Q15" s="1343">
        <v>995.1</v>
      </c>
      <c r="R15" s="1343">
        <v>1127.5</v>
      </c>
      <c r="S15" s="1343">
        <v>1085.4000000000001</v>
      </c>
      <c r="T15" s="1343">
        <f>4855-Q15-R15-S15</f>
        <v>1647</v>
      </c>
      <c r="U15" s="1343">
        <f>+SUM(Q15:T15)</f>
        <v>4855</v>
      </c>
      <c r="V15" s="1345">
        <f>1787.5</f>
        <v>1787.5</v>
      </c>
      <c r="W15" s="1343">
        <v>1946.9</v>
      </c>
      <c r="X15" s="1343">
        <v>1936.6</v>
      </c>
      <c r="Y15" s="1343">
        <v>2533.1999999999998</v>
      </c>
      <c r="Z15" s="1346">
        <f>+SUM(V15:Y15)</f>
        <v>8204.2000000000007</v>
      </c>
      <c r="AA15" s="1343">
        <v>1918.4</v>
      </c>
      <c r="AB15" s="1343">
        <v>1896.5</v>
      </c>
      <c r="AC15" s="1343">
        <v>2009</v>
      </c>
      <c r="AD15" s="1343">
        <f>8124.3-AA15-AB15-AC15</f>
        <v>2300.3999999999996</v>
      </c>
      <c r="AE15" s="1343">
        <f>Master!N53</f>
        <v>8124.3</v>
      </c>
      <c r="AF15" s="1345">
        <v>1775.1</v>
      </c>
      <c r="AG15" s="1343">
        <v>2044.7</v>
      </c>
      <c r="AH15" s="1343">
        <v>2225.6999999999998</v>
      </c>
      <c r="AI15" s="1343">
        <v>2783</v>
      </c>
      <c r="AJ15" s="1346">
        <f>Master!O53</f>
        <v>8828.2999999999993</v>
      </c>
      <c r="AK15" s="1343">
        <v>1981.4</v>
      </c>
      <c r="AL15" s="1343">
        <v>2194.6</v>
      </c>
      <c r="AM15" s="1343">
        <v>1970.9</v>
      </c>
      <c r="AN15" s="1343">
        <v>2229.1999999999998</v>
      </c>
      <c r="AO15" s="1346">
        <f>Master!P53</f>
        <v>8376</v>
      </c>
      <c r="AP15" s="1343">
        <v>1778.4</v>
      </c>
      <c r="AQ15" s="1343">
        <v>2312.6</v>
      </c>
      <c r="AR15" s="1343">
        <v>1946.5</v>
      </c>
      <c r="AS15" s="1343">
        <v>2598</v>
      </c>
      <c r="AT15" s="1346">
        <f>Master!Q53</f>
        <v>8636</v>
      </c>
      <c r="AU15" s="1343">
        <v>2260.3000000000002</v>
      </c>
      <c r="AV15" s="1343">
        <v>1946.5</v>
      </c>
      <c r="AW15" s="1343">
        <v>2633.1</v>
      </c>
      <c r="AX15" s="1353">
        <f>1933.9+267.8-267.8</f>
        <v>1933.9000000000003</v>
      </c>
      <c r="AY15" s="1346">
        <f>Master!R53</f>
        <v>8200.2000000000007</v>
      </c>
      <c r="AZ15" s="1359">
        <f>1756.5+147.5</f>
        <v>1904</v>
      </c>
      <c r="BA15" s="1359">
        <v>567.1</v>
      </c>
      <c r="BB15" s="1359">
        <v>782.5</v>
      </c>
      <c r="BC15" s="1343">
        <f>BD15-AZ15-BA15-BB15</f>
        <v>1022.4000000000001</v>
      </c>
      <c r="BD15" s="1343">
        <f>Master!S53</f>
        <v>4276</v>
      </c>
      <c r="BE15" s="1494">
        <v>951.5</v>
      </c>
      <c r="BF15" s="1359">
        <v>1220.2</v>
      </c>
      <c r="BG15" s="1359">
        <v>1409.1</v>
      </c>
      <c r="BH15" s="1359">
        <v>1448.2</v>
      </c>
      <c r="BI15" s="1346">
        <f>Master!T53</f>
        <v>5029.1000000000004</v>
      </c>
      <c r="BJ15" s="1494">
        <v>1661.1</v>
      </c>
      <c r="BK15" s="1359">
        <v>1742.7</v>
      </c>
      <c r="BL15" s="1359">
        <v>1932.7</v>
      </c>
      <c r="BM15" s="1359">
        <v>2002.3</v>
      </c>
      <c r="BN15" s="1346">
        <f>Master!U53</f>
        <v>7338.8</v>
      </c>
      <c r="BO15" s="1494">
        <v>1850.3</v>
      </c>
      <c r="BP15" s="1359">
        <v>1917.6</v>
      </c>
      <c r="BQ15" s="1359">
        <v>1974.7</v>
      </c>
      <c r="BR15" s="1359">
        <v>2127.8000000000002</v>
      </c>
      <c r="BS15" s="1346">
        <f>Master!V53</f>
        <v>7870.6</v>
      </c>
      <c r="BT15" s="1494">
        <v>0</v>
      </c>
      <c r="BU15" s="1535">
        <v>0</v>
      </c>
      <c r="BV15" s="1535">
        <v>0</v>
      </c>
      <c r="BW15" s="1398">
        <f>BX15-BT15-BU15-BV15</f>
        <v>0</v>
      </c>
      <c r="BX15" s="1346">
        <f>Master!W53</f>
        <v>0</v>
      </c>
      <c r="BY15" s="1544"/>
      <c r="BZ15" s="928"/>
      <c r="CA15" s="1355">
        <f t="shared" si="11"/>
        <v>0.23071837814014984</v>
      </c>
      <c r="CB15" s="1254">
        <f t="shared" si="11"/>
        <v>0.20138064933664124</v>
      </c>
      <c r="CC15" s="1254">
        <f t="shared" si="11"/>
        <v>-4.3654505768631169E-2</v>
      </c>
      <c r="CD15" s="1254">
        <f t="shared" si="11"/>
        <v>3.1213535589264874E-2</v>
      </c>
      <c r="CE15" s="1337"/>
      <c r="CF15" s="1355">
        <f t="shared" si="12"/>
        <v>-0.10913160250671439</v>
      </c>
      <c r="CG15" s="1254">
        <f t="shared" si="12"/>
        <v>1.2300233435087238E-2</v>
      </c>
      <c r="CH15" s="1254">
        <f t="shared" si="12"/>
        <v>0.17965438539289225</v>
      </c>
      <c r="CI15" s="1254">
        <f t="shared" si="12"/>
        <v>0.55304101838755315</v>
      </c>
      <c r="CJ15" s="928"/>
      <c r="CK15" s="1355">
        <f t="shared" si="22"/>
        <v>0.79630187920811979</v>
      </c>
      <c r="CL15" s="1254">
        <f t="shared" si="22"/>
        <v>0.72674057649667412</v>
      </c>
      <c r="CM15" s="1254">
        <f>X15/S15-1</f>
        <v>0.78422701308273424</v>
      </c>
      <c r="CN15" s="1254">
        <f>Y15/T15-1</f>
        <v>0.53806921675774122</v>
      </c>
      <c r="CO15" s="1337"/>
      <c r="CP15" s="1355">
        <f>AA15/V15-1</f>
        <v>7.323076923076921E-2</v>
      </c>
      <c r="CQ15" s="1254">
        <f>AB15/W15-1</f>
        <v>-2.5887308028147316E-2</v>
      </c>
      <c r="CR15" s="1254">
        <f>AC15/X15-1</f>
        <v>3.7385107921098948E-2</v>
      </c>
      <c r="CS15" s="1254">
        <f>AD15/Y15-1</f>
        <v>-9.1899573661771705E-2</v>
      </c>
      <c r="CT15" s="1337"/>
      <c r="CU15" s="1355">
        <f t="shared" si="13"/>
        <v>-7.4697664720600576E-2</v>
      </c>
      <c r="CV15" s="1254">
        <f t="shared" si="13"/>
        <v>7.8143949380437672E-2</v>
      </c>
      <c r="CW15" s="1254">
        <f t="shared" si="13"/>
        <v>0.1078646092583373</v>
      </c>
      <c r="CX15" s="1254">
        <f t="shared" si="13"/>
        <v>0.20978960180838135</v>
      </c>
      <c r="CY15" s="1337"/>
      <c r="CZ15" s="1355">
        <f t="shared" si="14"/>
        <v>0.11621880457439038</v>
      </c>
      <c r="DA15" s="1254">
        <f t="shared" si="14"/>
        <v>7.3311488237883138E-2</v>
      </c>
      <c r="DB15" s="1254">
        <f t="shared" si="14"/>
        <v>-0.11448083748932913</v>
      </c>
      <c r="DC15" s="1254">
        <f t="shared" si="14"/>
        <v>-0.19899389148401014</v>
      </c>
      <c r="DD15" s="1337"/>
      <c r="DE15" s="1355">
        <f t="shared" si="15"/>
        <v>-0.1024528111436358</v>
      </c>
      <c r="DF15" s="1254">
        <f t="shared" si="15"/>
        <v>5.376834047206791E-2</v>
      </c>
      <c r="DG15" s="1254">
        <f t="shared" si="15"/>
        <v>-1.2380130904662945E-2</v>
      </c>
      <c r="DH15" s="1254">
        <f t="shared" si="15"/>
        <v>0.16544051677731941</v>
      </c>
      <c r="DI15" s="928"/>
      <c r="DJ15" s="1355">
        <f t="shared" si="16"/>
        <v>0.27097390913180397</v>
      </c>
      <c r="DK15" s="1254">
        <f t="shared" si="16"/>
        <v>-0.15830666781976988</v>
      </c>
      <c r="DL15" s="1254">
        <f t="shared" si="16"/>
        <v>0.35273567942460815</v>
      </c>
      <c r="DM15" s="1254">
        <f t="shared" si="16"/>
        <v>-0.25561970746728235</v>
      </c>
      <c r="DN15" s="1337"/>
      <c r="DO15" s="1355">
        <f t="shared" si="17"/>
        <v>-0.15763394239702699</v>
      </c>
      <c r="DP15" s="1254">
        <f t="shared" si="17"/>
        <v>-0.70865656306190594</v>
      </c>
      <c r="DQ15" s="1254">
        <f t="shared" si="17"/>
        <v>-0.70282176901750781</v>
      </c>
      <c r="DR15" s="1254">
        <f t="shared" si="17"/>
        <v>-0.47132736956409327</v>
      </c>
      <c r="DS15" s="1337"/>
      <c r="DT15" s="1254">
        <f t="shared" si="18"/>
        <v>-0.50026260504201681</v>
      </c>
      <c r="DU15" s="1254">
        <f t="shared" si="18"/>
        <v>1.1516487391994357</v>
      </c>
      <c r="DV15" s="1254">
        <f t="shared" si="18"/>
        <v>0.80076677316293909</v>
      </c>
      <c r="DW15" s="1254">
        <f t="shared" si="18"/>
        <v>0.41647104851330186</v>
      </c>
      <c r="DX15" s="928"/>
      <c r="DY15" s="1355">
        <f t="shared" si="19"/>
        <v>0.74576983709931688</v>
      </c>
      <c r="DZ15" s="1254">
        <f t="shared" si="19"/>
        <v>0.42820849041140785</v>
      </c>
      <c r="EA15" s="1254">
        <f t="shared" si="19"/>
        <v>0.3715846994535521</v>
      </c>
      <c r="EB15" s="1254">
        <f t="shared" si="19"/>
        <v>0.38261289877088789</v>
      </c>
      <c r="EC15" s="1337"/>
      <c r="ED15" s="1355">
        <f t="shared" si="20"/>
        <v>0.11390042742760831</v>
      </c>
      <c r="EE15" s="1254">
        <f t="shared" si="20"/>
        <v>0.10036150800482013</v>
      </c>
      <c r="EF15" s="1254">
        <f t="shared" si="20"/>
        <v>2.1731256791017728E-2</v>
      </c>
      <c r="EG15" s="1254">
        <f t="shared" si="20"/>
        <v>6.2677920391549735E-2</v>
      </c>
      <c r="EH15" s="1337"/>
      <c r="EI15" s="1254">
        <f t="shared" si="21"/>
        <v>-1</v>
      </c>
      <c r="EJ15" s="1254">
        <f t="shared" si="21"/>
        <v>-1</v>
      </c>
      <c r="EK15" s="1254">
        <f t="shared" si="21"/>
        <v>-1</v>
      </c>
      <c r="EL15" s="1254">
        <f t="shared" si="21"/>
        <v>-1</v>
      </c>
      <c r="EM15" s="1337"/>
      <c r="EN15" s="928"/>
      <c r="EO15" s="928"/>
      <c r="EP15" s="928"/>
      <c r="EQ15" s="928"/>
      <c r="ER15" s="928"/>
      <c r="ES15" s="928"/>
      <c r="ET15" s="928"/>
      <c r="EU15" s="928"/>
      <c r="EV15" s="928"/>
      <c r="EW15" s="928"/>
      <c r="EX15" s="928"/>
      <c r="EY15" s="928"/>
      <c r="EZ15" s="928"/>
      <c r="FA15" s="928"/>
      <c r="FB15" s="928"/>
      <c r="FC15" s="928"/>
      <c r="FD15" s="928"/>
      <c r="FE15" s="928"/>
      <c r="FF15" s="1349">
        <v>2075</v>
      </c>
      <c r="FG15" s="1363">
        <v>7.3627567651471937E-2</v>
      </c>
      <c r="FH15" s="1350">
        <v>2107.3999999999996</v>
      </c>
      <c r="FI15" s="1351">
        <v>5.2489636917544713E-2</v>
      </c>
      <c r="FJ15" s="1609">
        <v>450</v>
      </c>
      <c r="FK15" s="1612">
        <v>-0.75679619521158736</v>
      </c>
      <c r="FL15" s="928"/>
      <c r="FM15" s="928"/>
      <c r="FN15" s="928"/>
      <c r="FO15" s="928"/>
      <c r="FP15" s="928"/>
      <c r="FQ15" s="928"/>
    </row>
    <row r="16" spans="1:173" ht="14.25" customHeight="1">
      <c r="A16" s="1545" t="s">
        <v>131</v>
      </c>
      <c r="B16" s="1546"/>
      <c r="C16" s="1546"/>
      <c r="D16" s="1546"/>
      <c r="E16" s="1546"/>
      <c r="F16" s="1546"/>
      <c r="G16" s="1530">
        <f t="shared" ref="G16:AL16" si="25">+SUM(G7,G12:G15)</f>
        <v>13472.4</v>
      </c>
      <c r="H16" s="1407">
        <f t="shared" si="25"/>
        <v>15431.199999999999</v>
      </c>
      <c r="I16" s="1407">
        <f t="shared" si="25"/>
        <v>16296.800000000001</v>
      </c>
      <c r="J16" s="1407">
        <f t="shared" si="25"/>
        <v>18616.800000000003</v>
      </c>
      <c r="K16" s="1380">
        <f t="shared" si="25"/>
        <v>63817.200000000004</v>
      </c>
      <c r="L16" s="1530">
        <f t="shared" si="25"/>
        <v>15440.500000000002</v>
      </c>
      <c r="M16" s="1407">
        <f t="shared" si="25"/>
        <v>17305.099999999999</v>
      </c>
      <c r="N16" s="1407">
        <f t="shared" si="25"/>
        <v>17711.499999999996</v>
      </c>
      <c r="O16" s="1407">
        <f t="shared" si="25"/>
        <v>20127</v>
      </c>
      <c r="P16" s="1380">
        <f t="shared" si="25"/>
        <v>70584.099999999991</v>
      </c>
      <c r="Q16" s="1407">
        <f t="shared" si="25"/>
        <v>15812.9</v>
      </c>
      <c r="R16" s="1407">
        <f t="shared" si="25"/>
        <v>18397.2</v>
      </c>
      <c r="S16" s="1407">
        <f t="shared" si="25"/>
        <v>19129.100000000002</v>
      </c>
      <c r="T16" s="1407">
        <f t="shared" si="25"/>
        <v>21791.700000000004</v>
      </c>
      <c r="U16" s="1407">
        <f t="shared" si="25"/>
        <v>75130.900000000009</v>
      </c>
      <c r="V16" s="1530">
        <f t="shared" si="25"/>
        <v>17229.099999999999</v>
      </c>
      <c r="W16" s="1407">
        <f t="shared" si="25"/>
        <v>19807.372350000001</v>
      </c>
      <c r="X16" s="1407">
        <f t="shared" si="25"/>
        <v>20091.327649999999</v>
      </c>
      <c r="Y16" s="1407">
        <f t="shared" si="25"/>
        <v>24380.2</v>
      </c>
      <c r="Z16" s="1380">
        <f t="shared" si="25"/>
        <v>81508</v>
      </c>
      <c r="AA16" s="1407">
        <f t="shared" si="25"/>
        <v>20275.600000000002</v>
      </c>
      <c r="AB16" s="1407">
        <f t="shared" si="25"/>
        <v>21453.7</v>
      </c>
      <c r="AC16" s="1407">
        <f t="shared" si="25"/>
        <v>22824</v>
      </c>
      <c r="AD16" s="1407">
        <f t="shared" si="25"/>
        <v>25645.4</v>
      </c>
      <c r="AE16" s="1407">
        <f t="shared" si="25"/>
        <v>90198.7</v>
      </c>
      <c r="AF16" s="1530">
        <f t="shared" si="25"/>
        <v>22272.199999999997</v>
      </c>
      <c r="AG16" s="1407">
        <f t="shared" si="25"/>
        <v>24220.500000000004</v>
      </c>
      <c r="AH16" s="1407">
        <f t="shared" si="25"/>
        <v>24562.800000000003</v>
      </c>
      <c r="AI16" s="1407">
        <f t="shared" si="25"/>
        <v>28292.500000000004</v>
      </c>
      <c r="AJ16" s="1380">
        <f t="shared" si="25"/>
        <v>99347.8</v>
      </c>
      <c r="AK16" s="1407">
        <f t="shared" si="25"/>
        <v>22909</v>
      </c>
      <c r="AL16" s="1407">
        <f t="shared" si="25"/>
        <v>23949.1</v>
      </c>
      <c r="AM16" s="1407">
        <f t="shared" ref="AM16:BJ16" si="26">+SUM(AM7,AM12:AM15)</f>
        <v>23763.600000000002</v>
      </c>
      <c r="AN16" s="1407">
        <f t="shared" si="26"/>
        <v>26996.7</v>
      </c>
      <c r="AO16" s="1380">
        <f t="shared" si="26"/>
        <v>97618</v>
      </c>
      <c r="AP16" s="1407">
        <f t="shared" si="26"/>
        <v>23821.7</v>
      </c>
      <c r="AQ16" s="1407">
        <f t="shared" si="26"/>
        <v>27768.5</v>
      </c>
      <c r="AR16" s="1407">
        <f t="shared" si="26"/>
        <v>26283.800000000003</v>
      </c>
      <c r="AS16" s="1407">
        <f t="shared" si="26"/>
        <v>28220.400000000001</v>
      </c>
      <c r="AT16" s="1380">
        <f t="shared" si="26"/>
        <v>106122</v>
      </c>
      <c r="AU16" s="1407">
        <f t="shared" si="26"/>
        <v>24624.899999999998</v>
      </c>
      <c r="AV16" s="1407">
        <f t="shared" si="26"/>
        <v>25560.300000000003</v>
      </c>
      <c r="AW16" s="1407">
        <f t="shared" si="26"/>
        <v>27202.799999999996</v>
      </c>
      <c r="AX16" s="1407">
        <f t="shared" si="26"/>
        <v>29495.700000000004</v>
      </c>
      <c r="AY16" s="1380">
        <f t="shared" si="26"/>
        <v>106044.59999999999</v>
      </c>
      <c r="AZ16" s="1407">
        <f t="shared" si="26"/>
        <v>24861.600000000002</v>
      </c>
      <c r="BA16" s="1407">
        <f t="shared" si="26"/>
        <v>24131.199999999997</v>
      </c>
      <c r="BB16" s="1407">
        <f t="shared" si="26"/>
        <v>25821.699999999997</v>
      </c>
      <c r="BC16" s="1407">
        <f t="shared" si="26"/>
        <v>29576.300000000003</v>
      </c>
      <c r="BD16" s="1407">
        <f t="shared" si="26"/>
        <v>104390.79999999999</v>
      </c>
      <c r="BE16" s="1530">
        <f t="shared" si="26"/>
        <v>25668.799999999999</v>
      </c>
      <c r="BF16" s="1407">
        <f t="shared" si="26"/>
        <v>26627.9</v>
      </c>
      <c r="BG16" s="1407">
        <f t="shared" si="26"/>
        <v>28044.9</v>
      </c>
      <c r="BH16" s="1407">
        <f t="shared" si="26"/>
        <v>30676.000000000004</v>
      </c>
      <c r="BI16" s="1380">
        <f t="shared" si="26"/>
        <v>111018.5</v>
      </c>
      <c r="BJ16" s="1530">
        <f t="shared" si="26"/>
        <v>18741.3</v>
      </c>
      <c r="BK16" s="1407">
        <f t="shared" ref="BK16:BM16" si="27">+SUM(BK7,BK12:BK15)</f>
        <v>18632.8</v>
      </c>
      <c r="BL16" s="1407">
        <f t="shared" si="27"/>
        <v>19313.3</v>
      </c>
      <c r="BM16" s="1407">
        <f t="shared" si="27"/>
        <v>19402.2</v>
      </c>
      <c r="BN16" s="1380">
        <f>+SUM(BN7,BN12:BN15)</f>
        <v>76089.600000000006</v>
      </c>
      <c r="BO16" s="1530">
        <f t="shared" ref="BO16" si="28">+SUM(BO7,BO12:BO15)</f>
        <v>18630.600000000002</v>
      </c>
      <c r="BP16" s="1407">
        <f t="shared" ref="BP16:BQ16" si="29">+SUM(BP7,BP12:BP15)</f>
        <v>18658.599999999999</v>
      </c>
      <c r="BQ16" s="1407">
        <f t="shared" si="29"/>
        <v>18419.2</v>
      </c>
      <c r="BR16" s="1407">
        <f t="shared" ref="BR16" si="30">+SUM(BR7,BR12:BR15)</f>
        <v>18549.8</v>
      </c>
      <c r="BS16" s="1380">
        <f t="shared" ref="BS16:BW16" si="31">+SUM(BS7,BS12:BS15)</f>
        <v>74258.3</v>
      </c>
      <c r="BT16" s="1530">
        <f t="shared" si="31"/>
        <v>15992.300000000001</v>
      </c>
      <c r="BU16" s="1407">
        <f t="shared" si="31"/>
        <v>16150</v>
      </c>
      <c r="BV16" s="1407">
        <f t="shared" si="31"/>
        <v>16150</v>
      </c>
      <c r="BW16" s="1407">
        <f t="shared" si="31"/>
        <v>16179.851064570928</v>
      </c>
      <c r="BX16" s="1380">
        <f t="shared" ref="BX16" si="32">+SUM(BX7,BX12:BX15)</f>
        <v>64472.151064570928</v>
      </c>
      <c r="BZ16" s="928"/>
      <c r="CA16" s="1547">
        <f t="shared" si="11"/>
        <v>0.14608384549152365</v>
      </c>
      <c r="CB16" s="1548">
        <f t="shared" si="11"/>
        <v>0.12143579242055047</v>
      </c>
      <c r="CC16" s="1548">
        <f t="shared" si="11"/>
        <v>8.680845319326469E-2</v>
      </c>
      <c r="CD16" s="1548">
        <f t="shared" si="11"/>
        <v>8.1120278458166606E-2</v>
      </c>
      <c r="CE16" s="1549">
        <f>P16/K16-1</f>
        <v>0.10603567690215154</v>
      </c>
      <c r="CF16" s="1547">
        <f t="shared" si="12"/>
        <v>2.4118389948511787E-2</v>
      </c>
      <c r="CG16" s="1548">
        <f t="shared" si="12"/>
        <v>6.3108563371491844E-2</v>
      </c>
      <c r="CH16" s="1548">
        <f t="shared" si="12"/>
        <v>8.003839313440464E-2</v>
      </c>
      <c r="CI16" s="1548">
        <f t="shared" si="12"/>
        <v>8.2709792815621075E-2</v>
      </c>
      <c r="CJ16" s="1548">
        <f>U16/P16-1</f>
        <v>6.4416773749329082E-2</v>
      </c>
      <c r="CK16" s="1547">
        <f t="shared" si="22"/>
        <v>8.955978979187873E-2</v>
      </c>
      <c r="CL16" s="1548">
        <f t="shared" si="22"/>
        <v>7.6651465983954115E-2</v>
      </c>
      <c r="CM16" s="1550">
        <f>(X16-X262)/S16-1</f>
        <v>3.3066252463523904E-2</v>
      </c>
      <c r="CN16" s="1550">
        <f>(Y16-Y262)/T16-1</f>
        <v>7.1059164727854895E-2</v>
      </c>
      <c r="CO16" s="1337"/>
      <c r="CP16" s="1551">
        <f>(AA16-1545)/V16-1</f>
        <v>8.7149067565920557E-2</v>
      </c>
      <c r="CQ16" s="1552">
        <f>(AB16-1598.5)/W16-1</f>
        <v>2.4146388099781646E-3</v>
      </c>
      <c r="CR16" s="1552">
        <f>(AC16-1632)/X16-1</f>
        <v>5.4783455288481164E-2</v>
      </c>
      <c r="CS16" s="1552">
        <f>(AD16-559.7)/Y16-1</f>
        <v>2.8937416428085116E-2</v>
      </c>
      <c r="CT16" s="1337"/>
      <c r="CU16" s="1553">
        <f>(AF16)/AA16-1</f>
        <v>9.8473041488291058E-2</v>
      </c>
      <c r="CV16" s="1554">
        <f>(AG16)/AB16-1</f>
        <v>0.12896609908780321</v>
      </c>
      <c r="CW16" s="1554">
        <f>(AH16)/AC16-1</f>
        <v>7.6182965299684602E-2</v>
      </c>
      <c r="CX16" s="1554">
        <f>(AI16)/AD16-1</f>
        <v>0.1032192907889915</v>
      </c>
      <c r="CY16" s="1337"/>
      <c r="CZ16" s="1555">
        <f>(AK16)/AF16-1</f>
        <v>2.8591697272833505E-2</v>
      </c>
      <c r="DA16" s="1554">
        <f>(AL16)/AG16-1</f>
        <v>-1.12053838690368E-2</v>
      </c>
      <c r="DB16" s="1554">
        <f>(AM16)/AH16-1</f>
        <v>-3.2537007181591693E-2</v>
      </c>
      <c r="DC16" s="1554">
        <f>(AN16)/AI16-1</f>
        <v>-4.5800123707696483E-2</v>
      </c>
      <c r="DD16" s="1337"/>
      <c r="DE16" s="1555">
        <f t="shared" si="15"/>
        <v>3.9840237461259864E-2</v>
      </c>
      <c r="DF16" s="1554">
        <f t="shared" si="15"/>
        <v>0.15947989694811082</v>
      </c>
      <c r="DG16" s="1554">
        <f t="shared" si="15"/>
        <v>0.1060529549394873</v>
      </c>
      <c r="DH16" s="1554">
        <f t="shared" si="15"/>
        <v>4.5327762282056705E-2</v>
      </c>
      <c r="DI16" s="928"/>
      <c r="DJ16" s="1555">
        <f t="shared" si="16"/>
        <v>3.3717157045886514E-2</v>
      </c>
      <c r="DK16" s="1554">
        <f t="shared" si="16"/>
        <v>-7.9521760267929342E-2</v>
      </c>
      <c r="DL16" s="1554">
        <f t="shared" si="16"/>
        <v>3.4964502849663681E-2</v>
      </c>
      <c r="DM16" s="1554">
        <f t="shared" si="16"/>
        <v>4.5190713101161073E-2</v>
      </c>
      <c r="DN16" s="1337"/>
      <c r="DO16" s="1555">
        <f t="shared" si="17"/>
        <v>9.6122217755201245E-3</v>
      </c>
      <c r="DP16" s="1554">
        <f t="shared" si="17"/>
        <v>-5.5910924363172798E-2</v>
      </c>
      <c r="DQ16" s="1554">
        <f t="shared" si="17"/>
        <v>-5.0770508918199564E-2</v>
      </c>
      <c r="DR16" s="1554">
        <f t="shared" si="17"/>
        <v>2.7326017012647696E-3</v>
      </c>
      <c r="DS16" s="1337"/>
      <c r="DT16" s="1554">
        <f t="shared" si="18"/>
        <v>3.2467741416481566E-2</v>
      </c>
      <c r="DU16" s="1554">
        <f t="shared" si="18"/>
        <v>0.10346356584007443</v>
      </c>
      <c r="DV16" s="1554">
        <f t="shared" si="18"/>
        <v>8.6098126769345251E-2</v>
      </c>
      <c r="DW16" s="1554">
        <f t="shared" si="18"/>
        <v>3.7181797587933607E-2</v>
      </c>
      <c r="DX16" s="928"/>
      <c r="DY16" s="1555">
        <f t="shared" si="19"/>
        <v>-0.26988016580440066</v>
      </c>
      <c r="DZ16" s="1554">
        <f t="shared" si="19"/>
        <v>-0.30025274242429945</v>
      </c>
      <c r="EA16" s="1554">
        <f t="shared" si="19"/>
        <v>-0.31134359544872692</v>
      </c>
      <c r="EB16" s="1554">
        <f t="shared" si="19"/>
        <v>-0.36751206154648586</v>
      </c>
      <c r="EC16" s="1337"/>
      <c r="ED16" s="1555">
        <f t="shared" si="20"/>
        <v>-5.9067407276974793E-3</v>
      </c>
      <c r="EE16" s="1554">
        <f t="shared" si="20"/>
        <v>1.3846550169593907E-3</v>
      </c>
      <c r="EF16" s="1554">
        <f t="shared" si="20"/>
        <v>-4.6294522427549833E-2</v>
      </c>
      <c r="EG16" s="1554">
        <f t="shared" si="20"/>
        <v>-4.393316221871757E-2</v>
      </c>
      <c r="EH16" s="1337"/>
      <c r="EI16" s="1657">
        <v>-4.7E-2</v>
      </c>
      <c r="EJ16" s="1554">
        <f t="shared" ref="EJ16:EL18" si="33">BU16/BP16-1</f>
        <v>-0.13444738619189001</v>
      </c>
      <c r="EK16" s="1554">
        <f t="shared" si="33"/>
        <v>-0.12319753300903413</v>
      </c>
      <c r="EL16" s="1554">
        <f t="shared" si="33"/>
        <v>-0.12776142790914569</v>
      </c>
      <c r="EM16" s="1337"/>
      <c r="EN16" s="928"/>
      <c r="EO16" s="928"/>
      <c r="EP16" s="928"/>
      <c r="EQ16" s="1393"/>
      <c r="ER16" s="1556" t="s">
        <v>3805</v>
      </c>
      <c r="ES16" s="1556" t="s">
        <v>3806</v>
      </c>
      <c r="ET16" s="1556" t="s">
        <v>3807</v>
      </c>
      <c r="EU16" s="1556" t="s">
        <v>3808</v>
      </c>
      <c r="EV16" s="1556" t="str">
        <f>EV12</f>
        <v>Q1 19</v>
      </c>
      <c r="EW16" s="1556" t="str">
        <f t="shared" ref="EW16:FC16" si="34">EW12</f>
        <v>Q2 19</v>
      </c>
      <c r="EX16" s="1556" t="str">
        <f t="shared" si="34"/>
        <v>Q3 19</v>
      </c>
      <c r="EY16" s="1556" t="str">
        <f t="shared" si="34"/>
        <v>Q4 19</v>
      </c>
      <c r="EZ16" s="1556" t="str">
        <f t="shared" si="34"/>
        <v>Q1 20</v>
      </c>
      <c r="FA16" s="1556" t="str">
        <f t="shared" si="34"/>
        <v>Q2 20</v>
      </c>
      <c r="FB16" s="1556" t="str">
        <f t="shared" si="34"/>
        <v>Q3 20</v>
      </c>
      <c r="FC16" s="1556" t="str">
        <f t="shared" si="34"/>
        <v>Q4 20</v>
      </c>
      <c r="FD16" s="928"/>
      <c r="FE16" s="928"/>
      <c r="FF16" s="1557">
        <v>18955.089999999997</v>
      </c>
      <c r="FG16" s="1558">
        <v>-1.854732231156786E-2</v>
      </c>
      <c r="FH16" s="1559">
        <v>18973.430485608558</v>
      </c>
      <c r="FI16" s="1368">
        <v>-2.2099015286485169E-2</v>
      </c>
      <c r="FJ16" s="1610">
        <v>16650</v>
      </c>
      <c r="FK16" s="1634">
        <v>-0.10630897555634289</v>
      </c>
      <c r="FL16" s="928"/>
      <c r="FM16" s="928"/>
      <c r="FN16" s="928"/>
      <c r="FO16" s="928"/>
      <c r="FP16" s="928"/>
      <c r="FQ16" s="928"/>
    </row>
    <row r="17" spans="1:173" ht="14.25" customHeight="1">
      <c r="A17" s="1206" t="s">
        <v>132</v>
      </c>
      <c r="B17" s="1369"/>
      <c r="C17" s="1369"/>
      <c r="D17" s="1369"/>
      <c r="E17" s="1369"/>
      <c r="F17" s="1369"/>
      <c r="G17" s="1371">
        <v>-272.8</v>
      </c>
      <c r="H17" s="1371">
        <v>-305.5</v>
      </c>
      <c r="I17" s="1371">
        <v>-333.3</v>
      </c>
      <c r="J17" s="1371">
        <v>-324.10000000000002</v>
      </c>
      <c r="K17" s="1371">
        <f>+SUM(G17:J17)</f>
        <v>-1235.6999999999998</v>
      </c>
      <c r="L17" s="1371">
        <v>-283.89999999999998</v>
      </c>
      <c r="M17" s="1371">
        <v>-321.3</v>
      </c>
      <c r="N17" s="1371">
        <v>-354</v>
      </c>
      <c r="O17" s="1343">
        <v>-334.5</v>
      </c>
      <c r="P17" s="1371">
        <f>+SUM(L17:O17)</f>
        <v>-1293.7</v>
      </c>
      <c r="Q17" s="1371">
        <v>-293.5</v>
      </c>
      <c r="R17" s="1371">
        <v>-332.3</v>
      </c>
      <c r="S17" s="1371">
        <f>S18-S16</f>
        <v>-366.00000000000364</v>
      </c>
      <c r="T17" s="1371">
        <f>-1337.3-Q17-R17-S17</f>
        <v>-345.49999999999636</v>
      </c>
      <c r="U17" s="1371">
        <f>+SUM(Q17:T17)</f>
        <v>-1337.3</v>
      </c>
      <c r="V17" s="1371">
        <v>-305.10000000000002</v>
      </c>
      <c r="W17" s="1371">
        <v>-344.9</v>
      </c>
      <c r="X17" s="1371">
        <v>-380.6</v>
      </c>
      <c r="Y17" s="1371">
        <f>Y18-Y16</f>
        <v>-359.00000000000364</v>
      </c>
      <c r="Z17" s="1371">
        <f>+SUM(V17:Y17)</f>
        <v>-1389.6000000000035</v>
      </c>
      <c r="AA17" s="1371">
        <f>AA18-AA16</f>
        <v>-416.20000000000073</v>
      </c>
      <c r="AB17" s="1371">
        <v>-468</v>
      </c>
      <c r="AC17" s="1371">
        <v>-567.5</v>
      </c>
      <c r="AD17" s="1371">
        <f>-2146.9-AA17-AB17-AC17</f>
        <v>-695.19999999999936</v>
      </c>
      <c r="AE17" s="1343">
        <f>Master!N55</f>
        <v>-2146.9</v>
      </c>
      <c r="AF17" s="1343">
        <v>-531.20000000000005</v>
      </c>
      <c r="AG17" s="1343">
        <v>-697</v>
      </c>
      <c r="AH17" s="1343">
        <v>-840.7</v>
      </c>
      <c r="AI17" s="1343">
        <f>-3060.4-AF17-AG17-AH17</f>
        <v>-991.49999999999977</v>
      </c>
      <c r="AJ17" s="1343">
        <f>Master!O55</f>
        <v>-3064.4</v>
      </c>
      <c r="AK17" s="1343">
        <v>-731.9</v>
      </c>
      <c r="AL17" s="1343">
        <v>-787.3</v>
      </c>
      <c r="AM17" s="1343">
        <v>-931.3</v>
      </c>
      <c r="AN17" s="1343">
        <f>-3344.2-AK17-AL17-AM17</f>
        <v>-893.69999999999982</v>
      </c>
      <c r="AO17" s="1343">
        <f>Master!P55</f>
        <v>-3343</v>
      </c>
      <c r="AP17" s="1343">
        <v>-1009.7</v>
      </c>
      <c r="AQ17" s="1343">
        <v>-1066.7</v>
      </c>
      <c r="AR17" s="1343">
        <v>-1250.5999999999999</v>
      </c>
      <c r="AS17" s="1343">
        <f>-4812.1-AP17-AQ17-AR17</f>
        <v>-1485.1000000000008</v>
      </c>
      <c r="AT17" s="1343">
        <f>Master!Q55</f>
        <v>-4812</v>
      </c>
      <c r="AU17" s="1343">
        <v>-1229.7</v>
      </c>
      <c r="AV17" s="1343">
        <v>-1252.7</v>
      </c>
      <c r="AW17" s="1343">
        <v>-1416.4</v>
      </c>
      <c r="AX17" s="1343">
        <v>-1495.3</v>
      </c>
      <c r="AY17" s="1343">
        <f>Master!R55</f>
        <v>-5394</v>
      </c>
      <c r="AZ17" s="1359">
        <v>-1632.8</v>
      </c>
      <c r="BA17" s="1359">
        <v>-1799.8</v>
      </c>
      <c r="BB17" s="1359">
        <v>-1878.7</v>
      </c>
      <c r="BC17" s="1343">
        <f>BD17-AZ17-BA17-BB17</f>
        <v>-1941.1999999999996</v>
      </c>
      <c r="BD17" s="1343">
        <f>Master!S55</f>
        <v>-7252.5</v>
      </c>
      <c r="BE17" s="1359">
        <v>-1840</v>
      </c>
      <c r="BF17" s="1359">
        <v>-1875.5</v>
      </c>
      <c r="BG17" s="1359">
        <v>-1917</v>
      </c>
      <c r="BH17" s="1359">
        <v>-1864.2</v>
      </c>
      <c r="BI17" s="1343">
        <f>Master!T55</f>
        <v>-7496.7</v>
      </c>
      <c r="BJ17" s="1359">
        <v>-132.1</v>
      </c>
      <c r="BK17" s="1359">
        <v>-99.3</v>
      </c>
      <c r="BL17" s="1359">
        <v>-61.6</v>
      </c>
      <c r="BM17" s="1359">
        <v>-269.89999999999998</v>
      </c>
      <c r="BN17" s="1343">
        <f>Master!U55</f>
        <v>-563</v>
      </c>
      <c r="BO17" s="1494">
        <v>-111</v>
      </c>
      <c r="BP17" s="1359">
        <v>-138.4</v>
      </c>
      <c r="BQ17" s="1359">
        <v>-103.5</v>
      </c>
      <c r="BR17" s="1359">
        <v>-137.4</v>
      </c>
      <c r="BS17" s="1343">
        <f>Master!V55</f>
        <v>-490.4</v>
      </c>
      <c r="BT17" s="1494">
        <v>-40.9</v>
      </c>
      <c r="BU17" s="1535">
        <f>BT17/BT16*BU16</f>
        <v>-41.303314720209094</v>
      </c>
      <c r="BV17" s="1535">
        <f>BU17/BU16*BV16</f>
        <v>-41.303314720209094</v>
      </c>
      <c r="BW17" s="1398">
        <f>BX17-BT17-BU17-BV17</f>
        <v>-46.493370559581798</v>
      </c>
      <c r="BX17" s="1343">
        <f>Master!W55</f>
        <v>-170</v>
      </c>
      <c r="BY17" s="1345"/>
      <c r="BZ17" s="928"/>
      <c r="CA17" s="1254">
        <f t="shared" si="11"/>
        <v>4.0689149560117155E-2</v>
      </c>
      <c r="CB17" s="1254">
        <f t="shared" si="11"/>
        <v>5.1718494271685733E-2</v>
      </c>
      <c r="CC17" s="1254">
        <f t="shared" si="11"/>
        <v>6.2106210621062141E-2</v>
      </c>
      <c r="CD17" s="1254">
        <f t="shared" si="11"/>
        <v>3.2088861462511442E-2</v>
      </c>
      <c r="CE17" s="928"/>
      <c r="CF17" s="1254">
        <f t="shared" si="12"/>
        <v>3.3814723494188126E-2</v>
      </c>
      <c r="CG17" s="1254">
        <f t="shared" si="12"/>
        <v>3.4235916588857718E-2</v>
      </c>
      <c r="CH17" s="1254">
        <f t="shared" si="12"/>
        <v>3.3898305084756108E-2</v>
      </c>
      <c r="CI17" s="1254">
        <f t="shared" si="12"/>
        <v>3.2884902840048857E-2</v>
      </c>
      <c r="CJ17" s="928"/>
      <c r="CK17" s="1254">
        <f t="shared" si="22"/>
        <v>3.9522998296422474E-2</v>
      </c>
      <c r="CL17" s="1254">
        <f t="shared" si="22"/>
        <v>3.7917544387601421E-2</v>
      </c>
      <c r="CM17" s="1254">
        <f>X17/S17-1</f>
        <v>3.9890710382503469E-2</v>
      </c>
      <c r="CN17" s="1254">
        <f>Y17/T17-1</f>
        <v>3.9073806078169016E-2</v>
      </c>
      <c r="CO17" s="928"/>
      <c r="CP17" s="1254">
        <f>AA17/V17-1</f>
        <v>0.3641429039659152</v>
      </c>
      <c r="CQ17" s="1254">
        <f>AB17/W17-1</f>
        <v>0.35691504783995365</v>
      </c>
      <c r="CR17" s="1254">
        <f>AC17/X17-1</f>
        <v>0.49106673673147649</v>
      </c>
      <c r="CS17" s="1254">
        <f>AD17/Y17-1</f>
        <v>0.9364902506963575</v>
      </c>
      <c r="CT17" s="928"/>
      <c r="CU17" s="1254">
        <f>AF17/AA17-1</f>
        <v>0.2763094666025927</v>
      </c>
      <c r="CV17" s="1254">
        <f>AG17/AB17-1</f>
        <v>0.48931623931623935</v>
      </c>
      <c r="CW17" s="1254">
        <f>AH17/AC17-1</f>
        <v>0.48140969162995595</v>
      </c>
      <c r="CX17" s="1254">
        <f>AI17/AD17-1</f>
        <v>0.4262082853855016</v>
      </c>
      <c r="CY17" s="928"/>
      <c r="CZ17" s="1254">
        <f>AK17/AF17-1</f>
        <v>0.37782379518072262</v>
      </c>
      <c r="DA17" s="1254">
        <f>AL17/AG17-1</f>
        <v>0.12955523672883773</v>
      </c>
      <c r="DB17" s="1254">
        <f>AM17/AH17-1</f>
        <v>0.10776733674319017</v>
      </c>
      <c r="DC17" s="1254">
        <f>AN17/AI17-1</f>
        <v>-9.8638426626323716E-2</v>
      </c>
      <c r="DD17" s="928"/>
      <c r="DE17" s="1254">
        <f t="shared" si="15"/>
        <v>0.37956004918704744</v>
      </c>
      <c r="DF17" s="1254">
        <f t="shared" si="15"/>
        <v>0.35488378000762122</v>
      </c>
      <c r="DG17" s="1254">
        <f t="shared" si="15"/>
        <v>0.34285407494899589</v>
      </c>
      <c r="DH17" s="1254">
        <f t="shared" si="15"/>
        <v>0.66174331431129141</v>
      </c>
      <c r="DI17" s="928"/>
      <c r="DJ17" s="1254">
        <f t="shared" si="16"/>
        <v>0.21788650094087347</v>
      </c>
      <c r="DK17" s="1254">
        <f t="shared" si="16"/>
        <v>0.17436955095153284</v>
      </c>
      <c r="DL17" s="1254">
        <f t="shared" si="16"/>
        <v>0.13257636334559431</v>
      </c>
      <c r="DM17" s="1254">
        <f t="shared" si="16"/>
        <v>6.868224361995301E-3</v>
      </c>
      <c r="DN17" s="928"/>
      <c r="DO17" s="1254">
        <f t="shared" si="17"/>
        <v>0.32780352931609325</v>
      </c>
      <c r="DP17" s="1254">
        <f t="shared" si="17"/>
        <v>0.43673664883850871</v>
      </c>
      <c r="DQ17" s="1254">
        <f t="shared" si="17"/>
        <v>0.3263908500423609</v>
      </c>
      <c r="DR17" s="1254">
        <f t="shared" si="17"/>
        <v>0.29820102989366659</v>
      </c>
      <c r="DS17" s="928"/>
      <c r="DT17" s="1254">
        <f t="shared" si="18"/>
        <v>0.1268985791278785</v>
      </c>
      <c r="DU17" s="1254">
        <f t="shared" si="18"/>
        <v>4.2060228914323927E-2</v>
      </c>
      <c r="DV17" s="1254">
        <f t="shared" si="18"/>
        <v>2.0386437430137905E-2</v>
      </c>
      <c r="DW17" s="1254">
        <f t="shared" si="18"/>
        <v>-3.9666185864413506E-2</v>
      </c>
      <c r="DX17" s="928"/>
      <c r="DY17" s="1355">
        <f t="shared" si="19"/>
        <v>-0.92820652173913043</v>
      </c>
      <c r="DZ17" s="1254">
        <f t="shared" si="19"/>
        <v>-0.94705411890162627</v>
      </c>
      <c r="EA17" s="1254">
        <f t="shared" si="19"/>
        <v>-0.96786645800730309</v>
      </c>
      <c r="EB17" s="1254">
        <f t="shared" si="19"/>
        <v>-0.85521939706040129</v>
      </c>
      <c r="EC17" s="1337"/>
      <c r="ED17" s="1355">
        <f t="shared" si="20"/>
        <v>-0.15972747918243746</v>
      </c>
      <c r="EE17" s="1254">
        <f t="shared" si="20"/>
        <v>0.39375629405840895</v>
      </c>
      <c r="EF17" s="1254">
        <f t="shared" si="20"/>
        <v>0.68019480519480524</v>
      </c>
      <c r="EG17" s="1254">
        <f t="shared" si="20"/>
        <v>-0.49092256391256017</v>
      </c>
      <c r="EH17" s="1337"/>
      <c r="EI17" s="1254">
        <f>BT17/BO17-1</f>
        <v>-0.63153153153153152</v>
      </c>
      <c r="EJ17" s="1254">
        <f t="shared" si="33"/>
        <v>-0.70156564508519437</v>
      </c>
      <c r="EK17" s="1254">
        <f t="shared" si="33"/>
        <v>-0.60093415729266575</v>
      </c>
      <c r="EL17" s="1254">
        <f t="shared" si="33"/>
        <v>-0.66162030160420815</v>
      </c>
      <c r="EM17" s="1337"/>
      <c r="EN17" s="928"/>
      <c r="EO17" s="928"/>
      <c r="EP17" s="928"/>
      <c r="EQ17" s="928" t="s">
        <v>4772</v>
      </c>
      <c r="ER17" s="1316">
        <f>DE26</f>
        <v>7.8768433756218226E-2</v>
      </c>
      <c r="ES17" s="1316">
        <f>DF26</f>
        <v>8.1951021119600176E-2</v>
      </c>
      <c r="ET17" s="1316">
        <f>DG26</f>
        <v>0.10898254576415489</v>
      </c>
      <c r="EU17" s="1316">
        <f>DH26</f>
        <v>9.0966037530299637E-2</v>
      </c>
      <c r="EV17" s="1316">
        <f>DJ26</f>
        <v>0.17250129607901998</v>
      </c>
      <c r="EW17" s="1316">
        <f>DK26</f>
        <v>0.20118676833852422</v>
      </c>
      <c r="EX17" s="1316">
        <f>DL26</f>
        <v>0.14694817658349324</v>
      </c>
      <c r="EY17" s="1316">
        <f>DM26</f>
        <v>0.13463314776443558</v>
      </c>
      <c r="EZ17" s="1316">
        <f>DO26</f>
        <v>4.4960554792767171E-2</v>
      </c>
      <c r="FA17" s="1316">
        <f>DP26</f>
        <v>4.0861032255180341E-2</v>
      </c>
      <c r="FB17" s="1316">
        <f>DQ26</f>
        <v>7.0285829038088332E-2</v>
      </c>
      <c r="FC17" s="1316">
        <f>DR26</f>
        <v>9.0165016501650097E-2</v>
      </c>
      <c r="FD17" s="928"/>
      <c r="FE17" s="928"/>
      <c r="FF17" s="1349">
        <v>-100</v>
      </c>
      <c r="FG17" s="1363">
        <v>0.62337662337662336</v>
      </c>
      <c r="FH17" s="1350">
        <v>-97.1</v>
      </c>
      <c r="FI17" s="1351">
        <v>-0.64023712486105966</v>
      </c>
      <c r="FJ17" s="1609">
        <v>-99.199703713245938</v>
      </c>
      <c r="FK17" s="1612">
        <v>-0.10630897555634289</v>
      </c>
      <c r="FL17" s="928"/>
      <c r="FM17" s="928"/>
      <c r="FN17" s="928"/>
      <c r="FO17" s="928"/>
      <c r="FP17" s="928"/>
      <c r="FQ17" s="928"/>
    </row>
    <row r="18" spans="1:173" ht="14.25" customHeight="1">
      <c r="A18" s="1400" t="s">
        <v>134</v>
      </c>
      <c r="B18" s="1546"/>
      <c r="C18" s="1546"/>
      <c r="D18" s="1546"/>
      <c r="E18" s="1546"/>
      <c r="F18" s="1546"/>
      <c r="G18" s="1407">
        <f t="shared" ref="G18:P18" si="35">+G16+G17</f>
        <v>13199.6</v>
      </c>
      <c r="H18" s="1407">
        <f t="shared" si="35"/>
        <v>15125.699999999999</v>
      </c>
      <c r="I18" s="1407">
        <f t="shared" si="35"/>
        <v>15963.500000000002</v>
      </c>
      <c r="J18" s="1407">
        <f t="shared" si="35"/>
        <v>18292.700000000004</v>
      </c>
      <c r="K18" s="1407">
        <f t="shared" si="35"/>
        <v>62581.500000000007</v>
      </c>
      <c r="L18" s="1407">
        <f t="shared" si="35"/>
        <v>15156.600000000002</v>
      </c>
      <c r="M18" s="1407">
        <f t="shared" si="35"/>
        <v>16983.8</v>
      </c>
      <c r="N18" s="1407">
        <f t="shared" si="35"/>
        <v>17357.499999999996</v>
      </c>
      <c r="O18" s="1407">
        <f t="shared" si="35"/>
        <v>19792.5</v>
      </c>
      <c r="P18" s="1407">
        <f t="shared" si="35"/>
        <v>69290.399999999994</v>
      </c>
      <c r="Q18" s="1407">
        <f>Q16+Q17</f>
        <v>15519.4</v>
      </c>
      <c r="R18" s="1407">
        <f>R16+R17</f>
        <v>18064.900000000001</v>
      </c>
      <c r="S18" s="1407">
        <v>18763.099999999999</v>
      </c>
      <c r="T18" s="1407">
        <f>T16+T17</f>
        <v>21446.200000000008</v>
      </c>
      <c r="U18" s="1407">
        <f>+U16+U17</f>
        <v>73793.600000000006</v>
      </c>
      <c r="V18" s="1407">
        <v>16924</v>
      </c>
      <c r="W18" s="1407">
        <f>W16+W17</f>
        <v>19462.47235</v>
      </c>
      <c r="X18" s="1407">
        <f>X16+X17</f>
        <v>19710.727650000001</v>
      </c>
      <c r="Y18" s="1407">
        <f>80118.4-V18-W18-X18</f>
        <v>24021.199999999997</v>
      </c>
      <c r="Z18" s="1407">
        <f>+Z16+Z17</f>
        <v>80118.399999999994</v>
      </c>
      <c r="AA18" s="1407">
        <v>19859.400000000001</v>
      </c>
      <c r="AB18" s="1407">
        <f>AB16+AB17</f>
        <v>20985.7</v>
      </c>
      <c r="AC18" s="1407">
        <f>AC16+AC17</f>
        <v>22256.5</v>
      </c>
      <c r="AD18" s="1407">
        <f>AD16+AD17</f>
        <v>24950.2</v>
      </c>
      <c r="AE18" s="1407">
        <f>+AE16+AE17</f>
        <v>88051.8</v>
      </c>
      <c r="AF18" s="1407">
        <f>AF16+AF17</f>
        <v>21740.999999999996</v>
      </c>
      <c r="AG18" s="1407">
        <f>AG16+AG17</f>
        <v>23523.500000000004</v>
      </c>
      <c r="AH18" s="1407">
        <f>AH16+AH17</f>
        <v>23722.100000000002</v>
      </c>
      <c r="AI18" s="1407">
        <f>AI16+AI17</f>
        <v>27301.000000000004</v>
      </c>
      <c r="AJ18" s="1407">
        <f>+AJ16+AJ17</f>
        <v>96283.400000000009</v>
      </c>
      <c r="AK18" s="1407">
        <f>AK16+AK17</f>
        <v>22177.1</v>
      </c>
      <c r="AL18" s="1407">
        <f>AL16+AL17</f>
        <v>23161.8</v>
      </c>
      <c r="AM18" s="1407">
        <f>AM16+AM17</f>
        <v>22832.300000000003</v>
      </c>
      <c r="AN18" s="1407">
        <f>AN16+AN17</f>
        <v>26103</v>
      </c>
      <c r="AO18" s="1407">
        <f>+AO16+AO17</f>
        <v>94275</v>
      </c>
      <c r="AP18" s="1407">
        <f>AP16+AP17</f>
        <v>22812</v>
      </c>
      <c r="AQ18" s="1407">
        <f>AQ16+AQ17</f>
        <v>26701.8</v>
      </c>
      <c r="AR18" s="1407">
        <f>AR16+AR17</f>
        <v>25033.200000000004</v>
      </c>
      <c r="AS18" s="1407">
        <f>AS16+AS17</f>
        <v>26735.3</v>
      </c>
      <c r="AT18" s="1407">
        <f>+AT16+AT17</f>
        <v>101310</v>
      </c>
      <c r="AU18" s="1407">
        <f>AU16+AU17</f>
        <v>23395.199999999997</v>
      </c>
      <c r="AV18" s="1407">
        <f>AV16+AV17</f>
        <v>24307.600000000002</v>
      </c>
      <c r="AW18" s="1407">
        <f>AW16+AW17</f>
        <v>25786.399999999994</v>
      </c>
      <c r="AX18" s="1407">
        <f>AX16+AX17</f>
        <v>28000.400000000005</v>
      </c>
      <c r="AY18" s="1407">
        <f>+AY16+AY17</f>
        <v>100650.59999999999</v>
      </c>
      <c r="AZ18" s="1407">
        <f>AZ16+AZ17</f>
        <v>23228.800000000003</v>
      </c>
      <c r="BA18" s="1407">
        <f>BA16+BA17</f>
        <v>22331.399999999998</v>
      </c>
      <c r="BB18" s="1407">
        <f>BB16+BB17</f>
        <v>23942.999999999996</v>
      </c>
      <c r="BC18" s="1407">
        <f>BC16+BC17</f>
        <v>27635.100000000002</v>
      </c>
      <c r="BD18" s="1407">
        <f>+BD16+BD17</f>
        <v>97138.299999999988</v>
      </c>
      <c r="BE18" s="1407">
        <f>BE16+BE17</f>
        <v>23828.799999999999</v>
      </c>
      <c r="BF18" s="1407">
        <f>BF16+BF17</f>
        <v>24752.400000000001</v>
      </c>
      <c r="BG18" s="1407">
        <f>BG16+BG17</f>
        <v>26127.9</v>
      </c>
      <c r="BH18" s="1407">
        <f>BH16+BH17</f>
        <v>28811.800000000003</v>
      </c>
      <c r="BI18" s="1407">
        <f t="shared" ref="BI18" si="36">+BI16+BI17</f>
        <v>103521.8</v>
      </c>
      <c r="BJ18" s="1407">
        <f>BJ16+BJ17</f>
        <v>18609.2</v>
      </c>
      <c r="BK18" s="1407">
        <f>BK16+BK17</f>
        <v>18533.5</v>
      </c>
      <c r="BL18" s="1407">
        <f>BL16+BL17</f>
        <v>19251.7</v>
      </c>
      <c r="BM18" s="1407">
        <f>BM16+BM17</f>
        <v>19132.3</v>
      </c>
      <c r="BN18" s="1407">
        <f t="shared" ref="BN18" si="37">+BN16+BN17</f>
        <v>75526.600000000006</v>
      </c>
      <c r="BO18" s="1530">
        <f>BO16+BO17</f>
        <v>18519.600000000002</v>
      </c>
      <c r="BP18" s="1407">
        <f>BP16+BP17</f>
        <v>18520.199999999997</v>
      </c>
      <c r="BQ18" s="1407">
        <f>BQ16+BQ17</f>
        <v>18315.7</v>
      </c>
      <c r="BR18" s="1407">
        <f>BR16+BR17</f>
        <v>18412.399999999998</v>
      </c>
      <c r="BS18" s="1407">
        <f t="shared" ref="BS18" si="38">+BS16+BS17</f>
        <v>73767.900000000009</v>
      </c>
      <c r="BT18" s="1530">
        <f>BT16+BT17</f>
        <v>15951.400000000001</v>
      </c>
      <c r="BU18" s="1407">
        <f>BU16+BU17</f>
        <v>16108.69668527979</v>
      </c>
      <c r="BV18" s="1407">
        <f>BV16+BV17</f>
        <v>16108.69668527979</v>
      </c>
      <c r="BW18" s="1407">
        <f>BW16+BW17</f>
        <v>16133.357694011347</v>
      </c>
      <c r="BX18" s="1407">
        <f t="shared" ref="BX18" si="39">+BX16+BX17</f>
        <v>64302.151064570928</v>
      </c>
      <c r="BY18" s="1374"/>
      <c r="BZ18" s="928"/>
      <c r="CA18" s="1554">
        <f t="shared" si="11"/>
        <v>0.14826206854753177</v>
      </c>
      <c r="CB18" s="1554">
        <f t="shared" si="11"/>
        <v>0.12284390143927237</v>
      </c>
      <c r="CC18" s="1554">
        <f t="shared" si="11"/>
        <v>8.7324208350298749E-2</v>
      </c>
      <c r="CD18" s="1554">
        <f t="shared" si="11"/>
        <v>8.1988990143608831E-2</v>
      </c>
      <c r="CE18" s="1406"/>
      <c r="CF18" s="1554">
        <f t="shared" si="12"/>
        <v>2.3936766821054611E-2</v>
      </c>
      <c r="CG18" s="1554">
        <f t="shared" si="12"/>
        <v>6.3654776905050836E-2</v>
      </c>
      <c r="CH18" s="1554">
        <f t="shared" si="12"/>
        <v>8.0979403715973008E-2</v>
      </c>
      <c r="CI18" s="1554">
        <f t="shared" si="12"/>
        <v>8.355185044840252E-2</v>
      </c>
      <c r="CJ18" s="1406"/>
      <c r="CK18" s="1554">
        <f t="shared" si="22"/>
        <v>9.0506076265834956E-2</v>
      </c>
      <c r="CL18" s="1554">
        <f t="shared" si="22"/>
        <v>7.7363968247817549E-2</v>
      </c>
      <c r="CM18" s="1552">
        <f>(X18-X262)/S18-1</f>
        <v>3.2933132051739866E-2</v>
      </c>
      <c r="CN18" s="1552">
        <f>(Y18-Y262)/T18-1</f>
        <v>7.1574451417966367E-2</v>
      </c>
      <c r="CO18" s="1406"/>
      <c r="CP18" s="1550">
        <f>(AA18-1545)/V18-1</f>
        <v>8.2155518789884363E-2</v>
      </c>
      <c r="CQ18" s="1552">
        <f>(AB18-1598.5)/W18-1</f>
        <v>-3.8675636191719542E-3</v>
      </c>
      <c r="CR18" s="1552">
        <f>(AC18-1632)/X18-1</f>
        <v>4.6359138344646444E-2</v>
      </c>
      <c r="CS18" s="1552">
        <f>(AD18-559.7)/Y18-1</f>
        <v>1.5373919704261274E-2</v>
      </c>
      <c r="CT18" s="1406"/>
      <c r="CU18" s="1552">
        <f>(AF18)/AA18-1</f>
        <v>9.4746064835795396E-2</v>
      </c>
      <c r="CV18" s="1554">
        <f>(AG18)/AB18-1</f>
        <v>0.12092996659630151</v>
      </c>
      <c r="CW18" s="1554">
        <f>(AH18)/AC18-1</f>
        <v>6.5850425718329664E-2</v>
      </c>
      <c r="CX18" s="1554">
        <f>(AI18)/AD18-1</f>
        <v>9.4219685613742721E-2</v>
      </c>
      <c r="CY18" s="1406"/>
      <c r="CZ18" s="1554">
        <f>(AK18)/AF18-1</f>
        <v>2.0058874936755622E-2</v>
      </c>
      <c r="DA18" s="1554">
        <f>(AL18)/AG18-1</f>
        <v>-1.5376113248453893E-2</v>
      </c>
      <c r="DB18" s="1554">
        <f>(AM18)/AH18-1</f>
        <v>-3.7509326745945759E-2</v>
      </c>
      <c r="DC18" s="1554">
        <f>(AN18)/AI18-1</f>
        <v>-4.3881176513680953E-2</v>
      </c>
      <c r="DD18" s="1406"/>
      <c r="DE18" s="1554">
        <f t="shared" si="15"/>
        <v>2.862863043409658E-2</v>
      </c>
      <c r="DF18" s="1554">
        <f t="shared" si="15"/>
        <v>0.15283786234230501</v>
      </c>
      <c r="DG18" s="1554">
        <f t="shared" si="15"/>
        <v>9.639414338459118E-2</v>
      </c>
      <c r="DH18" s="1554">
        <f t="shared" si="15"/>
        <v>2.4223269356012711E-2</v>
      </c>
      <c r="DI18" s="1406"/>
      <c r="DJ18" s="1554">
        <f t="shared" si="16"/>
        <v>2.556549184639656E-2</v>
      </c>
      <c r="DK18" s="1554">
        <f t="shared" si="16"/>
        <v>-8.9664367196218842E-2</v>
      </c>
      <c r="DL18" s="1554">
        <f t="shared" si="16"/>
        <v>3.0088043078790871E-2</v>
      </c>
      <c r="DM18" s="1554">
        <f t="shared" si="16"/>
        <v>4.7319461535872298E-2</v>
      </c>
      <c r="DN18" s="1406"/>
      <c r="DO18" s="1554">
        <f t="shared" si="17"/>
        <v>-7.1125700998493357E-3</v>
      </c>
      <c r="DP18" s="1554">
        <f t="shared" si="17"/>
        <v>-8.1299675821553952E-2</v>
      </c>
      <c r="DQ18" s="1554">
        <f t="shared" si="17"/>
        <v>-7.1487295628703484E-2</v>
      </c>
      <c r="DR18" s="1554">
        <f t="shared" si="17"/>
        <v>-1.3046242196540159E-2</v>
      </c>
      <c r="DS18" s="1406"/>
      <c r="DT18" s="1554">
        <f t="shared" si="18"/>
        <v>2.5830004132800566E-2</v>
      </c>
      <c r="DU18" s="1554">
        <f t="shared" si="18"/>
        <v>0.10841237002606219</v>
      </c>
      <c r="DV18" s="1554">
        <f t="shared" si="18"/>
        <v>9.1254228793384407E-2</v>
      </c>
      <c r="DW18" s="1554">
        <f t="shared" si="18"/>
        <v>4.2579907436557152E-2</v>
      </c>
      <c r="DX18" s="1406"/>
      <c r="DY18" s="1555">
        <f t="shared" si="19"/>
        <v>-0.21904586047136232</v>
      </c>
      <c r="DZ18" s="1554">
        <f t="shared" si="19"/>
        <v>-0.25124432378274431</v>
      </c>
      <c r="EA18" s="1554">
        <f t="shared" si="19"/>
        <v>-0.26317461410982135</v>
      </c>
      <c r="EB18" s="1554">
        <f t="shared" si="19"/>
        <v>-0.3359561013195983</v>
      </c>
      <c r="EC18" s="1659"/>
      <c r="ED18" s="1555">
        <f t="shared" si="20"/>
        <v>-4.814822775831229E-3</v>
      </c>
      <c r="EE18" s="1554">
        <f t="shared" si="20"/>
        <v>-7.1761944586845594E-4</v>
      </c>
      <c r="EF18" s="1554">
        <f t="shared" si="20"/>
        <v>-4.8619082990073559E-2</v>
      </c>
      <c r="EG18" s="1554">
        <f t="shared" si="20"/>
        <v>-3.7627467685537153E-2</v>
      </c>
      <c r="EH18" s="1337"/>
      <c r="EI18" s="1657">
        <v>-4.8000000000000001E-2</v>
      </c>
      <c r="EJ18" s="1554">
        <f t="shared" si="33"/>
        <v>-0.13020935598536776</v>
      </c>
      <c r="EK18" s="1554">
        <f t="shared" si="33"/>
        <v>-0.12049789605203243</v>
      </c>
      <c r="EL18" s="1554">
        <f t="shared" si="33"/>
        <v>-0.12377757956532831</v>
      </c>
      <c r="EM18" s="1337"/>
      <c r="EN18" s="928"/>
      <c r="EO18" s="928"/>
      <c r="EP18" s="928"/>
      <c r="EQ18" s="928" t="s">
        <v>4773</v>
      </c>
      <c r="ER18" s="928"/>
      <c r="ES18" s="928"/>
      <c r="ET18" s="928"/>
      <c r="EU18" s="928"/>
      <c r="EV18" s="1316">
        <f>DJ26-DJ40</f>
        <v>4.3043466397446162E-2</v>
      </c>
      <c r="EW18" s="1316">
        <f>DK26-DK40</f>
        <v>4.235581570185798E-2</v>
      </c>
      <c r="EX18" s="928"/>
      <c r="EY18" s="928"/>
      <c r="EZ18" s="928"/>
      <c r="FA18" s="928"/>
      <c r="FB18" s="928"/>
      <c r="FC18" s="928"/>
      <c r="FD18" s="928"/>
      <c r="FE18" s="928"/>
      <c r="FF18" s="1383">
        <v>18855.089999999997</v>
      </c>
      <c r="FG18" s="1562">
        <v>-2.0601297547749198E-2</v>
      </c>
      <c r="FH18" s="1384">
        <v>18876.33048560856</v>
      </c>
      <c r="FI18" s="1368">
        <v>-1.337892017119946E-2</v>
      </c>
      <c r="FJ18" s="1610">
        <v>16550.800296286754</v>
      </c>
      <c r="FK18" s="1634">
        <v>-0.10630897555634289</v>
      </c>
      <c r="FL18" s="928"/>
      <c r="FM18" s="928"/>
      <c r="FN18" s="928"/>
      <c r="FO18" s="928"/>
      <c r="FP18" s="928"/>
      <c r="FQ18" s="928"/>
    </row>
    <row r="19" spans="1:173" ht="14.25" hidden="1" customHeight="1">
      <c r="A19" s="1344" t="s">
        <v>1558</v>
      </c>
      <c r="B19" s="1373"/>
      <c r="C19" s="1373"/>
      <c r="D19" s="1373"/>
      <c r="E19" s="1373"/>
      <c r="F19" s="1373"/>
      <c r="G19" s="1374"/>
      <c r="H19" s="1364"/>
      <c r="I19" s="1364"/>
      <c r="J19" s="1364"/>
      <c r="K19" s="1375"/>
      <c r="L19" s="1364"/>
      <c r="M19" s="1364"/>
      <c r="N19" s="1364"/>
      <c r="O19" s="1364"/>
      <c r="P19" s="1375"/>
      <c r="Q19" s="1343">
        <f>Q9</f>
        <v>870.9</v>
      </c>
      <c r="R19" s="1343">
        <f>R9</f>
        <v>881.7</v>
      </c>
      <c r="S19" s="1343">
        <f>S9+53</f>
        <v>925.3</v>
      </c>
      <c r="T19" s="1343">
        <f>T9+(370-53)</f>
        <v>957.69999999999982</v>
      </c>
      <c r="U19" s="1364"/>
      <c r="V19" s="1376"/>
      <c r="W19" s="1377"/>
      <c r="X19" s="1377"/>
      <c r="Y19" s="1356"/>
      <c r="Z19" s="1375"/>
      <c r="AA19" s="1378"/>
      <c r="AB19" s="1378"/>
      <c r="AC19" s="1378">
        <f>AC20/X20-1</f>
        <v>6.3145516769756771E-2</v>
      </c>
      <c r="AD19" s="1378">
        <f>AD20/Y20-1</f>
        <v>3.5445613918032803E-2</v>
      </c>
      <c r="AE19" s="1364"/>
      <c r="AF19" s="1374"/>
      <c r="AG19" s="1377"/>
      <c r="AH19" s="1379"/>
      <c r="AI19" s="1379"/>
      <c r="AJ19" s="1375"/>
      <c r="AK19" s="1356"/>
      <c r="AL19" s="1356"/>
      <c r="AM19" s="1378"/>
      <c r="AN19" s="1343"/>
      <c r="AO19" s="1375"/>
      <c r="AP19" s="1343">
        <f>AP18-AP11</f>
        <v>22812</v>
      </c>
      <c r="AQ19" s="1343">
        <f>AQ18-AQ11</f>
        <v>24978.3</v>
      </c>
      <c r="AR19" s="1343">
        <f>AR18-AR11</f>
        <v>24023.100000000006</v>
      </c>
      <c r="AS19" s="1343">
        <f>AS18-AS11</f>
        <v>26735.3</v>
      </c>
      <c r="AT19" s="1375"/>
      <c r="AU19" s="1343">
        <f>AU18-AU11</f>
        <v>23395.199999999997</v>
      </c>
      <c r="AV19" s="1343">
        <f>AV18-AV11</f>
        <v>24307.600000000002</v>
      </c>
      <c r="AW19" s="1343">
        <f>AW18-AW11</f>
        <v>25786.399999999994</v>
      </c>
      <c r="AX19" s="1343">
        <f>AX18-AX11</f>
        <v>28000.400000000005</v>
      </c>
      <c r="AY19" s="1375"/>
      <c r="AZ19" s="1364"/>
      <c r="BA19" s="1377"/>
      <c r="BB19" s="1381"/>
      <c r="BC19" s="1381"/>
      <c r="BD19" s="1364"/>
      <c r="BE19" s="1374"/>
      <c r="BF19" s="1364"/>
      <c r="BG19" s="1364"/>
      <c r="BH19" s="1364"/>
      <c r="BI19" s="1375"/>
      <c r="BJ19" s="1374"/>
      <c r="BK19" s="1364"/>
      <c r="BL19" s="1364"/>
      <c r="BM19" s="1364"/>
      <c r="BN19" s="1375"/>
      <c r="BO19" s="1374"/>
      <c r="BP19" s="1364"/>
      <c r="BQ19" s="1364"/>
      <c r="BR19" s="1364"/>
      <c r="BS19" s="1375"/>
      <c r="BT19" s="1374"/>
      <c r="BU19" s="1364"/>
      <c r="BV19" s="1364"/>
      <c r="BW19" s="1364"/>
      <c r="BX19" s="1375"/>
      <c r="BY19" s="1364"/>
      <c r="BZ19" s="928"/>
      <c r="CA19" s="1528"/>
      <c r="CB19" s="1382"/>
      <c r="CC19" s="1382"/>
      <c r="CD19" s="1382"/>
      <c r="CE19" s="1337"/>
      <c r="CF19" s="1528"/>
      <c r="CG19" s="1382"/>
      <c r="CH19" s="1382"/>
      <c r="CI19" s="1382"/>
      <c r="CJ19" s="928"/>
      <c r="CK19" s="1528"/>
      <c r="CL19" s="1382"/>
      <c r="CM19" s="1382"/>
      <c r="CN19" s="1382"/>
      <c r="CO19" s="1337"/>
      <c r="CP19" s="1338"/>
      <c r="CQ19" s="928"/>
      <c r="CR19" s="928"/>
      <c r="CS19" s="928"/>
      <c r="CT19" s="1337"/>
      <c r="CU19" s="1338"/>
      <c r="CV19" s="928"/>
      <c r="CW19" s="928"/>
      <c r="CX19" s="928"/>
      <c r="CY19" s="1337"/>
      <c r="CZ19" s="1338"/>
      <c r="DA19" s="928"/>
      <c r="DB19" s="928"/>
      <c r="DC19" s="928"/>
      <c r="DD19" s="1337"/>
      <c r="DE19" s="1347">
        <f>DE18</f>
        <v>2.862863043409658E-2</v>
      </c>
      <c r="DF19" s="1316">
        <f>AQ19/AL18-1</f>
        <v>7.8426547159547111E-2</v>
      </c>
      <c r="DG19" s="1316">
        <f>AR19/AM18-1</f>
        <v>5.2154185079908766E-2</v>
      </c>
      <c r="DH19" s="1316">
        <f>DH18</f>
        <v>2.4223269356012711E-2</v>
      </c>
      <c r="DI19" s="928"/>
      <c r="DJ19" s="1347">
        <f>(AU18-AU11)/(AP18-AP11)-1</f>
        <v>2.556549184639656E-2</v>
      </c>
      <c r="DK19" s="1316">
        <f>(AV18-AV11)/(AQ18-AQ11)-1</f>
        <v>-2.685130693441895E-2</v>
      </c>
      <c r="DL19" s="1316">
        <f>(AW18-AW11)/(AR18-AR11)-1</f>
        <v>7.3400185654640238E-2</v>
      </c>
      <c r="DM19" s="1316">
        <f>(AX18-AX11)/(AS18-AS11)-1</f>
        <v>4.7319461535872298E-2</v>
      </c>
      <c r="DN19" s="1337"/>
      <c r="DO19" s="1347">
        <f>(AZ18-AZ11)/(AU18-AU11)-1</f>
        <v>-7.1125700998493357E-3</v>
      </c>
      <c r="DP19" s="1316">
        <f>(BA18-BA11)/(AV18-AV11)-1</f>
        <v>-8.1299675821553952E-2</v>
      </c>
      <c r="DQ19" s="1316">
        <f>(BB18-BB11)/(AW18-AW11)-1</f>
        <v>-7.1487295628703484E-2</v>
      </c>
      <c r="DR19" s="1316"/>
      <c r="DS19" s="1337"/>
      <c r="DT19" s="1316"/>
      <c r="DU19" s="1316"/>
      <c r="DV19" s="928"/>
      <c r="DW19" s="928"/>
      <c r="DX19" s="928"/>
      <c r="DY19" s="1338"/>
      <c r="DZ19" s="928"/>
      <c r="EA19" s="928"/>
      <c r="EB19" s="928"/>
      <c r="EC19" s="1337"/>
      <c r="ED19" s="1338"/>
      <c r="EE19" s="928"/>
      <c r="EF19" s="928"/>
      <c r="EG19" s="928"/>
      <c r="EH19" s="1337"/>
      <c r="EI19" s="928"/>
      <c r="EJ19" s="928"/>
      <c r="EK19" s="928"/>
      <c r="EL19" s="928"/>
      <c r="EM19" s="1337"/>
      <c r="EN19" s="928"/>
      <c r="EO19" s="928"/>
      <c r="EP19" s="928"/>
      <c r="EQ19" s="928"/>
      <c r="ER19" s="928"/>
      <c r="ES19" s="928"/>
      <c r="ET19" s="928"/>
      <c r="EU19" s="928"/>
      <c r="EV19" s="928"/>
      <c r="EW19" s="928"/>
      <c r="EX19" s="928"/>
      <c r="EY19" s="928"/>
      <c r="EZ19" s="928"/>
      <c r="FA19" s="928"/>
      <c r="FB19" s="928"/>
      <c r="FC19" s="928"/>
      <c r="FD19" s="928"/>
      <c r="FE19" s="928"/>
      <c r="FF19" s="1383"/>
      <c r="FG19" s="1340"/>
      <c r="FH19" s="1384"/>
      <c r="FI19" s="1319"/>
      <c r="FJ19" s="1611"/>
      <c r="FK19" s="1605"/>
      <c r="FL19" s="928"/>
      <c r="FM19" s="928"/>
      <c r="FN19" s="928"/>
      <c r="FO19" s="928"/>
      <c r="FP19" s="928"/>
      <c r="FQ19" s="928"/>
    </row>
    <row r="20" spans="1:173" ht="14.25" hidden="1" customHeight="1">
      <c r="A20" s="1385"/>
      <c r="B20" s="1373"/>
      <c r="C20" s="1373"/>
      <c r="D20" s="1373"/>
      <c r="E20" s="1373"/>
      <c r="F20" s="1373"/>
      <c r="G20" s="1386"/>
      <c r="H20" s="1373"/>
      <c r="I20" s="1373"/>
      <c r="J20" s="1373"/>
      <c r="K20" s="1387"/>
      <c r="L20" s="1373"/>
      <c r="M20" s="1373"/>
      <c r="N20" s="1388"/>
      <c r="O20" s="1254"/>
      <c r="P20" s="1337"/>
      <c r="Q20" s="1254">
        <f>Q19/L9-1</f>
        <v>0.17261343745792379</v>
      </c>
      <c r="R20" s="1254">
        <f>R19/M9-1</f>
        <v>9.4735535137819848E-2</v>
      </c>
      <c r="S20" s="1254">
        <f>S19/N9-1</f>
        <v>0.1260800778873068</v>
      </c>
      <c r="T20" s="1254">
        <f>T19/O9-1</f>
        <v>0.16878203563583094</v>
      </c>
      <c r="U20" s="1254"/>
      <c r="V20" s="1345">
        <f t="shared" ref="V20:AD20" si="40">V7-V23</f>
        <v>4241.7000000000007</v>
      </c>
      <c r="W20" s="1343">
        <f t="shared" si="40"/>
        <v>4766.1723500000007</v>
      </c>
      <c r="X20" s="1343">
        <f t="shared" si="40"/>
        <v>4330.8276499999993</v>
      </c>
      <c r="Y20" s="1343">
        <f t="shared" si="40"/>
        <v>5995.1</v>
      </c>
      <c r="Z20" s="1346">
        <f t="shared" si="40"/>
        <v>19333.8</v>
      </c>
      <c r="AA20" s="1343">
        <f t="shared" si="40"/>
        <v>4412</v>
      </c>
      <c r="AB20" s="1343">
        <f t="shared" si="40"/>
        <v>4544.5</v>
      </c>
      <c r="AC20" s="1343">
        <f t="shared" si="40"/>
        <v>4604.3</v>
      </c>
      <c r="AD20" s="1343">
        <f t="shared" si="40"/>
        <v>6207.5999999999995</v>
      </c>
      <c r="AE20" s="1254"/>
      <c r="AF20" s="1355"/>
      <c r="AG20" s="1254"/>
      <c r="AH20" s="1254"/>
      <c r="AI20" s="1254"/>
      <c r="AJ20" s="1389"/>
      <c r="AK20" s="1254"/>
      <c r="AL20" s="1254"/>
      <c r="AM20" s="1254"/>
      <c r="AN20" s="1254"/>
      <c r="AO20" s="1389"/>
      <c r="AP20" s="1343"/>
      <c r="AQ20" s="928"/>
      <c r="AR20" s="928"/>
      <c r="AS20" s="1390"/>
      <c r="AT20" s="1389"/>
      <c r="AU20" s="1254"/>
      <c r="AV20" s="1254"/>
      <c r="AW20" s="1343"/>
      <c r="AX20" s="1343"/>
      <c r="AY20" s="1389"/>
      <c r="AZ20" s="1254"/>
      <c r="BA20" s="1254"/>
      <c r="BB20" s="1254"/>
      <c r="BC20" s="1254"/>
      <c r="BD20" s="1254"/>
      <c r="BE20" s="1355"/>
      <c r="BF20" s="1254"/>
      <c r="BG20" s="1254"/>
      <c r="BH20" s="1254"/>
      <c r="BI20" s="1389"/>
      <c r="BJ20" s="1355"/>
      <c r="BK20" s="1254"/>
      <c r="BL20" s="1254"/>
      <c r="BM20" s="1254"/>
      <c r="BN20" s="1389"/>
      <c r="BO20" s="1355"/>
      <c r="BP20" s="1254"/>
      <c r="BQ20" s="1254"/>
      <c r="BR20" s="1254"/>
      <c r="BS20" s="1254"/>
      <c r="BT20" s="1355"/>
      <c r="BU20" s="1254"/>
      <c r="BV20" s="1254"/>
      <c r="BW20" s="1254"/>
      <c r="BX20" s="1389"/>
      <c r="BY20" s="1254"/>
      <c r="BZ20" s="928"/>
      <c r="CA20" s="1355"/>
      <c r="CB20" s="1254"/>
      <c r="CC20" s="1254"/>
      <c r="CD20" s="1254"/>
      <c r="CE20" s="1337"/>
      <c r="CF20" s="1355"/>
      <c r="CG20" s="1254"/>
      <c r="CH20" s="1254"/>
      <c r="CI20" s="1254"/>
      <c r="CJ20" s="928"/>
      <c r="CK20" s="1355"/>
      <c r="CL20" s="1254"/>
      <c r="CM20" s="1254"/>
      <c r="CN20" s="1254"/>
      <c r="CO20" s="1337"/>
      <c r="CP20" s="1338"/>
      <c r="CQ20" s="928"/>
      <c r="CR20" s="928"/>
      <c r="CS20" s="928"/>
      <c r="CT20" s="1337"/>
      <c r="CU20" s="1338"/>
      <c r="CV20" s="928"/>
      <c r="CW20" s="928"/>
      <c r="CX20" s="928"/>
      <c r="CY20" s="1337"/>
      <c r="CZ20" s="1338"/>
      <c r="DA20" s="928"/>
      <c r="DB20" s="928"/>
      <c r="DC20" s="928"/>
      <c r="DD20" s="1337"/>
      <c r="DE20" s="1338"/>
      <c r="DF20" s="928"/>
      <c r="DG20" s="928"/>
      <c r="DH20" s="928"/>
      <c r="DI20" s="928"/>
      <c r="DJ20" s="1338"/>
      <c r="DK20" s="928"/>
      <c r="DL20" s="928"/>
      <c r="DM20" s="928"/>
      <c r="DN20" s="1337"/>
      <c r="DO20" s="1338"/>
      <c r="DP20" s="928"/>
      <c r="DQ20" s="928"/>
      <c r="DR20" s="928"/>
      <c r="DS20" s="1337"/>
      <c r="DT20" s="928"/>
      <c r="DU20" s="928"/>
      <c r="DV20" s="928"/>
      <c r="DW20" s="928"/>
      <c r="DX20" s="928"/>
      <c r="DY20" s="1338"/>
      <c r="DZ20" s="928"/>
      <c r="EA20" s="928"/>
      <c r="EB20" s="928"/>
      <c r="EC20" s="1337"/>
      <c r="ED20" s="1338"/>
      <c r="EE20" s="928"/>
      <c r="EF20" s="928"/>
      <c r="EG20" s="928"/>
      <c r="EH20" s="1337"/>
      <c r="EI20" s="928"/>
      <c r="EJ20" s="928"/>
      <c r="EK20" s="928"/>
      <c r="EL20" s="928"/>
      <c r="EM20" s="1337"/>
      <c r="EN20" s="928"/>
      <c r="EO20" s="928"/>
      <c r="EP20" s="928"/>
      <c r="EQ20" s="928"/>
      <c r="ER20" s="928"/>
      <c r="ES20" s="928"/>
      <c r="ET20" s="928"/>
      <c r="EU20" s="928"/>
      <c r="EV20" s="928"/>
      <c r="EW20" s="928"/>
      <c r="EX20" s="928"/>
      <c r="EY20" s="928"/>
      <c r="EZ20" s="928"/>
      <c r="FA20" s="928"/>
      <c r="FB20" s="928"/>
      <c r="FC20" s="928"/>
      <c r="FD20" s="928"/>
      <c r="FE20" s="928"/>
      <c r="FF20" s="1363"/>
      <c r="FG20" s="1340"/>
      <c r="FH20" s="1351"/>
      <c r="FI20" s="1319"/>
      <c r="FJ20" s="1612"/>
      <c r="FK20" s="1605"/>
      <c r="FL20" s="928"/>
      <c r="FM20" s="928"/>
      <c r="FN20" s="928"/>
      <c r="FO20" s="928"/>
      <c r="FP20" s="928"/>
      <c r="FQ20" s="928"/>
    </row>
    <row r="21" spans="1:173" ht="14.25" customHeight="1">
      <c r="A21" s="1385"/>
      <c r="B21" s="1373"/>
      <c r="C21" s="1373"/>
      <c r="D21" s="1373"/>
      <c r="E21" s="1373"/>
      <c r="F21" s="1373"/>
      <c r="G21" s="1386"/>
      <c r="H21" s="1373"/>
      <c r="I21" s="1373"/>
      <c r="J21" s="1373"/>
      <c r="K21" s="1387"/>
      <c r="L21" s="1373"/>
      <c r="M21" s="1373"/>
      <c r="N21" s="1388"/>
      <c r="O21" s="1254"/>
      <c r="P21" s="1337"/>
      <c r="Q21" s="1254"/>
      <c r="R21" s="1254"/>
      <c r="S21" s="1254"/>
      <c r="T21" s="1254"/>
      <c r="U21" s="1254"/>
      <c r="V21" s="1345"/>
      <c r="W21" s="1343"/>
      <c r="X21" s="1343"/>
      <c r="Y21" s="1343"/>
      <c r="Z21" s="1346"/>
      <c r="AA21" s="1343"/>
      <c r="AB21" s="1343"/>
      <c r="AC21" s="1343"/>
      <c r="AD21" s="1343"/>
      <c r="AE21" s="1254"/>
      <c r="AF21" s="1355"/>
      <c r="AG21" s="1254"/>
      <c r="AH21" s="1254"/>
      <c r="AI21" s="1254"/>
      <c r="AJ21" s="1389"/>
      <c r="AK21" s="1254"/>
      <c r="AL21" s="1254"/>
      <c r="AM21" s="1254"/>
      <c r="AN21" s="1254"/>
      <c r="AO21" s="1389"/>
      <c r="AP21" s="1343"/>
      <c r="AQ21" s="928"/>
      <c r="AR21" s="928"/>
      <c r="AS21" s="1390"/>
      <c r="AT21" s="1389"/>
      <c r="AU21" s="1254"/>
      <c r="AV21" s="1254"/>
      <c r="AW21" s="1343"/>
      <c r="AX21" s="1343"/>
      <c r="AY21" s="1389"/>
      <c r="AZ21" s="1254"/>
      <c r="BA21" s="1254"/>
      <c r="BB21" s="1254"/>
      <c r="BC21" s="1254"/>
      <c r="BD21" s="1254"/>
      <c r="BE21" s="1355"/>
      <c r="BF21" s="1254"/>
      <c r="BG21" s="1254"/>
      <c r="BH21" s="1254"/>
      <c r="BI21" s="1389"/>
      <c r="BJ21" s="1355"/>
      <c r="BK21" s="1254"/>
      <c r="BL21" s="1254"/>
      <c r="BM21" s="1254"/>
      <c r="BN21" s="1389"/>
      <c r="BO21" s="1355"/>
      <c r="BP21" s="1254"/>
      <c r="BQ21" s="1254"/>
      <c r="BR21" s="1254"/>
      <c r="BS21" s="1254"/>
      <c r="BT21" s="1355"/>
      <c r="BU21" s="1254"/>
      <c r="BV21" s="1254"/>
      <c r="BW21" s="1254"/>
      <c r="BX21" s="1389"/>
      <c r="BY21" s="1254"/>
      <c r="BZ21" s="928"/>
      <c r="CA21" s="1355"/>
      <c r="CB21" s="1254"/>
      <c r="CC21" s="1254"/>
      <c r="CD21" s="1254"/>
      <c r="CE21" s="1337"/>
      <c r="CF21" s="1355"/>
      <c r="CG21" s="1254"/>
      <c r="CH21" s="1254"/>
      <c r="CI21" s="1254"/>
      <c r="CJ21" s="928"/>
      <c r="CK21" s="1355"/>
      <c r="CL21" s="1254"/>
      <c r="CM21" s="1254"/>
      <c r="CN21" s="1254"/>
      <c r="CO21" s="1337"/>
      <c r="CP21" s="1338"/>
      <c r="CQ21" s="928"/>
      <c r="CR21" s="928"/>
      <c r="CS21" s="928"/>
      <c r="CT21" s="1337"/>
      <c r="CU21" s="1338"/>
      <c r="CV21" s="928"/>
      <c r="CW21" s="928"/>
      <c r="CX21" s="928"/>
      <c r="CY21" s="1337"/>
      <c r="CZ21" s="1338"/>
      <c r="DA21" s="928"/>
      <c r="DB21" s="928"/>
      <c r="DC21" s="928"/>
      <c r="DD21" s="1337"/>
      <c r="DE21" s="1338"/>
      <c r="DF21" s="928"/>
      <c r="DG21" s="928"/>
      <c r="DH21" s="928"/>
      <c r="DI21" s="928"/>
      <c r="DJ21" s="1338"/>
      <c r="DK21" s="928"/>
      <c r="DL21" s="928"/>
      <c r="DM21" s="928"/>
      <c r="DN21" s="1337"/>
      <c r="DO21" s="1338"/>
      <c r="DP21" s="928"/>
      <c r="DQ21" s="928"/>
      <c r="DR21" s="928"/>
      <c r="DS21" s="1337"/>
      <c r="DT21" s="928"/>
      <c r="DU21" s="928"/>
      <c r="DV21" s="928"/>
      <c r="DW21" s="928"/>
      <c r="DX21" s="928"/>
      <c r="DY21" s="1338"/>
      <c r="DZ21" s="928"/>
      <c r="EA21" s="928"/>
      <c r="EB21" s="928"/>
      <c r="EC21" s="1337"/>
      <c r="ED21" s="1338"/>
      <c r="EE21" s="928"/>
      <c r="EF21" s="928"/>
      <c r="EG21" s="928"/>
      <c r="EH21" s="1337"/>
      <c r="EI21" s="928"/>
      <c r="EJ21" s="928"/>
      <c r="EK21" s="928"/>
      <c r="EL21" s="928"/>
      <c r="EM21" s="1337"/>
      <c r="EN21" s="928"/>
      <c r="EO21" s="928"/>
      <c r="EP21" s="928"/>
      <c r="EQ21" s="928"/>
      <c r="ER21" s="928"/>
      <c r="ES21" s="928"/>
      <c r="ET21" s="928"/>
      <c r="EU21" s="928"/>
      <c r="EV21" s="928"/>
      <c r="EW21" s="928"/>
      <c r="EX21" s="928"/>
      <c r="EY21" s="928"/>
      <c r="EZ21" s="928"/>
      <c r="FA21" s="928"/>
      <c r="FB21" s="928"/>
      <c r="FC21" s="928"/>
      <c r="FD21" s="928"/>
      <c r="FE21" s="928"/>
      <c r="FF21" s="1363"/>
      <c r="FG21" s="1340"/>
      <c r="FH21" s="1351"/>
      <c r="FI21" s="1319"/>
      <c r="FJ21" s="1612"/>
      <c r="FK21" s="1605"/>
      <c r="FL21" s="928"/>
      <c r="FM21" s="928"/>
      <c r="FN21" s="928"/>
      <c r="FO21" s="928"/>
      <c r="FP21" s="928"/>
      <c r="FQ21" s="928"/>
    </row>
    <row r="22" spans="1:173">
      <c r="A22" s="1320" t="s">
        <v>136</v>
      </c>
      <c r="B22" s="1373"/>
      <c r="C22" s="1373"/>
      <c r="D22" s="1373"/>
      <c r="E22" s="1373"/>
      <c r="F22" s="1373"/>
      <c r="G22" s="1386"/>
      <c r="H22" s="1373"/>
      <c r="I22" s="1373"/>
      <c r="J22" s="1373"/>
      <c r="K22" s="1387"/>
      <c r="L22" s="1373"/>
      <c r="M22" s="1373"/>
      <c r="N22" s="1373"/>
      <c r="O22" s="928"/>
      <c r="P22" s="1337"/>
      <c r="Q22" s="928"/>
      <c r="R22" s="928"/>
      <c r="S22" s="928"/>
      <c r="T22" s="928"/>
      <c r="U22" s="928"/>
      <c r="V22" s="1338"/>
      <c r="W22" s="928"/>
      <c r="X22" s="928"/>
      <c r="Y22" s="928"/>
      <c r="Z22" s="1389"/>
      <c r="AA22" s="1343"/>
      <c r="AB22" s="1343"/>
      <c r="AC22" s="1343"/>
      <c r="AD22" s="1343"/>
      <c r="AE22" s="1254"/>
      <c r="AF22" s="1355"/>
      <c r="AG22" s="1254"/>
      <c r="AH22" s="1254"/>
      <c r="AI22" s="1254"/>
      <c r="AJ22" s="1389"/>
      <c r="AK22" s="1254"/>
      <c r="AL22" s="1254"/>
      <c r="AM22" s="1254"/>
      <c r="AN22" s="1254"/>
      <c r="AO22" s="1389"/>
      <c r="AP22" s="928"/>
      <c r="AQ22" s="928"/>
      <c r="AR22" s="928"/>
      <c r="AS22" s="928"/>
      <c r="AT22" s="1389"/>
      <c r="AU22" s="1254"/>
      <c r="AV22" s="1254"/>
      <c r="AW22" s="1356"/>
      <c r="AX22" s="1343">
        <v>4324</v>
      </c>
      <c r="AY22" s="1389"/>
      <c r="AZ22" s="1254"/>
      <c r="BA22" s="1254"/>
      <c r="BB22" s="1254"/>
      <c r="BC22" s="1254"/>
      <c r="BD22" s="1254"/>
      <c r="BE22" s="1355"/>
      <c r="BF22" s="1254"/>
      <c r="BG22" s="1254"/>
      <c r="BH22" s="1254"/>
      <c r="BI22" s="1389"/>
      <c r="BJ22" s="1355"/>
      <c r="BK22" s="1254"/>
      <c r="BL22" s="1254"/>
      <c r="BM22" s="1254"/>
      <c r="BN22" s="1389"/>
      <c r="BO22" s="1355"/>
      <c r="BP22" s="1254"/>
      <c r="BQ22" s="1254"/>
      <c r="BR22" s="1254"/>
      <c r="BS22" s="1254"/>
      <c r="BT22" s="1355"/>
      <c r="BU22" s="1254"/>
      <c r="BV22" s="1254"/>
      <c r="BW22" s="1254"/>
      <c r="BX22" s="1389"/>
      <c r="BY22" s="1254"/>
      <c r="BZ22" s="928"/>
      <c r="CA22" s="1355"/>
      <c r="CB22" s="1254"/>
      <c r="CC22" s="1254"/>
      <c r="CD22" s="1254"/>
      <c r="CE22" s="1337"/>
      <c r="CF22" s="1355"/>
      <c r="CG22" s="1254"/>
      <c r="CH22" s="1254"/>
      <c r="CI22" s="1254"/>
      <c r="CJ22" s="928"/>
      <c r="CK22" s="1355"/>
      <c r="CL22" s="1254"/>
      <c r="CM22" s="1254"/>
      <c r="CN22" s="1254"/>
      <c r="CO22" s="1337"/>
      <c r="CP22" s="1338"/>
      <c r="CQ22" s="928"/>
      <c r="CR22" s="928"/>
      <c r="CS22" s="928"/>
      <c r="CT22" s="1337"/>
      <c r="CU22" s="1338"/>
      <c r="CV22" s="928"/>
      <c r="CW22" s="928"/>
      <c r="CX22" s="928"/>
      <c r="CY22" s="1337"/>
      <c r="CZ22" s="1338"/>
      <c r="DA22" s="928"/>
      <c r="DB22" s="928"/>
      <c r="DC22" s="928"/>
      <c r="DD22" s="1337"/>
      <c r="DE22" s="1338"/>
      <c r="DF22" s="928"/>
      <c r="DG22" s="928"/>
      <c r="DH22" s="928"/>
      <c r="DI22" s="928"/>
      <c r="DJ22" s="1338"/>
      <c r="DK22" s="928"/>
      <c r="DL22" s="928"/>
      <c r="DM22" s="928"/>
      <c r="DN22" s="1337"/>
      <c r="DO22" s="1338"/>
      <c r="DP22" s="928"/>
      <c r="DQ22" s="928"/>
      <c r="DR22" s="928"/>
      <c r="DS22" s="1337"/>
      <c r="DT22" s="928"/>
      <c r="DU22" s="928"/>
      <c r="DV22" s="928"/>
      <c r="DW22" s="928"/>
      <c r="DX22" s="928"/>
      <c r="DY22" s="1338"/>
      <c r="DZ22" s="928"/>
      <c r="EA22" s="928"/>
      <c r="EB22" s="928"/>
      <c r="EC22" s="1337"/>
      <c r="ED22" s="1338"/>
      <c r="EE22" s="928"/>
      <c r="EF22" s="928"/>
      <c r="EG22" s="928"/>
      <c r="EH22" s="1337"/>
      <c r="EI22" s="928"/>
      <c r="EJ22" s="928"/>
      <c r="EK22" s="928"/>
      <c r="EL22" s="928"/>
      <c r="EM22" s="1337"/>
      <c r="EN22" s="928"/>
      <c r="EO22" s="928"/>
      <c r="EP22" s="928"/>
      <c r="FC22" s="928"/>
      <c r="FD22" s="928"/>
      <c r="FE22" s="928"/>
      <c r="FF22" s="1363"/>
      <c r="FG22" s="1340"/>
      <c r="FH22" s="1351"/>
      <c r="FI22" s="1319"/>
      <c r="FJ22" s="1612"/>
      <c r="FK22" s="1605"/>
      <c r="FL22" s="928"/>
      <c r="FM22" s="928"/>
      <c r="FN22" s="928"/>
      <c r="FO22" s="928"/>
      <c r="FP22" s="928"/>
      <c r="FQ22" s="928"/>
    </row>
    <row r="23" spans="1:173" ht="14.25" customHeight="1">
      <c r="A23" s="1344" t="s">
        <v>145</v>
      </c>
      <c r="B23" s="1342"/>
      <c r="C23" s="1342"/>
      <c r="D23" s="1342"/>
      <c r="E23" s="1342"/>
      <c r="F23" s="1342"/>
      <c r="G23" s="1345">
        <v>2163.6</v>
      </c>
      <c r="H23" s="1343">
        <v>3522.2</v>
      </c>
      <c r="I23" s="1343">
        <v>4002.5</v>
      </c>
      <c r="J23" s="1343">
        <v>4792.3999999999996</v>
      </c>
      <c r="K23" s="1346">
        <f>+SUM(G23:J23)</f>
        <v>14480.699999999999</v>
      </c>
      <c r="L23" s="1343">
        <v>2597.6</v>
      </c>
      <c r="M23" s="1343">
        <v>3778.6</v>
      </c>
      <c r="N23" s="1343">
        <v>4227.2</v>
      </c>
      <c r="O23" s="1343">
        <v>4807.8</v>
      </c>
      <c r="P23" s="1346">
        <f>+SUM(L23:O23)</f>
        <v>15411.2</v>
      </c>
      <c r="Q23" s="1343">
        <v>2378.6</v>
      </c>
      <c r="R23" s="1343">
        <v>4066.8</v>
      </c>
      <c r="S23" s="1343">
        <v>4415.1000000000004</v>
      </c>
      <c r="T23" s="1343">
        <f>15566-Q23-R23-S23</f>
        <v>4705.4999999999982</v>
      </c>
      <c r="U23" s="1343">
        <f>+SUM(Q23:T23)</f>
        <v>15565.999999999998</v>
      </c>
      <c r="V23" s="1345">
        <v>2400.1</v>
      </c>
      <c r="W23" s="1343">
        <v>3957.5</v>
      </c>
      <c r="X23" s="1343">
        <v>4042</v>
      </c>
      <c r="Y23" s="1343">
        <f>15534.3-V23-W23-X23</f>
        <v>5134.6999999999989</v>
      </c>
      <c r="Z23" s="1346">
        <f>+SUM(V23:Y23)</f>
        <v>15534.3</v>
      </c>
      <c r="AA23" s="1343">
        <v>2609</v>
      </c>
      <c r="AB23" s="1343">
        <v>3378.5</v>
      </c>
      <c r="AC23" s="1343">
        <v>4021.7</v>
      </c>
      <c r="AD23" s="1343">
        <f>14564.2-AA23-AB23-AC23</f>
        <v>4555.0000000000009</v>
      </c>
      <c r="AE23" s="1343">
        <f>Master!N65</f>
        <v>14564.2</v>
      </c>
      <c r="AF23" s="1345">
        <v>2655</v>
      </c>
      <c r="AG23" s="1343">
        <v>3682.6</v>
      </c>
      <c r="AH23" s="1343">
        <v>3642.6</v>
      </c>
      <c r="AI23" s="1343">
        <v>4767.8</v>
      </c>
      <c r="AJ23" s="1346">
        <f>Master!O65</f>
        <v>14748</v>
      </c>
      <c r="AK23" s="1343">
        <v>2618.6</v>
      </c>
      <c r="AL23" s="1343">
        <v>3185.1</v>
      </c>
      <c r="AM23" s="1354">
        <f>3102.1</f>
        <v>3102.1</v>
      </c>
      <c r="AN23" s="1343">
        <v>3919.5</v>
      </c>
      <c r="AO23" s="1346">
        <f>Master!P65</f>
        <v>12825</v>
      </c>
      <c r="AP23" s="1343">
        <v>2820.1</v>
      </c>
      <c r="AQ23" s="1343">
        <f>3477.1+817.2</f>
        <v>4294.3</v>
      </c>
      <c r="AR23" s="1343">
        <f>3110.7+593.3</f>
        <v>3704</v>
      </c>
      <c r="AS23" s="1343">
        <f>14855.1-AP23-AQ23-AR23</f>
        <v>4036.7</v>
      </c>
      <c r="AT23" s="1346">
        <f>Master!Q65</f>
        <v>14855</v>
      </c>
      <c r="AU23" s="1343">
        <v>2267.3000000000002</v>
      </c>
      <c r="AV23" s="1343">
        <v>2928.3</v>
      </c>
      <c r="AW23" s="1343">
        <v>3112.3</v>
      </c>
      <c r="AX23" s="1353">
        <v>4545</v>
      </c>
      <c r="AY23" s="1346">
        <f>Master!R65</f>
        <v>12632</v>
      </c>
      <c r="AZ23" s="1343">
        <v>1613.9</v>
      </c>
      <c r="BA23" s="1343">
        <v>2080.8000000000002</v>
      </c>
      <c r="BB23" s="1343">
        <v>3294.7</v>
      </c>
      <c r="BC23" s="1343">
        <f>BD23-AZ23-BA23-BB23</f>
        <v>5371.3999999999987</v>
      </c>
      <c r="BD23" s="1343">
        <f>Master!S65</f>
        <v>12360.8</v>
      </c>
      <c r="BE23" s="1345">
        <v>2376.5</v>
      </c>
      <c r="BF23" s="1343">
        <v>2569.1999999999998</v>
      </c>
      <c r="BG23" s="1343">
        <v>3389.6</v>
      </c>
      <c r="BH23" s="1343">
        <v>5443.7</v>
      </c>
      <c r="BI23" s="1346">
        <f>Master!T65</f>
        <v>13779</v>
      </c>
      <c r="BJ23" s="1345"/>
      <c r="BK23" s="1343"/>
      <c r="BL23" s="1343"/>
      <c r="BM23" s="1343"/>
      <c r="BN23" s="1346"/>
      <c r="BO23" s="1345"/>
      <c r="BP23" s="1343"/>
      <c r="BQ23" s="1343"/>
      <c r="BR23" s="1343"/>
      <c r="BS23" s="1346"/>
      <c r="BT23" s="1345"/>
      <c r="BU23" s="1343"/>
      <c r="BV23" s="1343"/>
      <c r="BW23" s="1343"/>
      <c r="BX23" s="1346"/>
      <c r="BY23" s="1544"/>
      <c r="BZ23" s="928"/>
      <c r="CA23" s="1355">
        <f t="shared" ref="CA23:CA34" si="41">L23/G23-1</f>
        <v>0.20059160658162334</v>
      </c>
      <c r="CB23" s="1254">
        <f t="shared" ref="CB23:CB34" si="42">M23/H23-1</f>
        <v>7.2795411958435086E-2</v>
      </c>
      <c r="CC23" s="1254">
        <f t="shared" ref="CC23:CC34" si="43">N23/I23-1</f>
        <v>5.6139912554653337E-2</v>
      </c>
      <c r="CD23" s="1254">
        <f t="shared" ref="CD23:CD34" si="44">O23/J23-1</f>
        <v>3.2134212503132087E-3</v>
      </c>
      <c r="CE23" s="1337"/>
      <c r="CF23" s="1355">
        <f t="shared" ref="CF23:CF34" si="45">Q23/L23-1</f>
        <v>-8.4308592546966432E-2</v>
      </c>
      <c r="CG23" s="1254">
        <f t="shared" ref="CG23:CG34" si="46">R23/M23-1</f>
        <v>7.6271634997088888E-2</v>
      </c>
      <c r="CH23" s="1254">
        <f t="shared" ref="CH23:CH34" si="47">S23/N23-1</f>
        <v>4.4450227100681472E-2</v>
      </c>
      <c r="CI23" s="1254">
        <f t="shared" ref="CI23:CI34" si="48">T23/O23-1</f>
        <v>-2.1277923374516838E-2</v>
      </c>
      <c r="CJ23" s="928"/>
      <c r="CK23" s="1355">
        <f t="shared" ref="CK23:CK34" si="49">V23/Q23-1</f>
        <v>9.0389304632978451E-3</v>
      </c>
      <c r="CL23" s="1254">
        <f t="shared" ref="CL23:CL34" si="50">W23/R23-1</f>
        <v>-2.6876167994491995E-2</v>
      </c>
      <c r="CM23" s="1254">
        <f t="shared" ref="CM23:CM34" si="51">X23/S23-1</f>
        <v>-8.4505447215238672E-2</v>
      </c>
      <c r="CN23" s="1254">
        <f t="shared" ref="CN23:CN34" si="52">Y23/T23-1</f>
        <v>9.1212411008394723E-2</v>
      </c>
      <c r="CO23" s="1337"/>
      <c r="CP23" s="1355">
        <f>AA23/V23-1</f>
        <v>8.703804008166327E-2</v>
      </c>
      <c r="CQ23" s="1254">
        <f>AB23/W23-1</f>
        <v>-0.14630448515476946</v>
      </c>
      <c r="CR23" s="1254">
        <f>AC23/X23-1</f>
        <v>-5.0222662048491351E-3</v>
      </c>
      <c r="CS23" s="1254">
        <f>AD23/Y23-1</f>
        <v>-0.11289851403197815</v>
      </c>
      <c r="CT23" s="1337"/>
      <c r="CU23" s="1355">
        <f>AF23/AA23-1</f>
        <v>1.7631276351092406E-2</v>
      </c>
      <c r="CV23" s="1254">
        <f>AG23/AB23-1</f>
        <v>9.0010359627053393E-2</v>
      </c>
      <c r="CW23" s="1254">
        <f>AH23/AC23-1</f>
        <v>-9.4263619862247294E-2</v>
      </c>
      <c r="CX23" s="1254">
        <f>AI23/AD23-1</f>
        <v>4.6717892425905516E-2</v>
      </c>
      <c r="CY23" s="1337"/>
      <c r="CZ23" s="1355">
        <f>AK23/AF23-1</f>
        <v>-1.3709981167608354E-2</v>
      </c>
      <c r="DA23" s="1254">
        <f>AL23/AG23-1</f>
        <v>-0.13509476999945691</v>
      </c>
      <c r="DB23" s="1254">
        <f>AM23/AH23-1</f>
        <v>-0.14838302311535712</v>
      </c>
      <c r="DC23" s="1254">
        <f>AN23/AI23-1</f>
        <v>-0.17792273165820716</v>
      </c>
      <c r="DD23" s="1337"/>
      <c r="DE23" s="1355">
        <f>AP23/AK23-1</f>
        <v>7.6949515008019498E-2</v>
      </c>
      <c r="DF23" s="1254">
        <f>AQ23/AL23-1</f>
        <v>0.34824652287212343</v>
      </c>
      <c r="DG23" s="1254">
        <f>AR23/AM23-1</f>
        <v>0.19402985074626877</v>
      </c>
      <c r="DH23" s="1254">
        <f>AS23/AN23-1</f>
        <v>2.9901773185355252E-2</v>
      </c>
      <c r="DI23" s="928"/>
      <c r="DJ23" s="1355">
        <f>AU23/AP23-1</f>
        <v>-0.19602141768022396</v>
      </c>
      <c r="DK23" s="1254">
        <f>AV23/AQ23-1</f>
        <v>-0.3180960808513611</v>
      </c>
      <c r="DL23" s="1254">
        <f>AW23/AR23-1</f>
        <v>-0.15974622030237573</v>
      </c>
      <c r="DM23" s="1254">
        <f>AX23/AS23-1</f>
        <v>0.12591968687294086</v>
      </c>
      <c r="DN23" s="1337"/>
      <c r="DO23" s="1355">
        <f>AZ23/AU23-1</f>
        <v>-0.28818418383098843</v>
      </c>
      <c r="DP23" s="1254">
        <f>BA23/AV23-1</f>
        <v>-0.28941706792336852</v>
      </c>
      <c r="DQ23" s="1254">
        <f>BB23/AW23-1</f>
        <v>5.8606175497220692E-2</v>
      </c>
      <c r="DR23" s="1254">
        <f>BC23/AX23-1</f>
        <v>0.18182618261826144</v>
      </c>
      <c r="DS23" s="1337"/>
      <c r="DT23" s="1254">
        <f>BE23/AZ23-1</f>
        <v>0.47251998265072181</v>
      </c>
      <c r="DU23" s="1254">
        <f>BF23/BA23-1</f>
        <v>0.23471741637831589</v>
      </c>
      <c r="DV23" s="1254">
        <f>BG23/BB23-1</f>
        <v>2.8803836464625032E-2</v>
      </c>
      <c r="DW23" s="1254">
        <f>BH23/BC23-1</f>
        <v>1.3460177979670362E-2</v>
      </c>
      <c r="DX23" s="928"/>
      <c r="DY23" s="1355"/>
      <c r="DZ23" s="1254"/>
      <c r="EA23" s="1254"/>
      <c r="EB23" s="1254"/>
      <c r="EC23" s="1337"/>
      <c r="ED23" s="1355"/>
      <c r="EE23" s="1254"/>
      <c r="EF23" s="1254"/>
      <c r="EG23" s="1254"/>
      <c r="EH23" s="1337"/>
      <c r="EI23" s="1254"/>
      <c r="EJ23" s="1254"/>
      <c r="EK23" s="1254"/>
      <c r="EL23" s="1254"/>
      <c r="EM23" s="1337"/>
      <c r="EN23" s="928"/>
      <c r="EO23" s="928"/>
      <c r="EP23" s="928"/>
      <c r="FC23" s="928"/>
      <c r="FD23" s="928"/>
      <c r="FE23" s="928"/>
      <c r="FF23" s="1349"/>
      <c r="FG23" s="1363"/>
      <c r="FH23" s="1350"/>
      <c r="FI23" s="1351"/>
      <c r="FJ23" s="1608"/>
      <c r="FK23" s="1612"/>
      <c r="FL23" s="928"/>
      <c r="FM23" s="928"/>
      <c r="FN23" s="928"/>
      <c r="FO23" s="928"/>
      <c r="FP23" s="928"/>
      <c r="FQ23" s="928"/>
    </row>
    <row r="24" spans="1:173" ht="14.25" customHeight="1">
      <c r="A24" s="1344" t="s">
        <v>25</v>
      </c>
      <c r="B24" s="1342"/>
      <c r="C24" s="1342"/>
      <c r="D24" s="1342"/>
      <c r="E24" s="1342"/>
      <c r="F24" s="1342"/>
      <c r="G24" s="1345">
        <v>20.2</v>
      </c>
      <c r="H24" s="1343">
        <v>152.1</v>
      </c>
      <c r="I24" s="1343">
        <v>122.3</v>
      </c>
      <c r="J24" s="1343">
        <v>160.1</v>
      </c>
      <c r="K24" s="1346">
        <f>+SUM(G24:J24)</f>
        <v>454.69999999999993</v>
      </c>
      <c r="L24" s="1343">
        <v>33.4</v>
      </c>
      <c r="M24" s="1343">
        <v>155.19999999999999</v>
      </c>
      <c r="N24" s="1343">
        <v>123.5</v>
      </c>
      <c r="O24" s="1343">
        <v>135.6</v>
      </c>
      <c r="P24" s="1346">
        <f>+SUM(L24:O24)</f>
        <v>447.70000000000005</v>
      </c>
      <c r="Q24" s="1343">
        <v>1.5</v>
      </c>
      <c r="R24" s="1343">
        <v>118.1</v>
      </c>
      <c r="S24" s="1343">
        <v>64.900000000000006</v>
      </c>
      <c r="T24" s="1343">
        <f>328.9-Q24-R24-S24</f>
        <v>144.39999999999998</v>
      </c>
      <c r="U24" s="1343">
        <f>+SUM(Q24:T24)</f>
        <v>328.9</v>
      </c>
      <c r="V24" s="1345"/>
      <c r="W24" s="1343"/>
      <c r="X24" s="1343"/>
      <c r="Y24" s="1343"/>
      <c r="Z24" s="1346"/>
      <c r="AA24" s="1343"/>
      <c r="AB24" s="1343"/>
      <c r="AC24" s="1343"/>
      <c r="AD24" s="1343"/>
      <c r="AE24" s="1343"/>
      <c r="AF24" s="1345"/>
      <c r="AG24" s="1343"/>
      <c r="AH24" s="1343"/>
      <c r="AI24" s="1343"/>
      <c r="AJ24" s="1346"/>
      <c r="AK24" s="1343"/>
      <c r="AL24" s="1343"/>
      <c r="AM24" s="1343"/>
      <c r="AN24" s="1343"/>
      <c r="AO24" s="1346"/>
      <c r="AP24" s="1343"/>
      <c r="AQ24" s="1343"/>
      <c r="AR24" s="1343"/>
      <c r="AS24" s="1343"/>
      <c r="AT24" s="1346"/>
      <c r="AU24" s="1356"/>
      <c r="AV24" s="1356"/>
      <c r="AW24" s="1356"/>
      <c r="AX24" s="1356"/>
      <c r="AY24" s="1346"/>
      <c r="AZ24" s="1343"/>
      <c r="BA24" s="1343"/>
      <c r="BB24" s="1343"/>
      <c r="BC24" s="1343"/>
      <c r="BD24" s="1343"/>
      <c r="BE24" s="1495"/>
      <c r="BF24" s="1392"/>
      <c r="BG24" s="1392"/>
      <c r="BH24" s="1343"/>
      <c r="BI24" s="1346"/>
      <c r="BJ24" s="1345"/>
      <c r="BK24" s="1343"/>
      <c r="BL24" s="1343"/>
      <c r="BM24" s="1343"/>
      <c r="BN24" s="1346"/>
      <c r="BO24" s="1345"/>
      <c r="BP24" s="1343"/>
      <c r="BQ24" s="1343"/>
      <c r="BR24" s="1343"/>
      <c r="BS24" s="1346"/>
      <c r="BT24" s="1345"/>
      <c r="BU24" s="1343"/>
      <c r="BV24" s="1343"/>
      <c r="BW24" s="1343"/>
      <c r="BX24" s="1346"/>
      <c r="BY24" s="1544"/>
      <c r="BZ24" s="928"/>
      <c r="CA24" s="1355">
        <f t="shared" si="41"/>
        <v>0.65346534653465338</v>
      </c>
      <c r="CB24" s="1254">
        <f t="shared" si="42"/>
        <v>2.0381328073635796E-2</v>
      </c>
      <c r="CC24" s="1254">
        <f t="shared" si="43"/>
        <v>9.8119378577268268E-3</v>
      </c>
      <c r="CD24" s="1254">
        <f t="shared" si="44"/>
        <v>-0.1530293566520925</v>
      </c>
      <c r="CE24" s="1337"/>
      <c r="CF24" s="1355">
        <f t="shared" si="45"/>
        <v>-0.95508982035928147</v>
      </c>
      <c r="CG24" s="1254">
        <f t="shared" si="46"/>
        <v>-0.23904639175257725</v>
      </c>
      <c r="CH24" s="1254">
        <f t="shared" si="47"/>
        <v>-0.47449392712550598</v>
      </c>
      <c r="CI24" s="1254">
        <f t="shared" si="48"/>
        <v>6.4896755162241693E-2</v>
      </c>
      <c r="CJ24" s="928"/>
      <c r="CK24" s="1355">
        <f t="shared" si="49"/>
        <v>-1</v>
      </c>
      <c r="CL24" s="1254">
        <f t="shared" si="50"/>
        <v>-1</v>
      </c>
      <c r="CM24" s="1254">
        <f t="shared" si="51"/>
        <v>-1</v>
      </c>
      <c r="CN24" s="1254">
        <f t="shared" si="52"/>
        <v>-1</v>
      </c>
      <c r="CO24" s="1337"/>
      <c r="CP24" s="1355"/>
      <c r="CQ24" s="1254"/>
      <c r="CR24" s="1254"/>
      <c r="CS24" s="1254"/>
      <c r="CT24" s="1337"/>
      <c r="CU24" s="1355"/>
      <c r="CV24" s="1254"/>
      <c r="CW24" s="1254"/>
      <c r="CX24" s="1254"/>
      <c r="CY24" s="1337"/>
      <c r="CZ24" s="1355"/>
      <c r="DA24" s="1254"/>
      <c r="DB24" s="1254"/>
      <c r="DC24" s="1254"/>
      <c r="DD24" s="1337"/>
      <c r="DE24" s="1355"/>
      <c r="DF24" s="1254"/>
      <c r="DG24" s="1254"/>
      <c r="DH24" s="1254"/>
      <c r="DI24" s="928"/>
      <c r="DJ24" s="1355"/>
      <c r="DK24" s="1254"/>
      <c r="DL24" s="1254"/>
      <c r="DM24" s="1254"/>
      <c r="DN24" s="1337"/>
      <c r="DO24" s="1355"/>
      <c r="DP24" s="1254"/>
      <c r="DQ24" s="1254"/>
      <c r="DR24" s="1254"/>
      <c r="DS24" s="1337"/>
      <c r="DT24" s="1254"/>
      <c r="DU24" s="1254"/>
      <c r="DV24" s="1254"/>
      <c r="DW24" s="1254"/>
      <c r="DX24" s="928"/>
      <c r="DY24" s="1355"/>
      <c r="DZ24" s="1254"/>
      <c r="EA24" s="1254"/>
      <c r="EB24" s="1254"/>
      <c r="EC24" s="1337"/>
      <c r="ED24" s="1355"/>
      <c r="EE24" s="1254"/>
      <c r="EF24" s="1254"/>
      <c r="EG24" s="1254"/>
      <c r="EH24" s="1337"/>
      <c r="EI24" s="1254"/>
      <c r="EJ24" s="1254"/>
      <c r="EK24" s="1254"/>
      <c r="EL24" s="1254"/>
      <c r="EM24" s="1337"/>
      <c r="EN24" s="928"/>
      <c r="EO24" s="928"/>
      <c r="EP24" s="928"/>
      <c r="FC24" s="928"/>
      <c r="FD24" s="928"/>
      <c r="FE24" s="928"/>
      <c r="FF24" s="1349"/>
      <c r="FG24" s="1363"/>
      <c r="FH24" s="1350"/>
      <c r="FI24" s="1351"/>
      <c r="FJ24" s="1608"/>
      <c r="FK24" s="1612"/>
      <c r="FL24" s="928"/>
      <c r="FM24" s="928"/>
      <c r="FN24" s="928"/>
      <c r="FO24" s="928"/>
      <c r="FP24" s="928"/>
      <c r="FQ24" s="928"/>
    </row>
    <row r="25" spans="1:173" ht="14.25" customHeight="1">
      <c r="A25" s="1344" t="s">
        <v>128</v>
      </c>
      <c r="B25" s="1342"/>
      <c r="C25" s="1342"/>
      <c r="D25" s="1342"/>
      <c r="E25" s="1342"/>
      <c r="F25" s="1342"/>
      <c r="G25" s="1345">
        <v>1425.6</v>
      </c>
      <c r="H25" s="1343">
        <v>1496.5</v>
      </c>
      <c r="I25" s="1343">
        <v>1457.5</v>
      </c>
      <c r="J25" s="1343">
        <v>1410.2</v>
      </c>
      <c r="K25" s="1346">
        <f>+SUM(G25:J25)</f>
        <v>5789.8</v>
      </c>
      <c r="L25" s="1343">
        <v>1571.8</v>
      </c>
      <c r="M25" s="1343">
        <v>1668.2</v>
      </c>
      <c r="N25" s="1343">
        <v>1713.6</v>
      </c>
      <c r="O25" s="1343">
        <v>1604.4</v>
      </c>
      <c r="P25" s="1346">
        <f>+SUM(L25:O25)</f>
        <v>6558</v>
      </c>
      <c r="Q25" s="1343">
        <v>1768.5</v>
      </c>
      <c r="R25" s="1343">
        <v>1881</v>
      </c>
      <c r="S25" s="1343">
        <v>1903.7</v>
      </c>
      <c r="T25" s="1343">
        <f>7340.5-Q25-R25-S25</f>
        <v>1787.3</v>
      </c>
      <c r="U25" s="1343">
        <f>+SUM(Q25:T25)</f>
        <v>7340.5</v>
      </c>
      <c r="V25" s="1345">
        <v>1947.7</v>
      </c>
      <c r="W25" s="1343">
        <v>2082</v>
      </c>
      <c r="X25" s="1343">
        <v>2136.9</v>
      </c>
      <c r="Y25" s="1343">
        <f>8211.3-V25-W25-X25</f>
        <v>2044.6999999999994</v>
      </c>
      <c r="Z25" s="1346">
        <f>+SUM(V25:Y25)</f>
        <v>8211.2999999999993</v>
      </c>
      <c r="AA25" s="1343">
        <v>2149.1</v>
      </c>
      <c r="AB25" s="1343">
        <v>2273.9</v>
      </c>
      <c r="AC25" s="1343">
        <v>2332</v>
      </c>
      <c r="AD25" s="1343">
        <f>8972.3-AA25-AB25-AC25</f>
        <v>2217.2999999999993</v>
      </c>
      <c r="AE25" s="1343">
        <f>Master!N67</f>
        <v>8972.2999999999993</v>
      </c>
      <c r="AF25" s="1345">
        <v>2409.4</v>
      </c>
      <c r="AG25" s="1343">
        <v>2531.1999999999998</v>
      </c>
      <c r="AH25" s="1343">
        <v>2534.1</v>
      </c>
      <c r="AI25" s="1343">
        <v>2423.8000000000002</v>
      </c>
      <c r="AJ25" s="1346">
        <f>Master!O67</f>
        <v>9898.5</v>
      </c>
      <c r="AK25" s="1343">
        <v>2466.3000000000002</v>
      </c>
      <c r="AL25" s="1343">
        <v>2655.9</v>
      </c>
      <c r="AM25" s="1343">
        <v>2660.4</v>
      </c>
      <c r="AN25" s="1343">
        <v>2324.1</v>
      </c>
      <c r="AO25" s="1346">
        <f>Master!P67</f>
        <v>10107</v>
      </c>
      <c r="AP25" s="1343">
        <v>2441.9</v>
      </c>
      <c r="AQ25" s="1343">
        <v>2540.9</v>
      </c>
      <c r="AR25" s="1343">
        <v>2569.9</v>
      </c>
      <c r="AS25" s="1343">
        <f>9767.3-AP25-AQ25-AR25</f>
        <v>2214.6</v>
      </c>
      <c r="AT25" s="1346">
        <f>Master!Q67</f>
        <v>9767</v>
      </c>
      <c r="AU25" s="1343">
        <v>2306.9</v>
      </c>
      <c r="AV25" s="1343">
        <v>2305.6</v>
      </c>
      <c r="AW25" s="1343">
        <v>2399.9</v>
      </c>
      <c r="AX25" s="1343">
        <v>2108.9</v>
      </c>
      <c r="AY25" s="1346">
        <f>Master!R67</f>
        <v>9121</v>
      </c>
      <c r="AZ25" s="1343">
        <v>2234</v>
      </c>
      <c r="BA25" s="1343">
        <v>2321.4</v>
      </c>
      <c r="BB25" s="1343">
        <v>2436.6999999999998</v>
      </c>
      <c r="BC25" s="1343">
        <f>BD25-AZ25-BA25-BB25</f>
        <v>2143.6999999999998</v>
      </c>
      <c r="BD25" s="1343">
        <f>Master!S67</f>
        <v>9135.7999999999993</v>
      </c>
      <c r="BE25" s="1345">
        <v>2154.5</v>
      </c>
      <c r="BF25" s="1343">
        <v>2242.6999999999998</v>
      </c>
      <c r="BG25" s="1343">
        <v>2261.6999999999998</v>
      </c>
      <c r="BH25" s="1343">
        <v>1845.4</v>
      </c>
      <c r="BI25" s="1346">
        <f>Master!T67</f>
        <v>8504.2000000000007</v>
      </c>
      <c r="BJ25" s="1494">
        <v>1861.4</v>
      </c>
      <c r="BK25" s="1359">
        <v>1702.3</v>
      </c>
      <c r="BL25" s="1359">
        <v>1701</v>
      </c>
      <c r="BM25" s="1359">
        <v>1151.5999999999999</v>
      </c>
      <c r="BN25" s="1346">
        <f>Master!U67</f>
        <v>6416.33</v>
      </c>
      <c r="BO25" s="1494">
        <v>1608.9</v>
      </c>
      <c r="BP25" s="1359">
        <v>1448.4</v>
      </c>
      <c r="BQ25" s="1359">
        <v>1533.2</v>
      </c>
      <c r="BR25" s="1359">
        <v>1140.9000000000001</v>
      </c>
      <c r="BS25" s="1346">
        <f>Master!V67</f>
        <v>5731.4</v>
      </c>
      <c r="BT25" s="1494">
        <v>1215.5999999999999</v>
      </c>
      <c r="BU25" s="1535">
        <f>0.9*BP25</f>
        <v>1303.5600000000002</v>
      </c>
      <c r="BV25" s="1535">
        <f>0.9*BQ25</f>
        <v>1379.88</v>
      </c>
      <c r="BW25" s="1398">
        <f>BX25-BT25-BU25-BV25</f>
        <v>1023.7095535325561</v>
      </c>
      <c r="BX25" s="1346">
        <f>Master!W67</f>
        <v>4922.7495535325561</v>
      </c>
      <c r="BY25" s="1544"/>
      <c r="BZ25" s="928"/>
      <c r="CA25" s="1355">
        <f t="shared" si="41"/>
        <v>0.10255331088664432</v>
      </c>
      <c r="CB25" s="1254">
        <f t="shared" si="42"/>
        <v>0.11473438022051452</v>
      </c>
      <c r="CC25" s="1254">
        <f t="shared" si="43"/>
        <v>0.17571183533447687</v>
      </c>
      <c r="CD25" s="1254">
        <f t="shared" si="44"/>
        <v>0.13771096298397389</v>
      </c>
      <c r="CE25" s="1337"/>
      <c r="CF25" s="1355">
        <f t="shared" si="45"/>
        <v>0.12514314798320392</v>
      </c>
      <c r="CG25" s="1254">
        <f t="shared" si="46"/>
        <v>0.12756264236902037</v>
      </c>
      <c r="CH25" s="1254">
        <f t="shared" si="47"/>
        <v>0.11093604108309996</v>
      </c>
      <c r="CI25" s="1254">
        <f t="shared" si="48"/>
        <v>0.11399900274245822</v>
      </c>
      <c r="CJ25" s="928"/>
      <c r="CK25" s="1355">
        <f t="shared" si="49"/>
        <v>0.10132880972575631</v>
      </c>
      <c r="CL25" s="1254">
        <f t="shared" si="50"/>
        <v>0.10685805422647521</v>
      </c>
      <c r="CM25" s="1254">
        <f t="shared" si="51"/>
        <v>0.12249829279823499</v>
      </c>
      <c r="CN25" s="1254">
        <f t="shared" si="52"/>
        <v>0.14401611369104206</v>
      </c>
      <c r="CO25" s="1337"/>
      <c r="CP25" s="1355">
        <f t="shared" ref="CP25:CP34" si="53">AA25/V25-1</f>
        <v>0.10340401499204188</v>
      </c>
      <c r="CQ25" s="1254">
        <f t="shared" ref="CQ25:CQ34" si="54">AB25/W25-1</f>
        <v>9.2170989433237205E-2</v>
      </c>
      <c r="CR25" s="1254">
        <f t="shared" ref="CR25:CR34" si="55">AC25/X25-1</f>
        <v>9.1300482006645201E-2</v>
      </c>
      <c r="CS25" s="1254">
        <f t="shared" ref="CS25:CS34" si="56">AD25/Y25-1</f>
        <v>8.4413361373306683E-2</v>
      </c>
      <c r="CT25" s="1337"/>
      <c r="CU25" s="1355">
        <f t="shared" ref="CU25:CU34" si="57">AF25/AA25-1</f>
        <v>0.12112046903354901</v>
      </c>
      <c r="CV25" s="1254">
        <f t="shared" ref="CV25:CV34" si="58">AG25/AB25-1</f>
        <v>0.11315361273582814</v>
      </c>
      <c r="CW25" s="1254">
        <f t="shared" ref="CW25:CW34" si="59">AH25/AC25-1</f>
        <v>8.6663807890222877E-2</v>
      </c>
      <c r="CX25" s="1254">
        <f t="shared" ref="CX25:CX34" si="60">AI25/AD25-1</f>
        <v>9.3131285798043084E-2</v>
      </c>
      <c r="CY25" s="1337"/>
      <c r="CZ25" s="1355">
        <f t="shared" ref="CZ25:CZ34" si="61">AK25/AF25-1</f>
        <v>2.3615837967958964E-2</v>
      </c>
      <c r="DA25" s="1254">
        <f t="shared" ref="DA25:DA34" si="62">AL25/AG25-1</f>
        <v>4.9265170670037994E-2</v>
      </c>
      <c r="DB25" s="1254">
        <f t="shared" ref="DB25:DB34" si="63">AM25/AH25-1</f>
        <v>4.9840179945542795E-2</v>
      </c>
      <c r="DC25" s="1254">
        <f t="shared" ref="DC25:DC34" si="64">AN25/AI25-1</f>
        <v>-4.1133756910636254E-2</v>
      </c>
      <c r="DD25" s="1337"/>
      <c r="DE25" s="1355">
        <f t="shared" ref="DE25:DE35" si="65">AP25/AK25-1</f>
        <v>-9.8933625268621261E-3</v>
      </c>
      <c r="DF25" s="1254">
        <f t="shared" ref="DF25:DF35" si="66">AQ25/AL25-1</f>
        <v>-4.3299823035505836E-2</v>
      </c>
      <c r="DG25" s="1254">
        <f t="shared" ref="DG25:DG35" si="67">AR25/AM25-1</f>
        <v>-3.4017440986317871E-2</v>
      </c>
      <c r="DH25" s="1254">
        <f t="shared" ref="DH25:DH35" si="68">AS25/AN25-1</f>
        <v>-4.7115012262811451E-2</v>
      </c>
      <c r="DI25" s="928"/>
      <c r="DJ25" s="1355">
        <f t="shared" ref="DJ25:DJ35" si="69">AU25/AP25-1</f>
        <v>-5.5284819198165414E-2</v>
      </c>
      <c r="DK25" s="1254">
        <f t="shared" ref="DK25:DK35" si="70">AV25/AQ25-1</f>
        <v>-9.2604982486520604E-2</v>
      </c>
      <c r="DL25" s="1254">
        <f t="shared" ref="DL25:DL35" si="71">AW25/AR25-1</f>
        <v>-6.6150433869022085E-2</v>
      </c>
      <c r="DM25" s="1254">
        <f t="shared" ref="DM25:DM35" si="72">AX25/AS25-1</f>
        <v>-4.7728709473494058E-2</v>
      </c>
      <c r="DN25" s="1337"/>
      <c r="DO25" s="1355">
        <f t="shared" ref="DO25:DO34" si="73">AZ25/AU25-1</f>
        <v>-3.1600849625037952E-2</v>
      </c>
      <c r="DP25" s="1254">
        <f t="shared" ref="DP25:DP34" si="74">BA25/AV25-1</f>
        <v>6.8528799444831368E-3</v>
      </c>
      <c r="DQ25" s="1254">
        <f t="shared" ref="DQ25:DQ34" si="75">BB25/AW25-1</f>
        <v>1.5333972248843697E-2</v>
      </c>
      <c r="DR25" s="1254">
        <f t="shared" ref="DR25:DR34" si="76">BC25/AX25-1</f>
        <v>1.6501493669685452E-2</v>
      </c>
      <c r="DS25" s="1337"/>
      <c r="DT25" s="1254">
        <f t="shared" ref="DT25:DT34" si="77">BE25/AZ25-1</f>
        <v>-3.558639212175474E-2</v>
      </c>
      <c r="DU25" s="1254">
        <f t="shared" ref="DU25:DU34" si="78">BF25/BA25-1</f>
        <v>-3.3901955716378218E-2</v>
      </c>
      <c r="DV25" s="1254">
        <f t="shared" ref="DV25:DV34" si="79">BG25/BB25-1</f>
        <v>-7.1818442976156249E-2</v>
      </c>
      <c r="DW25" s="1254">
        <f t="shared" ref="DW25:DW34" si="80">BH25/BC25-1</f>
        <v>-0.13915193357279454</v>
      </c>
      <c r="DX25" s="928"/>
      <c r="DY25" s="1355">
        <f t="shared" ref="DY25:DY34" si="81">BJ25/BE25-1</f>
        <v>-0.13604084474355993</v>
      </c>
      <c r="DZ25" s="1254">
        <f t="shared" ref="DZ25:DZ34" si="82">BK25/BF25-1</f>
        <v>-0.24095955767601551</v>
      </c>
      <c r="EA25" s="1254">
        <f t="shared" ref="EA25:EA34" si="83">BL25/BG25-1</f>
        <v>-0.24791086350974922</v>
      </c>
      <c r="EB25" s="1254">
        <f t="shared" ref="EB25:EB34" si="84">BM25/BH25-1</f>
        <v>-0.37596185108919489</v>
      </c>
      <c r="EC25" s="1337"/>
      <c r="ED25" s="1355">
        <f t="shared" ref="ED25:ED34" si="85">BO25/BJ25-1</f>
        <v>-0.13565058558074572</v>
      </c>
      <c r="EE25" s="1254">
        <f t="shared" ref="EE25:EE34" si="86">BP25/BK25-1</f>
        <v>-0.14915114844621979</v>
      </c>
      <c r="EF25" s="1254">
        <f t="shared" ref="EF25:EF34" si="87">BQ25/BL25-1</f>
        <v>-9.8647854203409713E-2</v>
      </c>
      <c r="EG25" s="1254">
        <f t="shared" ref="EG25:EG34" si="88">BR25/BM25-1</f>
        <v>-9.291420632163816E-3</v>
      </c>
      <c r="EH25" s="1337"/>
      <c r="EI25" s="1254">
        <f>BT25/BO25-1</f>
        <v>-0.2444527316800299</v>
      </c>
      <c r="EJ25" s="1254">
        <f>BU25/BP25-1</f>
        <v>-9.9999999999999978E-2</v>
      </c>
      <c r="EK25" s="1254">
        <f>BV25/BQ25-1</f>
        <v>-9.9999999999999978E-2</v>
      </c>
      <c r="EL25" s="1254">
        <f>BW25/BR25-1</f>
        <v>-0.1027175444538907</v>
      </c>
      <c r="EM25" s="1337"/>
      <c r="EN25" s="928"/>
      <c r="EO25" s="928"/>
      <c r="EP25" s="928"/>
      <c r="FC25" s="928"/>
      <c r="FD25" s="928"/>
      <c r="FE25" s="928"/>
      <c r="FF25" s="1349">
        <v>1490</v>
      </c>
      <c r="FG25" s="1363">
        <v>-0.12404467960023513</v>
      </c>
      <c r="FH25" s="1350">
        <v>1014.1396935799255</v>
      </c>
      <c r="FI25" s="1351">
        <v>-0.11936462870794928</v>
      </c>
      <c r="FJ25" s="1609">
        <v>1415.8320000000001</v>
      </c>
      <c r="FK25" s="1612">
        <v>-0.12</v>
      </c>
      <c r="FL25" s="928"/>
      <c r="FM25" s="928"/>
      <c r="FN25" s="928"/>
      <c r="FO25" s="928"/>
      <c r="FP25" s="928"/>
      <c r="FQ25" s="928"/>
    </row>
    <row r="26" spans="1:173" ht="14.25" customHeight="1">
      <c r="A26" s="1344" t="s">
        <v>129</v>
      </c>
      <c r="B26" s="1342"/>
      <c r="C26" s="1342"/>
      <c r="D26" s="1342"/>
      <c r="E26" s="1342"/>
      <c r="F26" s="1342"/>
      <c r="G26" s="1345">
        <v>1067.3</v>
      </c>
      <c r="H26" s="1343">
        <v>1108.5999999999999</v>
      </c>
      <c r="I26" s="1343">
        <v>1201.5999999999999</v>
      </c>
      <c r="J26" s="1343">
        <v>1401.1</v>
      </c>
      <c r="K26" s="1346">
        <f>+SUM(G26:J26)</f>
        <v>4778.5999999999995</v>
      </c>
      <c r="L26" s="1343">
        <v>1330.5</v>
      </c>
      <c r="M26" s="1343">
        <v>1472.9</v>
      </c>
      <c r="N26" s="1343">
        <v>1430.3</v>
      </c>
      <c r="O26" s="1343">
        <v>1579.1</v>
      </c>
      <c r="P26" s="1346">
        <f>+SUM(L26:O26)</f>
        <v>5812.7999999999993</v>
      </c>
      <c r="Q26" s="1343">
        <v>1417.5</v>
      </c>
      <c r="R26" s="1343">
        <v>1578.6</v>
      </c>
      <c r="S26" s="1343">
        <v>1479.1</v>
      </c>
      <c r="T26" s="1343">
        <f>6131.8-Q26-R26-S26</f>
        <v>1656.6000000000004</v>
      </c>
      <c r="U26" s="1343">
        <f>+SUM(Q26:T26)</f>
        <v>6131.8</v>
      </c>
      <c r="V26" s="1345">
        <v>1627.2</v>
      </c>
      <c r="W26" s="1343">
        <v>1778.2</v>
      </c>
      <c r="X26" s="1343">
        <v>1981.6</v>
      </c>
      <c r="Y26" s="1343">
        <f>7882.9-V26-W26-X26</f>
        <v>2495.9</v>
      </c>
      <c r="Z26" s="1346">
        <f>+SUM(V26:Y26)</f>
        <v>7882.9</v>
      </c>
      <c r="AA26" s="1343">
        <v>2657.8</v>
      </c>
      <c r="AB26" s="1343">
        <v>2764.2</v>
      </c>
      <c r="AC26" s="1343">
        <v>2973</v>
      </c>
      <c r="AD26" s="1343">
        <f>11405.6-AA26-AB26-AC26</f>
        <v>3010.5999999999995</v>
      </c>
      <c r="AE26" s="1343">
        <f>Master!N68</f>
        <v>11405.6</v>
      </c>
      <c r="AF26" s="1345">
        <v>3152.4</v>
      </c>
      <c r="AG26" s="1343">
        <v>3294.2</v>
      </c>
      <c r="AH26" s="1343">
        <v>3443.2</v>
      </c>
      <c r="AI26" s="1343">
        <v>3346.2</v>
      </c>
      <c r="AJ26" s="1346">
        <f>Master!O68</f>
        <v>13236.1</v>
      </c>
      <c r="AK26" s="1343">
        <v>3397.3</v>
      </c>
      <c r="AL26" s="1343">
        <v>3442.3</v>
      </c>
      <c r="AM26" s="1343">
        <v>3523.5</v>
      </c>
      <c r="AN26" s="1343">
        <v>3671.7</v>
      </c>
      <c r="AO26" s="1346">
        <f>Master!P68</f>
        <v>14035</v>
      </c>
      <c r="AP26" s="1343">
        <v>3664.9</v>
      </c>
      <c r="AQ26" s="1343">
        <v>3724.4</v>
      </c>
      <c r="AR26" s="1343">
        <v>3907.5</v>
      </c>
      <c r="AS26" s="1343">
        <f>15302.5-AP26-AQ26-AR26</f>
        <v>4005.7000000000007</v>
      </c>
      <c r="AT26" s="1346">
        <f>Master!Q68</f>
        <v>15303</v>
      </c>
      <c r="AU26" s="1343">
        <v>4297.1000000000004</v>
      </c>
      <c r="AV26" s="1343">
        <v>4473.7</v>
      </c>
      <c r="AW26" s="1343">
        <v>4481.7</v>
      </c>
      <c r="AX26" s="1343">
        <v>4545</v>
      </c>
      <c r="AY26" s="1346">
        <f>Master!R68</f>
        <v>17798</v>
      </c>
      <c r="AZ26" s="1343">
        <v>4490.3</v>
      </c>
      <c r="BA26" s="1343">
        <v>4656.5</v>
      </c>
      <c r="BB26" s="1343">
        <v>4796.7</v>
      </c>
      <c r="BC26" s="1343">
        <f>BD26-AZ26-BA26-BB26</f>
        <v>4954.8</v>
      </c>
      <c r="BD26" s="1343">
        <f>Master!S68</f>
        <v>18898.3</v>
      </c>
      <c r="BE26" s="1345">
        <v>4834.6000000000004</v>
      </c>
      <c r="BF26" s="1343">
        <v>5020.1000000000004</v>
      </c>
      <c r="BG26" s="1343">
        <v>5064.5</v>
      </c>
      <c r="BH26" s="1343">
        <v>5365.8</v>
      </c>
      <c r="BI26" s="1346">
        <f>Master!T68</f>
        <v>20285</v>
      </c>
      <c r="BJ26" s="1494">
        <v>4979.3</v>
      </c>
      <c r="BK26" s="1359">
        <v>4951.8</v>
      </c>
      <c r="BL26" s="1359">
        <v>4912.3999999999996</v>
      </c>
      <c r="BM26" s="1359">
        <v>5059.3</v>
      </c>
      <c r="BN26" s="1346">
        <f>Master!U68</f>
        <v>19902.8</v>
      </c>
      <c r="BO26" s="1494">
        <v>4957</v>
      </c>
      <c r="BP26" s="1359">
        <v>4841.3999999999996</v>
      </c>
      <c r="BQ26" s="1359">
        <v>4320.8</v>
      </c>
      <c r="BR26" s="1359">
        <v>4701.8</v>
      </c>
      <c r="BS26" s="1346">
        <f>Master!V68</f>
        <v>18821</v>
      </c>
      <c r="BT26" s="1494">
        <v>4667.8</v>
      </c>
      <c r="BU26" s="1535">
        <v>4650</v>
      </c>
      <c r="BV26" s="1535">
        <v>4250</v>
      </c>
      <c r="BW26" s="1398">
        <f>BX26-BT26-BU26-BV26</f>
        <v>4611.1312500000022</v>
      </c>
      <c r="BX26" s="1346">
        <f>Master!W68</f>
        <v>18178.931250000001</v>
      </c>
      <c r="BY26" s="1544"/>
      <c r="BZ26" s="928"/>
      <c r="CA26" s="1355">
        <f t="shared" si="41"/>
        <v>0.24660357912489461</v>
      </c>
      <c r="CB26" s="1254">
        <f t="shared" si="42"/>
        <v>0.32861266462204597</v>
      </c>
      <c r="CC26" s="1254">
        <f t="shared" si="43"/>
        <v>0.19032956058588546</v>
      </c>
      <c r="CD26" s="1254">
        <f t="shared" si="44"/>
        <v>0.12704303761330382</v>
      </c>
      <c r="CE26" s="1337"/>
      <c r="CF26" s="1355">
        <f t="shared" si="45"/>
        <v>6.5388951521984318E-2</v>
      </c>
      <c r="CG26" s="1254">
        <f t="shared" si="46"/>
        <v>7.176318826804251E-2</v>
      </c>
      <c r="CH26" s="1254">
        <f t="shared" si="47"/>
        <v>3.4118716353212619E-2</v>
      </c>
      <c r="CI26" s="1254">
        <f t="shared" si="48"/>
        <v>4.9078589069723622E-2</v>
      </c>
      <c r="CJ26" s="928"/>
      <c r="CK26" s="1355">
        <f t="shared" si="49"/>
        <v>0.14793650793650803</v>
      </c>
      <c r="CL26" s="1254">
        <f t="shared" si="50"/>
        <v>0.12644115038641845</v>
      </c>
      <c r="CM26" s="1254">
        <f t="shared" si="51"/>
        <v>0.33973362179703881</v>
      </c>
      <c r="CN26" s="1254">
        <f t="shared" si="52"/>
        <v>0.50664010624169964</v>
      </c>
      <c r="CO26" s="1337"/>
      <c r="CP26" s="1355">
        <f t="shared" si="53"/>
        <v>0.63335791543756148</v>
      </c>
      <c r="CQ26" s="1254">
        <f t="shared" si="54"/>
        <v>0.55449330783938811</v>
      </c>
      <c r="CR26" s="1254">
        <f t="shared" si="55"/>
        <v>0.50030278562777553</v>
      </c>
      <c r="CS26" s="1254">
        <f t="shared" si="56"/>
        <v>0.2062181978444646</v>
      </c>
      <c r="CT26" s="1337"/>
      <c r="CU26" s="1355">
        <f t="shared" si="57"/>
        <v>0.18609376175784487</v>
      </c>
      <c r="CV26" s="1254">
        <f t="shared" si="58"/>
        <v>0.19173721148976197</v>
      </c>
      <c r="CW26" s="1254">
        <f t="shared" si="59"/>
        <v>0.15815674402959967</v>
      </c>
      <c r="CX26" s="1254">
        <f t="shared" si="60"/>
        <v>0.11147279612037475</v>
      </c>
      <c r="CY26" s="1337"/>
      <c r="CZ26" s="1355">
        <f t="shared" si="61"/>
        <v>7.7686841771348769E-2</v>
      </c>
      <c r="DA26" s="1254">
        <f t="shared" si="62"/>
        <v>4.4957804626313047E-2</v>
      </c>
      <c r="DB26" s="1254">
        <f t="shared" si="63"/>
        <v>2.3321328996282586E-2</v>
      </c>
      <c r="DC26" s="1254">
        <f t="shared" si="64"/>
        <v>9.727452035144335E-2</v>
      </c>
      <c r="DD26" s="1337"/>
      <c r="DE26" s="1355">
        <f t="shared" si="65"/>
        <v>7.8768433756218226E-2</v>
      </c>
      <c r="DF26" s="1254">
        <f t="shared" si="66"/>
        <v>8.1951021119600176E-2</v>
      </c>
      <c r="DG26" s="1254">
        <f t="shared" si="67"/>
        <v>0.10898254576415489</v>
      </c>
      <c r="DH26" s="1254">
        <f t="shared" si="68"/>
        <v>9.0966037530299637E-2</v>
      </c>
      <c r="DI26" s="928"/>
      <c r="DJ26" s="1355">
        <f t="shared" si="69"/>
        <v>0.17250129607901998</v>
      </c>
      <c r="DK26" s="1254">
        <f t="shared" si="70"/>
        <v>0.20118676833852422</v>
      </c>
      <c r="DL26" s="1254">
        <f t="shared" si="71"/>
        <v>0.14694817658349324</v>
      </c>
      <c r="DM26" s="1254">
        <f t="shared" si="72"/>
        <v>0.13463314776443558</v>
      </c>
      <c r="DN26" s="1337"/>
      <c r="DO26" s="1355">
        <f t="shared" si="73"/>
        <v>4.4960554792767171E-2</v>
      </c>
      <c r="DP26" s="1254">
        <f t="shared" si="74"/>
        <v>4.0861032255180341E-2</v>
      </c>
      <c r="DQ26" s="1254">
        <f t="shared" si="75"/>
        <v>7.0285829038088332E-2</v>
      </c>
      <c r="DR26" s="1254">
        <f t="shared" si="76"/>
        <v>9.0165016501650097E-2</v>
      </c>
      <c r="DS26" s="1337"/>
      <c r="DT26" s="1254">
        <f t="shared" si="77"/>
        <v>7.6676391332427762E-2</v>
      </c>
      <c r="DU26" s="1254">
        <f t="shared" si="78"/>
        <v>7.8084398153119405E-2</v>
      </c>
      <c r="DV26" s="1254">
        <f t="shared" si="79"/>
        <v>5.5830049825922101E-2</v>
      </c>
      <c r="DW26" s="1254">
        <f t="shared" si="80"/>
        <v>8.2949866795834382E-2</v>
      </c>
      <c r="DX26" s="928"/>
      <c r="DY26" s="1347">
        <f t="shared" si="81"/>
        <v>2.9930087287469487E-2</v>
      </c>
      <c r="DZ26" s="1316">
        <f t="shared" si="82"/>
        <v>-1.3605306667197947E-2</v>
      </c>
      <c r="EA26" s="1316">
        <f t="shared" si="83"/>
        <v>-3.0032579721591568E-2</v>
      </c>
      <c r="EB26" s="1316">
        <f t="shared" si="84"/>
        <v>-5.7121025755712096E-2</v>
      </c>
      <c r="EC26" s="1337"/>
      <c r="ED26" s="1347">
        <f t="shared" si="85"/>
        <v>-4.478541160404137E-3</v>
      </c>
      <c r="EE26" s="1316">
        <f t="shared" si="86"/>
        <v>-2.2294923058281957E-2</v>
      </c>
      <c r="EF26" s="1316">
        <f t="shared" si="87"/>
        <v>-0.12042993241592692</v>
      </c>
      <c r="EG26" s="1316">
        <f t="shared" si="88"/>
        <v>-7.0661949281521141E-2</v>
      </c>
      <c r="EH26" s="1337"/>
      <c r="EI26" s="1658">
        <v>-8.6999999999999994E-2</v>
      </c>
      <c r="EJ26" s="1316">
        <f t="shared" ref="EJ26:EJ34" si="89">BU26/BP26-1</f>
        <v>-3.953401908538845E-2</v>
      </c>
      <c r="EK26" s="1316">
        <f t="shared" ref="EK26:EK34" si="90">BV26/BQ26-1</f>
        <v>-1.6385854471394179E-2</v>
      </c>
      <c r="EL26" s="1316">
        <f t="shared" ref="EL26:EL34" si="91">BW26/BR26-1</f>
        <v>-1.9283838104555251E-2</v>
      </c>
      <c r="EM26" s="1337"/>
      <c r="EN26" s="928"/>
      <c r="EO26" s="928"/>
      <c r="EP26" s="928"/>
      <c r="FC26" s="928"/>
      <c r="FD26" s="928"/>
      <c r="FE26" s="928"/>
      <c r="FF26" s="1349">
        <v>4750</v>
      </c>
      <c r="FG26" s="1360">
        <v>-3.3059197133783802E-2</v>
      </c>
      <c r="FH26" s="1350">
        <v>4626.9382254999991</v>
      </c>
      <c r="FI26" s="1361">
        <v>-8.5458813373391784E-2</v>
      </c>
      <c r="FJ26" s="1609">
        <v>4820</v>
      </c>
      <c r="FK26" s="1615">
        <v>-2.7637684083114733E-2</v>
      </c>
      <c r="FL26" s="928"/>
      <c r="FM26" s="928"/>
      <c r="FN26" s="928"/>
      <c r="FO26" s="928"/>
      <c r="FP26" s="928"/>
      <c r="FQ26" s="928"/>
    </row>
    <row r="27" spans="1:173" ht="14.25" customHeight="1">
      <c r="A27" s="1344" t="s">
        <v>130</v>
      </c>
      <c r="B27" s="1342"/>
      <c r="C27" s="1342"/>
      <c r="D27" s="1342"/>
      <c r="E27" s="1342"/>
      <c r="F27" s="1342"/>
      <c r="G27" s="1345">
        <v>-48.8</v>
      </c>
      <c r="H27" s="1343">
        <v>10.9</v>
      </c>
      <c r="I27" s="1343">
        <v>-6.2999999999999972</v>
      </c>
      <c r="J27" s="1343">
        <v>-88.1</v>
      </c>
      <c r="K27" s="1346">
        <f>+SUM(G27:J27)</f>
        <v>-132.29999999999998</v>
      </c>
      <c r="L27" s="1343">
        <v>105.8</v>
      </c>
      <c r="M27" s="1343">
        <v>50.8</v>
      </c>
      <c r="N27" s="1343">
        <v>11.9</v>
      </c>
      <c r="O27" s="1343">
        <v>15.3</v>
      </c>
      <c r="P27" s="1346">
        <f>+SUM(L27:O27)</f>
        <v>183.8</v>
      </c>
      <c r="Q27" s="1343">
        <v>109.4</v>
      </c>
      <c r="R27" s="1343">
        <v>89.2</v>
      </c>
      <c r="S27" s="1343">
        <v>98.1</v>
      </c>
      <c r="T27" s="1343">
        <f>493.2-Q27-R27-S27</f>
        <v>196.49999999999997</v>
      </c>
      <c r="U27" s="1343">
        <f>+SUM(Q27:T27)</f>
        <v>493.20000000000005</v>
      </c>
      <c r="V27" s="1345">
        <v>104.7</v>
      </c>
      <c r="W27" s="1343">
        <v>198.1</v>
      </c>
      <c r="X27" s="1343">
        <v>151.6</v>
      </c>
      <c r="Y27" s="1343">
        <f>651.2-V27-W27-X27</f>
        <v>196.79999999999998</v>
      </c>
      <c r="Z27" s="1346">
        <f>+SUM(V27:Y27)</f>
        <v>651.19999999999993</v>
      </c>
      <c r="AA27" s="1343">
        <v>221.6</v>
      </c>
      <c r="AB27" s="1343">
        <v>129</v>
      </c>
      <c r="AC27" s="1343">
        <v>258</v>
      </c>
      <c r="AD27" s="1343">
        <f>753.2-AA27-AB27-AC27</f>
        <v>144.60000000000002</v>
      </c>
      <c r="AE27" s="1343">
        <f>Master!N69</f>
        <v>753.2</v>
      </c>
      <c r="AF27" s="1345">
        <v>141.5</v>
      </c>
      <c r="AG27" s="1343">
        <v>172</v>
      </c>
      <c r="AH27" s="1343">
        <v>359.1</v>
      </c>
      <c r="AI27" s="1343">
        <v>368.1</v>
      </c>
      <c r="AJ27" s="1346">
        <f>Master!O69</f>
        <v>1040.5999999999999</v>
      </c>
      <c r="AK27" s="1343">
        <v>76.900000000000006</v>
      </c>
      <c r="AL27" s="1343">
        <v>136.1</v>
      </c>
      <c r="AM27" s="1343">
        <v>53.3</v>
      </c>
      <c r="AN27" s="1343">
        <v>223.7</v>
      </c>
      <c r="AO27" s="1346">
        <f>Master!P69</f>
        <v>490</v>
      </c>
      <c r="AP27" s="1343">
        <v>203.9</v>
      </c>
      <c r="AQ27" s="1343">
        <v>193.2</v>
      </c>
      <c r="AR27" s="1343">
        <v>126.7</v>
      </c>
      <c r="AS27" s="1343">
        <f>754.3-AP27-AQ27-AR27</f>
        <v>230.5</v>
      </c>
      <c r="AT27" s="1346">
        <f>Master!Q69</f>
        <v>754</v>
      </c>
      <c r="AU27" s="1343">
        <v>535.1</v>
      </c>
      <c r="AV27" s="1343">
        <v>220.5</v>
      </c>
      <c r="AW27" s="1343">
        <v>770.5</v>
      </c>
      <c r="AX27" s="1353">
        <f>96.7+100.3-18.8-100.3</f>
        <v>77.899999999999991</v>
      </c>
      <c r="AY27" s="1346">
        <f>Master!R69</f>
        <v>1464</v>
      </c>
      <c r="AZ27" s="1343">
        <v>371</v>
      </c>
      <c r="BA27" s="1343">
        <v>-422.4</v>
      </c>
      <c r="BB27" s="1343">
        <v>3.3</v>
      </c>
      <c r="BC27" s="1343">
        <f>BD27-AZ27-BA27-BB27</f>
        <v>164.59999999999997</v>
      </c>
      <c r="BD27" s="1343">
        <f>Master!S69</f>
        <v>116.5</v>
      </c>
      <c r="BE27" s="1345">
        <v>12.1</v>
      </c>
      <c r="BF27" s="1343">
        <v>273.5</v>
      </c>
      <c r="BG27" s="1343">
        <v>253.2</v>
      </c>
      <c r="BH27" s="1343">
        <v>368.5</v>
      </c>
      <c r="BI27" s="1346">
        <f>Master!T69</f>
        <v>907.3</v>
      </c>
      <c r="BJ27" s="1494">
        <v>376.4</v>
      </c>
      <c r="BK27" s="1359">
        <v>391.6</v>
      </c>
      <c r="BL27" s="1359">
        <v>423.7</v>
      </c>
      <c r="BM27" s="1359">
        <v>499.2</v>
      </c>
      <c r="BN27" s="1346">
        <f>Master!U69</f>
        <v>1691</v>
      </c>
      <c r="BO27" s="1494">
        <v>403.9</v>
      </c>
      <c r="BP27" s="1359">
        <v>524.20000000000005</v>
      </c>
      <c r="BQ27" s="1359">
        <v>561</v>
      </c>
      <c r="BR27" s="1359">
        <v>463.1</v>
      </c>
      <c r="BS27" s="1346">
        <f>Master!V69</f>
        <v>1952.4</v>
      </c>
      <c r="BT27" s="1494">
        <v>0</v>
      </c>
      <c r="BU27" s="1535">
        <v>0</v>
      </c>
      <c r="BV27" s="1535">
        <v>0</v>
      </c>
      <c r="BW27" s="1398">
        <f>BX27-BT27-BU27-BV27</f>
        <v>0</v>
      </c>
      <c r="BX27" s="1346">
        <f>Master!W69</f>
        <v>0</v>
      </c>
      <c r="BY27" s="1544"/>
      <c r="BZ27" s="928"/>
      <c r="CA27" s="1355">
        <f t="shared" si="41"/>
        <v>-3.168032786885246</v>
      </c>
      <c r="CB27" s="1254">
        <f t="shared" si="42"/>
        <v>3.6605504587155959</v>
      </c>
      <c r="CC27" s="1254">
        <f t="shared" si="43"/>
        <v>-2.8888888888888897</v>
      </c>
      <c r="CD27" s="1254">
        <f t="shared" si="44"/>
        <v>-1.1736662883087401</v>
      </c>
      <c r="CE27" s="1337"/>
      <c r="CF27" s="1355">
        <f t="shared" si="45"/>
        <v>3.402646502835549E-2</v>
      </c>
      <c r="CG27" s="1254">
        <f t="shared" si="46"/>
        <v>0.75590551181102383</v>
      </c>
      <c r="CH27" s="1254">
        <f t="shared" si="47"/>
        <v>7.2436974789915958</v>
      </c>
      <c r="CI27" s="1254">
        <f t="shared" si="48"/>
        <v>11.843137254901958</v>
      </c>
      <c r="CJ27" s="928"/>
      <c r="CK27" s="1355">
        <f t="shared" si="49"/>
        <v>-4.2961608775137106E-2</v>
      </c>
      <c r="CL27" s="1254">
        <f t="shared" si="50"/>
        <v>1.2208520179372195</v>
      </c>
      <c r="CM27" s="1254">
        <f t="shared" si="51"/>
        <v>0.54536187563710503</v>
      </c>
      <c r="CN27" s="1254">
        <f t="shared" si="52"/>
        <v>1.5267175572519776E-3</v>
      </c>
      <c r="CO27" s="1337"/>
      <c r="CP27" s="1355">
        <f t="shared" si="53"/>
        <v>1.116523400191022</v>
      </c>
      <c r="CQ27" s="1254">
        <f t="shared" si="54"/>
        <v>-0.34881373043917208</v>
      </c>
      <c r="CR27" s="1254">
        <f t="shared" si="55"/>
        <v>0.70184696569920857</v>
      </c>
      <c r="CS27" s="1254">
        <f t="shared" si="56"/>
        <v>-0.26524390243902418</v>
      </c>
      <c r="CT27" s="1337"/>
      <c r="CU27" s="1355">
        <f t="shared" si="57"/>
        <v>-0.36146209386281591</v>
      </c>
      <c r="CV27" s="1254">
        <f t="shared" si="58"/>
        <v>0.33333333333333326</v>
      </c>
      <c r="CW27" s="1254">
        <f t="shared" si="59"/>
        <v>0.39186046511627914</v>
      </c>
      <c r="CX27" s="1254">
        <f t="shared" si="60"/>
        <v>1.5456431535269708</v>
      </c>
      <c r="CY27" s="1337"/>
      <c r="CZ27" s="1355">
        <f t="shared" si="61"/>
        <v>-0.45653710247349821</v>
      </c>
      <c r="DA27" s="1254">
        <f t="shared" si="62"/>
        <v>-0.20872093023255822</v>
      </c>
      <c r="DB27" s="1254">
        <f t="shared" si="63"/>
        <v>-0.85157337788916743</v>
      </c>
      <c r="DC27" s="1254">
        <f t="shared" si="64"/>
        <v>-0.39228470524314052</v>
      </c>
      <c r="DD27" s="1337"/>
      <c r="DE27" s="1355">
        <f t="shared" si="65"/>
        <v>1.6514954486345901</v>
      </c>
      <c r="DF27" s="1254">
        <f t="shared" si="66"/>
        <v>0.41954445260837625</v>
      </c>
      <c r="DG27" s="1254">
        <f t="shared" si="67"/>
        <v>1.3771106941838651</v>
      </c>
      <c r="DH27" s="1254">
        <f t="shared" si="68"/>
        <v>3.0397854269110569E-2</v>
      </c>
      <c r="DI27" s="928"/>
      <c r="DJ27" s="1355">
        <f t="shared" si="69"/>
        <v>1.6243256498283474</v>
      </c>
      <c r="DK27" s="1254">
        <f t="shared" si="70"/>
        <v>0.14130434782608692</v>
      </c>
      <c r="DL27" s="1254">
        <f t="shared" si="71"/>
        <v>5.0812943962115229</v>
      </c>
      <c r="DM27" s="1254">
        <f t="shared" si="72"/>
        <v>-0.6620390455531453</v>
      </c>
      <c r="DN27" s="1337"/>
      <c r="DO27" s="1355">
        <f t="shared" si="73"/>
        <v>-0.3066716501588489</v>
      </c>
      <c r="DP27" s="1254">
        <f t="shared" si="74"/>
        <v>-2.9156462585034015</v>
      </c>
      <c r="DQ27" s="1254">
        <f t="shared" si="75"/>
        <v>-0.9957170668397145</v>
      </c>
      <c r="DR27" s="1254">
        <f t="shared" si="76"/>
        <v>1.1129653401797173</v>
      </c>
      <c r="DS27" s="1337"/>
      <c r="DT27" s="1254">
        <f t="shared" si="77"/>
        <v>-0.96738544474393529</v>
      </c>
      <c r="DU27" s="1254">
        <f t="shared" si="78"/>
        <v>-1.6474905303030303</v>
      </c>
      <c r="DV27" s="1254">
        <f t="shared" si="79"/>
        <v>75.727272727272734</v>
      </c>
      <c r="DW27" s="1254">
        <f t="shared" si="80"/>
        <v>1.2387606318347513</v>
      </c>
      <c r="DX27" s="928"/>
      <c r="DY27" s="1355">
        <f t="shared" si="81"/>
        <v>30.107438016528924</v>
      </c>
      <c r="DZ27" s="1254">
        <f t="shared" si="82"/>
        <v>0.43180987202925047</v>
      </c>
      <c r="EA27" s="1254">
        <f t="shared" si="83"/>
        <v>0.67338072669826232</v>
      </c>
      <c r="EB27" s="1254">
        <f t="shared" si="84"/>
        <v>0.35468113975576654</v>
      </c>
      <c r="EC27" s="1337"/>
      <c r="ED27" s="1355">
        <f t="shared" si="85"/>
        <v>7.3060573857598232E-2</v>
      </c>
      <c r="EE27" s="1254">
        <f t="shared" si="86"/>
        <v>0.33861082737487225</v>
      </c>
      <c r="EF27" s="1254">
        <f t="shared" si="87"/>
        <v>0.3240500354024074</v>
      </c>
      <c r="EG27" s="1254">
        <f t="shared" si="88"/>
        <v>-7.2315705128205066E-2</v>
      </c>
      <c r="EH27" s="1337"/>
      <c r="EI27" s="1254">
        <f>BT27/BO27-1</f>
        <v>-1</v>
      </c>
      <c r="EJ27" s="1254">
        <f t="shared" si="89"/>
        <v>-1</v>
      </c>
      <c r="EK27" s="1254">
        <f t="shared" si="90"/>
        <v>-1</v>
      </c>
      <c r="EL27" s="1254">
        <f t="shared" si="91"/>
        <v>-1</v>
      </c>
      <c r="EM27" s="1337"/>
      <c r="EN27" s="928"/>
      <c r="EO27" s="928"/>
      <c r="EP27" s="928"/>
      <c r="FC27" s="928"/>
      <c r="FD27" s="928"/>
      <c r="FE27" s="928"/>
      <c r="FF27" s="1349">
        <v>480</v>
      </c>
      <c r="FG27" s="1363">
        <v>0.13287703563842346</v>
      </c>
      <c r="FH27" s="1350">
        <v>460.89999999999986</v>
      </c>
      <c r="FI27" s="1351">
        <v>-7.672275641025661E-2</v>
      </c>
      <c r="FJ27" s="1609">
        <v>200</v>
      </c>
      <c r="FK27" s="1612">
        <v>-0.5048279277048775</v>
      </c>
      <c r="FL27" s="928"/>
      <c r="FM27" s="928"/>
      <c r="FN27" s="928"/>
      <c r="FO27" s="928"/>
      <c r="FP27" s="928"/>
      <c r="FQ27" s="928"/>
    </row>
    <row r="28" spans="1:173" ht="14.25" customHeight="1">
      <c r="A28" s="1545" t="s">
        <v>136</v>
      </c>
      <c r="B28" s="1546"/>
      <c r="C28" s="1546"/>
      <c r="D28" s="1546"/>
      <c r="E28" s="1546"/>
      <c r="F28" s="1546"/>
      <c r="G28" s="1530">
        <f t="shared" ref="G28:AL28" si="92">+SUM(G23:G27)</f>
        <v>4627.8999999999996</v>
      </c>
      <c r="H28" s="1407">
        <f t="shared" si="92"/>
        <v>6290.2999999999993</v>
      </c>
      <c r="I28" s="1407">
        <f t="shared" si="92"/>
        <v>6777.5999999999995</v>
      </c>
      <c r="J28" s="1407">
        <f t="shared" si="92"/>
        <v>7675.6999999999989</v>
      </c>
      <c r="K28" s="1380">
        <f t="shared" si="92"/>
        <v>25371.5</v>
      </c>
      <c r="L28" s="1530">
        <f t="shared" si="92"/>
        <v>5639.1</v>
      </c>
      <c r="M28" s="1407">
        <f t="shared" si="92"/>
        <v>7125.7</v>
      </c>
      <c r="N28" s="1407">
        <f t="shared" si="92"/>
        <v>7506.4999999999991</v>
      </c>
      <c r="O28" s="1407">
        <f t="shared" si="92"/>
        <v>8142.2000000000016</v>
      </c>
      <c r="P28" s="1380">
        <f t="shared" si="92"/>
        <v>28413.5</v>
      </c>
      <c r="Q28" s="1407">
        <f t="shared" si="92"/>
        <v>5675.5</v>
      </c>
      <c r="R28" s="1407">
        <f t="shared" si="92"/>
        <v>7733.7</v>
      </c>
      <c r="S28" s="1407">
        <f t="shared" si="92"/>
        <v>7960.9</v>
      </c>
      <c r="T28" s="1407">
        <f t="shared" si="92"/>
        <v>8490.2999999999993</v>
      </c>
      <c r="U28" s="1407">
        <f t="shared" si="92"/>
        <v>29860.399999999998</v>
      </c>
      <c r="V28" s="1530">
        <f t="shared" si="92"/>
        <v>6079.7</v>
      </c>
      <c r="W28" s="1407">
        <f t="shared" si="92"/>
        <v>8015.8</v>
      </c>
      <c r="X28" s="1407">
        <f t="shared" si="92"/>
        <v>8312.1</v>
      </c>
      <c r="Y28" s="1407">
        <f t="shared" si="92"/>
        <v>9872.0999999999967</v>
      </c>
      <c r="Z28" s="1380">
        <f t="shared" si="92"/>
        <v>32279.7</v>
      </c>
      <c r="AA28" s="1407">
        <f t="shared" si="92"/>
        <v>7637.5000000000009</v>
      </c>
      <c r="AB28" s="1407">
        <f t="shared" si="92"/>
        <v>8545.5999999999985</v>
      </c>
      <c r="AC28" s="1407">
        <f t="shared" si="92"/>
        <v>9584.7000000000007</v>
      </c>
      <c r="AD28" s="1407">
        <f t="shared" si="92"/>
        <v>9927.5</v>
      </c>
      <c r="AE28" s="1407">
        <f t="shared" si="92"/>
        <v>35695.299999999996</v>
      </c>
      <c r="AF28" s="1530">
        <f t="shared" si="92"/>
        <v>8358.2999999999993</v>
      </c>
      <c r="AG28" s="1407">
        <f t="shared" si="92"/>
        <v>9680</v>
      </c>
      <c r="AH28" s="1407">
        <f t="shared" si="92"/>
        <v>9979</v>
      </c>
      <c r="AI28" s="1407">
        <f t="shared" si="92"/>
        <v>10905.9</v>
      </c>
      <c r="AJ28" s="1380">
        <f t="shared" si="92"/>
        <v>38923.199999999997</v>
      </c>
      <c r="AK28" s="1407">
        <f t="shared" si="92"/>
        <v>8559.1</v>
      </c>
      <c r="AL28" s="1407">
        <f t="shared" si="92"/>
        <v>9419.4</v>
      </c>
      <c r="AM28" s="1407">
        <f t="shared" ref="AM28:BJ28" si="93">+SUM(AM23:AM27)</f>
        <v>9339.2999999999993</v>
      </c>
      <c r="AN28" s="1407">
        <f t="shared" si="93"/>
        <v>10139</v>
      </c>
      <c r="AO28" s="1380">
        <f t="shared" si="93"/>
        <v>37457</v>
      </c>
      <c r="AP28" s="1407">
        <f t="shared" si="93"/>
        <v>9130.7999999999993</v>
      </c>
      <c r="AQ28" s="1407">
        <f t="shared" si="93"/>
        <v>10752.800000000001</v>
      </c>
      <c r="AR28" s="1407">
        <f t="shared" si="93"/>
        <v>10308.1</v>
      </c>
      <c r="AS28" s="1407">
        <f t="shared" si="93"/>
        <v>10487.5</v>
      </c>
      <c r="AT28" s="1380">
        <f t="shared" si="93"/>
        <v>40679</v>
      </c>
      <c r="AU28" s="1407">
        <f t="shared" si="93"/>
        <v>9406.4000000000015</v>
      </c>
      <c r="AV28" s="1407">
        <f t="shared" si="93"/>
        <v>9928.0999999999985</v>
      </c>
      <c r="AW28" s="1407">
        <f t="shared" si="93"/>
        <v>10764.400000000001</v>
      </c>
      <c r="AX28" s="1407">
        <f t="shared" si="93"/>
        <v>11276.8</v>
      </c>
      <c r="AY28" s="1380">
        <f t="shared" si="93"/>
        <v>41015</v>
      </c>
      <c r="AZ28" s="1407">
        <f t="shared" si="93"/>
        <v>8709.2000000000007</v>
      </c>
      <c r="BA28" s="1407">
        <f t="shared" si="93"/>
        <v>8636.3000000000011</v>
      </c>
      <c r="BB28" s="1407">
        <f t="shared" si="93"/>
        <v>10531.399999999998</v>
      </c>
      <c r="BC28" s="1407">
        <f t="shared" si="93"/>
        <v>12634.499999999998</v>
      </c>
      <c r="BD28" s="1407">
        <f t="shared" si="93"/>
        <v>40511.399999999994</v>
      </c>
      <c r="BE28" s="1530">
        <f t="shared" si="93"/>
        <v>9377.7000000000007</v>
      </c>
      <c r="BF28" s="1407">
        <f t="shared" si="93"/>
        <v>10105.5</v>
      </c>
      <c r="BG28" s="1407">
        <f t="shared" si="93"/>
        <v>10969</v>
      </c>
      <c r="BH28" s="1407">
        <f t="shared" si="93"/>
        <v>13023.400000000001</v>
      </c>
      <c r="BI28" s="1380">
        <f t="shared" si="93"/>
        <v>43475.5</v>
      </c>
      <c r="BJ28" s="1530">
        <f t="shared" si="93"/>
        <v>7217.1</v>
      </c>
      <c r="BK28" s="1407">
        <f t="shared" ref="BK28:BM28" si="94">+SUM(BK23:BK27)</f>
        <v>7045.7000000000007</v>
      </c>
      <c r="BL28" s="1407">
        <f t="shared" si="94"/>
        <v>7037.0999999999995</v>
      </c>
      <c r="BM28" s="1407">
        <f t="shared" si="94"/>
        <v>6710.0999999999995</v>
      </c>
      <c r="BN28" s="1380">
        <f>+SUM(BN23:BN27)</f>
        <v>28010.129999999997</v>
      </c>
      <c r="BO28" s="1530">
        <f t="shared" ref="BO28" si="95">+SUM(BO23:BO27)</f>
        <v>6969.7999999999993</v>
      </c>
      <c r="BP28" s="1407">
        <f t="shared" ref="BP28:BQ28" si="96">+SUM(BP23:BP27)</f>
        <v>6813.9999999999991</v>
      </c>
      <c r="BQ28" s="1407">
        <f t="shared" si="96"/>
        <v>6415</v>
      </c>
      <c r="BR28" s="1407">
        <f t="shared" ref="BR28" si="97">+SUM(BR23:BR27)</f>
        <v>6305.8000000000011</v>
      </c>
      <c r="BS28" s="1380">
        <f t="shared" ref="BS28:BW28" si="98">+SUM(BS23:BS27)</f>
        <v>26504.800000000003</v>
      </c>
      <c r="BT28" s="1530">
        <f t="shared" si="98"/>
        <v>5883.4</v>
      </c>
      <c r="BU28" s="1407">
        <f t="shared" si="98"/>
        <v>5953.56</v>
      </c>
      <c r="BV28" s="1407">
        <f t="shared" si="98"/>
        <v>5629.88</v>
      </c>
      <c r="BW28" s="1407">
        <f t="shared" si="98"/>
        <v>5634.8408035325583</v>
      </c>
      <c r="BX28" s="1380">
        <f t="shared" ref="BX28" si="99">+SUM(BX23:BX27)</f>
        <v>23101.680803532559</v>
      </c>
      <c r="BY28" s="1544"/>
      <c r="BZ28" s="928"/>
      <c r="CA28" s="1547">
        <f t="shared" si="41"/>
        <v>0.21850083191080194</v>
      </c>
      <c r="CB28" s="1548">
        <f t="shared" si="42"/>
        <v>0.13280765623261215</v>
      </c>
      <c r="CC28" s="1548">
        <f t="shared" si="43"/>
        <v>0.10754544381491971</v>
      </c>
      <c r="CD28" s="1548">
        <f t="shared" si="44"/>
        <v>6.0776215850020465E-2</v>
      </c>
      <c r="CE28" s="1337"/>
      <c r="CF28" s="1547">
        <f t="shared" si="45"/>
        <v>6.4549307513610543E-3</v>
      </c>
      <c r="CG28" s="1548">
        <f t="shared" si="46"/>
        <v>8.5324950531175947E-2</v>
      </c>
      <c r="CH28" s="1548">
        <f t="shared" si="47"/>
        <v>6.0534203690135291E-2</v>
      </c>
      <c r="CI28" s="1548">
        <f t="shared" si="48"/>
        <v>4.2752573014664064E-2</v>
      </c>
      <c r="CJ28" s="928"/>
      <c r="CK28" s="1547">
        <f t="shared" si="49"/>
        <v>7.1218394855078859E-2</v>
      </c>
      <c r="CL28" s="1548">
        <f t="shared" si="50"/>
        <v>3.6476718776264905E-2</v>
      </c>
      <c r="CM28" s="1548">
        <f t="shared" si="51"/>
        <v>4.411561506864814E-2</v>
      </c>
      <c r="CN28" s="1548">
        <f t="shared" si="52"/>
        <v>0.16275043284689561</v>
      </c>
      <c r="CO28" s="1337"/>
      <c r="CP28" s="1547">
        <f t="shared" si="53"/>
        <v>0.25622974817836419</v>
      </c>
      <c r="CQ28" s="1548">
        <f t="shared" si="54"/>
        <v>6.6094463434716255E-2</v>
      </c>
      <c r="CR28" s="1548">
        <f t="shared" si="55"/>
        <v>0.15310210416140335</v>
      </c>
      <c r="CS28" s="1548">
        <f t="shared" si="56"/>
        <v>5.6117745970971633E-3</v>
      </c>
      <c r="CT28" s="1337"/>
      <c r="CU28" s="1547">
        <f t="shared" si="57"/>
        <v>9.4376432078559613E-2</v>
      </c>
      <c r="CV28" s="1548">
        <f t="shared" si="58"/>
        <v>0.13274667665231243</v>
      </c>
      <c r="CW28" s="1548">
        <f t="shared" si="59"/>
        <v>4.1138481120953196E-2</v>
      </c>
      <c r="CX28" s="1548">
        <f t="shared" si="60"/>
        <v>9.8554520271971757E-2</v>
      </c>
      <c r="CY28" s="1337"/>
      <c r="CZ28" s="1547">
        <f t="shared" si="61"/>
        <v>2.4024024024024149E-2</v>
      </c>
      <c r="DA28" s="1548">
        <f t="shared" si="62"/>
        <v>-2.6921487603305816E-2</v>
      </c>
      <c r="DB28" s="1548">
        <f t="shared" si="63"/>
        <v>-6.4104619701372934E-2</v>
      </c>
      <c r="DC28" s="1548">
        <f t="shared" si="64"/>
        <v>-7.0319735189209531E-2</v>
      </c>
      <c r="DD28" s="1337"/>
      <c r="DE28" s="1547">
        <f t="shared" si="65"/>
        <v>6.6794405953896963E-2</v>
      </c>
      <c r="DF28" s="1548">
        <f t="shared" si="66"/>
        <v>0.14155891033399182</v>
      </c>
      <c r="DG28" s="1548">
        <f t="shared" si="67"/>
        <v>0.10373368453738507</v>
      </c>
      <c r="DH28" s="1548">
        <f t="shared" si="68"/>
        <v>3.4372226057796551E-2</v>
      </c>
      <c r="DI28" s="928"/>
      <c r="DJ28" s="1555">
        <f t="shared" si="69"/>
        <v>3.0183554562579706E-2</v>
      </c>
      <c r="DK28" s="1554">
        <f t="shared" si="70"/>
        <v>-7.6696302358455704E-2</v>
      </c>
      <c r="DL28" s="1554">
        <f t="shared" si="71"/>
        <v>4.4266159622044832E-2</v>
      </c>
      <c r="DM28" s="1554">
        <f t="shared" si="72"/>
        <v>7.5261025029797368E-2</v>
      </c>
      <c r="DN28" s="1337"/>
      <c r="DO28" s="1555">
        <f t="shared" si="73"/>
        <v>-7.4119748256506246E-2</v>
      </c>
      <c r="DP28" s="1554">
        <f t="shared" si="74"/>
        <v>-0.13011553066548465</v>
      </c>
      <c r="DQ28" s="1554">
        <f t="shared" si="75"/>
        <v>-2.1645423804392605E-2</v>
      </c>
      <c r="DR28" s="1554">
        <f t="shared" si="76"/>
        <v>0.12039763053348462</v>
      </c>
      <c r="DS28" s="1337"/>
      <c r="DT28" s="1554">
        <f t="shared" si="77"/>
        <v>7.6757911174390347E-2</v>
      </c>
      <c r="DU28" s="1554">
        <f t="shared" si="78"/>
        <v>0.17011914824635532</v>
      </c>
      <c r="DV28" s="1554">
        <f t="shared" si="79"/>
        <v>4.1551930417608407E-2</v>
      </c>
      <c r="DW28" s="1554">
        <f t="shared" si="80"/>
        <v>3.0780798606989013E-2</v>
      </c>
      <c r="DX28" s="928"/>
      <c r="DY28" s="1555">
        <f t="shared" si="81"/>
        <v>-0.23039764547810238</v>
      </c>
      <c r="DZ28" s="1554">
        <f t="shared" si="82"/>
        <v>-0.30278561179555685</v>
      </c>
      <c r="EA28" s="1554">
        <f t="shared" si="83"/>
        <v>-0.35845564773452465</v>
      </c>
      <c r="EB28" s="1554">
        <f t="shared" si="84"/>
        <v>-0.48476588294915313</v>
      </c>
      <c r="EC28" s="1337"/>
      <c r="ED28" s="1555">
        <f t="shared" si="85"/>
        <v>-3.4265840850203122E-2</v>
      </c>
      <c r="EE28" s="1554">
        <f t="shared" si="86"/>
        <v>-3.2885305931277475E-2</v>
      </c>
      <c r="EF28" s="1554">
        <f t="shared" si="87"/>
        <v>-8.8402893237271019E-2</v>
      </c>
      <c r="EG28" s="1554">
        <f t="shared" si="88"/>
        <v>-6.0252455254019788E-2</v>
      </c>
      <c r="EH28" s="1337"/>
      <c r="EI28" s="1657">
        <v>-0.125</v>
      </c>
      <c r="EJ28" s="1554">
        <f t="shared" si="89"/>
        <v>-0.12627531552685634</v>
      </c>
      <c r="EK28" s="1554">
        <f t="shared" si="90"/>
        <v>-0.12238815276695247</v>
      </c>
      <c r="EL28" s="1554">
        <f t="shared" si="91"/>
        <v>-0.10640350097805873</v>
      </c>
      <c r="EM28" s="1337"/>
      <c r="EN28" s="928"/>
      <c r="EO28" s="928"/>
      <c r="EP28" s="928"/>
      <c r="FC28" s="928"/>
      <c r="FD28" s="928"/>
      <c r="FE28" s="928"/>
      <c r="FF28" s="1557">
        <v>6720</v>
      </c>
      <c r="FG28" s="1558">
        <v>-4.5061175768427275E-2</v>
      </c>
      <c r="FH28" s="1559">
        <v>6101.9779190799245</v>
      </c>
      <c r="FI28" s="1368">
        <v>-9.0627871554831541E-2</v>
      </c>
      <c r="FJ28" s="1610">
        <v>6435.8320000000003</v>
      </c>
      <c r="FK28" s="1634">
        <v>-7.6611667479697942E-2</v>
      </c>
      <c r="FL28" s="928"/>
      <c r="FM28" s="928"/>
      <c r="FN28" s="928"/>
      <c r="FO28" s="928"/>
      <c r="FP28" s="928"/>
      <c r="FQ28" s="928"/>
    </row>
    <row r="29" spans="1:173" ht="14.25" customHeight="1">
      <c r="A29" s="1206" t="s">
        <v>137</v>
      </c>
      <c r="B29" s="1369"/>
      <c r="C29" s="1369"/>
      <c r="D29" s="1369"/>
      <c r="E29" s="1369"/>
      <c r="F29" s="1369"/>
      <c r="G29" s="1371">
        <v>-287.5</v>
      </c>
      <c r="H29" s="1371">
        <v>-246.4</v>
      </c>
      <c r="I29" s="1371">
        <v>-269.8</v>
      </c>
      <c r="J29" s="1371">
        <v>-338.9</v>
      </c>
      <c r="K29" s="1371">
        <f>+SUM(G29:J29)</f>
        <v>-1142.5999999999999</v>
      </c>
      <c r="L29" s="1371">
        <v>-287.10000000000002</v>
      </c>
      <c r="M29" s="1371">
        <v>-283.39999999999998</v>
      </c>
      <c r="N29" s="1371">
        <v>-277</v>
      </c>
      <c r="O29" s="1343">
        <v>-301.8</v>
      </c>
      <c r="P29" s="1371">
        <f>+SUM(L29:O29)</f>
        <v>-1149.3</v>
      </c>
      <c r="Q29" s="1371">
        <v>-261</v>
      </c>
      <c r="R29" s="1371">
        <v>-277.8</v>
      </c>
      <c r="S29" s="1371">
        <v>-295.2</v>
      </c>
      <c r="T29" s="1371">
        <f>-1192.5-Q29-R29-S29</f>
        <v>-358.50000000000006</v>
      </c>
      <c r="U29" s="1371">
        <f>+SUM(Q29:T29)</f>
        <v>-1192.5</v>
      </c>
      <c r="V29" s="1371">
        <v>-307.5</v>
      </c>
      <c r="W29" s="1371">
        <v>-391.4</v>
      </c>
      <c r="X29" s="1371">
        <v>-357.9</v>
      </c>
      <c r="Y29" s="1371">
        <f>-1478.5-V29-W29-X29</f>
        <v>-421.70000000000005</v>
      </c>
      <c r="Z29" s="1371">
        <f>+SUM(V29:Y29)</f>
        <v>-1478.5</v>
      </c>
      <c r="AA29" s="1371">
        <v>-410.6</v>
      </c>
      <c r="AB29" s="1371">
        <v>-514.20000000000005</v>
      </c>
      <c r="AC29" s="1371">
        <v>-496.3</v>
      </c>
      <c r="AD29" s="1371">
        <f>-1960.8-AA29-AB29-AC29</f>
        <v>-539.69999999999982</v>
      </c>
      <c r="AE29" s="1371">
        <f>Master!N71</f>
        <v>-1960.8</v>
      </c>
      <c r="AF29" s="1371">
        <v>-544.20000000000005</v>
      </c>
      <c r="AG29" s="1371">
        <v>-551.9</v>
      </c>
      <c r="AH29" s="1371">
        <v>-518</v>
      </c>
      <c r="AI29" s="1371">
        <f>-2207.9-AF29-AG29-AH29</f>
        <v>-593.80000000000018</v>
      </c>
      <c r="AJ29" s="1371">
        <f>Master!O71</f>
        <v>-2207.9</v>
      </c>
      <c r="AK29" s="1371">
        <v>-580.70000000000005</v>
      </c>
      <c r="AL29" s="1371">
        <v>-553.9</v>
      </c>
      <c r="AM29" s="1371">
        <v>-550.20000000000005</v>
      </c>
      <c r="AN29" s="1371">
        <f>-2291-AK29-AL29-AM29</f>
        <v>-606.20000000000005</v>
      </c>
      <c r="AO29" s="1371">
        <f>Master!P71</f>
        <v>-2291</v>
      </c>
      <c r="AP29" s="1371">
        <v>-551.70000000000005</v>
      </c>
      <c r="AQ29" s="1371">
        <v>-520.29999999999995</v>
      </c>
      <c r="AR29" s="1371">
        <v>-496</v>
      </c>
      <c r="AS29" s="1371">
        <f>-2154.7-AP29-AQ29-AR29</f>
        <v>-586.69999999999982</v>
      </c>
      <c r="AT29" s="1371">
        <f>Master!Q71</f>
        <v>-2155</v>
      </c>
      <c r="AU29" s="1371">
        <v>-516.1</v>
      </c>
      <c r="AV29" s="1371">
        <v>-439.2</v>
      </c>
      <c r="AW29" s="1371">
        <v>-436.3</v>
      </c>
      <c r="AX29" s="1371">
        <v>-496.7</v>
      </c>
      <c r="AY29" s="1371">
        <f>Master!R71</f>
        <v>-1888</v>
      </c>
      <c r="AZ29" s="1563">
        <v>-423.8</v>
      </c>
      <c r="BA29" s="1563">
        <v>-366</v>
      </c>
      <c r="BB29" s="1563">
        <v>-374.9</v>
      </c>
      <c r="BC29" s="1371">
        <f>BD29-AZ29-BA29-BB29</f>
        <v>-718.20000000000016</v>
      </c>
      <c r="BD29" s="1371">
        <f>Master!S71</f>
        <v>-1882.9</v>
      </c>
      <c r="BE29" s="1563">
        <v>-499.4</v>
      </c>
      <c r="BF29" s="1563">
        <v>-481.9</v>
      </c>
      <c r="BG29" s="1563">
        <v>-480.7</v>
      </c>
      <c r="BH29" s="1371">
        <v>-741.6</v>
      </c>
      <c r="BI29" s="1371">
        <f>Master!T71</f>
        <v>-2203.5</v>
      </c>
      <c r="BJ29" s="1359">
        <v>-333.7</v>
      </c>
      <c r="BK29" s="1359">
        <v>-285.2</v>
      </c>
      <c r="BL29" s="1359">
        <v>-213.5</v>
      </c>
      <c r="BM29" s="1359">
        <v>-705.7</v>
      </c>
      <c r="BN29" s="1398">
        <f>Master!U71</f>
        <v>-1538.1</v>
      </c>
      <c r="BO29" s="1494">
        <v>-242.4</v>
      </c>
      <c r="BP29" s="1359">
        <v>-238.3</v>
      </c>
      <c r="BQ29" s="1359">
        <v>-189.8</v>
      </c>
      <c r="BR29" s="1359">
        <v>-589.4</v>
      </c>
      <c r="BS29" s="1398">
        <f>Master!V71</f>
        <v>-1259.9000000000001</v>
      </c>
      <c r="BT29" s="1494">
        <v>-185.8</v>
      </c>
      <c r="BU29" s="1535">
        <f>BT29/BT28*BU28</f>
        <v>-188.01567936907236</v>
      </c>
      <c r="BV29" s="1535">
        <f>BU29/BU28*BV28</f>
        <v>-177.79374239385393</v>
      </c>
      <c r="BW29" s="1398">
        <f>BX29-BT29-BU29-BV29</f>
        <v>-198.39057823707375</v>
      </c>
      <c r="BX29" s="1398">
        <f>Master!W71</f>
        <v>-750</v>
      </c>
      <c r="BY29" s="1338"/>
      <c r="BZ29" s="928"/>
      <c r="CA29" s="1254">
        <f t="shared" si="41"/>
        <v>-1.3913043478259723E-3</v>
      </c>
      <c r="CB29" s="1254">
        <f t="shared" si="42"/>
        <v>0.15016233766233755</v>
      </c>
      <c r="CC29" s="1254">
        <f t="shared" si="43"/>
        <v>2.6686434395848835E-2</v>
      </c>
      <c r="CD29" s="1254">
        <f t="shared" si="44"/>
        <v>-0.10947182059604599</v>
      </c>
      <c r="CE29" s="928"/>
      <c r="CF29" s="1254">
        <f t="shared" si="45"/>
        <v>-9.0909090909090939E-2</v>
      </c>
      <c r="CG29" s="1254">
        <f t="shared" si="46"/>
        <v>-1.9760056457304054E-2</v>
      </c>
      <c r="CH29" s="1254">
        <f t="shared" si="47"/>
        <v>6.570397111913362E-2</v>
      </c>
      <c r="CI29" s="1254">
        <f t="shared" si="48"/>
        <v>0.18787276341948322</v>
      </c>
      <c r="CJ29" s="928"/>
      <c r="CK29" s="1254">
        <f t="shared" si="49"/>
        <v>0.17816091954022983</v>
      </c>
      <c r="CL29" s="1254">
        <f t="shared" si="50"/>
        <v>0.40892728581713444</v>
      </c>
      <c r="CM29" s="1254">
        <f t="shared" si="51"/>
        <v>0.21239837398373984</v>
      </c>
      <c r="CN29" s="1254">
        <f t="shared" si="52"/>
        <v>0.1762900976290096</v>
      </c>
      <c r="CO29" s="928"/>
      <c r="CP29" s="1254">
        <f t="shared" si="53"/>
        <v>0.33528455284552861</v>
      </c>
      <c r="CQ29" s="1254">
        <f t="shared" si="54"/>
        <v>0.31374552887072071</v>
      </c>
      <c r="CR29" s="1254">
        <f t="shared" si="55"/>
        <v>0.38670019558535906</v>
      </c>
      <c r="CS29" s="1254">
        <f t="shared" si="56"/>
        <v>0.27981977709271932</v>
      </c>
      <c r="CT29" s="928"/>
      <c r="CU29" s="1254">
        <f t="shared" si="57"/>
        <v>0.32537749634680968</v>
      </c>
      <c r="CV29" s="1254">
        <f t="shared" si="58"/>
        <v>7.3317775184752909E-2</v>
      </c>
      <c r="CW29" s="1254">
        <f t="shared" si="59"/>
        <v>4.37235543018335E-2</v>
      </c>
      <c r="CX29" s="1254">
        <f t="shared" si="60"/>
        <v>0.10024087455994146</v>
      </c>
      <c r="CY29" s="928"/>
      <c r="CZ29" s="1254">
        <f t="shared" si="61"/>
        <v>6.707092980521856E-2</v>
      </c>
      <c r="DA29" s="1254">
        <f t="shared" si="62"/>
        <v>3.6238448994383443E-3</v>
      </c>
      <c r="DB29" s="1254">
        <f t="shared" si="63"/>
        <v>6.2162162162162193E-2</v>
      </c>
      <c r="DC29" s="1254">
        <f t="shared" si="64"/>
        <v>2.0882452004041596E-2</v>
      </c>
      <c r="DD29" s="928"/>
      <c r="DE29" s="1254">
        <f t="shared" si="65"/>
        <v>-4.9939727914585785E-2</v>
      </c>
      <c r="DF29" s="1254">
        <f t="shared" si="66"/>
        <v>-6.0660769091893885E-2</v>
      </c>
      <c r="DG29" s="1254">
        <f t="shared" si="67"/>
        <v>-9.8509632860777963E-2</v>
      </c>
      <c r="DH29" s="1254">
        <f t="shared" si="68"/>
        <v>-3.2167601451666528E-2</v>
      </c>
      <c r="DI29" s="928"/>
      <c r="DJ29" s="1254">
        <f t="shared" si="69"/>
        <v>-6.452782309226035E-2</v>
      </c>
      <c r="DK29" s="1254">
        <f t="shared" si="70"/>
        <v>-0.15587161253123194</v>
      </c>
      <c r="DL29" s="1254">
        <f t="shared" si="71"/>
        <v>-0.12036290322580645</v>
      </c>
      <c r="DM29" s="1254">
        <f t="shared" si="72"/>
        <v>-0.15340037497869419</v>
      </c>
      <c r="DN29" s="928"/>
      <c r="DO29" s="1254">
        <f t="shared" si="73"/>
        <v>-0.17884130982367763</v>
      </c>
      <c r="DP29" s="1254">
        <f t="shared" si="74"/>
        <v>-0.16666666666666663</v>
      </c>
      <c r="DQ29" s="1254">
        <f t="shared" si="75"/>
        <v>-0.14072885629154264</v>
      </c>
      <c r="DR29" s="1254">
        <f t="shared" si="76"/>
        <v>0.44594322528689379</v>
      </c>
      <c r="DS29" s="928"/>
      <c r="DT29" s="1254">
        <f t="shared" si="77"/>
        <v>0.17838603114676732</v>
      </c>
      <c r="DU29" s="1254">
        <f t="shared" si="78"/>
        <v>0.31666666666666665</v>
      </c>
      <c r="DV29" s="1254">
        <f t="shared" si="79"/>
        <v>0.28220858895705536</v>
      </c>
      <c r="DW29" s="1254">
        <f t="shared" si="80"/>
        <v>3.2581453634084934E-2</v>
      </c>
      <c r="DX29" s="928"/>
      <c r="DY29" s="1355">
        <f t="shared" si="81"/>
        <v>-0.33179815778934718</v>
      </c>
      <c r="DZ29" s="1254">
        <f t="shared" si="82"/>
        <v>-0.40817597011828177</v>
      </c>
      <c r="EA29" s="1254">
        <f t="shared" si="83"/>
        <v>-0.55585604327023086</v>
      </c>
      <c r="EB29" s="1254">
        <f t="shared" si="84"/>
        <v>-4.8408845738942774E-2</v>
      </c>
      <c r="EC29" s="1337"/>
      <c r="ED29" s="1355">
        <f t="shared" si="85"/>
        <v>-0.27359904105483968</v>
      </c>
      <c r="EE29" s="1254">
        <f t="shared" si="86"/>
        <v>-0.16444600280504906</v>
      </c>
      <c r="EF29" s="1254">
        <f t="shared" si="87"/>
        <v>-0.11100702576112409</v>
      </c>
      <c r="EG29" s="1254">
        <f t="shared" si="88"/>
        <v>-0.16480090690094951</v>
      </c>
      <c r="EH29" s="1337"/>
      <c r="EI29" s="1254">
        <f t="shared" ref="EI29:EI34" si="100">BT29/BO29-1</f>
        <v>-0.23349834983498352</v>
      </c>
      <c r="EJ29" s="1254">
        <f t="shared" si="89"/>
        <v>-0.21101267574875215</v>
      </c>
      <c r="EK29" s="1254">
        <f t="shared" si="90"/>
        <v>-6.3257416259989929E-2</v>
      </c>
      <c r="EL29" s="1254">
        <f t="shared" si="91"/>
        <v>-0.66340248008640357</v>
      </c>
      <c r="EM29" s="1337"/>
      <c r="EN29" s="928"/>
      <c r="EO29" s="928"/>
      <c r="EP29" s="928"/>
      <c r="FC29" s="928"/>
      <c r="FD29" s="928"/>
      <c r="FE29" s="928"/>
      <c r="FF29" s="1349">
        <v>-240</v>
      </c>
      <c r="FG29" s="1363">
        <v>0.12412177985948469</v>
      </c>
      <c r="FH29" s="1350">
        <v>-579.5</v>
      </c>
      <c r="FI29" s="1351">
        <v>-0.17882953096216525</v>
      </c>
      <c r="FJ29" s="1609">
        <v>-230.28</v>
      </c>
      <c r="FK29" s="1612">
        <v>-5.0000000000000044E-2</v>
      </c>
      <c r="FL29" s="928"/>
      <c r="FM29" s="928"/>
      <c r="FN29" s="928"/>
      <c r="FO29" s="928"/>
      <c r="FP29" s="928"/>
      <c r="FQ29" s="928"/>
    </row>
    <row r="30" spans="1:173" ht="14.25" customHeight="1">
      <c r="A30" s="1545" t="s">
        <v>1102</v>
      </c>
      <c r="B30" s="1546"/>
      <c r="C30" s="1546"/>
      <c r="D30" s="1546"/>
      <c r="E30" s="1546"/>
      <c r="F30" s="1546"/>
      <c r="G30" s="1530">
        <f t="shared" ref="G30:AL30" si="101">G28+G29</f>
        <v>4340.3999999999996</v>
      </c>
      <c r="H30" s="1407">
        <f t="shared" si="101"/>
        <v>6043.9</v>
      </c>
      <c r="I30" s="1407">
        <f t="shared" si="101"/>
        <v>6507.7999999999993</v>
      </c>
      <c r="J30" s="1407">
        <f t="shared" si="101"/>
        <v>7336.7999999999993</v>
      </c>
      <c r="K30" s="1380">
        <f t="shared" si="101"/>
        <v>24228.9</v>
      </c>
      <c r="L30" s="1530">
        <f t="shared" si="101"/>
        <v>5352</v>
      </c>
      <c r="M30" s="1407">
        <f t="shared" si="101"/>
        <v>6842.3</v>
      </c>
      <c r="N30" s="1407">
        <f t="shared" si="101"/>
        <v>7229.4999999999991</v>
      </c>
      <c r="O30" s="1407">
        <f t="shared" si="101"/>
        <v>7840.4000000000015</v>
      </c>
      <c r="P30" s="1380">
        <f t="shared" si="101"/>
        <v>27264.2</v>
      </c>
      <c r="Q30" s="1407">
        <f t="shared" si="101"/>
        <v>5414.5</v>
      </c>
      <c r="R30" s="1407">
        <f t="shared" si="101"/>
        <v>7455.9</v>
      </c>
      <c r="S30" s="1407">
        <f t="shared" si="101"/>
        <v>7665.7</v>
      </c>
      <c r="T30" s="1407">
        <f t="shared" si="101"/>
        <v>8131.7999999999993</v>
      </c>
      <c r="U30" s="1407">
        <f t="shared" si="101"/>
        <v>28667.899999999998</v>
      </c>
      <c r="V30" s="1530">
        <f t="shared" si="101"/>
        <v>5772.2</v>
      </c>
      <c r="W30" s="1407">
        <f t="shared" si="101"/>
        <v>7624.4000000000005</v>
      </c>
      <c r="X30" s="1407">
        <f t="shared" si="101"/>
        <v>7954.2000000000007</v>
      </c>
      <c r="Y30" s="1407">
        <f t="shared" si="101"/>
        <v>9450.399999999996</v>
      </c>
      <c r="Z30" s="1380">
        <f t="shared" si="101"/>
        <v>30801.200000000001</v>
      </c>
      <c r="AA30" s="1407">
        <f t="shared" si="101"/>
        <v>7226.9000000000005</v>
      </c>
      <c r="AB30" s="1407">
        <f t="shared" si="101"/>
        <v>8031.3999999999987</v>
      </c>
      <c r="AC30" s="1407">
        <f t="shared" si="101"/>
        <v>9088.4000000000015</v>
      </c>
      <c r="AD30" s="1407">
        <f t="shared" si="101"/>
        <v>9387.7999999999993</v>
      </c>
      <c r="AE30" s="1407">
        <f t="shared" si="101"/>
        <v>33734.499999999993</v>
      </c>
      <c r="AF30" s="1530">
        <f t="shared" si="101"/>
        <v>7814.0999999999995</v>
      </c>
      <c r="AG30" s="1407">
        <f t="shared" si="101"/>
        <v>9128.1</v>
      </c>
      <c r="AH30" s="1407">
        <f t="shared" si="101"/>
        <v>9461</v>
      </c>
      <c r="AI30" s="1407">
        <f t="shared" si="101"/>
        <v>10312.099999999999</v>
      </c>
      <c r="AJ30" s="1380">
        <f t="shared" si="101"/>
        <v>36715.299999999996</v>
      </c>
      <c r="AK30" s="1407">
        <f t="shared" si="101"/>
        <v>7978.4000000000005</v>
      </c>
      <c r="AL30" s="1407">
        <f t="shared" si="101"/>
        <v>8865.5</v>
      </c>
      <c r="AM30" s="1407">
        <f t="shared" ref="AM30:BJ30" si="102">AM28+AM29</f>
        <v>8789.0999999999985</v>
      </c>
      <c r="AN30" s="1407">
        <f t="shared" si="102"/>
        <v>9532.7999999999993</v>
      </c>
      <c r="AO30" s="1380">
        <f t="shared" si="102"/>
        <v>35166</v>
      </c>
      <c r="AP30" s="1407">
        <f t="shared" si="102"/>
        <v>8579.0999999999985</v>
      </c>
      <c r="AQ30" s="1407">
        <f t="shared" si="102"/>
        <v>10232.500000000002</v>
      </c>
      <c r="AR30" s="1407">
        <f t="shared" si="102"/>
        <v>9812.1</v>
      </c>
      <c r="AS30" s="1407">
        <f t="shared" si="102"/>
        <v>9900.7999999999993</v>
      </c>
      <c r="AT30" s="1380">
        <f t="shared" si="102"/>
        <v>38524</v>
      </c>
      <c r="AU30" s="1407">
        <f t="shared" si="102"/>
        <v>8890.3000000000011</v>
      </c>
      <c r="AV30" s="1407">
        <f t="shared" si="102"/>
        <v>9488.8999999999978</v>
      </c>
      <c r="AW30" s="1407">
        <f t="shared" si="102"/>
        <v>10328.100000000002</v>
      </c>
      <c r="AX30" s="1407">
        <f t="shared" si="102"/>
        <v>10780.099999999999</v>
      </c>
      <c r="AY30" s="1380">
        <f t="shared" si="102"/>
        <v>39127</v>
      </c>
      <c r="AZ30" s="1407">
        <f t="shared" si="102"/>
        <v>8285.4000000000015</v>
      </c>
      <c r="BA30" s="1407">
        <f t="shared" si="102"/>
        <v>8270.3000000000011</v>
      </c>
      <c r="BB30" s="1407">
        <f t="shared" si="102"/>
        <v>10156.499999999998</v>
      </c>
      <c r="BC30" s="1407">
        <f t="shared" si="102"/>
        <v>11916.299999999997</v>
      </c>
      <c r="BD30" s="1407">
        <f t="shared" si="102"/>
        <v>38628.499999999993</v>
      </c>
      <c r="BE30" s="1530">
        <f t="shared" si="102"/>
        <v>8878.3000000000011</v>
      </c>
      <c r="BF30" s="1407">
        <f t="shared" si="102"/>
        <v>9623.6</v>
      </c>
      <c r="BG30" s="1407">
        <f t="shared" si="102"/>
        <v>10488.3</v>
      </c>
      <c r="BH30" s="1407">
        <f t="shared" si="102"/>
        <v>12281.800000000001</v>
      </c>
      <c r="BI30" s="1380">
        <f t="shared" si="102"/>
        <v>41272</v>
      </c>
      <c r="BJ30" s="1530">
        <f t="shared" si="102"/>
        <v>6883.4000000000005</v>
      </c>
      <c r="BK30" s="1407">
        <f t="shared" ref="BK30:BM30" si="103">BK28+BK29</f>
        <v>6760.5000000000009</v>
      </c>
      <c r="BL30" s="1407">
        <f t="shared" si="103"/>
        <v>6823.5999999999995</v>
      </c>
      <c r="BM30" s="1407">
        <f t="shared" si="103"/>
        <v>6004.4</v>
      </c>
      <c r="BN30" s="1407">
        <f>BN28+BN29</f>
        <v>26472.03</v>
      </c>
      <c r="BO30" s="1530">
        <f t="shared" ref="BO30" si="104">BO28+BO29</f>
        <v>6727.4</v>
      </c>
      <c r="BP30" s="1407">
        <f t="shared" ref="BP30:BQ30" si="105">BP28+BP29</f>
        <v>6575.6999999999989</v>
      </c>
      <c r="BQ30" s="1407">
        <f t="shared" si="105"/>
        <v>6225.2</v>
      </c>
      <c r="BR30" s="1407">
        <f t="shared" ref="BR30" si="106">BR28+BR29</f>
        <v>5716.4000000000015</v>
      </c>
      <c r="BS30" s="1407">
        <f t="shared" ref="BS30:BW30" si="107">BS28+BS29</f>
        <v>25244.9</v>
      </c>
      <c r="BT30" s="1530">
        <f t="shared" si="107"/>
        <v>5697.5999999999995</v>
      </c>
      <c r="BU30" s="1407">
        <f t="shared" si="107"/>
        <v>5765.5443206309283</v>
      </c>
      <c r="BV30" s="1407">
        <f t="shared" si="107"/>
        <v>5452.0862576061463</v>
      </c>
      <c r="BW30" s="1407">
        <f t="shared" si="107"/>
        <v>5436.4502252954844</v>
      </c>
      <c r="BX30" s="1407">
        <f t="shared" ref="BX30" si="108">BX28+BX29</f>
        <v>22351.680803532559</v>
      </c>
      <c r="BY30" s="1374"/>
      <c r="BZ30" s="1393"/>
      <c r="CA30" s="1548">
        <f t="shared" si="41"/>
        <v>0.23306607685927583</v>
      </c>
      <c r="CB30" s="1548">
        <f t="shared" si="42"/>
        <v>0.13210013401942455</v>
      </c>
      <c r="CC30" s="1548">
        <f t="shared" si="43"/>
        <v>0.11089769200036881</v>
      </c>
      <c r="CD30" s="1548">
        <f t="shared" si="44"/>
        <v>6.8640279140770089E-2</v>
      </c>
      <c r="CE30" s="1568"/>
      <c r="CF30" s="1547">
        <f t="shared" si="45"/>
        <v>1.1677877428998507E-2</v>
      </c>
      <c r="CG30" s="1548">
        <f t="shared" si="46"/>
        <v>8.9677447641874686E-2</v>
      </c>
      <c r="CH30" s="1548">
        <f t="shared" si="47"/>
        <v>6.0336122830071393E-2</v>
      </c>
      <c r="CI30" s="1548">
        <f t="shared" si="48"/>
        <v>3.7166471098412979E-2</v>
      </c>
      <c r="CJ30" s="1430"/>
      <c r="CK30" s="1547">
        <f t="shared" si="49"/>
        <v>6.606334841628958E-2</v>
      </c>
      <c r="CL30" s="1548">
        <f t="shared" si="50"/>
        <v>2.2599552032618542E-2</v>
      </c>
      <c r="CM30" s="1548">
        <f t="shared" si="51"/>
        <v>3.7635180087924214E-2</v>
      </c>
      <c r="CN30" s="1548">
        <f t="shared" si="52"/>
        <v>0.16215352074571387</v>
      </c>
      <c r="CO30" s="1568"/>
      <c r="CP30" s="1547">
        <f t="shared" si="53"/>
        <v>0.2520182945843874</v>
      </c>
      <c r="CQ30" s="1548">
        <f t="shared" si="54"/>
        <v>5.3381249672105113E-2</v>
      </c>
      <c r="CR30" s="1548">
        <f t="shared" si="55"/>
        <v>0.14259133539513713</v>
      </c>
      <c r="CS30" s="1548">
        <f t="shared" si="56"/>
        <v>-6.624058240920716E-3</v>
      </c>
      <c r="CT30" s="1568"/>
      <c r="CU30" s="1547">
        <f t="shared" si="57"/>
        <v>8.1251989096292832E-2</v>
      </c>
      <c r="CV30" s="1548">
        <f t="shared" si="58"/>
        <v>0.13655153522424501</v>
      </c>
      <c r="CW30" s="1548">
        <f t="shared" si="59"/>
        <v>4.0997315259011291E-2</v>
      </c>
      <c r="CX30" s="1548">
        <f t="shared" si="60"/>
        <v>9.8457572594218057E-2</v>
      </c>
      <c r="CY30" s="1568"/>
      <c r="CZ30" s="1547">
        <f t="shared" si="61"/>
        <v>2.1026093855978534E-2</v>
      </c>
      <c r="DA30" s="1548">
        <f t="shared" si="62"/>
        <v>-2.876830884850079E-2</v>
      </c>
      <c r="DB30" s="1548">
        <f t="shared" si="63"/>
        <v>-7.1017862805200505E-2</v>
      </c>
      <c r="DC30" s="1548">
        <f t="shared" si="64"/>
        <v>-7.5571416103412448E-2</v>
      </c>
      <c r="DD30" s="1568"/>
      <c r="DE30" s="1547">
        <f t="shared" si="65"/>
        <v>7.5290785119823234E-2</v>
      </c>
      <c r="DF30" s="1548">
        <f t="shared" si="66"/>
        <v>0.1541932209125263</v>
      </c>
      <c r="DG30" s="1548">
        <f t="shared" si="67"/>
        <v>0.1163941700515414</v>
      </c>
      <c r="DH30" s="1548">
        <f t="shared" si="68"/>
        <v>3.8603558241020464E-2</v>
      </c>
      <c r="DI30" s="1430"/>
      <c r="DJ30" s="1547">
        <f t="shared" si="69"/>
        <v>3.627420125654246E-2</v>
      </c>
      <c r="DK30" s="1548">
        <f t="shared" si="70"/>
        <v>-7.26704129000737E-2</v>
      </c>
      <c r="DL30" s="1548">
        <f t="shared" si="71"/>
        <v>5.2588130981135794E-2</v>
      </c>
      <c r="DM30" s="1548">
        <f t="shared" si="72"/>
        <v>8.881100517129914E-2</v>
      </c>
      <c r="DN30" s="1568"/>
      <c r="DO30" s="1547">
        <f t="shared" si="73"/>
        <v>-6.8040448578788104E-2</v>
      </c>
      <c r="DP30" s="1548">
        <f t="shared" si="74"/>
        <v>-0.12842373720873834</v>
      </c>
      <c r="DQ30" s="1548">
        <f t="shared" si="75"/>
        <v>-1.6614866238708337E-2</v>
      </c>
      <c r="DR30" s="1548">
        <f t="shared" si="76"/>
        <v>0.105397909110305</v>
      </c>
      <c r="DS30" s="1568"/>
      <c r="DT30" s="1548">
        <f t="shared" si="77"/>
        <v>7.1559610881791968E-2</v>
      </c>
      <c r="DU30" s="1548">
        <f t="shared" si="78"/>
        <v>0.16363372549967936</v>
      </c>
      <c r="DV30" s="1548">
        <f t="shared" si="79"/>
        <v>3.2668734308078706E-2</v>
      </c>
      <c r="DW30" s="1548">
        <f t="shared" si="80"/>
        <v>3.0672272433557746E-2</v>
      </c>
      <c r="DX30" s="1430"/>
      <c r="DY30" s="1547">
        <f t="shared" si="81"/>
        <v>-0.22469391662818339</v>
      </c>
      <c r="DZ30" s="1548">
        <f t="shared" si="82"/>
        <v>-0.29750820898624208</v>
      </c>
      <c r="EA30" s="1548">
        <f t="shared" si="83"/>
        <v>-0.34940838839468746</v>
      </c>
      <c r="EB30" s="1548">
        <f t="shared" si="84"/>
        <v>-0.51111400609031254</v>
      </c>
      <c r="EC30" s="1568"/>
      <c r="ED30" s="1547">
        <f t="shared" si="85"/>
        <v>-2.266321875817201E-2</v>
      </c>
      <c r="EE30" s="1548">
        <f t="shared" si="86"/>
        <v>-2.7335256268027797E-2</v>
      </c>
      <c r="EF30" s="1548">
        <f t="shared" si="87"/>
        <v>-8.7695644527815197E-2</v>
      </c>
      <c r="EG30" s="1548">
        <f t="shared" si="88"/>
        <v>-4.7964825794417076E-2</v>
      </c>
      <c r="EH30" s="1337"/>
      <c r="EI30" s="1548">
        <f t="shared" si="100"/>
        <v>-0.1530754823557392</v>
      </c>
      <c r="EJ30" s="1548">
        <f t="shared" si="89"/>
        <v>-0.12320447699394299</v>
      </c>
      <c r="EK30" s="1548">
        <f t="shared" si="90"/>
        <v>-0.12419098862588407</v>
      </c>
      <c r="EL30" s="1548">
        <f t="shared" si="91"/>
        <v>-4.8973090529794483E-2</v>
      </c>
      <c r="EM30" s="1337"/>
      <c r="EN30" s="928"/>
      <c r="EO30" s="928"/>
      <c r="EP30" s="928"/>
      <c r="FC30" s="928"/>
      <c r="FD30" s="928"/>
      <c r="FE30" s="928"/>
      <c r="FF30" s="1349">
        <v>6480</v>
      </c>
      <c r="FG30" s="1397">
        <v>-5.0354651503605075E-2</v>
      </c>
      <c r="FH30" s="1384">
        <v>5522.4779190799245</v>
      </c>
      <c r="FI30" s="1394">
        <v>-8.0261488395189429E-2</v>
      </c>
      <c r="FJ30" s="1610">
        <v>6205.5520000000006</v>
      </c>
      <c r="FK30" s="1635">
        <v>-7.7570532449385943E-2</v>
      </c>
      <c r="FL30" s="928"/>
      <c r="FM30" s="928"/>
      <c r="FN30" s="928"/>
      <c r="FO30" s="928"/>
      <c r="FP30" s="928"/>
      <c r="FQ30" s="928"/>
    </row>
    <row r="31" spans="1:173" ht="14.25" customHeight="1">
      <c r="A31" s="1206" t="s">
        <v>149</v>
      </c>
      <c r="B31" s="1369"/>
      <c r="C31" s="1369"/>
      <c r="D31" s="1369"/>
      <c r="E31" s="1369"/>
      <c r="F31" s="1369"/>
      <c r="G31" s="1371">
        <v>-30.3</v>
      </c>
      <c r="H31" s="1371">
        <v>-146</v>
      </c>
      <c r="I31" s="1371">
        <v>-199.59999999999997</v>
      </c>
      <c r="J31" s="1371">
        <v>-217.80000000000007</v>
      </c>
      <c r="K31" s="1371">
        <f>+SUM(G31:J31)</f>
        <v>-593.70000000000005</v>
      </c>
      <c r="L31" s="1371">
        <v>-37.700000000000003</v>
      </c>
      <c r="M31" s="1371">
        <v>-135.30000000000001</v>
      </c>
      <c r="N31" s="1371">
        <v>-260.3</v>
      </c>
      <c r="O31" s="1343">
        <v>-217.1</v>
      </c>
      <c r="P31" s="1371">
        <f>+SUM(L31:O31)</f>
        <v>-650.4</v>
      </c>
      <c r="Q31" s="1564">
        <f>334.3-30*Q180</f>
        <v>-44.923109375000081</v>
      </c>
      <c r="R31" s="1371">
        <v>-72.3</v>
      </c>
      <c r="S31" s="1371">
        <v>-101.1</v>
      </c>
      <c r="T31" s="1371">
        <f>(-83.1-30*Q180)-Q31-R31-S31</f>
        <v>-243.99999999999997</v>
      </c>
      <c r="U31" s="1371">
        <f>+SUM(Q31:T31)</f>
        <v>-462.32310937500006</v>
      </c>
      <c r="V31" s="1371">
        <v>-161.80000000000001</v>
      </c>
      <c r="W31" s="1371">
        <v>-51.4</v>
      </c>
      <c r="X31" s="1371">
        <f>-4546.9+13.12*320</f>
        <v>-348.5</v>
      </c>
      <c r="Y31" s="1564">
        <f>(-5281.7+13.12*320)-V31-W31-X31+290</f>
        <v>-231.60000000000025</v>
      </c>
      <c r="Z31" s="1371">
        <f>+SUM(V31:Y31)</f>
        <v>-793.3000000000003</v>
      </c>
      <c r="AA31" s="1564">
        <f>926.4-1030.7</f>
        <v>-104.30000000000007</v>
      </c>
      <c r="AB31" s="1371">
        <v>-197.8</v>
      </c>
      <c r="AC31" s="1371">
        <v>-693.7</v>
      </c>
      <c r="AD31" s="1371">
        <f>-328.5-1030.7-AA31-AB31-AC31</f>
        <v>-363.40000000000009</v>
      </c>
      <c r="AE31" s="1371">
        <f>Master!N72</f>
        <v>-1359.2</v>
      </c>
      <c r="AF31" s="1371">
        <v>-495.2</v>
      </c>
      <c r="AG31" s="1564">
        <f>-699.3+699.3*0.6</f>
        <v>-279.71999999999997</v>
      </c>
      <c r="AH31" s="1564">
        <v>-821.4</v>
      </c>
      <c r="AI31" s="1371">
        <v>-1121.5</v>
      </c>
      <c r="AJ31" s="1371">
        <f>Master!O72</f>
        <v>-3137.4</v>
      </c>
      <c r="AK31" s="1371">
        <v>-393.7</v>
      </c>
      <c r="AL31" s="1371">
        <v>-370.9</v>
      </c>
      <c r="AM31" s="1371">
        <v>-495.7</v>
      </c>
      <c r="AN31" s="1371">
        <f>-2386.3-AK31-AL31-AM31</f>
        <v>-1126.0000000000002</v>
      </c>
      <c r="AO31" s="1371">
        <f>Master!P72</f>
        <v>-2386</v>
      </c>
      <c r="AP31" s="1371">
        <v>-154.1</v>
      </c>
      <c r="AQ31" s="1564">
        <f>3237.9-3513.8</f>
        <v>-275.90000000000009</v>
      </c>
      <c r="AR31" s="1371">
        <v>-432.5</v>
      </c>
      <c r="AS31" s="1371">
        <f>1562.3-AP31-AQ31-AR31-3513.8</f>
        <v>-1089</v>
      </c>
      <c r="AT31" s="1564">
        <f>Master!Q72</f>
        <v>-1951.5000000000002</v>
      </c>
      <c r="AU31" s="1371">
        <f>-188.9-15</f>
        <v>-203.9</v>
      </c>
      <c r="AV31" s="1371">
        <v>-283</v>
      </c>
      <c r="AW31" s="1371">
        <f>-389.4-21.7</f>
        <v>-411.09999999999997</v>
      </c>
      <c r="AX31" s="1371">
        <v>-234.3</v>
      </c>
      <c r="AY31" s="1371">
        <f>Master!R72</f>
        <v>-908.9</v>
      </c>
      <c r="AZ31" s="1565">
        <f>284.9-17.8+25.6-386</f>
        <v>-93.300000000000011</v>
      </c>
      <c r="BA31" s="1371">
        <f>-293.5-19.9-29.6</f>
        <v>-343</v>
      </c>
      <c r="BB31" s="1564">
        <f>666-933.5</f>
        <v>-267.5</v>
      </c>
      <c r="BC31" s="1371">
        <f>-399.9-16.3</f>
        <v>-416.2</v>
      </c>
      <c r="BD31" s="1371">
        <f>Master!S72</f>
        <v>181.8</v>
      </c>
      <c r="BE31" s="1371">
        <f>-152.9-15</f>
        <v>-167.9</v>
      </c>
      <c r="BF31" s="1371">
        <f>-398.9-14.9</f>
        <v>-413.79999999999995</v>
      </c>
      <c r="BG31" s="1371">
        <f>-293.7-15.6</f>
        <v>-309.3</v>
      </c>
      <c r="BH31" s="1566">
        <f>3239.5-18.8</f>
        <v>3220.7</v>
      </c>
      <c r="BI31" s="1371">
        <f>Master!T72</f>
        <v>2329.6</v>
      </c>
      <c r="BJ31" s="1359">
        <f>-168.3-0.3</f>
        <v>-168.60000000000002</v>
      </c>
      <c r="BK31" s="1359">
        <f>-40.9-0.4</f>
        <v>-41.3</v>
      </c>
      <c r="BL31" s="1359">
        <f>-291.3-0.3</f>
        <v>-291.60000000000002</v>
      </c>
      <c r="BM31" s="1359">
        <f>-315.2-119.3</f>
        <v>-434.5</v>
      </c>
      <c r="BN31" s="1398">
        <f>Master!U72</f>
        <v>-936</v>
      </c>
      <c r="BO31" s="1494">
        <f>-182.2-29.8</f>
        <v>-212</v>
      </c>
      <c r="BP31" s="1359">
        <f>-181.2-47.6</f>
        <v>-228.79999999999998</v>
      </c>
      <c r="BQ31" s="1359">
        <f>-717.3-40.9</f>
        <v>-758.19999999999993</v>
      </c>
      <c r="BR31" s="1359">
        <f>213.9-41.5</f>
        <v>172.4</v>
      </c>
      <c r="BS31" s="1398">
        <f>Master!V72</f>
        <v>-1026.8</v>
      </c>
      <c r="BT31" s="1494">
        <f>2293.5-29.9</f>
        <v>2263.6</v>
      </c>
      <c r="BU31" s="1535">
        <v>-250</v>
      </c>
      <c r="BV31" s="1535">
        <v>-250</v>
      </c>
      <c r="BW31" s="1398">
        <f>BX31-BT31-BU31-BV31</f>
        <v>247.48000000000002</v>
      </c>
      <c r="BX31" s="1398">
        <f>Master!W72</f>
        <v>2011.08</v>
      </c>
      <c r="BY31" s="1338"/>
      <c r="BZ31" s="928"/>
      <c r="CA31" s="1254">
        <f t="shared" si="41"/>
        <v>0.24422442244224429</v>
      </c>
      <c r="CB31" s="1254">
        <f t="shared" si="42"/>
        <v>-7.3287671232876606E-2</v>
      </c>
      <c r="CC31" s="1254">
        <f t="shared" si="43"/>
        <v>0.30410821643286612</v>
      </c>
      <c r="CD31" s="1254">
        <f t="shared" si="44"/>
        <v>-3.2139577594126889E-3</v>
      </c>
      <c r="CE31" s="928"/>
      <c r="CF31" s="1254">
        <f t="shared" si="45"/>
        <v>0.1915944131299756</v>
      </c>
      <c r="CG31" s="1254">
        <f t="shared" si="46"/>
        <v>-0.46563192904656325</v>
      </c>
      <c r="CH31" s="1254">
        <f t="shared" si="47"/>
        <v>-0.61160199769496737</v>
      </c>
      <c r="CI31" s="1254">
        <f t="shared" si="48"/>
        <v>0.1239060340856748</v>
      </c>
      <c r="CJ31" s="928"/>
      <c r="CK31" s="1254">
        <f t="shared" si="49"/>
        <v>2.6017097269327145</v>
      </c>
      <c r="CL31" s="1254">
        <f t="shared" si="50"/>
        <v>-0.28907330567081602</v>
      </c>
      <c r="CM31" s="1254">
        <f t="shared" si="51"/>
        <v>2.447082096933729</v>
      </c>
      <c r="CN31" s="1254">
        <f t="shared" si="52"/>
        <v>-5.0819672131146354E-2</v>
      </c>
      <c r="CO31" s="928"/>
      <c r="CP31" s="1254">
        <f t="shared" si="53"/>
        <v>-0.3553770086526572</v>
      </c>
      <c r="CQ31" s="1254">
        <f t="shared" si="54"/>
        <v>2.8482490272373546</v>
      </c>
      <c r="CR31" s="1254">
        <f t="shared" si="55"/>
        <v>0.99053084648493561</v>
      </c>
      <c r="CS31" s="1254">
        <f t="shared" si="56"/>
        <v>0.56908462867011966</v>
      </c>
      <c r="CT31" s="928"/>
      <c r="CU31" s="1254">
        <f t="shared" si="57"/>
        <v>3.7478427612655771</v>
      </c>
      <c r="CV31" s="1254">
        <f t="shared" si="58"/>
        <v>0.41415571284125363</v>
      </c>
      <c r="CW31" s="1254">
        <f t="shared" si="59"/>
        <v>0.18408533948392658</v>
      </c>
      <c r="CX31" s="1254">
        <f t="shared" si="60"/>
        <v>2.0861309851403402</v>
      </c>
      <c r="CY31" s="928"/>
      <c r="CZ31" s="1254">
        <f t="shared" si="61"/>
        <v>-0.20496768982229407</v>
      </c>
      <c r="DA31" s="1254">
        <f t="shared" si="62"/>
        <v>0.32596882596882604</v>
      </c>
      <c r="DB31" s="1254">
        <f t="shared" si="63"/>
        <v>-0.39651813976138295</v>
      </c>
      <c r="DC31" s="1254">
        <f t="shared" si="64"/>
        <v>4.0124832813197564E-3</v>
      </c>
      <c r="DD31" s="928"/>
      <c r="DE31" s="1254">
        <f t="shared" si="65"/>
        <v>-0.60858521717043434</v>
      </c>
      <c r="DF31" s="1254">
        <f t="shared" si="66"/>
        <v>-0.25613372876786167</v>
      </c>
      <c r="DG31" s="1254">
        <f t="shared" si="67"/>
        <v>-0.12749646963889449</v>
      </c>
      <c r="DH31" s="1254">
        <f t="shared" si="68"/>
        <v>-3.2859680284192061E-2</v>
      </c>
      <c r="DI31" s="928"/>
      <c r="DJ31" s="1254">
        <f t="shared" si="69"/>
        <v>0.32316677482154454</v>
      </c>
      <c r="DK31" s="1254">
        <f t="shared" si="70"/>
        <v>2.5733961580282294E-2</v>
      </c>
      <c r="DL31" s="1254">
        <f t="shared" si="71"/>
        <v>-4.9479768786127254E-2</v>
      </c>
      <c r="DM31" s="1254">
        <f t="shared" si="72"/>
        <v>-0.78484848484848491</v>
      </c>
      <c r="DN31" s="928"/>
      <c r="DO31" s="1254">
        <f t="shared" si="73"/>
        <v>-0.54242275625306524</v>
      </c>
      <c r="DP31" s="1254">
        <f t="shared" si="74"/>
        <v>0.21201413427561833</v>
      </c>
      <c r="DQ31" s="1254">
        <f t="shared" si="75"/>
        <v>-0.34930673801994638</v>
      </c>
      <c r="DR31" s="1254">
        <f t="shared" si="76"/>
        <v>0.77635510029876209</v>
      </c>
      <c r="DS31" s="928"/>
      <c r="DT31" s="1254">
        <f t="shared" si="77"/>
        <v>0.79957127545551976</v>
      </c>
      <c r="DU31" s="1254">
        <f t="shared" si="78"/>
        <v>0.20641399416909612</v>
      </c>
      <c r="DV31" s="1254">
        <f t="shared" si="79"/>
        <v>0.15626168224299075</v>
      </c>
      <c r="DW31" s="1254">
        <f t="shared" si="80"/>
        <v>-8.7383469485824108</v>
      </c>
      <c r="DX31" s="928"/>
      <c r="DY31" s="1355">
        <f t="shared" si="81"/>
        <v>4.1691483025612097E-3</v>
      </c>
      <c r="DZ31" s="1254">
        <f t="shared" si="82"/>
        <v>-0.90019333011116487</v>
      </c>
      <c r="EA31" s="1254">
        <f t="shared" si="83"/>
        <v>-5.7225994180407302E-2</v>
      </c>
      <c r="EB31" s="1254">
        <f t="shared" si="84"/>
        <v>-1.1349085602508771</v>
      </c>
      <c r="EC31" s="1337"/>
      <c r="ED31" s="1355">
        <f t="shared" si="85"/>
        <v>0.25741399762752049</v>
      </c>
      <c r="EE31" s="1254">
        <f t="shared" si="86"/>
        <v>4.539951573849879</v>
      </c>
      <c r="EF31" s="1254">
        <f t="shared" si="87"/>
        <v>1.6001371742112478</v>
      </c>
      <c r="EG31" s="1254">
        <f t="shared" si="88"/>
        <v>-1.3967779056386651</v>
      </c>
      <c r="EH31" s="1337"/>
      <c r="EI31" s="1254">
        <f t="shared" si="100"/>
        <v>-11.677358490566037</v>
      </c>
      <c r="EJ31" s="1254">
        <f t="shared" si="89"/>
        <v>9.2657342657342712E-2</v>
      </c>
      <c r="EK31" s="1254">
        <f t="shared" si="90"/>
        <v>-0.67027169612239512</v>
      </c>
      <c r="EL31" s="1254">
        <f t="shared" si="91"/>
        <v>0.43549883990719263</v>
      </c>
      <c r="EM31" s="1337"/>
      <c r="EN31" s="928"/>
      <c r="EO31" s="928"/>
      <c r="EP31" s="928"/>
      <c r="FC31" s="928"/>
      <c r="FD31" s="928"/>
      <c r="FE31" s="928"/>
      <c r="FF31" s="1349">
        <v>-250</v>
      </c>
      <c r="FG31" s="1363">
        <v>-0.14266117969821679</v>
      </c>
      <c r="FH31" s="1567">
        <v>-430.80000000000007</v>
      </c>
      <c r="FI31" s="1351">
        <v>-7.4742268041236959E-2</v>
      </c>
      <c r="FJ31" s="1609">
        <v>-250</v>
      </c>
      <c r="FK31" s="1612">
        <v>0.179245283018868</v>
      </c>
      <c r="FL31" s="928"/>
      <c r="FM31" s="928"/>
      <c r="FN31" s="928"/>
      <c r="FO31" s="928"/>
      <c r="FP31" s="928"/>
      <c r="FQ31" s="928"/>
    </row>
    <row r="32" spans="1:173" ht="14.25" customHeight="1">
      <c r="A32" s="1400" t="s">
        <v>633</v>
      </c>
      <c r="B32" s="1546"/>
      <c r="C32" s="1546"/>
      <c r="D32" s="1546"/>
      <c r="E32" s="1546"/>
      <c r="F32" s="1546"/>
      <c r="G32" s="1407">
        <f t="shared" ref="G32:AL32" si="109">G31+G30</f>
        <v>4310.0999999999995</v>
      </c>
      <c r="H32" s="1407">
        <f t="shared" si="109"/>
        <v>5897.9</v>
      </c>
      <c r="I32" s="1407">
        <f t="shared" si="109"/>
        <v>6308.1999999999989</v>
      </c>
      <c r="J32" s="1407">
        <f t="shared" si="109"/>
        <v>7118.9999999999991</v>
      </c>
      <c r="K32" s="1407">
        <f t="shared" si="109"/>
        <v>23635.200000000001</v>
      </c>
      <c r="L32" s="1407">
        <f t="shared" si="109"/>
        <v>5314.3</v>
      </c>
      <c r="M32" s="1407">
        <f t="shared" si="109"/>
        <v>6707</v>
      </c>
      <c r="N32" s="1407">
        <f t="shared" si="109"/>
        <v>6969.1999999999989</v>
      </c>
      <c r="O32" s="1407">
        <f t="shared" si="109"/>
        <v>7623.3000000000011</v>
      </c>
      <c r="P32" s="1407">
        <f t="shared" si="109"/>
        <v>26613.8</v>
      </c>
      <c r="Q32" s="1407">
        <f t="shared" si="109"/>
        <v>5369.5768906249996</v>
      </c>
      <c r="R32" s="1407">
        <f t="shared" si="109"/>
        <v>7383.5999999999995</v>
      </c>
      <c r="S32" s="1407">
        <f t="shared" si="109"/>
        <v>7564.5999999999995</v>
      </c>
      <c r="T32" s="1407">
        <f t="shared" si="109"/>
        <v>7887.7999999999993</v>
      </c>
      <c r="U32" s="1407">
        <f t="shared" si="109"/>
        <v>28205.576890624998</v>
      </c>
      <c r="V32" s="1407">
        <f t="shared" si="109"/>
        <v>5610.4</v>
      </c>
      <c r="W32" s="1407">
        <f t="shared" si="109"/>
        <v>7573.0000000000009</v>
      </c>
      <c r="X32" s="1407">
        <f t="shared" si="109"/>
        <v>7605.7000000000007</v>
      </c>
      <c r="Y32" s="1407">
        <f t="shared" si="109"/>
        <v>9218.7999999999956</v>
      </c>
      <c r="Z32" s="1407">
        <f t="shared" si="109"/>
        <v>30007.9</v>
      </c>
      <c r="AA32" s="1407">
        <f t="shared" si="109"/>
        <v>7122.6</v>
      </c>
      <c r="AB32" s="1407">
        <f t="shared" si="109"/>
        <v>7833.5999999999985</v>
      </c>
      <c r="AC32" s="1407">
        <f t="shared" si="109"/>
        <v>8394.7000000000007</v>
      </c>
      <c r="AD32" s="1407">
        <f t="shared" si="109"/>
        <v>9024.4</v>
      </c>
      <c r="AE32" s="1407">
        <f t="shared" si="109"/>
        <v>32375.299999999992</v>
      </c>
      <c r="AF32" s="1407">
        <f t="shared" si="109"/>
        <v>7318.9</v>
      </c>
      <c r="AG32" s="1569">
        <f t="shared" si="109"/>
        <v>8848.380000000001</v>
      </c>
      <c r="AH32" s="1407">
        <f t="shared" si="109"/>
        <v>8639.6</v>
      </c>
      <c r="AI32" s="1407">
        <f t="shared" si="109"/>
        <v>9190.5999999999985</v>
      </c>
      <c r="AJ32" s="1407">
        <f t="shared" si="109"/>
        <v>33577.899999999994</v>
      </c>
      <c r="AK32" s="1407">
        <f t="shared" si="109"/>
        <v>7584.7000000000007</v>
      </c>
      <c r="AL32" s="1407">
        <f t="shared" si="109"/>
        <v>8494.6</v>
      </c>
      <c r="AM32" s="1407">
        <f t="shared" ref="AM32:BJ32" si="110">AM31+AM30</f>
        <v>8293.3999999999978</v>
      </c>
      <c r="AN32" s="1407">
        <f t="shared" si="110"/>
        <v>8406.7999999999993</v>
      </c>
      <c r="AO32" s="1407">
        <f t="shared" si="110"/>
        <v>32780</v>
      </c>
      <c r="AP32" s="1407">
        <f t="shared" si="110"/>
        <v>8424.9999999999982</v>
      </c>
      <c r="AQ32" s="1407">
        <f t="shared" si="110"/>
        <v>9956.6000000000022</v>
      </c>
      <c r="AR32" s="1407">
        <f t="shared" si="110"/>
        <v>9379.6</v>
      </c>
      <c r="AS32" s="1407">
        <f t="shared" si="110"/>
        <v>8811.7999999999993</v>
      </c>
      <c r="AT32" s="1407">
        <f t="shared" si="110"/>
        <v>36572.5</v>
      </c>
      <c r="AU32" s="1407">
        <f t="shared" si="110"/>
        <v>8686.4000000000015</v>
      </c>
      <c r="AV32" s="1407">
        <f t="shared" si="110"/>
        <v>9205.8999999999978</v>
      </c>
      <c r="AW32" s="1407">
        <f t="shared" si="110"/>
        <v>9917.0000000000018</v>
      </c>
      <c r="AX32" s="1407">
        <f t="shared" si="110"/>
        <v>10545.8</v>
      </c>
      <c r="AY32" s="1407">
        <f t="shared" si="110"/>
        <v>38218.1</v>
      </c>
      <c r="AZ32" s="1407">
        <f t="shared" si="110"/>
        <v>8192.1000000000022</v>
      </c>
      <c r="BA32" s="1407">
        <f t="shared" si="110"/>
        <v>7927.3000000000011</v>
      </c>
      <c r="BB32" s="1407">
        <f t="shared" si="110"/>
        <v>9888.9999999999982</v>
      </c>
      <c r="BC32" s="1407">
        <f t="shared" si="110"/>
        <v>11500.099999999997</v>
      </c>
      <c r="BD32" s="1407">
        <f t="shared" si="110"/>
        <v>38810.299999999996</v>
      </c>
      <c r="BE32" s="1407">
        <f t="shared" si="110"/>
        <v>8710.4000000000015</v>
      </c>
      <c r="BF32" s="1407">
        <f t="shared" si="110"/>
        <v>9209.8000000000011</v>
      </c>
      <c r="BG32" s="1407">
        <f t="shared" si="110"/>
        <v>10179</v>
      </c>
      <c r="BH32" s="1407">
        <f t="shared" si="110"/>
        <v>15502.5</v>
      </c>
      <c r="BI32" s="1407">
        <f t="shared" si="110"/>
        <v>43601.599999999999</v>
      </c>
      <c r="BJ32" s="1407">
        <f t="shared" si="110"/>
        <v>6714.8</v>
      </c>
      <c r="BK32" s="1407">
        <f t="shared" ref="BK32:BM32" si="111">BK31+BK30</f>
        <v>6719.2000000000007</v>
      </c>
      <c r="BL32" s="1407">
        <f t="shared" si="111"/>
        <v>6531.9999999999991</v>
      </c>
      <c r="BM32" s="1407">
        <f t="shared" si="111"/>
        <v>5569.9</v>
      </c>
      <c r="BN32" s="1407">
        <f>BN31+BN30</f>
        <v>25536.03</v>
      </c>
      <c r="BO32" s="1530">
        <f t="shared" ref="BO32" si="112">BO31+BO30</f>
        <v>6515.4</v>
      </c>
      <c r="BP32" s="1407">
        <f t="shared" ref="BP32:BQ32" si="113">BP31+BP30</f>
        <v>6346.8999999999987</v>
      </c>
      <c r="BQ32" s="1407">
        <f t="shared" si="113"/>
        <v>5467</v>
      </c>
      <c r="BR32" s="1407">
        <f t="shared" ref="BR32" si="114">BR31+BR30</f>
        <v>5888.8000000000011</v>
      </c>
      <c r="BS32" s="1407">
        <f t="shared" ref="BS32:BW32" si="115">BS31+BS30</f>
        <v>24218.100000000002</v>
      </c>
      <c r="BT32" s="1530">
        <f t="shared" si="115"/>
        <v>7961.1999999999989</v>
      </c>
      <c r="BU32" s="1407">
        <f t="shared" si="115"/>
        <v>5515.5443206309283</v>
      </c>
      <c r="BV32" s="1407">
        <f t="shared" si="115"/>
        <v>5202.0862576061463</v>
      </c>
      <c r="BW32" s="1407">
        <f t="shared" si="115"/>
        <v>5683.930225295484</v>
      </c>
      <c r="BX32" s="1380">
        <f t="shared" ref="BX32" si="116">BX31+BX30</f>
        <v>24362.760803532561</v>
      </c>
      <c r="BY32" s="1544"/>
      <c r="BZ32" s="1393"/>
      <c r="CA32" s="1396">
        <f t="shared" si="41"/>
        <v>0.23298763369759423</v>
      </c>
      <c r="CB32" s="1395">
        <f t="shared" si="42"/>
        <v>0.13718442157378052</v>
      </c>
      <c r="CC32" s="1395">
        <f t="shared" si="43"/>
        <v>0.10478424907263562</v>
      </c>
      <c r="CD32" s="1395">
        <f t="shared" si="44"/>
        <v>7.0838600927096707E-2</v>
      </c>
      <c r="CE32" s="1320"/>
      <c r="CF32" s="1396">
        <f t="shared" si="45"/>
        <v>1.0401537479065803E-2</v>
      </c>
      <c r="CG32" s="1395">
        <f t="shared" si="46"/>
        <v>0.10087967794841202</v>
      </c>
      <c r="CH32" s="1395">
        <f t="shared" si="47"/>
        <v>8.5433048269528911E-2</v>
      </c>
      <c r="CI32" s="1395">
        <f t="shared" si="48"/>
        <v>3.4696260149803537E-2</v>
      </c>
      <c r="CJ32" s="1393"/>
      <c r="CK32" s="1396">
        <f t="shared" si="49"/>
        <v>4.484955039855465E-2</v>
      </c>
      <c r="CL32" s="1395">
        <f t="shared" si="50"/>
        <v>2.5651443740181135E-2</v>
      </c>
      <c r="CM32" s="1395">
        <f t="shared" si="51"/>
        <v>5.4332020199350239E-3</v>
      </c>
      <c r="CN32" s="1395">
        <f t="shared" si="52"/>
        <v>0.16874160095337065</v>
      </c>
      <c r="CO32" s="1320"/>
      <c r="CP32" s="1396">
        <f t="shared" si="53"/>
        <v>0.26953514900898345</v>
      </c>
      <c r="CQ32" s="1395">
        <f t="shared" si="54"/>
        <v>3.4411725868215726E-2</v>
      </c>
      <c r="CR32" s="1395">
        <f t="shared" si="55"/>
        <v>0.10373798598419604</v>
      </c>
      <c r="CS32" s="1395">
        <f t="shared" si="56"/>
        <v>-2.1087343255086988E-2</v>
      </c>
      <c r="CT32" s="1320"/>
      <c r="CU32" s="1396">
        <f t="shared" si="57"/>
        <v>2.7560160615505369E-2</v>
      </c>
      <c r="CV32" s="1395">
        <f t="shared" si="58"/>
        <v>0.129541973039216</v>
      </c>
      <c r="CW32" s="1395">
        <f t="shared" si="59"/>
        <v>2.9173168785066705E-2</v>
      </c>
      <c r="CX32" s="1395">
        <f t="shared" si="60"/>
        <v>1.841673684677092E-2</v>
      </c>
      <c r="CY32" s="1320"/>
      <c r="CZ32" s="1396">
        <f t="shared" si="61"/>
        <v>3.6316932872426433E-2</v>
      </c>
      <c r="DA32" s="1395">
        <f t="shared" si="62"/>
        <v>-3.9982460066136483E-2</v>
      </c>
      <c r="DB32" s="1395">
        <f t="shared" si="63"/>
        <v>-4.0071299597203902E-2</v>
      </c>
      <c r="DC32" s="1395">
        <f t="shared" si="64"/>
        <v>-8.528278893652208E-2</v>
      </c>
      <c r="DD32" s="1320"/>
      <c r="DE32" s="1396">
        <f t="shared" si="65"/>
        <v>0.11078882487112174</v>
      </c>
      <c r="DF32" s="1395">
        <f t="shared" si="66"/>
        <v>0.17210934005132694</v>
      </c>
      <c r="DG32" s="1395">
        <f t="shared" si="67"/>
        <v>0.13097161598379459</v>
      </c>
      <c r="DH32" s="1395">
        <f t="shared" si="68"/>
        <v>4.817528667269344E-2</v>
      </c>
      <c r="DI32" s="1393"/>
      <c r="DJ32" s="1396">
        <f t="shared" si="69"/>
        <v>3.1026706231454426E-2</v>
      </c>
      <c r="DK32" s="1395">
        <f t="shared" si="70"/>
        <v>-7.5397223951951919E-2</v>
      </c>
      <c r="DL32" s="1395">
        <f t="shared" si="71"/>
        <v>5.7294554138769493E-2</v>
      </c>
      <c r="DM32" s="1395">
        <f t="shared" si="72"/>
        <v>0.19678158832474635</v>
      </c>
      <c r="DN32" s="1320"/>
      <c r="DO32" s="1396">
        <f t="shared" si="73"/>
        <v>-5.6905046969976003E-2</v>
      </c>
      <c r="DP32" s="1395">
        <f t="shared" si="74"/>
        <v>-0.13888919062774929</v>
      </c>
      <c r="DQ32" s="1395">
        <f t="shared" si="75"/>
        <v>-2.8234345064035438E-3</v>
      </c>
      <c r="DR32" s="1395">
        <f t="shared" si="76"/>
        <v>9.0491001156858486E-2</v>
      </c>
      <c r="DS32" s="1320"/>
      <c r="DT32" s="1395">
        <f t="shared" si="77"/>
        <v>6.3268270650992831E-2</v>
      </c>
      <c r="DU32" s="1395">
        <f t="shared" si="78"/>
        <v>0.1617827002888752</v>
      </c>
      <c r="DV32" s="1395">
        <f t="shared" si="79"/>
        <v>2.9325513196481134E-2</v>
      </c>
      <c r="DW32" s="1395">
        <f t="shared" si="80"/>
        <v>0.34803175624559834</v>
      </c>
      <c r="DX32" s="1393"/>
      <c r="DY32" s="1396">
        <f t="shared" si="81"/>
        <v>-0.22910543717854526</v>
      </c>
      <c r="DZ32" s="1395">
        <f t="shared" si="82"/>
        <v>-0.27042932528393671</v>
      </c>
      <c r="EA32" s="1395">
        <f t="shared" si="83"/>
        <v>-0.35828666863149627</v>
      </c>
      <c r="EB32" s="1395">
        <f t="shared" si="84"/>
        <v>-0.64070956297371395</v>
      </c>
      <c r="EC32" s="1320"/>
      <c r="ED32" s="1396">
        <f t="shared" si="85"/>
        <v>-2.969559778399955E-2</v>
      </c>
      <c r="EE32" s="1395">
        <f t="shared" si="86"/>
        <v>-5.5408381950232455E-2</v>
      </c>
      <c r="EF32" s="1395">
        <f t="shared" si="87"/>
        <v>-0.1630434782608694</v>
      </c>
      <c r="EG32" s="1395">
        <f t="shared" si="88"/>
        <v>5.725416973374764E-2</v>
      </c>
      <c r="EH32" s="1320"/>
      <c r="EI32" s="1395">
        <f t="shared" si="100"/>
        <v>0.22190502501765041</v>
      </c>
      <c r="EJ32" s="1395">
        <f t="shared" si="89"/>
        <v>-0.13098610020152679</v>
      </c>
      <c r="EK32" s="1395">
        <f t="shared" si="90"/>
        <v>-4.8456876238129443E-2</v>
      </c>
      <c r="EL32" s="1395">
        <f t="shared" si="91"/>
        <v>-3.4789732153327813E-2</v>
      </c>
      <c r="EM32" s="1320"/>
      <c r="EN32" s="928"/>
      <c r="EO32" s="928"/>
      <c r="EP32" s="928"/>
      <c r="FC32" s="928"/>
      <c r="FD32" s="928"/>
      <c r="FE32" s="928"/>
      <c r="FF32" s="1560">
        <v>6230</v>
      </c>
      <c r="FG32" s="1397">
        <v>-4.6233925290875555E-2</v>
      </c>
      <c r="FH32" s="1561">
        <v>5091.6779190799243</v>
      </c>
      <c r="FI32" s="1394">
        <v>-8.0725442500194089E-2</v>
      </c>
      <c r="FJ32" s="1610">
        <v>5955.5520000000006</v>
      </c>
      <c r="FK32" s="1636">
        <v>-8.5926880928262173E-2</v>
      </c>
      <c r="FL32" s="928"/>
      <c r="FM32" s="928"/>
      <c r="FN32" s="928"/>
      <c r="FO32" s="928"/>
      <c r="FP32" s="928"/>
      <c r="FQ32" s="928"/>
    </row>
    <row r="33" spans="1:173" ht="14.25" customHeight="1">
      <c r="A33" s="1344" t="s">
        <v>138</v>
      </c>
      <c r="B33" s="1369"/>
      <c r="C33" s="1369"/>
      <c r="D33" s="1369"/>
      <c r="E33" s="1369"/>
      <c r="F33" s="1369"/>
      <c r="G33" s="1370">
        <v>-1758.4</v>
      </c>
      <c r="H33" s="1371">
        <v>-1799.7999999999997</v>
      </c>
      <c r="I33" s="1371">
        <v>-1829.8000000000002</v>
      </c>
      <c r="J33" s="1371">
        <v>-1973.5000000000005</v>
      </c>
      <c r="K33" s="1372">
        <f>+SUM(G33:J33)</f>
        <v>-7361.5</v>
      </c>
      <c r="L33" s="1371">
        <v>-2030.3</v>
      </c>
      <c r="M33" s="1371">
        <v>-2039.1</v>
      </c>
      <c r="N33" s="1371">
        <v>-2105</v>
      </c>
      <c r="O33" s="1343">
        <v>-2299.6</v>
      </c>
      <c r="P33" s="1372">
        <f>+SUM(L33:O33)</f>
        <v>-8474</v>
      </c>
      <c r="Q33" s="1371">
        <v>-2358.9</v>
      </c>
      <c r="R33" s="1371">
        <v>-2428.9</v>
      </c>
      <c r="S33" s="1371">
        <v>-2490.3000000000002</v>
      </c>
      <c r="T33" s="1371">
        <f>-9846.4-Q33-R33-S33</f>
        <v>-2568.3000000000002</v>
      </c>
      <c r="U33" s="1371">
        <f>+SUM(Q33:T33)</f>
        <v>-9846.4000000000015</v>
      </c>
      <c r="V33" s="1370">
        <v>-2626.7</v>
      </c>
      <c r="W33" s="1371">
        <v>-2705.6</v>
      </c>
      <c r="X33" s="1371">
        <v>-2849</v>
      </c>
      <c r="Y33" s="1371">
        <f>-11563.1-V33-W33-X33</f>
        <v>-3381.8000000000011</v>
      </c>
      <c r="Z33" s="1372">
        <f>+SUM(V33:Y33)</f>
        <v>-11563.1</v>
      </c>
      <c r="AA33" s="1371">
        <v>-3343.1</v>
      </c>
      <c r="AB33" s="1371">
        <v>-3612.7</v>
      </c>
      <c r="AC33" s="1371">
        <v>-3783.9</v>
      </c>
      <c r="AD33" s="1371">
        <f>-14660.9-AA33-AB33-AC33</f>
        <v>-3921.1999999999994</v>
      </c>
      <c r="AE33" s="1371">
        <f>-Master!N15-Master!N16</f>
        <v>-14660.9</v>
      </c>
      <c r="AF33" s="1370">
        <v>-4009.8</v>
      </c>
      <c r="AG33" s="1371">
        <v>-4274.8999999999996</v>
      </c>
      <c r="AH33" s="1371">
        <v>-4225.6000000000004</v>
      </c>
      <c r="AI33" s="1371">
        <v>-4469.5</v>
      </c>
      <c r="AJ33" s="1372">
        <f>-Master!O15-Master!O16</f>
        <v>-16979.8</v>
      </c>
      <c r="AK33" s="1371">
        <v>-4554.5</v>
      </c>
      <c r="AL33" s="1371">
        <v>-4589.3999999999996</v>
      </c>
      <c r="AM33" s="1371">
        <v>-4615.3</v>
      </c>
      <c r="AN33" s="1371">
        <f>-18536.3-AK33-AL33-AM33</f>
        <v>-4777.0999999999995</v>
      </c>
      <c r="AO33" s="1372">
        <f>-Master!P15-Master!P16</f>
        <v>-18536</v>
      </c>
      <c r="AP33" s="1371">
        <v>-4800.8</v>
      </c>
      <c r="AQ33" s="1371">
        <v>-4848.1000000000004</v>
      </c>
      <c r="AR33" s="1371">
        <v>-5037.8</v>
      </c>
      <c r="AS33" s="1371">
        <f>-19834.2-AP33-AQ33-AR33</f>
        <v>-5147.5000000000009</v>
      </c>
      <c r="AT33" s="1372">
        <f>-Master!Q15-Master!Q16</f>
        <v>-19834</v>
      </c>
      <c r="AU33" s="1371">
        <v>-5216</v>
      </c>
      <c r="AV33" s="1371">
        <v>-5079.2</v>
      </c>
      <c r="AW33" s="1371">
        <v>-5321.3</v>
      </c>
      <c r="AX33" s="1371">
        <v>-5392.4</v>
      </c>
      <c r="AY33" s="1372">
        <f>-Master!R15-Master!R16</f>
        <v>-21008</v>
      </c>
      <c r="AZ33" s="1398">
        <v>-5151.5</v>
      </c>
      <c r="BA33" s="1398">
        <v>-5234.1000000000004</v>
      </c>
      <c r="BB33" s="1398">
        <f>-5235.9-17.5</f>
        <v>-5253.4</v>
      </c>
      <c r="BC33" s="1398">
        <v>-5639.3</v>
      </c>
      <c r="BD33" s="1371">
        <f>-Master!S15-Master!S16</f>
        <v>-21261</v>
      </c>
      <c r="BE33" s="1370">
        <v>-5169.8</v>
      </c>
      <c r="BF33" s="1371">
        <v>-5224.1000000000004</v>
      </c>
      <c r="BG33" s="1371">
        <v>-5347.8</v>
      </c>
      <c r="BH33" s="1371">
        <v>-5676.6</v>
      </c>
      <c r="BI33" s="1372">
        <f>-Master!T15-Master!T16</f>
        <v>-21418.3</v>
      </c>
      <c r="BJ33" s="1494">
        <v>-5077.3999999999996</v>
      </c>
      <c r="BK33" s="1359">
        <v>-5167.5</v>
      </c>
      <c r="BL33" s="1359">
        <v>-5169.8</v>
      </c>
      <c r="BM33" s="1359">
        <v>-5702.7</v>
      </c>
      <c r="BN33" s="1398">
        <f>-Master!U15-Master!U16</f>
        <v>-21117.4</v>
      </c>
      <c r="BO33" s="1494">
        <v>-5311.7</v>
      </c>
      <c r="BP33" s="1359">
        <v>-5354.7</v>
      </c>
      <c r="BQ33" s="1359">
        <v>-5544.1</v>
      </c>
      <c r="BR33" s="1359">
        <v>-5344</v>
      </c>
      <c r="BS33" s="1398">
        <f>-Master!V15-Master!V16</f>
        <v>-21554.400000000001</v>
      </c>
      <c r="BT33" s="1494">
        <v>-5035</v>
      </c>
      <c r="BU33" s="1535">
        <v>-5250</v>
      </c>
      <c r="BV33" s="1535">
        <v>-5350</v>
      </c>
      <c r="BW33" s="1398">
        <f>BX33-BT33-BU33-BV33</f>
        <v>-5454.6620616104628</v>
      </c>
      <c r="BX33" s="1538">
        <f>-Master!W15-Master!W16</f>
        <v>-21089.662061610463</v>
      </c>
      <c r="BY33" s="1544"/>
      <c r="BZ33" s="928"/>
      <c r="CA33" s="1355">
        <f t="shared" si="41"/>
        <v>0.15462920837124661</v>
      </c>
      <c r="CB33" s="1254">
        <f t="shared" si="42"/>
        <v>0.13295921769085473</v>
      </c>
      <c r="CC33" s="1254">
        <f t="shared" si="43"/>
        <v>0.15039895070499498</v>
      </c>
      <c r="CD33" s="1254">
        <f t="shared" si="44"/>
        <v>0.16523942234608535</v>
      </c>
      <c r="CE33" s="1337"/>
      <c r="CF33" s="1355">
        <f t="shared" si="45"/>
        <v>0.16184800275821321</v>
      </c>
      <c r="CG33" s="1254">
        <f t="shared" si="46"/>
        <v>0.19116276788779363</v>
      </c>
      <c r="CH33" s="1254">
        <f t="shared" si="47"/>
        <v>0.183040380047506</v>
      </c>
      <c r="CI33" s="1254">
        <f t="shared" si="48"/>
        <v>0.11684640807096902</v>
      </c>
      <c r="CJ33" s="928"/>
      <c r="CK33" s="1355">
        <f t="shared" si="49"/>
        <v>0.11352749162745335</v>
      </c>
      <c r="CL33" s="1254">
        <f t="shared" si="50"/>
        <v>0.11391988142780685</v>
      </c>
      <c r="CM33" s="1254">
        <f t="shared" si="51"/>
        <v>0.14403887081877675</v>
      </c>
      <c r="CN33" s="1254">
        <f t="shared" si="52"/>
        <v>0.31674648600241428</v>
      </c>
      <c r="CO33" s="1337"/>
      <c r="CP33" s="1355">
        <f t="shared" si="53"/>
        <v>0.27273765561350749</v>
      </c>
      <c r="CQ33" s="1254">
        <f t="shared" si="54"/>
        <v>0.33526759314015364</v>
      </c>
      <c r="CR33" s="1254">
        <f t="shared" si="55"/>
        <v>0.32815022815022821</v>
      </c>
      <c r="CS33" s="1254">
        <f t="shared" si="56"/>
        <v>0.15950085753149157</v>
      </c>
      <c r="CT33" s="1337"/>
      <c r="CU33" s="1355">
        <f t="shared" si="57"/>
        <v>0.19942568274954398</v>
      </c>
      <c r="CV33" s="1254">
        <f t="shared" si="58"/>
        <v>0.1832978105018408</v>
      </c>
      <c r="CW33" s="1254">
        <f t="shared" si="59"/>
        <v>0.11673141467797787</v>
      </c>
      <c r="CX33" s="1254">
        <f t="shared" si="60"/>
        <v>0.13982964398653497</v>
      </c>
      <c r="CY33" s="1337"/>
      <c r="CZ33" s="1355">
        <f t="shared" si="61"/>
        <v>0.13584218664272529</v>
      </c>
      <c r="DA33" s="1254">
        <f t="shared" si="62"/>
        <v>7.356897237362281E-2</v>
      </c>
      <c r="DB33" s="1254">
        <f t="shared" si="63"/>
        <v>9.222358954941301E-2</v>
      </c>
      <c r="DC33" s="1254">
        <f t="shared" si="64"/>
        <v>6.8822015885445786E-2</v>
      </c>
      <c r="DD33" s="1337"/>
      <c r="DE33" s="1355">
        <f t="shared" si="65"/>
        <v>5.4078384015808556E-2</v>
      </c>
      <c r="DF33" s="1254">
        <f t="shared" si="66"/>
        <v>5.6369024273325685E-2</v>
      </c>
      <c r="DG33" s="1254">
        <f t="shared" si="67"/>
        <v>9.1543344961324324E-2</v>
      </c>
      <c r="DH33" s="1254">
        <f t="shared" si="68"/>
        <v>7.7536580770760866E-2</v>
      </c>
      <c r="DI33" s="928"/>
      <c r="DJ33" s="1355">
        <f t="shared" si="69"/>
        <v>8.6485585735710746E-2</v>
      </c>
      <c r="DK33" s="1254">
        <f t="shared" si="70"/>
        <v>4.7668158660093551E-2</v>
      </c>
      <c r="DL33" s="1254">
        <f t="shared" si="71"/>
        <v>5.6274564293937734E-2</v>
      </c>
      <c r="DM33" s="1254">
        <f t="shared" si="72"/>
        <v>4.7576493443418855E-2</v>
      </c>
      <c r="DN33" s="1337"/>
      <c r="DO33" s="1355">
        <f t="shared" si="73"/>
        <v>-1.2365797546012303E-2</v>
      </c>
      <c r="DP33" s="1254">
        <f t="shared" si="74"/>
        <v>3.0496928650181276E-2</v>
      </c>
      <c r="DQ33" s="1254">
        <f t="shared" si="75"/>
        <v>-1.2760039839888826E-2</v>
      </c>
      <c r="DR33" s="1254">
        <f t="shared" si="76"/>
        <v>4.5786662710481485E-2</v>
      </c>
      <c r="DS33" s="1337"/>
      <c r="DT33" s="1254">
        <f t="shared" si="77"/>
        <v>3.5523633893042028E-3</v>
      </c>
      <c r="DU33" s="1254">
        <f t="shared" si="78"/>
        <v>-1.9105481362603483E-3</v>
      </c>
      <c r="DV33" s="1254">
        <f t="shared" si="79"/>
        <v>1.796931511021449E-2</v>
      </c>
      <c r="DW33" s="1254">
        <f t="shared" si="80"/>
        <v>6.6142961005799528E-3</v>
      </c>
      <c r="DX33" s="928"/>
      <c r="DY33" s="1355">
        <f t="shared" si="81"/>
        <v>-1.7873031838755993E-2</v>
      </c>
      <c r="DZ33" s="1254">
        <f t="shared" si="82"/>
        <v>-1.0834402097969043E-2</v>
      </c>
      <c r="EA33" s="1254">
        <f t="shared" si="83"/>
        <v>-3.3284715209992877E-2</v>
      </c>
      <c r="EB33" s="1254">
        <f t="shared" si="84"/>
        <v>4.5978226403127209E-3</v>
      </c>
      <c r="EC33" s="1337"/>
      <c r="ED33" s="1355">
        <f t="shared" si="85"/>
        <v>4.6145665104187161E-2</v>
      </c>
      <c r="EE33" s="1254">
        <f t="shared" si="86"/>
        <v>3.6226415094339659E-2</v>
      </c>
      <c r="EF33" s="1254">
        <f t="shared" si="87"/>
        <v>7.2401253433401758E-2</v>
      </c>
      <c r="EG33" s="1254">
        <f t="shared" si="88"/>
        <v>-6.2900029810440627E-2</v>
      </c>
      <c r="EH33" s="1337"/>
      <c r="EI33" s="1254">
        <f t="shared" si="100"/>
        <v>-5.2092550407590754E-2</v>
      </c>
      <c r="EJ33" s="1254">
        <f t="shared" si="89"/>
        <v>-1.9552916129755182E-2</v>
      </c>
      <c r="EK33" s="1254">
        <f t="shared" si="90"/>
        <v>-3.5010191013870706E-2</v>
      </c>
      <c r="EL33" s="1254">
        <f t="shared" si="91"/>
        <v>2.0707721109742394E-2</v>
      </c>
      <c r="EM33" s="1337"/>
      <c r="EN33" s="928"/>
      <c r="EO33" s="928"/>
      <c r="EP33" s="928"/>
      <c r="FC33" s="928"/>
      <c r="FD33" s="928"/>
      <c r="FE33" s="928"/>
      <c r="FF33" s="1349">
        <v>-5200</v>
      </c>
      <c r="FG33" s="1363">
        <v>5.841618631281742E-3</v>
      </c>
      <c r="FH33" s="1350">
        <v>-5575.3308029687232</v>
      </c>
      <c r="FI33" s="1351">
        <v>-2.2334893476998019E-2</v>
      </c>
      <c r="FJ33" s="1609">
        <v>-5250</v>
      </c>
      <c r="FK33" s="1612">
        <v>-1.1615866859950641E-2</v>
      </c>
      <c r="FL33" s="928"/>
      <c r="FM33" s="928"/>
      <c r="FN33" s="928"/>
      <c r="FO33" s="928"/>
      <c r="FP33" s="928"/>
      <c r="FQ33" s="928"/>
    </row>
    <row r="34" spans="1:173" ht="14.25" customHeight="1">
      <c r="A34" s="1570" t="s">
        <v>150</v>
      </c>
      <c r="B34" s="1401"/>
      <c r="C34" s="1401"/>
      <c r="D34" s="1401"/>
      <c r="E34" s="1401"/>
      <c r="F34" s="1401"/>
      <c r="G34" s="1402">
        <f t="shared" ref="G34:P34" si="117">+G28+G29+G33+G31</f>
        <v>2551.6999999999994</v>
      </c>
      <c r="H34" s="1402">
        <f t="shared" si="117"/>
        <v>4098.1000000000004</v>
      </c>
      <c r="I34" s="1402">
        <f t="shared" si="117"/>
        <v>4478.3999999999987</v>
      </c>
      <c r="J34" s="1402">
        <f t="shared" si="117"/>
        <v>5145.4999999999991</v>
      </c>
      <c r="K34" s="1402">
        <f t="shared" si="117"/>
        <v>16273.7</v>
      </c>
      <c r="L34" s="1402">
        <f t="shared" si="117"/>
        <v>3284</v>
      </c>
      <c r="M34" s="1402">
        <f t="shared" si="117"/>
        <v>4667.9000000000005</v>
      </c>
      <c r="N34" s="1402">
        <f t="shared" si="117"/>
        <v>4864.1999999999989</v>
      </c>
      <c r="O34" s="1402">
        <f t="shared" si="117"/>
        <v>5323.7000000000007</v>
      </c>
      <c r="P34" s="1402">
        <f t="shared" si="117"/>
        <v>18139.8</v>
      </c>
      <c r="Q34" s="1571">
        <f>+Q28+Q29+Q33+Q31+30*Q180</f>
        <v>3389.9</v>
      </c>
      <c r="R34" s="1402">
        <f t="shared" ref="R34:X34" si="118">+R28+R29+R33+R31</f>
        <v>4954.7</v>
      </c>
      <c r="S34" s="1402">
        <f t="shared" si="118"/>
        <v>5074.2999999999993</v>
      </c>
      <c r="T34" s="1402">
        <f t="shared" si="118"/>
        <v>5319.4999999999991</v>
      </c>
      <c r="U34" s="1402">
        <f t="shared" si="118"/>
        <v>18359.176890624996</v>
      </c>
      <c r="V34" s="1402">
        <f t="shared" si="118"/>
        <v>2983.7</v>
      </c>
      <c r="W34" s="1402">
        <f t="shared" si="118"/>
        <v>4867.4000000000015</v>
      </c>
      <c r="X34" s="1402">
        <f t="shared" si="118"/>
        <v>4756.7000000000007</v>
      </c>
      <c r="Y34" s="1402">
        <f>+Y28+Y29+Y33+Y31-290</f>
        <v>5546.9999999999945</v>
      </c>
      <c r="Z34" s="1402">
        <f>+Z28+Z29+Z33+Z31</f>
        <v>18444.8</v>
      </c>
      <c r="AA34" s="1402">
        <f>+AA28+AA29+AA33+AA31+1030.7</f>
        <v>4810.2000000000007</v>
      </c>
      <c r="AB34" s="1402">
        <f t="shared" ref="AB34:AP34" si="119">+AB28+AB29+AB33+AB31</f>
        <v>4220.8999999999987</v>
      </c>
      <c r="AC34" s="1402">
        <f t="shared" si="119"/>
        <v>4610.800000000002</v>
      </c>
      <c r="AD34" s="1402">
        <f t="shared" si="119"/>
        <v>5103.2000000000007</v>
      </c>
      <c r="AE34" s="1402">
        <f t="shared" si="119"/>
        <v>17714.399999999991</v>
      </c>
      <c r="AF34" s="1402">
        <f t="shared" si="119"/>
        <v>3309.0999999999995</v>
      </c>
      <c r="AG34" s="1402">
        <f t="shared" si="119"/>
        <v>4573.4800000000005</v>
      </c>
      <c r="AH34" s="1402">
        <f t="shared" si="119"/>
        <v>4414</v>
      </c>
      <c r="AI34" s="1402">
        <f t="shared" si="119"/>
        <v>4721.0999999999985</v>
      </c>
      <c r="AJ34" s="1402">
        <f t="shared" si="119"/>
        <v>16598.099999999995</v>
      </c>
      <c r="AK34" s="1402">
        <f t="shared" si="119"/>
        <v>3030.2000000000007</v>
      </c>
      <c r="AL34" s="1402">
        <f t="shared" si="119"/>
        <v>3905.2000000000003</v>
      </c>
      <c r="AM34" s="1402">
        <f t="shared" si="119"/>
        <v>3678.0999999999985</v>
      </c>
      <c r="AN34" s="1402">
        <f t="shared" si="119"/>
        <v>3629.7</v>
      </c>
      <c r="AO34" s="1402">
        <f t="shared" si="119"/>
        <v>14244</v>
      </c>
      <c r="AP34" s="1402">
        <f t="shared" si="119"/>
        <v>3624.1999999999985</v>
      </c>
      <c r="AQ34" s="1571">
        <f>+AQ28+AQ29+AQ33+AQ31+3547.4</f>
        <v>8655.9000000000015</v>
      </c>
      <c r="AR34" s="1402">
        <f>+AR28+AR29+AR33+AR31</f>
        <v>4341.8</v>
      </c>
      <c r="AS34" s="1402">
        <f>+AS28+AS29+AS33+AS31</f>
        <v>3664.2999999999984</v>
      </c>
      <c r="AT34" s="1571">
        <f>+AT28+AT29+AT33+AT31+3547.4</f>
        <v>20285.900000000001</v>
      </c>
      <c r="AU34" s="1402">
        <f t="shared" ref="AU34:BR34" si="120">+AU28+AU29+AU33+AU31</f>
        <v>3470.400000000001</v>
      </c>
      <c r="AV34" s="1402">
        <f t="shared" si="120"/>
        <v>4126.699999999998</v>
      </c>
      <c r="AW34" s="1402">
        <f t="shared" si="120"/>
        <v>4595.7000000000016</v>
      </c>
      <c r="AX34" s="1402">
        <f t="shared" si="120"/>
        <v>5153.3999999999987</v>
      </c>
      <c r="AY34" s="1402">
        <f t="shared" si="120"/>
        <v>17210.099999999999</v>
      </c>
      <c r="AZ34" s="1402">
        <f t="shared" si="120"/>
        <v>3040.6000000000013</v>
      </c>
      <c r="BA34" s="1402">
        <f t="shared" si="120"/>
        <v>2693.2000000000007</v>
      </c>
      <c r="BB34" s="1402">
        <f t="shared" si="120"/>
        <v>4635.5999999999985</v>
      </c>
      <c r="BC34" s="1402">
        <f t="shared" si="120"/>
        <v>5860.7999999999975</v>
      </c>
      <c r="BD34" s="1402">
        <f t="shared" si="120"/>
        <v>17549.299999999992</v>
      </c>
      <c r="BE34" s="1402">
        <f t="shared" si="120"/>
        <v>3540.6000000000008</v>
      </c>
      <c r="BF34" s="1402">
        <f t="shared" si="120"/>
        <v>3985.7</v>
      </c>
      <c r="BG34" s="1402">
        <f t="shared" si="120"/>
        <v>4831.1999999999989</v>
      </c>
      <c r="BH34" s="1402">
        <f t="shared" si="120"/>
        <v>9825.9000000000015</v>
      </c>
      <c r="BI34" s="1402">
        <f t="shared" si="120"/>
        <v>22183.3</v>
      </c>
      <c r="BJ34" s="1402">
        <f t="shared" si="120"/>
        <v>1637.400000000001</v>
      </c>
      <c r="BK34" s="1402">
        <f t="shared" si="120"/>
        <v>1551.700000000001</v>
      </c>
      <c r="BL34" s="1402">
        <f t="shared" si="120"/>
        <v>1362.1999999999994</v>
      </c>
      <c r="BM34" s="1402">
        <f t="shared" si="120"/>
        <v>-132.80000000000018</v>
      </c>
      <c r="BN34" s="1402">
        <f t="shared" si="120"/>
        <v>4418.6299999999974</v>
      </c>
      <c r="BO34" s="1496">
        <f t="shared" si="120"/>
        <v>1203.6999999999998</v>
      </c>
      <c r="BP34" s="1402">
        <f t="shared" si="120"/>
        <v>992.19999999999914</v>
      </c>
      <c r="BQ34" s="1402">
        <f t="shared" si="120"/>
        <v>-77.100000000000477</v>
      </c>
      <c r="BR34" s="1402">
        <f t="shared" si="120"/>
        <v>544.80000000000143</v>
      </c>
      <c r="BS34" s="1402">
        <f>+BS28+BS29+BS33+BS31</f>
        <v>2663.7</v>
      </c>
      <c r="BT34" s="1496">
        <f t="shared" ref="BT34:BW34" si="121">+BT28+BT29+BT33+BT31</f>
        <v>2926.1999999999994</v>
      </c>
      <c r="BU34" s="1402">
        <f t="shared" si="121"/>
        <v>265.54432063092827</v>
      </c>
      <c r="BV34" s="1402">
        <f t="shared" si="121"/>
        <v>-147.91374239385368</v>
      </c>
      <c r="BW34" s="1402">
        <f t="shared" si="121"/>
        <v>229.26816368502159</v>
      </c>
      <c r="BX34" s="1497">
        <f>+BX28+BX29+BX33+BX31</f>
        <v>3273.0987419220965</v>
      </c>
      <c r="BY34" s="1544"/>
      <c r="BZ34" s="928"/>
      <c r="CA34" s="1395">
        <f t="shared" si="41"/>
        <v>0.28698514715679768</v>
      </c>
      <c r="CB34" s="1395">
        <f t="shared" si="42"/>
        <v>0.13904004294673133</v>
      </c>
      <c r="CC34" s="1395">
        <f t="shared" si="43"/>
        <v>8.6146838156484495E-2</v>
      </c>
      <c r="CD34" s="1395">
        <f t="shared" si="44"/>
        <v>3.4632202895734432E-2</v>
      </c>
      <c r="CE34" s="928"/>
      <c r="CF34" s="1395">
        <f t="shared" si="45"/>
        <v>3.2247259439707632E-2</v>
      </c>
      <c r="CG34" s="1395">
        <f t="shared" si="46"/>
        <v>6.1440904903703908E-2</v>
      </c>
      <c r="CH34" s="1395">
        <f t="shared" si="47"/>
        <v>4.3193125282677602E-2</v>
      </c>
      <c r="CI34" s="1395">
        <f t="shared" si="48"/>
        <v>-7.8892499577387643E-4</v>
      </c>
      <c r="CJ34" s="928"/>
      <c r="CK34" s="1395">
        <f t="shared" si="49"/>
        <v>-0.1198265435558572</v>
      </c>
      <c r="CL34" s="1395">
        <f t="shared" si="50"/>
        <v>-1.7619633882979491E-2</v>
      </c>
      <c r="CM34" s="1395">
        <f t="shared" si="51"/>
        <v>-6.2589913879746661E-2</v>
      </c>
      <c r="CN34" s="1395">
        <f t="shared" si="52"/>
        <v>4.2767177366292985E-2</v>
      </c>
      <c r="CO34" s="928"/>
      <c r="CP34" s="1395">
        <f t="shared" si="53"/>
        <v>0.61215939940342556</v>
      </c>
      <c r="CQ34" s="1395">
        <f t="shared" si="54"/>
        <v>-0.13282245141143167</v>
      </c>
      <c r="CR34" s="1395">
        <f t="shared" si="55"/>
        <v>-3.0672525069901146E-2</v>
      </c>
      <c r="CS34" s="1395">
        <f t="shared" si="56"/>
        <v>-8.0007211105100784E-2</v>
      </c>
      <c r="CT34" s="928"/>
      <c r="CU34" s="1395">
        <f t="shared" si="57"/>
        <v>-0.31206602636065051</v>
      </c>
      <c r="CV34" s="1395">
        <f t="shared" si="58"/>
        <v>8.3531948162714587E-2</v>
      </c>
      <c r="CW34" s="1395">
        <f t="shared" si="59"/>
        <v>-4.2682397848530007E-2</v>
      </c>
      <c r="CX34" s="1395">
        <f t="shared" si="60"/>
        <v>-7.4874588493494709E-2</v>
      </c>
      <c r="CY34" s="928"/>
      <c r="CZ34" s="1395">
        <f t="shared" si="61"/>
        <v>-8.4282735486990057E-2</v>
      </c>
      <c r="DA34" s="1395">
        <f t="shared" si="62"/>
        <v>-0.14612067834559239</v>
      </c>
      <c r="DB34" s="1395">
        <f t="shared" si="63"/>
        <v>-0.16671952877208918</v>
      </c>
      <c r="DC34" s="1395">
        <f t="shared" si="64"/>
        <v>-0.23117493804409972</v>
      </c>
      <c r="DD34" s="928"/>
      <c r="DE34" s="1395">
        <f t="shared" si="65"/>
        <v>0.19602666490660603</v>
      </c>
      <c r="DF34" s="1395">
        <f t="shared" si="66"/>
        <v>1.2165061968657178</v>
      </c>
      <c r="DG34" s="1395">
        <f t="shared" si="67"/>
        <v>0.18044642614393358</v>
      </c>
      <c r="DH34" s="1395">
        <f t="shared" si="68"/>
        <v>9.5324682480641965E-3</v>
      </c>
      <c r="DI34" s="928"/>
      <c r="DJ34" s="1395">
        <f t="shared" si="69"/>
        <v>-4.2436951603111672E-2</v>
      </c>
      <c r="DK34" s="1395">
        <f t="shared" si="70"/>
        <v>-0.52325003754664479</v>
      </c>
      <c r="DL34" s="1395">
        <f t="shared" si="71"/>
        <v>5.8478050578101515E-2</v>
      </c>
      <c r="DM34" s="1395">
        <f t="shared" si="72"/>
        <v>0.40638048194743903</v>
      </c>
      <c r="DN34" s="928"/>
      <c r="DO34" s="1395">
        <f t="shared" si="73"/>
        <v>-0.12384739511295517</v>
      </c>
      <c r="DP34" s="1395">
        <f t="shared" si="74"/>
        <v>-0.34737199214868975</v>
      </c>
      <c r="DQ34" s="1395">
        <f t="shared" si="75"/>
        <v>8.6820288530575773E-3</v>
      </c>
      <c r="DR34" s="1395">
        <f t="shared" si="76"/>
        <v>0.13726859937128855</v>
      </c>
      <c r="DS34" s="928"/>
      <c r="DT34" s="1395">
        <f t="shared" si="77"/>
        <v>0.16444122870486066</v>
      </c>
      <c r="DU34" s="1395">
        <f t="shared" si="78"/>
        <v>0.47991237189959857</v>
      </c>
      <c r="DV34" s="1395">
        <f t="shared" si="79"/>
        <v>4.2195185089308973E-2</v>
      </c>
      <c r="DW34" s="1395">
        <f t="shared" si="80"/>
        <v>0.67654586404586503</v>
      </c>
      <c r="DX34" s="928"/>
      <c r="DY34" s="1396">
        <f t="shared" si="81"/>
        <v>-0.53753601084561919</v>
      </c>
      <c r="DZ34" s="1395">
        <f t="shared" si="82"/>
        <v>-0.61068319241287572</v>
      </c>
      <c r="EA34" s="1395">
        <f t="shared" si="83"/>
        <v>-0.71804106640172227</v>
      </c>
      <c r="EB34" s="1395">
        <f t="shared" si="84"/>
        <v>-1.0135153013973275</v>
      </c>
      <c r="EC34" s="1337"/>
      <c r="ED34" s="1396">
        <f t="shared" si="85"/>
        <v>-0.2648711371686826</v>
      </c>
      <c r="EE34" s="1395">
        <f t="shared" si="86"/>
        <v>-0.36057227556873206</v>
      </c>
      <c r="EF34" s="1395">
        <f t="shared" si="87"/>
        <v>-1.0565996182645725</v>
      </c>
      <c r="EG34" s="1395">
        <f t="shared" si="88"/>
        <v>-5.1024096385542217</v>
      </c>
      <c r="EH34" s="1337"/>
      <c r="EI34" s="1395">
        <f t="shared" si="100"/>
        <v>1.4310044030904709</v>
      </c>
      <c r="EJ34" s="1395">
        <f t="shared" si="89"/>
        <v>-0.73236815094645391</v>
      </c>
      <c r="EK34" s="1395">
        <f t="shared" si="90"/>
        <v>0.91846617890859616</v>
      </c>
      <c r="EL34" s="1395">
        <f t="shared" si="91"/>
        <v>-0.57917003728887484</v>
      </c>
      <c r="EM34" s="1337"/>
      <c r="EN34" s="928"/>
      <c r="EO34" s="928"/>
      <c r="EP34" s="928"/>
      <c r="FC34" s="928"/>
      <c r="FD34" s="928"/>
      <c r="FE34" s="928"/>
      <c r="FF34" s="1349">
        <v>1030</v>
      </c>
      <c r="FG34" s="1397">
        <v>-0.24387020995448505</v>
      </c>
      <c r="FH34" s="1350">
        <v>-483.65288388879878</v>
      </c>
      <c r="FI34" s="1394">
        <v>1.9509022812007211</v>
      </c>
      <c r="FJ34" s="1613">
        <v>705.55200000000059</v>
      </c>
      <c r="FK34" s="1636">
        <v>-0.4138473041455506</v>
      </c>
      <c r="FL34" s="928"/>
      <c r="FM34" s="928"/>
      <c r="FN34" s="928"/>
      <c r="FO34" s="928"/>
      <c r="FP34" s="928"/>
      <c r="FQ34" s="928"/>
    </row>
    <row r="35" spans="1:173" ht="14.25" customHeight="1">
      <c r="A35" s="1206" t="s">
        <v>4246</v>
      </c>
      <c r="B35" s="1373"/>
      <c r="C35" s="1373"/>
      <c r="D35" s="1373"/>
      <c r="E35" s="1373"/>
      <c r="F35" s="1373"/>
      <c r="G35" s="1364"/>
      <c r="H35" s="1364"/>
      <c r="I35" s="1364"/>
      <c r="J35" s="1364"/>
      <c r="K35" s="1364"/>
      <c r="L35" s="1364"/>
      <c r="M35" s="1364"/>
      <c r="N35" s="1364"/>
      <c r="O35" s="1364"/>
      <c r="P35" s="1364"/>
      <c r="Q35" s="1364"/>
      <c r="R35" s="1364"/>
      <c r="S35" s="1364"/>
      <c r="T35" s="1364"/>
      <c r="U35" s="1364"/>
      <c r="V35" s="1364"/>
      <c r="W35" s="1364"/>
      <c r="X35" s="1364"/>
      <c r="Y35" s="1364"/>
      <c r="Z35" s="1364"/>
      <c r="AA35" s="1364"/>
      <c r="AB35" s="1364"/>
      <c r="AC35" s="1364"/>
      <c r="AD35" s="1364"/>
      <c r="AE35" s="1364"/>
      <c r="AF35" s="1364"/>
      <c r="AG35" s="1364"/>
      <c r="AH35" s="1364"/>
      <c r="AI35" s="1364"/>
      <c r="AJ35" s="1364"/>
      <c r="AK35" s="1364">
        <f>AK32-(AK23-AK43)</f>
        <v>7584.7000000000007</v>
      </c>
      <c r="AL35" s="1364">
        <f>AL32-(AL23-AL43)</f>
        <v>8494.6</v>
      </c>
      <c r="AM35" s="1364">
        <f>AM32-(AM23-AM43)</f>
        <v>8293.3999999999978</v>
      </c>
      <c r="AN35" s="1364">
        <f>AN32-(AN23-AN43)</f>
        <v>8406.7999999999993</v>
      </c>
      <c r="AO35" s="1364"/>
      <c r="AP35" s="1364">
        <f ca="1">AP32-(AP23-AP43)</f>
        <v>8424.9999999999982</v>
      </c>
      <c r="AQ35" s="1364">
        <f>AQ32-(AQ23-AQ43)</f>
        <v>9139.4000000000015</v>
      </c>
      <c r="AR35" s="1364">
        <f>AR32-(AR23-AR43)</f>
        <v>8786.2999999999993</v>
      </c>
      <c r="AS35" s="1364">
        <f>AS32-(AS23-AS43)</f>
        <v>8811.7999999999993</v>
      </c>
      <c r="AT35" s="1364"/>
      <c r="AU35" s="1364"/>
      <c r="AV35" s="928"/>
      <c r="AW35" s="1343"/>
      <c r="AX35" s="1343"/>
      <c r="AY35" s="1364"/>
      <c r="AZ35" s="1364"/>
      <c r="BA35" s="1377"/>
      <c r="BB35" s="1381"/>
      <c r="BC35" s="1381"/>
      <c r="BD35" s="1364"/>
      <c r="BE35" s="1374"/>
      <c r="BF35" s="1364"/>
      <c r="BG35" s="1364"/>
      <c r="BH35" s="1364"/>
      <c r="BI35" s="1375"/>
      <c r="BJ35" s="1338"/>
      <c r="BK35" s="928"/>
      <c r="BL35" s="928"/>
      <c r="BM35" s="928"/>
      <c r="BN35" s="928"/>
      <c r="BO35" s="1338"/>
      <c r="BP35" s="1364"/>
      <c r="BQ35" s="1364"/>
      <c r="BR35" s="1364"/>
      <c r="BS35" s="1364"/>
      <c r="BT35" s="1338"/>
      <c r="BU35" s="1364"/>
      <c r="BV35" s="1364"/>
      <c r="BW35" s="1364"/>
      <c r="BX35" s="1375"/>
      <c r="BY35" s="1364"/>
      <c r="BZ35" s="928"/>
      <c r="CA35" s="1395"/>
      <c r="CB35" s="1395"/>
      <c r="CC35" s="1395"/>
      <c r="CD35" s="1395"/>
      <c r="CE35" s="928"/>
      <c r="CF35" s="1395"/>
      <c r="CG35" s="1395"/>
      <c r="CH35" s="1395"/>
      <c r="CI35" s="1395"/>
      <c r="CJ35" s="928"/>
      <c r="CK35" s="1395"/>
      <c r="CL35" s="1395"/>
      <c r="CM35" s="1395"/>
      <c r="CN35" s="1395"/>
      <c r="CO35" s="928"/>
      <c r="CP35" s="1395"/>
      <c r="CQ35" s="1395"/>
      <c r="CR35" s="1395"/>
      <c r="CS35" s="1395"/>
      <c r="CT35" s="928"/>
      <c r="CU35" s="1395"/>
      <c r="CV35" s="1395"/>
      <c r="CW35" s="1395"/>
      <c r="CX35" s="1395"/>
      <c r="CY35" s="928"/>
      <c r="CZ35" s="1395"/>
      <c r="DA35" s="1395"/>
      <c r="DB35" s="1395"/>
      <c r="DC35" s="1395"/>
      <c r="DD35" s="928"/>
      <c r="DE35" s="1254">
        <f t="shared" ca="1" si="65"/>
        <v>0.11078882487112174</v>
      </c>
      <c r="DF35" s="1254">
        <f t="shared" si="66"/>
        <v>7.5907046829750691E-2</v>
      </c>
      <c r="DG35" s="1254">
        <f t="shared" si="67"/>
        <v>5.9432801987122419E-2</v>
      </c>
      <c r="DH35" s="1254">
        <f t="shared" si="68"/>
        <v>4.817528667269344E-2</v>
      </c>
      <c r="DI35" s="928"/>
      <c r="DJ35" s="1254">
        <f t="shared" ca="1" si="69"/>
        <v>-1</v>
      </c>
      <c r="DK35" s="1254">
        <f t="shared" si="70"/>
        <v>-1</v>
      </c>
      <c r="DL35" s="1254">
        <f t="shared" si="71"/>
        <v>-1</v>
      </c>
      <c r="DM35" s="1254">
        <f t="shared" si="72"/>
        <v>-1</v>
      </c>
      <c r="DN35" s="928"/>
      <c r="DO35" s="1316"/>
      <c r="DP35" s="1316"/>
      <c r="DQ35" s="1316"/>
      <c r="DR35" s="1316"/>
      <c r="DS35" s="928"/>
      <c r="DT35" s="928"/>
      <c r="DU35" s="928"/>
      <c r="DV35" s="928"/>
      <c r="DW35" s="928"/>
      <c r="DX35" s="928"/>
      <c r="DY35" s="1338"/>
      <c r="DZ35" s="928"/>
      <c r="EA35" s="928"/>
      <c r="EB35" s="928"/>
      <c r="EC35" s="1337"/>
      <c r="ED35" s="1338"/>
      <c r="EE35" s="928"/>
      <c r="EF35" s="928"/>
      <c r="EG35" s="928"/>
      <c r="EH35" s="1337"/>
      <c r="EI35" s="928"/>
      <c r="EJ35" s="928"/>
      <c r="EK35" s="928"/>
      <c r="EL35" s="928"/>
      <c r="EM35" s="1337"/>
      <c r="EN35" s="928"/>
      <c r="EO35" s="928"/>
      <c r="EP35" s="928"/>
      <c r="FC35" s="928"/>
      <c r="FD35" s="928"/>
      <c r="FE35" s="928"/>
      <c r="FF35" s="1383"/>
      <c r="FG35" s="928"/>
      <c r="FH35" s="1384"/>
      <c r="FI35" s="1319"/>
      <c r="FJ35" s="1605"/>
      <c r="FK35" s="1605"/>
      <c r="FL35" s="928"/>
      <c r="FM35" s="928"/>
      <c r="FN35" s="928"/>
      <c r="FO35" s="928"/>
      <c r="FP35" s="928"/>
      <c r="FQ35" s="928"/>
    </row>
    <row r="36" spans="1:173">
      <c r="A36" s="928"/>
      <c r="B36" s="928"/>
      <c r="C36" s="928"/>
      <c r="D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8"/>
      <c r="AO36" s="928"/>
      <c r="AP36" s="928"/>
      <c r="AQ36" s="928"/>
      <c r="AR36" s="928"/>
      <c r="AS36" s="928"/>
      <c r="AT36" s="928"/>
      <c r="AU36" s="928"/>
      <c r="AV36" s="928"/>
      <c r="AW36" s="928"/>
      <c r="AX36" s="928"/>
      <c r="AY36" s="928"/>
      <c r="AZ36" s="928"/>
      <c r="BA36" s="928"/>
      <c r="BB36" s="928"/>
      <c r="BC36" s="928"/>
      <c r="BD36" s="928"/>
      <c r="BE36" s="1338"/>
      <c r="BF36" s="928"/>
      <c r="BG36" s="928"/>
      <c r="BH36" s="928"/>
      <c r="BI36" s="1337"/>
      <c r="BJ36" s="1338"/>
      <c r="BK36" s="928"/>
      <c r="BL36" s="928"/>
      <c r="BM36" s="928"/>
      <c r="BN36" s="928"/>
      <c r="BO36" s="1338"/>
      <c r="BP36" s="928"/>
      <c r="BQ36" s="928"/>
      <c r="BR36" s="928"/>
      <c r="BS36" s="928"/>
      <c r="BT36" s="1338"/>
      <c r="BU36" s="928"/>
      <c r="BV36" s="1339"/>
      <c r="BW36" s="928"/>
      <c r="BX36" s="1337"/>
      <c r="BY36" s="928"/>
      <c r="BZ36" s="928"/>
      <c r="CA36" s="928"/>
      <c r="CB36" s="928"/>
      <c r="CC36" s="928"/>
      <c r="CD36" s="928"/>
      <c r="CE36" s="928"/>
      <c r="CF36" s="928"/>
      <c r="CG36" s="928"/>
      <c r="CH36" s="928"/>
      <c r="CI36" s="928"/>
      <c r="CJ36" s="928"/>
      <c r="CK36" s="928"/>
      <c r="CL36" s="928"/>
      <c r="CM36" s="928"/>
      <c r="CN36" s="928"/>
      <c r="CO36" s="928"/>
      <c r="CP36" s="928"/>
      <c r="CQ36" s="928"/>
      <c r="CR36" s="928"/>
      <c r="CS36" s="928"/>
      <c r="CT36" s="928"/>
      <c r="CU36" s="928"/>
      <c r="CV36" s="928"/>
      <c r="CW36" s="928"/>
      <c r="CX36" s="928"/>
      <c r="CY36" s="928"/>
      <c r="CZ36" s="928"/>
      <c r="DA36" s="928"/>
      <c r="DB36" s="928"/>
      <c r="DC36" s="928"/>
      <c r="DD36" s="928"/>
      <c r="DE36" s="928"/>
      <c r="DF36" s="928"/>
      <c r="DG36" s="928"/>
      <c r="DH36" s="928"/>
      <c r="DI36" s="928"/>
      <c r="DJ36" s="928"/>
      <c r="DK36" s="928"/>
      <c r="DL36" s="928"/>
      <c r="DM36" s="928"/>
      <c r="DN36" s="928"/>
      <c r="DO36" s="928"/>
      <c r="DP36" s="928"/>
      <c r="DQ36" s="928"/>
      <c r="DR36" s="928"/>
      <c r="DS36" s="928"/>
      <c r="DT36" s="928"/>
      <c r="DU36" s="928"/>
      <c r="DV36" s="928"/>
      <c r="DW36" s="928"/>
      <c r="DX36" s="928"/>
      <c r="DY36" s="1338"/>
      <c r="DZ36" s="928"/>
      <c r="EA36" s="928"/>
      <c r="EB36" s="928"/>
      <c r="EC36" s="1337"/>
      <c r="ED36" s="1338"/>
      <c r="EE36" s="928"/>
      <c r="EF36" s="928"/>
      <c r="EG36" s="928"/>
      <c r="EH36" s="1337"/>
      <c r="EI36" s="928"/>
      <c r="EJ36" s="928"/>
      <c r="EK36" s="928"/>
      <c r="EL36" s="928"/>
      <c r="EM36" s="1337"/>
      <c r="EN36" s="928"/>
      <c r="EO36" s="928"/>
      <c r="EP36" s="928"/>
      <c r="FC36" s="928"/>
      <c r="FD36" s="928"/>
      <c r="FE36" s="928"/>
      <c r="FF36" s="928"/>
      <c r="FG36" s="928"/>
      <c r="FH36" s="1319"/>
      <c r="FI36" s="1319"/>
      <c r="FJ36" s="1605"/>
      <c r="FK36" s="1605"/>
      <c r="FL36" s="928"/>
      <c r="FM36" s="928"/>
      <c r="FN36" s="928"/>
      <c r="FO36" s="928"/>
      <c r="FP36" s="928"/>
      <c r="FQ36" s="928"/>
    </row>
    <row r="37" spans="1:173" ht="14.25" customHeight="1">
      <c r="A37" s="1400" t="s">
        <v>186</v>
      </c>
      <c r="B37" s="1401"/>
      <c r="C37" s="1401"/>
      <c r="D37" s="1401"/>
      <c r="E37" s="1401"/>
      <c r="F37" s="1401"/>
      <c r="G37" s="1402"/>
      <c r="H37" s="1402"/>
      <c r="I37" s="1402"/>
      <c r="J37" s="1402"/>
      <c r="K37" s="1402"/>
      <c r="L37" s="1402"/>
      <c r="M37" s="1402"/>
      <c r="N37" s="1402"/>
      <c r="O37" s="1402"/>
      <c r="P37" s="1402"/>
      <c r="Q37" s="1402"/>
      <c r="R37" s="1402"/>
      <c r="S37" s="1402"/>
      <c r="T37" s="1402"/>
      <c r="U37" s="1402"/>
      <c r="V37" s="1402"/>
      <c r="W37" s="1402"/>
      <c r="X37" s="1402"/>
      <c r="Y37" s="1402"/>
      <c r="Z37" s="1402"/>
      <c r="AA37" s="1402"/>
      <c r="AB37" s="1402"/>
      <c r="AC37" s="1402"/>
      <c r="AD37" s="1402"/>
      <c r="AE37" s="1402"/>
      <c r="AF37" s="1402"/>
      <c r="AG37" s="1402"/>
      <c r="AH37" s="1402"/>
      <c r="AI37" s="1402"/>
      <c r="AJ37" s="1402"/>
      <c r="AK37" s="1402"/>
      <c r="AL37" s="1402"/>
      <c r="AM37" s="1402"/>
      <c r="AN37" s="1403"/>
      <c r="AO37" s="1402"/>
      <c r="AP37" s="1403"/>
      <c r="AQ37" s="1403"/>
      <c r="AR37" s="1403"/>
      <c r="AS37" s="1404"/>
      <c r="AT37" s="1402"/>
      <c r="AU37" s="1402"/>
      <c r="AV37" s="1405"/>
      <c r="AW37" s="1403"/>
      <c r="AX37" s="1403"/>
      <c r="AY37" s="1402"/>
      <c r="AZ37" s="1402"/>
      <c r="BA37" s="1402"/>
      <c r="BB37" s="1403"/>
      <c r="BC37" s="1402"/>
      <c r="BD37" s="1402"/>
      <c r="BE37" s="1496"/>
      <c r="BF37" s="1403"/>
      <c r="BG37" s="1403"/>
      <c r="BH37" s="1406"/>
      <c r="BI37" s="1497"/>
      <c r="BJ37" s="1530">
        <f t="shared" ref="BJ37:BQ37" si="122">BJ34</f>
        <v>1637.400000000001</v>
      </c>
      <c r="BK37" s="1407">
        <f t="shared" si="122"/>
        <v>1551.700000000001</v>
      </c>
      <c r="BL37" s="1407">
        <f t="shared" si="122"/>
        <v>1362.1999999999994</v>
      </c>
      <c r="BM37" s="1407">
        <f>BM34</f>
        <v>-132.80000000000018</v>
      </c>
      <c r="BN37" s="1402"/>
      <c r="BO37" s="1530">
        <f t="shared" si="122"/>
        <v>1203.6999999999998</v>
      </c>
      <c r="BP37" s="1407">
        <f t="shared" si="122"/>
        <v>992.19999999999914</v>
      </c>
      <c r="BQ37" s="1407">
        <f t="shared" si="122"/>
        <v>-77.100000000000477</v>
      </c>
      <c r="BR37" s="1407">
        <f>BR34</f>
        <v>544.80000000000143</v>
      </c>
      <c r="BS37" s="1402"/>
      <c r="BT37" s="1530">
        <f t="shared" ref="BT37:BV37" si="123">BT34</f>
        <v>2926.1999999999994</v>
      </c>
      <c r="BU37" s="1407">
        <f t="shared" si="123"/>
        <v>265.54432063092827</v>
      </c>
      <c r="BV37" s="1407">
        <f t="shared" si="123"/>
        <v>-147.91374239385368</v>
      </c>
      <c r="BW37" s="1407">
        <f>BW34</f>
        <v>229.26816368502159</v>
      </c>
      <c r="BX37" s="1497"/>
      <c r="BY37" s="1343"/>
      <c r="BZ37" s="928"/>
      <c r="CA37" s="1395"/>
      <c r="CB37" s="1395"/>
      <c r="CC37" s="1395"/>
      <c r="CD37" s="1395"/>
      <c r="CE37" s="928"/>
      <c r="CF37" s="1395"/>
      <c r="CG37" s="1395"/>
      <c r="CH37" s="1395"/>
      <c r="CI37" s="1395"/>
      <c r="CJ37" s="928"/>
      <c r="CK37" s="1395"/>
      <c r="CL37" s="1395"/>
      <c r="CM37" s="1395"/>
      <c r="CN37" s="1395"/>
      <c r="CO37" s="928"/>
      <c r="CP37" s="1395"/>
      <c r="CQ37" s="1395"/>
      <c r="CR37" s="1395"/>
      <c r="CS37" s="1395"/>
      <c r="CT37" s="928"/>
      <c r="CU37" s="1395"/>
      <c r="CV37" s="1395"/>
      <c r="CW37" s="1395"/>
      <c r="CX37" s="1395"/>
      <c r="CY37" s="928"/>
      <c r="CZ37" s="1395"/>
      <c r="DA37" s="1395"/>
      <c r="DB37" s="1395"/>
      <c r="DC37" s="1395"/>
      <c r="DD37" s="928"/>
      <c r="DE37" s="1395"/>
      <c r="DF37" s="1395"/>
      <c r="DG37" s="1395"/>
      <c r="DH37" s="1395"/>
      <c r="DI37" s="928"/>
      <c r="DJ37" s="1395"/>
      <c r="DK37" s="1395"/>
      <c r="DL37" s="1395"/>
      <c r="DM37" s="1395"/>
      <c r="DN37" s="928"/>
      <c r="DO37" s="928"/>
      <c r="DP37" s="928"/>
      <c r="DQ37" s="928"/>
      <c r="DR37" s="928"/>
      <c r="DS37" s="928"/>
      <c r="DT37" s="928"/>
      <c r="DU37" s="928"/>
      <c r="DV37" s="928"/>
      <c r="DW37" s="928"/>
      <c r="DX37" s="928"/>
      <c r="DY37" s="1338"/>
      <c r="DZ37" s="928"/>
      <c r="EA37" s="928"/>
      <c r="EB37" s="928"/>
      <c r="EC37" s="1337"/>
      <c r="ED37" s="1338"/>
      <c r="EE37" s="928"/>
      <c r="EF37" s="928"/>
      <c r="EG37" s="928"/>
      <c r="EH37" s="1337"/>
      <c r="EI37" s="928"/>
      <c r="EJ37" s="928"/>
      <c r="EK37" s="928"/>
      <c r="EL37" s="928"/>
      <c r="EM37" s="1337"/>
      <c r="EN37" s="928"/>
      <c r="EO37" s="928"/>
      <c r="EP37" s="928"/>
      <c r="FC37" s="928"/>
      <c r="FD37" s="928"/>
      <c r="FE37" s="928"/>
      <c r="FF37" s="1349"/>
      <c r="FG37" s="928"/>
      <c r="FH37" s="1408"/>
      <c r="FI37" s="1319"/>
      <c r="FJ37" s="1610">
        <v>705.55200000000059</v>
      </c>
      <c r="FK37" s="1605"/>
      <c r="FL37" s="928"/>
      <c r="FM37" s="928"/>
      <c r="FN37" s="928"/>
      <c r="FO37" s="928"/>
      <c r="FP37" s="928"/>
      <c r="FQ37" s="928"/>
    </row>
    <row r="38" spans="1:173" ht="14.25" customHeight="1">
      <c r="A38" s="1206" t="s">
        <v>1887</v>
      </c>
      <c r="B38" s="1342"/>
      <c r="C38" s="1342"/>
      <c r="D38" s="1342"/>
      <c r="E38" s="1342"/>
      <c r="F38" s="1342"/>
      <c r="G38" s="1343"/>
      <c r="H38" s="1343"/>
      <c r="I38" s="1343"/>
      <c r="J38" s="1343"/>
      <c r="K38" s="1343"/>
      <c r="L38" s="1343"/>
      <c r="M38" s="1343"/>
      <c r="N38" s="1343"/>
      <c r="O38" s="1343"/>
      <c r="P38" s="1343"/>
      <c r="Q38" s="1343"/>
      <c r="R38" s="1343"/>
      <c r="S38" s="1343"/>
      <c r="T38" s="1343"/>
      <c r="U38" s="1343"/>
      <c r="V38" s="1343"/>
      <c r="W38" s="1343"/>
      <c r="X38" s="1343"/>
      <c r="Y38" s="1343"/>
      <c r="Z38" s="1343"/>
      <c r="AA38" s="1343"/>
      <c r="AB38" s="1343"/>
      <c r="AC38" s="1343"/>
      <c r="AD38" s="1343"/>
      <c r="AE38" s="1343"/>
      <c r="AF38" s="1343"/>
      <c r="AG38" s="1343"/>
      <c r="AH38" s="1343"/>
      <c r="AI38" s="1343"/>
      <c r="AJ38" s="1343"/>
      <c r="AK38" s="1343"/>
      <c r="AL38" s="1343"/>
      <c r="AM38" s="1343"/>
      <c r="AN38" s="1356"/>
      <c r="AO38" s="1343"/>
      <c r="AP38" s="1356"/>
      <c r="AQ38" s="1356"/>
      <c r="AR38" s="1356"/>
      <c r="AS38" s="1390"/>
      <c r="AT38" s="1343"/>
      <c r="AU38" s="1343"/>
      <c r="AV38" s="1378"/>
      <c r="AW38" s="1356"/>
      <c r="AX38" s="1356"/>
      <c r="AY38" s="1343"/>
      <c r="AZ38" s="1343"/>
      <c r="BA38" s="1343"/>
      <c r="BB38" s="1356"/>
      <c r="BC38" s="1343"/>
      <c r="BD38" s="1343"/>
      <c r="BE38" s="1345"/>
      <c r="BF38" s="1356"/>
      <c r="BG38" s="1356"/>
      <c r="BH38" s="928"/>
      <c r="BI38" s="1346"/>
      <c r="BJ38" s="1494">
        <v>-0.3</v>
      </c>
      <c r="BK38" s="1359">
        <v>-0.4</v>
      </c>
      <c r="BL38" s="1359">
        <v>-0.3</v>
      </c>
      <c r="BM38" s="1359">
        <v>-119.3</v>
      </c>
      <c r="BN38" s="1375"/>
      <c r="BO38" s="1494">
        <v>-29.8</v>
      </c>
      <c r="BP38" s="1359">
        <v>-47.6</v>
      </c>
      <c r="BQ38" s="1359">
        <v>-40.9</v>
      </c>
      <c r="BR38" s="1359">
        <v>-41.5</v>
      </c>
      <c r="BS38" s="1346"/>
      <c r="BT38" s="1494">
        <v>-29.9</v>
      </c>
      <c r="BU38" s="1535">
        <v>-30</v>
      </c>
      <c r="BV38" s="1535">
        <v>-30</v>
      </c>
      <c r="BW38" s="1535">
        <f t="shared" ref="BW38" si="124">BV38/BV37*BW37</f>
        <v>46.500377850195306</v>
      </c>
      <c r="BX38" s="1346"/>
      <c r="BY38" s="1343"/>
      <c r="BZ38" s="928"/>
      <c r="CA38" s="1395"/>
      <c r="CB38" s="1395"/>
      <c r="CC38" s="1395"/>
      <c r="CD38" s="1395"/>
      <c r="CE38" s="928"/>
      <c r="CF38" s="1395"/>
      <c r="CG38" s="1395"/>
      <c r="CH38" s="1395"/>
      <c r="CI38" s="1395"/>
      <c r="CJ38" s="928"/>
      <c r="CK38" s="1395"/>
      <c r="CL38" s="1395"/>
      <c r="CM38" s="1395"/>
      <c r="CN38" s="1395"/>
      <c r="CO38" s="928"/>
      <c r="CP38" s="1395"/>
      <c r="CQ38" s="1395"/>
      <c r="CR38" s="1395"/>
      <c r="CS38" s="1395"/>
      <c r="CT38" s="928"/>
      <c r="CU38" s="1395"/>
      <c r="CV38" s="1395"/>
      <c r="CW38" s="1395"/>
      <c r="CX38" s="1395"/>
      <c r="CY38" s="928"/>
      <c r="CZ38" s="1395"/>
      <c r="DA38" s="1395"/>
      <c r="DB38" s="1395"/>
      <c r="DC38" s="1395"/>
      <c r="DD38" s="928"/>
      <c r="DE38" s="1395"/>
      <c r="DF38" s="1395"/>
      <c r="DG38" s="1395"/>
      <c r="DH38" s="1395"/>
      <c r="DI38" s="928"/>
      <c r="DJ38" s="1395"/>
      <c r="DK38" s="1395"/>
      <c r="DL38" s="1395"/>
      <c r="DM38" s="1395"/>
      <c r="DN38" s="928"/>
      <c r="DO38" s="928"/>
      <c r="DP38" s="928"/>
      <c r="DQ38" s="928"/>
      <c r="DR38" s="928"/>
      <c r="DS38" s="928"/>
      <c r="DT38" s="928"/>
      <c r="DU38" s="928"/>
      <c r="DV38" s="928"/>
      <c r="DW38" s="928"/>
      <c r="DX38" s="928"/>
      <c r="DY38" s="1338"/>
      <c r="DZ38" s="928"/>
      <c r="EA38" s="928"/>
      <c r="EB38" s="928"/>
      <c r="EC38" s="1337"/>
      <c r="ED38" s="1338"/>
      <c r="EE38" s="928"/>
      <c r="EF38" s="928"/>
      <c r="EG38" s="928"/>
      <c r="EH38" s="1337"/>
      <c r="EI38" s="928"/>
      <c r="EJ38" s="928"/>
      <c r="EK38" s="928"/>
      <c r="EL38" s="928"/>
      <c r="EM38" s="1337"/>
      <c r="EN38" s="928"/>
      <c r="EO38" s="928"/>
      <c r="EP38" s="928"/>
      <c r="FC38" s="928"/>
      <c r="FD38" s="928"/>
      <c r="FE38" s="928"/>
      <c r="FF38" s="1349"/>
      <c r="FG38" s="928"/>
      <c r="FH38" s="1409"/>
      <c r="FI38" s="1319"/>
      <c r="FJ38" s="1609">
        <v>-17.467350336462591</v>
      </c>
      <c r="FK38" s="1605"/>
      <c r="FL38" s="928"/>
      <c r="FM38" s="928"/>
      <c r="FN38" s="928"/>
      <c r="FO38" s="928"/>
      <c r="FP38" s="928"/>
      <c r="FQ38" s="928"/>
    </row>
    <row r="39" spans="1:173" ht="14.25" customHeight="1">
      <c r="A39" s="1206"/>
      <c r="B39" s="1342"/>
      <c r="C39" s="1342"/>
      <c r="D39" s="1342"/>
      <c r="E39" s="1342"/>
      <c r="F39" s="1342"/>
      <c r="G39" s="1343"/>
      <c r="H39" s="1343"/>
      <c r="I39" s="1343"/>
      <c r="J39" s="1343"/>
      <c r="K39" s="1343"/>
      <c r="L39" s="1343"/>
      <c r="M39" s="1343"/>
      <c r="N39" s="1343"/>
      <c r="O39" s="1343"/>
      <c r="P39" s="1343"/>
      <c r="Q39" s="1343"/>
      <c r="R39" s="1343"/>
      <c r="S39" s="1343"/>
      <c r="T39" s="1343"/>
      <c r="U39" s="1343"/>
      <c r="V39" s="1343"/>
      <c r="W39" s="1343"/>
      <c r="X39" s="1343"/>
      <c r="Y39" s="1343"/>
      <c r="Z39" s="1343"/>
      <c r="AA39" s="1343"/>
      <c r="AB39" s="1343"/>
      <c r="AC39" s="1343"/>
      <c r="AD39" s="1343"/>
      <c r="AE39" s="1343"/>
      <c r="AF39" s="1343"/>
      <c r="AG39" s="1343"/>
      <c r="AH39" s="1343"/>
      <c r="AI39" s="1343"/>
      <c r="AJ39" s="1343"/>
      <c r="AK39" s="1343"/>
      <c r="AL39" s="1343"/>
      <c r="AM39" s="1343"/>
      <c r="AN39" s="1356"/>
      <c r="AO39" s="1343"/>
      <c r="AP39" s="1356"/>
      <c r="AQ39" s="1356"/>
      <c r="AR39" s="1356"/>
      <c r="AS39" s="1390"/>
      <c r="AT39" s="1343"/>
      <c r="AU39" s="1343"/>
      <c r="AV39" s="1378"/>
      <c r="AW39" s="1356"/>
      <c r="AX39" s="1356"/>
      <c r="AY39" s="1343"/>
      <c r="AZ39" s="1343"/>
      <c r="BA39" s="1343"/>
      <c r="BB39" s="1356"/>
      <c r="BC39" s="1343"/>
      <c r="BD39" s="1343"/>
      <c r="BE39" s="1345"/>
      <c r="BF39" s="1356"/>
      <c r="BG39" s="1356"/>
      <c r="BH39" s="1343">
        <f>BH31-4547</f>
        <v>-1326.3000000000002</v>
      </c>
      <c r="BI39" s="1346"/>
      <c r="BJ39" s="1374"/>
      <c r="BK39" s="1343"/>
      <c r="BL39" s="1343"/>
      <c r="BM39" s="1343"/>
      <c r="BN39" s="1346"/>
      <c r="BO39" s="1374"/>
      <c r="BP39" s="1343"/>
      <c r="BQ39" s="1343"/>
      <c r="BR39" s="1356"/>
      <c r="BS39" s="1346"/>
      <c r="BT39" s="1374"/>
      <c r="BU39" s="1343"/>
      <c r="BV39" s="1343"/>
      <c r="BW39" s="1356"/>
      <c r="BX39" s="1346"/>
      <c r="BY39" s="1343"/>
      <c r="BZ39" s="928"/>
      <c r="CA39" s="1395"/>
      <c r="CB39" s="1395"/>
      <c r="CC39" s="1395"/>
      <c r="CD39" s="1395"/>
      <c r="CE39" s="928"/>
      <c r="CF39" s="1395"/>
      <c r="CG39" s="1395"/>
      <c r="CH39" s="1395"/>
      <c r="CI39" s="1395"/>
      <c r="CJ39" s="928"/>
      <c r="CK39" s="1395"/>
      <c r="CL39" s="1395"/>
      <c r="CM39" s="1395"/>
      <c r="CN39" s="1395"/>
      <c r="CO39" s="928"/>
      <c r="CP39" s="1395"/>
      <c r="CQ39" s="1395"/>
      <c r="CR39" s="1395"/>
      <c r="CS39" s="1395"/>
      <c r="CT39" s="928"/>
      <c r="CU39" s="1395"/>
      <c r="CV39" s="1395"/>
      <c r="CW39" s="1395"/>
      <c r="CX39" s="1395"/>
      <c r="CY39" s="928"/>
      <c r="CZ39" s="1395"/>
      <c r="DA39" s="1395"/>
      <c r="DB39" s="1395"/>
      <c r="DC39" s="1395"/>
      <c r="DD39" s="928"/>
      <c r="DE39" s="1395"/>
      <c r="DF39" s="1395"/>
      <c r="DG39" s="1395"/>
      <c r="DH39" s="1395"/>
      <c r="DI39" s="928"/>
      <c r="DJ39" s="1395"/>
      <c r="DK39" s="1395"/>
      <c r="DL39" s="1395"/>
      <c r="DM39" s="1395"/>
      <c r="DN39" s="928"/>
      <c r="DO39" s="928"/>
      <c r="DP39" s="928"/>
      <c r="DQ39" s="928"/>
      <c r="DR39" s="928"/>
      <c r="DS39" s="928"/>
      <c r="DT39" s="928"/>
      <c r="DU39" s="928"/>
      <c r="DV39" s="928"/>
      <c r="DW39" s="928"/>
      <c r="DX39" s="928"/>
      <c r="DY39" s="1338"/>
      <c r="DZ39" s="928"/>
      <c r="EA39" s="928"/>
      <c r="EB39" s="928"/>
      <c r="EC39" s="1337"/>
      <c r="ED39" s="1338"/>
      <c r="EE39" s="928"/>
      <c r="EF39" s="928"/>
      <c r="EG39" s="928"/>
      <c r="EH39" s="1337"/>
      <c r="EI39" s="928"/>
      <c r="EJ39" s="928"/>
      <c r="EK39" s="928"/>
      <c r="EL39" s="928"/>
      <c r="EM39" s="1337"/>
      <c r="EN39" s="928"/>
      <c r="EO39" s="928"/>
      <c r="EP39" s="928"/>
      <c r="FC39" s="928"/>
      <c r="FD39" s="928"/>
      <c r="FE39" s="928"/>
      <c r="FF39" s="1349"/>
      <c r="FG39" s="928"/>
      <c r="FH39" s="1409"/>
      <c r="FI39" s="1319"/>
      <c r="FJ39" s="1611"/>
      <c r="FK39" s="1605"/>
      <c r="FL39" s="928"/>
      <c r="FM39" s="928"/>
      <c r="FN39" s="928"/>
      <c r="FO39" s="928"/>
      <c r="FP39" s="928"/>
      <c r="FQ39" s="928"/>
    </row>
    <row r="40" spans="1:173" ht="14.25" hidden="1" customHeight="1">
      <c r="A40" s="1206" t="s">
        <v>4241</v>
      </c>
      <c r="B40" s="1342"/>
      <c r="C40" s="1342"/>
      <c r="D40" s="1342"/>
      <c r="E40" s="1342"/>
      <c r="F40" s="1342"/>
      <c r="G40" s="1343"/>
      <c r="H40" s="1343"/>
      <c r="I40" s="1343"/>
      <c r="J40" s="1343"/>
      <c r="K40" s="1343"/>
      <c r="L40" s="1343"/>
      <c r="M40" s="1343"/>
      <c r="N40" s="1343"/>
      <c r="O40" s="1343"/>
      <c r="P40" s="1343"/>
      <c r="Q40" s="1343"/>
      <c r="R40" s="1343"/>
      <c r="S40" s="1343"/>
      <c r="T40" s="1343"/>
      <c r="U40" s="1343"/>
      <c r="V40" s="1343"/>
      <c r="W40" s="1343"/>
      <c r="X40" s="1343"/>
      <c r="Y40" s="1343"/>
      <c r="Z40" s="1343"/>
      <c r="AA40" s="1343"/>
      <c r="AB40" s="1343"/>
      <c r="AC40" s="1343"/>
      <c r="AD40" s="1343"/>
      <c r="AE40" s="1343"/>
      <c r="AF40" s="1343"/>
      <c r="AG40" s="1343"/>
      <c r="AH40" s="1343"/>
      <c r="AI40" s="1343"/>
      <c r="AJ40" s="1343"/>
      <c r="AK40" s="1343"/>
      <c r="AL40" s="1343"/>
      <c r="AM40" s="1343"/>
      <c r="AN40" s="1356"/>
      <c r="AO40" s="1343"/>
      <c r="AP40" s="1343">
        <f ca="1">AP23-AP43</f>
        <v>0</v>
      </c>
      <c r="AQ40" s="1354">
        <v>817.2</v>
      </c>
      <c r="AR40" s="1354">
        <v>593.29999999999995</v>
      </c>
      <c r="AS40" s="1343">
        <v>0</v>
      </c>
      <c r="AT40" s="1343"/>
      <c r="AU40" s="1343"/>
      <c r="AV40" s="1343"/>
      <c r="AW40" s="1343"/>
      <c r="AX40" s="1343"/>
      <c r="AY40" s="1343"/>
      <c r="AZ40" s="1343"/>
      <c r="BA40" s="1343"/>
      <c r="BB40" s="1343"/>
      <c r="BC40" s="1343"/>
      <c r="BD40" s="1343"/>
      <c r="BE40" s="1345"/>
      <c r="BF40" s="1343"/>
      <c r="BG40" s="1343"/>
      <c r="BH40" s="1343">
        <f>BH39-300</f>
        <v>-1626.3000000000002</v>
      </c>
      <c r="BI40" s="1346"/>
      <c r="BJ40" s="1531">
        <f t="shared" ref="BJ40:BR40" si="125">BJ25/BJ13</f>
        <v>0.35282521750668161</v>
      </c>
      <c r="BK40" s="1532">
        <f t="shared" si="125"/>
        <v>0.33118032723098767</v>
      </c>
      <c r="BL40" s="1532">
        <f t="shared" si="125"/>
        <v>0.34111418601852961</v>
      </c>
      <c r="BM40" s="1532">
        <f t="shared" si="125"/>
        <v>0.23327796459101402</v>
      </c>
      <c r="BN40" s="1533">
        <f t="shared" si="125"/>
        <v>0.31546929544225377</v>
      </c>
      <c r="BO40" s="1531">
        <f t="shared" si="125"/>
        <v>0.34543541738234285</v>
      </c>
      <c r="BP40" s="1532">
        <f t="shared" si="125"/>
        <v>0.32551972131700191</v>
      </c>
      <c r="BQ40" s="1532">
        <f t="shared" si="125"/>
        <v>0.35684029232416326</v>
      </c>
      <c r="BR40" s="1532">
        <f t="shared" si="125"/>
        <v>0.27283814807729101</v>
      </c>
      <c r="BS40" s="1533">
        <f>BS25/BS13</f>
        <v>0.3259217978754862</v>
      </c>
      <c r="BT40" s="1531">
        <f t="shared" ref="BT40:BW40" si="126">BT25/BT13</f>
        <v>0.29767851895386421</v>
      </c>
      <c r="BU40" s="1532">
        <f t="shared" si="126"/>
        <v>0.33001518987341777</v>
      </c>
      <c r="BV40" s="1532">
        <f t="shared" si="126"/>
        <v>0.35841038961038962</v>
      </c>
      <c r="BW40" s="1532">
        <f t="shared" si="126"/>
        <v>0.27038979033120186</v>
      </c>
      <c r="BX40" s="1533">
        <f>BX25/BX13</f>
        <v>0.31415821151645751</v>
      </c>
      <c r="BY40" s="1343"/>
      <c r="BZ40" s="928"/>
      <c r="CA40" s="1395"/>
      <c r="CB40" s="1395"/>
      <c r="CC40" s="1395"/>
      <c r="CD40" s="1395"/>
      <c r="CE40" s="928"/>
      <c r="CF40" s="1395"/>
      <c r="CG40" s="1395"/>
      <c r="CH40" s="1395"/>
      <c r="CI40" s="1395"/>
      <c r="CJ40" s="928"/>
      <c r="CK40" s="1395"/>
      <c r="CL40" s="1395"/>
      <c r="CM40" s="1395"/>
      <c r="CN40" s="1395"/>
      <c r="CO40" s="928"/>
      <c r="CP40" s="1395"/>
      <c r="CQ40" s="1395"/>
      <c r="CR40" s="1395"/>
      <c r="CS40" s="1395"/>
      <c r="CT40" s="928"/>
      <c r="CU40" s="1395"/>
      <c r="CV40" s="1395"/>
      <c r="CW40" s="1395"/>
      <c r="CX40" s="1395"/>
      <c r="CY40" s="928"/>
      <c r="CZ40" s="1395"/>
      <c r="DA40" s="1395"/>
      <c r="DB40" s="1395"/>
      <c r="DC40" s="1395"/>
      <c r="DD40" s="928"/>
      <c r="DE40" s="1395"/>
      <c r="DF40" s="1395"/>
      <c r="DG40" s="1395"/>
      <c r="DH40" s="1395"/>
      <c r="DI40" s="928"/>
      <c r="DJ40" s="1316">
        <f>(AU26-631/4)/AP26-1</f>
        <v>0.12945782968157382</v>
      </c>
      <c r="DK40" s="1316">
        <f>(AV26-631/4)/AQ26-1</f>
        <v>0.15883095263666624</v>
      </c>
      <c r="DL40" s="1316">
        <f>(AW26-631/4)/AR26-1</f>
        <v>0.10657709532949444</v>
      </c>
      <c r="DM40" s="1316">
        <f>(AX26-631/4)/AS26-1</f>
        <v>9.5251766233117596E-2</v>
      </c>
      <c r="DN40" s="928"/>
      <c r="DO40" s="928"/>
      <c r="DP40" s="928"/>
      <c r="DQ40" s="928"/>
      <c r="DR40" s="928"/>
      <c r="DS40" s="928"/>
      <c r="DT40" s="928"/>
      <c r="DU40" s="928"/>
      <c r="DV40" s="928"/>
      <c r="DW40" s="928"/>
      <c r="DX40" s="928"/>
      <c r="DY40" s="1338"/>
      <c r="DZ40" s="928"/>
      <c r="EA40" s="928"/>
      <c r="EB40" s="928"/>
      <c r="EC40" s="1337"/>
      <c r="ED40" s="1338"/>
      <c r="EE40" s="928"/>
      <c r="EF40" s="928"/>
      <c r="EG40" s="928"/>
      <c r="EH40" s="1337"/>
      <c r="EI40" s="928"/>
      <c r="EJ40" s="928"/>
      <c r="EK40" s="928"/>
      <c r="EL40" s="928"/>
      <c r="EM40" s="1337"/>
      <c r="EN40" s="928"/>
      <c r="EO40" s="928"/>
      <c r="EP40" s="928"/>
      <c r="FC40" s="928"/>
      <c r="FD40" s="928"/>
      <c r="FE40" s="928"/>
      <c r="FF40" s="1410">
        <v>0.34411085450346418</v>
      </c>
      <c r="FG40" s="928"/>
      <c r="FH40" s="1411">
        <v>0.23638774159989528</v>
      </c>
      <c r="FI40" s="1319"/>
      <c r="FJ40" s="1614">
        <v>0.35395800000000005</v>
      </c>
      <c r="FK40" s="1605"/>
      <c r="FL40" s="928"/>
      <c r="FM40" s="928"/>
      <c r="FN40" s="928"/>
      <c r="FO40" s="928"/>
      <c r="FP40" s="928"/>
      <c r="FQ40" s="928"/>
    </row>
    <row r="41" spans="1:173" ht="14.25" hidden="1" customHeight="1">
      <c r="A41" s="1206" t="s">
        <v>4240</v>
      </c>
      <c r="B41" s="1342"/>
      <c r="C41" s="1342"/>
      <c r="D41" s="1342"/>
      <c r="E41" s="1342"/>
      <c r="F41" s="1342"/>
      <c r="G41" s="1343"/>
      <c r="H41" s="1343"/>
      <c r="I41" s="1343"/>
      <c r="J41" s="1343"/>
      <c r="K41" s="1343"/>
      <c r="L41" s="1343"/>
      <c r="M41" s="1343"/>
      <c r="N41" s="1343"/>
      <c r="O41" s="1343"/>
      <c r="P41" s="1343"/>
      <c r="Q41" s="1343"/>
      <c r="R41" s="1343"/>
      <c r="S41" s="1343"/>
      <c r="T41" s="1343"/>
      <c r="U41" s="1343"/>
      <c r="V41" s="1343"/>
      <c r="W41" s="1343"/>
      <c r="X41" s="1343"/>
      <c r="Y41" s="1343"/>
      <c r="Z41" s="1343"/>
      <c r="AA41" s="1343"/>
      <c r="AB41" s="1343"/>
      <c r="AC41" s="1343"/>
      <c r="AD41" s="1343"/>
      <c r="AE41" s="1343"/>
      <c r="AF41" s="1343"/>
      <c r="AG41" s="1343"/>
      <c r="AH41" s="1343"/>
      <c r="AI41" s="1343"/>
      <c r="AJ41" s="1343"/>
      <c r="AK41" s="1343"/>
      <c r="AL41" s="1343"/>
      <c r="AM41" s="1343"/>
      <c r="AN41" s="1356"/>
      <c r="AO41" s="1343"/>
      <c r="AP41" s="1343">
        <f ca="1">AP40/AP180</f>
        <v>0</v>
      </c>
      <c r="AQ41" s="1343">
        <f>AQ40/AQ180</f>
        <v>42.080329557157569</v>
      </c>
      <c r="AR41" s="1343">
        <f>AR40/AR180</f>
        <v>31.325237592397038</v>
      </c>
      <c r="AS41" s="1343"/>
      <c r="AT41" s="1343"/>
      <c r="AU41" s="1356"/>
      <c r="AV41" s="1356"/>
      <c r="AW41" s="1356"/>
      <c r="AX41" s="1356"/>
      <c r="AY41" s="1343"/>
      <c r="AZ41" s="1343"/>
      <c r="BA41" s="1343"/>
      <c r="BB41" s="1343"/>
      <c r="BC41" s="1343"/>
      <c r="BD41" s="1343"/>
      <c r="BE41" s="1345"/>
      <c r="BF41" s="1343"/>
      <c r="BG41" s="1343"/>
      <c r="BH41" s="1343">
        <f>BH40/20</f>
        <v>-81.315000000000012</v>
      </c>
      <c r="BI41" s="1346"/>
      <c r="BJ41" s="1345"/>
      <c r="BK41" s="1343"/>
      <c r="BL41" s="1343"/>
      <c r="BM41" s="1343"/>
      <c r="BN41" s="1346"/>
      <c r="BO41" s="1345"/>
      <c r="BP41" s="1343"/>
      <c r="BQ41" s="1343"/>
      <c r="BR41" s="1343"/>
      <c r="BS41" s="1346"/>
      <c r="BT41" s="1345"/>
      <c r="BU41" s="1343"/>
      <c r="BV41" s="1343"/>
      <c r="BW41" s="1343"/>
      <c r="BX41" s="1346"/>
      <c r="BY41" s="1343"/>
      <c r="BZ41" s="928"/>
      <c r="CA41" s="1395"/>
      <c r="CB41" s="1395"/>
      <c r="CC41" s="1395"/>
      <c r="CD41" s="1395"/>
      <c r="CE41" s="928"/>
      <c r="CF41" s="1395"/>
      <c r="CG41" s="1395"/>
      <c r="CH41" s="1395"/>
      <c r="CI41" s="1395"/>
      <c r="CJ41" s="928"/>
      <c r="CK41" s="1395"/>
      <c r="CL41" s="1395"/>
      <c r="CM41" s="1395"/>
      <c r="CN41" s="1395"/>
      <c r="CO41" s="928"/>
      <c r="CP41" s="1395"/>
      <c r="CQ41" s="1395"/>
      <c r="CR41" s="1395"/>
      <c r="CS41" s="1395"/>
      <c r="CT41" s="928"/>
      <c r="CU41" s="1395"/>
      <c r="CV41" s="1395"/>
      <c r="CW41" s="1395"/>
      <c r="CX41" s="1395"/>
      <c r="CY41" s="928"/>
      <c r="CZ41" s="1395"/>
      <c r="DA41" s="1395"/>
      <c r="DB41" s="1395"/>
      <c r="DC41" s="1395"/>
      <c r="DD41" s="928"/>
      <c r="DE41" s="1395"/>
      <c r="DF41" s="1395"/>
      <c r="DG41" s="1395"/>
      <c r="DH41" s="1395"/>
      <c r="DI41" s="928"/>
      <c r="DJ41" s="1395"/>
      <c r="DK41" s="1395"/>
      <c r="DL41" s="1395"/>
      <c r="DM41" s="1395"/>
      <c r="DN41" s="928"/>
      <c r="DO41" s="928"/>
      <c r="DP41" s="928"/>
      <c r="DQ41" s="928"/>
      <c r="DR41" s="928"/>
      <c r="DS41" s="928"/>
      <c r="DT41" s="928"/>
      <c r="DU41" s="928"/>
      <c r="DV41" s="928"/>
      <c r="DW41" s="928"/>
      <c r="DX41" s="928"/>
      <c r="DY41" s="1338"/>
      <c r="DZ41" s="928"/>
      <c r="EA41" s="928"/>
      <c r="EB41" s="928"/>
      <c r="EC41" s="1337"/>
      <c r="ED41" s="1338"/>
      <c r="EE41" s="928"/>
      <c r="EF41" s="928"/>
      <c r="EG41" s="928"/>
      <c r="EH41" s="1337"/>
      <c r="EI41" s="928"/>
      <c r="EJ41" s="928"/>
      <c r="EK41" s="928"/>
      <c r="EL41" s="928"/>
      <c r="EM41" s="1337"/>
      <c r="EN41" s="928"/>
      <c r="EO41" s="928"/>
      <c r="EP41" s="928"/>
      <c r="EQ41" s="928"/>
      <c r="ER41" s="928"/>
      <c r="ES41" s="928"/>
      <c r="ET41" s="928"/>
      <c r="EU41" s="928"/>
      <c r="EV41" s="928"/>
      <c r="EW41" s="928"/>
      <c r="EX41" s="928"/>
      <c r="EY41" s="928"/>
      <c r="EZ41" s="928"/>
      <c r="FA41" s="928"/>
      <c r="FB41" s="928"/>
      <c r="FC41" s="928"/>
      <c r="FD41" s="928"/>
      <c r="FE41" s="928"/>
      <c r="FF41" s="1349"/>
      <c r="FG41" s="928"/>
      <c r="FH41" s="1350"/>
      <c r="FI41" s="1319"/>
      <c r="FJ41" s="1608"/>
      <c r="FK41" s="1605"/>
      <c r="FL41" s="928"/>
      <c r="FM41" s="928"/>
      <c r="FN41" s="928"/>
      <c r="FO41" s="928"/>
      <c r="FP41" s="928"/>
      <c r="FQ41" s="928"/>
    </row>
    <row r="42" spans="1:173" ht="14.25" hidden="1" customHeight="1">
      <c r="A42" s="1206" t="s">
        <v>158</v>
      </c>
      <c r="B42" s="1342"/>
      <c r="C42" s="1342"/>
      <c r="D42" s="1342"/>
      <c r="E42" s="1342"/>
      <c r="F42" s="1342"/>
      <c r="G42" s="1343"/>
      <c r="H42" s="1343"/>
      <c r="I42" s="1343"/>
      <c r="J42" s="1343"/>
      <c r="K42" s="1343"/>
      <c r="L42" s="1343"/>
      <c r="M42" s="1343"/>
      <c r="N42" s="1343"/>
      <c r="O42" s="1343"/>
      <c r="P42" s="1343"/>
      <c r="Q42" s="1343"/>
      <c r="R42" s="1343"/>
      <c r="S42" s="1343"/>
      <c r="T42" s="1343"/>
      <c r="U42" s="1343"/>
      <c r="V42" s="1343"/>
      <c r="W42" s="1343"/>
      <c r="X42" s="1343"/>
      <c r="Y42" s="1343"/>
      <c r="Z42" s="1343"/>
      <c r="AA42" s="1343"/>
      <c r="AB42" s="1343"/>
      <c r="AC42" s="1343"/>
      <c r="AD42" s="1343"/>
      <c r="AE42" s="1343"/>
      <c r="AF42" s="1343"/>
      <c r="AG42" s="1343"/>
      <c r="AH42" s="1343"/>
      <c r="AI42" s="1343"/>
      <c r="AJ42" s="1343"/>
      <c r="AK42" s="1343"/>
      <c r="AL42" s="1343"/>
      <c r="AM42" s="1343"/>
      <c r="AN42" s="1356"/>
      <c r="AO42" s="1343"/>
      <c r="AP42" s="1356"/>
      <c r="AQ42" s="1356">
        <f>AQ40/AQ11</f>
        <v>0.47415143603133164</v>
      </c>
      <c r="AR42" s="1356">
        <f>AR40/AR11</f>
        <v>0.58736758736758732</v>
      </c>
      <c r="AS42" s="1356"/>
      <c r="AT42" s="1343"/>
      <c r="AU42" s="1343"/>
      <c r="AV42" s="1343"/>
      <c r="AW42" s="1343"/>
      <c r="AX42" s="1343"/>
      <c r="AY42" s="1343"/>
      <c r="AZ42" s="1343"/>
      <c r="BA42" s="1343"/>
      <c r="BB42" s="1343"/>
      <c r="BC42" s="1343"/>
      <c r="BD42" s="1343"/>
      <c r="BE42" s="1345"/>
      <c r="BF42" s="1343"/>
      <c r="BG42" s="1343"/>
      <c r="BH42" s="1343"/>
      <c r="BI42" s="1346"/>
      <c r="BJ42" s="1345"/>
      <c r="BK42" s="1343"/>
      <c r="BL42" s="1343"/>
      <c r="BM42" s="1343"/>
      <c r="BN42" s="1346"/>
      <c r="BO42" s="1345"/>
      <c r="BP42" s="1343"/>
      <c r="BQ42" s="1343"/>
      <c r="BR42" s="1343"/>
      <c r="BS42" s="1346"/>
      <c r="BT42" s="1345"/>
      <c r="BU42" s="1343"/>
      <c r="BV42" s="1343"/>
      <c r="BW42" s="1343"/>
      <c r="BX42" s="1346"/>
      <c r="BY42" s="1343"/>
      <c r="BZ42" s="928"/>
      <c r="CA42" s="1395"/>
      <c r="CB42" s="1395"/>
      <c r="CC42" s="1395"/>
      <c r="CD42" s="1395"/>
      <c r="CE42" s="928"/>
      <c r="CF42" s="1395"/>
      <c r="CG42" s="1395"/>
      <c r="CH42" s="1395"/>
      <c r="CI42" s="1395"/>
      <c r="CJ42" s="928"/>
      <c r="CK42" s="1395"/>
      <c r="CL42" s="1395"/>
      <c r="CM42" s="1395"/>
      <c r="CN42" s="1395"/>
      <c r="CO42" s="928"/>
      <c r="CP42" s="1395"/>
      <c r="CQ42" s="1395"/>
      <c r="CR42" s="1395"/>
      <c r="CS42" s="1395"/>
      <c r="CT42" s="928"/>
      <c r="CU42" s="1395"/>
      <c r="CV42" s="1395"/>
      <c r="CW42" s="1395"/>
      <c r="CX42" s="1395"/>
      <c r="CY42" s="928"/>
      <c r="CZ42" s="1395"/>
      <c r="DA42" s="1395"/>
      <c r="DB42" s="1395"/>
      <c r="DC42" s="1395"/>
      <c r="DD42" s="928"/>
      <c r="DE42" s="1395"/>
      <c r="DF42" s="1395"/>
      <c r="DG42" s="1395"/>
      <c r="DH42" s="1395"/>
      <c r="DI42" s="928"/>
      <c r="DJ42" s="1395"/>
      <c r="DK42" s="1395"/>
      <c r="DL42" s="1395"/>
      <c r="DM42" s="1395"/>
      <c r="DN42" s="928"/>
      <c r="DO42" s="928"/>
      <c r="DP42" s="928"/>
      <c r="DQ42" s="928"/>
      <c r="DR42" s="928"/>
      <c r="DS42" s="928"/>
      <c r="DT42" s="928"/>
      <c r="DU42" s="928"/>
      <c r="DV42" s="928"/>
      <c r="DW42" s="928"/>
      <c r="DX42" s="928"/>
      <c r="DY42" s="1338"/>
      <c r="DZ42" s="928"/>
      <c r="EA42" s="928"/>
      <c r="EB42" s="928"/>
      <c r="EC42" s="1337"/>
      <c r="ED42" s="1338"/>
      <c r="EE42" s="928"/>
      <c r="EF42" s="928"/>
      <c r="EG42" s="928"/>
      <c r="EH42" s="1337"/>
      <c r="EI42" s="928"/>
      <c r="EJ42" s="928"/>
      <c r="EK42" s="928"/>
      <c r="EL42" s="928"/>
      <c r="EM42" s="1337"/>
      <c r="EN42" s="928"/>
      <c r="EO42" s="928"/>
      <c r="EP42" s="928"/>
      <c r="EQ42" s="928"/>
      <c r="ER42" s="1391" t="s">
        <v>5307</v>
      </c>
      <c r="ES42" s="1391" t="s">
        <v>5308</v>
      </c>
      <c r="ET42" s="1391" t="s">
        <v>5309</v>
      </c>
      <c r="EU42" s="1391" t="s">
        <v>5310</v>
      </c>
      <c r="EV42" s="1391" t="s">
        <v>6007</v>
      </c>
      <c r="EW42" s="1391" t="s">
        <v>6242</v>
      </c>
      <c r="EX42" s="1391" t="s">
        <v>6290</v>
      </c>
      <c r="EY42" s="1391" t="s">
        <v>6291</v>
      </c>
      <c r="EZ42" s="928"/>
      <c r="FA42" s="928"/>
      <c r="FB42" s="928"/>
      <c r="FC42" s="928"/>
      <c r="FD42" s="928"/>
      <c r="FE42" s="928"/>
      <c r="FF42" s="1349"/>
      <c r="FG42" s="928"/>
      <c r="FH42" s="1350"/>
      <c r="FI42" s="1319"/>
      <c r="FJ42" s="1608"/>
      <c r="FK42" s="1605"/>
      <c r="FL42" s="928"/>
      <c r="FM42" s="928"/>
      <c r="FN42" s="928"/>
      <c r="FO42" s="928"/>
      <c r="FP42" s="928"/>
      <c r="FQ42" s="928"/>
    </row>
    <row r="43" spans="1:173" ht="14.25" hidden="1" customHeight="1">
      <c r="A43" s="1206" t="s">
        <v>4239</v>
      </c>
      <c r="B43" s="1342"/>
      <c r="C43" s="1342"/>
      <c r="D43" s="1342"/>
      <c r="E43" s="1342"/>
      <c r="F43" s="1342"/>
      <c r="G43" s="1343"/>
      <c r="H43" s="1343"/>
      <c r="I43" s="1343"/>
      <c r="J43" s="1343"/>
      <c r="K43" s="1343"/>
      <c r="L43" s="1343"/>
      <c r="M43" s="1343"/>
      <c r="N43" s="1343"/>
      <c r="O43" s="1343"/>
      <c r="P43" s="1343"/>
      <c r="Q43" s="1343"/>
      <c r="R43" s="1343"/>
      <c r="S43" s="1343"/>
      <c r="T43" s="1343"/>
      <c r="U43" s="1343"/>
      <c r="V43" s="1343"/>
      <c r="W43" s="1343"/>
      <c r="X43" s="1343"/>
      <c r="Y43" s="1343"/>
      <c r="Z43" s="1343"/>
      <c r="AA43" s="1343"/>
      <c r="AB43" s="1343"/>
      <c r="AC43" s="1343"/>
      <c r="AD43" s="1343"/>
      <c r="AE43" s="1343"/>
      <c r="AF43" s="1343"/>
      <c r="AG43" s="1343"/>
      <c r="AH43" s="1343"/>
      <c r="AI43" s="1343"/>
      <c r="AJ43" s="1343"/>
      <c r="AK43" s="1343">
        <f>AK23</f>
        <v>2618.6</v>
      </c>
      <c r="AL43" s="1343">
        <f>AL23</f>
        <v>3185.1</v>
      </c>
      <c r="AM43" s="1343">
        <f>AM23</f>
        <v>3102.1</v>
      </c>
      <c r="AN43" s="1343">
        <f>AN23</f>
        <v>3919.5</v>
      </c>
      <c r="AO43" s="1343"/>
      <c r="AP43" s="1343">
        <f ca="1">AP23-AP40</f>
        <v>2820.1</v>
      </c>
      <c r="AQ43" s="1343">
        <f>AQ23-AQ40</f>
        <v>3477.1000000000004</v>
      </c>
      <c r="AR43" s="1343">
        <f>AR23-AR40</f>
        <v>3110.7</v>
      </c>
      <c r="AS43" s="1343">
        <f>AS23-AS40</f>
        <v>4036.7</v>
      </c>
      <c r="AT43" s="1343"/>
      <c r="AU43" s="1343"/>
      <c r="AV43" s="1343"/>
      <c r="AW43" s="1343"/>
      <c r="AX43" s="1343"/>
      <c r="AY43" s="1343"/>
      <c r="AZ43" s="1343"/>
      <c r="BA43" s="1343"/>
      <c r="BB43" s="1343"/>
      <c r="BC43" s="1343"/>
      <c r="BD43" s="1343"/>
      <c r="BE43" s="1345"/>
      <c r="BF43" s="1343"/>
      <c r="BG43" s="1343"/>
      <c r="BH43" s="1343"/>
      <c r="BI43" s="1346"/>
      <c r="BJ43" s="1345"/>
      <c r="BK43" s="1343"/>
      <c r="BL43" s="1343"/>
      <c r="BM43" s="1343"/>
      <c r="BN43" s="1346"/>
      <c r="BO43" s="1345"/>
      <c r="BP43" s="1343"/>
      <c r="BQ43" s="1343"/>
      <c r="BR43" s="1343"/>
      <c r="BS43" s="1346"/>
      <c r="BT43" s="1345"/>
      <c r="BU43" s="1343"/>
      <c r="BV43" s="1343"/>
      <c r="BW43" s="1343"/>
      <c r="BX43" s="1346"/>
      <c r="BY43" s="1343"/>
      <c r="BZ43" s="928"/>
      <c r="CA43" s="1395"/>
      <c r="CB43" s="1395"/>
      <c r="CC43" s="1395"/>
      <c r="CD43" s="1395"/>
      <c r="CE43" s="928"/>
      <c r="CF43" s="1395"/>
      <c r="CG43" s="1395"/>
      <c r="CH43" s="1395"/>
      <c r="CI43" s="1395"/>
      <c r="CJ43" s="928"/>
      <c r="CK43" s="1395"/>
      <c r="CL43" s="1395"/>
      <c r="CM43" s="1395"/>
      <c r="CN43" s="1395"/>
      <c r="CO43" s="928"/>
      <c r="CP43" s="1395"/>
      <c r="CQ43" s="1395"/>
      <c r="CR43" s="1395"/>
      <c r="CS43" s="1395"/>
      <c r="CT43" s="928"/>
      <c r="CU43" s="1395"/>
      <c r="CV43" s="1395"/>
      <c r="CW43" s="1395"/>
      <c r="CX43" s="1395"/>
      <c r="CY43" s="928"/>
      <c r="CZ43" s="1395"/>
      <c r="DA43" s="1395"/>
      <c r="DB43" s="1395"/>
      <c r="DC43" s="1395"/>
      <c r="DD43" s="928"/>
      <c r="DE43" s="1395"/>
      <c r="DF43" s="1395"/>
      <c r="DG43" s="1395"/>
      <c r="DH43" s="1395"/>
      <c r="DI43" s="928"/>
      <c r="DJ43" s="1395"/>
      <c r="DK43" s="1395"/>
      <c r="DL43" s="1395"/>
      <c r="DM43" s="1395"/>
      <c r="DN43" s="928"/>
      <c r="DO43" s="928"/>
      <c r="DP43" s="928"/>
      <c r="DQ43" s="928"/>
      <c r="DR43" s="928"/>
      <c r="DS43" s="928"/>
      <c r="DT43" s="928"/>
      <c r="DU43" s="928"/>
      <c r="DV43" s="928"/>
      <c r="DW43" s="928"/>
      <c r="DX43" s="928"/>
      <c r="DY43" s="1338"/>
      <c r="DZ43" s="928"/>
      <c r="EA43" s="928"/>
      <c r="EB43" s="928"/>
      <c r="EC43" s="1337"/>
      <c r="ED43" s="1338"/>
      <c r="EE43" s="928"/>
      <c r="EF43" s="928"/>
      <c r="EG43" s="928"/>
      <c r="EH43" s="1337"/>
      <c r="EI43" s="928"/>
      <c r="EJ43" s="928"/>
      <c r="EK43" s="928"/>
      <c r="EL43" s="928"/>
      <c r="EM43" s="1337"/>
      <c r="EN43" s="928"/>
      <c r="EO43" s="928"/>
      <c r="EP43" s="928"/>
      <c r="EQ43" s="928"/>
      <c r="ER43" s="1316">
        <f>DO8</f>
        <v>-0.28430973138868521</v>
      </c>
      <c r="ES43" s="1316">
        <f>DP8</f>
        <v>-0.33135025055488188</v>
      </c>
      <c r="ET43" s="1316">
        <f>DQ8</f>
        <v>-0.13004240740353878</v>
      </c>
      <c r="EU43" s="1316">
        <f>DR8</f>
        <v>1.1328278403770486E-3</v>
      </c>
      <c r="EV43" s="1316">
        <f>DT8</f>
        <v>0.28074835869606485</v>
      </c>
      <c r="EW43" s="1316">
        <f>DU8</f>
        <v>0.32092259256724387</v>
      </c>
      <c r="EX43" s="1316">
        <f>DV8</f>
        <v>0.15834213812313913</v>
      </c>
      <c r="EY43" s="1316">
        <f>DW8</f>
        <v>7.1679666872859427E-2</v>
      </c>
      <c r="EZ43" s="928"/>
      <c r="FA43" s="928"/>
      <c r="FB43" s="928"/>
      <c r="FC43" s="928"/>
      <c r="FD43" s="928"/>
      <c r="FE43" s="928"/>
      <c r="FF43" s="1349"/>
      <c r="FG43" s="928"/>
      <c r="FH43" s="1350"/>
      <c r="FI43" s="1319"/>
      <c r="FJ43" s="1608"/>
      <c r="FK43" s="1605"/>
      <c r="FL43" s="928"/>
      <c r="FM43" s="928"/>
      <c r="FN43" s="928"/>
      <c r="FO43" s="928"/>
      <c r="FP43" s="928"/>
      <c r="FQ43" s="928"/>
    </row>
    <row r="44" spans="1:173" ht="14.25" hidden="1" customHeight="1">
      <c r="A44" s="1206"/>
      <c r="B44" s="1342"/>
      <c r="C44" s="1342"/>
      <c r="D44" s="1342"/>
      <c r="E44" s="1342"/>
      <c r="F44" s="1342"/>
      <c r="G44" s="1343"/>
      <c r="H44" s="1343"/>
      <c r="I44" s="1343"/>
      <c r="J44" s="1343"/>
      <c r="K44" s="1343"/>
      <c r="L44" s="1343"/>
      <c r="M44" s="1343"/>
      <c r="N44" s="1343"/>
      <c r="O44" s="1343"/>
      <c r="P44" s="1343"/>
      <c r="Q44" s="1343"/>
      <c r="R44" s="1343"/>
      <c r="S44" s="1343"/>
      <c r="T44" s="1343"/>
      <c r="U44" s="1343"/>
      <c r="V44" s="1343"/>
      <c r="W44" s="1343"/>
      <c r="X44" s="1343"/>
      <c r="Y44" s="1343"/>
      <c r="Z44" s="1343"/>
      <c r="AA44" s="1343"/>
      <c r="AB44" s="1343"/>
      <c r="AC44" s="1343"/>
      <c r="AD44" s="1343"/>
      <c r="AE44" s="1343"/>
      <c r="AF44" s="1343"/>
      <c r="AG44" s="1343"/>
      <c r="AH44" s="1343"/>
      <c r="AI44" s="1343"/>
      <c r="AJ44" s="1343"/>
      <c r="AK44" s="1343"/>
      <c r="AL44" s="1343"/>
      <c r="AM44" s="1343"/>
      <c r="AN44" s="1356"/>
      <c r="AO44" s="1343"/>
      <c r="AP44" s="1356"/>
      <c r="AQ44" s="1343">
        <f>(AQ7-AQ11)-AQ43</f>
        <v>5770.8000000000011</v>
      </c>
      <c r="AR44" s="1343">
        <f>(AR7-AR11)-AR43</f>
        <v>5589.3</v>
      </c>
      <c r="AS44" s="1343"/>
      <c r="AT44" s="1343"/>
      <c r="AU44" s="1356"/>
      <c r="AV44" s="1356"/>
      <c r="AW44" s="1356"/>
      <c r="AX44" s="1356"/>
      <c r="AY44" s="1343"/>
      <c r="AZ44" s="1343"/>
      <c r="BA44" s="1356"/>
      <c r="BB44" s="1356"/>
      <c r="BC44" s="1343"/>
      <c r="BD44" s="1343"/>
      <c r="BE44" s="1345"/>
      <c r="BF44" s="1343"/>
      <c r="BG44" s="1343"/>
      <c r="BH44" s="1343"/>
      <c r="BI44" s="1346"/>
      <c r="BJ44" s="1345"/>
      <c r="BK44" s="1343"/>
      <c r="BL44" s="1343"/>
      <c r="BM44" s="1343"/>
      <c r="BN44" s="1346"/>
      <c r="BO44" s="1345"/>
      <c r="BP44" s="1343"/>
      <c r="BQ44" s="1343"/>
      <c r="BR44" s="1343"/>
      <c r="BS44" s="1346"/>
      <c r="BT44" s="1345"/>
      <c r="BU44" s="1343"/>
      <c r="BV44" s="1343"/>
      <c r="BW44" s="1343"/>
      <c r="BX44" s="1346"/>
      <c r="BY44" s="1343"/>
      <c r="BZ44" s="928"/>
      <c r="CA44" s="1395"/>
      <c r="CB44" s="1395"/>
      <c r="CC44" s="1395"/>
      <c r="CD44" s="1395"/>
      <c r="CE44" s="928"/>
      <c r="CF44" s="1395"/>
      <c r="CG44" s="1395"/>
      <c r="CH44" s="1395"/>
      <c r="CI44" s="1395"/>
      <c r="CJ44" s="928"/>
      <c r="CK44" s="1395"/>
      <c r="CL44" s="1395"/>
      <c r="CM44" s="1395"/>
      <c r="CN44" s="1395"/>
      <c r="CO44" s="928"/>
      <c r="CP44" s="1395"/>
      <c r="CQ44" s="1395"/>
      <c r="CR44" s="1395"/>
      <c r="CS44" s="1395"/>
      <c r="CT44" s="928"/>
      <c r="CU44" s="1395"/>
      <c r="CV44" s="1395"/>
      <c r="CW44" s="1395"/>
      <c r="CX44" s="1395"/>
      <c r="CY44" s="928"/>
      <c r="CZ44" s="1395"/>
      <c r="DA44" s="1395"/>
      <c r="DB44" s="1395"/>
      <c r="DC44" s="1395"/>
      <c r="DD44" s="928"/>
      <c r="DE44" s="1395"/>
      <c r="DF44" s="1395"/>
      <c r="DG44" s="1395"/>
      <c r="DH44" s="1395"/>
      <c r="DI44" s="928"/>
      <c r="DJ44" s="1395"/>
      <c r="DK44" s="1395"/>
      <c r="DL44" s="1395"/>
      <c r="DM44" s="1395"/>
      <c r="DN44" s="928"/>
      <c r="DO44" s="928"/>
      <c r="DP44" s="928"/>
      <c r="DQ44" s="928"/>
      <c r="DR44" s="928"/>
      <c r="DS44" s="928"/>
      <c r="DT44" s="928"/>
      <c r="DU44" s="928"/>
      <c r="DV44" s="928"/>
      <c r="DW44" s="928"/>
      <c r="DX44" s="928"/>
      <c r="DY44" s="1338"/>
      <c r="DZ44" s="928"/>
      <c r="EA44" s="928"/>
      <c r="EB44" s="928"/>
      <c r="EC44" s="1337"/>
      <c r="ED44" s="1338"/>
      <c r="EE44" s="928"/>
      <c r="EF44" s="928"/>
      <c r="EG44" s="928"/>
      <c r="EH44" s="1337"/>
      <c r="EI44" s="928"/>
      <c r="EJ44" s="928"/>
      <c r="EK44" s="928"/>
      <c r="EL44" s="928"/>
      <c r="EM44" s="1337"/>
      <c r="EN44" s="928"/>
      <c r="EO44" s="928"/>
      <c r="EP44" s="928"/>
      <c r="EQ44" s="928"/>
      <c r="ER44" s="1254">
        <f>DO23</f>
        <v>-0.28818418383098843</v>
      </c>
      <c r="ES44" s="1254">
        <f>DP23</f>
        <v>-0.28941706792336852</v>
      </c>
      <c r="ET44" s="1254">
        <f>DQ23</f>
        <v>5.8606175497220692E-2</v>
      </c>
      <c r="EU44" s="1254">
        <f>DR23</f>
        <v>0.18182618261826144</v>
      </c>
      <c r="EV44" s="1254">
        <f>DT23</f>
        <v>0.47251998265072181</v>
      </c>
      <c r="EW44" s="1254">
        <f>DU23</f>
        <v>0.23471741637831589</v>
      </c>
      <c r="EX44" s="1254">
        <f>DV23</f>
        <v>2.8803836464625032E-2</v>
      </c>
      <c r="EY44" s="1254">
        <f>DW23</f>
        <v>1.3460177979670362E-2</v>
      </c>
      <c r="EZ44" s="928"/>
      <c r="FA44" s="928"/>
      <c r="FB44" s="928"/>
      <c r="FC44" s="928"/>
      <c r="FD44" s="928"/>
      <c r="FE44" s="928"/>
      <c r="FF44" s="1349"/>
      <c r="FG44" s="928"/>
      <c r="FH44" s="1350"/>
      <c r="FI44" s="1319"/>
      <c r="FJ44" s="1608"/>
      <c r="FK44" s="1605"/>
      <c r="FL44" s="928"/>
      <c r="FM44" s="928"/>
      <c r="FN44" s="928"/>
      <c r="FO44" s="928"/>
      <c r="FP44" s="928"/>
      <c r="FQ44" s="928"/>
    </row>
    <row r="45" spans="1:173" hidden="1">
      <c r="A45" s="928" t="s">
        <v>3809</v>
      </c>
      <c r="B45" s="928"/>
      <c r="C45" s="928"/>
      <c r="D45" s="928"/>
      <c r="E45" s="928"/>
      <c r="F45" s="928"/>
      <c r="G45" s="1316"/>
      <c r="H45" s="1316"/>
      <c r="I45" s="1316"/>
      <c r="J45" s="1316"/>
      <c r="K45" s="1316"/>
      <c r="L45" s="1316"/>
      <c r="M45" s="1316"/>
      <c r="N45" s="1254"/>
      <c r="O45" s="1412"/>
      <c r="P45" s="1316"/>
      <c r="Q45" s="1316"/>
      <c r="R45" s="1316"/>
      <c r="S45" s="1316"/>
      <c r="T45" s="1412"/>
      <c r="U45" s="1254"/>
      <c r="V45" s="1343">
        <f>V7-V23</f>
        <v>4241.7000000000007</v>
      </c>
      <c r="W45" s="1343">
        <f>W7-W23</f>
        <v>4766.1723500000007</v>
      </c>
      <c r="X45" s="1343">
        <f>X7-X23</f>
        <v>4330.8276499999993</v>
      </c>
      <c r="Y45" s="1343">
        <f>Y7-Y23</f>
        <v>5995.1</v>
      </c>
      <c r="Z45" s="1254"/>
      <c r="AA45" s="1343">
        <f>AA7-AA23</f>
        <v>4412</v>
      </c>
      <c r="AB45" s="1343">
        <f>AB7-AB23</f>
        <v>4544.5</v>
      </c>
      <c r="AC45" s="1343">
        <f>AC7-AC23</f>
        <v>4604.3</v>
      </c>
      <c r="AD45" s="1343">
        <f>AD7-AD23</f>
        <v>6207.5999999999995</v>
      </c>
      <c r="AE45" s="1254"/>
      <c r="AF45" s="1343">
        <f>AF7-AF23</f>
        <v>4871.4000000000005</v>
      </c>
      <c r="AG45" s="1343">
        <f>AG7-AG23</f>
        <v>5110.3999999999996</v>
      </c>
      <c r="AH45" s="1343">
        <f>AH7-AH23</f>
        <v>5033.5</v>
      </c>
      <c r="AI45" s="1343">
        <f>AI7-AI23</f>
        <v>6923.4000000000005</v>
      </c>
      <c r="AJ45" s="1254"/>
      <c r="AK45" s="1343">
        <f>AK7-AK23</f>
        <v>4672.1000000000004</v>
      </c>
      <c r="AL45" s="1343">
        <f>AL7-AL23</f>
        <v>4890.8000000000011</v>
      </c>
      <c r="AM45" s="1343">
        <f>AM7-AM23</f>
        <v>4922.8999999999996</v>
      </c>
      <c r="AN45" s="1343">
        <f>AN7-AN23</f>
        <v>6686.2999999999993</v>
      </c>
      <c r="AO45" s="1343"/>
      <c r="AP45" s="1343">
        <f>AP7-AP23</f>
        <v>5079.2999999999993</v>
      </c>
      <c r="AQ45" s="1343">
        <f>AQ7-AQ23</f>
        <v>6677.1000000000013</v>
      </c>
      <c r="AR45" s="1343">
        <f>AR7-AR23</f>
        <v>6006.1</v>
      </c>
      <c r="AS45" s="1343">
        <f>AS7-AS23</f>
        <v>6606.1000000000013</v>
      </c>
      <c r="AT45" s="1254"/>
      <c r="AU45" s="1343">
        <f t="shared" ref="AU45:BI45" si="127">AU7-AU23</f>
        <v>4917.5999999999995</v>
      </c>
      <c r="AV45" s="1343">
        <f t="shared" si="127"/>
        <v>5121.7</v>
      </c>
      <c r="AW45" s="1343">
        <f t="shared" si="127"/>
        <v>5546.9999999999991</v>
      </c>
      <c r="AX45" s="1343">
        <f t="shared" si="127"/>
        <v>6621.6</v>
      </c>
      <c r="AY45" s="1343">
        <f t="shared" si="127"/>
        <v>22163.4</v>
      </c>
      <c r="AZ45" s="1343">
        <f t="shared" si="127"/>
        <v>5113.7000000000007</v>
      </c>
      <c r="BA45" s="1343">
        <f t="shared" si="127"/>
        <v>4659.7999999999993</v>
      </c>
      <c r="BB45" s="1343">
        <f t="shared" si="127"/>
        <v>4738.7</v>
      </c>
      <c r="BC45" s="1343">
        <f t="shared" si="127"/>
        <v>5740.0000000000027</v>
      </c>
      <c r="BD45" s="1343">
        <f t="shared" si="127"/>
        <v>20252.2</v>
      </c>
      <c r="BE45" s="1345">
        <f t="shared" si="127"/>
        <v>5039.5</v>
      </c>
      <c r="BF45" s="1343">
        <f t="shared" si="127"/>
        <v>5286.8</v>
      </c>
      <c r="BG45" s="1343">
        <f t="shared" si="127"/>
        <v>5720.2000000000007</v>
      </c>
      <c r="BH45" s="1343">
        <f t="shared" si="127"/>
        <v>6115.6000000000013</v>
      </c>
      <c r="BI45" s="1346">
        <f t="shared" si="127"/>
        <v>22162.9</v>
      </c>
      <c r="BJ45" s="1345"/>
      <c r="BK45" s="1343"/>
      <c r="BL45" s="1343"/>
      <c r="BM45" s="1343"/>
      <c r="BN45" s="1346"/>
      <c r="BO45" s="1345"/>
      <c r="BP45" s="1343"/>
      <c r="BQ45" s="1343"/>
      <c r="BR45" s="1343"/>
      <c r="BS45" s="1346"/>
      <c r="BT45" s="1345"/>
      <c r="BU45" s="1343"/>
      <c r="BV45" s="1343"/>
      <c r="BW45" s="1343"/>
      <c r="BX45" s="1346"/>
      <c r="BY45" s="1343"/>
      <c r="BZ45" s="928"/>
      <c r="CA45" s="928"/>
      <c r="CB45" s="928"/>
      <c r="CC45" s="928"/>
      <c r="CD45" s="928"/>
      <c r="CE45" s="928"/>
      <c r="CF45" s="928"/>
      <c r="CG45" s="928"/>
      <c r="CH45" s="928"/>
      <c r="CI45" s="928"/>
      <c r="CJ45" s="928"/>
      <c r="CK45" s="928"/>
      <c r="CL45" s="928"/>
      <c r="CM45" s="928"/>
      <c r="CN45" s="928"/>
      <c r="CO45" s="928"/>
      <c r="CP45" s="928"/>
      <c r="CQ45" s="928"/>
      <c r="CR45" s="928"/>
      <c r="CS45" s="928"/>
      <c r="CT45" s="928"/>
      <c r="CU45" s="1316">
        <f>AF45/AA45-1</f>
        <v>0.10412511332728935</v>
      </c>
      <c r="CV45" s="1316">
        <f>AG45/AB45-1</f>
        <v>0.12452415007151485</v>
      </c>
      <c r="CW45" s="1316">
        <f>AH45/AC45-1</f>
        <v>9.321720999934846E-2</v>
      </c>
      <c r="CX45" s="1316">
        <f>AI45/AD45-1</f>
        <v>0.11531026483665197</v>
      </c>
      <c r="CY45" s="928"/>
      <c r="CZ45" s="1316">
        <f>AK45/AF45-1</f>
        <v>-4.0912263415034733E-2</v>
      </c>
      <c r="DA45" s="1316">
        <f>AL45/AG45-1</f>
        <v>-4.2971195992485667E-2</v>
      </c>
      <c r="DB45" s="1316">
        <f>AM45/AH45-1</f>
        <v>-2.1972782358200105E-2</v>
      </c>
      <c r="DC45" s="1316">
        <f>AN45/AI45-1</f>
        <v>-3.4246179622728912E-2</v>
      </c>
      <c r="DD45" s="928"/>
      <c r="DE45" s="1254">
        <f>AP45/AK45-1</f>
        <v>8.7155668757089799E-2</v>
      </c>
      <c r="DF45" s="1254">
        <f>AQ45/AL45-1</f>
        <v>0.36523677108039587</v>
      </c>
      <c r="DG45" s="1254">
        <f>AR45/AM45-1</f>
        <v>0.22003290743261106</v>
      </c>
      <c r="DH45" s="1254">
        <f>AS45/AN45-1</f>
        <v>-1.1994675680121691E-2</v>
      </c>
      <c r="DI45" s="928"/>
      <c r="DJ45" s="1254">
        <f>AU45/AP45-1</f>
        <v>-3.1835095387159562E-2</v>
      </c>
      <c r="DK45" s="1254">
        <f>AV45/AQ45-1</f>
        <v>-0.23294544038579645</v>
      </c>
      <c r="DL45" s="1254">
        <f>AW45/AR45-1</f>
        <v>-7.6438953730374348E-2</v>
      </c>
      <c r="DM45" s="1254">
        <f>AX45/AS45-1</f>
        <v>2.3463162834349571E-3</v>
      </c>
      <c r="DN45" s="928"/>
      <c r="DO45" s="928"/>
      <c r="DP45" s="928"/>
      <c r="DQ45" s="928"/>
      <c r="DR45" s="928"/>
      <c r="DS45" s="928"/>
      <c r="DT45" s="928"/>
      <c r="DU45" s="928"/>
      <c r="DV45" s="928"/>
      <c r="DW45" s="928"/>
      <c r="DX45" s="928"/>
      <c r="DY45" s="1338"/>
      <c r="DZ45" s="928"/>
      <c r="EA45" s="928"/>
      <c r="EB45" s="928"/>
      <c r="EC45" s="1337"/>
      <c r="ED45" s="1338"/>
      <c r="EE45" s="928"/>
      <c r="EF45" s="928"/>
      <c r="EG45" s="928"/>
      <c r="EH45" s="1337"/>
      <c r="EI45" s="928"/>
      <c r="EJ45" s="928"/>
      <c r="EK45" s="928"/>
      <c r="EL45" s="928"/>
      <c r="EM45" s="1337"/>
      <c r="EN45" s="928"/>
      <c r="EO45" s="928"/>
      <c r="EP45" s="928"/>
      <c r="EQ45" s="928"/>
      <c r="ER45" s="928"/>
      <c r="ES45" s="928"/>
      <c r="ET45" s="928"/>
      <c r="EU45" s="928"/>
      <c r="EV45" s="928"/>
      <c r="EW45" s="928"/>
      <c r="EX45" s="928"/>
      <c r="EY45" s="928"/>
      <c r="EZ45" s="928"/>
      <c r="FA45" s="928"/>
      <c r="FB45" s="928"/>
      <c r="FC45" s="928"/>
      <c r="FD45" s="928"/>
      <c r="FE45" s="928"/>
      <c r="FF45" s="1349"/>
      <c r="FG45" s="928"/>
      <c r="FH45" s="1350"/>
      <c r="FI45" s="1319"/>
      <c r="FJ45" s="1608"/>
      <c r="FK45" s="1605"/>
      <c r="FL45" s="928"/>
      <c r="FM45" s="928"/>
      <c r="FN45" s="928"/>
      <c r="FO45" s="928"/>
      <c r="FP45" s="928"/>
      <c r="FQ45" s="928"/>
    </row>
    <row r="46" spans="1:173" hidden="1">
      <c r="A46" s="928"/>
      <c r="B46" s="928"/>
      <c r="C46" s="928"/>
      <c r="D46" s="928"/>
      <c r="E46" s="928"/>
      <c r="F46" s="928"/>
      <c r="G46" s="1316"/>
      <c r="H46" s="1316"/>
      <c r="I46" s="1316"/>
      <c r="J46" s="1316"/>
      <c r="K46" s="1316"/>
      <c r="L46" s="1316"/>
      <c r="M46" s="1316"/>
      <c r="N46" s="1254"/>
      <c r="O46" s="1412"/>
      <c r="P46" s="1316"/>
      <c r="Q46" s="1316"/>
      <c r="R46" s="1316"/>
      <c r="S46" s="1316"/>
      <c r="T46" s="1412"/>
      <c r="U46" s="1254"/>
      <c r="V46" s="1343"/>
      <c r="W46" s="1343"/>
      <c r="X46" s="1343"/>
      <c r="Y46" s="1343"/>
      <c r="Z46" s="1254"/>
      <c r="AA46" s="1343"/>
      <c r="AB46" s="1343"/>
      <c r="AC46" s="1343"/>
      <c r="AD46" s="1343"/>
      <c r="AE46" s="1254"/>
      <c r="AF46" s="1343"/>
      <c r="AG46" s="1343"/>
      <c r="AH46" s="1343"/>
      <c r="AI46" s="1343"/>
      <c r="AJ46" s="1254"/>
      <c r="AK46" s="1343"/>
      <c r="AL46" s="1343"/>
      <c r="AM46" s="1343"/>
      <c r="AN46" s="1343"/>
      <c r="AO46" s="1343"/>
      <c r="AP46" s="1343"/>
      <c r="AQ46" s="1343"/>
      <c r="AR46" s="1343"/>
      <c r="AS46" s="1343"/>
      <c r="AT46" s="1254"/>
      <c r="AU46" s="1343"/>
      <c r="AV46" s="1343"/>
      <c r="AW46" s="1343"/>
      <c r="AX46" s="1343"/>
      <c r="AY46" s="1254"/>
      <c r="AZ46" s="1343">
        <f>AZ45-AU45</f>
        <v>196.10000000000127</v>
      </c>
      <c r="BA46" s="1343">
        <f>BA45-AV45</f>
        <v>-461.90000000000055</v>
      </c>
      <c r="BB46" s="1343">
        <f>BB45-AW45</f>
        <v>-808.29999999999927</v>
      </c>
      <c r="BC46" s="1343">
        <f>BC45-AX45</f>
        <v>-881.59999999999764</v>
      </c>
      <c r="BD46" s="1254"/>
      <c r="BE46" s="1345">
        <f>BE45-AZ45</f>
        <v>-74.200000000000728</v>
      </c>
      <c r="BF46" s="1343">
        <f>BF45-BA45</f>
        <v>627.00000000000091</v>
      </c>
      <c r="BG46" s="1343">
        <f>BG45-BB45</f>
        <v>981.50000000000091</v>
      </c>
      <c r="BH46" s="1343">
        <f>BH45-BB45</f>
        <v>1376.9000000000015</v>
      </c>
      <c r="BI46" s="1389"/>
      <c r="BJ46" s="1355"/>
      <c r="BK46" s="1254"/>
      <c r="BL46" s="1254"/>
      <c r="BM46" s="1254"/>
      <c r="BN46" s="1389"/>
      <c r="BO46" s="1355"/>
      <c r="BP46" s="1254"/>
      <c r="BQ46" s="1254"/>
      <c r="BR46" s="1343"/>
      <c r="BS46" s="1389"/>
      <c r="BT46" s="1355"/>
      <c r="BU46" s="1254"/>
      <c r="BV46" s="1254"/>
      <c r="BW46" s="1343"/>
      <c r="BX46" s="1389"/>
      <c r="BY46" s="1254"/>
      <c r="BZ46" s="928"/>
      <c r="CA46" s="928"/>
      <c r="CB46" s="928"/>
      <c r="CC46" s="928"/>
      <c r="CD46" s="928"/>
      <c r="CE46" s="928"/>
      <c r="CF46" s="928"/>
      <c r="CG46" s="928"/>
      <c r="CH46" s="928"/>
      <c r="CI46" s="928"/>
      <c r="CJ46" s="928"/>
      <c r="CK46" s="928"/>
      <c r="CL46" s="928"/>
      <c r="CM46" s="928"/>
      <c r="CN46" s="928"/>
      <c r="CO46" s="928"/>
      <c r="CP46" s="928"/>
      <c r="CQ46" s="928"/>
      <c r="CR46" s="928"/>
      <c r="CS46" s="928"/>
      <c r="CT46" s="928"/>
      <c r="CU46" s="1316"/>
      <c r="CV46" s="1316"/>
      <c r="CW46" s="1316"/>
      <c r="CX46" s="1316"/>
      <c r="CY46" s="928"/>
      <c r="CZ46" s="1316"/>
      <c r="DA46" s="1316"/>
      <c r="DB46" s="1316"/>
      <c r="DC46" s="1316"/>
      <c r="DD46" s="928"/>
      <c r="DE46" s="1254"/>
      <c r="DF46" s="1254"/>
      <c r="DG46" s="1254"/>
      <c r="DH46" s="1254"/>
      <c r="DI46" s="928"/>
      <c r="DJ46" s="1254"/>
      <c r="DK46" s="1254"/>
      <c r="DL46" s="1254"/>
      <c r="DM46" s="1254"/>
      <c r="DN46" s="928"/>
      <c r="DO46" s="928"/>
      <c r="DP46" s="928"/>
      <c r="DQ46" s="928"/>
      <c r="DR46" s="928"/>
      <c r="DS46" s="928"/>
      <c r="DT46" s="928"/>
      <c r="DU46" s="928"/>
      <c r="DV46" s="928"/>
      <c r="DW46" s="928"/>
      <c r="DX46" s="928"/>
      <c r="DY46" s="1338"/>
      <c r="DZ46" s="928"/>
      <c r="EA46" s="928"/>
      <c r="EB46" s="928"/>
      <c r="EC46" s="1337"/>
      <c r="ED46" s="1338"/>
      <c r="EE46" s="928"/>
      <c r="EF46" s="928"/>
      <c r="EG46" s="928"/>
      <c r="EH46" s="1337"/>
      <c r="EI46" s="928"/>
      <c r="EJ46" s="928"/>
      <c r="EK46" s="928"/>
      <c r="EL46" s="928"/>
      <c r="EM46" s="1337"/>
      <c r="EN46" s="928"/>
      <c r="EO46" s="928"/>
      <c r="EP46" s="928"/>
      <c r="EQ46" s="928"/>
      <c r="ER46" s="928"/>
      <c r="ES46" s="928"/>
      <c r="ET46" s="928"/>
      <c r="EU46" s="928"/>
      <c r="EV46" s="928"/>
      <c r="EW46" s="928"/>
      <c r="EX46" s="928"/>
      <c r="EY46" s="928"/>
      <c r="EZ46" s="928"/>
      <c r="FA46" s="928"/>
      <c r="FB46" s="928"/>
      <c r="FC46" s="928"/>
      <c r="FD46" s="928"/>
      <c r="FE46" s="928"/>
      <c r="FF46" s="1363"/>
      <c r="FG46" s="928"/>
      <c r="FH46" s="1350"/>
      <c r="FI46" s="1319"/>
      <c r="FJ46" s="1612"/>
      <c r="FK46" s="1605"/>
      <c r="FL46" s="928"/>
      <c r="FM46" s="928"/>
      <c r="FN46" s="928"/>
      <c r="FO46" s="928"/>
      <c r="FP46" s="928"/>
      <c r="FQ46" s="928"/>
    </row>
    <row r="47" spans="1:173" hidden="1">
      <c r="A47" s="928" t="s">
        <v>3810</v>
      </c>
      <c r="B47" s="928"/>
      <c r="C47" s="928"/>
      <c r="D47" s="928"/>
      <c r="E47" s="928"/>
      <c r="F47" s="928"/>
      <c r="G47" s="1316"/>
      <c r="H47" s="1316"/>
      <c r="I47" s="1316"/>
      <c r="J47" s="1316"/>
      <c r="K47" s="1316"/>
      <c r="L47" s="1316"/>
      <c r="M47" s="1316"/>
      <c r="N47" s="1254"/>
      <c r="O47" s="1412"/>
      <c r="P47" s="1316"/>
      <c r="Q47" s="1316"/>
      <c r="R47" s="1316"/>
      <c r="S47" s="1316"/>
      <c r="T47" s="1412"/>
      <c r="U47" s="1254"/>
      <c r="V47" s="1343">
        <f>V45/V180</f>
        <v>320.61224489795921</v>
      </c>
      <c r="W47" s="1343">
        <f>W45/W180</f>
        <v>366.62864230769236</v>
      </c>
      <c r="X47" s="1343">
        <f>X45/X180</f>
        <v>330.11495790504711</v>
      </c>
      <c r="Y47" s="1343">
        <f>Y45/Y180</f>
        <v>431.30215827338134</v>
      </c>
      <c r="Z47" s="1254"/>
      <c r="AA47" s="1343">
        <f>AA45/AA180</f>
        <v>296.10738255033556</v>
      </c>
      <c r="AB47" s="1343">
        <f>AB45/AB180</f>
        <v>296.63838120104435</v>
      </c>
      <c r="AC47" s="1343">
        <f>AC45/AC180</f>
        <v>280.06690997566909</v>
      </c>
      <c r="AD47" s="1343">
        <f>AD45/AD180</f>
        <v>376.44633110976349</v>
      </c>
      <c r="AE47" s="1254"/>
      <c r="AF47" s="1343">
        <f>AF45/AF180</f>
        <v>270.15691046720758</v>
      </c>
      <c r="AG47" s="1343">
        <f>AG45/AG180</f>
        <v>287.10112359550561</v>
      </c>
      <c r="AH47" s="1343">
        <f>AH45/AH180</f>
        <v>268.31023454157781</v>
      </c>
      <c r="AI47" s="1343">
        <f>AI45/AI180</f>
        <v>348.78589420654913</v>
      </c>
      <c r="AJ47" s="1254"/>
      <c r="AK47" s="1343">
        <f>AK45/AK180</f>
        <v>230.15270935960592</v>
      </c>
      <c r="AL47" s="1343">
        <f>AL45/AL180</f>
        <v>263.65498652291109</v>
      </c>
      <c r="AM47" s="1343">
        <f>AM45/AM180</f>
        <v>276.27418781103535</v>
      </c>
      <c r="AN47" s="1343">
        <f>AN45/AN180</f>
        <v>352.0958399157451</v>
      </c>
      <c r="AO47" s="1254"/>
      <c r="AP47" s="1343">
        <f>AP45/AK180</f>
        <v>250.21182266009848</v>
      </c>
      <c r="AQ47" s="1343">
        <f>AQ45/AL180</f>
        <v>359.95148247978443</v>
      </c>
      <c r="AR47" s="1343">
        <f>AR45/AR180</f>
        <v>317.11193241816261</v>
      </c>
      <c r="AS47" s="1343">
        <f>AS45/AS180</f>
        <v>331.96482412060311</v>
      </c>
      <c r="AT47" s="1254"/>
      <c r="AU47" s="1343">
        <f>AU45/AU180</f>
        <v>256.11843446396017</v>
      </c>
      <c r="AV47" s="1343">
        <f>AV45/AV180</f>
        <v>268.0115122972266</v>
      </c>
      <c r="AW47" s="1343">
        <f>AW45/AW180</f>
        <v>285.92783505154637</v>
      </c>
      <c r="AX47" s="1343">
        <f>AX45/AX180</f>
        <v>343.97922077922078</v>
      </c>
      <c r="AY47" s="1254"/>
      <c r="AZ47" s="1343">
        <f>AZ45/AZ180</f>
        <v>255.68334789221373</v>
      </c>
      <c r="BA47" s="1343">
        <f>BA45/BA180</f>
        <v>199.84960160657204</v>
      </c>
      <c r="BB47" s="1343">
        <f>BB45/BB180</f>
        <v>214.58926690704001</v>
      </c>
      <c r="BC47" s="1343">
        <f>BC45/BC180</f>
        <v>279.52387972415954</v>
      </c>
      <c r="BD47" s="1254"/>
      <c r="BE47" s="1355"/>
      <c r="BF47" s="1254"/>
      <c r="BG47" s="1254"/>
      <c r="BH47" s="1254"/>
      <c r="BI47" s="1389"/>
      <c r="BJ47" s="1355"/>
      <c r="BK47" s="1254"/>
      <c r="BL47" s="1254"/>
      <c r="BM47" s="1254"/>
      <c r="BN47" s="1389"/>
      <c r="BO47" s="1355"/>
      <c r="BP47" s="1254"/>
      <c r="BQ47" s="1254"/>
      <c r="BR47" s="1254"/>
      <c r="BS47" s="1389"/>
      <c r="BT47" s="1355"/>
      <c r="BU47" s="1254"/>
      <c r="BV47" s="1254"/>
      <c r="BW47" s="1254"/>
      <c r="BX47" s="1389"/>
      <c r="BY47" s="1254"/>
      <c r="BZ47" s="928"/>
      <c r="CA47" s="928"/>
      <c r="CB47" s="928"/>
      <c r="CC47" s="928"/>
      <c r="CD47" s="928"/>
      <c r="CE47" s="928"/>
      <c r="CF47" s="928"/>
      <c r="CG47" s="928"/>
      <c r="CH47" s="928"/>
      <c r="CI47" s="928"/>
      <c r="CJ47" s="928"/>
      <c r="CK47" s="928"/>
      <c r="CL47" s="928"/>
      <c r="CM47" s="928"/>
      <c r="CN47" s="928"/>
      <c r="CO47" s="928"/>
      <c r="CP47" s="928"/>
      <c r="CQ47" s="928"/>
      <c r="CR47" s="928"/>
      <c r="CS47" s="928"/>
      <c r="CT47" s="928"/>
      <c r="CU47" s="1316"/>
      <c r="CV47" s="1316"/>
      <c r="CW47" s="1316"/>
      <c r="CX47" s="1316"/>
      <c r="CY47" s="928"/>
      <c r="CZ47" s="1316"/>
      <c r="DA47" s="1316"/>
      <c r="DB47" s="1316"/>
      <c r="DC47" s="1316"/>
      <c r="DD47" s="928"/>
      <c r="DE47" s="928"/>
      <c r="DF47" s="928"/>
      <c r="DG47" s="928"/>
      <c r="DH47" s="928"/>
      <c r="DI47" s="928"/>
      <c r="DJ47" s="928"/>
      <c r="DK47" s="928"/>
      <c r="DL47" s="928"/>
      <c r="DM47" s="928"/>
      <c r="DN47" s="928"/>
      <c r="DO47" s="928"/>
      <c r="DP47" s="928"/>
      <c r="DQ47" s="928"/>
      <c r="DR47" s="928"/>
      <c r="DS47" s="928"/>
      <c r="DT47" s="928"/>
      <c r="DU47" s="928"/>
      <c r="DV47" s="928"/>
      <c r="DW47" s="928"/>
      <c r="DX47" s="928"/>
      <c r="DY47" s="1338"/>
      <c r="DZ47" s="928"/>
      <c r="EA47" s="928"/>
      <c r="EB47" s="928"/>
      <c r="EC47" s="1337"/>
      <c r="ED47" s="1338"/>
      <c r="EE47" s="928"/>
      <c r="EF47" s="928"/>
      <c r="EG47" s="928"/>
      <c r="EH47" s="1337"/>
      <c r="EI47" s="928"/>
      <c r="EJ47" s="928"/>
      <c r="EK47" s="928"/>
      <c r="EL47" s="928"/>
      <c r="EM47" s="1337"/>
      <c r="EN47" s="928"/>
      <c r="EO47" s="928"/>
      <c r="EP47" s="928"/>
      <c r="EQ47" s="928"/>
      <c r="ER47" s="928"/>
      <c r="ES47" s="928"/>
      <c r="ET47" s="928"/>
      <c r="EU47" s="928"/>
      <c r="EV47" s="928"/>
      <c r="EW47" s="928"/>
      <c r="EX47" s="928"/>
      <c r="EY47" s="928"/>
      <c r="EZ47" s="928"/>
      <c r="FA47" s="928"/>
      <c r="FB47" s="928"/>
      <c r="FC47" s="928"/>
      <c r="FD47" s="928"/>
      <c r="FE47" s="928"/>
      <c r="FF47" s="1363"/>
      <c r="FG47" s="928"/>
      <c r="FH47" s="1351"/>
      <c r="FI47" s="1319"/>
      <c r="FJ47" s="1612"/>
      <c r="FK47" s="1605"/>
      <c r="FL47" s="928"/>
      <c r="FM47" s="928"/>
      <c r="FN47" s="928"/>
      <c r="FO47" s="928"/>
      <c r="FP47" s="928"/>
      <c r="FQ47" s="928"/>
    </row>
    <row r="48" spans="1:173" hidden="1">
      <c r="A48" s="928" t="s">
        <v>4236</v>
      </c>
      <c r="B48" s="928"/>
      <c r="C48" s="928"/>
      <c r="D48" s="928"/>
      <c r="E48" s="928"/>
      <c r="F48" s="928"/>
      <c r="G48" s="1316"/>
      <c r="H48" s="1316"/>
      <c r="I48" s="1316"/>
      <c r="J48" s="1316"/>
      <c r="K48" s="1316"/>
      <c r="L48" s="1316"/>
      <c r="M48" s="1316"/>
      <c r="N48" s="1254"/>
      <c r="O48" s="1412"/>
      <c r="P48" s="1316"/>
      <c r="Q48" s="1316"/>
      <c r="R48" s="1316"/>
      <c r="S48" s="1316"/>
      <c r="T48" s="1412"/>
      <c r="U48" s="1254"/>
      <c r="V48" s="1343"/>
      <c r="W48" s="1343"/>
      <c r="X48" s="1343"/>
      <c r="Y48" s="1343"/>
      <c r="Z48" s="1254"/>
      <c r="AA48" s="1343"/>
      <c r="AB48" s="1343"/>
      <c r="AC48" s="1343"/>
      <c r="AD48" s="1343"/>
      <c r="AE48" s="1254"/>
      <c r="AF48" s="1343"/>
      <c r="AG48" s="1343"/>
      <c r="AH48" s="1343"/>
      <c r="AI48" s="1343"/>
      <c r="AJ48" s="1254"/>
      <c r="AK48" s="1343"/>
      <c r="AL48" s="1343"/>
      <c r="AM48" s="1343"/>
      <c r="AN48" s="1343"/>
      <c r="AO48" s="1254"/>
      <c r="AP48" s="1343">
        <f ca="1">AP47-(AP11/AP180-AP41)</f>
        <v>250.21182266009848</v>
      </c>
      <c r="AQ48" s="1343">
        <f>AQ47-(AQ11/AQ180-AQ41)</f>
        <v>313.28309936958874</v>
      </c>
      <c r="AR48" s="1343">
        <f>AR47-(AR11/AR180-AR41)</f>
        <v>295.1055966209081</v>
      </c>
      <c r="AS48" s="1343">
        <f>AS47-(AS11/AS180-AS41)</f>
        <v>331.96482412060311</v>
      </c>
      <c r="AT48" s="1254"/>
      <c r="AU48" s="1343">
        <f>AU47</f>
        <v>256.11843446396017</v>
      </c>
      <c r="AV48" s="1343">
        <f>AV47</f>
        <v>268.0115122972266</v>
      </c>
      <c r="AW48" s="1343">
        <f>AW47</f>
        <v>285.92783505154637</v>
      </c>
      <c r="AX48" s="1343">
        <f>AX47</f>
        <v>343.97922077922078</v>
      </c>
      <c r="AY48" s="1254"/>
      <c r="AZ48" s="1343">
        <f>AZ47</f>
        <v>255.68334789221373</v>
      </c>
      <c r="BA48" s="1343">
        <f>BA47</f>
        <v>199.84960160657204</v>
      </c>
      <c r="BB48" s="1343">
        <f>BB47</f>
        <v>214.58926690704001</v>
      </c>
      <c r="BC48" s="1343">
        <f>BC47</f>
        <v>279.52387972415954</v>
      </c>
      <c r="BD48" s="1254"/>
      <c r="BE48" s="1355"/>
      <c r="BF48" s="1254"/>
      <c r="BG48" s="1254"/>
      <c r="BH48" s="1254"/>
      <c r="BI48" s="1389"/>
      <c r="BJ48" s="1355"/>
      <c r="BK48" s="1254"/>
      <c r="BL48" s="1254"/>
      <c r="BM48" s="1254"/>
      <c r="BN48" s="1389"/>
      <c r="BO48" s="1355"/>
      <c r="BP48" s="1254"/>
      <c r="BQ48" s="1254"/>
      <c r="BR48" s="1254"/>
      <c r="BS48" s="1389"/>
      <c r="BT48" s="1355"/>
      <c r="BU48" s="1254"/>
      <c r="BV48" s="1254"/>
      <c r="BW48" s="1254"/>
      <c r="BX48" s="1389"/>
      <c r="BY48" s="1254"/>
      <c r="BZ48" s="928"/>
      <c r="CA48" s="928"/>
      <c r="CB48" s="928"/>
      <c r="CC48" s="928"/>
      <c r="CD48" s="928"/>
      <c r="CE48" s="928"/>
      <c r="CF48" s="928"/>
      <c r="CG48" s="928"/>
      <c r="CH48" s="928"/>
      <c r="CI48" s="928"/>
      <c r="CJ48" s="928"/>
      <c r="CK48" s="928"/>
      <c r="CL48" s="928"/>
      <c r="CM48" s="928"/>
      <c r="CN48" s="928"/>
      <c r="CO48" s="928"/>
      <c r="CP48" s="928"/>
      <c r="CQ48" s="928"/>
      <c r="CR48" s="928"/>
      <c r="CS48" s="928"/>
      <c r="CT48" s="928"/>
      <c r="CU48" s="1316"/>
      <c r="CV48" s="1316"/>
      <c r="CW48" s="1316"/>
      <c r="CX48" s="1316"/>
      <c r="CY48" s="928"/>
      <c r="CZ48" s="1316"/>
      <c r="DA48" s="1316"/>
      <c r="DB48" s="1316"/>
      <c r="DC48" s="1316"/>
      <c r="DD48" s="928"/>
      <c r="DE48" s="928"/>
      <c r="DF48" s="928"/>
      <c r="DG48" s="928"/>
      <c r="DH48" s="928"/>
      <c r="DI48" s="928"/>
      <c r="DJ48" s="928"/>
      <c r="DK48" s="928"/>
      <c r="DL48" s="928"/>
      <c r="DM48" s="928"/>
      <c r="DN48" s="928"/>
      <c r="DO48" s="928"/>
      <c r="DP48" s="928"/>
      <c r="DQ48" s="928"/>
      <c r="DR48" s="928"/>
      <c r="DS48" s="928"/>
      <c r="DT48" s="928"/>
      <c r="DU48" s="928"/>
      <c r="DV48" s="928"/>
      <c r="DW48" s="928"/>
      <c r="DX48" s="928"/>
      <c r="DY48" s="1338"/>
      <c r="DZ48" s="928"/>
      <c r="EA48" s="928"/>
      <c r="EB48" s="928"/>
      <c r="EC48" s="1337"/>
      <c r="ED48" s="1338"/>
      <c r="EE48" s="928"/>
      <c r="EF48" s="928"/>
      <c r="EG48" s="928"/>
      <c r="EH48" s="1337"/>
      <c r="EI48" s="928"/>
      <c r="EJ48" s="928"/>
      <c r="EK48" s="928"/>
      <c r="EL48" s="928"/>
      <c r="EM48" s="1337"/>
      <c r="EN48" s="928"/>
      <c r="EO48" s="928"/>
      <c r="EP48" s="928"/>
      <c r="EQ48" s="928"/>
      <c r="ER48" s="928"/>
      <c r="ES48" s="928"/>
      <c r="ET48" s="928"/>
      <c r="EU48" s="928"/>
      <c r="EV48" s="928"/>
      <c r="EW48" s="928"/>
      <c r="EX48" s="928"/>
      <c r="EY48" s="928"/>
      <c r="EZ48" s="928"/>
      <c r="FA48" s="928"/>
      <c r="FB48" s="928"/>
      <c r="FC48" s="928"/>
      <c r="FD48" s="928"/>
      <c r="FE48" s="928"/>
      <c r="FF48" s="1363"/>
      <c r="FG48" s="928"/>
      <c r="FH48" s="1351"/>
      <c r="FI48" s="1319"/>
      <c r="FJ48" s="1612"/>
      <c r="FK48" s="1605"/>
      <c r="FL48" s="928"/>
      <c r="FM48" s="928"/>
      <c r="FN48" s="928"/>
      <c r="FO48" s="928"/>
      <c r="FP48" s="928"/>
      <c r="FQ48" s="928"/>
    </row>
    <row r="49" spans="1:173" hidden="1">
      <c r="A49" s="928"/>
      <c r="B49" s="928"/>
      <c r="C49" s="928"/>
      <c r="D49" s="928"/>
      <c r="E49" s="928"/>
      <c r="F49" s="928"/>
      <c r="G49" s="1316"/>
      <c r="H49" s="1316"/>
      <c r="I49" s="1316"/>
      <c r="J49" s="1316"/>
      <c r="K49" s="1316"/>
      <c r="L49" s="1316"/>
      <c r="M49" s="1316"/>
      <c r="N49" s="1254"/>
      <c r="O49" s="1412"/>
      <c r="P49" s="1316"/>
      <c r="Q49" s="1316"/>
      <c r="R49" s="1316"/>
      <c r="S49" s="1316"/>
      <c r="T49" s="1412"/>
      <c r="U49" s="1254"/>
      <c r="V49" s="1343"/>
      <c r="W49" s="1343"/>
      <c r="X49" s="1343"/>
      <c r="Y49" s="1343"/>
      <c r="Z49" s="1254"/>
      <c r="AA49" s="1343"/>
      <c r="AB49" s="1343"/>
      <c r="AC49" s="1343"/>
      <c r="AD49" s="1343"/>
      <c r="AE49" s="1254"/>
      <c r="AF49" s="1343"/>
      <c r="AG49" s="1343"/>
      <c r="AH49" s="1343"/>
      <c r="AI49" s="1343"/>
      <c r="AJ49" s="1254"/>
      <c r="AK49" s="1254"/>
      <c r="AL49" s="1254"/>
      <c r="AM49" s="1254"/>
      <c r="AN49" s="1254"/>
      <c r="AO49" s="1254"/>
      <c r="AP49" s="1343">
        <f ca="1">AP48-AK47</f>
        <v>20.059113300492555</v>
      </c>
      <c r="AQ49" s="1343">
        <f>AQ48-AL47</f>
        <v>49.628112846677652</v>
      </c>
      <c r="AR49" s="1343">
        <f>AR48-AM47</f>
        <v>18.831408809872755</v>
      </c>
      <c r="AS49" s="1343">
        <f>AS48-AN47</f>
        <v>-20.131015795141991</v>
      </c>
      <c r="AT49" s="1254"/>
      <c r="AU49" s="1343">
        <f ca="1">AU48-AP48</f>
        <v>5.9066118038616935</v>
      </c>
      <c r="AV49" s="1343">
        <f>AV48-AQ48</f>
        <v>-45.271587072362138</v>
      </c>
      <c r="AW49" s="1343">
        <f>AW48-AR48</f>
        <v>-9.1777615693617349</v>
      </c>
      <c r="AX49" s="1343">
        <f>AX48-AS48</f>
        <v>12.01439665861767</v>
      </c>
      <c r="AY49" s="1254"/>
      <c r="AZ49" s="1343">
        <f>AZ48-AU48</f>
        <v>-0.43508657174643872</v>
      </c>
      <c r="BA49" s="1343">
        <f>BA48-AV48</f>
        <v>-68.161910690654565</v>
      </c>
      <c r="BB49" s="1343">
        <f>BB48-AW48</f>
        <v>-71.338568144506354</v>
      </c>
      <c r="BC49" s="1343">
        <f>BC48-AX48</f>
        <v>-64.45534105506124</v>
      </c>
      <c r="BD49" s="1254"/>
      <c r="BE49" s="1355"/>
      <c r="BF49" s="1254"/>
      <c r="BG49" s="1254"/>
      <c r="BH49" s="1254"/>
      <c r="BI49" s="1389"/>
      <c r="BJ49" s="1355"/>
      <c r="BK49" s="1254"/>
      <c r="BL49" s="1254"/>
      <c r="BM49" s="1254"/>
      <c r="BN49" s="1389"/>
      <c r="BO49" s="1355"/>
      <c r="BP49" s="1254"/>
      <c r="BQ49" s="1254"/>
      <c r="BR49" s="1254"/>
      <c r="BS49" s="1389"/>
      <c r="BT49" s="1355"/>
      <c r="BU49" s="1254"/>
      <c r="BV49" s="1254"/>
      <c r="BW49" s="1254"/>
      <c r="BX49" s="1389"/>
      <c r="BY49" s="1254"/>
      <c r="BZ49" s="928"/>
      <c r="CA49" s="928"/>
      <c r="CB49" s="928"/>
      <c r="CC49" s="928"/>
      <c r="CD49" s="928"/>
      <c r="CE49" s="928"/>
      <c r="CF49" s="928"/>
      <c r="CG49" s="928"/>
      <c r="CH49" s="928"/>
      <c r="CI49" s="928"/>
      <c r="CJ49" s="928"/>
      <c r="CK49" s="928"/>
      <c r="CL49" s="928"/>
      <c r="CM49" s="928"/>
      <c r="CN49" s="928"/>
      <c r="CO49" s="928"/>
      <c r="CP49" s="928"/>
      <c r="CQ49" s="928"/>
      <c r="CR49" s="928"/>
      <c r="CS49" s="928"/>
      <c r="CT49" s="928"/>
      <c r="CU49" s="928"/>
      <c r="CV49" s="928"/>
      <c r="CW49" s="928"/>
      <c r="CX49" s="928"/>
      <c r="CY49" s="928"/>
      <c r="CZ49" s="928"/>
      <c r="DA49" s="928"/>
      <c r="DB49" s="928"/>
      <c r="DC49" s="928"/>
      <c r="DD49" s="928"/>
      <c r="DE49" s="928"/>
      <c r="DF49" s="928"/>
      <c r="DG49" s="928"/>
      <c r="DH49" s="928"/>
      <c r="DI49" s="928"/>
      <c r="DJ49" s="928"/>
      <c r="DK49" s="928"/>
      <c r="DL49" s="928"/>
      <c r="DM49" s="928"/>
      <c r="DN49" s="928"/>
      <c r="DO49" s="928"/>
      <c r="DP49" s="928"/>
      <c r="DQ49" s="928"/>
      <c r="DR49" s="928"/>
      <c r="DS49" s="928"/>
      <c r="DT49" s="928"/>
      <c r="DU49" s="928"/>
      <c r="DV49" s="928"/>
      <c r="DW49" s="928"/>
      <c r="DX49" s="928"/>
      <c r="DY49" s="1338"/>
      <c r="DZ49" s="928"/>
      <c r="EA49" s="928"/>
      <c r="EB49" s="928"/>
      <c r="EC49" s="1337"/>
      <c r="ED49" s="1338"/>
      <c r="EE49" s="928"/>
      <c r="EF49" s="928"/>
      <c r="EG49" s="928"/>
      <c r="EH49" s="1337"/>
      <c r="EI49" s="928"/>
      <c r="EJ49" s="928"/>
      <c r="EK49" s="928"/>
      <c r="EL49" s="928"/>
      <c r="EM49" s="1337"/>
      <c r="EN49" s="928"/>
      <c r="EO49" s="928"/>
      <c r="EP49" s="928"/>
      <c r="EQ49" s="928"/>
      <c r="ER49" s="928"/>
      <c r="ES49" s="928"/>
      <c r="ET49" s="928"/>
      <c r="EU49" s="928"/>
      <c r="EV49" s="928"/>
      <c r="EW49" s="928"/>
      <c r="EX49" s="928"/>
      <c r="EY49" s="928"/>
      <c r="EZ49" s="928"/>
      <c r="FA49" s="928"/>
      <c r="FB49" s="928"/>
      <c r="FC49" s="928"/>
      <c r="FD49" s="928"/>
      <c r="FE49" s="928"/>
      <c r="FF49" s="1363"/>
      <c r="FG49" s="928"/>
      <c r="FH49" s="1351"/>
      <c r="FI49" s="1319"/>
      <c r="FJ49" s="1612"/>
      <c r="FK49" s="1605"/>
      <c r="FL49" s="928"/>
      <c r="FM49" s="928"/>
      <c r="FN49" s="928"/>
      <c r="FO49" s="928"/>
      <c r="FP49" s="928"/>
      <c r="FQ49" s="928"/>
    </row>
    <row r="50" spans="1:173" hidden="1">
      <c r="A50" s="928" t="s">
        <v>158</v>
      </c>
      <c r="B50" s="928"/>
      <c r="C50" s="928"/>
      <c r="D50" s="928"/>
      <c r="E50" s="928"/>
      <c r="F50" s="928"/>
      <c r="G50" s="928"/>
      <c r="H50" s="928"/>
      <c r="I50" s="928"/>
      <c r="J50" s="928"/>
      <c r="K50" s="928"/>
      <c r="L50" s="928"/>
      <c r="M50" s="928"/>
      <c r="N50" s="928"/>
      <c r="O50" s="928"/>
      <c r="P50" s="928"/>
      <c r="Q50" s="928"/>
      <c r="R50" s="1316"/>
      <c r="S50" s="1316"/>
      <c r="T50" s="1316"/>
      <c r="U50" s="1316"/>
      <c r="V50" s="1343"/>
      <c r="W50" s="1343"/>
      <c r="X50" s="1378"/>
      <c r="Y50" s="1378"/>
      <c r="Z50" s="1254"/>
      <c r="AA50" s="1413"/>
      <c r="AB50" s="1413"/>
      <c r="AC50" s="1413"/>
      <c r="AD50" s="1413"/>
      <c r="AE50" s="928"/>
      <c r="AF50" s="1413"/>
      <c r="AG50" s="1413"/>
      <c r="AH50" s="1413"/>
      <c r="AI50" s="1413"/>
      <c r="AJ50" s="1254"/>
      <c r="AK50" s="1254"/>
      <c r="AL50" s="1254"/>
      <c r="AM50" s="1254"/>
      <c r="AN50" s="1254"/>
      <c r="AO50" s="1254"/>
      <c r="AP50" s="1316">
        <f ca="1">(AP23-AP40)/(AP7-AP11)</f>
        <v>0.35700179760488138</v>
      </c>
      <c r="AQ50" s="1316">
        <f>(AQ23-AQ40)/(AQ7-AQ11)</f>
        <v>0.3759880621546513</v>
      </c>
      <c r="AR50" s="1316">
        <f>(AR23-AR40)/(AR7-AR11)</f>
        <v>0.35755172413793102</v>
      </c>
      <c r="AS50" s="1316">
        <f>(AS23-AS40)/(AS7-AS11)</f>
        <v>0.37928928477468332</v>
      </c>
      <c r="AT50" s="1254"/>
      <c r="AU50" s="1254"/>
      <c r="AV50" s="1254"/>
      <c r="AW50" s="1254"/>
      <c r="AX50" s="1254"/>
      <c r="AY50" s="1254"/>
      <c r="AZ50" s="1254"/>
      <c r="BA50" s="1254"/>
      <c r="BB50" s="1254"/>
      <c r="BC50" s="1254"/>
      <c r="BD50" s="1254"/>
      <c r="BE50" s="1355"/>
      <c r="BF50" s="1254"/>
      <c r="BG50" s="1254"/>
      <c r="BH50" s="1254"/>
      <c r="BI50" s="1389"/>
      <c r="BJ50" s="1355"/>
      <c r="BK50" s="1254"/>
      <c r="BL50" s="1254"/>
      <c r="BM50" s="1254"/>
      <c r="BN50" s="1389"/>
      <c r="BO50" s="1355"/>
      <c r="BP50" s="1254"/>
      <c r="BQ50" s="1254"/>
      <c r="BR50" s="1254"/>
      <c r="BS50" s="1389"/>
      <c r="BT50" s="1355"/>
      <c r="BU50" s="1254"/>
      <c r="BV50" s="1254"/>
      <c r="BW50" s="1254"/>
      <c r="BX50" s="1389"/>
      <c r="BY50" s="1254"/>
      <c r="BZ50" s="928"/>
      <c r="CA50" s="928"/>
      <c r="CB50" s="928"/>
      <c r="CC50" s="928"/>
      <c r="CD50" s="928"/>
      <c r="CE50" s="928"/>
      <c r="CF50" s="928"/>
      <c r="CG50" s="928"/>
      <c r="CH50" s="928"/>
      <c r="CI50" s="928"/>
      <c r="CJ50" s="928"/>
      <c r="CK50" s="928"/>
      <c r="CL50" s="928"/>
      <c r="CM50" s="928"/>
      <c r="CN50" s="928"/>
      <c r="CO50" s="928"/>
      <c r="CP50" s="928"/>
      <c r="CQ50" s="928"/>
      <c r="CR50" s="928"/>
      <c r="CS50" s="928"/>
      <c r="CT50" s="928"/>
      <c r="CU50" s="928"/>
      <c r="CV50" s="928"/>
      <c r="CW50" s="928"/>
      <c r="CX50" s="928"/>
      <c r="CY50" s="928"/>
      <c r="CZ50" s="928"/>
      <c r="DA50" s="928"/>
      <c r="DB50" s="928"/>
      <c r="DC50" s="928"/>
      <c r="DD50" s="928"/>
      <c r="DE50" s="928"/>
      <c r="DF50" s="928"/>
      <c r="DG50" s="928"/>
      <c r="DH50" s="928"/>
      <c r="DI50" s="928"/>
      <c r="DJ50" s="928"/>
      <c r="DK50" s="928"/>
      <c r="DL50" s="928"/>
      <c r="DM50" s="928"/>
      <c r="DN50" s="928"/>
      <c r="DO50" s="928"/>
      <c r="DP50" s="928"/>
      <c r="DQ50" s="928"/>
      <c r="DR50" s="928"/>
      <c r="DS50" s="928"/>
      <c r="DT50" s="928"/>
      <c r="DU50" s="928"/>
      <c r="DV50" s="928"/>
      <c r="DW50" s="928"/>
      <c r="DX50" s="928"/>
      <c r="DY50" s="1338"/>
      <c r="DZ50" s="928"/>
      <c r="EA50" s="928"/>
      <c r="EB50" s="928"/>
      <c r="EC50" s="1337"/>
      <c r="ED50" s="1338"/>
      <c r="EE50" s="928"/>
      <c r="EF50" s="928"/>
      <c r="EG50" s="928"/>
      <c r="EH50" s="1337"/>
      <c r="EI50" s="928"/>
      <c r="EJ50" s="928"/>
      <c r="EK50" s="928"/>
      <c r="EL50" s="928"/>
      <c r="EM50" s="1337"/>
      <c r="EN50" s="928"/>
      <c r="EO50" s="928"/>
      <c r="EP50" s="928"/>
      <c r="EQ50" s="928"/>
      <c r="ER50" s="928"/>
      <c r="ES50" s="928"/>
      <c r="ET50" s="928"/>
      <c r="EU50" s="928"/>
      <c r="EV50" s="928"/>
      <c r="EW50" s="928"/>
      <c r="EX50" s="928"/>
      <c r="EY50" s="928"/>
      <c r="EZ50" s="928"/>
      <c r="FA50" s="928"/>
      <c r="FB50" s="928"/>
      <c r="FC50" s="928"/>
      <c r="FD50" s="928"/>
      <c r="FE50" s="928"/>
      <c r="FF50" s="1363"/>
      <c r="FG50" s="928"/>
      <c r="FH50" s="1351"/>
      <c r="FI50" s="1319"/>
      <c r="FJ50" s="1612"/>
      <c r="FK50" s="1605"/>
      <c r="FL50" s="928"/>
      <c r="FM50" s="928"/>
      <c r="FN50" s="928"/>
      <c r="FO50" s="928"/>
      <c r="FP50" s="928"/>
      <c r="FQ50" s="928"/>
    </row>
    <row r="51" spans="1:173" hidden="1">
      <c r="A51" s="1414" t="str">
        <f t="shared" ref="A51:A56" si="128">A23</f>
        <v>Content</v>
      </c>
      <c r="B51" s="1316"/>
      <c r="C51" s="1316"/>
      <c r="D51" s="1316"/>
      <c r="E51" s="1316"/>
      <c r="F51" s="1316"/>
      <c r="G51" s="1316">
        <f t="shared" ref="G51:AS51" si="129">G23/G7</f>
        <v>0.37981216536469764</v>
      </c>
      <c r="H51" s="1316">
        <f t="shared" si="129"/>
        <v>0.48560635305796063</v>
      </c>
      <c r="I51" s="1316">
        <f t="shared" si="129"/>
        <v>0.50048141247671085</v>
      </c>
      <c r="J51" s="1316">
        <f t="shared" si="129"/>
        <v>0.49210358778469176</v>
      </c>
      <c r="K51" s="1415">
        <f t="shared" si="129"/>
        <v>0.47190538884688582</v>
      </c>
      <c r="L51" s="1316">
        <f t="shared" si="129"/>
        <v>0.401477566034528</v>
      </c>
      <c r="M51" s="1316">
        <f t="shared" si="129"/>
        <v>0.48163254900961072</v>
      </c>
      <c r="N51" s="1316">
        <f t="shared" si="129"/>
        <v>0.50626362308079242</v>
      </c>
      <c r="O51" s="1316">
        <f t="shared" si="129"/>
        <v>0.47049037548807576</v>
      </c>
      <c r="P51" s="1415">
        <f t="shared" si="129"/>
        <v>0.46865344848558571</v>
      </c>
      <c r="Q51" s="1316">
        <f t="shared" si="129"/>
        <v>0.37470069313169502</v>
      </c>
      <c r="R51" s="1316">
        <f t="shared" si="129"/>
        <v>0.49344188698933472</v>
      </c>
      <c r="S51" s="1316">
        <f t="shared" si="129"/>
        <v>0.50205822151466917</v>
      </c>
      <c r="T51" s="1316">
        <f t="shared" si="129"/>
        <v>0.45085658439368365</v>
      </c>
      <c r="U51" s="1316">
        <f t="shared" si="129"/>
        <v>0.46025339660856573</v>
      </c>
      <c r="V51" s="1316">
        <f t="shared" si="129"/>
        <v>0.3613628835556626</v>
      </c>
      <c r="W51" s="1316">
        <f t="shared" si="129"/>
        <v>0.45365069218813564</v>
      </c>
      <c r="X51" s="1316">
        <f t="shared" si="129"/>
        <v>0.48275208435706907</v>
      </c>
      <c r="Y51" s="1316">
        <f t="shared" si="129"/>
        <v>0.4613470143219105</v>
      </c>
      <c r="Z51" s="1316">
        <f t="shared" si="129"/>
        <v>0.44551610211052511</v>
      </c>
      <c r="AA51" s="1316">
        <f t="shared" si="129"/>
        <v>0.37159948725252812</v>
      </c>
      <c r="AB51" s="1316">
        <f t="shared" si="129"/>
        <v>0.42641676132777989</v>
      </c>
      <c r="AC51" s="1316">
        <f t="shared" si="129"/>
        <v>0.46623000231857176</v>
      </c>
      <c r="AD51" s="1316">
        <f t="shared" si="129"/>
        <v>0.42322487131362319</v>
      </c>
      <c r="AE51" s="1316">
        <f t="shared" si="129"/>
        <v>0.42420906077605547</v>
      </c>
      <c r="AF51" s="1316">
        <f t="shared" si="129"/>
        <v>0.35275829081632648</v>
      </c>
      <c r="AG51" s="1316">
        <f t="shared" si="129"/>
        <v>0.41881041737745933</v>
      </c>
      <c r="AH51" s="1316">
        <f t="shared" si="129"/>
        <v>0.41984301702377791</v>
      </c>
      <c r="AI51" s="1316">
        <f t="shared" si="129"/>
        <v>0.40781100314766661</v>
      </c>
      <c r="AJ51" s="1316">
        <f t="shared" si="129"/>
        <v>0.4019985444316333</v>
      </c>
      <c r="AK51" s="1316">
        <f t="shared" si="129"/>
        <v>0.35916990138121169</v>
      </c>
      <c r="AL51" s="1316">
        <f t="shared" si="129"/>
        <v>0.39439567107071655</v>
      </c>
      <c r="AM51" s="1316">
        <f t="shared" si="129"/>
        <v>0.38655451713395639</v>
      </c>
      <c r="AN51" s="1316">
        <f t="shared" si="129"/>
        <v>0.3695619378076147</v>
      </c>
      <c r="AO51" s="1316">
        <f t="shared" si="129"/>
        <v>0.37723916816189662</v>
      </c>
      <c r="AP51" s="1316">
        <f t="shared" si="129"/>
        <v>0.35700179760488138</v>
      </c>
      <c r="AQ51" s="1316">
        <f t="shared" si="129"/>
        <v>0.39140857137648793</v>
      </c>
      <c r="AR51" s="1316">
        <f t="shared" si="129"/>
        <v>0.38145848137506305</v>
      </c>
      <c r="AS51" s="1316">
        <f t="shared" si="129"/>
        <v>0.37928928477468332</v>
      </c>
      <c r="AT51" s="1316"/>
      <c r="AU51" s="1316">
        <f t="shared" ref="AU51:BI51" si="130">AU23/AU7</f>
        <v>0.3155645868418489</v>
      </c>
      <c r="AV51" s="1316">
        <f t="shared" si="130"/>
        <v>0.36376397515527953</v>
      </c>
      <c r="AW51" s="1316">
        <f t="shared" si="130"/>
        <v>0.35941704294804433</v>
      </c>
      <c r="AX51" s="1316">
        <f t="shared" si="130"/>
        <v>0.4070173553274945</v>
      </c>
      <c r="AY51" s="1316">
        <f t="shared" si="130"/>
        <v>0.36303649332957805</v>
      </c>
      <c r="AZ51" s="1316">
        <f t="shared" si="130"/>
        <v>0.23989238361377013</v>
      </c>
      <c r="BA51" s="1316">
        <f t="shared" si="130"/>
        <v>0.30869655520280098</v>
      </c>
      <c r="BB51" s="1316">
        <f t="shared" si="130"/>
        <v>0.41012522717653793</v>
      </c>
      <c r="BC51" s="1316">
        <f t="shared" si="130"/>
        <v>0.48341343125078728</v>
      </c>
      <c r="BD51" s="1316">
        <f t="shared" si="130"/>
        <v>0.37901450341888204</v>
      </c>
      <c r="BE51" s="1347">
        <f t="shared" si="130"/>
        <v>0.32045577130528585</v>
      </c>
      <c r="BF51" s="1316">
        <f t="shared" si="130"/>
        <v>0.3270366598778004</v>
      </c>
      <c r="BG51" s="1316">
        <f t="shared" si="130"/>
        <v>0.37208281191683673</v>
      </c>
      <c r="BH51" s="1316">
        <f t="shared" si="130"/>
        <v>0.47093682143382376</v>
      </c>
      <c r="BI51" s="1415">
        <f t="shared" si="130"/>
        <v>0.3833687145086932</v>
      </c>
      <c r="BJ51" s="1347"/>
      <c r="BK51" s="1316"/>
      <c r="BL51" s="1316"/>
      <c r="BM51" s="1316"/>
      <c r="BN51" s="1415"/>
      <c r="BO51" s="1347"/>
      <c r="BP51" s="1316"/>
      <c r="BQ51" s="1316"/>
      <c r="BR51" s="1316"/>
      <c r="BS51" s="1415"/>
      <c r="BT51" s="1347"/>
      <c r="BU51" s="1316"/>
      <c r="BV51" s="1316"/>
      <c r="BW51" s="1316"/>
      <c r="BX51" s="1415"/>
      <c r="BY51" s="1316"/>
      <c r="BZ51" s="928"/>
      <c r="CA51" s="928"/>
      <c r="CB51" s="928"/>
      <c r="CC51" s="928"/>
      <c r="CD51" s="928"/>
      <c r="CE51" s="928"/>
      <c r="CF51" s="928"/>
      <c r="CG51" s="928"/>
      <c r="CH51" s="928"/>
      <c r="CI51" s="928"/>
      <c r="CJ51" s="928"/>
      <c r="CK51" s="928"/>
      <c r="CL51" s="928"/>
      <c r="CM51" s="928"/>
      <c r="CN51" s="928"/>
      <c r="CO51" s="928"/>
      <c r="CP51" s="928"/>
      <c r="CQ51" s="928"/>
      <c r="CR51" s="928"/>
      <c r="CS51" s="928"/>
      <c r="CT51" s="928"/>
      <c r="CU51" s="928"/>
      <c r="CV51" s="928">
        <v>100</v>
      </c>
      <c r="CW51" s="928">
        <f>(1+CX51)*CV51</f>
        <v>92.2</v>
      </c>
      <c r="CX51" s="1416">
        <v>-7.8E-2</v>
      </c>
      <c r="CY51" s="928"/>
      <c r="CZ51" s="928"/>
      <c r="DA51" s="928"/>
      <c r="DB51" s="928"/>
      <c r="DC51" s="928"/>
      <c r="DD51" s="928"/>
      <c r="DE51" s="928"/>
      <c r="DF51" s="928"/>
      <c r="DG51" s="928"/>
      <c r="DH51" s="928"/>
      <c r="DI51" s="928"/>
      <c r="DJ51" s="928"/>
      <c r="DK51" s="928"/>
      <c r="DL51" s="928"/>
      <c r="DM51" s="928"/>
      <c r="DN51" s="928"/>
      <c r="DO51" s="928"/>
      <c r="DP51" s="928"/>
      <c r="DQ51" s="928"/>
      <c r="DR51" s="928"/>
      <c r="DS51" s="928"/>
      <c r="DT51" s="928"/>
      <c r="DU51" s="928"/>
      <c r="DV51" s="928"/>
      <c r="DW51" s="928"/>
      <c r="DX51" s="928"/>
      <c r="DY51" s="1338"/>
      <c r="DZ51" s="928"/>
      <c r="EA51" s="928"/>
      <c r="EB51" s="928"/>
      <c r="EC51" s="1337"/>
      <c r="ED51" s="1338"/>
      <c r="EE51" s="928"/>
      <c r="EF51" s="928"/>
      <c r="EG51" s="928"/>
      <c r="EH51" s="1337"/>
      <c r="EI51" s="928"/>
      <c r="EJ51" s="928"/>
      <c r="EK51" s="928"/>
      <c r="EL51" s="928"/>
      <c r="EM51" s="1337"/>
      <c r="EN51" s="928"/>
      <c r="EO51" s="928"/>
      <c r="EP51" s="928"/>
      <c r="EQ51" s="928"/>
      <c r="ER51" s="928"/>
      <c r="ES51" s="928"/>
      <c r="ET51" s="928"/>
      <c r="EU51" s="928"/>
      <c r="EV51" s="928"/>
      <c r="EW51" s="928"/>
      <c r="EX51" s="928"/>
      <c r="EY51" s="928"/>
      <c r="EZ51" s="928"/>
      <c r="FA51" s="928"/>
      <c r="FB51" s="928"/>
      <c r="FC51" s="928"/>
      <c r="FD51" s="928"/>
      <c r="FE51" s="928"/>
      <c r="FF51" s="1360"/>
      <c r="FG51" s="928"/>
      <c r="FH51" s="1361"/>
      <c r="FI51" s="1319"/>
      <c r="FJ51" s="1615"/>
      <c r="FK51" s="1605"/>
      <c r="FL51" s="928"/>
      <c r="FM51" s="928"/>
      <c r="FN51" s="928"/>
      <c r="FO51" s="928"/>
      <c r="FP51" s="928"/>
      <c r="FQ51" s="928"/>
    </row>
    <row r="52" spans="1:173" hidden="1">
      <c r="A52" s="1414" t="str">
        <f t="shared" si="128"/>
        <v>Publishing</v>
      </c>
      <c r="B52" s="1316"/>
      <c r="C52" s="1316"/>
      <c r="D52" s="1316"/>
      <c r="E52" s="1316"/>
      <c r="F52" s="1316"/>
      <c r="G52" s="1316">
        <f t="shared" ref="G52:U52" si="131">G24/G12</f>
        <v>3.313104805642119E-2</v>
      </c>
      <c r="H52" s="1316">
        <f t="shared" si="131"/>
        <v>0.19112842422719276</v>
      </c>
      <c r="I52" s="1316">
        <f t="shared" si="131"/>
        <v>0.15082007645825626</v>
      </c>
      <c r="J52" s="1316">
        <f t="shared" si="131"/>
        <v>0.16413778962476933</v>
      </c>
      <c r="K52" s="1415">
        <f t="shared" si="131"/>
        <v>0.14245880067673411</v>
      </c>
      <c r="L52" s="1316">
        <f t="shared" si="131"/>
        <v>4.8016101207590568E-2</v>
      </c>
      <c r="M52" s="1316">
        <f t="shared" si="131"/>
        <v>0.16711532249380853</v>
      </c>
      <c r="N52" s="1316">
        <f t="shared" si="131"/>
        <v>0.14910056742726066</v>
      </c>
      <c r="O52" s="1316">
        <f t="shared" si="131"/>
        <v>0.13555933220033989</v>
      </c>
      <c r="P52" s="1415">
        <f t="shared" si="131"/>
        <v>0.12965912711054475</v>
      </c>
      <c r="Q52" s="1316">
        <f t="shared" si="131"/>
        <v>2.2505626406601649E-3</v>
      </c>
      <c r="R52" s="1316">
        <f t="shared" si="131"/>
        <v>0.14081316322880646</v>
      </c>
      <c r="S52" s="1316">
        <f t="shared" si="131"/>
        <v>8.2633053221288527E-2</v>
      </c>
      <c r="T52" s="1316">
        <f t="shared" si="131"/>
        <v>0.15565376738169662</v>
      </c>
      <c r="U52" s="1316">
        <f t="shared" si="131"/>
        <v>0.1021968119814809</v>
      </c>
      <c r="V52" s="1316"/>
      <c r="W52" s="1316"/>
      <c r="X52" s="1316"/>
      <c r="Y52" s="1316"/>
      <c r="Z52" s="1316"/>
      <c r="AA52" s="1316"/>
      <c r="AB52" s="1316"/>
      <c r="AC52" s="1316"/>
      <c r="AD52" s="1316"/>
      <c r="AE52" s="1316"/>
      <c r="AF52" s="1316"/>
      <c r="AG52" s="1316"/>
      <c r="AH52" s="1316"/>
      <c r="AI52" s="1316"/>
      <c r="AJ52" s="1316"/>
      <c r="AK52" s="1316"/>
      <c r="AL52" s="1316"/>
      <c r="AM52" s="1316"/>
      <c r="AN52" s="1316"/>
      <c r="AO52" s="1316"/>
      <c r="AP52" s="1316"/>
      <c r="AQ52" s="1316"/>
      <c r="AR52" s="1316"/>
      <c r="AS52" s="1316"/>
      <c r="AT52" s="1316"/>
      <c r="AU52" s="1316"/>
      <c r="AV52" s="1316"/>
      <c r="AW52" s="1316"/>
      <c r="AX52" s="1316"/>
      <c r="AY52" s="1316"/>
      <c r="AZ52" s="1316"/>
      <c r="BA52" s="1316"/>
      <c r="BB52" s="1316"/>
      <c r="BC52" s="1316"/>
      <c r="BD52" s="1316"/>
      <c r="BE52" s="1347"/>
      <c r="BF52" s="1316"/>
      <c r="BG52" s="1316"/>
      <c r="BH52" s="1316"/>
      <c r="BI52" s="1415"/>
      <c r="BJ52" s="1347"/>
      <c r="BK52" s="1316"/>
      <c r="BL52" s="1316"/>
      <c r="BM52" s="1316"/>
      <c r="BN52" s="1415"/>
      <c r="BO52" s="1347"/>
      <c r="BP52" s="1316"/>
      <c r="BQ52" s="1316"/>
      <c r="BR52" s="1316"/>
      <c r="BS52" s="1415"/>
      <c r="BT52" s="1347"/>
      <c r="BU52" s="1316"/>
      <c r="BV52" s="1316"/>
      <c r="BW52" s="1316"/>
      <c r="BX52" s="1415"/>
      <c r="BY52" s="1316"/>
      <c r="BZ52" s="928"/>
      <c r="CA52" s="928"/>
      <c r="CB52" s="928"/>
      <c r="CC52" s="928"/>
      <c r="CD52" s="928"/>
      <c r="CE52" s="928"/>
      <c r="CF52" s="928"/>
      <c r="CG52" s="928"/>
      <c r="CH52" s="928"/>
      <c r="CI52" s="928"/>
      <c r="CJ52" s="928"/>
      <c r="CK52" s="928"/>
      <c r="CL52" s="928"/>
      <c r="CM52" s="928"/>
      <c r="CN52" s="928"/>
      <c r="CO52" s="928"/>
      <c r="CP52" s="928"/>
      <c r="CQ52" s="928"/>
      <c r="CR52" s="928"/>
      <c r="CS52" s="928"/>
      <c r="CT52" s="928"/>
      <c r="CU52" s="928"/>
      <c r="CV52" s="928">
        <v>75</v>
      </c>
      <c r="CW52" s="928">
        <f>(1+CX52)*CV52</f>
        <v>81.674999999999997</v>
      </c>
      <c r="CX52" s="1416">
        <v>8.8999999999999996E-2</v>
      </c>
      <c r="CY52" s="928"/>
      <c r="CZ52" s="928"/>
      <c r="DA52" s="928"/>
      <c r="DB52" s="928"/>
      <c r="DC52" s="928"/>
      <c r="DD52" s="928"/>
      <c r="DE52" s="928"/>
      <c r="DF52" s="928"/>
      <c r="DG52" s="928"/>
      <c r="DH52" s="928"/>
      <c r="DI52" s="928"/>
      <c r="DJ52" s="928"/>
      <c r="DK52" s="928"/>
      <c r="DL52" s="928"/>
      <c r="DM52" s="928"/>
      <c r="DN52" s="928"/>
      <c r="DO52" s="928"/>
      <c r="DP52" s="928"/>
      <c r="DQ52" s="928"/>
      <c r="DR52" s="928"/>
      <c r="DS52" s="928"/>
      <c r="DT52" s="928"/>
      <c r="DU52" s="928"/>
      <c r="DV52" s="928"/>
      <c r="DW52" s="928"/>
      <c r="DX52" s="928"/>
      <c r="DY52" s="1338"/>
      <c r="DZ52" s="928"/>
      <c r="EA52" s="928"/>
      <c r="EB52" s="928"/>
      <c r="EC52" s="1337"/>
      <c r="ED52" s="1338"/>
      <c r="EE52" s="928"/>
      <c r="EF52" s="928"/>
      <c r="EG52" s="928"/>
      <c r="EH52" s="1337"/>
      <c r="EI52" s="928"/>
      <c r="EJ52" s="928"/>
      <c r="EK52" s="928"/>
      <c r="EL52" s="928"/>
      <c r="EM52" s="1337"/>
      <c r="EN52" s="928"/>
      <c r="EO52" s="928"/>
      <c r="EP52" s="928"/>
      <c r="EQ52" s="928"/>
      <c r="ER52" s="928"/>
      <c r="ES52" s="928"/>
      <c r="ET52" s="928"/>
      <c r="EU52" s="928"/>
      <c r="EV52" s="928"/>
      <c r="EW52" s="928"/>
      <c r="EX52" s="928"/>
      <c r="EY52" s="928"/>
      <c r="EZ52" s="928"/>
      <c r="FA52" s="928"/>
      <c r="FB52" s="928"/>
      <c r="FC52" s="928"/>
      <c r="FD52" s="928"/>
      <c r="FE52" s="928"/>
      <c r="FF52" s="1360"/>
      <c r="FG52" s="928"/>
      <c r="FH52" s="1361"/>
      <c r="FI52" s="1319"/>
      <c r="FJ52" s="1615"/>
      <c r="FK52" s="1605"/>
      <c r="FL52" s="928"/>
      <c r="FM52" s="928"/>
      <c r="FN52" s="928"/>
      <c r="FO52" s="928"/>
      <c r="FP52" s="928"/>
      <c r="FQ52" s="928"/>
    </row>
    <row r="53" spans="1:173">
      <c r="A53" s="1414" t="str">
        <f t="shared" si="128"/>
        <v>Sky</v>
      </c>
      <c r="B53" s="1316"/>
      <c r="C53" s="1316"/>
      <c r="D53" s="1316"/>
      <c r="E53" s="1316"/>
      <c r="F53" s="1316"/>
      <c r="G53" s="1316">
        <f t="shared" ref="G53:U53" si="132">G25/G13</f>
        <v>0.47066591832018218</v>
      </c>
      <c r="H53" s="1316">
        <f t="shared" si="132"/>
        <v>0.4792787599282603</v>
      </c>
      <c r="I53" s="1316">
        <f t="shared" si="132"/>
        <v>0.46540217773094489</v>
      </c>
      <c r="J53" s="1316">
        <f t="shared" si="132"/>
        <v>0.44121143858331774</v>
      </c>
      <c r="K53" s="1415">
        <f t="shared" si="132"/>
        <v>0.46395602282197573</v>
      </c>
      <c r="L53" s="1316">
        <f t="shared" si="132"/>
        <v>0.46410960522042105</v>
      </c>
      <c r="M53" s="1316">
        <f t="shared" si="132"/>
        <v>0.47051191651389085</v>
      </c>
      <c r="N53" s="1316">
        <f t="shared" si="132"/>
        <v>0.46031106454992343</v>
      </c>
      <c r="O53" s="1316">
        <f t="shared" si="132"/>
        <v>0.42104710667891354</v>
      </c>
      <c r="P53" s="1415">
        <f t="shared" si="132"/>
        <v>0.45335766726118876</v>
      </c>
      <c r="Q53" s="1316">
        <f t="shared" si="132"/>
        <v>0.46213546566321728</v>
      </c>
      <c r="R53" s="1316">
        <f t="shared" si="132"/>
        <v>0.47014421755105101</v>
      </c>
      <c r="S53" s="1316">
        <f t="shared" si="132"/>
        <v>0.46547508435620322</v>
      </c>
      <c r="T53" s="1316">
        <f t="shared" si="132"/>
        <v>0.42750191350937616</v>
      </c>
      <c r="U53" s="1316">
        <f t="shared" si="132"/>
        <v>0.45597982395656689</v>
      </c>
      <c r="V53" s="1316">
        <f t="shared" ref="V53:BA53" si="133">V25/V13</f>
        <v>0.4638264431320252</v>
      </c>
      <c r="W53" s="1316">
        <f t="shared" si="133"/>
        <v>0.48048741086058477</v>
      </c>
      <c r="X53" s="1316">
        <f t="shared" si="133"/>
        <v>0.47732755539671196</v>
      </c>
      <c r="Y53" s="1316">
        <f t="shared" si="133"/>
        <v>0.45545061700895434</v>
      </c>
      <c r="Z53" s="1316">
        <f t="shared" si="133"/>
        <v>0.46925736491699283</v>
      </c>
      <c r="AA53" s="1316">
        <f t="shared" si="133"/>
        <v>0.46500205552069585</v>
      </c>
      <c r="AB53" s="1316">
        <f t="shared" si="133"/>
        <v>0.48129960842417191</v>
      </c>
      <c r="AC53" s="1316">
        <f t="shared" si="133"/>
        <v>0.47640449438202248</v>
      </c>
      <c r="AD53" s="1316">
        <f t="shared" si="133"/>
        <v>0.44237176545697576</v>
      </c>
      <c r="AE53" s="1316">
        <f t="shared" si="133"/>
        <v>0.46600877762484738</v>
      </c>
      <c r="AF53" s="1316">
        <f t="shared" si="133"/>
        <v>0.45038881411694331</v>
      </c>
      <c r="AG53" s="1316">
        <f t="shared" si="133"/>
        <v>0.45356317307864602</v>
      </c>
      <c r="AH53" s="1316">
        <f t="shared" si="133"/>
        <v>0.46026008936031093</v>
      </c>
      <c r="AI53" s="1316">
        <f t="shared" si="133"/>
        <v>0.44028264700005448</v>
      </c>
      <c r="AJ53" s="1316">
        <f t="shared" si="133"/>
        <v>0.45113758591143599</v>
      </c>
      <c r="AK53" s="1316">
        <f t="shared" si="133"/>
        <v>0.44513229614121214</v>
      </c>
      <c r="AL53" s="1316">
        <f t="shared" si="133"/>
        <v>0.47074567078466478</v>
      </c>
      <c r="AM53" s="1316">
        <f t="shared" si="133"/>
        <v>0.48857709542349226</v>
      </c>
      <c r="AN53" s="1316">
        <f t="shared" si="133"/>
        <v>0.41734305415888517</v>
      </c>
      <c r="AO53" s="1316">
        <f t="shared" si="133"/>
        <v>0.45533180159481013</v>
      </c>
      <c r="AP53" s="1316">
        <f t="shared" si="133"/>
        <v>0.44607431222827082</v>
      </c>
      <c r="AQ53" s="1316">
        <f t="shared" si="133"/>
        <v>0.4490174595320563</v>
      </c>
      <c r="AR53" s="1316">
        <f t="shared" si="133"/>
        <v>0.4752649196456642</v>
      </c>
      <c r="AS53" s="1316">
        <f t="shared" si="133"/>
        <v>0.40546330031673961</v>
      </c>
      <c r="AT53" s="1316">
        <f t="shared" si="133"/>
        <v>0.44391418961912554</v>
      </c>
      <c r="AU53" s="1316">
        <f t="shared" si="133"/>
        <v>0.43678052105422599</v>
      </c>
      <c r="AV53" s="1316">
        <f t="shared" si="133"/>
        <v>0.43110637422636072</v>
      </c>
      <c r="AW53" s="1316">
        <f t="shared" si="133"/>
        <v>0.44956259483356126</v>
      </c>
      <c r="AX53" s="1316">
        <f t="shared" si="133"/>
        <v>0.39205443289769665</v>
      </c>
      <c r="AY53" s="1316">
        <f t="shared" si="133"/>
        <v>0.42727315313627207</v>
      </c>
      <c r="AZ53" s="1316">
        <f t="shared" si="133"/>
        <v>0.41329805931215657</v>
      </c>
      <c r="BA53" s="1316">
        <f t="shared" si="133"/>
        <v>0.42094764901082565</v>
      </c>
      <c r="BB53" s="1316">
        <f t="shared" ref="BB53:BR53" si="134">BB25/BB13</f>
        <v>0.43528823308740777</v>
      </c>
      <c r="BC53" s="1316">
        <f t="shared" si="134"/>
        <v>0.38165859564164639</v>
      </c>
      <c r="BD53" s="1316">
        <f t="shared" si="134"/>
        <v>0.41273656295319111</v>
      </c>
      <c r="BE53" s="1347">
        <f t="shared" si="134"/>
        <v>0.38303584127435641</v>
      </c>
      <c r="BF53" s="1316">
        <f t="shared" si="134"/>
        <v>0.40263190966050871</v>
      </c>
      <c r="BG53" s="1316">
        <f t="shared" si="134"/>
        <v>0.41427629409825256</v>
      </c>
      <c r="BH53" s="1316">
        <f t="shared" si="134"/>
        <v>0.34350278279321705</v>
      </c>
      <c r="BI53" s="1415">
        <f t="shared" si="134"/>
        <v>0.38608773028974064</v>
      </c>
      <c r="BJ53" s="1347">
        <f t="shared" si="134"/>
        <v>0.35282521750668161</v>
      </c>
      <c r="BK53" s="1316">
        <f t="shared" si="134"/>
        <v>0.33118032723098767</v>
      </c>
      <c r="BL53" s="1316">
        <f t="shared" si="134"/>
        <v>0.34111418601852961</v>
      </c>
      <c r="BM53" s="1316">
        <f t="shared" si="134"/>
        <v>0.23327796459101402</v>
      </c>
      <c r="BN53" s="1415">
        <f t="shared" si="134"/>
        <v>0.31546929544225377</v>
      </c>
      <c r="BO53" s="1347">
        <f t="shared" si="134"/>
        <v>0.34543541738234285</v>
      </c>
      <c r="BP53" s="1316">
        <f t="shared" si="134"/>
        <v>0.32551972131700191</v>
      </c>
      <c r="BQ53" s="1316">
        <f t="shared" si="134"/>
        <v>0.35684029232416326</v>
      </c>
      <c r="BR53" s="1316">
        <f t="shared" si="134"/>
        <v>0.27283814807729101</v>
      </c>
      <c r="BS53" s="1415">
        <f>BS25/BS13</f>
        <v>0.3259217978754862</v>
      </c>
      <c r="BT53" s="1347">
        <f t="shared" ref="BT53:BW53" si="135">BT25/BT13</f>
        <v>0.29767851895386421</v>
      </c>
      <c r="BU53" s="1316">
        <f t="shared" si="135"/>
        <v>0.33001518987341777</v>
      </c>
      <c r="BV53" s="1316">
        <f t="shared" si="135"/>
        <v>0.35841038961038962</v>
      </c>
      <c r="BW53" s="1316">
        <f t="shared" si="135"/>
        <v>0.27038979033120186</v>
      </c>
      <c r="BX53" s="1415">
        <f>BX25/BX13</f>
        <v>0.31415821151645751</v>
      </c>
      <c r="BY53" s="1316"/>
      <c r="BZ53" s="928"/>
      <c r="CA53" s="928"/>
      <c r="CB53" s="928"/>
      <c r="CC53" s="928"/>
      <c r="CD53" s="928"/>
      <c r="CE53" s="928"/>
      <c r="CF53" s="928"/>
      <c r="CG53" s="928"/>
      <c r="CH53" s="928"/>
      <c r="CI53" s="928"/>
      <c r="CJ53" s="928"/>
      <c r="CK53" s="928"/>
      <c r="CL53" s="928"/>
      <c r="CM53" s="928"/>
      <c r="CN53" s="928"/>
      <c r="CO53" s="928"/>
      <c r="CP53" s="928"/>
      <c r="CQ53" s="928"/>
      <c r="CR53" s="928"/>
      <c r="CS53" s="928"/>
      <c r="CT53" s="928"/>
      <c r="CU53" s="928"/>
      <c r="CV53" s="928">
        <v>25</v>
      </c>
      <c r="CW53" s="928">
        <f>CW51-CW52</f>
        <v>10.525000000000006</v>
      </c>
      <c r="CX53" s="1416">
        <f>CW53/CV53-1</f>
        <v>-0.57899999999999974</v>
      </c>
      <c r="CY53" s="928"/>
      <c r="CZ53" s="928"/>
      <c r="DA53" s="928"/>
      <c r="DB53" s="928"/>
      <c r="DC53" s="928"/>
      <c r="DD53" s="928"/>
      <c r="DE53" s="928"/>
      <c r="DF53" s="928"/>
      <c r="DG53" s="928"/>
      <c r="DH53" s="928"/>
      <c r="DI53" s="928"/>
      <c r="DJ53" s="928"/>
      <c r="DK53" s="928"/>
      <c r="DL53" s="928"/>
      <c r="DM53" s="928"/>
      <c r="DN53" s="928"/>
      <c r="DO53" s="928"/>
      <c r="DP53" s="928"/>
      <c r="DQ53" s="928"/>
      <c r="DR53" s="928"/>
      <c r="DS53" s="928"/>
      <c r="DT53" s="928"/>
      <c r="DU53" s="928"/>
      <c r="DV53" s="928"/>
      <c r="DW53" s="928"/>
      <c r="DX53" s="928"/>
      <c r="DY53" s="1338"/>
      <c r="DZ53" s="928"/>
      <c r="EA53" s="928"/>
      <c r="EB53" s="928"/>
      <c r="EC53" s="1337"/>
      <c r="ED53" s="1338"/>
      <c r="EE53" s="928"/>
      <c r="EF53" s="928"/>
      <c r="EG53" s="928"/>
      <c r="EH53" s="1337"/>
      <c r="EI53" s="928"/>
      <c r="EJ53" s="928"/>
      <c r="EK53" s="928"/>
      <c r="EL53" s="928"/>
      <c r="EM53" s="1337"/>
      <c r="EN53" s="928"/>
      <c r="EO53" s="928"/>
      <c r="EP53" s="928"/>
      <c r="EQ53" s="928"/>
      <c r="ER53" s="928"/>
      <c r="ES53" s="928"/>
      <c r="ET53" s="928"/>
      <c r="EU53" s="928"/>
      <c r="EV53" s="928"/>
      <c r="EW53" s="928"/>
      <c r="EX53" s="928"/>
      <c r="EY53" s="928"/>
      <c r="EZ53" s="928"/>
      <c r="FA53" s="928"/>
      <c r="FB53" s="928"/>
      <c r="FC53" s="928"/>
      <c r="FD53" s="928"/>
      <c r="FE53" s="928"/>
      <c r="FF53" s="1360">
        <v>0.34411085450346418</v>
      </c>
      <c r="FG53" s="928"/>
      <c r="FH53" s="1361">
        <v>0.23638774159989528</v>
      </c>
      <c r="FI53" s="1319"/>
      <c r="FJ53" s="1615">
        <v>0.35395800000000005</v>
      </c>
      <c r="FK53" s="1605"/>
      <c r="FL53" s="928"/>
      <c r="FM53" s="928"/>
      <c r="FN53" s="928"/>
      <c r="FO53" s="928"/>
      <c r="FP53" s="928"/>
      <c r="FQ53" s="928"/>
    </row>
    <row r="54" spans="1:173">
      <c r="A54" s="1414" t="str">
        <f t="shared" si="128"/>
        <v>Cable and Telecom</v>
      </c>
      <c r="B54" s="1316"/>
      <c r="C54" s="1316"/>
      <c r="D54" s="1316"/>
      <c r="E54" s="1316"/>
      <c r="F54" s="1316"/>
      <c r="G54" s="1316">
        <f t="shared" ref="G54:U54" si="136">G26/G14</f>
        <v>0.33046412979533701</v>
      </c>
      <c r="H54" s="1316">
        <f t="shared" si="136"/>
        <v>0.33264320220841959</v>
      </c>
      <c r="I54" s="1316">
        <f t="shared" si="136"/>
        <v>0.35395310474843872</v>
      </c>
      <c r="J54" s="1316">
        <f t="shared" si="136"/>
        <v>0.3809200152248382</v>
      </c>
      <c r="K54" s="1415">
        <f t="shared" si="136"/>
        <v>0.35045543218387426</v>
      </c>
      <c r="L54" s="1316">
        <f t="shared" si="136"/>
        <v>0.35281482856460983</v>
      </c>
      <c r="M54" s="1316">
        <f t="shared" si="136"/>
        <v>0.38042720252085649</v>
      </c>
      <c r="N54" s="1316">
        <f t="shared" si="136"/>
        <v>0.36762967151596154</v>
      </c>
      <c r="O54" s="1316">
        <f t="shared" si="136"/>
        <v>0.39115679960366606</v>
      </c>
      <c r="P54" s="1415">
        <f t="shared" si="136"/>
        <v>0.37332374248574213</v>
      </c>
      <c r="Q54" s="1316">
        <f t="shared" si="136"/>
        <v>0.35646925688419462</v>
      </c>
      <c r="R54" s="1316">
        <f t="shared" si="136"/>
        <v>0.37689809951294051</v>
      </c>
      <c r="S54" s="1316">
        <f t="shared" si="136"/>
        <v>0.33811864213052917</v>
      </c>
      <c r="T54" s="1316">
        <f t="shared" si="136"/>
        <v>0.36017741444536255</v>
      </c>
      <c r="U54" s="1316">
        <f t="shared" si="136"/>
        <v>0.35777300627815251</v>
      </c>
      <c r="V54" s="1316">
        <f t="shared" ref="V54:BA54" si="137">V26/V14</f>
        <v>0.35369299656566533</v>
      </c>
      <c r="W54" s="1316">
        <f t="shared" si="137"/>
        <v>0.37017299165226808</v>
      </c>
      <c r="X54" s="1316">
        <f t="shared" si="137"/>
        <v>0.37352736046445867</v>
      </c>
      <c r="Y54" s="1316">
        <f t="shared" si="137"/>
        <v>0.40076752625325157</v>
      </c>
      <c r="Z54" s="1316">
        <f t="shared" si="137"/>
        <v>0.37650211107502435</v>
      </c>
      <c r="AA54" s="1316">
        <f t="shared" si="137"/>
        <v>0.3958299203216919</v>
      </c>
      <c r="AB54" s="1316">
        <f t="shared" si="137"/>
        <v>0.40004631170673111</v>
      </c>
      <c r="AC54" s="1316">
        <f t="shared" si="137"/>
        <v>0.4075952837948999</v>
      </c>
      <c r="AD54" s="1316">
        <f t="shared" si="137"/>
        <v>0.39769619952180291</v>
      </c>
      <c r="AE54" s="1316">
        <f t="shared" si="137"/>
        <v>0.40036084989276299</v>
      </c>
      <c r="AF54" s="1316">
        <f t="shared" si="137"/>
        <v>0.41364107543530459</v>
      </c>
      <c r="AG54" s="1316">
        <f t="shared" si="137"/>
        <v>0.42221965880980755</v>
      </c>
      <c r="AH54" s="1316">
        <f t="shared" si="137"/>
        <v>0.42220914263292131</v>
      </c>
      <c r="AI54" s="1316">
        <f t="shared" si="137"/>
        <v>0.40251647981523353</v>
      </c>
      <c r="AJ54" s="1316">
        <f t="shared" si="137"/>
        <v>0.4150340528540431</v>
      </c>
      <c r="AK54" s="1316">
        <f t="shared" si="137"/>
        <v>0.41961142744216495</v>
      </c>
      <c r="AL54" s="1316">
        <f t="shared" si="137"/>
        <v>0.42832257020916548</v>
      </c>
      <c r="AM54" s="1316">
        <f t="shared" si="137"/>
        <v>0.42337038149594475</v>
      </c>
      <c r="AN54" s="1316">
        <f t="shared" si="137"/>
        <v>0.42729462695946652</v>
      </c>
      <c r="AO54" s="1316">
        <f t="shared" si="137"/>
        <v>0.42468530622125394</v>
      </c>
      <c r="AP54" s="1316">
        <f t="shared" si="137"/>
        <v>0.42272512312998139</v>
      </c>
      <c r="AQ54" s="1316">
        <f t="shared" si="137"/>
        <v>0.42199485593210734</v>
      </c>
      <c r="AR54" s="1316">
        <f t="shared" si="137"/>
        <v>0.4238115380860964</v>
      </c>
      <c r="AS54" s="1316">
        <f t="shared" si="137"/>
        <v>0.42086848713449682</v>
      </c>
      <c r="AT54" s="1316">
        <f t="shared" si="137"/>
        <v>0.42234979162641789</v>
      </c>
      <c r="AU54" s="1316">
        <f t="shared" si="137"/>
        <v>0.43413382366312731</v>
      </c>
      <c r="AV54" s="1316">
        <f t="shared" si="137"/>
        <v>0.43792397975664904</v>
      </c>
      <c r="AW54" s="1316">
        <f t="shared" si="137"/>
        <v>0.42391767009392645</v>
      </c>
      <c r="AX54" s="1316">
        <f t="shared" si="137"/>
        <v>0.41257795408538411</v>
      </c>
      <c r="AY54" s="1316">
        <f t="shared" si="137"/>
        <v>0.42679008201045515</v>
      </c>
      <c r="AZ54" s="1316">
        <f t="shared" si="137"/>
        <v>0.41481981024878284</v>
      </c>
      <c r="BA54" s="1316">
        <f t="shared" si="137"/>
        <v>0.41175898415393325</v>
      </c>
      <c r="BB54" s="1316">
        <f t="shared" ref="BB54:BR54" si="138">BB26/BB14</f>
        <v>0.42047177832905269</v>
      </c>
      <c r="BC54" s="1316">
        <f t="shared" si="138"/>
        <v>0.4189857682843301</v>
      </c>
      <c r="BD54" s="1316">
        <f t="shared" si="138"/>
        <v>0.41656398579587411</v>
      </c>
      <c r="BE54" s="1347">
        <f t="shared" si="138"/>
        <v>0.41404530467177669</v>
      </c>
      <c r="BF54" s="1316">
        <f t="shared" si="138"/>
        <v>0.41898410896708288</v>
      </c>
      <c r="BG54" s="1316">
        <f t="shared" si="138"/>
        <v>0.41971226360366631</v>
      </c>
      <c r="BH54" s="1316">
        <f t="shared" si="138"/>
        <v>0.43637871862851935</v>
      </c>
      <c r="BI54" s="1415">
        <f t="shared" si="138"/>
        <v>0.4224202378547674</v>
      </c>
      <c r="BJ54" s="1347">
        <f t="shared" si="138"/>
        <v>0.42181371510864502</v>
      </c>
      <c r="BK54" s="1316">
        <f t="shared" si="138"/>
        <v>0.42142978723404256</v>
      </c>
      <c r="BL54" s="1316">
        <f t="shared" si="138"/>
        <v>0.39635307406809744</v>
      </c>
      <c r="BM54" s="1316">
        <f t="shared" si="138"/>
        <v>0.40593582758980368</v>
      </c>
      <c r="BN54" s="1415">
        <f t="shared" si="138"/>
        <v>0.41111464560293148</v>
      </c>
      <c r="BO54" s="1347">
        <f t="shared" si="138"/>
        <v>0.40890230724178606</v>
      </c>
      <c r="BP54" s="1316">
        <f t="shared" si="138"/>
        <v>0.39388195094170764</v>
      </c>
      <c r="BQ54" s="1316">
        <f t="shared" si="138"/>
        <v>0.35568287522946357</v>
      </c>
      <c r="BR54" s="1316">
        <f t="shared" si="138"/>
        <v>0.38412143394006737</v>
      </c>
      <c r="BS54" s="1415">
        <f>BS26/BS14</f>
        <v>0.38565647251677682</v>
      </c>
      <c r="BT54" s="1347">
        <f t="shared" ref="BT54:BW54" si="139">BT26/BT14</f>
        <v>0.39196553780009574</v>
      </c>
      <c r="BU54" s="1316">
        <f t="shared" si="139"/>
        <v>0.38114754098360654</v>
      </c>
      <c r="BV54" s="1316">
        <f t="shared" si="139"/>
        <v>0.34552845528455284</v>
      </c>
      <c r="BW54" s="1316">
        <f t="shared" si="139"/>
        <v>0.37205144911165267</v>
      </c>
      <c r="BX54" s="1415">
        <f>BX26/BX14</f>
        <v>0.37250000000000005</v>
      </c>
      <c r="BY54" s="1316"/>
      <c r="BZ54" s="928"/>
      <c r="CA54" s="928"/>
      <c r="CB54" s="928"/>
      <c r="CC54" s="928"/>
      <c r="CD54" s="928"/>
      <c r="CE54" s="928"/>
      <c r="CF54" s="928"/>
      <c r="CG54" s="928"/>
      <c r="CH54" s="928"/>
      <c r="CI54" s="928"/>
      <c r="CJ54" s="928"/>
      <c r="CK54" s="928"/>
      <c r="CL54" s="928"/>
      <c r="CM54" s="928"/>
      <c r="CN54" s="928"/>
      <c r="CO54" s="928"/>
      <c r="CP54" s="928"/>
      <c r="CQ54" s="928"/>
      <c r="CR54" s="928"/>
      <c r="CS54" s="928"/>
      <c r="CT54" s="928"/>
      <c r="CU54" s="928"/>
      <c r="CV54" s="928"/>
      <c r="CW54" s="928"/>
      <c r="CX54" s="928"/>
      <c r="CY54" s="928"/>
      <c r="CZ54" s="928"/>
      <c r="DA54" s="928"/>
      <c r="DB54" s="928"/>
      <c r="DC54" s="928"/>
      <c r="DD54" s="928"/>
      <c r="DE54" s="928"/>
      <c r="DF54" s="928"/>
      <c r="DG54" s="928"/>
      <c r="DH54" s="928"/>
      <c r="DI54" s="928"/>
      <c r="DJ54" s="928"/>
      <c r="DK54" s="928"/>
      <c r="DL54" s="928"/>
      <c r="DM54" s="928"/>
      <c r="DN54" s="928"/>
      <c r="DO54" s="928"/>
      <c r="DP54" s="928"/>
      <c r="DQ54" s="928"/>
      <c r="DR54" s="928"/>
      <c r="DS54" s="928"/>
      <c r="DT54" s="928"/>
      <c r="DU54" s="928"/>
      <c r="DV54" s="928"/>
      <c r="DW54" s="928"/>
      <c r="DX54" s="928"/>
      <c r="DY54" s="1338"/>
      <c r="DZ54" s="928"/>
      <c r="EA54" s="928"/>
      <c r="EB54" s="928"/>
      <c r="EC54" s="1337"/>
      <c r="ED54" s="1338"/>
      <c r="EE54" s="928"/>
      <c r="EF54" s="928"/>
      <c r="EG54" s="928"/>
      <c r="EH54" s="1337"/>
      <c r="EI54" s="928"/>
      <c r="EJ54" s="928"/>
      <c r="EK54" s="928"/>
      <c r="EL54" s="928"/>
      <c r="EM54" s="1337"/>
      <c r="EN54" s="928"/>
      <c r="EO54" s="928"/>
      <c r="EP54" s="928"/>
      <c r="EQ54" s="928"/>
      <c r="ER54" s="928"/>
      <c r="ES54" s="928"/>
      <c r="ET54" s="928"/>
      <c r="EU54" s="928"/>
      <c r="EV54" s="928"/>
      <c r="EW54" s="928"/>
      <c r="EX54" s="928"/>
      <c r="EY54" s="928"/>
      <c r="EZ54" s="928"/>
      <c r="FA54" s="928"/>
      <c r="FB54" s="928"/>
      <c r="FC54" s="928"/>
      <c r="FD54" s="928"/>
      <c r="FE54" s="928"/>
      <c r="FF54" s="1360">
        <v>0.37848334155372598</v>
      </c>
      <c r="FG54" s="928"/>
      <c r="FH54" s="1361">
        <v>0.36792171436632198</v>
      </c>
      <c r="FI54" s="1319"/>
      <c r="FJ54" s="1615">
        <v>0.39508196721311473</v>
      </c>
      <c r="FK54" s="1605"/>
      <c r="FL54" s="928"/>
      <c r="FM54" s="928"/>
      <c r="FN54" s="928"/>
      <c r="FO54" s="928"/>
      <c r="FP54" s="928"/>
      <c r="FQ54" s="928"/>
    </row>
    <row r="55" spans="1:173">
      <c r="A55" s="1414" t="str">
        <f t="shared" si="128"/>
        <v>Other Businesses</v>
      </c>
      <c r="B55" s="1316"/>
      <c r="C55" s="1316"/>
      <c r="D55" s="1316"/>
      <c r="E55" s="1316"/>
      <c r="F55" s="1316"/>
      <c r="G55" s="1316">
        <f t="shared" ref="G55:U55" si="140">G27/G15</f>
        <v>-5.3768179814896427E-2</v>
      </c>
      <c r="H55" s="1316">
        <f t="shared" si="140"/>
        <v>1.1757092007334701E-2</v>
      </c>
      <c r="I55" s="1316">
        <f t="shared" si="140"/>
        <v>-6.5481758652946647E-3</v>
      </c>
      <c r="J55" s="1316">
        <f t="shared" si="140"/>
        <v>-8.5667055620381155E-2</v>
      </c>
      <c r="K55" s="1415">
        <f t="shared" si="140"/>
        <v>-3.4586426853497852E-2</v>
      </c>
      <c r="L55" s="1316">
        <f t="shared" si="140"/>
        <v>9.471799462846911E-2</v>
      </c>
      <c r="M55" s="1316">
        <f t="shared" si="140"/>
        <v>4.5609624708206141E-2</v>
      </c>
      <c r="N55" s="1316">
        <f t="shared" si="140"/>
        <v>1.2933376806868818E-2</v>
      </c>
      <c r="O55" s="1316">
        <f t="shared" si="140"/>
        <v>1.4427157001414427E-2</v>
      </c>
      <c r="P55" s="1415">
        <f t="shared" si="140"/>
        <v>4.3643443985373044E-2</v>
      </c>
      <c r="Q55" s="1316">
        <f t="shared" si="140"/>
        <v>0.10993869962817808</v>
      </c>
      <c r="R55" s="1316">
        <f t="shared" si="140"/>
        <v>7.9113082039911312E-2</v>
      </c>
      <c r="S55" s="1316">
        <f t="shared" si="140"/>
        <v>9.0381426202321716E-2</v>
      </c>
      <c r="T55" s="1316">
        <f t="shared" si="140"/>
        <v>0.11930783242258651</v>
      </c>
      <c r="U55" s="1316">
        <f t="shared" si="140"/>
        <v>0.1015859938208033</v>
      </c>
      <c r="V55" s="1316">
        <f t="shared" ref="V55:Y56" si="141">V27/V15</f>
        <v>5.8573426573426575E-2</v>
      </c>
      <c r="W55" s="1316">
        <f t="shared" si="141"/>
        <v>0.10175150238841234</v>
      </c>
      <c r="X55" s="1316">
        <f t="shared" si="141"/>
        <v>7.8281524320974905E-2</v>
      </c>
      <c r="Y55" s="1316">
        <f t="shared" si="141"/>
        <v>7.7688299384178108E-2</v>
      </c>
      <c r="Z55" s="1254"/>
      <c r="AA55" s="1316">
        <f t="shared" ref="AA55:AD56" si="142">AA27/AA15</f>
        <v>0.11551292743953294</v>
      </c>
      <c r="AB55" s="1316">
        <f t="shared" si="142"/>
        <v>6.8020036910097545E-2</v>
      </c>
      <c r="AC55" s="1316">
        <f t="shared" si="142"/>
        <v>0.12842210054753608</v>
      </c>
      <c r="AD55" s="1316">
        <f t="shared" si="142"/>
        <v>6.2858633281168516E-2</v>
      </c>
      <c r="AE55" s="1254"/>
      <c r="AF55" s="1316">
        <f t="shared" ref="AF55:AI56" si="143">AF27/AF15</f>
        <v>7.9713818939778039E-2</v>
      </c>
      <c r="AG55" s="1316">
        <f t="shared" si="143"/>
        <v>8.4119919792634612E-2</v>
      </c>
      <c r="AH55" s="1316">
        <f t="shared" si="143"/>
        <v>0.16134249898908212</v>
      </c>
      <c r="AI55" s="1316">
        <f t="shared" si="143"/>
        <v>0.13226733740567734</v>
      </c>
      <c r="AJ55" s="1254"/>
      <c r="AK55" s="1316">
        <f t="shared" ref="AK55:AN56" si="144">AK27/AK15</f>
        <v>3.8810941758352681E-2</v>
      </c>
      <c r="AL55" s="1316">
        <f t="shared" si="144"/>
        <v>6.201585710380024E-2</v>
      </c>
      <c r="AM55" s="1316">
        <f t="shared" si="144"/>
        <v>2.7043482672890556E-2</v>
      </c>
      <c r="AN55" s="1316">
        <f t="shared" si="144"/>
        <v>0.10034990130988695</v>
      </c>
      <c r="AO55" s="1254"/>
      <c r="AP55" s="1316">
        <f t="shared" ref="AP55:AS56" si="145">AP27/AP15</f>
        <v>0.1146536212325686</v>
      </c>
      <c r="AQ55" s="1316">
        <f t="shared" si="145"/>
        <v>8.354233330450575E-2</v>
      </c>
      <c r="AR55" s="1316">
        <f t="shared" si="145"/>
        <v>6.5091189314153614E-2</v>
      </c>
      <c r="AS55" s="1316">
        <f t="shared" si="145"/>
        <v>8.8722093918398762E-2</v>
      </c>
      <c r="AT55" s="1254"/>
      <c r="AU55" s="1316">
        <f t="shared" ref="AU55:AX56" si="146">AU27/AU15</f>
        <v>0.23673848604167588</v>
      </c>
      <c r="AV55" s="1316">
        <f t="shared" si="146"/>
        <v>0.11328024659645518</v>
      </c>
      <c r="AW55" s="1316">
        <f t="shared" si="146"/>
        <v>0.29262086513994912</v>
      </c>
      <c r="AX55" s="1316">
        <f t="shared" si="146"/>
        <v>4.028129686126479E-2</v>
      </c>
      <c r="AY55" s="1254"/>
      <c r="AZ55" s="1316">
        <f t="shared" ref="AZ55:BC56" si="147">AZ27/AZ15</f>
        <v>0.19485294117647059</v>
      </c>
      <c r="BA55" s="1316">
        <f t="shared" si="147"/>
        <v>-0.74484217950978659</v>
      </c>
      <c r="BB55" s="1316">
        <f t="shared" si="147"/>
        <v>4.2172523961661341E-3</v>
      </c>
      <c r="BC55" s="1316">
        <f t="shared" si="147"/>
        <v>0.1609937402190923</v>
      </c>
      <c r="BD55" s="1254"/>
      <c r="BE55" s="1347">
        <f t="shared" ref="BE55:BR55" si="148">BE27/BE15</f>
        <v>1.2716763005780346E-2</v>
      </c>
      <c r="BF55" s="1316">
        <f t="shared" si="148"/>
        <v>0.22414358301917717</v>
      </c>
      <c r="BG55" s="1316">
        <f t="shared" si="148"/>
        <v>0.17968916329572068</v>
      </c>
      <c r="BH55" s="1316">
        <f t="shared" si="148"/>
        <v>0.25445380472310453</v>
      </c>
      <c r="BI55" s="1415">
        <f t="shared" si="148"/>
        <v>0.1804100137201487</v>
      </c>
      <c r="BJ55" s="1347">
        <f t="shared" si="148"/>
        <v>0.22659683342363493</v>
      </c>
      <c r="BK55" s="1316">
        <f t="shared" si="148"/>
        <v>0.22470878521833937</v>
      </c>
      <c r="BL55" s="1316">
        <f t="shared" si="148"/>
        <v>0.21922698815129094</v>
      </c>
      <c r="BM55" s="1316">
        <f t="shared" si="148"/>
        <v>0.24931328971682565</v>
      </c>
      <c r="BN55" s="1415">
        <f t="shared" si="148"/>
        <v>0.23041914209407532</v>
      </c>
      <c r="BO55" s="1347">
        <f t="shared" si="148"/>
        <v>0.21828892612008863</v>
      </c>
      <c r="BP55" s="1316">
        <f t="shared" si="148"/>
        <v>0.2733625365039633</v>
      </c>
      <c r="BQ55" s="1316">
        <f t="shared" si="148"/>
        <v>0.28409378639793387</v>
      </c>
      <c r="BR55" s="1316">
        <f t="shared" si="148"/>
        <v>0.21764263558605132</v>
      </c>
      <c r="BS55" s="1415">
        <f>BS27/BS15</f>
        <v>0.24806240947322949</v>
      </c>
      <c r="BT55" s="1347"/>
      <c r="BU55" s="1316"/>
      <c r="BV55" s="1316"/>
      <c r="BW55" s="1316"/>
      <c r="BX55" s="1415"/>
      <c r="BY55" s="1254"/>
      <c r="BZ55" s="928"/>
      <c r="CA55" s="928"/>
      <c r="CB55" s="928"/>
      <c r="CC55" s="928"/>
      <c r="CD55" s="928"/>
      <c r="CE55" s="928"/>
      <c r="CF55" s="928"/>
      <c r="CG55" s="928"/>
      <c r="CH55" s="928"/>
      <c r="CI55" s="928"/>
      <c r="CJ55" s="928"/>
      <c r="CK55" s="928"/>
      <c r="CL55" s="928"/>
      <c r="CM55" s="928"/>
      <c r="CN55" s="928"/>
      <c r="CO55" s="928"/>
      <c r="CP55" s="928"/>
      <c r="CQ55" s="928"/>
      <c r="CR55" s="928"/>
      <c r="CS55" s="928"/>
      <c r="CT55" s="928"/>
      <c r="CU55" s="928"/>
      <c r="CV55" s="928"/>
      <c r="CW55" s="928"/>
      <c r="CX55" s="928"/>
      <c r="CY55" s="928"/>
      <c r="CZ55" s="928"/>
      <c r="DA55" s="928"/>
      <c r="DB55" s="928"/>
      <c r="DC55" s="928"/>
      <c r="DD55" s="928"/>
      <c r="DE55" s="928"/>
      <c r="DF55" s="928"/>
      <c r="DG55" s="928"/>
      <c r="DH55" s="928"/>
      <c r="DI55" s="928"/>
      <c r="DJ55" s="928"/>
      <c r="DK55" s="928"/>
      <c r="DL55" s="928"/>
      <c r="DM55" s="928"/>
      <c r="DN55" s="928"/>
      <c r="DO55" s="928"/>
      <c r="DP55" s="928"/>
      <c r="DQ55" s="928"/>
      <c r="DR55" s="928"/>
      <c r="DS55" s="928"/>
      <c r="DT55" s="928"/>
      <c r="DU55" s="928"/>
      <c r="DV55" s="928"/>
      <c r="DW55" s="928"/>
      <c r="DX55" s="928"/>
      <c r="DY55" s="1338"/>
      <c r="DZ55" s="928"/>
      <c r="EA55" s="928"/>
      <c r="EB55" s="928"/>
      <c r="EC55" s="1337"/>
      <c r="ED55" s="1338"/>
      <c r="EE55" s="928"/>
      <c r="EF55" s="928"/>
      <c r="EG55" s="928"/>
      <c r="EH55" s="1337"/>
      <c r="EI55" s="928"/>
      <c r="EJ55" s="928"/>
      <c r="EK55" s="928"/>
      <c r="EL55" s="928"/>
      <c r="EM55" s="1337"/>
      <c r="EN55" s="928"/>
      <c r="EO55" s="928"/>
      <c r="EP55" s="928"/>
      <c r="EQ55" s="928"/>
      <c r="ER55" s="928"/>
      <c r="ES55" s="928"/>
      <c r="ET55" s="928"/>
      <c r="EU55" s="928"/>
      <c r="EV55" s="928"/>
      <c r="EW55" s="928"/>
      <c r="EX55" s="928"/>
      <c r="EY55" s="928"/>
      <c r="EZ55" s="928"/>
      <c r="FA55" s="928"/>
      <c r="FB55" s="928"/>
      <c r="FC55" s="928"/>
      <c r="FD55" s="928"/>
      <c r="FE55" s="928"/>
      <c r="FF55" s="1360">
        <v>0.23132530120481928</v>
      </c>
      <c r="FG55" s="928"/>
      <c r="FH55" s="1361">
        <v>0.21870551390338802</v>
      </c>
      <c r="FI55" s="1319"/>
      <c r="FJ55" s="1615">
        <v>0.44444444444444442</v>
      </c>
      <c r="FK55" s="1605"/>
      <c r="FL55" s="928"/>
      <c r="FM55" s="928"/>
      <c r="FN55" s="928"/>
      <c r="FO55" s="928"/>
      <c r="FP55" s="928"/>
      <c r="FQ55" s="928"/>
    </row>
    <row r="56" spans="1:173">
      <c r="A56" s="1417" t="str">
        <f t="shared" si="128"/>
        <v>Operating Segment Income</v>
      </c>
      <c r="B56" s="1365"/>
      <c r="C56" s="1365"/>
      <c r="D56" s="1365"/>
      <c r="E56" s="1365"/>
      <c r="F56" s="1365"/>
      <c r="G56" s="1365">
        <f t="shared" ref="G56:U56" si="149">G28/G16</f>
        <v>0.34350969389269914</v>
      </c>
      <c r="H56" s="1365">
        <f t="shared" si="149"/>
        <v>0.40763518067292237</v>
      </c>
      <c r="I56" s="1365">
        <f t="shared" si="149"/>
        <v>0.41588532718079618</v>
      </c>
      <c r="J56" s="1365">
        <f t="shared" si="149"/>
        <v>0.41229964333290348</v>
      </c>
      <c r="K56" s="1418">
        <f t="shared" si="149"/>
        <v>0.39756523319731985</v>
      </c>
      <c r="L56" s="1365">
        <f t="shared" si="149"/>
        <v>0.36521485703183187</v>
      </c>
      <c r="M56" s="1365">
        <f t="shared" si="149"/>
        <v>0.41176878492467539</v>
      </c>
      <c r="N56" s="1365">
        <f t="shared" si="149"/>
        <v>0.42382068147813573</v>
      </c>
      <c r="O56" s="1365">
        <f t="shared" si="149"/>
        <v>0.40454116361106979</v>
      </c>
      <c r="P56" s="1418">
        <f t="shared" si="149"/>
        <v>0.40254816594672177</v>
      </c>
      <c r="Q56" s="1365">
        <f t="shared" si="149"/>
        <v>0.35891582189225252</v>
      </c>
      <c r="R56" s="1365">
        <f t="shared" si="149"/>
        <v>0.42037375252755854</v>
      </c>
      <c r="S56" s="1365">
        <f t="shared" si="149"/>
        <v>0.41616699165146287</v>
      </c>
      <c r="T56" s="1365">
        <f t="shared" si="149"/>
        <v>0.3896116411294207</v>
      </c>
      <c r="U56" s="1365">
        <f t="shared" si="149"/>
        <v>0.39744499267278838</v>
      </c>
      <c r="V56" s="1365">
        <f t="shared" si="141"/>
        <v>0.35287391680354752</v>
      </c>
      <c r="W56" s="1365">
        <f t="shared" si="141"/>
        <v>0.40468770205150406</v>
      </c>
      <c r="X56" s="1365">
        <f t="shared" si="141"/>
        <v>0.41371581534085433</v>
      </c>
      <c r="Y56" s="1365">
        <f t="shared" si="141"/>
        <v>0.40492284722848854</v>
      </c>
      <c r="Z56" s="1365">
        <f>Z28/Z16</f>
        <v>0.39603106443539288</v>
      </c>
      <c r="AA56" s="1365">
        <f t="shared" si="142"/>
        <v>0.37668429047722385</v>
      </c>
      <c r="AB56" s="1365">
        <f t="shared" si="142"/>
        <v>0.39832756121321722</v>
      </c>
      <c r="AC56" s="1365">
        <f t="shared" si="142"/>
        <v>0.41993953732912725</v>
      </c>
      <c r="AD56" s="1365">
        <f t="shared" si="142"/>
        <v>0.38710645963798573</v>
      </c>
      <c r="AE56" s="1365">
        <f>AE28/AE16</f>
        <v>0.39574073683988792</v>
      </c>
      <c r="AF56" s="1365">
        <f t="shared" si="143"/>
        <v>0.37527949641256814</v>
      </c>
      <c r="AG56" s="1365">
        <f t="shared" si="143"/>
        <v>0.39966144381825308</v>
      </c>
      <c r="AH56" s="1365">
        <f t="shared" si="143"/>
        <v>0.4062647580894686</v>
      </c>
      <c r="AI56" s="1365">
        <f t="shared" si="143"/>
        <v>0.38546964743306522</v>
      </c>
      <c r="AJ56" s="1365">
        <f>AJ28/AJ16</f>
        <v>0.3917872363555106</v>
      </c>
      <c r="AK56" s="1365">
        <f t="shared" si="144"/>
        <v>0.37361299052774022</v>
      </c>
      <c r="AL56" s="1365">
        <f t="shared" si="144"/>
        <v>0.3933091431410784</v>
      </c>
      <c r="AM56" s="1365">
        <f t="shared" si="144"/>
        <v>0.3930086350552946</v>
      </c>
      <c r="AN56" s="1365">
        <f t="shared" si="144"/>
        <v>0.37556442083662078</v>
      </c>
      <c r="AO56" s="1365">
        <f>AO28/AO16</f>
        <v>0.3837099715216456</v>
      </c>
      <c r="AP56" s="1365">
        <f t="shared" si="145"/>
        <v>0.38329758161676114</v>
      </c>
      <c r="AQ56" s="1365">
        <f t="shared" si="145"/>
        <v>0.38723013486504498</v>
      </c>
      <c r="AR56" s="1365">
        <f t="shared" si="145"/>
        <v>0.3921845395262481</v>
      </c>
      <c r="AS56" s="1365">
        <f t="shared" si="145"/>
        <v>0.37162832560842507</v>
      </c>
      <c r="AT56" s="1365">
        <f>AT28/AT16</f>
        <v>0.3833229679048642</v>
      </c>
      <c r="AU56" s="1365">
        <f t="shared" si="146"/>
        <v>0.38198733801964685</v>
      </c>
      <c r="AV56" s="1365">
        <f t="shared" si="146"/>
        <v>0.38841875877826149</v>
      </c>
      <c r="AW56" s="1365">
        <f t="shared" si="146"/>
        <v>0.39570926522269778</v>
      </c>
      <c r="AX56" s="1365">
        <f t="shared" si="146"/>
        <v>0.38232013479930965</v>
      </c>
      <c r="AY56" s="1365">
        <f>AY28/AY16</f>
        <v>0.38677122644623113</v>
      </c>
      <c r="AZ56" s="1365">
        <f t="shared" si="147"/>
        <v>0.35030730121955145</v>
      </c>
      <c r="BA56" s="1365">
        <f t="shared" si="147"/>
        <v>0.35788937143614913</v>
      </c>
      <c r="BB56" s="1365">
        <f t="shared" si="147"/>
        <v>0.40785076118148683</v>
      </c>
      <c r="BC56" s="1365">
        <f t="shared" si="147"/>
        <v>0.42718325145471192</v>
      </c>
      <c r="BD56" s="1365">
        <f>BD28/BD16</f>
        <v>0.38807442801472924</v>
      </c>
      <c r="BE56" s="1366">
        <f t="shared" ref="BE56:BR56" si="150">BE28/BE16</f>
        <v>0.36533456959421556</v>
      </c>
      <c r="BF56" s="1365">
        <f t="shared" si="150"/>
        <v>0.37950795969640866</v>
      </c>
      <c r="BG56" s="1365">
        <f t="shared" si="150"/>
        <v>0.39112280664220589</v>
      </c>
      <c r="BH56" s="1365">
        <f t="shared" si="150"/>
        <v>0.42454687703742339</v>
      </c>
      <c r="BI56" s="1418">
        <f t="shared" si="150"/>
        <v>0.39160590352058439</v>
      </c>
      <c r="BJ56" s="1366">
        <f t="shared" si="150"/>
        <v>0.3850906820764835</v>
      </c>
      <c r="BK56" s="1365">
        <f t="shared" si="150"/>
        <v>0.37813425786784599</v>
      </c>
      <c r="BL56" s="1365">
        <f t="shared" si="150"/>
        <v>0.36436548906711952</v>
      </c>
      <c r="BM56" s="1365">
        <f t="shared" si="150"/>
        <v>0.34584222407768189</v>
      </c>
      <c r="BN56" s="1418">
        <f t="shared" si="150"/>
        <v>0.3681203475902094</v>
      </c>
      <c r="BO56" s="1366">
        <f t="shared" si="150"/>
        <v>0.37410496709714119</v>
      </c>
      <c r="BP56" s="1365">
        <f t="shared" si="150"/>
        <v>0.36519353006120497</v>
      </c>
      <c r="BQ56" s="1365">
        <f t="shared" si="150"/>
        <v>0.34827788394718551</v>
      </c>
      <c r="BR56" s="1365">
        <f t="shared" si="150"/>
        <v>0.33993897508328941</v>
      </c>
      <c r="BS56" s="1418">
        <f>BS28/BS16</f>
        <v>0.35692710444489034</v>
      </c>
      <c r="BT56" s="1366">
        <f t="shared" ref="BT56:BW56" si="151">BT28/BT16</f>
        <v>0.36788954684441882</v>
      </c>
      <c r="BU56" s="1365">
        <f t="shared" si="151"/>
        <v>0.36864148606811148</v>
      </c>
      <c r="BV56" s="1365">
        <f t="shared" si="151"/>
        <v>0.34859938080495356</v>
      </c>
      <c r="BW56" s="1365">
        <f t="shared" si="151"/>
        <v>0.34826283511788236</v>
      </c>
      <c r="BX56" s="1418">
        <f>BX28/BX16</f>
        <v>0.35832030453575969</v>
      </c>
      <c r="BY56" s="1382"/>
      <c r="BZ56" s="928"/>
      <c r="CA56" s="928"/>
      <c r="CB56" s="928"/>
      <c r="CC56" s="928"/>
      <c r="CD56" s="928"/>
      <c r="CE56" s="928"/>
      <c r="CF56" s="928"/>
      <c r="CG56" s="928"/>
      <c r="CH56" s="928"/>
      <c r="CI56" s="928"/>
      <c r="CJ56" s="928"/>
      <c r="CK56" s="928"/>
      <c r="CL56" s="928"/>
      <c r="CM56" s="928"/>
      <c r="CN56" s="928"/>
      <c r="CO56" s="928"/>
      <c r="CP56" s="928"/>
      <c r="CQ56" s="928"/>
      <c r="CR56" s="928"/>
      <c r="CS56" s="928"/>
      <c r="CT56" s="928"/>
      <c r="CU56" s="928"/>
      <c r="CV56" s="928"/>
      <c r="CW56" s="928"/>
      <c r="CX56" s="928"/>
      <c r="CY56" s="928"/>
      <c r="CZ56" s="928"/>
      <c r="DA56" s="928"/>
      <c r="DB56" s="928"/>
      <c r="DC56" s="928"/>
      <c r="DD56" s="928"/>
      <c r="DE56" s="928"/>
      <c r="DF56" s="928"/>
      <c r="DG56" s="928"/>
      <c r="DH56" s="928"/>
      <c r="DI56" s="928"/>
      <c r="DJ56" s="928"/>
      <c r="DK56" s="928"/>
      <c r="DL56" s="928"/>
      <c r="DM56" s="928"/>
      <c r="DN56" s="928"/>
      <c r="DO56" s="928"/>
      <c r="DP56" s="928"/>
      <c r="DQ56" s="928"/>
      <c r="DR56" s="928"/>
      <c r="DS56" s="928"/>
      <c r="DT56" s="928"/>
      <c r="DU56" s="928"/>
      <c r="DV56" s="928"/>
      <c r="DW56" s="928"/>
      <c r="DX56" s="928"/>
      <c r="DY56" s="1338"/>
      <c r="DZ56" s="928"/>
      <c r="EA56" s="928"/>
      <c r="EB56" s="928"/>
      <c r="EC56" s="1337"/>
      <c r="ED56" s="1338"/>
      <c r="EE56" s="928"/>
      <c r="EF56" s="928"/>
      <c r="EG56" s="928"/>
      <c r="EH56" s="1337"/>
      <c r="EI56" s="928"/>
      <c r="EJ56" s="928"/>
      <c r="EK56" s="928"/>
      <c r="EL56" s="928"/>
      <c r="EM56" s="1337"/>
      <c r="EN56" s="928"/>
      <c r="EO56" s="928"/>
      <c r="EP56" s="928"/>
      <c r="EQ56" s="928"/>
      <c r="ER56" s="928"/>
      <c r="ES56" s="928"/>
      <c r="ET56" s="928"/>
      <c r="EU56" s="928"/>
      <c r="EV56" s="928"/>
      <c r="EW56" s="928"/>
      <c r="EX56" s="928"/>
      <c r="EY56" s="928"/>
      <c r="EZ56" s="928"/>
      <c r="FA56" s="928"/>
      <c r="FB56" s="928"/>
      <c r="FC56" s="928"/>
      <c r="FD56" s="928"/>
      <c r="FE56" s="928"/>
      <c r="FF56" s="1367">
        <v>0.35452218902679972</v>
      </c>
      <c r="FG56" s="928"/>
      <c r="FH56" s="1419">
        <v>0.32160646561560419</v>
      </c>
      <c r="FI56" s="1319"/>
      <c r="FJ56" s="1616">
        <v>0.38653645645645646</v>
      </c>
      <c r="FK56" s="1605"/>
      <c r="FL56" s="928"/>
      <c r="FM56" s="928"/>
      <c r="FN56" s="928"/>
      <c r="FO56" s="928"/>
      <c r="FP56" s="928"/>
      <c r="FQ56" s="928"/>
    </row>
    <row r="57" spans="1:173">
      <c r="A57" s="928"/>
      <c r="B57" s="928"/>
      <c r="C57" s="928"/>
      <c r="D57" s="928"/>
      <c r="E57" s="928"/>
      <c r="F57" s="928"/>
      <c r="G57" s="928"/>
      <c r="H57" s="928"/>
      <c r="I57" s="928"/>
      <c r="J57" s="928"/>
      <c r="K57" s="928"/>
      <c r="L57" s="928"/>
      <c r="M57" s="928"/>
      <c r="N57" s="928"/>
      <c r="O57" s="928"/>
      <c r="P57" s="928"/>
      <c r="Q57" s="928"/>
      <c r="R57" s="928"/>
      <c r="S57" s="928"/>
      <c r="T57" s="928"/>
      <c r="U57" s="928"/>
      <c r="V57" s="928"/>
      <c r="W57" s="928"/>
      <c r="X57" s="928"/>
      <c r="Y57" s="928"/>
      <c r="Z57" s="928"/>
      <c r="AA57" s="928"/>
      <c r="AB57" s="928"/>
      <c r="AC57" s="928"/>
      <c r="AD57" s="928"/>
      <c r="AE57" s="928"/>
      <c r="AF57" s="928"/>
      <c r="AG57" s="928"/>
      <c r="AH57" s="928"/>
      <c r="AI57" s="928"/>
      <c r="AJ57" s="928"/>
      <c r="AK57" s="928"/>
      <c r="AL57" s="928"/>
      <c r="AM57" s="928"/>
      <c r="AN57" s="928"/>
      <c r="AO57" s="928"/>
      <c r="AP57" s="928"/>
      <c r="AQ57" s="928"/>
      <c r="AR57" s="928"/>
      <c r="AS57" s="928"/>
      <c r="AT57" s="928"/>
      <c r="AU57" s="928"/>
      <c r="AV57" s="928"/>
      <c r="AW57" s="928"/>
      <c r="AX57" s="928"/>
      <c r="AY57" s="928"/>
      <c r="AZ57" s="928"/>
      <c r="BA57" s="928"/>
      <c r="BB57" s="928"/>
      <c r="BC57" s="928"/>
      <c r="BD57" s="928"/>
      <c r="BE57" s="1338"/>
      <c r="BF57" s="928"/>
      <c r="BG57" s="928"/>
      <c r="BH57" s="928"/>
      <c r="BI57" s="1337"/>
      <c r="BJ57" s="1338"/>
      <c r="BK57" s="928"/>
      <c r="BL57" s="928"/>
      <c r="BM57" s="928"/>
      <c r="BN57" s="1337"/>
      <c r="BO57" s="1338"/>
      <c r="BP57" s="928"/>
      <c r="BQ57" s="928"/>
      <c r="BR57" s="928"/>
      <c r="BS57" s="1337"/>
      <c r="BT57" s="1338"/>
      <c r="BU57" s="928"/>
      <c r="BV57" s="928"/>
      <c r="BW57" s="928"/>
      <c r="BX57" s="1337"/>
      <c r="BY57" s="928"/>
      <c r="BZ57" s="928"/>
      <c r="CA57" s="928"/>
      <c r="CB57" s="928"/>
      <c r="CC57" s="928"/>
      <c r="CD57" s="928"/>
      <c r="CE57" s="928"/>
      <c r="CF57" s="928"/>
      <c r="CG57" s="928"/>
      <c r="CH57" s="928"/>
      <c r="CI57" s="928"/>
      <c r="CJ57" s="928"/>
      <c r="CK57" s="928"/>
      <c r="CL57" s="928"/>
      <c r="CM57" s="928"/>
      <c r="CN57" s="928"/>
      <c r="CO57" s="928"/>
      <c r="CP57" s="928"/>
      <c r="CQ57" s="928"/>
      <c r="CR57" s="928"/>
      <c r="CS57" s="928"/>
      <c r="CT57" s="928"/>
      <c r="CU57" s="928"/>
      <c r="CV57" s="928"/>
      <c r="CW57" s="928"/>
      <c r="CX57" s="928"/>
      <c r="CY57" s="928"/>
      <c r="CZ57" s="928"/>
      <c r="DA57" s="928"/>
      <c r="DB57" s="928"/>
      <c r="DC57" s="928"/>
      <c r="DD57" s="928"/>
      <c r="DE57" s="928"/>
      <c r="DF57" s="928"/>
      <c r="DG57" s="928"/>
      <c r="DH57" s="928"/>
      <c r="DI57" s="928"/>
      <c r="DJ57" s="928"/>
      <c r="DK57" s="928"/>
      <c r="DL57" s="928"/>
      <c r="DM57" s="928"/>
      <c r="DN57" s="928"/>
      <c r="DO57" s="928"/>
      <c r="DP57" s="928"/>
      <c r="DQ57" s="928"/>
      <c r="DR57" s="928"/>
      <c r="DS57" s="928"/>
      <c r="DT57" s="928"/>
      <c r="DU57" s="928"/>
      <c r="DV57" s="928"/>
      <c r="DW57" s="928"/>
      <c r="DX57" s="928"/>
      <c r="DY57" s="1338"/>
      <c r="DZ57" s="928"/>
      <c r="EA57" s="928"/>
      <c r="EB57" s="928"/>
      <c r="EC57" s="1337"/>
      <c r="ED57" s="1338"/>
      <c r="EE57" s="928"/>
      <c r="EF57" s="928"/>
      <c r="EG57" s="928"/>
      <c r="EH57" s="1337"/>
      <c r="EI57" s="928"/>
      <c r="EJ57" s="928"/>
      <c r="EK57" s="928"/>
      <c r="EL57" s="928"/>
      <c r="EM57" s="1337"/>
      <c r="EN57" s="928"/>
      <c r="EO57" s="928"/>
      <c r="EP57" s="928"/>
      <c r="EQ57" s="928"/>
      <c r="ER57" s="928"/>
      <c r="ES57" s="928"/>
      <c r="ET57" s="928"/>
      <c r="EU57" s="928"/>
      <c r="EV57" s="928"/>
      <c r="EW57" s="928"/>
      <c r="EX57" s="928"/>
      <c r="EY57" s="928"/>
      <c r="EZ57" s="928"/>
      <c r="FA57" s="928"/>
      <c r="FB57" s="928"/>
      <c r="FC57" s="928"/>
      <c r="FD57" s="928"/>
      <c r="FE57" s="928"/>
      <c r="FF57" s="1340"/>
      <c r="FG57" s="928"/>
      <c r="FH57" s="1319"/>
      <c r="FI57" s="1319"/>
      <c r="FJ57" s="1605"/>
      <c r="FK57" s="1605"/>
      <c r="FL57" s="928"/>
      <c r="FM57" s="928"/>
      <c r="FN57" s="928"/>
      <c r="FO57" s="928"/>
      <c r="FP57" s="928"/>
      <c r="FQ57" s="928"/>
    </row>
    <row r="58" spans="1:173">
      <c r="A58" s="1420" t="s">
        <v>1102</v>
      </c>
      <c r="B58" s="1421"/>
      <c r="C58" s="1421"/>
      <c r="D58" s="1421"/>
      <c r="E58" s="1421"/>
      <c r="F58" s="1421"/>
      <c r="G58" s="1421">
        <f t="shared" ref="G58:T58" si="152">G30/G18</f>
        <v>0.32882814630746382</v>
      </c>
      <c r="H58" s="1421">
        <f t="shared" si="152"/>
        <v>0.39957820133944216</v>
      </c>
      <c r="I58" s="1421">
        <f t="shared" si="152"/>
        <v>0.40766749146490422</v>
      </c>
      <c r="J58" s="1421">
        <f t="shared" si="152"/>
        <v>0.40107802566050926</v>
      </c>
      <c r="K58" s="1422">
        <f t="shared" si="152"/>
        <v>0.38715754655928669</v>
      </c>
      <c r="L58" s="1421">
        <f t="shared" si="152"/>
        <v>0.35311349511104068</v>
      </c>
      <c r="M58" s="1421">
        <f t="shared" si="152"/>
        <v>0.40287214875351807</v>
      </c>
      <c r="N58" s="1421">
        <f t="shared" si="152"/>
        <v>0.41650583321330842</v>
      </c>
      <c r="O58" s="1421">
        <f t="shared" si="152"/>
        <v>0.39612984716432997</v>
      </c>
      <c r="P58" s="1422">
        <f t="shared" si="152"/>
        <v>0.39347730710170531</v>
      </c>
      <c r="Q58" s="1421">
        <f t="shared" si="152"/>
        <v>0.34888591053777851</v>
      </c>
      <c r="R58" s="1421">
        <f t="shared" si="152"/>
        <v>0.41272855094686378</v>
      </c>
      <c r="S58" s="1421">
        <f t="shared" si="152"/>
        <v>0.40855189174496753</v>
      </c>
      <c r="T58" s="1421">
        <f t="shared" si="152"/>
        <v>0.37917206777890705</v>
      </c>
      <c r="U58" s="1421"/>
      <c r="V58" s="1421">
        <f t="shared" ref="V58:BA58" si="153">V30/V18</f>
        <v>0.34106594185771683</v>
      </c>
      <c r="W58" s="1421">
        <f t="shared" si="153"/>
        <v>0.39174879033289933</v>
      </c>
      <c r="X58" s="1421">
        <f t="shared" si="153"/>
        <v>0.40354674577424848</v>
      </c>
      <c r="Y58" s="1421">
        <f t="shared" si="153"/>
        <v>0.39341914642066161</v>
      </c>
      <c r="Z58" s="1421">
        <f t="shared" si="153"/>
        <v>0.38444601989056199</v>
      </c>
      <c r="AA58" s="1421">
        <f t="shared" si="153"/>
        <v>0.36390323977562261</v>
      </c>
      <c r="AB58" s="1421">
        <f t="shared" si="153"/>
        <v>0.38270822512472774</v>
      </c>
      <c r="AC58" s="1421">
        <f t="shared" si="153"/>
        <v>0.40834812302024132</v>
      </c>
      <c r="AD58" s="1421">
        <f t="shared" si="153"/>
        <v>0.37626151293376403</v>
      </c>
      <c r="AE58" s="1421">
        <f t="shared" si="153"/>
        <v>0.38312107191448658</v>
      </c>
      <c r="AF58" s="1421">
        <f t="shared" si="153"/>
        <v>0.35941769007865326</v>
      </c>
      <c r="AG58" s="1421">
        <f t="shared" si="153"/>
        <v>0.38804174548855397</v>
      </c>
      <c r="AH58" s="1421">
        <f t="shared" si="153"/>
        <v>0.39882641081523135</v>
      </c>
      <c r="AI58" s="1421">
        <f t="shared" si="153"/>
        <v>0.37771876488040723</v>
      </c>
      <c r="AJ58" s="1421">
        <f t="shared" si="153"/>
        <v>0.38132533749327496</v>
      </c>
      <c r="AK58" s="1421">
        <f t="shared" si="153"/>
        <v>0.35975848961315959</v>
      </c>
      <c r="AL58" s="1421">
        <f t="shared" si="153"/>
        <v>0.38276386118522743</v>
      </c>
      <c r="AM58" s="1421">
        <f t="shared" si="153"/>
        <v>0.38494150830183543</v>
      </c>
      <c r="AN58" s="1421">
        <f t="shared" si="153"/>
        <v>0.36519940236754395</v>
      </c>
      <c r="AO58" s="1421">
        <f t="shared" si="153"/>
        <v>0.37301511535401749</v>
      </c>
      <c r="AP58" s="1421">
        <f t="shared" si="153"/>
        <v>0.37607837980010517</v>
      </c>
      <c r="AQ58" s="1421">
        <f t="shared" si="153"/>
        <v>0.38321386573189831</v>
      </c>
      <c r="AR58" s="1421">
        <f t="shared" si="153"/>
        <v>0.39196347250850866</v>
      </c>
      <c r="AS58" s="1421">
        <f t="shared" si="153"/>
        <v>0.37032687121520985</v>
      </c>
      <c r="AT58" s="1421">
        <f t="shared" si="153"/>
        <v>0.38025861218043627</v>
      </c>
      <c r="AU58" s="1421">
        <f t="shared" si="153"/>
        <v>0.38000530023252643</v>
      </c>
      <c r="AV58" s="1421">
        <f t="shared" si="153"/>
        <v>0.39036762164919603</v>
      </c>
      <c r="AW58" s="1421">
        <f t="shared" si="153"/>
        <v>0.40052508298948303</v>
      </c>
      <c r="AX58" s="1421">
        <f t="shared" si="153"/>
        <v>0.38499807145612192</v>
      </c>
      <c r="AY58" s="1421">
        <f t="shared" si="153"/>
        <v>0.38874085201677888</v>
      </c>
      <c r="AZ58" s="1421">
        <f t="shared" si="153"/>
        <v>0.35668652706984433</v>
      </c>
      <c r="BA58" s="1421">
        <f t="shared" si="153"/>
        <v>0.3703439999283521</v>
      </c>
      <c r="BB58" s="1421">
        <f t="shared" ref="BB58:BR58" si="154">BB30/BB18</f>
        <v>0.42419496303721338</v>
      </c>
      <c r="BC58" s="1421">
        <f t="shared" si="154"/>
        <v>0.43120162402162454</v>
      </c>
      <c r="BD58" s="1421">
        <f t="shared" si="154"/>
        <v>0.39766497869532408</v>
      </c>
      <c r="BE58" s="1498">
        <f t="shared" si="154"/>
        <v>0.3725869536023636</v>
      </c>
      <c r="BF58" s="1421">
        <f t="shared" si="154"/>
        <v>0.38879462193565067</v>
      </c>
      <c r="BG58" s="1421">
        <f t="shared" si="154"/>
        <v>0.40142146900439757</v>
      </c>
      <c r="BH58" s="1421">
        <f t="shared" si="154"/>
        <v>0.42627673383821907</v>
      </c>
      <c r="BI58" s="1422">
        <f t="shared" si="154"/>
        <v>0.39867931199032475</v>
      </c>
      <c r="BJ58" s="1498">
        <f t="shared" si="154"/>
        <v>0.36989231132987987</v>
      </c>
      <c r="BK58" s="1421">
        <f t="shared" si="154"/>
        <v>0.36477189953327765</v>
      </c>
      <c r="BL58" s="1421">
        <f t="shared" si="154"/>
        <v>0.35444142595199379</v>
      </c>
      <c r="BM58" s="1421">
        <f t="shared" si="154"/>
        <v>0.31383576464931034</v>
      </c>
      <c r="BN58" s="1422">
        <f t="shared" si="154"/>
        <v>0.35049942669205281</v>
      </c>
      <c r="BO58" s="1498">
        <f t="shared" si="154"/>
        <v>0.36325838571027447</v>
      </c>
      <c r="BP58" s="1421">
        <f t="shared" si="154"/>
        <v>0.3550555609550653</v>
      </c>
      <c r="BQ58" s="1421">
        <f t="shared" si="154"/>
        <v>0.33988326954470754</v>
      </c>
      <c r="BR58" s="1421">
        <f t="shared" si="154"/>
        <v>0.31046468684147649</v>
      </c>
      <c r="BS58" s="1422">
        <f>BS30/BS18</f>
        <v>0.3422206677972397</v>
      </c>
      <c r="BT58" s="1498">
        <f t="shared" ref="BT58:BW58" si="155">BT30/BT18</f>
        <v>0.35718494928344841</v>
      </c>
      <c r="BU58" s="1421">
        <f t="shared" si="155"/>
        <v>0.35791500909564661</v>
      </c>
      <c r="BV58" s="1421">
        <f t="shared" si="155"/>
        <v>0.33845607525705607</v>
      </c>
      <c r="BW58" s="1421">
        <f t="shared" si="155"/>
        <v>0.33696954647658239</v>
      </c>
      <c r="BX58" s="1422">
        <f>BX30/BX18</f>
        <v>0.3476039360034387</v>
      </c>
      <c r="BY58" s="1316"/>
      <c r="BZ58" s="928"/>
      <c r="CA58" s="928"/>
      <c r="CB58" s="928"/>
      <c r="CC58" s="928"/>
      <c r="CD58" s="928"/>
      <c r="CE58" s="928"/>
      <c r="CF58" s="928"/>
      <c r="CG58" s="928"/>
      <c r="CH58" s="928"/>
      <c r="CI58" s="928"/>
      <c r="CJ58" s="928"/>
      <c r="CK58" s="928"/>
      <c r="CL58" s="928"/>
      <c r="CM58" s="928"/>
      <c r="CN58" s="928"/>
      <c r="CO58" s="928"/>
      <c r="CP58" s="928"/>
      <c r="CQ58" s="928"/>
      <c r="CR58" s="928"/>
      <c r="CS58" s="928"/>
      <c r="CT58" s="928"/>
      <c r="CU58" s="928"/>
      <c r="CV58" s="928"/>
      <c r="CW58" s="928"/>
      <c r="CX58" s="928"/>
      <c r="CY58" s="928"/>
      <c r="CZ58" s="928"/>
      <c r="DA58" s="928"/>
      <c r="DB58" s="928"/>
      <c r="DC58" s="928"/>
      <c r="DD58" s="928"/>
      <c r="DE58" s="928"/>
      <c r="DF58" s="928"/>
      <c r="DG58" s="928"/>
      <c r="DH58" s="928"/>
      <c r="DI58" s="928"/>
      <c r="DJ58" s="928"/>
      <c r="DK58" s="928"/>
      <c r="DL58" s="928"/>
      <c r="DM58" s="928"/>
      <c r="DN58" s="928"/>
      <c r="DO58" s="928"/>
      <c r="DP58" s="928"/>
      <c r="DQ58" s="928"/>
      <c r="DR58" s="928"/>
      <c r="DS58" s="928"/>
      <c r="DT58" s="928"/>
      <c r="DU58" s="928"/>
      <c r="DV58" s="928"/>
      <c r="DW58" s="928"/>
      <c r="DX58" s="928"/>
      <c r="DY58" s="1338"/>
      <c r="DZ58" s="928"/>
      <c r="EA58" s="928"/>
      <c r="EB58" s="928"/>
      <c r="EC58" s="1337"/>
      <c r="ED58" s="1338"/>
      <c r="EE58" s="928"/>
      <c r="EF58" s="928"/>
      <c r="EG58" s="928"/>
      <c r="EH58" s="1337"/>
      <c r="EI58" s="928"/>
      <c r="EJ58" s="928"/>
      <c r="EK58" s="928"/>
      <c r="EL58" s="928"/>
      <c r="EM58" s="1337"/>
      <c r="EN58" s="928"/>
      <c r="EO58" s="928"/>
      <c r="EP58" s="928"/>
      <c r="EQ58" s="928"/>
      <c r="ER58" s="928"/>
      <c r="ES58" s="928"/>
      <c r="ET58" s="928"/>
      <c r="EU58" s="928"/>
      <c r="EV58" s="928"/>
      <c r="EW58" s="928"/>
      <c r="EX58" s="928"/>
      <c r="EY58" s="928"/>
      <c r="EZ58" s="928"/>
      <c r="FA58" s="928"/>
      <c r="FB58" s="928"/>
      <c r="FC58" s="928"/>
      <c r="FD58" s="928"/>
      <c r="FE58" s="928"/>
      <c r="FF58" s="1423">
        <v>0.34367377721347397</v>
      </c>
      <c r="FG58" s="928"/>
      <c r="FH58" s="1424">
        <v>0.29256098918644696</v>
      </c>
      <c r="FI58" s="1319"/>
      <c r="FJ58" s="1617">
        <v>0.37493969408791933</v>
      </c>
      <c r="FK58" s="1605"/>
      <c r="FL58" s="928"/>
      <c r="FM58" s="928"/>
      <c r="FN58" s="928"/>
      <c r="FO58" s="928"/>
      <c r="FP58" s="928"/>
      <c r="FQ58" s="928"/>
    </row>
    <row r="59" spans="1:173">
      <c r="A59" s="1417" t="s">
        <v>633</v>
      </c>
      <c r="B59" s="1365"/>
      <c r="C59" s="1365"/>
      <c r="D59" s="1365"/>
      <c r="E59" s="1365"/>
      <c r="F59" s="1365"/>
      <c r="G59" s="1365">
        <f t="shared" ref="G59:T59" si="156">G32/G18</f>
        <v>0.3265326222006727</v>
      </c>
      <c r="H59" s="1365">
        <f t="shared" si="156"/>
        <v>0.38992575550222469</v>
      </c>
      <c r="I59" s="1365">
        <f t="shared" si="156"/>
        <v>0.39516396780154717</v>
      </c>
      <c r="J59" s="1365">
        <f t="shared" si="156"/>
        <v>0.38917163677313887</v>
      </c>
      <c r="K59" s="1365">
        <f t="shared" si="156"/>
        <v>0.37767071738453056</v>
      </c>
      <c r="L59" s="1365">
        <f t="shared" si="156"/>
        <v>0.35062612987081532</v>
      </c>
      <c r="M59" s="1365">
        <f t="shared" si="156"/>
        <v>0.39490573369917215</v>
      </c>
      <c r="N59" s="1365">
        <f t="shared" si="156"/>
        <v>0.40150943396226418</v>
      </c>
      <c r="O59" s="1365">
        <f t="shared" si="156"/>
        <v>0.3851610458507011</v>
      </c>
      <c r="P59" s="1365">
        <f t="shared" si="156"/>
        <v>0.38409072541073513</v>
      </c>
      <c r="Q59" s="1365">
        <f t="shared" si="156"/>
        <v>0.34599126838827532</v>
      </c>
      <c r="R59" s="1365">
        <f t="shared" si="156"/>
        <v>0.40872631456581543</v>
      </c>
      <c r="S59" s="1365">
        <f t="shared" si="156"/>
        <v>0.40316365632544732</v>
      </c>
      <c r="T59" s="1365">
        <f t="shared" si="156"/>
        <v>0.36779476084341267</v>
      </c>
      <c r="U59" s="1365"/>
      <c r="V59" s="1365">
        <f t="shared" ref="V59:BA59" si="157">V32/V18</f>
        <v>0.33150555424249584</v>
      </c>
      <c r="W59" s="1365">
        <f t="shared" si="157"/>
        <v>0.38910781034455783</v>
      </c>
      <c r="X59" s="1365">
        <f t="shared" si="157"/>
        <v>0.38586601849780011</v>
      </c>
      <c r="Y59" s="1365">
        <f t="shared" si="157"/>
        <v>0.38377766306429306</v>
      </c>
      <c r="Z59" s="1365">
        <f t="shared" si="157"/>
        <v>0.37454442425210693</v>
      </c>
      <c r="AA59" s="1365">
        <f t="shared" si="157"/>
        <v>0.35865131877095985</v>
      </c>
      <c r="AB59" s="1365">
        <f t="shared" si="157"/>
        <v>0.37328275921222537</v>
      </c>
      <c r="AC59" s="1365">
        <f t="shared" si="157"/>
        <v>0.37717970031226838</v>
      </c>
      <c r="AD59" s="1365">
        <f t="shared" si="157"/>
        <v>0.36169649942685828</v>
      </c>
      <c r="AE59" s="1365">
        <f t="shared" si="157"/>
        <v>0.36768470377664048</v>
      </c>
      <c r="AF59" s="1365">
        <f t="shared" si="157"/>
        <v>0.33664044892139278</v>
      </c>
      <c r="AG59" s="1365">
        <f t="shared" si="157"/>
        <v>0.37615065785278551</v>
      </c>
      <c r="AH59" s="1365">
        <f t="shared" si="157"/>
        <v>0.36420047129048438</v>
      </c>
      <c r="AI59" s="1365">
        <f t="shared" si="157"/>
        <v>0.33663968352807577</v>
      </c>
      <c r="AJ59" s="1365">
        <f t="shared" si="157"/>
        <v>0.34874028129459483</v>
      </c>
      <c r="AK59" s="1365">
        <f t="shared" si="157"/>
        <v>0.3420059430673984</v>
      </c>
      <c r="AL59" s="1365">
        <f t="shared" si="157"/>
        <v>0.36675042526919327</v>
      </c>
      <c r="AM59" s="1365">
        <f t="shared" si="157"/>
        <v>0.36323103673304907</v>
      </c>
      <c r="AN59" s="1365">
        <f t="shared" si="157"/>
        <v>0.32206259816879285</v>
      </c>
      <c r="AO59" s="1365">
        <f t="shared" si="157"/>
        <v>0.3477061787324317</v>
      </c>
      <c r="AP59" s="1365">
        <f t="shared" si="157"/>
        <v>0.36932316324741354</v>
      </c>
      <c r="AQ59" s="1365">
        <f t="shared" si="157"/>
        <v>0.37288122898081788</v>
      </c>
      <c r="AR59" s="1365">
        <f t="shared" si="157"/>
        <v>0.37468641643896899</v>
      </c>
      <c r="AS59" s="1365">
        <f t="shared" si="157"/>
        <v>0.32959420690996544</v>
      </c>
      <c r="AT59" s="1365">
        <f t="shared" si="157"/>
        <v>0.36099595301549697</v>
      </c>
      <c r="AU59" s="1365">
        <f t="shared" si="157"/>
        <v>0.371289837231569</v>
      </c>
      <c r="AV59" s="1365">
        <f t="shared" si="157"/>
        <v>0.37872517237407216</v>
      </c>
      <c r="AW59" s="1365">
        <f t="shared" si="157"/>
        <v>0.38458257065740098</v>
      </c>
      <c r="AX59" s="1365">
        <f t="shared" si="157"/>
        <v>0.37663033385237343</v>
      </c>
      <c r="AY59" s="1365">
        <f t="shared" si="157"/>
        <v>0.37971060281806568</v>
      </c>
      <c r="AZ59" s="1365">
        <f t="shared" si="157"/>
        <v>0.35266996142719387</v>
      </c>
      <c r="BA59" s="1365">
        <f t="shared" si="157"/>
        <v>0.35498446134142964</v>
      </c>
      <c r="BB59" s="1365">
        <f t="shared" ref="BB59:BR59" si="158">BB32/BB18</f>
        <v>0.41302259533057678</v>
      </c>
      <c r="BC59" s="1365">
        <f t="shared" si="158"/>
        <v>0.41614106697641751</v>
      </c>
      <c r="BD59" s="1365">
        <f t="shared" si="158"/>
        <v>0.39953653708166603</v>
      </c>
      <c r="BE59" s="1366">
        <f t="shared" si="158"/>
        <v>0.36554085812126508</v>
      </c>
      <c r="BF59" s="1365">
        <f t="shared" si="158"/>
        <v>0.37207705111423539</v>
      </c>
      <c r="BG59" s="1365">
        <f t="shared" si="158"/>
        <v>0.3895835486204402</v>
      </c>
      <c r="BH59" s="1365">
        <f t="shared" si="158"/>
        <v>0.53806079453557221</v>
      </c>
      <c r="BI59" s="1418">
        <f t="shared" si="158"/>
        <v>0.4211827846888288</v>
      </c>
      <c r="BJ59" s="1366">
        <f t="shared" si="158"/>
        <v>0.36083227650839367</v>
      </c>
      <c r="BK59" s="1365">
        <f t="shared" si="158"/>
        <v>0.36254350230663396</v>
      </c>
      <c r="BL59" s="1365">
        <f t="shared" si="158"/>
        <v>0.33929471163585545</v>
      </c>
      <c r="BM59" s="1365">
        <f t="shared" si="158"/>
        <v>0.29112547890217066</v>
      </c>
      <c r="BN59" s="1418">
        <f t="shared" si="158"/>
        <v>0.33810644196878975</v>
      </c>
      <c r="BO59" s="1366">
        <f t="shared" si="158"/>
        <v>0.35181105423443265</v>
      </c>
      <c r="BP59" s="1365">
        <f t="shared" si="158"/>
        <v>0.34270148270537032</v>
      </c>
      <c r="BQ59" s="1365">
        <f t="shared" si="158"/>
        <v>0.29848709031049864</v>
      </c>
      <c r="BR59" s="1365">
        <f t="shared" si="158"/>
        <v>0.31982794203906073</v>
      </c>
      <c r="BS59" s="1418">
        <f>BS32/BS18</f>
        <v>0.32830133432021247</v>
      </c>
      <c r="BT59" s="1366">
        <f t="shared" ref="BT59:BW59" si="159">BT32/BT18</f>
        <v>0.499090988878719</v>
      </c>
      <c r="BU59" s="1365">
        <f t="shared" si="159"/>
        <v>0.34239544193982252</v>
      </c>
      <c r="BV59" s="1365">
        <f t="shared" si="159"/>
        <v>0.32293650810123203</v>
      </c>
      <c r="BW59" s="1365">
        <f t="shared" si="159"/>
        <v>0.35230919273582717</v>
      </c>
      <c r="BX59" s="1418">
        <f>BX32/BX18</f>
        <v>0.37887940605700682</v>
      </c>
      <c r="BY59" s="1382"/>
      <c r="BZ59" s="928"/>
      <c r="CA59" s="928"/>
      <c r="CB59" s="928"/>
      <c r="CC59" s="928"/>
      <c r="CD59" s="928"/>
      <c r="CE59" s="928"/>
      <c r="CF59" s="928"/>
      <c r="CG59" s="928"/>
      <c r="CH59" s="928"/>
      <c r="CI59" s="928"/>
      <c r="CJ59" s="928"/>
      <c r="CK59" s="928"/>
      <c r="CL59" s="928"/>
      <c r="CM59" s="928"/>
      <c r="CN59" s="928"/>
      <c r="CO59" s="928"/>
      <c r="CP59" s="928"/>
      <c r="CQ59" s="928"/>
      <c r="CR59" s="928"/>
      <c r="CS59" s="928"/>
      <c r="CT59" s="928"/>
      <c r="CU59" s="928"/>
      <c r="CV59" s="928"/>
      <c r="CW59" s="928"/>
      <c r="CX59" s="928"/>
      <c r="CY59" s="928"/>
      <c r="CZ59" s="928"/>
      <c r="DA59" s="928"/>
      <c r="DB59" s="928"/>
      <c r="DC59" s="928"/>
      <c r="DD59" s="928"/>
      <c r="DE59" s="928"/>
      <c r="DF59" s="928"/>
      <c r="DG59" s="928"/>
      <c r="DH59" s="928"/>
      <c r="DI59" s="928"/>
      <c r="DJ59" s="928"/>
      <c r="DK59" s="928"/>
      <c r="DL59" s="928"/>
      <c r="DM59" s="928"/>
      <c r="DN59" s="928"/>
      <c r="DO59" s="928"/>
      <c r="DP59" s="928"/>
      <c r="DQ59" s="928"/>
      <c r="DR59" s="928"/>
      <c r="DS59" s="928"/>
      <c r="DT59" s="928"/>
      <c r="DU59" s="928"/>
      <c r="DV59" s="928"/>
      <c r="DW59" s="928"/>
      <c r="DX59" s="928"/>
      <c r="DY59" s="1338"/>
      <c r="DZ59" s="928"/>
      <c r="EA59" s="928"/>
      <c r="EB59" s="928"/>
      <c r="EC59" s="1337"/>
      <c r="ED59" s="1338"/>
      <c r="EE59" s="928"/>
      <c r="EF59" s="928"/>
      <c r="EG59" s="928"/>
      <c r="EH59" s="1337"/>
      <c r="EI59" s="928"/>
      <c r="EJ59" s="928"/>
      <c r="EK59" s="928"/>
      <c r="EL59" s="928"/>
      <c r="EM59" s="1337"/>
      <c r="EN59" s="928"/>
      <c r="EO59" s="928"/>
      <c r="EP59" s="928"/>
      <c r="EQ59" s="928"/>
      <c r="ER59" s="928"/>
      <c r="ES59" s="928"/>
      <c r="ET59" s="928"/>
      <c r="EU59" s="928"/>
      <c r="EV59" s="928"/>
      <c r="EW59" s="928"/>
      <c r="EX59" s="928"/>
      <c r="EY59" s="928"/>
      <c r="EZ59" s="928"/>
      <c r="FA59" s="928"/>
      <c r="FB59" s="928"/>
      <c r="FC59" s="928"/>
      <c r="FD59" s="928"/>
      <c r="FE59" s="928"/>
      <c r="FF59" s="1367">
        <v>0.3304147580308554</v>
      </c>
      <c r="FG59" s="928"/>
      <c r="FH59" s="1419">
        <v>0.269738756850112</v>
      </c>
      <c r="FI59" s="1319"/>
      <c r="FJ59" s="1616">
        <v>0.35983468432859739</v>
      </c>
      <c r="FK59" s="1605"/>
      <c r="FL59" s="928"/>
      <c r="FM59" s="928"/>
      <c r="FN59" s="928"/>
      <c r="FO59" s="928"/>
      <c r="FP59" s="928"/>
      <c r="FQ59" s="928"/>
    </row>
    <row r="60" spans="1:173">
      <c r="A60" s="928"/>
      <c r="B60" s="928"/>
      <c r="C60" s="928"/>
      <c r="D60" s="928"/>
      <c r="E60" s="928"/>
      <c r="F60" s="928"/>
      <c r="G60" s="928"/>
      <c r="H60" s="928"/>
      <c r="I60" s="928"/>
      <c r="J60" s="928"/>
      <c r="K60" s="928"/>
      <c r="L60" s="928"/>
      <c r="M60" s="928"/>
      <c r="N60" s="928"/>
      <c r="O60" s="928"/>
      <c r="P60" s="928"/>
      <c r="Q60" s="928"/>
      <c r="R60" s="928"/>
      <c r="S60" s="928"/>
      <c r="T60" s="928"/>
      <c r="U60" s="928"/>
      <c r="V60" s="928"/>
      <c r="W60" s="928"/>
      <c r="X60" s="928"/>
      <c r="Y60" s="928"/>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355"/>
      <c r="BF60" s="1254"/>
      <c r="BG60" s="1254"/>
      <c r="BH60" s="1254"/>
      <c r="BI60" s="1389"/>
      <c r="BJ60" s="1355"/>
      <c r="BK60" s="1254"/>
      <c r="BL60" s="1254"/>
      <c r="BM60" s="1254"/>
      <c r="BN60" s="1389"/>
      <c r="BO60" s="1355"/>
      <c r="BP60" s="1254"/>
      <c r="BQ60" s="1254"/>
      <c r="BR60" s="1254"/>
      <c r="BS60" s="1389"/>
      <c r="BT60" s="1355"/>
      <c r="BU60" s="1254"/>
      <c r="BV60" s="1254"/>
      <c r="BW60" s="1254"/>
      <c r="BX60" s="1389"/>
      <c r="BY60" s="1254"/>
      <c r="BZ60" s="928"/>
      <c r="CA60" s="928"/>
      <c r="CB60" s="928"/>
      <c r="CC60" s="928"/>
      <c r="CD60" s="928"/>
      <c r="CE60" s="928"/>
      <c r="CF60" s="928"/>
      <c r="CG60" s="928"/>
      <c r="CH60" s="928"/>
      <c r="CI60" s="928"/>
      <c r="CJ60" s="928"/>
      <c r="CK60" s="928"/>
      <c r="CL60" s="928"/>
      <c r="CM60" s="928"/>
      <c r="CN60" s="928"/>
      <c r="CO60" s="928"/>
      <c r="CP60" s="928"/>
      <c r="CQ60" s="928"/>
      <c r="CR60" s="928"/>
      <c r="CS60" s="928"/>
      <c r="CT60" s="928"/>
      <c r="CU60" s="928"/>
      <c r="CV60" s="928"/>
      <c r="CW60" s="928"/>
      <c r="CX60" s="928"/>
      <c r="CY60" s="928"/>
      <c r="CZ60" s="928"/>
      <c r="DA60" s="928"/>
      <c r="DB60" s="928"/>
      <c r="DC60" s="928"/>
      <c r="DD60" s="928"/>
      <c r="DE60" s="928"/>
      <c r="DF60" s="928"/>
      <c r="DG60" s="928"/>
      <c r="DH60" s="928"/>
      <c r="DI60" s="928"/>
      <c r="DJ60" s="928"/>
      <c r="DK60" s="928"/>
      <c r="DL60" s="928"/>
      <c r="DM60" s="928"/>
      <c r="DN60" s="928"/>
      <c r="DO60" s="928"/>
      <c r="DP60" s="928"/>
      <c r="DQ60" s="928"/>
      <c r="DR60" s="928"/>
      <c r="DS60" s="928"/>
      <c r="DT60" s="928"/>
      <c r="DU60" s="928"/>
      <c r="DV60" s="928"/>
      <c r="DW60" s="928"/>
      <c r="DX60" s="928"/>
      <c r="DY60" s="1338"/>
      <c r="DZ60" s="928"/>
      <c r="EA60" s="928"/>
      <c r="EB60" s="928"/>
      <c r="EC60" s="1337"/>
      <c r="ED60" s="1338"/>
      <c r="EE60" s="928"/>
      <c r="EF60" s="928"/>
      <c r="EG60" s="928"/>
      <c r="EH60" s="1337"/>
      <c r="EI60" s="928"/>
      <c r="EJ60" s="928"/>
      <c r="EK60" s="928"/>
      <c r="EL60" s="928"/>
      <c r="EM60" s="1337"/>
      <c r="EN60" s="928"/>
      <c r="EO60" s="928"/>
      <c r="EP60" s="928"/>
      <c r="EQ60" s="928"/>
      <c r="ER60" s="928"/>
      <c r="ES60" s="928"/>
      <c r="ET60" s="928"/>
      <c r="EU60" s="928"/>
      <c r="EV60" s="928"/>
      <c r="EW60" s="928"/>
      <c r="EX60" s="928"/>
      <c r="EY60" s="928"/>
      <c r="EZ60" s="928"/>
      <c r="FA60" s="928"/>
      <c r="FB60" s="928"/>
      <c r="FC60" s="928"/>
      <c r="FD60" s="928"/>
      <c r="FE60" s="928"/>
      <c r="FF60" s="1363"/>
      <c r="FG60" s="928"/>
      <c r="FH60" s="1351"/>
      <c r="FI60" s="1319"/>
      <c r="FJ60" s="1612"/>
      <c r="FK60" s="1605"/>
      <c r="FL60" s="928"/>
      <c r="FM60" s="928"/>
      <c r="FN60" s="928"/>
      <c r="FO60" s="928"/>
      <c r="FP60" s="928"/>
      <c r="FQ60" s="928"/>
    </row>
    <row r="61" spans="1:173" hidden="1">
      <c r="A61" s="928" t="s">
        <v>4237</v>
      </c>
      <c r="B61" s="928"/>
      <c r="C61" s="928"/>
      <c r="D61" s="928"/>
      <c r="E61" s="928"/>
      <c r="F61" s="928"/>
      <c r="G61" s="928"/>
      <c r="H61" s="928"/>
      <c r="I61" s="928"/>
      <c r="J61" s="928"/>
      <c r="K61" s="928"/>
      <c r="L61" s="928"/>
      <c r="M61" s="928"/>
      <c r="N61" s="928"/>
      <c r="O61" s="928"/>
      <c r="P61" s="928"/>
      <c r="Q61" s="928"/>
      <c r="R61" s="1316"/>
      <c r="S61" s="1316"/>
      <c r="T61" s="1316"/>
      <c r="U61" s="1316"/>
      <c r="V61" s="1343"/>
      <c r="W61" s="1343"/>
      <c r="X61" s="1378"/>
      <c r="Y61" s="1378"/>
      <c r="Z61" s="1254"/>
      <c r="AA61" s="1343"/>
      <c r="AB61" s="1343"/>
      <c r="AC61" s="1343"/>
      <c r="AD61" s="1343"/>
      <c r="AE61" s="1254"/>
      <c r="AF61" s="1343"/>
      <c r="AG61" s="1343"/>
      <c r="AH61" s="1356"/>
      <c r="AI61" s="1356"/>
      <c r="AJ61" s="1254"/>
      <c r="AK61" s="1254"/>
      <c r="AL61" s="1254"/>
      <c r="AM61" s="1254"/>
      <c r="AN61" s="1254"/>
      <c r="AO61" s="1254"/>
      <c r="AP61" s="1316">
        <f ca="1">AP43/(AP7-AP11)</f>
        <v>0.35700179760488138</v>
      </c>
      <c r="AQ61" s="1316">
        <f>AQ43/(AQ7-AQ11)</f>
        <v>0.3759880621546513</v>
      </c>
      <c r="AR61" s="1316">
        <f>AR43/(AR7-AR11)</f>
        <v>0.35755172413793102</v>
      </c>
      <c r="AS61" s="1316">
        <f>AS43/(AS7-AS11)</f>
        <v>0.37928928477468332</v>
      </c>
      <c r="AT61" s="1254"/>
      <c r="AU61" s="1254"/>
      <c r="AV61" s="1254"/>
      <c r="AW61" s="1254"/>
      <c r="AX61" s="1254"/>
      <c r="AY61" s="1254"/>
      <c r="AZ61" s="1254"/>
      <c r="BA61" s="1254"/>
      <c r="BB61" s="1254"/>
      <c r="BC61" s="1254"/>
      <c r="BD61" s="1254"/>
      <c r="BE61" s="1355"/>
      <c r="BF61" s="1254"/>
      <c r="BG61" s="1254"/>
      <c r="BH61" s="1254"/>
      <c r="BI61" s="1389"/>
      <c r="BJ61" s="1355"/>
      <c r="BK61" s="1254"/>
      <c r="BL61" s="1254"/>
      <c r="BM61" s="1254"/>
      <c r="BN61" s="1389"/>
      <c r="BO61" s="1355"/>
      <c r="BP61" s="1254"/>
      <c r="BQ61" s="1254"/>
      <c r="BR61" s="1254"/>
      <c r="BS61" s="1389"/>
      <c r="BT61" s="1355"/>
      <c r="BU61" s="1254"/>
      <c r="BV61" s="1254"/>
      <c r="BW61" s="1254"/>
      <c r="BX61" s="1389"/>
      <c r="BY61" s="1254"/>
      <c r="BZ61" s="928"/>
      <c r="CA61" s="928"/>
      <c r="CB61" s="928"/>
      <c r="CC61" s="928"/>
      <c r="CD61" s="928"/>
      <c r="CE61" s="928"/>
      <c r="CF61" s="928"/>
      <c r="CG61" s="928"/>
      <c r="CH61" s="928"/>
      <c r="CI61" s="928"/>
      <c r="CJ61" s="928"/>
      <c r="CK61" s="928"/>
      <c r="CL61" s="928"/>
      <c r="CM61" s="928"/>
      <c r="CN61" s="928"/>
      <c r="CO61" s="928"/>
      <c r="CP61" s="928"/>
      <c r="CQ61" s="928"/>
      <c r="CR61" s="928"/>
      <c r="CS61" s="928"/>
      <c r="CT61" s="928"/>
      <c r="CU61" s="928"/>
      <c r="CV61" s="928"/>
      <c r="CW61" s="928"/>
      <c r="CX61" s="928"/>
      <c r="CY61" s="928"/>
      <c r="CZ61" s="928"/>
      <c r="DA61" s="928"/>
      <c r="DB61" s="928"/>
      <c r="DC61" s="928"/>
      <c r="DD61" s="928"/>
      <c r="DE61" s="928"/>
      <c r="DF61" s="928"/>
      <c r="DG61" s="928"/>
      <c r="DH61" s="928"/>
      <c r="DI61" s="928"/>
      <c r="DJ61" s="928"/>
      <c r="DK61" s="928"/>
      <c r="DL61" s="928"/>
      <c r="DM61" s="928"/>
      <c r="DN61" s="928"/>
      <c r="DO61" s="928"/>
      <c r="DP61" s="928"/>
      <c r="DQ61" s="928"/>
      <c r="DR61" s="928"/>
      <c r="DS61" s="928"/>
      <c r="DT61" s="928"/>
      <c r="DU61" s="928"/>
      <c r="DV61" s="928"/>
      <c r="DW61" s="928"/>
      <c r="DX61" s="928"/>
      <c r="DY61" s="1338"/>
      <c r="DZ61" s="928"/>
      <c r="EA61" s="928"/>
      <c r="EB61" s="928"/>
      <c r="EC61" s="1337"/>
      <c r="ED61" s="1338"/>
      <c r="EE61" s="928"/>
      <c r="EF61" s="928"/>
      <c r="EG61" s="928"/>
      <c r="EH61" s="1337"/>
      <c r="EI61" s="928"/>
      <c r="EJ61" s="928"/>
      <c r="EK61" s="928"/>
      <c r="EL61" s="928"/>
      <c r="EM61" s="1337"/>
      <c r="EN61" s="928"/>
      <c r="EO61" s="928"/>
      <c r="EP61" s="928"/>
      <c r="EQ61" s="928"/>
      <c r="ER61" s="928"/>
      <c r="ES61" s="928"/>
      <c r="ET61" s="928"/>
      <c r="EU61" s="928"/>
      <c r="EV61" s="928"/>
      <c r="EW61" s="928"/>
      <c r="EX61" s="928"/>
      <c r="EY61" s="928"/>
      <c r="EZ61" s="928"/>
      <c r="FA61" s="928"/>
      <c r="FB61" s="928"/>
      <c r="FC61" s="928"/>
      <c r="FD61" s="928"/>
      <c r="FE61" s="928"/>
      <c r="FF61" s="1363"/>
      <c r="FG61" s="928"/>
      <c r="FH61" s="1351"/>
      <c r="FI61" s="1319"/>
      <c r="FJ61" s="1612"/>
      <c r="FK61" s="1605"/>
      <c r="FL61" s="928"/>
      <c r="FM61" s="928"/>
      <c r="FN61" s="928"/>
      <c r="FO61" s="928"/>
      <c r="FP61" s="928"/>
      <c r="FQ61" s="928"/>
    </row>
    <row r="62" spans="1:173" hidden="1">
      <c r="A62" s="928" t="s">
        <v>4238</v>
      </c>
      <c r="B62" s="928"/>
      <c r="C62" s="928"/>
      <c r="D62" s="928"/>
      <c r="E62" s="928"/>
      <c r="F62" s="928"/>
      <c r="G62" s="928"/>
      <c r="H62" s="928"/>
      <c r="I62" s="928"/>
      <c r="J62" s="928"/>
      <c r="K62" s="928"/>
      <c r="L62" s="928"/>
      <c r="M62" s="928"/>
      <c r="N62" s="928"/>
      <c r="O62" s="928"/>
      <c r="P62" s="928"/>
      <c r="Q62" s="928"/>
      <c r="R62" s="1316"/>
      <c r="S62" s="1316"/>
      <c r="T62" s="1316"/>
      <c r="U62" s="1316"/>
      <c r="V62" s="1343"/>
      <c r="W62" s="1343"/>
      <c r="X62" s="1378"/>
      <c r="Y62" s="1378"/>
      <c r="Z62" s="1254"/>
      <c r="AA62" s="1343"/>
      <c r="AB62" s="1343"/>
      <c r="AC62" s="1343"/>
      <c r="AD62" s="1343"/>
      <c r="AE62" s="1254"/>
      <c r="AF62" s="1343"/>
      <c r="AG62" s="1343"/>
      <c r="AH62" s="1356"/>
      <c r="AI62" s="1356"/>
      <c r="AJ62" s="1254"/>
      <c r="AK62" s="1254"/>
      <c r="AL62" s="1254"/>
      <c r="AM62" s="1254"/>
      <c r="AN62" s="1254"/>
      <c r="AO62" s="1254"/>
      <c r="AP62" s="1316">
        <f ca="1">((AP43-(0.36*AK182*AP180))/(AP7-AP11-(0.36*AK186*AP180)))</f>
        <v>0.33386062373747249</v>
      </c>
      <c r="AQ62" s="1316">
        <f>((AQ43-(0.36*AK182*AQ180))/(AQ7-AQ11-(0.36*AK186*AQ180)))</f>
        <v>0.35675253376209026</v>
      </c>
      <c r="AR62" s="1316">
        <f>((AR43-(0.36*AL182*AR180))/(AR7-AR11-(0.36*AL186*AR180)))</f>
        <v>0.33958806874858061</v>
      </c>
      <c r="AS62" s="1316">
        <f>((AS43-(0.36*AM182*AS180))/(AS7-AS11-(0.36*AM186*AS180)))</f>
        <v>0.36391253997819212</v>
      </c>
      <c r="AT62" s="1254"/>
      <c r="AU62" s="1254"/>
      <c r="AV62" s="1254"/>
      <c r="AW62" s="1254"/>
      <c r="AX62" s="1254"/>
      <c r="AY62" s="1254"/>
      <c r="AZ62" s="1254"/>
      <c r="BA62" s="1254"/>
      <c r="BB62" s="1254"/>
      <c r="BC62" s="1254"/>
      <c r="BD62" s="1254"/>
      <c r="BE62" s="1355"/>
      <c r="BF62" s="1254"/>
      <c r="BG62" s="1254"/>
      <c r="BH62" s="1254"/>
      <c r="BI62" s="1389"/>
      <c r="BJ62" s="1355"/>
      <c r="BK62" s="1254"/>
      <c r="BL62" s="1254"/>
      <c r="BM62" s="1254"/>
      <c r="BN62" s="1389"/>
      <c r="BO62" s="1355"/>
      <c r="BP62" s="1254"/>
      <c r="BQ62" s="1254"/>
      <c r="BR62" s="1254"/>
      <c r="BS62" s="1389"/>
      <c r="BT62" s="1355"/>
      <c r="BU62" s="1254"/>
      <c r="BV62" s="1254"/>
      <c r="BW62" s="1254"/>
      <c r="BX62" s="1389"/>
      <c r="BY62" s="1254"/>
      <c r="BZ62" s="928"/>
      <c r="CA62" s="928"/>
      <c r="CB62" s="928"/>
      <c r="CC62" s="928"/>
      <c r="CD62" s="928"/>
      <c r="CE62" s="928"/>
      <c r="CF62" s="928"/>
      <c r="CG62" s="928"/>
      <c r="CH62" s="928"/>
      <c r="CI62" s="928"/>
      <c r="CJ62" s="928"/>
      <c r="CK62" s="928"/>
      <c r="CL62" s="928"/>
      <c r="CM62" s="928"/>
      <c r="CN62" s="928"/>
      <c r="CO62" s="928"/>
      <c r="CP62" s="928"/>
      <c r="CQ62" s="928"/>
      <c r="CR62" s="928"/>
      <c r="CS62" s="928"/>
      <c r="CT62" s="928"/>
      <c r="CU62" s="928"/>
      <c r="CV62" s="928"/>
      <c r="CW62" s="928"/>
      <c r="CX62" s="928"/>
      <c r="CY62" s="928"/>
      <c r="CZ62" s="928"/>
      <c r="DA62" s="928"/>
      <c r="DB62" s="928"/>
      <c r="DC62" s="928"/>
      <c r="DD62" s="928"/>
      <c r="DE62" s="928"/>
      <c r="DF62" s="928"/>
      <c r="DG62" s="928"/>
      <c r="DH62" s="928"/>
      <c r="DI62" s="928"/>
      <c r="DJ62" s="928"/>
      <c r="DK62" s="928"/>
      <c r="DL62" s="928"/>
      <c r="DM62" s="928"/>
      <c r="DN62" s="928"/>
      <c r="DO62" s="928"/>
      <c r="DP62" s="928"/>
      <c r="DQ62" s="928"/>
      <c r="DR62" s="928"/>
      <c r="DS62" s="928"/>
      <c r="DT62" s="928"/>
      <c r="DU62" s="928"/>
      <c r="DV62" s="928"/>
      <c r="DW62" s="928"/>
      <c r="DX62" s="928"/>
      <c r="DY62" s="1338"/>
      <c r="DZ62" s="928"/>
      <c r="EA62" s="928"/>
      <c r="EB62" s="928"/>
      <c r="EC62" s="1337"/>
      <c r="ED62" s="1338"/>
      <c r="EE62" s="928"/>
      <c r="EF62" s="928"/>
      <c r="EG62" s="928"/>
      <c r="EH62" s="1337"/>
      <c r="EI62" s="928"/>
      <c r="EJ62" s="928"/>
      <c r="EK62" s="928"/>
      <c r="EL62" s="928"/>
      <c r="EM62" s="1337"/>
      <c r="EN62" s="928"/>
      <c r="EO62" s="928"/>
      <c r="EP62" s="928"/>
      <c r="EQ62" s="928"/>
      <c r="ER62" s="928"/>
      <c r="ES62" s="928"/>
      <c r="ET62" s="928"/>
      <c r="EU62" s="928"/>
      <c r="EV62" s="928"/>
      <c r="EW62" s="928"/>
      <c r="EX62" s="928"/>
      <c r="EY62" s="928"/>
      <c r="EZ62" s="928"/>
      <c r="FA62" s="928"/>
      <c r="FB62" s="928"/>
      <c r="FC62" s="928"/>
      <c r="FD62" s="928"/>
      <c r="FE62" s="928"/>
      <c r="FF62" s="1363"/>
      <c r="FG62" s="928"/>
      <c r="FH62" s="1351"/>
      <c r="FI62" s="1319"/>
      <c r="FJ62" s="1612"/>
      <c r="FK62" s="1605"/>
      <c r="FL62" s="928"/>
      <c r="FM62" s="928"/>
      <c r="FN62" s="928"/>
      <c r="FO62" s="928"/>
      <c r="FP62" s="928"/>
      <c r="FQ62" s="928"/>
    </row>
    <row r="63" spans="1:173" hidden="1">
      <c r="A63" s="928"/>
      <c r="B63" s="928"/>
      <c r="C63" s="928"/>
      <c r="D63" s="928"/>
      <c r="E63" s="928"/>
      <c r="F63" s="928"/>
      <c r="G63" s="928"/>
      <c r="H63" s="928"/>
      <c r="I63" s="928"/>
      <c r="J63" s="928"/>
      <c r="K63" s="928"/>
      <c r="L63" s="928"/>
      <c r="M63" s="928"/>
      <c r="N63" s="928"/>
      <c r="O63" s="928"/>
      <c r="P63" s="928"/>
      <c r="Q63" s="928"/>
      <c r="R63" s="1316"/>
      <c r="S63" s="1316"/>
      <c r="T63" s="1316"/>
      <c r="U63" s="1316"/>
      <c r="V63" s="1343"/>
      <c r="W63" s="1343"/>
      <c r="X63" s="1378"/>
      <c r="Y63" s="1378"/>
      <c r="Z63" s="1254"/>
      <c r="AA63" s="1343"/>
      <c r="AB63" s="1343"/>
      <c r="AC63" s="1343"/>
      <c r="AD63" s="1343"/>
      <c r="AE63" s="1254"/>
      <c r="AF63" s="1343"/>
      <c r="AG63" s="1343"/>
      <c r="AH63" s="1356"/>
      <c r="AI63" s="1356"/>
      <c r="AJ63" s="1254"/>
      <c r="AK63" s="1254"/>
      <c r="AL63" s="1254"/>
      <c r="AM63" s="1254"/>
      <c r="AN63" s="1254"/>
      <c r="AO63" s="1254"/>
      <c r="AP63" s="1316">
        <f ca="1">AP62-AK51</f>
        <v>-2.5309277643739192E-2</v>
      </c>
      <c r="AQ63" s="1316">
        <f>AQ62-AL51</f>
        <v>-3.7643137308626284E-2</v>
      </c>
      <c r="AR63" s="1316">
        <f>AR62-AM51</f>
        <v>-4.6966448385375781E-2</v>
      </c>
      <c r="AS63" s="1316">
        <f>AS62-AN51</f>
        <v>-5.6493978294225866E-3</v>
      </c>
      <c r="AT63" s="1254"/>
      <c r="AU63" s="1254"/>
      <c r="AV63" s="1254"/>
      <c r="AW63" s="1254"/>
      <c r="AX63" s="1254"/>
      <c r="AY63" s="1254"/>
      <c r="AZ63" s="1254"/>
      <c r="BA63" s="1254"/>
      <c r="BB63" s="1254"/>
      <c r="BC63" s="1254"/>
      <c r="BD63" s="1254"/>
      <c r="BE63" s="1355"/>
      <c r="BF63" s="1254"/>
      <c r="BG63" s="1254"/>
      <c r="BH63" s="1254"/>
      <c r="BI63" s="1389"/>
      <c r="BJ63" s="1355"/>
      <c r="BK63" s="1254"/>
      <c r="BL63" s="1254"/>
      <c r="BM63" s="1254"/>
      <c r="BN63" s="1389"/>
      <c r="BO63" s="1355"/>
      <c r="BP63" s="1254"/>
      <c r="BQ63" s="1254"/>
      <c r="BR63" s="1254"/>
      <c r="BS63" s="1389"/>
      <c r="BT63" s="1355"/>
      <c r="BU63" s="1254"/>
      <c r="BV63" s="1254"/>
      <c r="BW63" s="1254"/>
      <c r="BX63" s="1389"/>
      <c r="BY63" s="1254"/>
      <c r="BZ63" s="928"/>
      <c r="CA63" s="928"/>
      <c r="CB63" s="928"/>
      <c r="CC63" s="928"/>
      <c r="CD63" s="928"/>
      <c r="CE63" s="928"/>
      <c r="CF63" s="928"/>
      <c r="CG63" s="928"/>
      <c r="CH63" s="928"/>
      <c r="CI63" s="928"/>
      <c r="CJ63" s="928"/>
      <c r="CK63" s="928"/>
      <c r="CL63" s="928"/>
      <c r="CM63" s="928"/>
      <c r="CN63" s="928"/>
      <c r="CO63" s="928"/>
      <c r="CP63" s="928"/>
      <c r="CQ63" s="928"/>
      <c r="CR63" s="928"/>
      <c r="CS63" s="928"/>
      <c r="CT63" s="928"/>
      <c r="CU63" s="928"/>
      <c r="CV63" s="928"/>
      <c r="CW63" s="928"/>
      <c r="CX63" s="928"/>
      <c r="CY63" s="928"/>
      <c r="CZ63" s="928"/>
      <c r="DA63" s="928"/>
      <c r="DB63" s="928"/>
      <c r="DC63" s="928"/>
      <c r="DD63" s="928"/>
      <c r="DE63" s="928"/>
      <c r="DF63" s="928"/>
      <c r="DG63" s="928"/>
      <c r="DH63" s="928"/>
      <c r="DI63" s="928"/>
      <c r="DJ63" s="928"/>
      <c r="DK63" s="928"/>
      <c r="DL63" s="928"/>
      <c r="DM63" s="928"/>
      <c r="DN63" s="928"/>
      <c r="DO63" s="928"/>
      <c r="DP63" s="928"/>
      <c r="DQ63" s="928"/>
      <c r="DR63" s="928"/>
      <c r="DS63" s="928"/>
      <c r="DT63" s="928"/>
      <c r="DU63" s="928"/>
      <c r="DV63" s="928"/>
      <c r="DW63" s="928"/>
      <c r="DX63" s="928"/>
      <c r="DY63" s="1338"/>
      <c r="DZ63" s="928"/>
      <c r="EA63" s="928"/>
      <c r="EB63" s="928"/>
      <c r="EC63" s="1337"/>
      <c r="ED63" s="1338"/>
      <c r="EE63" s="928"/>
      <c r="EF63" s="928"/>
      <c r="EG63" s="928"/>
      <c r="EH63" s="1337"/>
      <c r="EI63" s="928"/>
      <c r="EJ63" s="928"/>
      <c r="EK63" s="928"/>
      <c r="EL63" s="928"/>
      <c r="EM63" s="1337"/>
      <c r="EN63" s="928"/>
      <c r="EO63" s="928"/>
      <c r="EP63" s="928"/>
      <c r="EQ63" s="928"/>
      <c r="ER63" s="928"/>
      <c r="ES63" s="928"/>
      <c r="ET63" s="928"/>
      <c r="EU63" s="928"/>
      <c r="EV63" s="928"/>
      <c r="EW63" s="928"/>
      <c r="EX63" s="928"/>
      <c r="EY63" s="928"/>
      <c r="EZ63" s="928"/>
      <c r="FA63" s="928"/>
      <c r="FB63" s="928"/>
      <c r="FC63" s="928"/>
      <c r="FD63" s="928"/>
      <c r="FE63" s="928"/>
      <c r="FF63" s="1363"/>
      <c r="FG63" s="928"/>
      <c r="FH63" s="1351"/>
      <c r="FI63" s="1319"/>
      <c r="FJ63" s="1612"/>
      <c r="FK63" s="1605"/>
      <c r="FL63" s="928"/>
      <c r="FM63" s="928"/>
      <c r="FN63" s="928"/>
      <c r="FO63" s="928"/>
      <c r="FP63" s="928"/>
      <c r="FQ63" s="928"/>
    </row>
    <row r="64" spans="1:173">
      <c r="A64" s="928"/>
      <c r="B64" s="928"/>
      <c r="C64" s="928"/>
      <c r="D64" s="928"/>
      <c r="E64" s="928"/>
      <c r="F64" s="928"/>
      <c r="G64" s="928"/>
      <c r="H64" s="928"/>
      <c r="I64" s="928"/>
      <c r="J64" s="928"/>
      <c r="K64" s="928"/>
      <c r="L64" s="928"/>
      <c r="M64" s="928"/>
      <c r="N64" s="928"/>
      <c r="O64" s="928"/>
      <c r="P64" s="928"/>
      <c r="Q64" s="928"/>
      <c r="R64" s="1316"/>
      <c r="S64" s="1316"/>
      <c r="T64" s="1316"/>
      <c r="U64" s="1316"/>
      <c r="V64" s="1343"/>
      <c r="W64" s="1343"/>
      <c r="X64" s="1378"/>
      <c r="Y64" s="1378"/>
      <c r="Z64" s="1254"/>
      <c r="AA64" s="1343"/>
      <c r="AB64" s="1343"/>
      <c r="AC64" s="1343"/>
      <c r="AD64" s="1343"/>
      <c r="AE64" s="1254"/>
      <c r="AF64" s="1343"/>
      <c r="AG64" s="1343"/>
      <c r="AH64" s="1356"/>
      <c r="AI64" s="1356"/>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355"/>
      <c r="BF64" s="1254"/>
      <c r="BG64" s="1254"/>
      <c r="BH64" s="1254"/>
      <c r="BI64" s="1389"/>
      <c r="BJ64" s="1355"/>
      <c r="BK64" s="1254"/>
      <c r="BL64" s="1254"/>
      <c r="BM64" s="1254"/>
      <c r="BN64" s="1389"/>
      <c r="BO64" s="1355"/>
      <c r="BP64" s="1254"/>
      <c r="BQ64" s="1254"/>
      <c r="BR64" s="1254"/>
      <c r="BS64" s="1389"/>
      <c r="BT64" s="1355"/>
      <c r="BU64" s="1254"/>
      <c r="BV64" s="1254"/>
      <c r="BW64" s="1254"/>
      <c r="BX64" s="1389"/>
      <c r="BY64" s="1254"/>
      <c r="BZ64" s="928"/>
      <c r="CA64" s="928"/>
      <c r="CB64" s="928"/>
      <c r="CC64" s="928"/>
      <c r="CD64" s="928"/>
      <c r="CE64" s="928"/>
      <c r="CF64" s="928"/>
      <c r="CG64" s="928"/>
      <c r="CH64" s="928"/>
      <c r="CI64" s="928"/>
      <c r="CJ64" s="928"/>
      <c r="CK64" s="928"/>
      <c r="CL64" s="928"/>
      <c r="CM64" s="928"/>
      <c r="CN64" s="928"/>
      <c r="CO64" s="928"/>
      <c r="CP64" s="928"/>
      <c r="CQ64" s="928"/>
      <c r="CR64" s="928"/>
      <c r="CS64" s="928"/>
      <c r="CT64" s="928"/>
      <c r="CU64" s="928"/>
      <c r="CV64" s="928"/>
      <c r="CW64" s="928"/>
      <c r="CX64" s="928"/>
      <c r="CY64" s="928"/>
      <c r="CZ64" s="928"/>
      <c r="DA64" s="928"/>
      <c r="DB64" s="928"/>
      <c r="DC64" s="928"/>
      <c r="DD64" s="928"/>
      <c r="DE64" s="928"/>
      <c r="DF64" s="928"/>
      <c r="DG64" s="928"/>
      <c r="DH64" s="928"/>
      <c r="DI64" s="928"/>
      <c r="DJ64" s="928"/>
      <c r="DK64" s="928"/>
      <c r="DL64" s="928"/>
      <c r="DM64" s="928"/>
      <c r="DN64" s="928"/>
      <c r="DO64" s="928"/>
      <c r="DP64" s="928"/>
      <c r="DQ64" s="928"/>
      <c r="DR64" s="928"/>
      <c r="DS64" s="928"/>
      <c r="DT64" s="928"/>
      <c r="DU64" s="928"/>
      <c r="DV64" s="928"/>
      <c r="DW64" s="928"/>
      <c r="DX64" s="928"/>
      <c r="DY64" s="1338"/>
      <c r="DZ64" s="928"/>
      <c r="EA64" s="928"/>
      <c r="EB64" s="928"/>
      <c r="EC64" s="1337"/>
      <c r="ED64" s="1338"/>
      <c r="EE64" s="928"/>
      <c r="EF64" s="928"/>
      <c r="EG64" s="928"/>
      <c r="EH64" s="1337"/>
      <c r="EI64" s="928"/>
      <c r="EJ64" s="928"/>
      <c r="EK64" s="928"/>
      <c r="EL64" s="928"/>
      <c r="EM64" s="1337"/>
      <c r="EN64" s="928"/>
      <c r="EO64" s="928"/>
      <c r="EP64" s="928"/>
      <c r="EQ64" s="928"/>
      <c r="ER64" s="928"/>
      <c r="ES64" s="928"/>
      <c r="ET64" s="928"/>
      <c r="EU64" s="928"/>
      <c r="EV64" s="928"/>
      <c r="EW64" s="928"/>
      <c r="EX64" s="928"/>
      <c r="EY64" s="928"/>
      <c r="EZ64" s="928"/>
      <c r="FA64" s="928"/>
      <c r="FB64" s="928"/>
      <c r="FC64" s="928"/>
      <c r="FD64" s="928"/>
      <c r="FE64" s="928"/>
      <c r="FF64" s="1363"/>
      <c r="FG64" s="928"/>
      <c r="FH64" s="1351"/>
      <c r="FI64" s="1319"/>
      <c r="FJ64" s="1612"/>
      <c r="FK64" s="1605"/>
      <c r="FL64" s="928"/>
      <c r="FM64" s="928"/>
      <c r="FN64" s="928"/>
      <c r="FO64" s="928"/>
      <c r="FP64" s="928"/>
      <c r="FQ64" s="928"/>
    </row>
    <row r="65" spans="1:173">
      <c r="A65" s="928" t="s">
        <v>265</v>
      </c>
      <c r="B65" s="928"/>
      <c r="C65" s="928"/>
      <c r="D65" s="928"/>
      <c r="E65" s="928"/>
      <c r="F65" s="928"/>
      <c r="G65" s="928">
        <f>-1904-H65</f>
        <v>-901</v>
      </c>
      <c r="H65" s="928">
        <v>-1003</v>
      </c>
      <c r="I65" s="1413">
        <v>-1123.0999999999999</v>
      </c>
      <c r="J65" s="928">
        <v>-1147.3</v>
      </c>
      <c r="K65" s="928"/>
      <c r="L65" s="1413">
        <f>-2162-M65</f>
        <v>-1084.5</v>
      </c>
      <c r="M65" s="1413">
        <v>-1077.5</v>
      </c>
      <c r="N65" s="1413">
        <v>-1064.9000000000001</v>
      </c>
      <c r="O65" s="1413">
        <v>-1142.4000000000001</v>
      </c>
      <c r="P65" s="1413">
        <f>-Master!K246</f>
        <v>-4369</v>
      </c>
      <c r="Q65" s="1413">
        <v>-1104.5</v>
      </c>
      <c r="R65" s="1413">
        <v>-1165.4000000000001</v>
      </c>
      <c r="S65" s="1413">
        <v>-1233.9000000000001</v>
      </c>
      <c r="T65" s="1413">
        <f>-4803.2-Q65-R65-S65</f>
        <v>-1299.3999999999996</v>
      </c>
      <c r="U65" s="1413"/>
      <c r="V65" s="1413">
        <v>-1239.4000000000001</v>
      </c>
      <c r="W65" s="1413">
        <v>-1396.1</v>
      </c>
      <c r="X65" s="1413">
        <v>-1421.4</v>
      </c>
      <c r="Y65" s="1413">
        <f>-5551.5-V65-W65-X65</f>
        <v>-1494.6000000000004</v>
      </c>
      <c r="Z65" s="1413"/>
      <c r="AA65" s="1413">
        <v>-1477.7</v>
      </c>
      <c r="AB65" s="1413">
        <v>-1530.4</v>
      </c>
      <c r="AC65" s="1413">
        <v>-1557.4</v>
      </c>
      <c r="AD65" s="1413">
        <f>-6239.4-AA65-AB65-AC65</f>
        <v>-1673.8999999999996</v>
      </c>
      <c r="AE65" s="1413">
        <f>-Master!N246</f>
        <v>-6239</v>
      </c>
      <c r="AF65" s="1413">
        <v>-1983.3</v>
      </c>
      <c r="AG65" s="1413">
        <v>-2000.7</v>
      </c>
      <c r="AH65" s="1413">
        <v>-2263.6</v>
      </c>
      <c r="AI65" s="1413">
        <f>-8497.9-AF65-AG65-AH65</f>
        <v>-2250.2999999999997</v>
      </c>
      <c r="AJ65" s="1413">
        <f>-Master!O246</f>
        <v>-8497.9</v>
      </c>
      <c r="AK65" s="1413">
        <v>-2262.9</v>
      </c>
      <c r="AL65" s="1413">
        <v>-2233.4</v>
      </c>
      <c r="AM65" s="1413">
        <v>-2194.1</v>
      </c>
      <c r="AN65" s="1413">
        <f>-9245.7-AK65-AL65-AM65</f>
        <v>-2555.3000000000015</v>
      </c>
      <c r="AO65" s="1413">
        <f>-Master!P246</f>
        <v>-9246</v>
      </c>
      <c r="AP65" s="1413">
        <v>-2289.1999999999998</v>
      </c>
      <c r="AQ65" s="1413">
        <v>-2352.6999999999998</v>
      </c>
      <c r="AR65" s="1413">
        <v>-2395.1</v>
      </c>
      <c r="AS65" s="1413">
        <v>-2973.4</v>
      </c>
      <c r="AT65" s="1413">
        <f>-Master!Q246</f>
        <v>-9707</v>
      </c>
      <c r="AU65" s="1413">
        <v>-2406.8000000000002</v>
      </c>
      <c r="AV65" s="1413">
        <v>-2576.3000000000002</v>
      </c>
      <c r="AW65" s="1413">
        <v>-2861.5</v>
      </c>
      <c r="AX65" s="1413">
        <v>-3117.1</v>
      </c>
      <c r="AY65" s="1413"/>
      <c r="AZ65" s="1413">
        <v>-2528.9</v>
      </c>
      <c r="BA65" s="1413">
        <v>-2885.1</v>
      </c>
      <c r="BB65" s="1413">
        <v>-2788.9</v>
      </c>
      <c r="BC65" s="1413">
        <f>-Master!S246-AZ65-BA65-BB65</f>
        <v>-2299.1</v>
      </c>
      <c r="BD65" s="1413"/>
      <c r="BE65" s="1499">
        <v>-2302.4</v>
      </c>
      <c r="BF65" s="1413">
        <v>-2206.1</v>
      </c>
      <c r="BG65" s="1413">
        <v>-2274.1</v>
      </c>
      <c r="BH65" s="1413">
        <v>-2379.7999999999988</v>
      </c>
      <c r="BI65" s="1500">
        <f>-Master!T238</f>
        <v>-11918</v>
      </c>
      <c r="BJ65" s="1523">
        <v>-2805.9</v>
      </c>
      <c r="BK65" s="1451">
        <v>-2214.9</v>
      </c>
      <c r="BL65" s="1451">
        <v>-2300</v>
      </c>
      <c r="BM65" s="1451">
        <f>-9455.6-BJ65-BK65-BL65</f>
        <v>-2134.8000000000011</v>
      </c>
      <c r="BN65" s="1514">
        <f>-Master!U238</f>
        <v>-9206.2000000000007</v>
      </c>
      <c r="BO65" s="1523">
        <v>-2111.1999999999998</v>
      </c>
      <c r="BP65" s="1451">
        <v>-2023.1</v>
      </c>
      <c r="BQ65" s="1451">
        <v>-1529.3</v>
      </c>
      <c r="BR65" s="1451">
        <f>-7654.3-BO65-BP65-BQ65</f>
        <v>-1990.7000000000005</v>
      </c>
      <c r="BS65" s="1514">
        <f>-Master!V246</f>
        <v>-7654.3</v>
      </c>
      <c r="BT65" s="1523">
        <v>-1911.2</v>
      </c>
      <c r="BU65" s="1537">
        <v>-1700</v>
      </c>
      <c r="BV65" s="1537">
        <v>-1700</v>
      </c>
      <c r="BW65" s="1576">
        <f>BX65-BT65-BU65-BV65</f>
        <v>-1701.4642942064393</v>
      </c>
      <c r="BX65" s="1514">
        <f>-Master!W246</f>
        <v>-7012.6642942064391</v>
      </c>
      <c r="BZ65" s="928"/>
      <c r="CA65" s="928"/>
      <c r="CB65" s="928"/>
      <c r="CC65" s="928"/>
      <c r="CD65" s="928"/>
      <c r="CE65" s="928"/>
      <c r="CF65" s="928"/>
      <c r="CG65" s="928"/>
      <c r="CH65" s="928"/>
      <c r="CI65" s="928"/>
      <c r="CJ65" s="928"/>
      <c r="CK65" s="928"/>
      <c r="CL65" s="928"/>
      <c r="CM65" s="928"/>
      <c r="CN65" s="928"/>
      <c r="CO65" s="928"/>
      <c r="CP65" s="928"/>
      <c r="CQ65" s="928"/>
      <c r="CR65" s="928"/>
      <c r="CS65" s="928"/>
      <c r="CT65" s="928"/>
      <c r="CU65" s="928"/>
      <c r="CV65" s="928"/>
      <c r="CW65" s="928"/>
      <c r="CX65" s="928"/>
      <c r="CY65" s="928"/>
      <c r="CZ65" s="928"/>
      <c r="DA65" s="928"/>
      <c r="DB65" s="928"/>
      <c r="DC65" s="928"/>
      <c r="DD65" s="928"/>
      <c r="DE65" s="928"/>
      <c r="DF65" s="928"/>
      <c r="DG65" s="928"/>
      <c r="DH65" s="928"/>
      <c r="DI65" s="928"/>
      <c r="DJ65" s="928"/>
      <c r="DK65" s="928"/>
      <c r="DL65" s="928"/>
      <c r="DM65" s="928"/>
      <c r="DN65" s="928"/>
      <c r="DO65" s="928"/>
      <c r="DP65" s="928"/>
      <c r="DQ65" s="928"/>
      <c r="DR65" s="928"/>
      <c r="DS65" s="928"/>
      <c r="DT65" s="928"/>
      <c r="DU65" s="928"/>
      <c r="DV65" s="928"/>
      <c r="DW65" s="928"/>
      <c r="DX65" s="928"/>
      <c r="DY65" s="1338"/>
      <c r="DZ65" s="928"/>
      <c r="EA65" s="928"/>
      <c r="EB65" s="928"/>
      <c r="EC65" s="1337"/>
      <c r="ED65" s="1338"/>
      <c r="EE65" s="928"/>
      <c r="EF65" s="928"/>
      <c r="EG65" s="928"/>
      <c r="EH65" s="1337"/>
      <c r="EI65" s="928"/>
      <c r="EJ65" s="928"/>
      <c r="EK65" s="928"/>
      <c r="EL65" s="928"/>
      <c r="EM65" s="1337"/>
      <c r="EN65" s="928"/>
      <c r="EO65" s="928"/>
      <c r="EP65" s="928"/>
      <c r="EQ65" s="928"/>
      <c r="ER65" s="928"/>
      <c r="ES65" s="928"/>
      <c r="ET65" s="928"/>
      <c r="EU65" s="928"/>
      <c r="EV65" s="928"/>
      <c r="EW65" s="928"/>
      <c r="EX65" s="928"/>
      <c r="EY65" s="928"/>
      <c r="EZ65" s="928"/>
      <c r="FA65" s="928"/>
      <c r="FB65" s="928"/>
      <c r="FC65" s="928"/>
      <c r="FD65" s="928"/>
      <c r="FE65" s="928"/>
      <c r="FF65" s="1349">
        <v>-2000</v>
      </c>
      <c r="FG65" s="928"/>
      <c r="FH65" s="1425">
        <v>-1970.6309610907394</v>
      </c>
      <c r="FI65" s="1319"/>
      <c r="FJ65" s="1618">
        <v>-1750</v>
      </c>
      <c r="FK65" s="1605"/>
      <c r="FL65" s="928"/>
      <c r="FM65" s="928"/>
      <c r="FN65" s="928"/>
      <c r="FO65" s="928"/>
      <c r="FP65" s="928"/>
      <c r="FQ65" s="928"/>
    </row>
    <row r="66" spans="1:173">
      <c r="A66" s="928" t="s">
        <v>261</v>
      </c>
      <c r="B66" s="928"/>
      <c r="C66" s="928"/>
      <c r="D66" s="928"/>
      <c r="E66" s="928"/>
      <c r="F66" s="928"/>
      <c r="G66" s="928">
        <f>456-H66</f>
        <v>297</v>
      </c>
      <c r="H66" s="928">
        <v>159</v>
      </c>
      <c r="I66" s="1413">
        <v>269.10000000000002</v>
      </c>
      <c r="J66" s="928">
        <v>421.5</v>
      </c>
      <c r="K66" s="928"/>
      <c r="L66" s="1413">
        <f>508-M66</f>
        <v>283.5</v>
      </c>
      <c r="M66" s="1413">
        <v>224.5</v>
      </c>
      <c r="N66" s="1413">
        <v>212.6</v>
      </c>
      <c r="O66" s="1413">
        <v>323.3</v>
      </c>
      <c r="P66" s="1413">
        <f>Master!K241</f>
        <v>1044</v>
      </c>
      <c r="Q66" s="1413">
        <v>301.89999999999998</v>
      </c>
      <c r="R66" s="1413">
        <v>228</v>
      </c>
      <c r="S66" s="1413">
        <v>261.8</v>
      </c>
      <c r="T66" s="1413">
        <f>1130-Q66-R66-S66</f>
        <v>338.3</v>
      </c>
      <c r="U66" s="1413"/>
      <c r="V66" s="1413">
        <v>271.39999999999998</v>
      </c>
      <c r="W66" s="1413">
        <v>290.60000000000002</v>
      </c>
      <c r="X66" s="1413">
        <v>330</v>
      </c>
      <c r="Y66" s="1413">
        <f>1327.7-V66-W66-X66</f>
        <v>435.70000000000016</v>
      </c>
      <c r="Z66" s="1413"/>
      <c r="AA66" s="1413">
        <v>315.5</v>
      </c>
      <c r="AB66" s="1413">
        <v>320.2</v>
      </c>
      <c r="AC66" s="1413">
        <v>130.5</v>
      </c>
      <c r="AD66" s="1413">
        <f>1027.8-AA66-AB66-AC66</f>
        <v>261.59999999999997</v>
      </c>
      <c r="AE66" s="1413">
        <f>Master!N241</f>
        <v>1028</v>
      </c>
      <c r="AF66" s="1413">
        <v>308.10000000000002</v>
      </c>
      <c r="AG66" s="1413">
        <v>579.4</v>
      </c>
      <c r="AH66" s="1413">
        <v>407.4</v>
      </c>
      <c r="AI66" s="1413">
        <f>1499.5-AF66-AG66-AH66</f>
        <v>204.60000000000014</v>
      </c>
      <c r="AJ66" s="1413">
        <f>Master!O241</f>
        <v>1499.5</v>
      </c>
      <c r="AK66" s="1413">
        <v>480.6</v>
      </c>
      <c r="AL66" s="1413">
        <v>424.9</v>
      </c>
      <c r="AM66" s="1413">
        <v>540.20000000000005</v>
      </c>
      <c r="AN66" s="1413">
        <f>2268.7-AK66-AL66-AM66</f>
        <v>822.99999999999977</v>
      </c>
      <c r="AO66" s="1413">
        <f>Master!P241</f>
        <v>2269</v>
      </c>
      <c r="AP66" s="1413">
        <v>304</v>
      </c>
      <c r="AQ66" s="1413">
        <v>438.8</v>
      </c>
      <c r="AR66" s="1413">
        <v>419.3</v>
      </c>
      <c r="AS66" s="1413">
        <v>658.9</v>
      </c>
      <c r="AT66" s="1413">
        <f>Master!Q241</f>
        <v>1567</v>
      </c>
      <c r="AU66" s="1413">
        <v>296.5</v>
      </c>
      <c r="AV66" s="1413">
        <v>349</v>
      </c>
      <c r="AW66" s="1413">
        <v>565.4</v>
      </c>
      <c r="AX66" s="1413">
        <v>1719</v>
      </c>
      <c r="AY66" s="1413"/>
      <c r="AZ66" s="1413">
        <v>223.9</v>
      </c>
      <c r="BA66" s="1413">
        <v>451.8</v>
      </c>
      <c r="BB66" s="1413">
        <v>275.3</v>
      </c>
      <c r="BC66" s="1413">
        <f>Master!S241-AZ66-BA66-BB66</f>
        <v>180.79999999999995</v>
      </c>
      <c r="BD66" s="1413"/>
      <c r="BE66" s="1499">
        <v>121.3</v>
      </c>
      <c r="BF66" s="1413">
        <v>265.8</v>
      </c>
      <c r="BG66" s="1413">
        <v>186</v>
      </c>
      <c r="BH66" s="1413">
        <v>47.100000000000037</v>
      </c>
      <c r="BI66" s="1500"/>
      <c r="BJ66" s="1523">
        <v>338.9</v>
      </c>
      <c r="BK66" s="1451">
        <v>529.29999999999995</v>
      </c>
      <c r="BL66" s="1451">
        <v>688.5</v>
      </c>
      <c r="BM66" s="1451">
        <f>2151.1-BJ66-BK66-BL66</f>
        <v>594.39999999999986</v>
      </c>
      <c r="BN66" s="1514">
        <f>-Master!U241</f>
        <v>-2151.1</v>
      </c>
      <c r="BO66" s="1523">
        <v>883.4</v>
      </c>
      <c r="BP66" s="1451">
        <v>889.3</v>
      </c>
      <c r="BQ66" s="1451">
        <v>778.5</v>
      </c>
      <c r="BR66" s="1451">
        <f>3307.4-BO66-BP66-BQ66</f>
        <v>756.2</v>
      </c>
      <c r="BS66" s="1514">
        <f>Master!V241</f>
        <v>3307.4</v>
      </c>
      <c r="BT66" s="1523">
        <v>686.3</v>
      </c>
      <c r="BU66" s="1537">
        <v>600</v>
      </c>
      <c r="BV66" s="1537">
        <v>600</v>
      </c>
      <c r="BW66" s="1576">
        <f ca="1">BX66-BT66-BU66-BV66</f>
        <v>448.07953357256997</v>
      </c>
      <c r="BX66" s="1514">
        <f ca="1">Master!W241</f>
        <v>2334.3795335725699</v>
      </c>
      <c r="BZ66" s="928"/>
      <c r="CA66" s="928"/>
      <c r="CB66" s="928"/>
      <c r="CC66" s="928"/>
      <c r="CD66" s="928"/>
      <c r="CE66" s="928"/>
      <c r="CF66" s="928"/>
      <c r="CG66" s="928"/>
      <c r="CH66" s="928"/>
      <c r="CI66" s="928"/>
      <c r="CJ66" s="928"/>
      <c r="CK66" s="928"/>
      <c r="CL66" s="928"/>
      <c r="CM66" s="928"/>
      <c r="CN66" s="928"/>
      <c r="CO66" s="928"/>
      <c r="CP66" s="928"/>
      <c r="CQ66" s="928"/>
      <c r="CR66" s="928"/>
      <c r="CS66" s="928"/>
      <c r="CT66" s="928"/>
      <c r="CU66" s="928"/>
      <c r="CV66" s="928"/>
      <c r="CW66" s="928"/>
      <c r="CX66" s="928"/>
      <c r="CY66" s="928"/>
      <c r="CZ66" s="928"/>
      <c r="DA66" s="928"/>
      <c r="DB66" s="928"/>
      <c r="DC66" s="928"/>
      <c r="DD66" s="928"/>
      <c r="DE66" s="928"/>
      <c r="DF66" s="928"/>
      <c r="DG66" s="928"/>
      <c r="DH66" s="928"/>
      <c r="DI66" s="928"/>
      <c r="DJ66" s="928"/>
      <c r="DK66" s="928"/>
      <c r="DL66" s="928"/>
      <c r="DM66" s="928"/>
      <c r="DN66" s="928"/>
      <c r="DO66" s="928"/>
      <c r="DP66" s="928"/>
      <c r="DQ66" s="928"/>
      <c r="DR66" s="928"/>
      <c r="DS66" s="928"/>
      <c r="DT66" s="928"/>
      <c r="DU66" s="928"/>
      <c r="DV66" s="928"/>
      <c r="DW66" s="928"/>
      <c r="DX66" s="928"/>
      <c r="DY66" s="1338"/>
      <c r="DZ66" s="928"/>
      <c r="EA66" s="928"/>
      <c r="EB66" s="928"/>
      <c r="EC66" s="1337"/>
      <c r="ED66" s="1338"/>
      <c r="EE66" s="928"/>
      <c r="EF66" s="928"/>
      <c r="EG66" s="928"/>
      <c r="EH66" s="1337"/>
      <c r="EI66" s="928"/>
      <c r="EJ66" s="928"/>
      <c r="EK66" s="928"/>
      <c r="EL66" s="928"/>
      <c r="EM66" s="1337"/>
      <c r="EN66" s="928"/>
      <c r="EO66" s="928"/>
      <c r="EP66" s="928"/>
      <c r="EQ66" s="928" t="s">
        <v>3853</v>
      </c>
      <c r="ER66" s="1316">
        <f>DO14</f>
        <v>9.3613925904971751E-2</v>
      </c>
      <c r="ES66" s="1316">
        <f>DP14</f>
        <v>0.10700196755973623</v>
      </c>
      <c r="ET66" s="1316">
        <f>DQ14</f>
        <v>7.9057140965371087E-2</v>
      </c>
      <c r="EU66" s="1316">
        <f>DR14</f>
        <v>7.3492433801435553E-2</v>
      </c>
      <c r="EV66" s="1316">
        <f>DT14</f>
        <v>7.8690402505381174E-2</v>
      </c>
      <c r="EW66" s="1316">
        <f>DU14</f>
        <v>5.9493491794001319E-2</v>
      </c>
      <c r="EX66" s="1316">
        <f>DV14</f>
        <v>5.7740688470270696E-2</v>
      </c>
      <c r="EY66" s="1316">
        <f>DW14</f>
        <v>3.9786228299382387E-2</v>
      </c>
      <c r="EZ66" s="928"/>
      <c r="FA66" s="928"/>
      <c r="FB66" s="928"/>
      <c r="FC66" s="928"/>
      <c r="FD66" s="928"/>
      <c r="FE66" s="928"/>
      <c r="FF66" s="1349">
        <v>900</v>
      </c>
      <c r="FG66" s="928"/>
      <c r="FH66" s="1425">
        <v>797.85078004251795</v>
      </c>
      <c r="FI66" s="1319"/>
      <c r="FJ66" s="1618">
        <v>600</v>
      </c>
      <c r="FK66" s="1605"/>
      <c r="FL66" s="928"/>
      <c r="FM66" s="928"/>
      <c r="FN66" s="928"/>
      <c r="FO66" s="928"/>
      <c r="FP66" s="928"/>
      <c r="FQ66" s="928"/>
    </row>
    <row r="67" spans="1:173">
      <c r="A67" s="928" t="s">
        <v>691</v>
      </c>
      <c r="B67" s="928"/>
      <c r="C67" s="928"/>
      <c r="D67" s="928"/>
      <c r="E67" s="928"/>
      <c r="F67" s="928"/>
      <c r="G67" s="928">
        <f>15-842-H67</f>
        <v>-340</v>
      </c>
      <c r="H67" s="928">
        <f>-24-463</f>
        <v>-487</v>
      </c>
      <c r="I67" s="1413">
        <f>404.8+127.3</f>
        <v>532.1</v>
      </c>
      <c r="J67" s="928">
        <f>-324.2+70.3</f>
        <v>-253.89999999999998</v>
      </c>
      <c r="K67" s="928"/>
      <c r="L67" s="1413">
        <f>4-1063-M67</f>
        <v>224</v>
      </c>
      <c r="M67" s="1413">
        <f>-338-945</f>
        <v>-1283</v>
      </c>
      <c r="N67" s="1413">
        <f>-9.6-221.8</f>
        <v>-231.4</v>
      </c>
      <c r="O67" s="1413">
        <f>113.8+687.6</f>
        <v>801.4</v>
      </c>
      <c r="P67" s="1413">
        <f>Master!K237</f>
        <v>-25.5</v>
      </c>
      <c r="Q67" s="1413">
        <f>47.3-84.2</f>
        <v>-36.900000000000006</v>
      </c>
      <c r="R67" s="1413">
        <f>-230.3-4.9</f>
        <v>-235.20000000000002</v>
      </c>
      <c r="S67" s="1413">
        <f>-121.4-68.5</f>
        <v>-189.9</v>
      </c>
      <c r="T67" s="1413">
        <f>4841.7-283.8-Q67-R67-S67</f>
        <v>5019.8999999999987</v>
      </c>
      <c r="U67" s="1413"/>
      <c r="V67" s="1413">
        <f>-108.8-41</f>
        <v>-149.80000000000001</v>
      </c>
      <c r="W67" s="1413">
        <f>-24-107.7</f>
        <v>-131.69999999999999</v>
      </c>
      <c r="X67" s="1413">
        <f>-233.2+887.4</f>
        <v>654.20000000000005</v>
      </c>
      <c r="Y67" s="1413">
        <f>(-1391.2+1286.1)-V67-W67-X67</f>
        <v>-477.80000000000018</v>
      </c>
      <c r="Z67" s="1413"/>
      <c r="AA67" s="1413">
        <f>168.1-866.9</f>
        <v>-698.8</v>
      </c>
      <c r="AB67" s="1413">
        <f>-683.9+133.4</f>
        <v>-550.5</v>
      </c>
      <c r="AC67" s="1413">
        <f>-416.8+7289.6</f>
        <v>6872.8</v>
      </c>
      <c r="AD67" s="1413">
        <f>-2426+7514.9-AA67-AB67-AC67</f>
        <v>-534.60000000000036</v>
      </c>
      <c r="AE67" s="1413">
        <f>Master!N237</f>
        <v>6913</v>
      </c>
      <c r="AF67" s="1413">
        <f>-230.5-102.9</f>
        <v>-333.4</v>
      </c>
      <c r="AG67" s="1413">
        <f>-415.4-36.4</f>
        <v>-451.79999999999995</v>
      </c>
      <c r="AH67" s="1413">
        <f>-652.8-24.3</f>
        <v>-677.09999999999991</v>
      </c>
      <c r="AI67" s="1413">
        <f>-2490.3-43.4-AF67-AG67-AH67</f>
        <v>-1071.4000000000003</v>
      </c>
      <c r="AJ67" s="1413">
        <f>Master!O237</f>
        <v>-2533.7000000000003</v>
      </c>
      <c r="AK67" s="1413">
        <f>1244.7-23.5</f>
        <v>1221.2</v>
      </c>
      <c r="AL67" s="1413">
        <f>738.9-24.8</f>
        <v>714.1</v>
      </c>
      <c r="AM67" s="1413">
        <f>-119.7+57.5</f>
        <v>-62.2</v>
      </c>
      <c r="AN67" s="1413">
        <f>768.9+903.2-AK67-AL67-AM67</f>
        <v>-201.00000000000017</v>
      </c>
      <c r="AO67" s="1413">
        <f>Master!P237</f>
        <v>1672</v>
      </c>
      <c r="AP67" s="1413">
        <f>-1209.3+993.8</f>
        <v>-215.5</v>
      </c>
      <c r="AQ67" s="1413">
        <f>-487.7+626.4</f>
        <v>138.69999999999999</v>
      </c>
      <c r="AR67" s="1413">
        <f>17-530.5</f>
        <v>-513.5</v>
      </c>
      <c r="AS67" s="1413">
        <v>0</v>
      </c>
      <c r="AT67" s="1413">
        <f>Master!Q237</f>
        <v>-639.6</v>
      </c>
      <c r="AU67" s="1413">
        <v>139</v>
      </c>
      <c r="AV67" s="1413">
        <f>325-366.2</f>
        <v>-41.199999999999989</v>
      </c>
      <c r="AW67" s="1413">
        <f>-929.5+355.4</f>
        <v>-574.1</v>
      </c>
      <c r="AX67" s="1413">
        <v>0</v>
      </c>
      <c r="AY67" s="1413"/>
      <c r="AZ67" s="1413">
        <f>-8601.4+2198.1</f>
        <v>-6403.2999999999993</v>
      </c>
      <c r="BA67" s="1413">
        <f>2351.2-6.8</f>
        <v>2344.3999999999996</v>
      </c>
      <c r="BB67" s="1413">
        <f>3077.8-254.6</f>
        <v>2823.2000000000003</v>
      </c>
      <c r="BC67" s="1413">
        <f>Master!S237-AZ67-BA67-BB67</f>
        <v>1235.6999999999994</v>
      </c>
      <c r="BD67" s="1413"/>
      <c r="BE67" s="1499">
        <f>-1723.1-117.1</f>
        <v>-1840.1999999999998</v>
      </c>
      <c r="BF67" s="1413">
        <f>1891-604</f>
        <v>1287</v>
      </c>
      <c r="BG67" s="1413">
        <f>-2560-244.3</f>
        <v>-2804.3</v>
      </c>
      <c r="BH67" s="1413">
        <f>-1944.2-1183.2-BG67-BF67-BE67</f>
        <v>230.09999999999991</v>
      </c>
      <c r="BI67" s="1500">
        <f>Master!T237</f>
        <v>0</v>
      </c>
      <c r="BJ67" s="1523">
        <f>-2307.4-115.3</f>
        <v>-2422.7000000000003</v>
      </c>
      <c r="BK67" s="1451">
        <f>552.2+64.5</f>
        <v>616.70000000000005</v>
      </c>
      <c r="BL67" s="1451">
        <f>594.9-6.5</f>
        <v>588.4</v>
      </c>
      <c r="BM67" s="1451">
        <f>-1780.1-110.7-BJ67-BK67-BL67</f>
        <v>-673.1999999999997</v>
      </c>
      <c r="BN67" s="1514">
        <f>Master!U237</f>
        <v>0</v>
      </c>
      <c r="BO67" s="1523">
        <f>-664.2-306.6</f>
        <v>-970.80000000000007</v>
      </c>
      <c r="BP67" s="1451">
        <f>429-46.7</f>
        <v>382.3</v>
      </c>
      <c r="BQ67" s="1451">
        <f>64.2+98.7</f>
        <v>162.9</v>
      </c>
      <c r="BR67" s="1451">
        <f>-142.5-134.9-BO67-BP67-BQ67</f>
        <v>148.20000000000007</v>
      </c>
      <c r="BS67" s="1514">
        <f>-Master!V247</f>
        <v>-277.39999999999998</v>
      </c>
      <c r="BT67" s="1523">
        <f>55+36.5</f>
        <v>91.5</v>
      </c>
      <c r="BU67" s="1537">
        <v>0</v>
      </c>
      <c r="BV67" s="1537">
        <v>0</v>
      </c>
      <c r="BW67" s="1576">
        <f>BX67-BT67-BU67-BV67</f>
        <v>0</v>
      </c>
      <c r="BX67" s="1514">
        <f>Master!W237</f>
        <v>91.5</v>
      </c>
      <c r="BZ67" s="928"/>
      <c r="CA67" s="928"/>
      <c r="CB67" s="928"/>
      <c r="CC67" s="928"/>
      <c r="CD67" s="928"/>
      <c r="CE67" s="928"/>
      <c r="CF67" s="928"/>
      <c r="CG67" s="928"/>
      <c r="CH67" s="928"/>
      <c r="CI67" s="928"/>
      <c r="CJ67" s="928"/>
      <c r="CK67" s="928"/>
      <c r="CL67" s="928"/>
      <c r="CM67" s="928"/>
      <c r="CN67" s="928"/>
      <c r="CO67" s="928"/>
      <c r="CP67" s="928"/>
      <c r="CQ67" s="928"/>
      <c r="CR67" s="928"/>
      <c r="CS67" s="928"/>
      <c r="CT67" s="928"/>
      <c r="CU67" s="928"/>
      <c r="CV67" s="928"/>
      <c r="CW67" s="928"/>
      <c r="CX67" s="928"/>
      <c r="CY67" s="928"/>
      <c r="CZ67" s="928"/>
      <c r="DA67" s="928"/>
      <c r="DB67" s="928"/>
      <c r="DC67" s="928"/>
      <c r="DD67" s="928"/>
      <c r="DE67" s="928"/>
      <c r="DF67" s="928"/>
      <c r="DG67" s="928"/>
      <c r="DH67" s="928"/>
      <c r="DI67" s="928"/>
      <c r="DJ67" s="928"/>
      <c r="DK67" s="928"/>
      <c r="DL67" s="928"/>
      <c r="DM67" s="928"/>
      <c r="DN67" s="928"/>
      <c r="DO67" s="928"/>
      <c r="DP67" s="928"/>
      <c r="DQ67" s="928"/>
      <c r="DR67" s="928"/>
      <c r="DS67" s="928"/>
      <c r="DT67" s="928"/>
      <c r="DU67" s="928"/>
      <c r="DV67" s="928"/>
      <c r="DW67" s="928"/>
      <c r="DX67" s="928"/>
      <c r="DY67" s="1338"/>
      <c r="DZ67" s="928"/>
      <c r="EA67" s="928"/>
      <c r="EB67" s="928"/>
      <c r="EC67" s="1337"/>
      <c r="ED67" s="1338"/>
      <c r="EE67" s="928"/>
      <c r="EF67" s="928"/>
      <c r="EG67" s="928"/>
      <c r="EH67" s="1337"/>
      <c r="EI67" s="928"/>
      <c r="EJ67" s="928"/>
      <c r="EK67" s="928"/>
      <c r="EL67" s="928"/>
      <c r="EM67" s="1337"/>
      <c r="EN67" s="928"/>
      <c r="EO67" s="928"/>
      <c r="EP67" s="928"/>
      <c r="EQ67" s="928" t="s">
        <v>6292</v>
      </c>
      <c r="ER67" s="1316">
        <f t="shared" ref="ER67:EU68" si="160">AZ117</f>
        <v>9.9344166234702769E-2</v>
      </c>
      <c r="ES67" s="1316">
        <f t="shared" si="160"/>
        <v>7.7261088447183379E-2</v>
      </c>
      <c r="ET67" s="1316">
        <f t="shared" si="160"/>
        <v>6.4932630833628435E-2</v>
      </c>
      <c r="EU67" s="1316">
        <f t="shared" si="160"/>
        <v>7.4329908477792861E-2</v>
      </c>
      <c r="EV67" s="1316">
        <f t="shared" ref="EV67:EY68" si="161">BE117</f>
        <v>7.2736218454662938E-2</v>
      </c>
      <c r="EW67" s="1316">
        <f t="shared" si="161"/>
        <v>6.4035290918430077E-2</v>
      </c>
      <c r="EX67" s="1316">
        <f t="shared" si="161"/>
        <v>5.823571973326569E-2</v>
      </c>
      <c r="EY67" s="1316">
        <f t="shared" si="161"/>
        <v>4.8198377875282583E-2</v>
      </c>
      <c r="EZ67" s="928"/>
      <c r="FA67" s="928"/>
      <c r="FB67" s="928"/>
      <c r="FC67" s="928"/>
      <c r="FD67" s="928"/>
      <c r="FE67" s="928"/>
      <c r="FF67" s="1427">
        <v>200</v>
      </c>
      <c r="FG67" s="928"/>
      <c r="FH67" s="1425">
        <v>25.600000000000051</v>
      </c>
      <c r="FI67" s="1319"/>
      <c r="FJ67" s="1618">
        <v>0</v>
      </c>
      <c r="FK67" s="1605"/>
      <c r="FL67" s="928"/>
      <c r="FM67" s="928"/>
      <c r="FN67" s="928"/>
      <c r="FO67" s="928"/>
      <c r="FP67" s="928"/>
      <c r="FQ67" s="928"/>
    </row>
    <row r="68" spans="1:173">
      <c r="A68" s="1406" t="s">
        <v>694</v>
      </c>
      <c r="B68" s="1406"/>
      <c r="C68" s="1406"/>
      <c r="D68" s="1406"/>
      <c r="E68" s="1406"/>
      <c r="F68" s="1406"/>
      <c r="G68" s="1406">
        <f>SUM(G65:G67)</f>
        <v>-944</v>
      </c>
      <c r="H68" s="1406">
        <f>SUM(H65:H67)</f>
        <v>-1331</v>
      </c>
      <c r="I68" s="1428">
        <f>SUM(I65:I67)</f>
        <v>-321.89999999999986</v>
      </c>
      <c r="J68" s="1428">
        <f>SUM(J65:J67)</f>
        <v>-979.69999999999993</v>
      </c>
      <c r="K68" s="1406"/>
      <c r="L68" s="1406">
        <f t="shared" ref="L68:T68" si="162">SUM(L65:L67)</f>
        <v>-577</v>
      </c>
      <c r="M68" s="1406">
        <f t="shared" si="162"/>
        <v>-2136</v>
      </c>
      <c r="N68" s="1428">
        <f t="shared" si="162"/>
        <v>-1083.7</v>
      </c>
      <c r="O68" s="1428">
        <f t="shared" si="162"/>
        <v>-17.700000000000159</v>
      </c>
      <c r="P68" s="1428">
        <f t="shared" si="162"/>
        <v>-3350.5</v>
      </c>
      <c r="Q68" s="1428">
        <f t="shared" si="162"/>
        <v>-839.5</v>
      </c>
      <c r="R68" s="1428">
        <f t="shared" si="162"/>
        <v>-1172.6000000000001</v>
      </c>
      <c r="S68" s="1428">
        <f t="shared" si="162"/>
        <v>-1162.0000000000002</v>
      </c>
      <c r="T68" s="1428">
        <f t="shared" si="162"/>
        <v>4058.7999999999993</v>
      </c>
      <c r="U68" s="1428"/>
      <c r="V68" s="1428">
        <f>SUM(V65:V67)</f>
        <v>-1117.8000000000002</v>
      </c>
      <c r="W68" s="1428">
        <f>SUM(W65:W67)</f>
        <v>-1237.2</v>
      </c>
      <c r="X68" s="1428">
        <f>SUM(X65:X67)</f>
        <v>-437.20000000000005</v>
      </c>
      <c r="Y68" s="1428">
        <f>SUM(Y65:Y67)</f>
        <v>-1536.7000000000003</v>
      </c>
      <c r="Z68" s="1428">
        <f>-Master!M20</f>
        <v>-4329</v>
      </c>
      <c r="AA68" s="1428">
        <v>-1861</v>
      </c>
      <c r="AB68" s="1428">
        <f>SUM(AB65:AB67)</f>
        <v>-1760.7</v>
      </c>
      <c r="AC68" s="1428">
        <f>SUM(AC65:AC67)</f>
        <v>5445.9</v>
      </c>
      <c r="AD68" s="1428">
        <f>SUM(AD65:AD67)</f>
        <v>-1946.9</v>
      </c>
      <c r="AE68" s="1428">
        <f>-Master!N20</f>
        <v>1702</v>
      </c>
      <c r="AF68" s="1428">
        <f>SUM(AF65:AF67)</f>
        <v>-2008.6</v>
      </c>
      <c r="AG68" s="1428">
        <f>SUM(AG65:AG67)</f>
        <v>-1873.1000000000001</v>
      </c>
      <c r="AH68" s="1428">
        <f>SUM(AH65:AH67)</f>
        <v>-2533.2999999999997</v>
      </c>
      <c r="AI68" s="1428">
        <f>SUM(AI65:AI67)</f>
        <v>-3117.1</v>
      </c>
      <c r="AJ68" s="1428">
        <f>-Master!O20</f>
        <v>-9532.1</v>
      </c>
      <c r="AK68" s="1428">
        <f>SUM(AK65:AK67)</f>
        <v>-561.10000000000014</v>
      </c>
      <c r="AL68" s="1428">
        <f>SUM(AL65:AL67)</f>
        <v>-1094.4000000000001</v>
      </c>
      <c r="AM68" s="1428">
        <f>SUM(AM65:AM67)</f>
        <v>-1716.1</v>
      </c>
      <c r="AN68" s="1428">
        <f>SUM(AN65:AN67)</f>
        <v>-1933.300000000002</v>
      </c>
      <c r="AO68" s="1428">
        <f>-Master!P20</f>
        <v>-5305</v>
      </c>
      <c r="AP68" s="1428">
        <f>SUM(AP65:AP67)</f>
        <v>-2200.6999999999998</v>
      </c>
      <c r="AQ68" s="1428">
        <f>SUM(AQ65:AQ67)</f>
        <v>-1775.1999999999998</v>
      </c>
      <c r="AR68" s="1428">
        <f>SUM(AR65:AR67)</f>
        <v>-2489.3000000000002</v>
      </c>
      <c r="AS68" s="1428">
        <v>-2314.5</v>
      </c>
      <c r="AT68" s="1428">
        <f>-Master!Q20</f>
        <v>-8779.6</v>
      </c>
      <c r="AU68" s="1428">
        <v>-2274.1</v>
      </c>
      <c r="AV68" s="1428">
        <f>SUM(AV65:AV67)</f>
        <v>-2268.5</v>
      </c>
      <c r="AW68" s="1428">
        <f>SUM(AW65:AW67)</f>
        <v>-2870.2</v>
      </c>
      <c r="AX68" s="1428">
        <f>SUM(AX65:AX67)</f>
        <v>-1398.1</v>
      </c>
      <c r="AY68" s="1428"/>
      <c r="AZ68" s="1428">
        <f>SUM(AZ65:AZ67)</f>
        <v>-8708.2999999999993</v>
      </c>
      <c r="BA68" s="1428">
        <f>SUM(BA65:BA67)</f>
        <v>-88.900000000000091</v>
      </c>
      <c r="BB68" s="1428">
        <f>SUM(BB65:BB67)</f>
        <v>309.60000000000036</v>
      </c>
      <c r="BC68" s="1428">
        <f>SUM(BC65:BC67)</f>
        <v>-882.60000000000082</v>
      </c>
      <c r="BD68" s="1428"/>
      <c r="BE68" s="1501">
        <f>SUM(BE65:BE67)</f>
        <v>-4021.2999999999997</v>
      </c>
      <c r="BF68" s="1428">
        <f>SUM(BF65:BF67)</f>
        <v>-653.29999999999995</v>
      </c>
      <c r="BG68" s="1428">
        <f>SUM(BG65:BG67)</f>
        <v>-4892.3999999999996</v>
      </c>
      <c r="BH68" s="1428">
        <f>SUM(BH65:BH67)</f>
        <v>-2102.599999999999</v>
      </c>
      <c r="BI68" s="1502">
        <f>-Master!T20</f>
        <v>-11918</v>
      </c>
      <c r="BJ68" s="1510">
        <f>SUM(BJ65:BJ67)</f>
        <v>-4889.7000000000007</v>
      </c>
      <c r="BK68" s="1456">
        <f>SUM(BK65:BK67)</f>
        <v>-1068.9000000000001</v>
      </c>
      <c r="BL68" s="1456">
        <f>SUM(BL65:BL67)</f>
        <v>-1023.1</v>
      </c>
      <c r="BM68" s="1456">
        <f>SUM(BM65:BM67)</f>
        <v>-2213.6000000000008</v>
      </c>
      <c r="BN68" s="1524">
        <f>-Master!U20</f>
        <v>-9206.2000000000007</v>
      </c>
      <c r="BO68" s="1510">
        <f>SUM(BO65:BO67)</f>
        <v>-2198.6</v>
      </c>
      <c r="BP68" s="1456">
        <f>SUM(BP65:BP67)</f>
        <v>-751.5</v>
      </c>
      <c r="BQ68" s="1456">
        <f>SUM(BQ65:BQ67)</f>
        <v>-587.9</v>
      </c>
      <c r="BR68" s="1456">
        <f>SUM(BR65:BR67)</f>
        <v>-1086.3000000000004</v>
      </c>
      <c r="BS68" s="1524">
        <f>-Master!V20</f>
        <v>-4624.2999999999993</v>
      </c>
      <c r="BT68" s="1510">
        <f>SUM(BT65:BT67)</f>
        <v>-1133.4000000000001</v>
      </c>
      <c r="BU68" s="1456">
        <f>SUM(BU65:BU67)</f>
        <v>-1100</v>
      </c>
      <c r="BV68" s="1456">
        <f>SUM(BV65:BV67)</f>
        <v>-1100</v>
      </c>
      <c r="BW68" s="1456">
        <f ca="1">SUM(BW65:BW67)</f>
        <v>-1253.3847606338693</v>
      </c>
      <c r="BX68" s="1524">
        <f ca="1">-Master!W20</f>
        <v>-4586.7847606338692</v>
      </c>
      <c r="BZ68" s="928"/>
      <c r="CA68" s="928"/>
      <c r="CB68" s="928"/>
      <c r="CC68" s="928"/>
      <c r="CD68" s="928"/>
      <c r="CE68" s="928"/>
      <c r="CF68" s="928"/>
      <c r="CG68" s="928"/>
      <c r="CH68" s="928"/>
      <c r="CI68" s="928"/>
      <c r="CJ68" s="928"/>
      <c r="CK68" s="928"/>
      <c r="CL68" s="928"/>
      <c r="CM68" s="928"/>
      <c r="CN68" s="928"/>
      <c r="CO68" s="928"/>
      <c r="CP68" s="928"/>
      <c r="CQ68" s="928"/>
      <c r="CR68" s="928"/>
      <c r="CS68" s="928"/>
      <c r="CT68" s="928"/>
      <c r="CU68" s="928"/>
      <c r="CV68" s="928"/>
      <c r="CW68" s="928"/>
      <c r="CX68" s="928"/>
      <c r="CY68" s="928"/>
      <c r="CZ68" s="928"/>
      <c r="DA68" s="928"/>
      <c r="DB68" s="928"/>
      <c r="DC68" s="928"/>
      <c r="DD68" s="928"/>
      <c r="DE68" s="928"/>
      <c r="DF68" s="928"/>
      <c r="DG68" s="928"/>
      <c r="DH68" s="928"/>
      <c r="DI68" s="928"/>
      <c r="DJ68" s="928"/>
      <c r="DK68" s="928"/>
      <c r="DL68" s="928"/>
      <c r="DM68" s="928"/>
      <c r="DN68" s="928"/>
      <c r="DO68" s="928"/>
      <c r="DP68" s="928"/>
      <c r="DQ68" s="928"/>
      <c r="DR68" s="928"/>
      <c r="DS68" s="928"/>
      <c r="DT68" s="928"/>
      <c r="DU68" s="928"/>
      <c r="DV68" s="928"/>
      <c r="DW68" s="928"/>
      <c r="DX68" s="928"/>
      <c r="DY68" s="1338"/>
      <c r="DZ68" s="928"/>
      <c r="EA68" s="928"/>
      <c r="EB68" s="928"/>
      <c r="EC68" s="1337"/>
      <c r="ED68" s="1338"/>
      <c r="EE68" s="928"/>
      <c r="EF68" s="928"/>
      <c r="EG68" s="928"/>
      <c r="EH68" s="1337"/>
      <c r="EI68" s="928"/>
      <c r="EJ68" s="928"/>
      <c r="EK68" s="928"/>
      <c r="EL68" s="928"/>
      <c r="EM68" s="1337"/>
      <c r="EN68" s="928"/>
      <c r="EO68" s="928"/>
      <c r="EP68" s="928"/>
      <c r="EQ68" s="928" t="s">
        <v>6293</v>
      </c>
      <c r="ER68" s="1316">
        <f t="shared" si="160"/>
        <v>6.4388773239537844E-2</v>
      </c>
      <c r="ES68" s="1316">
        <f t="shared" si="160"/>
        <v>0.26627972819932055</v>
      </c>
      <c r="ET68" s="1316">
        <f t="shared" si="160"/>
        <v>0.20609306531265204</v>
      </c>
      <c r="EU68" s="1316">
        <f t="shared" si="160"/>
        <v>9.0190067443286281E-2</v>
      </c>
      <c r="EV68" s="1316">
        <f t="shared" si="161"/>
        <v>0.14668195306177512</v>
      </c>
      <c r="EW68" s="1316">
        <f t="shared" si="161"/>
        <v>4.2537730575740618E-2</v>
      </c>
      <c r="EX68" s="1316">
        <f t="shared" si="161"/>
        <v>5.9976931949250467E-3</v>
      </c>
      <c r="EY68" s="1316">
        <f t="shared" si="161"/>
        <v>0.10359372363759123</v>
      </c>
      <c r="EZ68" s="928"/>
      <c r="FA68" s="928"/>
      <c r="FB68" s="928"/>
      <c r="FC68" s="928"/>
      <c r="FD68" s="928"/>
      <c r="FE68" s="928"/>
      <c r="FF68" s="1429">
        <v>-900</v>
      </c>
      <c r="FG68" s="928"/>
      <c r="FH68" s="1425">
        <v>-1147.1801810482211</v>
      </c>
      <c r="FI68" s="1319"/>
      <c r="FJ68" s="1619">
        <v>-1150</v>
      </c>
      <c r="FK68" s="1605"/>
      <c r="FL68" s="928"/>
      <c r="FM68" s="928"/>
      <c r="FN68" s="928"/>
      <c r="FO68" s="928"/>
      <c r="FP68" s="928"/>
      <c r="FQ68" s="928"/>
    </row>
    <row r="69" spans="1:173">
      <c r="A69" s="928"/>
      <c r="B69" s="928"/>
      <c r="C69" s="928"/>
      <c r="D69" s="928"/>
      <c r="E69" s="928"/>
      <c r="F69" s="928"/>
      <c r="G69" s="928"/>
      <c r="H69" s="928"/>
      <c r="I69" s="928"/>
      <c r="J69" s="928"/>
      <c r="K69" s="928"/>
      <c r="L69" s="928"/>
      <c r="M69" s="928"/>
      <c r="N69" s="928"/>
      <c r="O69" s="928"/>
      <c r="P69" s="928"/>
      <c r="Q69" s="928"/>
      <c r="R69" s="928"/>
      <c r="S69" s="928"/>
      <c r="T69" s="928"/>
      <c r="U69" s="928"/>
      <c r="V69" s="928"/>
      <c r="W69" s="928"/>
      <c r="X69" s="928"/>
      <c r="Y69" s="928"/>
      <c r="Z69" s="928"/>
      <c r="AA69" s="928"/>
      <c r="AB69" s="928"/>
      <c r="AC69" s="928"/>
      <c r="AD69" s="928"/>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355"/>
      <c r="BF69" s="1254"/>
      <c r="BG69" s="1254"/>
      <c r="BH69" s="1254"/>
      <c r="BI69" s="1389"/>
      <c r="BJ69" s="1355"/>
      <c r="BK69" s="1254"/>
      <c r="BL69" s="1254"/>
      <c r="BM69" s="1254"/>
      <c r="BN69" s="1389"/>
      <c r="BO69" s="1355"/>
      <c r="BP69" s="1254"/>
      <c r="BQ69" s="1254"/>
      <c r="BR69" s="1254"/>
      <c r="BS69" s="1389"/>
      <c r="BT69" s="1355"/>
      <c r="BU69" s="1254"/>
      <c r="BV69" s="1254"/>
      <c r="BW69" s="1254"/>
      <c r="BX69" s="1389"/>
      <c r="BZ69" s="928"/>
      <c r="CA69" s="928"/>
      <c r="CB69" s="928"/>
      <c r="CC69" s="928"/>
      <c r="CD69" s="928"/>
      <c r="CE69" s="928"/>
      <c r="CF69" s="928"/>
      <c r="CG69" s="928"/>
      <c r="CH69" s="928"/>
      <c r="CI69" s="928"/>
      <c r="CJ69" s="928"/>
      <c r="CK69" s="928"/>
      <c r="CL69" s="928"/>
      <c r="CM69" s="928"/>
      <c r="CN69" s="928"/>
      <c r="CO69" s="928"/>
      <c r="CP69" s="928"/>
      <c r="CQ69" s="928"/>
      <c r="CR69" s="928"/>
      <c r="CS69" s="928"/>
      <c r="CT69" s="928"/>
      <c r="CU69" s="928"/>
      <c r="CV69" s="928"/>
      <c r="CW69" s="928"/>
      <c r="CX69" s="928"/>
      <c r="CY69" s="928"/>
      <c r="CZ69" s="928"/>
      <c r="DA69" s="928"/>
      <c r="DB69" s="928"/>
      <c r="DC69" s="928"/>
      <c r="DD69" s="928"/>
      <c r="DE69" s="928"/>
      <c r="DF69" s="928"/>
      <c r="DG69" s="928"/>
      <c r="DH69" s="928"/>
      <c r="DI69" s="928"/>
      <c r="DJ69" s="928"/>
      <c r="DK69" s="928"/>
      <c r="DL69" s="928"/>
      <c r="DM69" s="928"/>
      <c r="DN69" s="928"/>
      <c r="DO69" s="928"/>
      <c r="DP69" s="928"/>
      <c r="DQ69" s="928"/>
      <c r="DR69" s="928"/>
      <c r="DS69" s="928"/>
      <c r="DT69" s="928"/>
      <c r="DU69" s="928"/>
      <c r="DV69" s="928"/>
      <c r="DW69" s="928"/>
      <c r="DX69" s="928"/>
      <c r="DY69" s="1338"/>
      <c r="DZ69" s="928"/>
      <c r="EA69" s="928"/>
      <c r="EB69" s="928"/>
      <c r="EC69" s="1337"/>
      <c r="ED69" s="1338"/>
      <c r="EE69" s="928"/>
      <c r="EF69" s="928"/>
      <c r="EG69" s="928"/>
      <c r="EH69" s="1337"/>
      <c r="EI69" s="928"/>
      <c r="EJ69" s="928"/>
      <c r="EK69" s="928"/>
      <c r="EL69" s="928"/>
      <c r="EM69" s="1337"/>
      <c r="EN69" s="928"/>
      <c r="EO69" s="928"/>
      <c r="EP69" s="928"/>
      <c r="EQ69" s="928" t="s">
        <v>2627</v>
      </c>
      <c r="ER69" s="1316">
        <f>DO26</f>
        <v>4.4960554792767171E-2</v>
      </c>
      <c r="ES69" s="1316">
        <f>DP26</f>
        <v>4.0861032255180341E-2</v>
      </c>
      <c r="ET69" s="1316">
        <f>DQ26</f>
        <v>7.0285829038088332E-2</v>
      </c>
      <c r="EU69" s="1316">
        <f>DR26</f>
        <v>9.0165016501650097E-2</v>
      </c>
      <c r="EV69" s="1316">
        <f>DT26</f>
        <v>7.6676391332427762E-2</v>
      </c>
      <c r="EW69" s="1316">
        <f>DU26</f>
        <v>7.8084398153119405E-2</v>
      </c>
      <c r="EX69" s="1316">
        <f>DV26</f>
        <v>5.5830049825922101E-2</v>
      </c>
      <c r="EY69" s="1316">
        <f>DW26</f>
        <v>8.2949866795834382E-2</v>
      </c>
      <c r="EZ69" s="928"/>
      <c r="FA69" s="928"/>
      <c r="FB69" s="928"/>
      <c r="FC69" s="928"/>
      <c r="FD69" s="928"/>
      <c r="FE69" s="928"/>
      <c r="FF69" s="1363"/>
      <c r="FG69" s="928"/>
      <c r="FH69" s="1351"/>
      <c r="FI69" s="1319"/>
      <c r="FJ69" s="1612"/>
      <c r="FK69" s="1605"/>
      <c r="FL69" s="928"/>
      <c r="FM69" s="928"/>
      <c r="FN69" s="928"/>
      <c r="FO69" s="928"/>
      <c r="FP69" s="928"/>
      <c r="FQ69" s="928"/>
    </row>
    <row r="70" spans="1:173">
      <c r="A70" s="928" t="s">
        <v>692</v>
      </c>
      <c r="B70" s="928"/>
      <c r="C70" s="928"/>
      <c r="D70" s="928"/>
      <c r="E70" s="928"/>
      <c r="F70" s="928"/>
      <c r="G70" s="1413">
        <f>-231-H70</f>
        <v>-97.9</v>
      </c>
      <c r="H70" s="1413">
        <v>-133.1</v>
      </c>
      <c r="I70" s="1413">
        <v>-86.7</v>
      </c>
      <c r="J70" s="1413">
        <f>K70-G70-H70-I70</f>
        <v>-131.30000000000001</v>
      </c>
      <c r="K70" s="1413">
        <f>Master!J376</f>
        <v>-449</v>
      </c>
      <c r="L70" s="1413">
        <f>-24.7-M70</f>
        <v>9.0999999999999979</v>
      </c>
      <c r="M70" s="1413">
        <v>-33.799999999999997</v>
      </c>
      <c r="N70" s="1413">
        <v>-209.1</v>
      </c>
      <c r="O70" s="1413">
        <v>-432.8</v>
      </c>
      <c r="P70" s="1413">
        <f>Master!K23</f>
        <v>-666.6</v>
      </c>
      <c r="Q70" s="1413">
        <v>-261.5</v>
      </c>
      <c r="R70" s="1413">
        <v>-461.8</v>
      </c>
      <c r="S70" s="1413">
        <v>-199.8</v>
      </c>
      <c r="T70" s="1413">
        <f>-5659.9-Q70-R70-S70</f>
        <v>-4736.7999999999993</v>
      </c>
      <c r="U70" s="1413"/>
      <c r="V70" s="1413">
        <v>-198.6</v>
      </c>
      <c r="W70" s="1413">
        <v>129.80000000000001</v>
      </c>
      <c r="X70" s="1413">
        <f>116.4-320*13.12</f>
        <v>-4081.9999999999995</v>
      </c>
      <c r="Y70" s="1413">
        <v>-34.299999999999997</v>
      </c>
      <c r="Z70" s="1413">
        <f>Master!M23</f>
        <v>-4185.3999999999996</v>
      </c>
      <c r="AA70" s="1413">
        <v>-299.60000000000002</v>
      </c>
      <c r="AB70" s="1413">
        <v>50.4</v>
      </c>
      <c r="AC70" s="1413">
        <v>-19.100000000000001</v>
      </c>
      <c r="AD70" s="1413">
        <v>303.7</v>
      </c>
      <c r="AE70" s="1413">
        <f>-Master!N23</f>
        <v>-35.4</v>
      </c>
      <c r="AF70" s="1413">
        <v>186.3</v>
      </c>
      <c r="AG70" s="1413">
        <v>340.4</v>
      </c>
      <c r="AH70" s="1413">
        <v>386.4</v>
      </c>
      <c r="AI70" s="1413">
        <v>226.5</v>
      </c>
      <c r="AJ70" s="1413">
        <f>Master!O23</f>
        <v>1139.4000000000001</v>
      </c>
      <c r="AK70" s="1413">
        <v>263.7</v>
      </c>
      <c r="AL70" s="1413">
        <v>87</v>
      </c>
      <c r="AM70" s="1413">
        <v>670</v>
      </c>
      <c r="AN70" s="1413">
        <v>892.6</v>
      </c>
      <c r="AO70" s="1413">
        <f>Master!P23</f>
        <v>1913</v>
      </c>
      <c r="AP70" s="1413">
        <v>107.1</v>
      </c>
      <c r="AQ70" s="1413">
        <v>477.2</v>
      </c>
      <c r="AR70" s="1413">
        <v>326.60000000000002</v>
      </c>
      <c r="AS70" s="1413">
        <v>-378</v>
      </c>
      <c r="AT70" s="1413">
        <f>Master!Q23</f>
        <v>532.9</v>
      </c>
      <c r="AU70" s="1413">
        <v>165.8</v>
      </c>
      <c r="AV70" s="1413">
        <v>163.80000000000001</v>
      </c>
      <c r="AW70" s="1413">
        <v>159.9</v>
      </c>
      <c r="AX70" s="1413">
        <v>91.5</v>
      </c>
      <c r="AY70" s="1413"/>
      <c r="AZ70" s="1413">
        <v>-5348.6</v>
      </c>
      <c r="BA70" s="1413">
        <v>137.6</v>
      </c>
      <c r="BB70" s="1413">
        <v>-119.9</v>
      </c>
      <c r="BC70" s="1413">
        <f>Master!S23-AZ70-BA70-BB70</f>
        <v>-438.49999999999932</v>
      </c>
      <c r="BD70" s="1413"/>
      <c r="BE70" s="1499">
        <v>51.8</v>
      </c>
      <c r="BF70" s="1413">
        <v>889.2</v>
      </c>
      <c r="BG70" s="1413">
        <v>1240.3</v>
      </c>
      <c r="BH70" s="1413">
        <f>3558.7-BG70-BF70-BE70</f>
        <v>1377.3999999999996</v>
      </c>
      <c r="BI70" s="1500">
        <f>Master!T23</f>
        <v>3558.8</v>
      </c>
      <c r="BJ70" s="1523">
        <v>465.4</v>
      </c>
      <c r="BK70" s="1451">
        <v>4218.6000000000004</v>
      </c>
      <c r="BL70" s="1451">
        <v>575.70000000000005</v>
      </c>
      <c r="BM70" s="1451">
        <f>-13713</f>
        <v>-13713</v>
      </c>
      <c r="BN70" s="1514">
        <f>Master!U23</f>
        <v>-8453.2999999999993</v>
      </c>
      <c r="BO70" s="1523">
        <v>96.8</v>
      </c>
      <c r="BP70" s="1451">
        <v>24.9</v>
      </c>
      <c r="BQ70" s="1451">
        <v>588.79999999999995</v>
      </c>
      <c r="BR70" s="1451">
        <v>-6920.5</v>
      </c>
      <c r="BS70" s="1514">
        <f>Master!V23</f>
        <v>-6210.1</v>
      </c>
      <c r="BT70" s="1523">
        <v>-356.6</v>
      </c>
      <c r="BU70" s="1537">
        <v>-100</v>
      </c>
      <c r="BV70" s="1537">
        <v>400</v>
      </c>
      <c r="BW70" s="1576">
        <f>BX70-BT70-BU70-BV70</f>
        <v>1360.6191193481495</v>
      </c>
      <c r="BX70" s="1514">
        <f>Master!W23</f>
        <v>1304.0191193481494</v>
      </c>
      <c r="BZ70" s="928"/>
      <c r="CA70" s="928"/>
      <c r="CB70" s="928"/>
      <c r="CC70" s="928"/>
      <c r="CD70" s="928"/>
      <c r="CE70" s="928"/>
      <c r="CF70" s="928"/>
      <c r="CG70" s="928"/>
      <c r="CH70" s="928"/>
      <c r="CI70" s="928"/>
      <c r="CJ70" s="928"/>
      <c r="CK70" s="928"/>
      <c r="CL70" s="928"/>
      <c r="CM70" s="928"/>
      <c r="CN70" s="928"/>
      <c r="CO70" s="928"/>
      <c r="CP70" s="928"/>
      <c r="CQ70" s="928"/>
      <c r="CR70" s="928"/>
      <c r="CS70" s="928"/>
      <c r="CT70" s="928"/>
      <c r="CU70" s="928"/>
      <c r="CV70" s="928"/>
      <c r="CW70" s="928"/>
      <c r="CX70" s="928"/>
      <c r="CY70" s="928"/>
      <c r="CZ70" s="928"/>
      <c r="DA70" s="928"/>
      <c r="DB70" s="928"/>
      <c r="DC70" s="928"/>
      <c r="DD70" s="928"/>
      <c r="DE70" s="928"/>
      <c r="DF70" s="928"/>
      <c r="DG70" s="928"/>
      <c r="DH70" s="928"/>
      <c r="DI70" s="928"/>
      <c r="DJ70" s="928"/>
      <c r="DK70" s="928"/>
      <c r="DL70" s="928"/>
      <c r="DM70" s="928"/>
      <c r="DN70" s="928"/>
      <c r="DO70" s="928"/>
      <c r="DP70" s="928"/>
      <c r="DQ70" s="928"/>
      <c r="DR70" s="928"/>
      <c r="DS70" s="928"/>
      <c r="DT70" s="928"/>
      <c r="DU70" s="928"/>
      <c r="DV70" s="928"/>
      <c r="DW70" s="928"/>
      <c r="DX70" s="928"/>
      <c r="DY70" s="1338"/>
      <c r="DZ70" s="928"/>
      <c r="EA70" s="928"/>
      <c r="EB70" s="928"/>
      <c r="EC70" s="1337"/>
      <c r="ED70" s="1338"/>
      <c r="EE70" s="928"/>
      <c r="EF70" s="928"/>
      <c r="EG70" s="928"/>
      <c r="EH70" s="1337"/>
      <c r="EI70" s="928"/>
      <c r="EJ70" s="928"/>
      <c r="EK70" s="928"/>
      <c r="EL70" s="928"/>
      <c r="EM70" s="1337"/>
      <c r="EN70" s="928"/>
      <c r="EO70" s="928"/>
      <c r="EP70" s="928"/>
      <c r="EQ70" s="928"/>
      <c r="ER70" s="928"/>
      <c r="ES70" s="928"/>
      <c r="ET70" s="928"/>
      <c r="EU70" s="928"/>
      <c r="EV70" s="928"/>
      <c r="EW70" s="928"/>
      <c r="EX70" s="928"/>
      <c r="EY70" s="928"/>
      <c r="EZ70" s="928"/>
      <c r="FA70" s="928"/>
      <c r="FB70" s="928"/>
      <c r="FC70" s="928"/>
      <c r="FD70" s="928"/>
      <c r="FE70" s="928"/>
      <c r="FF70" s="1349">
        <v>50</v>
      </c>
      <c r="FG70" s="928"/>
      <c r="FH70" s="1425">
        <v>935.52734378151513</v>
      </c>
      <c r="FI70" s="1319"/>
      <c r="FJ70" s="1618">
        <v>500</v>
      </c>
      <c r="FK70" s="1605"/>
      <c r="FL70" s="928"/>
      <c r="FM70" s="928"/>
      <c r="FN70" s="928"/>
      <c r="FO70" s="928"/>
      <c r="FP70" s="928"/>
      <c r="FQ70" s="928"/>
    </row>
    <row r="71" spans="1:173">
      <c r="A71" s="1430" t="s">
        <v>191</v>
      </c>
      <c r="B71" s="1430"/>
      <c r="C71" s="1430"/>
      <c r="D71" s="1430"/>
      <c r="E71" s="1430"/>
      <c r="F71" s="1430"/>
      <c r="G71" s="1431">
        <f t="shared" ref="G71:T71" si="163">G34+G68+G70</f>
        <v>1509.7999999999993</v>
      </c>
      <c r="H71" s="1431">
        <f t="shared" si="163"/>
        <v>2634.0000000000005</v>
      </c>
      <c r="I71" s="1431">
        <f t="shared" si="163"/>
        <v>4069.7999999999993</v>
      </c>
      <c r="J71" s="1431">
        <f t="shared" si="163"/>
        <v>4034.4999999999991</v>
      </c>
      <c r="K71" s="1431">
        <f t="shared" si="163"/>
        <v>15824.7</v>
      </c>
      <c r="L71" s="1431">
        <f t="shared" si="163"/>
        <v>2716.1</v>
      </c>
      <c r="M71" s="1431">
        <f t="shared" si="163"/>
        <v>2498.1000000000004</v>
      </c>
      <c r="N71" s="1431">
        <f t="shared" si="163"/>
        <v>3571.3999999999992</v>
      </c>
      <c r="O71" s="1431">
        <f t="shared" si="163"/>
        <v>4873.2000000000007</v>
      </c>
      <c r="P71" s="1431">
        <f t="shared" si="163"/>
        <v>14122.699999999999</v>
      </c>
      <c r="Q71" s="1431">
        <f t="shared" si="163"/>
        <v>2288.9</v>
      </c>
      <c r="R71" s="1431">
        <f t="shared" si="163"/>
        <v>3320.2999999999993</v>
      </c>
      <c r="S71" s="1431">
        <f t="shared" si="163"/>
        <v>3712.4999999999991</v>
      </c>
      <c r="T71" s="1431">
        <f t="shared" si="163"/>
        <v>4641.5</v>
      </c>
      <c r="U71" s="1431"/>
      <c r="V71" s="1431">
        <f t="shared" ref="V71:AD71" si="164">V34+V68+V70</f>
        <v>1667.2999999999997</v>
      </c>
      <c r="W71" s="1431">
        <f t="shared" si="164"/>
        <v>3760.0000000000018</v>
      </c>
      <c r="X71" s="1431">
        <f t="shared" si="164"/>
        <v>237.50000000000136</v>
      </c>
      <c r="Y71" s="1431">
        <f t="shared" si="164"/>
        <v>3975.9999999999941</v>
      </c>
      <c r="Z71" s="1431">
        <f t="shared" si="164"/>
        <v>9930.4</v>
      </c>
      <c r="AA71" s="1431">
        <f t="shared" si="164"/>
        <v>2649.6000000000008</v>
      </c>
      <c r="AB71" s="1431">
        <f t="shared" si="164"/>
        <v>2510.599999999999</v>
      </c>
      <c r="AC71" s="1431">
        <f t="shared" si="164"/>
        <v>10037.6</v>
      </c>
      <c r="AD71" s="1431">
        <f t="shared" si="164"/>
        <v>3460.0000000000005</v>
      </c>
      <c r="AE71" s="1431">
        <f>Master!N25</f>
        <v>20482.799999999996</v>
      </c>
      <c r="AF71" s="1431">
        <f>AF34+AF68+AF70</f>
        <v>1486.7999999999995</v>
      </c>
      <c r="AG71" s="1431">
        <f>AG34+AG68+AG70</f>
        <v>3040.78</v>
      </c>
      <c r="AH71" s="1431">
        <f>AH34+AH68+AH70</f>
        <v>2267.1000000000004</v>
      </c>
      <c r="AI71" s="1431">
        <f>AI34+AI68+AI70</f>
        <v>1830.4999999999986</v>
      </c>
      <c r="AJ71" s="1431">
        <f>Master!O25</f>
        <v>8205.3999999999942</v>
      </c>
      <c r="AK71" s="1431">
        <f>AK34+AK68+AK70</f>
        <v>2732.8</v>
      </c>
      <c r="AL71" s="1431">
        <f>AL34+AL68+AL70</f>
        <v>2897.8</v>
      </c>
      <c r="AM71" s="1431">
        <f>AM34+AM68+AM70</f>
        <v>2631.9999999999986</v>
      </c>
      <c r="AN71" s="1431">
        <f>AN34+AN68+AN70</f>
        <v>2588.9999999999977</v>
      </c>
      <c r="AO71" s="1431">
        <f>Master!P25</f>
        <v>10852.000000000002</v>
      </c>
      <c r="AP71" s="1431">
        <f>AP34+AP68+AP70</f>
        <v>1530.5999999999985</v>
      </c>
      <c r="AQ71" s="1431">
        <f>AQ34+AQ68+AQ70</f>
        <v>7357.9000000000015</v>
      </c>
      <c r="AR71" s="1431">
        <f>AR34+AR68+AR70</f>
        <v>2179.1</v>
      </c>
      <c r="AS71" s="1431">
        <f>AS34+AS68+AS70</f>
        <v>971.79999999999836</v>
      </c>
      <c r="AT71" s="1431">
        <f>Master!Q25</f>
        <v>8491.7999999999993</v>
      </c>
      <c r="AU71" s="1431">
        <f>AU34+AU68+AU70</f>
        <v>1362.100000000001</v>
      </c>
      <c r="AV71" s="1431">
        <f>AV34+AV68+AV70</f>
        <v>2021.999999999998</v>
      </c>
      <c r="AW71" s="1431">
        <f>AW34+AW68+AW70</f>
        <v>1885.4000000000019</v>
      </c>
      <c r="AX71" s="1431">
        <f>AX34+AX68+AX70</f>
        <v>3846.7999999999988</v>
      </c>
      <c r="AY71" s="1431"/>
      <c r="AZ71" s="1431">
        <f>AZ34+AZ68+AZ70</f>
        <v>-11016.3</v>
      </c>
      <c r="BA71" s="1431">
        <f>BA34+BA68+BA70</f>
        <v>2741.9000000000005</v>
      </c>
      <c r="BB71" s="1431">
        <f>BB34+BB68+BB70</f>
        <v>4825.2999999999993</v>
      </c>
      <c r="BC71" s="1431">
        <f>BC34+BC68+BC70</f>
        <v>4539.699999999998</v>
      </c>
      <c r="BD71" s="1431"/>
      <c r="BE71" s="1503">
        <f t="shared" ref="BE71:BJ71" si="165">BE34+BE68+BE70</f>
        <v>-428.8999999999989</v>
      </c>
      <c r="BF71" s="1431">
        <f t="shared" si="165"/>
        <v>4221.5999999999995</v>
      </c>
      <c r="BG71" s="1431">
        <f t="shared" si="165"/>
        <v>1179.0999999999992</v>
      </c>
      <c r="BH71" s="1431">
        <f t="shared" si="165"/>
        <v>9100.7000000000025</v>
      </c>
      <c r="BI71" s="1504">
        <f t="shared" si="165"/>
        <v>13824.099999999999</v>
      </c>
      <c r="BJ71" s="1577">
        <f t="shared" si="165"/>
        <v>-2786.8999999999996</v>
      </c>
      <c r="BK71" s="1578">
        <f t="shared" ref="BK71:BL71" si="166">BK34+BK68+BK70</f>
        <v>4701.4000000000015</v>
      </c>
      <c r="BL71" s="1578">
        <f t="shared" si="166"/>
        <v>914.79999999999939</v>
      </c>
      <c r="BM71" s="1578">
        <f t="shared" ref="BM71" si="167">BM34+BM68+BM70</f>
        <v>-16059.400000000001</v>
      </c>
      <c r="BN71" s="1579">
        <f>BN34+BN68+BN70</f>
        <v>-13240.870000000003</v>
      </c>
      <c r="BO71" s="1577">
        <f>BO37+BO68+BO70</f>
        <v>-898.10000000000014</v>
      </c>
      <c r="BP71" s="1578">
        <f>BP34+BP68+BP70</f>
        <v>265.59999999999911</v>
      </c>
      <c r="BQ71" s="1578">
        <f>BQ34+BQ68+BQ70</f>
        <v>-76.2000000000005</v>
      </c>
      <c r="BR71" s="1578">
        <f t="shared" ref="BR71" si="168">BR34+BR68+BR70</f>
        <v>-7461.9999999999991</v>
      </c>
      <c r="BS71" s="1579">
        <f t="shared" ref="BS71" si="169">BS34+BS68+BS70</f>
        <v>-8170.7</v>
      </c>
      <c r="BT71" s="1577">
        <f>BT37+BT68+BT70</f>
        <v>1436.1999999999994</v>
      </c>
      <c r="BU71" s="1578">
        <f>BU34+BU68+BU70</f>
        <v>-934.45567936907173</v>
      </c>
      <c r="BV71" s="1578">
        <f>BV34+BV68+BV70</f>
        <v>-847.91374239385368</v>
      </c>
      <c r="BW71" s="1578">
        <f t="shared" ref="BW71:BX71" ca="1" si="170">BW34+BW68+BW70</f>
        <v>336.50252239930182</v>
      </c>
      <c r="BX71" s="1579">
        <f t="shared" ca="1" si="170"/>
        <v>-9.6668993636233154</v>
      </c>
      <c r="BY71" s="1413"/>
      <c r="BZ71" s="928"/>
      <c r="CA71" s="928"/>
      <c r="CB71" s="928"/>
      <c r="CC71" s="928"/>
      <c r="CD71" s="928"/>
      <c r="CE71" s="928"/>
      <c r="CF71" s="928"/>
      <c r="CG71" s="928"/>
      <c r="CH71" s="928"/>
      <c r="CI71" s="928"/>
      <c r="CJ71" s="928"/>
      <c r="CK71" s="928"/>
      <c r="CL71" s="928"/>
      <c r="CM71" s="928"/>
      <c r="CN71" s="928"/>
      <c r="CO71" s="928"/>
      <c r="CP71" s="928"/>
      <c r="CQ71" s="928"/>
      <c r="CR71" s="928"/>
      <c r="CS71" s="928"/>
      <c r="CT71" s="928"/>
      <c r="CU71" s="928"/>
      <c r="CV71" s="928"/>
      <c r="CW71" s="928"/>
      <c r="CX71" s="928"/>
      <c r="CY71" s="928"/>
      <c r="CZ71" s="928"/>
      <c r="DA71" s="928"/>
      <c r="DB71" s="928"/>
      <c r="DC71" s="928"/>
      <c r="DD71" s="928"/>
      <c r="DE71" s="928"/>
      <c r="DF71" s="928"/>
      <c r="DG71" s="928"/>
      <c r="DH71" s="928"/>
      <c r="DI71" s="928"/>
      <c r="DJ71" s="928"/>
      <c r="DK71" s="928"/>
      <c r="DL71" s="928"/>
      <c r="DM71" s="928"/>
      <c r="DN71" s="928"/>
      <c r="DO71" s="928"/>
      <c r="DP71" s="928"/>
      <c r="DQ71" s="928"/>
      <c r="DR71" s="928"/>
      <c r="DS71" s="928"/>
      <c r="DT71" s="928"/>
      <c r="DU71" s="928"/>
      <c r="DV71" s="928"/>
      <c r="DW71" s="928"/>
      <c r="DX71" s="928"/>
      <c r="DY71" s="1338"/>
      <c r="DZ71" s="928"/>
      <c r="EA71" s="928"/>
      <c r="EB71" s="928"/>
      <c r="EC71" s="1337"/>
      <c r="ED71" s="1338"/>
      <c r="EE71" s="928"/>
      <c r="EF71" s="928"/>
      <c r="EG71" s="928"/>
      <c r="EH71" s="1337"/>
      <c r="EI71" s="928"/>
      <c r="EJ71" s="928"/>
      <c r="EK71" s="928"/>
      <c r="EL71" s="928"/>
      <c r="EM71" s="1337"/>
      <c r="EN71" s="928"/>
      <c r="EO71" s="928"/>
      <c r="EP71" s="928"/>
      <c r="EQ71" s="928"/>
      <c r="ER71" s="928"/>
      <c r="ES71" s="928"/>
      <c r="ET71" s="928"/>
      <c r="EU71" s="928"/>
      <c r="EV71" s="928"/>
      <c r="EW71" s="928"/>
      <c r="EX71" s="928"/>
      <c r="EY71" s="928"/>
      <c r="EZ71" s="928"/>
      <c r="FA71" s="928"/>
      <c r="FB71" s="928"/>
      <c r="FC71" s="928"/>
      <c r="FD71" s="928"/>
      <c r="FE71" s="928"/>
      <c r="FF71" s="1432">
        <v>180</v>
      </c>
      <c r="FG71" s="928"/>
      <c r="FH71" s="1433">
        <v>-695.3057211555049</v>
      </c>
      <c r="FI71" s="1319"/>
      <c r="FJ71" s="1620">
        <v>55.552000000000589</v>
      </c>
      <c r="FK71" s="1605"/>
      <c r="FL71" s="928"/>
      <c r="FM71" s="928"/>
      <c r="FN71" s="928"/>
      <c r="FO71" s="928"/>
      <c r="FP71" s="928"/>
      <c r="FQ71" s="928"/>
    </row>
    <row r="72" spans="1:173">
      <c r="A72" s="1393"/>
      <c r="B72" s="1393"/>
      <c r="C72" s="1393"/>
      <c r="D72" s="1393"/>
      <c r="E72" s="1393"/>
      <c r="F72" s="1393"/>
      <c r="G72" s="1426"/>
      <c r="H72" s="1426"/>
      <c r="I72" s="1426"/>
      <c r="J72" s="1426"/>
      <c r="K72" s="1426"/>
      <c r="L72" s="1426"/>
      <c r="M72" s="1426"/>
      <c r="N72" s="1426"/>
      <c r="O72" s="1426"/>
      <c r="P72" s="1426"/>
      <c r="Q72" s="1426"/>
      <c r="R72" s="1426"/>
      <c r="S72" s="1426"/>
      <c r="T72" s="1426"/>
      <c r="U72" s="1426"/>
      <c r="V72" s="1426"/>
      <c r="W72" s="1426"/>
      <c r="X72" s="1426"/>
      <c r="Y72" s="1426"/>
      <c r="Z72" s="1426"/>
      <c r="AA72" s="1426"/>
      <c r="AB72" s="1426"/>
      <c r="AC72" s="1426"/>
      <c r="AD72" s="1426"/>
      <c r="AE72" s="1426"/>
      <c r="AF72" s="1426"/>
      <c r="AG72" s="1426"/>
      <c r="AH72" s="1426"/>
      <c r="AI72" s="1426"/>
      <c r="AJ72" s="1426"/>
      <c r="AK72" s="1426"/>
      <c r="AL72" s="1426"/>
      <c r="AM72" s="1426"/>
      <c r="AN72" s="1426"/>
      <c r="AO72" s="1426"/>
      <c r="AP72" s="1426"/>
      <c r="AQ72" s="1426"/>
      <c r="AR72" s="1426"/>
      <c r="AS72" s="1426"/>
      <c r="AT72" s="1426"/>
      <c r="AU72" s="1426"/>
      <c r="AV72" s="1426"/>
      <c r="AW72" s="1426"/>
      <c r="AX72" s="1426"/>
      <c r="AY72" s="1426"/>
      <c r="AZ72" s="1426"/>
      <c r="BA72" s="1426"/>
      <c r="BB72" s="1426"/>
      <c r="BC72" s="1426"/>
      <c r="BD72" s="1426"/>
      <c r="BE72" s="1581"/>
      <c r="BF72" s="1426"/>
      <c r="BG72" s="1426"/>
      <c r="BH72" s="1426"/>
      <c r="BI72" s="1665"/>
      <c r="BJ72" s="1584"/>
      <c r="BK72" s="1585"/>
      <c r="BL72" s="1585"/>
      <c r="BM72" s="1585"/>
      <c r="BN72" s="1586"/>
      <c r="BO72" s="1584"/>
      <c r="BP72" s="1585"/>
      <c r="BQ72" s="1585"/>
      <c r="BR72" s="1585"/>
      <c r="BS72" s="1586"/>
      <c r="BT72" s="1584"/>
      <c r="BU72" s="1585"/>
      <c r="BV72" s="1585"/>
      <c r="BW72" s="1585"/>
      <c r="BX72" s="1586"/>
      <c r="BY72" s="1413"/>
      <c r="BZ72" s="928"/>
      <c r="CA72" s="928"/>
      <c r="CB72" s="928"/>
      <c r="CC72" s="928"/>
      <c r="CD72" s="928"/>
      <c r="CE72" s="928"/>
      <c r="CF72" s="928"/>
      <c r="CG72" s="928"/>
      <c r="CH72" s="928"/>
      <c r="CI72" s="928"/>
      <c r="CJ72" s="928"/>
      <c r="CK72" s="928"/>
      <c r="CL72" s="928"/>
      <c r="CM72" s="928"/>
      <c r="CN72" s="928"/>
      <c r="CO72" s="928"/>
      <c r="CP72" s="928"/>
      <c r="CQ72" s="928"/>
      <c r="CR72" s="928"/>
      <c r="CS72" s="928"/>
      <c r="CT72" s="928"/>
      <c r="CU72" s="928"/>
      <c r="CV72" s="928"/>
      <c r="CW72" s="928"/>
      <c r="CX72" s="928"/>
      <c r="CY72" s="928"/>
      <c r="CZ72" s="928"/>
      <c r="DA72" s="928"/>
      <c r="DB72" s="928"/>
      <c r="DC72" s="928"/>
      <c r="DD72" s="928"/>
      <c r="DE72" s="928"/>
      <c r="DF72" s="928"/>
      <c r="DG72" s="928"/>
      <c r="DH72" s="928"/>
      <c r="DI72" s="928"/>
      <c r="DJ72" s="928"/>
      <c r="DK72" s="928"/>
      <c r="DL72" s="928"/>
      <c r="DM72" s="928"/>
      <c r="DN72" s="928"/>
      <c r="DO72" s="928"/>
      <c r="DP72" s="928"/>
      <c r="DQ72" s="928"/>
      <c r="DR72" s="928"/>
      <c r="DS72" s="928"/>
      <c r="DT72" s="928"/>
      <c r="DU72" s="928"/>
      <c r="DV72" s="928"/>
      <c r="DW72" s="928"/>
      <c r="DX72" s="928"/>
      <c r="DY72" s="1338"/>
      <c r="DZ72" s="928"/>
      <c r="EA72" s="928"/>
      <c r="EB72" s="928"/>
      <c r="EC72" s="1337"/>
      <c r="ED72" s="1338"/>
      <c r="EE72" s="928"/>
      <c r="EF72" s="928"/>
      <c r="EG72" s="928"/>
      <c r="EH72" s="1337"/>
      <c r="EI72" s="928"/>
      <c r="EJ72" s="928"/>
      <c r="EK72" s="928"/>
      <c r="EL72" s="928"/>
      <c r="EM72" s="1337"/>
      <c r="EN72" s="928"/>
      <c r="EO72" s="928"/>
      <c r="EP72" s="928"/>
      <c r="EQ72" s="928"/>
      <c r="ER72" s="928"/>
      <c r="ES72" s="928"/>
      <c r="ET72" s="928"/>
      <c r="EU72" s="928"/>
      <c r="EV72" s="928"/>
      <c r="EW72" s="928"/>
      <c r="EX72" s="928"/>
      <c r="EY72" s="928"/>
      <c r="EZ72" s="928"/>
      <c r="FA72" s="928"/>
      <c r="FB72" s="928"/>
      <c r="FC72" s="928"/>
      <c r="FD72" s="928"/>
      <c r="FE72" s="928"/>
      <c r="FF72" s="1432"/>
      <c r="FG72" s="928"/>
      <c r="FH72" s="1433"/>
      <c r="FI72" s="1319"/>
      <c r="FJ72" s="1626"/>
      <c r="FK72" s="1605"/>
      <c r="FL72" s="928"/>
      <c r="FM72" s="928"/>
      <c r="FN72" s="928"/>
      <c r="FO72" s="928"/>
      <c r="FP72" s="928"/>
      <c r="FQ72" s="928"/>
    </row>
    <row r="73" spans="1:173">
      <c r="A73" s="928" t="s">
        <v>192</v>
      </c>
      <c r="B73" s="928"/>
      <c r="C73" s="928"/>
      <c r="D73" s="928"/>
      <c r="E73" s="928"/>
      <c r="F73" s="928"/>
      <c r="G73" s="1413">
        <f>-1000-H73</f>
        <v>-378</v>
      </c>
      <c r="H73" s="1413">
        <v>-622</v>
      </c>
      <c r="I73" s="1413">
        <v>-778.3</v>
      </c>
      <c r="J73" s="1413">
        <v>-1448</v>
      </c>
      <c r="K73" s="1413">
        <v>-3410</v>
      </c>
      <c r="L73" s="1413">
        <f>-1476-M73</f>
        <v>-762.4</v>
      </c>
      <c r="M73" s="1413">
        <v>-713.6</v>
      </c>
      <c r="N73" s="1413">
        <v>-809.4</v>
      </c>
      <c r="O73" s="1413">
        <v>-1768.1</v>
      </c>
      <c r="P73" s="1413">
        <f>Master!K27</f>
        <v>-4053</v>
      </c>
      <c r="Q73" s="1413">
        <v>-756.1</v>
      </c>
      <c r="R73" s="1413">
        <v>-1108.5</v>
      </c>
      <c r="S73" s="1413">
        <v>-1080.9000000000001</v>
      </c>
      <c r="T73" s="1413">
        <v>-783.5</v>
      </c>
      <c r="U73" s="1413"/>
      <c r="V73" s="1413">
        <v>-485.6</v>
      </c>
      <c r="W73" s="1413">
        <v>-1117.5</v>
      </c>
      <c r="X73" s="1413">
        <v>-65.900000000000006</v>
      </c>
      <c r="Y73" s="1413">
        <v>-1314</v>
      </c>
      <c r="Z73" s="1413">
        <f>Master!M27</f>
        <v>-2983</v>
      </c>
      <c r="AA73" s="1413">
        <v>-846.4</v>
      </c>
      <c r="AB73" s="1413">
        <v>-761</v>
      </c>
      <c r="AC73" s="1413">
        <v>-3259.9</v>
      </c>
      <c r="AD73" s="1413">
        <v>-1471.7</v>
      </c>
      <c r="AE73" s="1413">
        <f>Master!N27</f>
        <v>-6332.2</v>
      </c>
      <c r="AF73" s="1413">
        <v>-505.5</v>
      </c>
      <c r="AG73" s="1413">
        <v>-855.4</v>
      </c>
      <c r="AH73" s="1413">
        <v>-886.7</v>
      </c>
      <c r="AI73" s="1413">
        <v>-624.6</v>
      </c>
      <c r="AJ73" s="1413">
        <f>Master!O27</f>
        <v>-2872.2</v>
      </c>
      <c r="AK73" s="1413">
        <v>-864.2</v>
      </c>
      <c r="AL73" s="1413">
        <v>-982.9</v>
      </c>
      <c r="AM73" s="1413">
        <v>-967.6</v>
      </c>
      <c r="AN73" s="1413">
        <v>-1459.4</v>
      </c>
      <c r="AO73" s="1413">
        <f>Master!P27</f>
        <v>-4274</v>
      </c>
      <c r="AP73" s="1413">
        <v>-535.70000000000005</v>
      </c>
      <c r="AQ73" s="1413">
        <v>-2563.5</v>
      </c>
      <c r="AR73" s="1413">
        <v>-699.5</v>
      </c>
      <c r="AS73" s="1413">
        <v>-591.79999999999995</v>
      </c>
      <c r="AT73" s="1413">
        <f>Master!Q27</f>
        <v>-4391</v>
      </c>
      <c r="AU73" s="1413">
        <v>-504</v>
      </c>
      <c r="AV73" s="1413">
        <v>-741.9</v>
      </c>
      <c r="AW73" s="1413">
        <v>-726.8</v>
      </c>
      <c r="AX73" s="1413">
        <v>-803.7</v>
      </c>
      <c r="AY73" s="1413"/>
      <c r="AZ73" s="1413">
        <v>1725.9</v>
      </c>
      <c r="BA73" s="1413">
        <v>-752.5</v>
      </c>
      <c r="BB73" s="1413">
        <v>-2119.1999999999998</v>
      </c>
      <c r="BC73" s="1413">
        <f>Master!S27-AZ73-BA73-BB73</f>
        <v>-3858.8</v>
      </c>
      <c r="BD73" s="1413"/>
      <c r="BE73" s="1499">
        <v>-3143.6</v>
      </c>
      <c r="BF73" s="1413">
        <v>-1800</v>
      </c>
      <c r="BG73" s="1413">
        <v>-111.4</v>
      </c>
      <c r="BH73" s="1413">
        <v>-5685.9</v>
      </c>
      <c r="BI73" s="1500">
        <f>Master!T27</f>
        <v>-7493.9</v>
      </c>
      <c r="BJ73" s="1523">
        <v>878.1</v>
      </c>
      <c r="BK73" s="1451">
        <v>-1510.9</v>
      </c>
      <c r="BL73" s="1451">
        <v>-351.5</v>
      </c>
      <c r="BM73" s="1451">
        <v>1951.7</v>
      </c>
      <c r="BN73" s="1514">
        <f>Master!U27</f>
        <v>967.4</v>
      </c>
      <c r="BO73" s="1523">
        <v>188</v>
      </c>
      <c r="BP73" s="1451">
        <v>-93.1</v>
      </c>
      <c r="BQ73" s="1451">
        <v>-975.4</v>
      </c>
      <c r="BR73" s="1451">
        <v>-1560.4</v>
      </c>
      <c r="BS73" s="1514">
        <f>Master!V27</f>
        <v>-2440.9</v>
      </c>
      <c r="BT73" s="1523">
        <v>-541</v>
      </c>
      <c r="BU73" s="1537">
        <v>395</v>
      </c>
      <c r="BV73" s="1537">
        <v>395</v>
      </c>
      <c r="BW73" s="1576">
        <f ca="1">BX73-BT73-BU73-BV73</f>
        <v>497.55448523929681</v>
      </c>
      <c r="BX73" s="1514">
        <f ca="1">Master!W27</f>
        <v>746.5544852392967</v>
      </c>
      <c r="BY73" s="1413"/>
      <c r="BZ73" s="928"/>
      <c r="CA73" s="928"/>
      <c r="CB73" s="928"/>
      <c r="CC73" s="928"/>
      <c r="CD73" s="928"/>
      <c r="CE73" s="928"/>
      <c r="CF73" s="928"/>
      <c r="CG73" s="928"/>
      <c r="CH73" s="928"/>
      <c r="CI73" s="928"/>
      <c r="CJ73" s="928"/>
      <c r="CK73" s="928"/>
      <c r="CL73" s="928"/>
      <c r="CM73" s="928"/>
      <c r="CN73" s="928"/>
      <c r="CO73" s="928"/>
      <c r="CP73" s="928"/>
      <c r="CQ73" s="928"/>
      <c r="CR73" s="928"/>
      <c r="CS73" s="928"/>
      <c r="CT73" s="928"/>
      <c r="CU73" s="928"/>
      <c r="CV73" s="928"/>
      <c r="CW73" s="928"/>
      <c r="CX73" s="928"/>
      <c r="CY73" s="928"/>
      <c r="CZ73" s="928"/>
      <c r="DA73" s="928"/>
      <c r="DB73" s="928"/>
      <c r="DC73" s="928"/>
      <c r="DD73" s="928"/>
      <c r="DE73" s="928"/>
      <c r="DF73" s="928"/>
      <c r="DG73" s="928"/>
      <c r="DH73" s="928"/>
      <c r="DI73" s="928"/>
      <c r="DJ73" s="928"/>
      <c r="DK73" s="928"/>
      <c r="DL73" s="928"/>
      <c r="DM73" s="928"/>
      <c r="DN73" s="928"/>
      <c r="DO73" s="928"/>
      <c r="DP73" s="928"/>
      <c r="DQ73" s="928"/>
      <c r="DR73" s="928"/>
      <c r="DS73" s="928"/>
      <c r="DT73" s="928"/>
      <c r="DU73" s="928"/>
      <c r="DV73" s="928"/>
      <c r="DW73" s="928"/>
      <c r="DX73" s="928"/>
      <c r="DY73" s="1338"/>
      <c r="DZ73" s="928"/>
      <c r="EA73" s="928"/>
      <c r="EB73" s="928"/>
      <c r="EC73" s="1337"/>
      <c r="ED73" s="1338"/>
      <c r="EE73" s="928"/>
      <c r="EF73" s="928"/>
      <c r="EG73" s="928"/>
      <c r="EH73" s="1337"/>
      <c r="EI73" s="928"/>
      <c r="EJ73" s="928"/>
      <c r="EK73" s="928"/>
      <c r="EL73" s="928"/>
      <c r="EM73" s="1337"/>
      <c r="EN73" s="928"/>
      <c r="EO73" s="928"/>
      <c r="EP73" s="928"/>
      <c r="EQ73" s="928"/>
      <c r="ER73" s="928"/>
      <c r="ES73" s="928"/>
      <c r="ET73" s="928"/>
      <c r="EU73" s="928"/>
      <c r="EV73" s="928"/>
      <c r="EW73" s="928"/>
      <c r="EX73" s="928"/>
      <c r="EY73" s="928"/>
      <c r="EZ73" s="928"/>
      <c r="FA73" s="928"/>
      <c r="FB73" s="928"/>
      <c r="FC73" s="928"/>
      <c r="FD73" s="928"/>
      <c r="FE73" s="928"/>
      <c r="FF73" s="1429">
        <v>-62.999999999999993</v>
      </c>
      <c r="FG73" s="928"/>
      <c r="FH73" s="1425">
        <v>823.05826623425514</v>
      </c>
      <c r="FI73" s="1319"/>
      <c r="FJ73" s="1618">
        <v>60</v>
      </c>
      <c r="FK73" s="1605"/>
      <c r="FL73" s="928"/>
      <c r="FM73" s="928"/>
      <c r="FN73" s="928"/>
      <c r="FO73" s="928"/>
      <c r="FP73" s="928"/>
      <c r="FQ73" s="928"/>
    </row>
    <row r="74" spans="1:173">
      <c r="A74" s="928" t="s">
        <v>3010</v>
      </c>
      <c r="B74" s="928"/>
      <c r="C74" s="928"/>
      <c r="D74" s="928"/>
      <c r="E74" s="928"/>
      <c r="F74" s="928"/>
      <c r="G74" s="1413"/>
      <c r="H74" s="1413"/>
      <c r="I74" s="1413"/>
      <c r="J74" s="1413"/>
      <c r="K74" s="1413"/>
      <c r="L74" s="1413"/>
      <c r="M74" s="1413"/>
      <c r="N74" s="1413"/>
      <c r="O74" s="1413"/>
      <c r="P74" s="1413"/>
      <c r="Q74" s="1413"/>
      <c r="R74" s="1413"/>
      <c r="S74" s="1413"/>
      <c r="T74" s="1413"/>
      <c r="U74" s="1413"/>
      <c r="V74" s="1413"/>
      <c r="W74" s="1413"/>
      <c r="X74" s="1413"/>
      <c r="Y74" s="1413"/>
      <c r="Z74" s="1413"/>
      <c r="AA74" s="1413"/>
      <c r="AB74" s="1413"/>
      <c r="AC74" s="1413"/>
      <c r="AD74" s="1413"/>
      <c r="AE74" s="1413"/>
      <c r="AF74" s="1254">
        <f>-AF73/AF71</f>
        <v>0.33999192897497993</v>
      </c>
      <c r="AG74" s="1254">
        <f>-AG73/AG71</f>
        <v>0.28130940087740641</v>
      </c>
      <c r="AH74" s="1254">
        <f>-AH73/AH71</f>
        <v>0.39111640421684085</v>
      </c>
      <c r="AI74" s="1254">
        <f>-AI73/AI71</f>
        <v>0.34121824638077053</v>
      </c>
      <c r="AJ74" s="1413"/>
      <c r="AK74" s="1254">
        <f>-AK73/AK71</f>
        <v>0.31623243559718966</v>
      </c>
      <c r="AL74" s="1254">
        <f>-AL73/AL71</f>
        <v>0.33918834978259366</v>
      </c>
      <c r="AM74" s="1254">
        <f>-AM73/AM71</f>
        <v>0.36762917933130718</v>
      </c>
      <c r="AN74" s="1254">
        <f>-AN73/AN71</f>
        <v>0.56369254538431879</v>
      </c>
      <c r="AO74" s="1413"/>
      <c r="AP74" s="1254">
        <f>-AP73/AP71</f>
        <v>0.34999346661439995</v>
      </c>
      <c r="AQ74" s="1254">
        <f>-AQ73/AQ71</f>
        <v>0.34840103833974362</v>
      </c>
      <c r="AR74" s="1254">
        <f>-AR73/AR71</f>
        <v>0.32100408425496768</v>
      </c>
      <c r="AS74" s="1254">
        <f>-AS73/AS71</f>
        <v>0.60897303972010797</v>
      </c>
      <c r="AT74" s="1413"/>
      <c r="AU74" s="1254">
        <f>-AU73/AU71</f>
        <v>0.37001688569121183</v>
      </c>
      <c r="AV74" s="1254">
        <f>-AV73/AV71</f>
        <v>0.36691394658753745</v>
      </c>
      <c r="AW74" s="1254">
        <f>-AW73/AW71</f>
        <v>0.38548849050599299</v>
      </c>
      <c r="AX74" s="1254">
        <f>-AX73/AX71</f>
        <v>0.20892690028075292</v>
      </c>
      <c r="AY74" s="1413"/>
      <c r="AZ74" s="1254">
        <f>-AZ73/AZ71</f>
        <v>0.15666784673620002</v>
      </c>
      <c r="BA74" s="1254">
        <f>-BA73/BA71</f>
        <v>0.27444472810824605</v>
      </c>
      <c r="BB74" s="1254">
        <f>-BB73/BB71</f>
        <v>0.43918512838579987</v>
      </c>
      <c r="BC74" s="1254">
        <f>-BC73/BC71</f>
        <v>0.85001211533801835</v>
      </c>
      <c r="BD74" s="1413"/>
      <c r="BE74" s="1355">
        <f>-BE73/BE71</f>
        <v>-7.3294474236418932</v>
      </c>
      <c r="BF74" s="1254">
        <f>-BF73/BF71</f>
        <v>0.42637862421830591</v>
      </c>
      <c r="BG74" s="1254">
        <f>-BG73/BG71</f>
        <v>9.4478839793062569E-2</v>
      </c>
      <c r="BH74" s="1254">
        <f>-BH73/BH71</f>
        <v>0.62477611612293538</v>
      </c>
      <c r="BI74" s="1500"/>
      <c r="BJ74" s="1355">
        <f t="shared" ref="BJ74:BK74" si="171">-BJ73/BJ71</f>
        <v>0.31508127309914247</v>
      </c>
      <c r="BK74" s="1254">
        <f t="shared" si="171"/>
        <v>0.32137235717020451</v>
      </c>
      <c r="BL74" s="1254">
        <f t="shared" ref="BL74:BM74" si="172">-BL73/BL71</f>
        <v>0.3842369916921734</v>
      </c>
      <c r="BM74" s="1254">
        <f t="shared" si="172"/>
        <v>0.12153006961654855</v>
      </c>
      <c r="BN74" s="1389">
        <f>-BN73/BN71</f>
        <v>7.3061664377038649E-2</v>
      </c>
      <c r="BO74" s="1355">
        <f t="shared" ref="BO74:BQ74" si="173">-BO73/BO71</f>
        <v>0.20933080948669411</v>
      </c>
      <c r="BP74" s="1254">
        <f t="shared" si="173"/>
        <v>0.35052710843373608</v>
      </c>
      <c r="BQ74" s="1254">
        <f t="shared" si="173"/>
        <v>-12.800524934383118</v>
      </c>
      <c r="BR74" s="1254">
        <f t="shared" ref="BR74" si="174">-BR73/BR71</f>
        <v>-0.20911283838113109</v>
      </c>
      <c r="BS74" s="1389">
        <f t="shared" ref="BS74:BW74" si="175">-BS73/BS71</f>
        <v>-0.29873817420784021</v>
      </c>
      <c r="BT74" s="1355">
        <f t="shared" si="175"/>
        <v>0.37668848349812023</v>
      </c>
      <c r="BU74" s="1254">
        <f t="shared" si="175"/>
        <v>0.42270597602520554</v>
      </c>
      <c r="BV74" s="1254">
        <f t="shared" si="175"/>
        <v>0.46584927245644703</v>
      </c>
      <c r="BW74" s="1254">
        <f t="shared" ca="1" si="175"/>
        <v>-1.4786055144302512</v>
      </c>
      <c r="BX74" s="1389">
        <f t="shared" ref="BX74" ca="1" si="176">-BX73/BX71</f>
        <v>77.227915297079875</v>
      </c>
      <c r="BY74" s="1413"/>
      <c r="BZ74" s="928"/>
      <c r="CA74" s="928"/>
      <c r="CB74" s="928"/>
      <c r="CC74" s="928"/>
      <c r="CD74" s="928"/>
      <c r="CE74" s="928"/>
      <c r="CF74" s="928"/>
      <c r="CG74" s="928"/>
      <c r="CH74" s="928"/>
      <c r="CI74" s="928"/>
      <c r="CJ74" s="928"/>
      <c r="CK74" s="928"/>
      <c r="CL74" s="928"/>
      <c r="CM74" s="928"/>
      <c r="CN74" s="928"/>
      <c r="CO74" s="928"/>
      <c r="CP74" s="928"/>
      <c r="CQ74" s="928"/>
      <c r="CR74" s="928"/>
      <c r="CS74" s="928"/>
      <c r="CT74" s="928"/>
      <c r="CU74" s="928"/>
      <c r="CV74" s="928"/>
      <c r="CW74" s="928"/>
      <c r="CX74" s="928"/>
      <c r="CY74" s="928"/>
      <c r="CZ74" s="928"/>
      <c r="DA74" s="928"/>
      <c r="DB74" s="928"/>
      <c r="DC74" s="928"/>
      <c r="DD74" s="928"/>
      <c r="DE74" s="928"/>
      <c r="DF74" s="928"/>
      <c r="DG74" s="928"/>
      <c r="DH74" s="928"/>
      <c r="DI74" s="928"/>
      <c r="DJ74" s="928"/>
      <c r="DK74" s="928"/>
      <c r="DL74" s="928"/>
      <c r="DM74" s="928"/>
      <c r="DN74" s="928"/>
      <c r="DO74" s="928"/>
      <c r="DP74" s="928"/>
      <c r="DQ74" s="928"/>
      <c r="DR74" s="928"/>
      <c r="DS74" s="928"/>
      <c r="DT74" s="928"/>
      <c r="DU74" s="928"/>
      <c r="DV74" s="928"/>
      <c r="DW74" s="928"/>
      <c r="DX74" s="928"/>
      <c r="DY74" s="1338"/>
      <c r="DZ74" s="928"/>
      <c r="EA74" s="928"/>
      <c r="EB74" s="928"/>
      <c r="EC74" s="1337"/>
      <c r="ED74" s="1338"/>
      <c r="EE74" s="928"/>
      <c r="EF74" s="928"/>
      <c r="EG74" s="928"/>
      <c r="EH74" s="1337"/>
      <c r="EI74" s="928"/>
      <c r="EJ74" s="928"/>
      <c r="EK74" s="928"/>
      <c r="EL74" s="928"/>
      <c r="EM74" s="1337"/>
      <c r="EN74" s="928"/>
      <c r="EO74" s="928"/>
      <c r="EP74" s="928"/>
      <c r="EQ74" s="928"/>
      <c r="ER74" s="928"/>
      <c r="ES74" s="928"/>
      <c r="ET74" s="928"/>
      <c r="EU74" s="928"/>
      <c r="EV74" s="928"/>
      <c r="EW74" s="928"/>
      <c r="EX74" s="928"/>
      <c r="EY74" s="928"/>
      <c r="EZ74" s="928"/>
      <c r="FA74" s="928"/>
      <c r="FB74" s="928"/>
      <c r="FC74" s="928"/>
      <c r="FD74" s="928"/>
      <c r="FE74" s="928"/>
      <c r="FF74" s="1363">
        <v>0.35</v>
      </c>
      <c r="FG74" s="928"/>
      <c r="FH74" s="1351">
        <v>1.1837357887210285</v>
      </c>
      <c r="FI74" s="1319"/>
      <c r="FJ74" s="1612">
        <v>-1.0800691244239518</v>
      </c>
      <c r="FK74" s="1605"/>
      <c r="FL74" s="928"/>
      <c r="FM74" s="928"/>
      <c r="FN74" s="928"/>
      <c r="FO74" s="928"/>
      <c r="FP74" s="928"/>
      <c r="FQ74" s="928"/>
    </row>
    <row r="75" spans="1:173">
      <c r="A75" s="928"/>
      <c r="B75" s="928"/>
      <c r="C75" s="928"/>
      <c r="D75" s="928"/>
      <c r="E75" s="928"/>
      <c r="F75" s="928"/>
      <c r="G75" s="1413"/>
      <c r="H75" s="1413"/>
      <c r="I75" s="1413"/>
      <c r="J75" s="1413"/>
      <c r="K75" s="1413"/>
      <c r="L75" s="1413"/>
      <c r="M75" s="1413"/>
      <c r="N75" s="1413"/>
      <c r="O75" s="1413"/>
      <c r="P75" s="1413"/>
      <c r="Q75" s="1413"/>
      <c r="R75" s="1413"/>
      <c r="S75" s="1413"/>
      <c r="T75" s="1413"/>
      <c r="U75" s="1413"/>
      <c r="V75" s="1413"/>
      <c r="W75" s="1413"/>
      <c r="X75" s="1413"/>
      <c r="Y75" s="1413"/>
      <c r="Z75" s="1413"/>
      <c r="AA75" s="1413"/>
      <c r="AB75" s="1413"/>
      <c r="AC75" s="1413"/>
      <c r="AD75" s="1413"/>
      <c r="AE75" s="1413"/>
      <c r="AF75" s="1254"/>
      <c r="AG75" s="1254"/>
      <c r="AH75" s="1254"/>
      <c r="AI75" s="1254"/>
      <c r="AJ75" s="1413"/>
      <c r="AK75" s="1254"/>
      <c r="AL75" s="1254"/>
      <c r="AM75" s="1254"/>
      <c r="AN75" s="1254"/>
      <c r="AO75" s="1413"/>
      <c r="AP75" s="1254"/>
      <c r="AQ75" s="1254"/>
      <c r="AR75" s="1254"/>
      <c r="AS75" s="1254"/>
      <c r="AT75" s="1413"/>
      <c r="AU75" s="1254"/>
      <c r="AV75" s="1254"/>
      <c r="AW75" s="1254"/>
      <c r="AX75" s="1254"/>
      <c r="AY75" s="1413"/>
      <c r="AZ75" s="1413"/>
      <c r="BA75" s="1413"/>
      <c r="BB75" s="1413"/>
      <c r="BC75" s="1413"/>
      <c r="BD75" s="1413"/>
      <c r="BE75" s="1499"/>
      <c r="BF75" s="1413"/>
      <c r="BG75" s="1413"/>
      <c r="BH75" s="1413"/>
      <c r="BI75" s="1500"/>
      <c r="BJ75" s="1499"/>
      <c r="BK75" s="1413"/>
      <c r="BL75" s="1413"/>
      <c r="BM75" s="1413"/>
      <c r="BN75" s="1500"/>
      <c r="BO75" s="1499"/>
      <c r="BP75" s="1413"/>
      <c r="BQ75" s="1413"/>
      <c r="BR75" s="1413"/>
      <c r="BS75" s="1500"/>
      <c r="BT75" s="1499"/>
      <c r="BU75" s="1413"/>
      <c r="BV75" s="1413"/>
      <c r="BW75" s="1413"/>
      <c r="BX75" s="1500"/>
      <c r="BY75" s="1413"/>
      <c r="BZ75" s="928"/>
      <c r="CA75" s="928"/>
      <c r="CB75" s="928"/>
      <c r="CC75" s="928"/>
      <c r="CD75" s="928"/>
      <c r="CE75" s="928"/>
      <c r="CF75" s="928"/>
      <c r="CG75" s="928"/>
      <c r="CH75" s="928"/>
      <c r="CI75" s="928"/>
      <c r="CJ75" s="928"/>
      <c r="CK75" s="928"/>
      <c r="CL75" s="928"/>
      <c r="CM75" s="928"/>
      <c r="CN75" s="928"/>
      <c r="CO75" s="928"/>
      <c r="CP75" s="928"/>
      <c r="CQ75" s="928"/>
      <c r="CR75" s="928"/>
      <c r="CS75" s="928"/>
      <c r="CT75" s="928"/>
      <c r="CU75" s="928"/>
      <c r="CV75" s="928"/>
      <c r="CW75" s="928"/>
      <c r="CX75" s="928"/>
      <c r="CY75" s="928"/>
      <c r="CZ75" s="928"/>
      <c r="DA75" s="928"/>
      <c r="DB75" s="928"/>
      <c r="DC75" s="928"/>
      <c r="DD75" s="928"/>
      <c r="DE75" s="928"/>
      <c r="DF75" s="928"/>
      <c r="DG75" s="928"/>
      <c r="DH75" s="928"/>
      <c r="DI75" s="928"/>
      <c r="DJ75" s="928"/>
      <c r="DK75" s="928"/>
      <c r="DL75" s="928"/>
      <c r="DM75" s="928"/>
      <c r="DN75" s="928"/>
      <c r="DO75" s="928"/>
      <c r="DP75" s="928"/>
      <c r="DQ75" s="928"/>
      <c r="DR75" s="928"/>
      <c r="DS75" s="928"/>
      <c r="DT75" s="928"/>
      <c r="DU75" s="928"/>
      <c r="DV75" s="928"/>
      <c r="DW75" s="928"/>
      <c r="DX75" s="928"/>
      <c r="DY75" s="1338"/>
      <c r="DZ75" s="928"/>
      <c r="EA75" s="928"/>
      <c r="EB75" s="928"/>
      <c r="EC75" s="1337"/>
      <c r="ED75" s="1338"/>
      <c r="EE75" s="928"/>
      <c r="EF75" s="928"/>
      <c r="EG75" s="928"/>
      <c r="EH75" s="1337"/>
      <c r="EI75" s="928"/>
      <c r="EJ75" s="928"/>
      <c r="EK75" s="928"/>
      <c r="EL75" s="928"/>
      <c r="EM75" s="1337"/>
      <c r="EN75" s="928"/>
      <c r="EO75" s="928"/>
      <c r="EP75" s="928"/>
      <c r="EQ75" s="928"/>
      <c r="ER75" s="928"/>
      <c r="ES75" s="928"/>
      <c r="ET75" s="928"/>
      <c r="EU75" s="928"/>
      <c r="EV75" s="928"/>
      <c r="EW75" s="928"/>
      <c r="EX75" s="928"/>
      <c r="EY75" s="928"/>
      <c r="EZ75" s="928"/>
      <c r="FA75" s="928"/>
      <c r="FB75" s="928"/>
      <c r="FC75" s="928"/>
      <c r="FD75" s="928"/>
      <c r="FE75" s="928"/>
      <c r="FF75" s="1429"/>
      <c r="FG75" s="928"/>
      <c r="FH75" s="1425"/>
      <c r="FI75" s="1319"/>
      <c r="FJ75" s="1621"/>
      <c r="FK75" s="1605"/>
      <c r="FL75" s="928"/>
      <c r="FM75" s="928"/>
      <c r="FN75" s="928"/>
      <c r="FO75" s="928"/>
      <c r="FP75" s="928"/>
      <c r="FQ75" s="928"/>
    </row>
    <row r="76" spans="1:173">
      <c r="A76" s="928" t="s">
        <v>7594</v>
      </c>
      <c r="B76" s="928"/>
      <c r="C76" s="928"/>
      <c r="D76" s="928"/>
      <c r="E76" s="928"/>
      <c r="F76" s="928"/>
      <c r="G76" s="1413"/>
      <c r="H76" s="1413"/>
      <c r="I76" s="1413"/>
      <c r="J76" s="1413"/>
      <c r="K76" s="1413"/>
      <c r="L76" s="1413"/>
      <c r="M76" s="1413"/>
      <c r="N76" s="1413"/>
      <c r="O76" s="1413"/>
      <c r="P76" s="1413"/>
      <c r="Q76" s="1413"/>
      <c r="R76" s="1413"/>
      <c r="S76" s="1413"/>
      <c r="T76" s="1413"/>
      <c r="U76" s="1413"/>
      <c r="V76" s="1413"/>
      <c r="W76" s="1413"/>
      <c r="X76" s="1413"/>
      <c r="Y76" s="1413"/>
      <c r="Z76" s="1413"/>
      <c r="AA76" s="1413"/>
      <c r="AB76" s="1413"/>
      <c r="AC76" s="1413"/>
      <c r="AD76" s="1413"/>
      <c r="AE76" s="1413"/>
      <c r="AF76" s="1254"/>
      <c r="AG76" s="1254"/>
      <c r="AH76" s="1254"/>
      <c r="AI76" s="1254"/>
      <c r="AJ76" s="1413"/>
      <c r="AK76" s="1254"/>
      <c r="AL76" s="1254"/>
      <c r="AM76" s="1254"/>
      <c r="AN76" s="1254"/>
      <c r="AO76" s="1413"/>
      <c r="AP76" s="1254"/>
      <c r="AQ76" s="1254"/>
      <c r="AR76" s="1254"/>
      <c r="AS76" s="1254"/>
      <c r="AT76" s="1413"/>
      <c r="AU76" s="1254"/>
      <c r="AV76" s="1254"/>
      <c r="AW76" s="1254"/>
      <c r="AX76" s="1254"/>
      <c r="AY76" s="1413"/>
      <c r="AZ76" s="1413"/>
      <c r="BA76" s="1413"/>
      <c r="BB76" s="1413"/>
      <c r="BC76" s="1413"/>
      <c r="BD76" s="1413"/>
      <c r="BE76" s="1499"/>
      <c r="BF76" s="1413"/>
      <c r="BG76" s="1413"/>
      <c r="BH76" s="1413"/>
      <c r="BI76" s="1500"/>
      <c r="BJ76" s="1523">
        <v>54765.4</v>
      </c>
      <c r="BK76" s="1451">
        <v>98.9</v>
      </c>
      <c r="BL76" s="1451">
        <v>739.4</v>
      </c>
      <c r="BM76" s="1451">
        <v>318.89999999999998</v>
      </c>
      <c r="BN76" s="1514"/>
      <c r="BO76" s="1509"/>
      <c r="BP76" s="1442"/>
      <c r="BQ76" s="1442"/>
      <c r="BR76" s="1442"/>
      <c r="BS76" s="1514"/>
      <c r="BT76" s="1523">
        <v>56.8</v>
      </c>
      <c r="BU76" s="1442"/>
      <c r="BV76" s="1442"/>
      <c r="BW76" s="1442"/>
      <c r="BX76" s="1514"/>
      <c r="BY76" s="1413"/>
      <c r="BZ76" s="928"/>
      <c r="CA76" s="928"/>
      <c r="CB76" s="928"/>
      <c r="CC76" s="928"/>
      <c r="CD76" s="928"/>
      <c r="CE76" s="928"/>
      <c r="CF76" s="928"/>
      <c r="CG76" s="928"/>
      <c r="CH76" s="928"/>
      <c r="CI76" s="928"/>
      <c r="CJ76" s="928"/>
      <c r="CK76" s="928"/>
      <c r="CL76" s="928"/>
      <c r="CM76" s="928"/>
      <c r="CN76" s="928"/>
      <c r="CO76" s="928"/>
      <c r="CP76" s="928"/>
      <c r="CQ76" s="928"/>
      <c r="CR76" s="928"/>
      <c r="CS76" s="928"/>
      <c r="CT76" s="928"/>
      <c r="CU76" s="928"/>
      <c r="CV76" s="928"/>
      <c r="CW76" s="928"/>
      <c r="CX76" s="928"/>
      <c r="CY76" s="928"/>
      <c r="CZ76" s="928"/>
      <c r="DA76" s="928"/>
      <c r="DB76" s="928"/>
      <c r="DC76" s="928"/>
      <c r="DD76" s="928"/>
      <c r="DE76" s="928"/>
      <c r="DF76" s="928"/>
      <c r="DG76" s="928"/>
      <c r="DH76" s="928"/>
      <c r="DI76" s="928"/>
      <c r="DJ76" s="928"/>
      <c r="DK76" s="928"/>
      <c r="DL76" s="928"/>
      <c r="DM76" s="928"/>
      <c r="DN76" s="928"/>
      <c r="DO76" s="928"/>
      <c r="DP76" s="928"/>
      <c r="DQ76" s="928"/>
      <c r="DR76" s="928"/>
      <c r="DS76" s="928"/>
      <c r="DT76" s="928"/>
      <c r="DU76" s="928"/>
      <c r="DV76" s="928"/>
      <c r="DW76" s="928"/>
      <c r="DX76" s="928"/>
      <c r="DY76" s="1338"/>
      <c r="DZ76" s="928"/>
      <c r="EA76" s="928"/>
      <c r="EB76" s="928"/>
      <c r="EC76" s="1337"/>
      <c r="ED76" s="1338"/>
      <c r="EE76" s="928"/>
      <c r="EF76" s="928"/>
      <c r="EG76" s="928"/>
      <c r="EH76" s="1337"/>
      <c r="EI76" s="928"/>
      <c r="EJ76" s="928"/>
      <c r="EK76" s="928"/>
      <c r="EL76" s="928"/>
      <c r="EM76" s="1337"/>
      <c r="EN76" s="928"/>
      <c r="EO76" s="928"/>
      <c r="EP76" s="928"/>
      <c r="EQ76" s="928"/>
      <c r="ER76" s="928"/>
      <c r="ES76" s="928"/>
      <c r="ET76" s="928"/>
      <c r="EU76" s="928"/>
      <c r="EV76" s="928"/>
      <c r="EW76" s="928"/>
      <c r="EX76" s="928"/>
      <c r="EY76" s="928"/>
      <c r="EZ76" s="928"/>
      <c r="FA76" s="928"/>
      <c r="FB76" s="928"/>
      <c r="FC76" s="928"/>
      <c r="FD76" s="928"/>
      <c r="FE76" s="928"/>
      <c r="FF76" s="1429"/>
      <c r="FG76" s="928"/>
      <c r="FH76" s="1425"/>
      <c r="FI76" s="1319"/>
      <c r="FJ76" s="1622"/>
      <c r="FK76" s="1605"/>
      <c r="FL76" s="928"/>
      <c r="FM76" s="928"/>
      <c r="FN76" s="928"/>
      <c r="FO76" s="928"/>
      <c r="FP76" s="928"/>
      <c r="FQ76" s="928"/>
    </row>
    <row r="77" spans="1:173">
      <c r="A77" s="928" t="s">
        <v>693</v>
      </c>
      <c r="B77" s="928"/>
      <c r="C77" s="928"/>
      <c r="D77" s="928"/>
      <c r="E77" s="928"/>
      <c r="F77" s="928"/>
      <c r="G77" s="1413">
        <f>-702-H77</f>
        <v>-351</v>
      </c>
      <c r="H77" s="1413">
        <v>-351</v>
      </c>
      <c r="I77" s="1413">
        <v>-205.4</v>
      </c>
      <c r="J77" s="1413">
        <v>-384.5</v>
      </c>
      <c r="K77" s="1413"/>
      <c r="L77" s="1413">
        <f>-837-M77</f>
        <v>-448.5</v>
      </c>
      <c r="M77" s="1413">
        <v>-388.5</v>
      </c>
      <c r="N77" s="1413">
        <v>-364.2</v>
      </c>
      <c r="O77" s="1413">
        <v>-107</v>
      </c>
      <c r="P77" s="1413">
        <f>Master!K28</f>
        <v>-1309</v>
      </c>
      <c r="Q77" s="1413">
        <v>-463</v>
      </c>
      <c r="R77" s="1413">
        <v>-386.3</v>
      </c>
      <c r="S77" s="1413">
        <v>-242.3</v>
      </c>
      <c r="T77" s="1413">
        <v>-1393.7</v>
      </c>
      <c r="U77" s="1413"/>
      <c r="V77" s="1413">
        <v>-329.9</v>
      </c>
      <c r="W77" s="1413">
        <v>-430.9</v>
      </c>
      <c r="X77" s="1413">
        <v>-354.7</v>
      </c>
      <c r="Y77" s="1413">
        <v>-157.4</v>
      </c>
      <c r="Z77" s="1413">
        <f>Master!M28</f>
        <v>-1272.9000000000001</v>
      </c>
      <c r="AA77" s="1413">
        <v>-349.8</v>
      </c>
      <c r="AB77" s="1413">
        <v>-420.7</v>
      </c>
      <c r="AC77" s="1413">
        <v>-239.9</v>
      </c>
      <c r="AD77" s="1413">
        <v>-416</v>
      </c>
      <c r="AE77" s="1413">
        <f>Master!N28</f>
        <v>-1426.3</v>
      </c>
      <c r="AF77" s="1413">
        <v>-380.9</v>
      </c>
      <c r="AG77" s="1413">
        <v>-349.9</v>
      </c>
      <c r="AH77" s="1413">
        <v>-318.39999999999998</v>
      </c>
      <c r="AI77" s="1413">
        <v>-562.79999999999995</v>
      </c>
      <c r="AJ77" s="1413">
        <f>Master!O28</f>
        <v>-1612</v>
      </c>
      <c r="AK77" s="1413">
        <v>-518.20000000000005</v>
      </c>
      <c r="AL77" s="1413">
        <v>-462.4</v>
      </c>
      <c r="AM77" s="1413">
        <v>-505.7</v>
      </c>
      <c r="AN77" s="1413">
        <v>-566.70000000000005</v>
      </c>
      <c r="AO77" s="1413">
        <f>Master!P28</f>
        <v>-2053</v>
      </c>
      <c r="AP77" s="1413">
        <v>-317.3</v>
      </c>
      <c r="AQ77" s="1413">
        <v>-463.4</v>
      </c>
      <c r="AR77" s="1413">
        <v>-501.6</v>
      </c>
      <c r="AS77" s="1413">
        <v>-323.5</v>
      </c>
      <c r="AT77" s="1413">
        <f>Master!Q28</f>
        <v>-1606</v>
      </c>
      <c r="AU77" s="1413">
        <v>-316.39999999999998</v>
      </c>
      <c r="AV77" s="1413">
        <v>-344.3</v>
      </c>
      <c r="AW77" s="1413">
        <v>-403.4</v>
      </c>
      <c r="AX77" s="1413">
        <v>-416.5</v>
      </c>
      <c r="AY77" s="1413"/>
      <c r="AZ77" s="1413">
        <v>-748.2</v>
      </c>
      <c r="BA77" s="1413">
        <v>-249.9</v>
      </c>
      <c r="BB77" s="1413">
        <v>-289.89999999999998</v>
      </c>
      <c r="BC77" s="1413">
        <f>Master!S28-AZ77-BA77-BB77</f>
        <v>-278.29999999999995</v>
      </c>
      <c r="BD77" s="1413"/>
      <c r="BE77" s="1499">
        <v>-258.60000000000002</v>
      </c>
      <c r="BF77" s="1413">
        <v>-239.8</v>
      </c>
      <c r="BG77" s="1413">
        <v>-307.10000000000002</v>
      </c>
      <c r="BH77" s="1413">
        <f>-1191.7-BG77-BF77-BE77</f>
        <v>-386.19999999999993</v>
      </c>
      <c r="BI77" s="1500">
        <f>Master!T28</f>
        <v>-1191.7</v>
      </c>
      <c r="BJ77" s="1523">
        <v>-214.5</v>
      </c>
      <c r="BK77" s="1451">
        <v>-149</v>
      </c>
      <c r="BL77" s="1451">
        <v>-184.3</v>
      </c>
      <c r="BM77" s="1451">
        <v>70.2</v>
      </c>
      <c r="BN77" s="1514">
        <f>Master!U28</f>
        <v>-477.6</v>
      </c>
      <c r="BO77" s="1523">
        <v>-78.8</v>
      </c>
      <c r="BP77" s="1451">
        <v>-39</v>
      </c>
      <c r="BQ77" s="1451">
        <v>133.1</v>
      </c>
      <c r="BR77" s="1451">
        <f>375.7-BO77-BP77-BQ77</f>
        <v>360.4</v>
      </c>
      <c r="BS77" s="1514">
        <f>Master!V28</f>
        <v>375.7</v>
      </c>
      <c r="BT77" s="1523">
        <v>0.1</v>
      </c>
      <c r="BU77" s="1537">
        <v>-31.5</v>
      </c>
      <c r="BV77" s="1537">
        <v>-31.5</v>
      </c>
      <c r="BW77" s="1576">
        <f>BX77-BT77-BU77-BV77</f>
        <v>-32.036994650476828</v>
      </c>
      <c r="BX77" s="1514">
        <f>Master!W28</f>
        <v>-94.936994650476834</v>
      </c>
      <c r="BY77" s="1413"/>
      <c r="BZ77" s="928"/>
      <c r="CA77" s="928"/>
      <c r="CB77" s="928"/>
      <c r="CC77" s="928"/>
      <c r="CD77" s="928"/>
      <c r="CE77" s="928"/>
      <c r="CF77" s="928"/>
      <c r="CG77" s="928"/>
      <c r="CH77" s="928"/>
      <c r="CI77" s="928"/>
      <c r="CJ77" s="928"/>
      <c r="CK77" s="928"/>
      <c r="CL77" s="928"/>
      <c r="CM77" s="928"/>
      <c r="CN77" s="928"/>
      <c r="CO77" s="928"/>
      <c r="CP77" s="928"/>
      <c r="CQ77" s="928"/>
      <c r="CR77" s="928"/>
      <c r="CS77" s="928"/>
      <c r="CT77" s="928"/>
      <c r="CU77" s="928"/>
      <c r="CV77" s="928"/>
      <c r="CW77" s="928"/>
      <c r="CX77" s="928"/>
      <c r="CY77" s="928"/>
      <c r="CZ77" s="928"/>
      <c r="DA77" s="928"/>
      <c r="DB77" s="928"/>
      <c r="DC77" s="928"/>
      <c r="DD77" s="928"/>
      <c r="DE77" s="928"/>
      <c r="DF77" s="928"/>
      <c r="DG77" s="928"/>
      <c r="DH77" s="928"/>
      <c r="DI77" s="928"/>
      <c r="DJ77" s="928"/>
      <c r="DK77" s="928"/>
      <c r="DL77" s="928"/>
      <c r="DM77" s="928"/>
      <c r="DN77" s="928"/>
      <c r="DO77" s="928"/>
      <c r="DP77" s="928"/>
      <c r="DQ77" s="928"/>
      <c r="DR77" s="928"/>
      <c r="DS77" s="928"/>
      <c r="DT77" s="928"/>
      <c r="DU77" s="928"/>
      <c r="DV77" s="928"/>
      <c r="DW77" s="928"/>
      <c r="DX77" s="928"/>
      <c r="DY77" s="1338"/>
      <c r="DZ77" s="928"/>
      <c r="EA77" s="928"/>
      <c r="EB77" s="928"/>
      <c r="EC77" s="1337"/>
      <c r="ED77" s="1338"/>
      <c r="EE77" s="928"/>
      <c r="EF77" s="928"/>
      <c r="EG77" s="928"/>
      <c r="EH77" s="1337"/>
      <c r="EI77" s="928"/>
      <c r="EJ77" s="928"/>
      <c r="EK77" s="928"/>
      <c r="EL77" s="928"/>
      <c r="EM77" s="1337"/>
      <c r="EN77" s="928"/>
      <c r="EO77" s="928"/>
      <c r="EP77" s="928"/>
      <c r="EQ77" s="928"/>
      <c r="ER77" s="928"/>
      <c r="ES77" s="928"/>
      <c r="ET77" s="928"/>
      <c r="EU77" s="928"/>
      <c r="EV77" s="928"/>
      <c r="EW77" s="928"/>
      <c r="EX77" s="928"/>
      <c r="EY77" s="928"/>
      <c r="EZ77" s="928"/>
      <c r="FA77" s="928"/>
      <c r="FB77" s="928"/>
      <c r="FC77" s="928"/>
      <c r="FD77" s="928"/>
      <c r="FE77" s="928"/>
      <c r="FF77" s="1349">
        <v>-40</v>
      </c>
      <c r="FG77" s="928"/>
      <c r="FH77" s="1425">
        <v>-297.34395964947453</v>
      </c>
      <c r="FI77" s="1319"/>
      <c r="FJ77" s="1618">
        <v>-23</v>
      </c>
      <c r="FK77" s="1605"/>
      <c r="FL77" s="928"/>
      <c r="FM77" s="928"/>
      <c r="FN77" s="928"/>
      <c r="FO77" s="928"/>
      <c r="FP77" s="928"/>
      <c r="FQ77" s="928"/>
    </row>
    <row r="78" spans="1:173">
      <c r="A78" s="1430" t="s">
        <v>194</v>
      </c>
      <c r="B78" s="1430"/>
      <c r="C78" s="1430"/>
      <c r="D78" s="1430"/>
      <c r="E78" s="1430"/>
      <c r="F78" s="1430"/>
      <c r="G78" s="1431">
        <f t="shared" ref="G78:T78" si="177">G71+G73+G77</f>
        <v>780.79999999999927</v>
      </c>
      <c r="H78" s="1431">
        <f t="shared" si="177"/>
        <v>1661.0000000000005</v>
      </c>
      <c r="I78" s="1431">
        <f t="shared" si="177"/>
        <v>3086.099999999999</v>
      </c>
      <c r="J78" s="1431">
        <f t="shared" si="177"/>
        <v>2201.9999999999991</v>
      </c>
      <c r="K78" s="1431">
        <f t="shared" si="177"/>
        <v>12414.7</v>
      </c>
      <c r="L78" s="1431">
        <f t="shared" si="177"/>
        <v>1505.1999999999998</v>
      </c>
      <c r="M78" s="1431">
        <f t="shared" si="177"/>
        <v>1396.0000000000005</v>
      </c>
      <c r="N78" s="1431">
        <f t="shared" si="177"/>
        <v>2397.7999999999993</v>
      </c>
      <c r="O78" s="1431">
        <f t="shared" si="177"/>
        <v>2998.1000000000008</v>
      </c>
      <c r="P78" s="1431">
        <f t="shared" si="177"/>
        <v>8760.6999999999989</v>
      </c>
      <c r="Q78" s="1431">
        <f t="shared" si="177"/>
        <v>1069.8000000000002</v>
      </c>
      <c r="R78" s="1431">
        <f t="shared" si="177"/>
        <v>1825.4999999999993</v>
      </c>
      <c r="S78" s="1431">
        <f t="shared" si="177"/>
        <v>2389.2999999999988</v>
      </c>
      <c r="T78" s="1431">
        <f t="shared" si="177"/>
        <v>2464.3000000000002</v>
      </c>
      <c r="U78" s="1431"/>
      <c r="V78" s="1431">
        <f>V71+V73+V77</f>
        <v>851.79999999999984</v>
      </c>
      <c r="W78" s="1431">
        <f>W71+W73+W77</f>
        <v>2211.6000000000017</v>
      </c>
      <c r="X78" s="1431">
        <f>X71+X73+X77</f>
        <v>-183.09999999999863</v>
      </c>
      <c r="Y78" s="1431">
        <f>Y71+Y73+Y77</f>
        <v>2504.599999999994</v>
      </c>
      <c r="Z78" s="1431"/>
      <c r="AA78" s="1431">
        <f t="shared" ref="AA78:AX78" si="178">AA71+AA73+AA77</f>
        <v>1453.4000000000008</v>
      </c>
      <c r="AB78" s="1431">
        <f t="shared" si="178"/>
        <v>1328.899999999999</v>
      </c>
      <c r="AC78" s="1431">
        <f t="shared" si="178"/>
        <v>6537.8000000000011</v>
      </c>
      <c r="AD78" s="1431">
        <f t="shared" si="178"/>
        <v>1572.3000000000004</v>
      </c>
      <c r="AE78" s="1431">
        <f t="shared" si="178"/>
        <v>12724.299999999996</v>
      </c>
      <c r="AF78" s="1431">
        <f t="shared" si="178"/>
        <v>600.39999999999952</v>
      </c>
      <c r="AG78" s="1431">
        <f t="shared" si="178"/>
        <v>1835.48</v>
      </c>
      <c r="AH78" s="1431">
        <f t="shared" si="178"/>
        <v>1062.0000000000005</v>
      </c>
      <c r="AI78" s="1431">
        <f t="shared" si="178"/>
        <v>643.09999999999877</v>
      </c>
      <c r="AJ78" s="1431">
        <f t="shared" si="178"/>
        <v>3721.1999999999944</v>
      </c>
      <c r="AK78" s="1431">
        <f t="shared" si="178"/>
        <v>1350.4</v>
      </c>
      <c r="AL78" s="1431">
        <f t="shared" si="178"/>
        <v>1452.5</v>
      </c>
      <c r="AM78" s="1431">
        <f t="shared" si="178"/>
        <v>1158.6999999999987</v>
      </c>
      <c r="AN78" s="1431">
        <f t="shared" si="178"/>
        <v>562.89999999999759</v>
      </c>
      <c r="AO78" s="1431">
        <f t="shared" si="178"/>
        <v>4525.0000000000018</v>
      </c>
      <c r="AP78" s="1431">
        <f t="shared" si="178"/>
        <v>677.59999999999854</v>
      </c>
      <c r="AQ78" s="1431">
        <f t="shared" si="178"/>
        <v>4331.0000000000018</v>
      </c>
      <c r="AR78" s="1431">
        <f t="shared" si="178"/>
        <v>977.99999999999989</v>
      </c>
      <c r="AS78" s="1431">
        <f t="shared" si="178"/>
        <v>56.499999999998408</v>
      </c>
      <c r="AT78" s="1431">
        <f t="shared" si="178"/>
        <v>2494.7999999999993</v>
      </c>
      <c r="AU78" s="1431">
        <f t="shared" si="178"/>
        <v>541.70000000000107</v>
      </c>
      <c r="AV78" s="1431">
        <f t="shared" si="178"/>
        <v>935.79999999999814</v>
      </c>
      <c r="AW78" s="1431">
        <f t="shared" si="178"/>
        <v>755.20000000000198</v>
      </c>
      <c r="AX78" s="1431">
        <f t="shared" si="178"/>
        <v>2626.5999999999985</v>
      </c>
      <c r="AY78" s="1431"/>
      <c r="AZ78" s="1431">
        <f>AZ71+AZ73+AZ77</f>
        <v>-10038.6</v>
      </c>
      <c r="BA78" s="1431">
        <f>BA71+BA73+BA77</f>
        <v>1739.5000000000005</v>
      </c>
      <c r="BB78" s="1431">
        <f>BB71+BB73+BB77</f>
        <v>2416.1999999999994</v>
      </c>
      <c r="BC78" s="1431">
        <f>BC71+BC73+BC77</f>
        <v>402.59999999999786</v>
      </c>
      <c r="BD78" s="1431"/>
      <c r="BE78" s="1503">
        <f>BE71+BE73+BE77</f>
        <v>-3831.0999999999985</v>
      </c>
      <c r="BF78" s="1431">
        <f>BF71+BF73+BF77</f>
        <v>2181.7999999999993</v>
      </c>
      <c r="BG78" s="1431">
        <f>BG71+BG73+BG77</f>
        <v>760.59999999999911</v>
      </c>
      <c r="BH78" s="1431">
        <f>BH71+BH73+BH77</f>
        <v>3028.6000000000031</v>
      </c>
      <c r="BI78" s="1504">
        <f>BI71+BI73+BI77</f>
        <v>5138.4999999999991</v>
      </c>
      <c r="BJ78" s="1577">
        <f>BJ71+BJ73+BJ76+BJ77</f>
        <v>52642.1</v>
      </c>
      <c r="BK78" s="1578">
        <f>BK71+BK73+BK76+BK77</f>
        <v>3140.4000000000015</v>
      </c>
      <c r="BL78" s="1578">
        <f>BL71+BL73+BL76+BL77</f>
        <v>1118.3999999999994</v>
      </c>
      <c r="BM78" s="1578">
        <f>BM71+BM73+BM76+BM77</f>
        <v>-13718.6</v>
      </c>
      <c r="BN78" s="1579">
        <f>BN71+BN73+BN77</f>
        <v>-12751.070000000003</v>
      </c>
      <c r="BO78" s="1577">
        <f>BO71+BO73+BO76+BO77</f>
        <v>-788.90000000000009</v>
      </c>
      <c r="BP78" s="1578">
        <f>BP71+BP73+BP76+BP77</f>
        <v>133.49999999999912</v>
      </c>
      <c r="BQ78" s="1578">
        <f>BQ71+BQ73+BQ76+BQ77</f>
        <v>-918.50000000000034</v>
      </c>
      <c r="BR78" s="1578">
        <f>BR71+BR73+BR76+BR77</f>
        <v>-8662</v>
      </c>
      <c r="BS78" s="1579">
        <f>BS71+BS73+BS77</f>
        <v>-10235.9</v>
      </c>
      <c r="BT78" s="1577">
        <f>BT71+BT73+BT76+BT77</f>
        <v>952.09999999999934</v>
      </c>
      <c r="BU78" s="1578">
        <f>BU71+BU73+BU76+BU77</f>
        <v>-570.95567936907173</v>
      </c>
      <c r="BV78" s="1578">
        <f>BV71+BV73+BV76+BV77</f>
        <v>-484.41374239385368</v>
      </c>
      <c r="BW78" s="1578">
        <f ca="1">BW71+BW73+BW76+BW77</f>
        <v>802.02001298812183</v>
      </c>
      <c r="BX78" s="1579">
        <f ca="1">BX71+BX73+BX77</f>
        <v>641.9505912251966</v>
      </c>
      <c r="BY78" s="1413"/>
      <c r="BZ78" s="928"/>
      <c r="CA78" s="928"/>
      <c r="CB78" s="928"/>
      <c r="CC78" s="928"/>
      <c r="CD78" s="928"/>
      <c r="CE78" s="928"/>
      <c r="CF78" s="928"/>
      <c r="CG78" s="928"/>
      <c r="CH78" s="928"/>
      <c r="CI78" s="928"/>
      <c r="CJ78" s="928"/>
      <c r="CK78" s="928"/>
      <c r="CL78" s="928"/>
      <c r="CM78" s="928"/>
      <c r="CN78" s="928"/>
      <c r="CO78" s="928"/>
      <c r="CP78" s="928"/>
      <c r="CQ78" s="928"/>
      <c r="CR78" s="928"/>
      <c r="CS78" s="928"/>
      <c r="CT78" s="928"/>
      <c r="CU78" s="928"/>
      <c r="CV78" s="928"/>
      <c r="CW78" s="928"/>
      <c r="CX78" s="928"/>
      <c r="CY78" s="928"/>
      <c r="CZ78" s="928"/>
      <c r="DA78" s="928"/>
      <c r="DB78" s="928"/>
      <c r="DC78" s="928"/>
      <c r="DD78" s="928"/>
      <c r="DE78" s="928"/>
      <c r="DF78" s="928"/>
      <c r="DG78" s="928"/>
      <c r="DH78" s="928"/>
      <c r="DI78" s="928"/>
      <c r="DJ78" s="928"/>
      <c r="DK78" s="928"/>
      <c r="DL78" s="928"/>
      <c r="DM78" s="928"/>
      <c r="DN78" s="928"/>
      <c r="DO78" s="928"/>
      <c r="DP78" s="928"/>
      <c r="DQ78" s="928"/>
      <c r="DR78" s="928"/>
      <c r="DS78" s="928"/>
      <c r="DT78" s="928"/>
      <c r="DU78" s="928"/>
      <c r="DV78" s="928"/>
      <c r="DW78" s="928"/>
      <c r="DX78" s="928"/>
      <c r="DY78" s="1338"/>
      <c r="DZ78" s="928"/>
      <c r="EA78" s="928"/>
      <c r="EB78" s="928"/>
      <c r="EC78" s="1337"/>
      <c r="ED78" s="1338"/>
      <c r="EE78" s="928"/>
      <c r="EF78" s="928"/>
      <c r="EG78" s="928"/>
      <c r="EH78" s="1337"/>
      <c r="EI78" s="928"/>
      <c r="EJ78" s="928"/>
      <c r="EK78" s="928"/>
      <c r="EL78" s="928"/>
      <c r="EM78" s="1337"/>
      <c r="EN78" s="928"/>
      <c r="EO78" s="928"/>
      <c r="EP78" s="928"/>
      <c r="EQ78" s="928"/>
      <c r="ER78" s="928"/>
      <c r="ES78" s="928"/>
      <c r="ET78" s="928"/>
      <c r="EU78" s="928"/>
      <c r="EV78" s="928"/>
      <c r="EW78" s="928"/>
      <c r="EX78" s="928"/>
      <c r="EY78" s="928"/>
      <c r="EZ78" s="928"/>
      <c r="FA78" s="928"/>
      <c r="FB78" s="928"/>
      <c r="FC78" s="928"/>
      <c r="FD78" s="928"/>
      <c r="FE78" s="928"/>
      <c r="FF78" s="1432">
        <v>77</v>
      </c>
      <c r="FG78" s="928"/>
      <c r="FH78" s="1433">
        <v>-169.59141457072428</v>
      </c>
      <c r="FI78" s="1319"/>
      <c r="FJ78" s="1620">
        <v>92.552000000000589</v>
      </c>
      <c r="FK78" s="1605"/>
      <c r="FL78" s="928"/>
      <c r="FM78" s="928"/>
      <c r="FN78" s="928"/>
      <c r="FO78" s="928"/>
      <c r="FP78" s="928"/>
      <c r="FQ78" s="928"/>
    </row>
    <row r="79" spans="1:173">
      <c r="A79" s="928" t="s">
        <v>695</v>
      </c>
      <c r="B79" s="928"/>
      <c r="C79" s="928"/>
      <c r="D79" s="928"/>
      <c r="E79" s="928"/>
      <c r="F79" s="928"/>
      <c r="G79" s="1413">
        <f>G78-G67</f>
        <v>1120.7999999999993</v>
      </c>
      <c r="H79" s="1413">
        <f>H78-H67</f>
        <v>2148.0000000000005</v>
      </c>
      <c r="I79" s="1413">
        <f>I78-I67</f>
        <v>2553.9999999999991</v>
      </c>
      <c r="J79" s="1413">
        <f>J78-J67</f>
        <v>2455.8999999999992</v>
      </c>
      <c r="K79" s="1413"/>
      <c r="L79" s="1413">
        <f>L78-L67</f>
        <v>1281.1999999999998</v>
      </c>
      <c r="M79" s="1413">
        <f>M78-M67</f>
        <v>2679.0000000000005</v>
      </c>
      <c r="N79" s="1413">
        <f>N78-N67</f>
        <v>2629.1999999999994</v>
      </c>
      <c r="O79" s="1413">
        <f>O78-O67</f>
        <v>2196.7000000000007</v>
      </c>
      <c r="P79" s="1413">
        <f>P78-P67</f>
        <v>8786.1999999999989</v>
      </c>
      <c r="Q79" s="1034">
        <f>Q78-Q67-30*Q180</f>
        <v>727.47689062500012</v>
      </c>
      <c r="R79" s="1413">
        <f>R78-R67</f>
        <v>2060.6999999999994</v>
      </c>
      <c r="S79" s="1413">
        <f>S78-S67</f>
        <v>2579.1999999999989</v>
      </c>
      <c r="T79" s="1034">
        <f>T78-T67+4400</f>
        <v>1844.4000000000015</v>
      </c>
      <c r="U79" s="1413"/>
      <c r="V79" s="1413">
        <f>V78-V67</f>
        <v>1001.5999999999999</v>
      </c>
      <c r="W79" s="1413">
        <f>W78-W67</f>
        <v>2343.3000000000015</v>
      </c>
      <c r="X79" s="1034">
        <f>X78-X67+320*13.12-800</f>
        <v>2561.1000000000008</v>
      </c>
      <c r="Y79" s="1413">
        <f>Y78-Y67</f>
        <v>2982.3999999999942</v>
      </c>
      <c r="Z79" s="1413"/>
      <c r="AA79" s="1034">
        <f>AA78-AA67-1030.7</f>
        <v>1121.5000000000007</v>
      </c>
      <c r="AB79" s="1413">
        <f>AB78-AB67</f>
        <v>1879.399999999999</v>
      </c>
      <c r="AC79" s="1413">
        <f>AC78-6402.2*0.72</f>
        <v>1928.2160000000013</v>
      </c>
      <c r="AD79" s="1413">
        <f t="shared" ref="AD79:AX79" si="179">AD78-AD67</f>
        <v>2106.9000000000005</v>
      </c>
      <c r="AE79" s="1413">
        <f t="shared" si="179"/>
        <v>5811.2999999999956</v>
      </c>
      <c r="AF79" s="1413">
        <f t="shared" si="179"/>
        <v>933.7999999999995</v>
      </c>
      <c r="AG79" s="1413">
        <f t="shared" si="179"/>
        <v>2287.2799999999997</v>
      </c>
      <c r="AH79" s="1413">
        <f t="shared" si="179"/>
        <v>1739.1000000000004</v>
      </c>
      <c r="AI79" s="1413">
        <f t="shared" si="179"/>
        <v>1714.4999999999991</v>
      </c>
      <c r="AJ79" s="1413">
        <f t="shared" si="179"/>
        <v>6254.8999999999942</v>
      </c>
      <c r="AK79" s="1413">
        <f t="shared" si="179"/>
        <v>129.20000000000005</v>
      </c>
      <c r="AL79" s="1413">
        <f t="shared" si="179"/>
        <v>738.4</v>
      </c>
      <c r="AM79" s="1413">
        <f t="shared" si="179"/>
        <v>1220.8999999999987</v>
      </c>
      <c r="AN79" s="1413">
        <f t="shared" si="179"/>
        <v>763.89999999999782</v>
      </c>
      <c r="AO79" s="1413">
        <f t="shared" si="179"/>
        <v>2853.0000000000018</v>
      </c>
      <c r="AP79" s="1413">
        <f t="shared" si="179"/>
        <v>893.09999999999854</v>
      </c>
      <c r="AQ79" s="1413">
        <f t="shared" si="179"/>
        <v>4192.300000000002</v>
      </c>
      <c r="AR79" s="1413">
        <f t="shared" si="179"/>
        <v>1491.5</v>
      </c>
      <c r="AS79" s="1413">
        <f t="shared" si="179"/>
        <v>56.499999999998408</v>
      </c>
      <c r="AT79" s="1413">
        <f t="shared" si="179"/>
        <v>3134.3999999999992</v>
      </c>
      <c r="AU79" s="1413">
        <f t="shared" si="179"/>
        <v>402.70000000000107</v>
      </c>
      <c r="AV79" s="1413">
        <f t="shared" si="179"/>
        <v>976.99999999999818</v>
      </c>
      <c r="AW79" s="1413">
        <f t="shared" si="179"/>
        <v>1329.300000000002</v>
      </c>
      <c r="AX79" s="1413">
        <f t="shared" si="179"/>
        <v>2626.5999999999985</v>
      </c>
      <c r="AY79" s="1413"/>
      <c r="AZ79" s="1413">
        <f>AZ78-AZ67</f>
        <v>-3635.3000000000011</v>
      </c>
      <c r="BA79" s="1413">
        <f>BA78-BA67</f>
        <v>-604.89999999999918</v>
      </c>
      <c r="BB79" s="1413">
        <f>BB78-BB67</f>
        <v>-407.00000000000091</v>
      </c>
      <c r="BC79" s="1413">
        <f>BC78-BC67</f>
        <v>-833.1000000000015</v>
      </c>
      <c r="BD79" s="1413"/>
      <c r="BE79" s="1499">
        <f t="shared" ref="BE79:BT79" si="180">BE78-BE67</f>
        <v>-1990.8999999999987</v>
      </c>
      <c r="BF79" s="1413">
        <f t="shared" si="180"/>
        <v>894.79999999999927</v>
      </c>
      <c r="BG79" s="1413">
        <f t="shared" si="180"/>
        <v>3564.8999999999992</v>
      </c>
      <c r="BH79" s="1413">
        <f t="shared" si="180"/>
        <v>2798.5000000000032</v>
      </c>
      <c r="BI79" s="1500">
        <f t="shared" si="180"/>
        <v>5138.4999999999991</v>
      </c>
      <c r="BJ79" s="1509">
        <f t="shared" si="180"/>
        <v>55064.799999999996</v>
      </c>
      <c r="BK79" s="1442">
        <f t="shared" si="180"/>
        <v>2523.7000000000016</v>
      </c>
      <c r="BL79" s="1442">
        <f t="shared" si="180"/>
        <v>529.99999999999943</v>
      </c>
      <c r="BM79" s="1442">
        <f t="shared" si="180"/>
        <v>-13045.400000000001</v>
      </c>
      <c r="BN79" s="1514">
        <f t="shared" si="180"/>
        <v>-12751.070000000003</v>
      </c>
      <c r="BO79" s="1509">
        <f t="shared" si="180"/>
        <v>181.89999999999998</v>
      </c>
      <c r="BP79" s="1442">
        <f t="shared" si="180"/>
        <v>-248.80000000000089</v>
      </c>
      <c r="BQ79" s="1442">
        <f t="shared" si="180"/>
        <v>-1081.4000000000003</v>
      </c>
      <c r="BR79" s="1442">
        <f t="shared" si="180"/>
        <v>-8810.2000000000007</v>
      </c>
      <c r="BS79" s="1514">
        <f t="shared" si="180"/>
        <v>-9958.5</v>
      </c>
      <c r="BT79" s="1509">
        <f t="shared" si="180"/>
        <v>860.59999999999934</v>
      </c>
      <c r="BU79" s="1442">
        <f>BU78-BU67</f>
        <v>-570.95567936907173</v>
      </c>
      <c r="BV79" s="1442">
        <f>BV78-BV67</f>
        <v>-484.41374239385368</v>
      </c>
      <c r="BW79" s="1442">
        <f ca="1">BW78-BW67</f>
        <v>802.02001298812183</v>
      </c>
      <c r="BX79" s="1514">
        <f ca="1">BX78-BX67</f>
        <v>550.4505912251966</v>
      </c>
      <c r="BY79" s="1413"/>
      <c r="BZ79" s="928"/>
      <c r="CA79" s="928"/>
      <c r="CB79" s="928"/>
      <c r="CC79" s="928"/>
      <c r="CD79" s="928"/>
      <c r="CE79" s="928"/>
      <c r="CF79" s="928"/>
      <c r="CG79" s="928"/>
      <c r="CH79" s="928"/>
      <c r="CI79" s="928"/>
      <c r="CJ79" s="928"/>
      <c r="CK79" s="928"/>
      <c r="CL79" s="928"/>
      <c r="CM79" s="928"/>
      <c r="CN79" s="928"/>
      <c r="CO79" s="928"/>
      <c r="CP79" s="928"/>
      <c r="CQ79" s="928"/>
      <c r="CR79" s="928"/>
      <c r="CS79" s="928"/>
      <c r="CT79" s="928"/>
      <c r="CU79" s="928"/>
      <c r="CV79" s="928"/>
      <c r="CW79" s="928"/>
      <c r="CX79" s="928"/>
      <c r="CY79" s="928"/>
      <c r="CZ79" s="928"/>
      <c r="DA79" s="928"/>
      <c r="DB79" s="928"/>
      <c r="DC79" s="928"/>
      <c r="DD79" s="928"/>
      <c r="DE79" s="928"/>
      <c r="DF79" s="928"/>
      <c r="DG79" s="928"/>
      <c r="DH79" s="928"/>
      <c r="DI79" s="928"/>
      <c r="DJ79" s="928"/>
      <c r="DK79" s="928"/>
      <c r="DL79" s="928"/>
      <c r="DM79" s="928"/>
      <c r="DN79" s="928"/>
      <c r="DO79" s="928"/>
      <c r="DP79" s="928"/>
      <c r="DQ79" s="928"/>
      <c r="DR79" s="928"/>
      <c r="DS79" s="928"/>
      <c r="DT79" s="928"/>
      <c r="DU79" s="928"/>
      <c r="DV79" s="928"/>
      <c r="DW79" s="928"/>
      <c r="DX79" s="928"/>
      <c r="DY79" s="1338"/>
      <c r="DZ79" s="928"/>
      <c r="EA79" s="928"/>
      <c r="EB79" s="928"/>
      <c r="EC79" s="1337"/>
      <c r="ED79" s="1338"/>
      <c r="EE79" s="928"/>
      <c r="EF79" s="928"/>
      <c r="EG79" s="928"/>
      <c r="EH79" s="1337"/>
      <c r="EI79" s="928"/>
      <c r="EJ79" s="928"/>
      <c r="EK79" s="928"/>
      <c r="EL79" s="928"/>
      <c r="EM79" s="1337"/>
      <c r="EN79" s="928"/>
      <c r="EO79" s="928"/>
      <c r="EP79" s="928"/>
      <c r="EQ79" s="928"/>
      <c r="ER79" s="928"/>
      <c r="ES79" s="928"/>
      <c r="ET79" s="928"/>
      <c r="EU79" s="928"/>
      <c r="EV79" s="928"/>
      <c r="EW79" s="928"/>
      <c r="EX79" s="928"/>
      <c r="EY79" s="928"/>
      <c r="EZ79" s="928"/>
      <c r="FA79" s="928"/>
      <c r="FB79" s="928"/>
      <c r="FC79" s="928"/>
      <c r="FD79" s="928"/>
      <c r="FE79" s="928"/>
      <c r="FF79" s="1434">
        <v>-123</v>
      </c>
      <c r="FG79" s="928"/>
      <c r="FH79" s="1425">
        <v>-195.19141457072433</v>
      </c>
      <c r="FI79" s="1319"/>
      <c r="FJ79" s="1622">
        <v>92.552000000000589</v>
      </c>
      <c r="FK79" s="1605"/>
      <c r="FL79" s="928"/>
      <c r="FM79" s="928"/>
      <c r="FN79" s="928"/>
      <c r="FO79" s="928"/>
      <c r="FP79" s="928"/>
      <c r="FQ79" s="928"/>
    </row>
    <row r="80" spans="1:173">
      <c r="A80" s="928" t="s">
        <v>194</v>
      </c>
      <c r="B80" s="928"/>
      <c r="C80" s="928"/>
      <c r="D80" s="928"/>
      <c r="E80" s="928"/>
      <c r="F80" s="928"/>
      <c r="G80" s="1413"/>
      <c r="H80" s="1413"/>
      <c r="I80" s="1413"/>
      <c r="J80" s="1413"/>
      <c r="K80" s="1413"/>
      <c r="L80" s="1413"/>
      <c r="M80" s="1413"/>
      <c r="N80" s="1413"/>
      <c r="O80" s="1413"/>
      <c r="P80" s="1413"/>
      <c r="Q80" s="1034"/>
      <c r="R80" s="1413"/>
      <c r="S80" s="1413"/>
      <c r="T80" s="1034"/>
      <c r="U80" s="1413"/>
      <c r="V80" s="1413"/>
      <c r="W80" s="1413"/>
      <c r="X80" s="1034"/>
      <c r="Y80" s="1413"/>
      <c r="Z80" s="1413"/>
      <c r="AA80" s="1034"/>
      <c r="AB80" s="1413"/>
      <c r="AC80" s="1413"/>
      <c r="AD80" s="1413"/>
      <c r="AE80" s="1413"/>
      <c r="AF80" s="1413"/>
      <c r="AG80" s="1413"/>
      <c r="AH80" s="1413"/>
      <c r="AI80" s="1413"/>
      <c r="AJ80" s="1413"/>
      <c r="AK80" s="1413"/>
      <c r="AL80" s="1413"/>
      <c r="AM80" s="1413"/>
      <c r="AN80" s="1413"/>
      <c r="AO80" s="1413"/>
      <c r="AP80" s="1413"/>
      <c r="AQ80" s="1413"/>
      <c r="AR80" s="1413"/>
      <c r="AS80" s="1413"/>
      <c r="AT80" s="1413"/>
      <c r="AU80" s="1413"/>
      <c r="AV80" s="1413"/>
      <c r="AW80" s="1413"/>
      <c r="AX80" s="1413"/>
      <c r="AY80" s="1413"/>
      <c r="AZ80" s="1413"/>
      <c r="BA80" s="1413"/>
      <c r="BB80" s="1413"/>
      <c r="BC80" s="1413"/>
      <c r="BD80" s="1413"/>
      <c r="BE80" s="1499"/>
      <c r="BF80" s="1413"/>
      <c r="BG80" s="1413"/>
      <c r="BH80" s="1413"/>
      <c r="BI80" s="1500"/>
      <c r="BJ80" s="1509"/>
      <c r="BK80" s="1442"/>
      <c r="BL80" s="1442"/>
      <c r="BM80" s="1442"/>
      <c r="BN80" s="1514"/>
      <c r="BO80" s="1509">
        <f>BO78-BO77</f>
        <v>-710.10000000000014</v>
      </c>
      <c r="BP80" s="1442">
        <f>BP78-BP77</f>
        <v>172.49999999999912</v>
      </c>
      <c r="BQ80" s="1442">
        <f>BQ78-BQ77</f>
        <v>-1051.6000000000004</v>
      </c>
      <c r="BR80" s="1442">
        <f>BR78-BR77</f>
        <v>-9022.4</v>
      </c>
      <c r="BS80" s="1514"/>
      <c r="BT80" s="1509">
        <f>BT78-BT77</f>
        <v>951.99999999999932</v>
      </c>
      <c r="BU80" s="1442">
        <f>BU78-BU77</f>
        <v>-539.45567936907173</v>
      </c>
      <c r="BV80" s="1442">
        <f>BV78-BV77</f>
        <v>-452.91374239385368</v>
      </c>
      <c r="BW80" s="1442">
        <f ca="1">BW78-BW77</f>
        <v>834.05700763859863</v>
      </c>
      <c r="BX80" s="1514"/>
      <c r="BY80" s="1413"/>
      <c r="BZ80" s="928"/>
      <c r="CA80" s="928"/>
      <c r="CB80" s="928"/>
      <c r="CC80" s="928"/>
      <c r="CD80" s="928"/>
      <c r="CE80" s="928"/>
      <c r="CF80" s="928"/>
      <c r="CG80" s="928"/>
      <c r="CH80" s="928"/>
      <c r="CI80" s="928"/>
      <c r="CJ80" s="928"/>
      <c r="CK80" s="928"/>
      <c r="CL80" s="928"/>
      <c r="CM80" s="928"/>
      <c r="CN80" s="928"/>
      <c r="CO80" s="928"/>
      <c r="CP80" s="928"/>
      <c r="CQ80" s="928"/>
      <c r="CR80" s="928"/>
      <c r="CS80" s="928"/>
      <c r="CT80" s="928"/>
      <c r="CU80" s="928"/>
      <c r="CV80" s="928"/>
      <c r="CW80" s="928"/>
      <c r="CX80" s="928"/>
      <c r="CY80" s="928"/>
      <c r="CZ80" s="928"/>
      <c r="DA80" s="928"/>
      <c r="DB80" s="928"/>
      <c r="DC80" s="928"/>
      <c r="DD80" s="928"/>
      <c r="DE80" s="928"/>
      <c r="DF80" s="928"/>
      <c r="DG80" s="928"/>
      <c r="DH80" s="928"/>
      <c r="DI80" s="928"/>
      <c r="DJ80" s="928"/>
      <c r="DK80" s="928"/>
      <c r="DL80" s="928"/>
      <c r="DM80" s="928"/>
      <c r="DN80" s="928"/>
      <c r="DO80" s="928"/>
      <c r="DP80" s="928"/>
      <c r="DQ80" s="928"/>
      <c r="DR80" s="928"/>
      <c r="DS80" s="928"/>
      <c r="DT80" s="928"/>
      <c r="DU80" s="928"/>
      <c r="DV80" s="928"/>
      <c r="DW80" s="928"/>
      <c r="DX80" s="928"/>
      <c r="DY80" s="1338"/>
      <c r="DZ80" s="928"/>
      <c r="EA80" s="928"/>
      <c r="EB80" s="928"/>
      <c r="EC80" s="1337"/>
      <c r="ED80" s="1338"/>
      <c r="EE80" s="928"/>
      <c r="EF80" s="928"/>
      <c r="EG80" s="928"/>
      <c r="EH80" s="1337"/>
      <c r="EI80" s="928"/>
      <c r="EJ80" s="928"/>
      <c r="EK80" s="928"/>
      <c r="EL80" s="928"/>
      <c r="EM80" s="1337"/>
      <c r="EN80" s="928"/>
      <c r="EO80" s="928"/>
      <c r="EP80" s="928"/>
      <c r="EQ80" s="928"/>
      <c r="ER80" s="928"/>
      <c r="ES80" s="928"/>
      <c r="ET80" s="928"/>
      <c r="EU80" s="928"/>
      <c r="EV80" s="928"/>
      <c r="EW80" s="928"/>
      <c r="EX80" s="928"/>
      <c r="EY80" s="928"/>
      <c r="EZ80" s="928"/>
      <c r="FA80" s="928"/>
      <c r="FB80" s="928"/>
      <c r="FC80" s="928"/>
      <c r="FD80" s="928"/>
      <c r="FE80" s="928"/>
      <c r="FF80" s="1429"/>
      <c r="FG80" s="928"/>
      <c r="FH80" s="1425"/>
      <c r="FI80" s="1319"/>
      <c r="FJ80" s="1622">
        <v>115.55200000000059</v>
      </c>
      <c r="FK80" s="1605"/>
      <c r="FL80" s="928"/>
      <c r="FM80" s="928"/>
      <c r="FN80" s="928"/>
      <c r="FO80" s="928"/>
      <c r="FP80" s="928"/>
      <c r="FQ80" s="928"/>
    </row>
    <row r="81" spans="1:173">
      <c r="A81" s="928"/>
      <c r="B81" s="928"/>
      <c r="C81" s="928"/>
      <c r="D81" s="928"/>
      <c r="E81" s="928"/>
      <c r="F81" s="928"/>
      <c r="G81" s="1254">
        <f>-G73/G71</f>
        <v>0.25036428666048494</v>
      </c>
      <c r="H81" s="1254">
        <f>-H73/H71</f>
        <v>0.23614274867122242</v>
      </c>
      <c r="I81" s="1254">
        <f>-I73/I71</f>
        <v>0.19123789866823926</v>
      </c>
      <c r="J81" s="1254">
        <f>-J73/J71</f>
        <v>0.35890444912628588</v>
      </c>
      <c r="K81" s="928"/>
      <c r="L81" s="1254">
        <f>-L73/L71</f>
        <v>0.28069658701815103</v>
      </c>
      <c r="M81" s="1254">
        <f>-M73/M71</f>
        <v>0.28565709939554057</v>
      </c>
      <c r="N81" s="1254">
        <f>-N73/N71</f>
        <v>0.22663381307050462</v>
      </c>
      <c r="O81" s="1254">
        <f>-O73/O71</f>
        <v>0.36282114421735195</v>
      </c>
      <c r="P81" s="928"/>
      <c r="Q81" s="1254">
        <f>-Q73/Q71</f>
        <v>0.33033334789636942</v>
      </c>
      <c r="R81" s="1254">
        <f>-R73/R71</f>
        <v>0.33385537451435121</v>
      </c>
      <c r="S81" s="1254">
        <f>-S73/S71</f>
        <v>0.29115151515151527</v>
      </c>
      <c r="T81" s="1254">
        <f>-T73/T71</f>
        <v>0.16880318862436713</v>
      </c>
      <c r="U81" s="1254"/>
      <c r="V81" s="1254">
        <f>-V73/V71</f>
        <v>0.29124932525640262</v>
      </c>
      <c r="W81" s="1254">
        <f>-W73/W71</f>
        <v>0.29720744680851047</v>
      </c>
      <c r="X81" s="1254">
        <f>-X73/X71</f>
        <v>0.27747368421052476</v>
      </c>
      <c r="Y81" s="1254">
        <f>-Y73/Y71</f>
        <v>0.33048289738430631</v>
      </c>
      <c r="Z81" s="1254"/>
      <c r="AA81" s="1254">
        <f>-AA73/AA71</f>
        <v>0.31944444444444436</v>
      </c>
      <c r="AB81" s="1254">
        <f>-AB73/AB71</f>
        <v>0.30311479327650775</v>
      </c>
      <c r="AC81" s="1254">
        <f>-AC73/AC71</f>
        <v>0.32476886905236313</v>
      </c>
      <c r="AD81" s="1254">
        <f>-AD73/AD71</f>
        <v>0.42534682080924852</v>
      </c>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355"/>
      <c r="BF81" s="1254"/>
      <c r="BG81" s="1254"/>
      <c r="BH81" s="1254"/>
      <c r="BI81" s="1389"/>
      <c r="BJ81" s="1355"/>
      <c r="BK81" s="1254"/>
      <c r="BL81" s="1254"/>
      <c r="BM81" s="1254"/>
      <c r="BN81" s="1389"/>
      <c r="BO81" s="1355"/>
      <c r="BP81" s="1254"/>
      <c r="BQ81" s="1254"/>
      <c r="BR81" s="1254"/>
      <c r="BS81" s="1389"/>
      <c r="BT81" s="1355"/>
      <c r="BU81" s="1254"/>
      <c r="BV81" s="1254"/>
      <c r="BW81" s="1254"/>
      <c r="BX81" s="1389"/>
      <c r="BY81" s="1254"/>
      <c r="BZ81" s="928"/>
      <c r="CA81" s="928"/>
      <c r="CB81" s="928"/>
      <c r="CC81" s="928"/>
      <c r="CD81" s="928"/>
      <c r="CE81" s="928"/>
      <c r="CF81" s="928"/>
      <c r="CG81" s="928"/>
      <c r="CH81" s="928"/>
      <c r="CI81" s="928"/>
      <c r="CJ81" s="928"/>
      <c r="CK81" s="928"/>
      <c r="CL81" s="928"/>
      <c r="CM81" s="928"/>
      <c r="CN81" s="928"/>
      <c r="CO81" s="928"/>
      <c r="CP81" s="928"/>
      <c r="CQ81" s="928"/>
      <c r="CR81" s="928"/>
      <c r="CS81" s="928"/>
      <c r="CT81" s="928"/>
      <c r="CU81" s="928"/>
      <c r="CV81" s="928"/>
      <c r="CW81" s="928"/>
      <c r="CX81" s="928"/>
      <c r="CY81" s="928"/>
      <c r="CZ81" s="928"/>
      <c r="DA81" s="928"/>
      <c r="DB81" s="928"/>
      <c r="DC81" s="928"/>
      <c r="DD81" s="928"/>
      <c r="DE81" s="928"/>
      <c r="DF81" s="928"/>
      <c r="DG81" s="928"/>
      <c r="DH81" s="928"/>
      <c r="DI81" s="928"/>
      <c r="DJ81" s="928"/>
      <c r="DK81" s="928"/>
      <c r="DL81" s="928"/>
      <c r="DM81" s="928"/>
      <c r="DN81" s="928"/>
      <c r="DO81" s="928"/>
      <c r="DP81" s="928"/>
      <c r="DQ81" s="928"/>
      <c r="DR81" s="928"/>
      <c r="DS81" s="928"/>
      <c r="DT81" s="928"/>
      <c r="DU81" s="928"/>
      <c r="DV81" s="928"/>
      <c r="DW81" s="928"/>
      <c r="DX81" s="928"/>
      <c r="DY81" s="1338"/>
      <c r="DZ81" s="928"/>
      <c r="EA81" s="928"/>
      <c r="EB81" s="928"/>
      <c r="EC81" s="1337"/>
      <c r="ED81" s="1338"/>
      <c r="EE81" s="928"/>
      <c r="EF81" s="928"/>
      <c r="EG81" s="928"/>
      <c r="EH81" s="1337"/>
      <c r="EI81" s="928"/>
      <c r="EJ81" s="928"/>
      <c r="EK81" s="928"/>
      <c r="EL81" s="928"/>
      <c r="EM81" s="1337"/>
      <c r="EN81" s="928"/>
      <c r="EO81" s="928"/>
      <c r="EP81" s="928"/>
      <c r="EQ81" s="928"/>
      <c r="ER81" s="928"/>
      <c r="ES81" s="928"/>
      <c r="ET81" s="928"/>
      <c r="EU81" s="928"/>
      <c r="EV81" s="928"/>
      <c r="EW81" s="928"/>
      <c r="EX81" s="928"/>
      <c r="EY81" s="928"/>
      <c r="EZ81" s="928"/>
      <c r="FA81" s="928"/>
      <c r="FB81" s="928"/>
      <c r="FC81" s="928"/>
      <c r="FD81" s="928"/>
      <c r="FE81" s="928"/>
      <c r="FF81" s="1363"/>
      <c r="FG81" s="928"/>
      <c r="FH81" s="1351"/>
      <c r="FI81" s="1319"/>
      <c r="FJ81" s="1612"/>
      <c r="FK81" s="1605"/>
      <c r="FL81" s="928"/>
      <c r="FM81" s="928"/>
      <c r="FN81" s="928"/>
      <c r="FO81" s="928"/>
      <c r="FP81" s="928"/>
      <c r="FQ81" s="928"/>
    </row>
    <row r="82" spans="1:173">
      <c r="A82" s="928"/>
      <c r="B82" s="928"/>
      <c r="C82" s="928"/>
      <c r="D82" s="928"/>
      <c r="E82" s="928"/>
      <c r="F82" s="928"/>
      <c r="G82" s="1254"/>
      <c r="H82" s="1254"/>
      <c r="I82" s="1254"/>
      <c r="J82" s="1254"/>
      <c r="K82" s="928"/>
      <c r="L82" s="1254"/>
      <c r="M82" s="1254"/>
      <c r="N82" s="1254"/>
      <c r="O82" s="1254"/>
      <c r="P82" s="928"/>
      <c r="Q82" s="1254"/>
      <c r="R82" s="1254"/>
      <c r="S82" s="1254"/>
      <c r="T82" s="1254"/>
      <c r="U82" s="1254"/>
      <c r="V82" s="1254"/>
      <c r="W82" s="1254"/>
      <c r="X82" s="1254"/>
      <c r="Y82" s="928"/>
      <c r="Z82" s="1254"/>
      <c r="AA82" s="1254"/>
      <c r="AB82" s="1254"/>
      <c r="AC82" s="1254"/>
      <c r="AD82" s="1254"/>
      <c r="AE82" s="1254"/>
      <c r="AF82" s="1254"/>
      <c r="AG82" s="1254"/>
      <c r="AH82" s="1254"/>
      <c r="AI82" s="1254"/>
      <c r="AJ82" s="1254"/>
      <c r="AK82" s="1254">
        <f>AK73/AK71</f>
        <v>-0.31623243559718966</v>
      </c>
      <c r="AL82" s="1254">
        <f>AL73/AL71</f>
        <v>-0.33918834978259366</v>
      </c>
      <c r="AM82" s="1254">
        <f>AM73/AM71</f>
        <v>-0.36762917933130718</v>
      </c>
      <c r="AN82" s="1254">
        <f>AN73/AN71</f>
        <v>-0.56369254538431879</v>
      </c>
      <c r="AO82" s="1254"/>
      <c r="AP82" s="1254"/>
      <c r="AQ82" s="1254"/>
      <c r="AR82" s="1254"/>
      <c r="AS82" s="1254"/>
      <c r="AT82" s="1254"/>
      <c r="AU82" s="1254"/>
      <c r="AV82" s="1254"/>
      <c r="AW82" s="1254"/>
      <c r="AX82" s="1254"/>
      <c r="AY82" s="1254"/>
      <c r="AZ82" s="1254"/>
      <c r="BA82" s="1254"/>
      <c r="BB82" s="1254"/>
      <c r="BC82" s="1254"/>
      <c r="BD82" s="1254"/>
      <c r="BE82" s="1355"/>
      <c r="BF82" s="1254"/>
      <c r="BG82" s="1254"/>
      <c r="BH82" s="1254"/>
      <c r="BI82" s="1389"/>
      <c r="BJ82" s="1355"/>
      <c r="BK82" s="1254"/>
      <c r="BL82" s="1254"/>
      <c r="BM82" s="1254"/>
      <c r="BN82" s="1389"/>
      <c r="BO82" s="1355"/>
      <c r="BP82" s="1254"/>
      <c r="BQ82" s="1254"/>
      <c r="BR82" s="1254"/>
      <c r="BS82" s="1389"/>
      <c r="BT82" s="1355"/>
      <c r="BU82" s="1254"/>
      <c r="BV82" s="1254"/>
      <c r="BW82" s="1254"/>
      <c r="BX82" s="1389"/>
      <c r="BY82" s="1254"/>
      <c r="BZ82" s="928"/>
      <c r="CA82" s="928"/>
      <c r="CB82" s="928"/>
      <c r="CC82" s="928"/>
      <c r="CD82" s="928"/>
      <c r="CE82" s="928"/>
      <c r="CF82" s="928"/>
      <c r="CG82" s="928"/>
      <c r="CH82" s="928"/>
      <c r="CI82" s="928"/>
      <c r="CJ82" s="928"/>
      <c r="CK82" s="928"/>
      <c r="CL82" s="928"/>
      <c r="CM82" s="928"/>
      <c r="CN82" s="928"/>
      <c r="CO82" s="928"/>
      <c r="CP82" s="928"/>
      <c r="CQ82" s="928"/>
      <c r="CR82" s="928"/>
      <c r="CS82" s="928"/>
      <c r="CT82" s="928"/>
      <c r="CU82" s="928"/>
      <c r="CV82" s="928"/>
      <c r="CW82" s="928"/>
      <c r="CX82" s="928"/>
      <c r="CY82" s="928"/>
      <c r="CZ82" s="928"/>
      <c r="DA82" s="928"/>
      <c r="DB82" s="928"/>
      <c r="DC82" s="928"/>
      <c r="DD82" s="928"/>
      <c r="DE82" s="928"/>
      <c r="DF82" s="928"/>
      <c r="DG82" s="928"/>
      <c r="DH82" s="928"/>
      <c r="DI82" s="928"/>
      <c r="DJ82" s="928"/>
      <c r="DK82" s="928"/>
      <c r="DL82" s="928"/>
      <c r="DM82" s="928"/>
      <c r="DN82" s="928"/>
      <c r="DO82" s="928"/>
      <c r="DP82" s="928"/>
      <c r="DQ82" s="928"/>
      <c r="DR82" s="928"/>
      <c r="DS82" s="928"/>
      <c r="DT82" s="928"/>
      <c r="DU82" s="928"/>
      <c r="DV82" s="928"/>
      <c r="DW82" s="928"/>
      <c r="DX82" s="928"/>
      <c r="DY82" s="1338"/>
      <c r="DZ82" s="928"/>
      <c r="EA82" s="928"/>
      <c r="EB82" s="928"/>
      <c r="EC82" s="1337"/>
      <c r="ED82" s="1338"/>
      <c r="EE82" s="928"/>
      <c r="EF82" s="928"/>
      <c r="EG82" s="928"/>
      <c r="EH82" s="1337"/>
      <c r="EI82" s="928"/>
      <c r="EJ82" s="928"/>
      <c r="EK82" s="928"/>
      <c r="EL82" s="928"/>
      <c r="EM82" s="1337"/>
      <c r="EN82" s="928"/>
      <c r="EO82" s="928"/>
      <c r="EP82" s="928"/>
      <c r="EQ82" s="928"/>
      <c r="ER82" s="928"/>
      <c r="ES82" s="928"/>
      <c r="ET82" s="928"/>
      <c r="EU82" s="928"/>
      <c r="EV82" s="928"/>
      <c r="EW82" s="928"/>
      <c r="EX82" s="928"/>
      <c r="EY82" s="928"/>
      <c r="EZ82" s="928"/>
      <c r="FA82" s="928"/>
      <c r="FB82" s="928"/>
      <c r="FC82" s="928"/>
      <c r="FD82" s="928"/>
      <c r="FE82" s="928"/>
      <c r="FF82" s="1363"/>
      <c r="FG82" s="928"/>
      <c r="FH82" s="1351"/>
      <c r="FI82" s="1319"/>
      <c r="FJ82" s="1612"/>
      <c r="FK82" s="1605"/>
      <c r="FL82" s="928"/>
      <c r="FM82" s="928"/>
      <c r="FN82" s="928"/>
      <c r="FO82" s="928"/>
      <c r="FP82" s="928"/>
      <c r="FQ82" s="928"/>
    </row>
    <row r="83" spans="1:173">
      <c r="A83" s="928" t="s">
        <v>1825</v>
      </c>
      <c r="B83" s="928"/>
      <c r="C83" s="928"/>
      <c r="D83" s="928"/>
      <c r="E83" s="928"/>
      <c r="F83" s="928"/>
      <c r="G83" s="928"/>
      <c r="H83" s="928"/>
      <c r="I83" s="928"/>
      <c r="J83" s="928"/>
      <c r="K83" s="928"/>
      <c r="L83" s="928"/>
      <c r="M83" s="928"/>
      <c r="N83" s="1254"/>
      <c r="O83" s="928"/>
      <c r="P83" s="928"/>
      <c r="Q83" s="928"/>
      <c r="R83" s="928"/>
      <c r="S83" s="928"/>
      <c r="T83" s="928"/>
      <c r="U83" s="928"/>
      <c r="V83" s="928">
        <v>190.6</v>
      </c>
      <c r="W83" s="928">
        <v>245.6</v>
      </c>
      <c r="X83" s="928">
        <v>332.6</v>
      </c>
      <c r="Y83" s="928">
        <f>Y84+Y90+Y91</f>
        <v>504.3</v>
      </c>
      <c r="Z83" s="928">
        <f>Z84+Z90+Z91</f>
        <v>1273.0999999999999</v>
      </c>
      <c r="AA83" s="928">
        <v>307.89999999999998</v>
      </c>
      <c r="AB83" s="928">
        <v>371.6</v>
      </c>
      <c r="AC83" s="928">
        <v>378</v>
      </c>
      <c r="AD83" s="928">
        <f>1605.4-AA83-AB83-AC83</f>
        <v>547.9</v>
      </c>
      <c r="AE83" s="1254"/>
      <c r="AF83" s="928">
        <v>330.7</v>
      </c>
      <c r="AG83" s="928">
        <v>358.2</v>
      </c>
      <c r="AH83" s="1435">
        <v>382</v>
      </c>
      <c r="AI83" s="1435">
        <f>1490.9-AF83-AG83-AH83</f>
        <v>420</v>
      </c>
      <c r="AJ83" s="1254"/>
      <c r="AK83" s="1435">
        <v>217.9</v>
      </c>
      <c r="AL83" s="1435">
        <v>172.4</v>
      </c>
      <c r="AM83" s="1435">
        <v>217.2</v>
      </c>
      <c r="AN83" s="1435">
        <f>884.7-AK83-AL83-AM83</f>
        <v>277.2000000000001</v>
      </c>
      <c r="AO83" s="1254"/>
      <c r="AP83" s="1435">
        <v>157.69999999999999</v>
      </c>
      <c r="AQ83" s="1435">
        <v>227.3</v>
      </c>
      <c r="AR83" s="1435">
        <v>289.60000000000002</v>
      </c>
      <c r="AS83" s="1435">
        <f>969.9-AP83-AQ83-AR83</f>
        <v>295.30000000000007</v>
      </c>
      <c r="AT83" s="1435">
        <f>Master!Q98</f>
        <v>969.4</v>
      </c>
      <c r="AU83" s="1435">
        <f>AU84+AU90+AU91</f>
        <v>222.89999999999998</v>
      </c>
      <c r="AV83" s="1435">
        <f>AV84+AV90+AV91</f>
        <v>239.60000000000002</v>
      </c>
      <c r="AW83" s="1435">
        <f>AW84+AW90+AW91</f>
        <v>250.9</v>
      </c>
      <c r="AX83" s="1435">
        <f>AX84+AX90+AX91</f>
        <v>278.79999999999995</v>
      </c>
      <c r="AY83" s="1435">
        <f>Master!R98</f>
        <v>990.5</v>
      </c>
      <c r="AZ83" s="1435">
        <f>AZ84+AZ90+AZ91</f>
        <v>227.39999999999998</v>
      </c>
      <c r="BA83" s="1435">
        <f>BA84+BA90+BA91</f>
        <v>196.39999999999998</v>
      </c>
      <c r="BB83" s="1435">
        <f>BB84+BB90+BB91</f>
        <v>251.3</v>
      </c>
      <c r="BC83" s="1435">
        <f>BD83-AZ83-BA83-BB83</f>
        <v>264.3</v>
      </c>
      <c r="BD83" s="1435">
        <f>Master!S98</f>
        <v>939.4</v>
      </c>
      <c r="BE83" s="1505">
        <f>BE84+BE90+BE91</f>
        <v>275.09999999999997</v>
      </c>
      <c r="BF83" s="1435">
        <f>BF84+BF90+BF91</f>
        <v>280.09999999999997</v>
      </c>
      <c r="BG83" s="1435">
        <f>BG84+BG90+BG91</f>
        <v>362.6</v>
      </c>
      <c r="BH83" s="1435">
        <f>BH84+BH90+BH91</f>
        <v>231.3</v>
      </c>
      <c r="BI83" s="1506">
        <f>Master!T98</f>
        <v>1149.0999999999999</v>
      </c>
      <c r="BJ83" s="1509">
        <f>BJ84+BJ90+BJ91</f>
        <v>228.6</v>
      </c>
      <c r="BK83" s="1442">
        <f>BK84+BK90+BK91</f>
        <v>238.9</v>
      </c>
      <c r="BL83" s="1442">
        <f>BL84+BL90+BL91</f>
        <v>207.70000000000002</v>
      </c>
      <c r="BM83" s="1442">
        <f>BM84+BM90+BM91</f>
        <v>181.19999999999993</v>
      </c>
      <c r="BN83" s="1514">
        <f>Master!U98</f>
        <v>856</v>
      </c>
      <c r="BO83" s="1509">
        <f>BO84+BO90+BO91</f>
        <v>211</v>
      </c>
      <c r="BP83" s="1442">
        <f>BP84+BP90+BP91</f>
        <v>204.20000000000002</v>
      </c>
      <c r="BQ83" s="1442">
        <f>BQ84+BQ90+BQ91</f>
        <v>186.6</v>
      </c>
      <c r="BR83" s="1442">
        <f>BR84+BR90+BR91</f>
        <v>226.7</v>
      </c>
      <c r="BS83" s="1514">
        <f>Master!V98</f>
        <v>828.5</v>
      </c>
      <c r="BT83" s="1509">
        <f>BT84+BT90+BT91</f>
        <v>120</v>
      </c>
      <c r="BU83" s="1442">
        <f>BU84+BU90+BU91</f>
        <v>220</v>
      </c>
      <c r="BV83" s="1442">
        <f>BV84+BV90+BV91</f>
        <v>200</v>
      </c>
      <c r="BW83" s="1576">
        <f>BX83-BT83-BU83-BV83</f>
        <v>215.35057349416218</v>
      </c>
      <c r="BX83" s="1514">
        <f>Master!W98</f>
        <v>755.35057349416218</v>
      </c>
      <c r="BY83" s="1435"/>
      <c r="BZ83" s="928"/>
      <c r="CA83" s="928"/>
      <c r="CB83" s="928"/>
      <c r="CC83" s="928"/>
      <c r="CD83" s="928"/>
      <c r="CE83" s="928"/>
      <c r="CF83" s="928"/>
      <c r="CG83" s="928"/>
      <c r="CH83" s="928"/>
      <c r="CI83" s="928"/>
      <c r="CJ83" s="928"/>
      <c r="CK83" s="928"/>
      <c r="CL83" s="928"/>
      <c r="CM83" s="928"/>
      <c r="CN83" s="928"/>
      <c r="CO83" s="928"/>
      <c r="CP83" s="928"/>
      <c r="CQ83" s="928"/>
      <c r="CR83" s="928"/>
      <c r="CS83" s="928"/>
      <c r="CT83" s="928"/>
      <c r="CU83" s="928"/>
      <c r="CV83" s="928"/>
      <c r="CW83" s="928"/>
      <c r="CX83" s="928"/>
      <c r="CY83" s="928"/>
      <c r="CZ83" s="928"/>
      <c r="DA83" s="928"/>
      <c r="DB83" s="928"/>
      <c r="DC83" s="928"/>
      <c r="DD83" s="928"/>
      <c r="DE83" s="928"/>
      <c r="DF83" s="928"/>
      <c r="DG83" s="928"/>
      <c r="DH83" s="928"/>
      <c r="DI83" s="928"/>
      <c r="DJ83" s="928"/>
      <c r="DK83" s="928"/>
      <c r="DL83" s="928"/>
      <c r="DM83" s="928"/>
      <c r="DN83" s="928"/>
      <c r="DO83" s="928"/>
      <c r="DP83" s="928"/>
      <c r="DQ83" s="928"/>
      <c r="DR83" s="928"/>
      <c r="DS83" s="928"/>
      <c r="DT83" s="928"/>
      <c r="DU83" s="928"/>
      <c r="DV83" s="928"/>
      <c r="DW83" s="928"/>
      <c r="DX83" s="928"/>
      <c r="DY83" s="1338"/>
      <c r="DZ83" s="928"/>
      <c r="EA83" s="928"/>
      <c r="EB83" s="928"/>
      <c r="EC83" s="1337"/>
      <c r="ED83" s="1338"/>
      <c r="EE83" s="928"/>
      <c r="EF83" s="928"/>
      <c r="EG83" s="928"/>
      <c r="EH83" s="1337"/>
      <c r="EI83" s="928"/>
      <c r="EJ83" s="928"/>
      <c r="EK83" s="928"/>
      <c r="EL83" s="928"/>
      <c r="EM83" s="1337"/>
      <c r="EN83" s="928"/>
      <c r="EO83" s="928"/>
      <c r="EP83" s="928"/>
      <c r="EQ83" s="928"/>
      <c r="ER83" s="928"/>
      <c r="ES83" s="928"/>
      <c r="ET83" s="928"/>
      <c r="EU83" s="928"/>
      <c r="EV83" s="928"/>
      <c r="EW83" s="928"/>
      <c r="EX83" s="928"/>
      <c r="EY83" s="928"/>
      <c r="EZ83" s="928"/>
      <c r="FA83" s="928"/>
      <c r="FB83" s="928"/>
      <c r="FC83" s="928"/>
      <c r="FD83" s="928"/>
      <c r="FE83" s="928"/>
      <c r="FF83" s="1436">
        <v>209</v>
      </c>
      <c r="FG83" s="928"/>
      <c r="FH83" s="1437">
        <v>256.34449666268381</v>
      </c>
      <c r="FI83" s="1319"/>
      <c r="FJ83" s="1622">
        <v>209.9</v>
      </c>
      <c r="FK83" s="1605"/>
      <c r="FL83" s="928"/>
      <c r="FM83" s="928"/>
      <c r="FN83" s="928"/>
      <c r="FO83" s="928"/>
      <c r="FP83" s="928"/>
      <c r="FQ83" s="928"/>
    </row>
    <row r="84" spans="1:173">
      <c r="A84" s="1438" t="s">
        <v>1625</v>
      </c>
      <c r="B84" s="928"/>
      <c r="C84" s="928"/>
      <c r="D84" s="928"/>
      <c r="E84" s="928"/>
      <c r="F84" s="928"/>
      <c r="G84" s="928"/>
      <c r="H84" s="928"/>
      <c r="I84" s="928"/>
      <c r="J84" s="928"/>
      <c r="K84" s="928"/>
      <c r="L84" s="928"/>
      <c r="M84" s="928"/>
      <c r="N84" s="1254"/>
      <c r="O84" s="928"/>
      <c r="P84" s="928"/>
      <c r="Q84" s="928"/>
      <c r="R84" s="928"/>
      <c r="S84" s="928"/>
      <c r="T84" s="1254">
        <f>SUM(V84:Y84)/SUM(V14:Y14)</f>
        <v>3.3571824312706569E-2</v>
      </c>
      <c r="U84" s="928"/>
      <c r="V84" s="928">
        <v>93.9</v>
      </c>
      <c r="W84" s="928">
        <v>120.1</v>
      </c>
      <c r="X84" s="928">
        <v>183.4</v>
      </c>
      <c r="Y84" s="928">
        <f>702.9-V84-W84-X84</f>
        <v>305.5</v>
      </c>
      <c r="Z84" s="928">
        <f>Master!M97</f>
        <v>702.9</v>
      </c>
      <c r="AA84" s="928">
        <v>219.5</v>
      </c>
      <c r="AB84" s="928">
        <v>259.5</v>
      </c>
      <c r="AC84" s="928">
        <v>235</v>
      </c>
      <c r="AD84" s="928">
        <f>1077.2-AA84-AB84-AC84</f>
        <v>363.20000000000005</v>
      </c>
      <c r="AE84" s="928">
        <f>SUM(AA84:AD84)</f>
        <v>1077.2</v>
      </c>
      <c r="AF84" s="928">
        <v>209</v>
      </c>
      <c r="AG84" s="928">
        <v>230.7</v>
      </c>
      <c r="AH84" s="928">
        <v>247.2</v>
      </c>
      <c r="AI84" s="928">
        <f>984.2-AF84-AG84-AH84</f>
        <v>297.3</v>
      </c>
      <c r="AJ84" s="928">
        <f>SUM(AF84:AI84)</f>
        <v>984.2</v>
      </c>
      <c r="AK84" s="928">
        <v>151</v>
      </c>
      <c r="AL84" s="928">
        <v>112.4</v>
      </c>
      <c r="AM84" s="928">
        <v>138.30000000000001</v>
      </c>
      <c r="AN84" s="928">
        <f>559.7-AK84-AL84-AM84</f>
        <v>158.00000000000006</v>
      </c>
      <c r="AO84" s="928">
        <f>SUM(AK84:AN84)</f>
        <v>559.70000000000005</v>
      </c>
      <c r="AP84" s="1435">
        <v>106.1</v>
      </c>
      <c r="AQ84" s="1435">
        <v>145.5</v>
      </c>
      <c r="AR84" s="1435">
        <v>207.6</v>
      </c>
      <c r="AS84" s="1435">
        <f>665.5-AP84-AQ84-AR84</f>
        <v>206.29999999999998</v>
      </c>
      <c r="AT84" s="1435">
        <f>Master!Q97</f>
        <v>665</v>
      </c>
      <c r="AU84" s="1435">
        <v>169.7</v>
      </c>
      <c r="AV84" s="1435">
        <v>187.3</v>
      </c>
      <c r="AW84" s="1435">
        <v>178.1</v>
      </c>
      <c r="AX84" s="1435">
        <f>675.3-AU84-AV84-AW84</f>
        <v>140.19999999999996</v>
      </c>
      <c r="AY84" s="928">
        <f>SUM(AU84:AX84)</f>
        <v>675.3</v>
      </c>
      <c r="AZ84" s="1435">
        <v>160.9</v>
      </c>
      <c r="BA84" s="1435">
        <v>135.9</v>
      </c>
      <c r="BB84" s="1435">
        <v>172.6</v>
      </c>
      <c r="BC84" s="1435">
        <f>BD84-AZ84-BA84-BB84</f>
        <v>193.10000000000005</v>
      </c>
      <c r="BD84" s="1435">
        <f>Master!S97</f>
        <v>662.5</v>
      </c>
      <c r="BE84" s="1505">
        <v>199.8</v>
      </c>
      <c r="BF84" s="1435">
        <v>206</v>
      </c>
      <c r="BG84" s="1435">
        <v>274</v>
      </c>
      <c r="BH84" s="1435">
        <f>854.5-BG84-BF84-BE84</f>
        <v>174.7</v>
      </c>
      <c r="BI84" s="1506">
        <f>Master!T97</f>
        <v>854.5</v>
      </c>
      <c r="BJ84" s="1523">
        <v>168.3</v>
      </c>
      <c r="BK84" s="1451">
        <v>183.9</v>
      </c>
      <c r="BL84" s="1451">
        <v>162.80000000000001</v>
      </c>
      <c r="BM84" s="1451">
        <f>645.9-BJ84-BK84-BL84</f>
        <v>130.89999999999992</v>
      </c>
      <c r="BN84" s="1514">
        <f>Master!U97</f>
        <v>645.9</v>
      </c>
      <c r="BO84" s="1523">
        <v>167.4</v>
      </c>
      <c r="BP84" s="1451">
        <v>152.30000000000001</v>
      </c>
      <c r="BQ84" s="1451">
        <v>141</v>
      </c>
      <c r="BR84" s="1451">
        <f>633-BO84-BP84-BQ84</f>
        <v>172.3</v>
      </c>
      <c r="BS84" s="1514">
        <f>Master!V97</f>
        <v>633</v>
      </c>
      <c r="BT84" s="1523">
        <v>95.9</v>
      </c>
      <c r="BU84" s="1537">
        <v>180</v>
      </c>
      <c r="BV84" s="1537">
        <v>170</v>
      </c>
      <c r="BW84" s="1576">
        <f>BX84-BT84-BU84-BV84</f>
        <v>177.16549366048366</v>
      </c>
      <c r="BX84" s="1514">
        <f>Master!W97</f>
        <v>623.06549366048364</v>
      </c>
      <c r="BY84" s="1254"/>
      <c r="BZ84" s="928"/>
      <c r="CA84" s="928"/>
      <c r="CB84" s="928"/>
      <c r="CC84" s="928"/>
      <c r="CD84" s="928"/>
      <c r="CE84" s="928"/>
      <c r="CF84" s="928"/>
      <c r="CG84" s="928"/>
      <c r="CH84" s="928"/>
      <c r="CI84" s="928"/>
      <c r="CJ84" s="928"/>
      <c r="CK84" s="928"/>
      <c r="CL84" s="928"/>
      <c r="CM84" s="928"/>
      <c r="CN84" s="928"/>
      <c r="CO84" s="928"/>
      <c r="CP84" s="928"/>
      <c r="CQ84" s="928"/>
      <c r="CR84" s="928"/>
      <c r="CS84" s="928"/>
      <c r="CT84" s="928"/>
      <c r="CU84" s="928"/>
      <c r="CV84" s="928"/>
      <c r="CW84" s="928"/>
      <c r="CX84" s="928"/>
      <c r="CY84" s="928"/>
      <c r="CZ84" s="928"/>
      <c r="DA84" s="928"/>
      <c r="DB84" s="928"/>
      <c r="DC84" s="928"/>
      <c r="DD84" s="928"/>
      <c r="DE84" s="928"/>
      <c r="DF84" s="928"/>
      <c r="DG84" s="928"/>
      <c r="DH84" s="928"/>
      <c r="DI84" s="928"/>
      <c r="DJ84" s="928"/>
      <c r="DK84" s="928"/>
      <c r="DL84" s="928"/>
      <c r="DM84" s="928"/>
      <c r="DN84" s="928"/>
      <c r="DO84" s="928"/>
      <c r="DP84" s="928"/>
      <c r="DQ84" s="928"/>
      <c r="DR84" s="928"/>
      <c r="DS84" s="928"/>
      <c r="DT84" s="928"/>
      <c r="DU84" s="928"/>
      <c r="DV84" s="928"/>
      <c r="DW84" s="928"/>
      <c r="DX84" s="928"/>
      <c r="DY84" s="1338"/>
      <c r="DZ84" s="928"/>
      <c r="EA84" s="928"/>
      <c r="EB84" s="928"/>
      <c r="EC84" s="1337"/>
      <c r="ED84" s="1338"/>
      <c r="EE84" s="928"/>
      <c r="EF84" s="928"/>
      <c r="EG84" s="928"/>
      <c r="EH84" s="1337"/>
      <c r="EI84" s="928"/>
      <c r="EJ84" s="928"/>
      <c r="EK84" s="928"/>
      <c r="EL84" s="928"/>
      <c r="EM84" s="1337"/>
      <c r="EN84" s="928"/>
      <c r="EO84" s="928"/>
      <c r="EP84" s="928"/>
      <c r="EQ84" s="928"/>
      <c r="ER84" s="928"/>
      <c r="ES84" s="928"/>
      <c r="ET84" s="928"/>
      <c r="EU84" s="928"/>
      <c r="EV84" s="928"/>
      <c r="EW84" s="928"/>
      <c r="EX84" s="928"/>
      <c r="EY84" s="928"/>
      <c r="EZ84" s="928"/>
      <c r="FA84" s="928"/>
      <c r="FB84" s="928"/>
      <c r="FC84" s="928"/>
      <c r="FD84" s="928"/>
      <c r="FE84" s="928"/>
      <c r="FF84" s="1436">
        <v>150</v>
      </c>
      <c r="FG84" s="928"/>
      <c r="FH84" s="1437">
        <v>189.65557794117655</v>
      </c>
      <c r="FI84" s="1319"/>
      <c r="FJ84" s="1618">
        <v>165</v>
      </c>
      <c r="FK84" s="1605"/>
      <c r="FL84" s="928"/>
      <c r="FM84" s="928"/>
      <c r="FN84" s="928"/>
      <c r="FO84" s="928"/>
      <c r="FP84" s="928"/>
      <c r="FQ84" s="928"/>
    </row>
    <row r="85" spans="1:173">
      <c r="A85" s="1438" t="s">
        <v>1724</v>
      </c>
      <c r="B85" s="928"/>
      <c r="C85" s="928"/>
      <c r="D85" s="928"/>
      <c r="E85" s="928"/>
      <c r="F85" s="928"/>
      <c r="G85" s="928"/>
      <c r="H85" s="928"/>
      <c r="I85" s="928"/>
      <c r="J85" s="928"/>
      <c r="K85" s="928"/>
      <c r="L85" s="928"/>
      <c r="M85" s="928"/>
      <c r="N85" s="1254"/>
      <c r="O85" s="928"/>
      <c r="P85" s="928"/>
      <c r="Q85" s="928"/>
      <c r="R85" s="928"/>
      <c r="S85" s="928"/>
      <c r="T85" s="928"/>
      <c r="U85" s="928"/>
      <c r="V85" s="928">
        <v>16.600000000000001</v>
      </c>
      <c r="W85" s="928">
        <v>33.6</v>
      </c>
      <c r="X85" s="928">
        <v>41.1</v>
      </c>
      <c r="Y85" s="928">
        <f>199.9-V85-W85-X85</f>
        <v>108.60000000000002</v>
      </c>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355"/>
      <c r="BF85" s="1254"/>
      <c r="BG85" s="1254"/>
      <c r="BH85" s="1254"/>
      <c r="BI85" s="1389"/>
      <c r="BJ85" s="1355"/>
      <c r="BK85" s="1254"/>
      <c r="BL85" s="1254"/>
      <c r="BM85" s="1254"/>
      <c r="BN85" s="1389"/>
      <c r="BO85" s="1355"/>
      <c r="BP85" s="1254"/>
      <c r="BQ85" s="1254"/>
      <c r="BR85" s="1254"/>
      <c r="BS85" s="1389"/>
      <c r="BT85" s="1355"/>
      <c r="BU85" s="1254"/>
      <c r="BV85" s="1254"/>
      <c r="BW85" s="1254"/>
      <c r="BX85" s="1389"/>
      <c r="BY85" s="1254"/>
      <c r="BZ85" s="928"/>
      <c r="CA85" s="928"/>
      <c r="CB85" s="928"/>
      <c r="CC85" s="928"/>
      <c r="CD85" s="928"/>
      <c r="CE85" s="928"/>
      <c r="CF85" s="928"/>
      <c r="CG85" s="928"/>
      <c r="CH85" s="928"/>
      <c r="CI85" s="928"/>
      <c r="CJ85" s="928"/>
      <c r="CK85" s="928"/>
      <c r="CL85" s="928"/>
      <c r="CM85" s="928"/>
      <c r="CN85" s="928"/>
      <c r="CO85" s="928"/>
      <c r="CP85" s="928"/>
      <c r="CQ85" s="928"/>
      <c r="CR85" s="928"/>
      <c r="CS85" s="928"/>
      <c r="CT85" s="928"/>
      <c r="CU85" s="928"/>
      <c r="CV85" s="928"/>
      <c r="CW85" s="928"/>
      <c r="CX85" s="928"/>
      <c r="CY85" s="928"/>
      <c r="CZ85" s="928"/>
      <c r="DA85" s="928"/>
      <c r="DB85" s="928"/>
      <c r="DC85" s="928"/>
      <c r="DD85" s="928"/>
      <c r="DE85" s="928"/>
      <c r="DF85" s="928"/>
      <c r="DG85" s="928"/>
      <c r="DH85" s="928"/>
      <c r="DI85" s="928"/>
      <c r="DJ85" s="928"/>
      <c r="DK85" s="928"/>
      <c r="DL85" s="928"/>
      <c r="DM85" s="928"/>
      <c r="DN85" s="928"/>
      <c r="DO85" s="928"/>
      <c r="DP85" s="928"/>
      <c r="DQ85" s="928"/>
      <c r="DR85" s="928"/>
      <c r="DS85" s="928"/>
      <c r="DT85" s="928"/>
      <c r="DU85" s="928"/>
      <c r="DV85" s="928"/>
      <c r="DW85" s="928"/>
      <c r="DX85" s="928"/>
      <c r="DY85" s="1338"/>
      <c r="DZ85" s="928"/>
      <c r="EA85" s="928"/>
      <c r="EB85" s="928"/>
      <c r="EC85" s="1337"/>
      <c r="ED85" s="1338"/>
      <c r="EE85" s="928"/>
      <c r="EF85" s="928"/>
      <c r="EG85" s="928"/>
      <c r="EH85" s="1337"/>
      <c r="EI85" s="928"/>
      <c r="EJ85" s="928"/>
      <c r="EK85" s="928"/>
      <c r="EL85" s="928"/>
      <c r="EM85" s="1337"/>
      <c r="EN85" s="928"/>
      <c r="EO85" s="928"/>
      <c r="EP85" s="928"/>
      <c r="EQ85" s="928"/>
      <c r="ER85" s="928"/>
      <c r="ES85" s="928"/>
      <c r="ET85" s="928"/>
      <c r="EU85" s="928"/>
      <c r="EV85" s="928"/>
      <c r="EW85" s="928"/>
      <c r="EX85" s="928"/>
      <c r="EY85" s="928"/>
      <c r="EZ85" s="928"/>
      <c r="FA85" s="928"/>
      <c r="FB85" s="928"/>
      <c r="FC85" s="928"/>
      <c r="FD85" s="928"/>
      <c r="FE85" s="928"/>
      <c r="FF85" s="1363"/>
      <c r="FG85" s="928"/>
      <c r="FH85" s="1351"/>
      <c r="FI85" s="1319"/>
      <c r="FJ85" s="1612"/>
      <c r="FK85" s="1605"/>
      <c r="FL85" s="928"/>
      <c r="FM85" s="928"/>
      <c r="FN85" s="928"/>
      <c r="FO85" s="928"/>
      <c r="FP85" s="928"/>
      <c r="FQ85" s="928"/>
    </row>
    <row r="86" spans="1:173">
      <c r="A86" s="1438" t="s">
        <v>1723</v>
      </c>
      <c r="B86" s="928"/>
      <c r="C86" s="928"/>
      <c r="D86" s="928"/>
      <c r="E86" s="928"/>
      <c r="F86" s="928"/>
      <c r="G86" s="928"/>
      <c r="H86" s="928"/>
      <c r="I86" s="928"/>
      <c r="J86" s="928"/>
      <c r="K86" s="928"/>
      <c r="L86" s="928"/>
      <c r="M86" s="928"/>
      <c r="N86" s="1254"/>
      <c r="O86" s="928"/>
      <c r="P86" s="928"/>
      <c r="Q86" s="928"/>
      <c r="R86" s="928"/>
      <c r="S86" s="928"/>
      <c r="T86" s="928"/>
      <c r="U86" s="928"/>
      <c r="V86" s="928">
        <v>52.8</v>
      </c>
      <c r="W86" s="928">
        <v>40.5</v>
      </c>
      <c r="X86" s="928">
        <v>81.5</v>
      </c>
      <c r="Y86" s="928">
        <f>290-V86-W86-X86</f>
        <v>115.19999999999999</v>
      </c>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355"/>
      <c r="BF86" s="1254"/>
      <c r="BG86" s="1254"/>
      <c r="BH86" s="1254"/>
      <c r="BI86" s="1389"/>
      <c r="BJ86" s="1355"/>
      <c r="BK86" s="1254"/>
      <c r="BL86" s="1254"/>
      <c r="BM86" s="1254"/>
      <c r="BN86" s="1389"/>
      <c r="BO86" s="1355"/>
      <c r="BP86" s="1254"/>
      <c r="BQ86" s="1254"/>
      <c r="BR86" s="1254"/>
      <c r="BS86" s="1389"/>
      <c r="BT86" s="1355"/>
      <c r="BU86" s="1254"/>
      <c r="BV86" s="1254"/>
      <c r="BW86" s="1254"/>
      <c r="BX86" s="1389"/>
      <c r="BY86" s="1254"/>
      <c r="BZ86" s="928"/>
      <c r="CA86" s="928"/>
      <c r="CB86" s="928"/>
      <c r="CC86" s="928"/>
      <c r="CD86" s="928"/>
      <c r="CE86" s="928"/>
      <c r="CF86" s="928"/>
      <c r="CG86" s="928"/>
      <c r="CH86" s="928"/>
      <c r="CI86" s="928"/>
      <c r="CJ86" s="928"/>
      <c r="CK86" s="928"/>
      <c r="CL86" s="928"/>
      <c r="CM86" s="928"/>
      <c r="CN86" s="928"/>
      <c r="CO86" s="928"/>
      <c r="CP86" s="928"/>
      <c r="CQ86" s="928"/>
      <c r="CR86" s="928"/>
      <c r="CS86" s="928"/>
      <c r="CT86" s="928"/>
      <c r="CU86" s="928"/>
      <c r="CV86" s="928"/>
      <c r="CW86" s="928"/>
      <c r="CX86" s="928"/>
      <c r="CY86" s="928"/>
      <c r="CZ86" s="928"/>
      <c r="DA86" s="928"/>
      <c r="DB86" s="928"/>
      <c r="DC86" s="928"/>
      <c r="DD86" s="928"/>
      <c r="DE86" s="928"/>
      <c r="DF86" s="928"/>
      <c r="DG86" s="928"/>
      <c r="DH86" s="928"/>
      <c r="DI86" s="928"/>
      <c r="DJ86" s="928"/>
      <c r="DK86" s="928"/>
      <c r="DL86" s="928"/>
      <c r="DM86" s="928"/>
      <c r="DN86" s="928"/>
      <c r="DO86" s="928"/>
      <c r="DP86" s="928"/>
      <c r="DQ86" s="928"/>
      <c r="DR86" s="928"/>
      <c r="DS86" s="928"/>
      <c r="DT86" s="928"/>
      <c r="DU86" s="928"/>
      <c r="DV86" s="928"/>
      <c r="DW86" s="928"/>
      <c r="DX86" s="928"/>
      <c r="DY86" s="1338"/>
      <c r="DZ86" s="928"/>
      <c r="EA86" s="928"/>
      <c r="EB86" s="928"/>
      <c r="EC86" s="1337"/>
      <c r="ED86" s="1338"/>
      <c r="EE86" s="928"/>
      <c r="EF86" s="928"/>
      <c r="EG86" s="928"/>
      <c r="EH86" s="1337"/>
      <c r="EI86" s="928"/>
      <c r="EJ86" s="928"/>
      <c r="EK86" s="928"/>
      <c r="EL86" s="928"/>
      <c r="EM86" s="1337"/>
      <c r="EN86" s="928"/>
      <c r="EO86" s="928"/>
      <c r="EP86" s="928"/>
      <c r="EQ86" s="928"/>
      <c r="ER86" s="928"/>
      <c r="ES86" s="928"/>
      <c r="ET86" s="928"/>
      <c r="EU86" s="928"/>
      <c r="EV86" s="928"/>
      <c r="EW86" s="928"/>
      <c r="EX86" s="928"/>
      <c r="EY86" s="928"/>
      <c r="EZ86" s="928"/>
      <c r="FA86" s="928"/>
      <c r="FB86" s="928"/>
      <c r="FC86" s="928"/>
      <c r="FD86" s="928"/>
      <c r="FE86" s="928"/>
      <c r="FF86" s="1363"/>
      <c r="FG86" s="928"/>
      <c r="FH86" s="1351"/>
      <c r="FI86" s="1319"/>
      <c r="FJ86" s="1612"/>
      <c r="FK86" s="1605"/>
      <c r="FL86" s="928"/>
      <c r="FM86" s="928"/>
      <c r="FN86" s="928"/>
      <c r="FO86" s="928"/>
      <c r="FP86" s="928"/>
      <c r="FQ86" s="928"/>
    </row>
    <row r="87" spans="1:173">
      <c r="A87" s="1438" t="s">
        <v>1725</v>
      </c>
      <c r="B87" s="928"/>
      <c r="C87" s="928"/>
      <c r="D87" s="928"/>
      <c r="E87" s="928"/>
      <c r="F87" s="928"/>
      <c r="G87" s="928"/>
      <c r="H87" s="928"/>
      <c r="I87" s="928"/>
      <c r="J87" s="928"/>
      <c r="K87" s="928"/>
      <c r="L87" s="928"/>
      <c r="M87" s="928"/>
      <c r="N87" s="1254"/>
      <c r="O87" s="928"/>
      <c r="P87" s="928"/>
      <c r="Q87" s="928"/>
      <c r="R87" s="928"/>
      <c r="S87" s="928"/>
      <c r="T87" s="928"/>
      <c r="U87" s="928"/>
      <c r="V87" s="928">
        <v>22.6</v>
      </c>
      <c r="W87" s="928">
        <v>28.6</v>
      </c>
      <c r="X87" s="928">
        <v>39.9</v>
      </c>
      <c r="Y87" s="928">
        <f>131.3-V87-W87-X87</f>
        <v>40.200000000000024</v>
      </c>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355"/>
      <c r="BF87" s="1254"/>
      <c r="BG87" s="1254"/>
      <c r="BH87" s="1254"/>
      <c r="BI87" s="1389"/>
      <c r="BJ87" s="1355"/>
      <c r="BK87" s="1254"/>
      <c r="BL87" s="1254"/>
      <c r="BM87" s="1254"/>
      <c r="BN87" s="1389"/>
      <c r="BO87" s="1355"/>
      <c r="BP87" s="1254"/>
      <c r="BQ87" s="1254"/>
      <c r="BR87" s="1254"/>
      <c r="BS87" s="1389"/>
      <c r="BT87" s="1355"/>
      <c r="BU87" s="1254"/>
      <c r="BV87" s="1254"/>
      <c r="BW87" s="1254"/>
      <c r="BX87" s="1389"/>
      <c r="BY87" s="1254"/>
      <c r="BZ87" s="928"/>
      <c r="CA87" s="928"/>
      <c r="CB87" s="928"/>
      <c r="CC87" s="928"/>
      <c r="CD87" s="928"/>
      <c r="CE87" s="928"/>
      <c r="CF87" s="928"/>
      <c r="CG87" s="928"/>
      <c r="CH87" s="928"/>
      <c r="CI87" s="928"/>
      <c r="CJ87" s="928"/>
      <c r="CK87" s="928"/>
      <c r="CL87" s="928"/>
      <c r="CM87" s="928"/>
      <c r="CN87" s="928"/>
      <c r="CO87" s="928"/>
      <c r="CP87" s="928"/>
      <c r="CQ87" s="928"/>
      <c r="CR87" s="928"/>
      <c r="CS87" s="928"/>
      <c r="CT87" s="928"/>
      <c r="CU87" s="928"/>
      <c r="CV87" s="928"/>
      <c r="CW87" s="928"/>
      <c r="CX87" s="928"/>
      <c r="CY87" s="928"/>
      <c r="CZ87" s="928"/>
      <c r="DA87" s="928"/>
      <c r="DB87" s="928"/>
      <c r="DC87" s="928"/>
      <c r="DD87" s="928"/>
      <c r="DE87" s="928"/>
      <c r="DF87" s="928"/>
      <c r="DG87" s="928"/>
      <c r="DH87" s="928"/>
      <c r="DI87" s="928"/>
      <c r="DJ87" s="928"/>
      <c r="DK87" s="928"/>
      <c r="DL87" s="928"/>
      <c r="DM87" s="928"/>
      <c r="DN87" s="928"/>
      <c r="DO87" s="928"/>
      <c r="DP87" s="928"/>
      <c r="DQ87" s="928"/>
      <c r="DR87" s="928"/>
      <c r="DS87" s="928"/>
      <c r="DT87" s="928"/>
      <c r="DU87" s="928"/>
      <c r="DV87" s="928"/>
      <c r="DW87" s="928"/>
      <c r="DX87" s="928"/>
      <c r="DY87" s="1338"/>
      <c r="DZ87" s="928"/>
      <c r="EA87" s="928"/>
      <c r="EB87" s="928"/>
      <c r="EC87" s="1337"/>
      <c r="ED87" s="1338"/>
      <c r="EE87" s="928"/>
      <c r="EF87" s="928"/>
      <c r="EG87" s="928"/>
      <c r="EH87" s="1337"/>
      <c r="EI87" s="928"/>
      <c r="EJ87" s="928"/>
      <c r="EK87" s="928"/>
      <c r="EL87" s="928"/>
      <c r="EM87" s="1337"/>
      <c r="EN87" s="928"/>
      <c r="EO87" s="928"/>
      <c r="EP87" s="928"/>
      <c r="EQ87" s="928"/>
      <c r="ER87" s="928"/>
      <c r="ES87" s="928"/>
      <c r="ET87" s="928"/>
      <c r="EU87" s="928"/>
      <c r="EV87" s="928"/>
      <c r="EW87" s="928"/>
      <c r="EX87" s="928"/>
      <c r="EY87" s="928"/>
      <c r="EZ87" s="928"/>
      <c r="FA87" s="928"/>
      <c r="FB87" s="928"/>
      <c r="FC87" s="928"/>
      <c r="FD87" s="928"/>
      <c r="FE87" s="928"/>
      <c r="FF87" s="1363"/>
      <c r="FG87" s="928"/>
      <c r="FH87" s="1351"/>
      <c r="FI87" s="1319"/>
      <c r="FJ87" s="1612"/>
      <c r="FK87" s="1605"/>
      <c r="FL87" s="928"/>
      <c r="FM87" s="928"/>
      <c r="FN87" s="928"/>
      <c r="FO87" s="928"/>
      <c r="FP87" s="928"/>
      <c r="FQ87" s="928"/>
    </row>
    <row r="88" spans="1:173">
      <c r="A88" s="1438" t="s">
        <v>1726</v>
      </c>
      <c r="B88" s="928"/>
      <c r="C88" s="928"/>
      <c r="D88" s="928"/>
      <c r="E88" s="928"/>
      <c r="F88" s="928"/>
      <c r="G88" s="928"/>
      <c r="H88" s="928"/>
      <c r="I88" s="928"/>
      <c r="J88" s="928"/>
      <c r="K88" s="928"/>
      <c r="L88" s="928"/>
      <c r="M88" s="928"/>
      <c r="N88" s="1254"/>
      <c r="O88" s="928"/>
      <c r="P88" s="928"/>
      <c r="Q88" s="928"/>
      <c r="R88" s="928"/>
      <c r="S88" s="928"/>
      <c r="T88" s="928"/>
      <c r="U88" s="928"/>
      <c r="V88" s="928">
        <f>V84-V85-V86-V87</f>
        <v>1.9000000000000128</v>
      </c>
      <c r="W88" s="928">
        <f>W84-W85-W86-W87</f>
        <v>17.399999999999999</v>
      </c>
      <c r="X88" s="928">
        <v>16.5</v>
      </c>
      <c r="Y88" s="928">
        <f>58.5-V88-W88-X88</f>
        <v>22.699999999999989</v>
      </c>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355"/>
      <c r="BF88" s="1254"/>
      <c r="BG88" s="1254"/>
      <c r="BH88" s="1254"/>
      <c r="BI88" s="1389"/>
      <c r="BJ88" s="1355"/>
      <c r="BK88" s="1254"/>
      <c r="BL88" s="1254"/>
      <c r="BM88" s="1254"/>
      <c r="BN88" s="1389"/>
      <c r="BO88" s="1355"/>
      <c r="BP88" s="1254"/>
      <c r="BQ88" s="1254"/>
      <c r="BR88" s="1254"/>
      <c r="BS88" s="1389"/>
      <c r="BT88" s="1355"/>
      <c r="BU88" s="1254"/>
      <c r="BV88" s="1254"/>
      <c r="BW88" s="1254"/>
      <c r="BX88" s="1389"/>
      <c r="BY88" s="1254"/>
      <c r="BZ88" s="928"/>
      <c r="CA88" s="928"/>
      <c r="CB88" s="928"/>
      <c r="CC88" s="928"/>
      <c r="CD88" s="928"/>
      <c r="CE88" s="928"/>
      <c r="CF88" s="928"/>
      <c r="CG88" s="928"/>
      <c r="CH88" s="928"/>
      <c r="CI88" s="928"/>
      <c r="CJ88" s="928"/>
      <c r="CK88" s="928"/>
      <c r="CL88" s="928"/>
      <c r="CM88" s="928"/>
      <c r="CN88" s="928"/>
      <c r="CO88" s="928"/>
      <c r="CP88" s="928"/>
      <c r="CQ88" s="928"/>
      <c r="CR88" s="928"/>
      <c r="CS88" s="928"/>
      <c r="CT88" s="928"/>
      <c r="CU88" s="928"/>
      <c r="CV88" s="928"/>
      <c r="CW88" s="928"/>
      <c r="CX88" s="928"/>
      <c r="CY88" s="928"/>
      <c r="CZ88" s="928"/>
      <c r="DA88" s="928"/>
      <c r="DB88" s="928"/>
      <c r="DC88" s="928"/>
      <c r="DD88" s="928"/>
      <c r="DE88" s="928"/>
      <c r="DF88" s="928"/>
      <c r="DG88" s="928"/>
      <c r="DH88" s="928"/>
      <c r="DI88" s="928"/>
      <c r="DJ88" s="928"/>
      <c r="DK88" s="928"/>
      <c r="DL88" s="928"/>
      <c r="DM88" s="928"/>
      <c r="DN88" s="928"/>
      <c r="DO88" s="928"/>
      <c r="DP88" s="928"/>
      <c r="DQ88" s="928"/>
      <c r="DR88" s="928"/>
      <c r="DS88" s="928"/>
      <c r="DT88" s="928"/>
      <c r="DU88" s="928"/>
      <c r="DV88" s="928"/>
      <c r="DW88" s="928"/>
      <c r="DX88" s="928"/>
      <c r="DY88" s="1338"/>
      <c r="DZ88" s="928"/>
      <c r="EA88" s="928"/>
      <c r="EB88" s="928"/>
      <c r="EC88" s="1337"/>
      <c r="ED88" s="1338"/>
      <c r="EE88" s="928"/>
      <c r="EF88" s="928"/>
      <c r="EG88" s="928"/>
      <c r="EH88" s="1337"/>
      <c r="EI88" s="928"/>
      <c r="EJ88" s="928"/>
      <c r="EK88" s="928"/>
      <c r="EL88" s="928"/>
      <c r="EM88" s="1337"/>
      <c r="EN88" s="928"/>
      <c r="EO88" s="928"/>
      <c r="EP88" s="928"/>
      <c r="EQ88" s="928"/>
      <c r="ER88" s="928"/>
      <c r="ES88" s="928"/>
      <c r="ET88" s="928"/>
      <c r="EU88" s="928"/>
      <c r="EV88" s="928"/>
      <c r="EW88" s="928"/>
      <c r="EX88" s="928"/>
      <c r="EY88" s="928"/>
      <c r="EZ88" s="928"/>
      <c r="FA88" s="928"/>
      <c r="FB88" s="928"/>
      <c r="FC88" s="928"/>
      <c r="FD88" s="928"/>
      <c r="FE88" s="928"/>
      <c r="FF88" s="1363"/>
      <c r="FG88" s="928"/>
      <c r="FH88" s="1351"/>
      <c r="FI88" s="1319"/>
      <c r="FJ88" s="1612"/>
      <c r="FK88" s="1605"/>
      <c r="FL88" s="928"/>
      <c r="FM88" s="928"/>
      <c r="FN88" s="928"/>
      <c r="FO88" s="928"/>
      <c r="FP88" s="928"/>
      <c r="FQ88" s="928"/>
    </row>
    <row r="89" spans="1:173">
      <c r="A89" s="1438" t="s">
        <v>1824</v>
      </c>
      <c r="B89" s="928"/>
      <c r="C89" s="928"/>
      <c r="D89" s="928"/>
      <c r="E89" s="928"/>
      <c r="F89" s="928"/>
      <c r="G89" s="928"/>
      <c r="H89" s="928"/>
      <c r="I89" s="928"/>
      <c r="J89" s="928"/>
      <c r="K89" s="928"/>
      <c r="L89" s="928"/>
      <c r="M89" s="928"/>
      <c r="N89" s="1254"/>
      <c r="O89" s="928"/>
      <c r="P89" s="928"/>
      <c r="Q89" s="928"/>
      <c r="R89" s="928"/>
      <c r="S89" s="928"/>
      <c r="T89" s="928"/>
      <c r="U89" s="928"/>
      <c r="V89" s="928"/>
      <c r="W89" s="928"/>
      <c r="X89" s="928">
        <v>4.4000000000000004</v>
      </c>
      <c r="Y89" s="928">
        <f>23.2-V89-W89-X89</f>
        <v>18.799999999999997</v>
      </c>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355"/>
      <c r="BF89" s="1254"/>
      <c r="BG89" s="1254"/>
      <c r="BH89" s="1254"/>
      <c r="BI89" s="1389"/>
      <c r="BJ89" s="1355"/>
      <c r="BK89" s="1254"/>
      <c r="BL89" s="1254"/>
      <c r="BM89" s="1254"/>
      <c r="BN89" s="1389"/>
      <c r="BO89" s="1355"/>
      <c r="BP89" s="1254"/>
      <c r="BQ89" s="1254"/>
      <c r="BR89" s="1254"/>
      <c r="BS89" s="1389"/>
      <c r="BT89" s="1355"/>
      <c r="BU89" s="1254"/>
      <c r="BV89" s="1254"/>
      <c r="BW89" s="1254"/>
      <c r="BX89" s="1389"/>
      <c r="BY89" s="1254"/>
      <c r="BZ89" s="928"/>
      <c r="CA89" s="928"/>
      <c r="CB89" s="928"/>
      <c r="CC89" s="928"/>
      <c r="CD89" s="928"/>
      <c r="CE89" s="928"/>
      <c r="CF89" s="928"/>
      <c r="CG89" s="928"/>
      <c r="CH89" s="928"/>
      <c r="CI89" s="928"/>
      <c r="CJ89" s="928"/>
      <c r="CK89" s="928"/>
      <c r="CL89" s="928"/>
      <c r="CM89" s="928"/>
      <c r="CN89" s="928"/>
      <c r="CO89" s="928"/>
      <c r="CP89" s="928">
        <v>19</v>
      </c>
      <c r="CQ89" s="928">
        <f>BZ89*CP89</f>
        <v>0</v>
      </c>
      <c r="CR89" s="928">
        <f>CQ89/4</f>
        <v>0</v>
      </c>
      <c r="CS89" s="1316">
        <f>CR89/AC7</f>
        <v>0</v>
      </c>
      <c r="CT89" s="928"/>
      <c r="CU89" s="928"/>
      <c r="CV89" s="928"/>
      <c r="CW89" s="928"/>
      <c r="CX89" s="928"/>
      <c r="CY89" s="928"/>
      <c r="CZ89" s="928"/>
      <c r="DA89" s="928"/>
      <c r="DB89" s="928"/>
      <c r="DC89" s="928"/>
      <c r="DD89" s="928"/>
      <c r="DE89" s="928"/>
      <c r="DF89" s="928"/>
      <c r="DG89" s="928"/>
      <c r="DH89" s="928"/>
      <c r="DI89" s="928"/>
      <c r="DJ89" s="928"/>
      <c r="DK89" s="928"/>
      <c r="DL89" s="928"/>
      <c r="DM89" s="928"/>
      <c r="DN89" s="928"/>
      <c r="DO89" s="928"/>
      <c r="DP89" s="928"/>
      <c r="DQ89" s="928"/>
      <c r="DR89" s="928"/>
      <c r="DS89" s="928"/>
      <c r="DT89" s="928"/>
      <c r="DU89" s="928"/>
      <c r="DV89" s="928"/>
      <c r="DW89" s="928"/>
      <c r="DX89" s="928"/>
      <c r="DY89" s="1338"/>
      <c r="DZ89" s="928"/>
      <c r="EA89" s="928"/>
      <c r="EB89" s="928"/>
      <c r="EC89" s="1337"/>
      <c r="ED89" s="1338"/>
      <c r="EE89" s="928"/>
      <c r="EF89" s="928"/>
      <c r="EG89" s="928"/>
      <c r="EH89" s="1337"/>
      <c r="EI89" s="928"/>
      <c r="EJ89" s="928"/>
      <c r="EK89" s="928"/>
      <c r="EL89" s="928"/>
      <c r="EM89" s="1337"/>
      <c r="EN89" s="928"/>
      <c r="EO89" s="928"/>
      <c r="EP89" s="928"/>
      <c r="EQ89" s="928"/>
      <c r="ER89" s="928"/>
      <c r="ES89" s="928"/>
      <c r="ET89" s="928"/>
      <c r="EU89" s="928"/>
      <c r="EV89" s="928"/>
      <c r="EW89" s="928"/>
      <c r="EX89" s="928"/>
      <c r="EY89" s="928"/>
      <c r="EZ89" s="928"/>
      <c r="FA89" s="928"/>
      <c r="FB89" s="928"/>
      <c r="FC89" s="928"/>
      <c r="FD89" s="928"/>
      <c r="FE89" s="928"/>
      <c r="FF89" s="1363"/>
      <c r="FG89" s="928"/>
      <c r="FH89" s="1351"/>
      <c r="FI89" s="1319"/>
      <c r="FJ89" s="1612"/>
      <c r="FK89" s="1605"/>
      <c r="FL89" s="928"/>
      <c r="FM89" s="928"/>
      <c r="FN89" s="928"/>
      <c r="FO89" s="928"/>
      <c r="FP89" s="928"/>
      <c r="FQ89" s="928"/>
    </row>
    <row r="90" spans="1:173">
      <c r="A90" s="1438" t="s">
        <v>1626</v>
      </c>
      <c r="B90" s="928"/>
      <c r="C90" s="928"/>
      <c r="D90" s="928"/>
      <c r="E90" s="928"/>
      <c r="F90" s="928"/>
      <c r="G90" s="928"/>
      <c r="H90" s="928"/>
      <c r="I90" s="928"/>
      <c r="J90" s="928"/>
      <c r="K90" s="928"/>
      <c r="L90" s="928"/>
      <c r="M90" s="928"/>
      <c r="N90" s="1254"/>
      <c r="O90" s="928"/>
      <c r="P90" s="928"/>
      <c r="Q90" s="928"/>
      <c r="R90" s="928"/>
      <c r="S90" s="928"/>
      <c r="T90" s="928"/>
      <c r="U90" s="928"/>
      <c r="V90" s="928">
        <v>73.400000000000006</v>
      </c>
      <c r="W90" s="928">
        <v>89.6</v>
      </c>
      <c r="X90" s="928">
        <v>102.4</v>
      </c>
      <c r="Y90" s="928">
        <f>388.8-V90-W90-X90</f>
        <v>123.39999999999998</v>
      </c>
      <c r="Z90" s="928">
        <f>Master!M96</f>
        <v>388.8</v>
      </c>
      <c r="AA90" s="928">
        <v>73.099999999999994</v>
      </c>
      <c r="AB90" s="1435">
        <v>82</v>
      </c>
      <c r="AC90" s="928">
        <v>89.5</v>
      </c>
      <c r="AD90" s="1435">
        <f>361.6-AA90-AB90-AC90</f>
        <v>117</v>
      </c>
      <c r="AE90" s="1254"/>
      <c r="AF90" s="1435">
        <v>87.8</v>
      </c>
      <c r="AG90" s="1435">
        <v>101.2</v>
      </c>
      <c r="AH90" s="1435">
        <v>83.9</v>
      </c>
      <c r="AI90" s="1435">
        <f>346.6-AF90-AG90-AH90</f>
        <v>73.700000000000017</v>
      </c>
      <c r="AJ90" s="1254"/>
      <c r="AK90" s="928">
        <v>53</v>
      </c>
      <c r="AL90" s="928">
        <v>48.6</v>
      </c>
      <c r="AM90" s="928">
        <v>48.9</v>
      </c>
      <c r="AN90" s="928">
        <f>211.4-AK90-AL90-AM90</f>
        <v>60.900000000000013</v>
      </c>
      <c r="AO90" s="1254"/>
      <c r="AP90" s="928">
        <v>40</v>
      </c>
      <c r="AQ90" s="928">
        <v>56</v>
      </c>
      <c r="AR90" s="928">
        <v>45.3</v>
      </c>
      <c r="AS90" s="928">
        <f>209.6-AP90-AQ90-AR90</f>
        <v>68.3</v>
      </c>
      <c r="AT90" s="1435">
        <f>Master!Q96</f>
        <v>209.6</v>
      </c>
      <c r="AU90" s="1435">
        <v>47.1</v>
      </c>
      <c r="AV90" s="1435">
        <v>38</v>
      </c>
      <c r="AW90" s="1435">
        <v>50.5</v>
      </c>
      <c r="AX90" s="1435">
        <f>209.1-AU90-AV90-AW90</f>
        <v>73.5</v>
      </c>
      <c r="AY90" s="1435"/>
      <c r="AZ90" s="1435">
        <v>61.8</v>
      </c>
      <c r="BA90" s="1435">
        <v>53.8</v>
      </c>
      <c r="BB90" s="1435">
        <v>64.900000000000006</v>
      </c>
      <c r="BC90" s="1435">
        <f>BD90-AZ90-BA90-BB90</f>
        <v>69.69999999999996</v>
      </c>
      <c r="BD90" s="1435">
        <f>Master!S96</f>
        <v>250.2</v>
      </c>
      <c r="BE90" s="1505">
        <v>73.599999999999994</v>
      </c>
      <c r="BF90" s="1435">
        <v>54.9</v>
      </c>
      <c r="BG90" s="1435">
        <v>63.3</v>
      </c>
      <c r="BH90" s="1435">
        <f>244.1-BG90-BF90-BE90</f>
        <v>52.300000000000011</v>
      </c>
      <c r="BI90" s="1506">
        <f>Master!T96</f>
        <v>244.1</v>
      </c>
      <c r="BJ90" s="1522">
        <v>55.1</v>
      </c>
      <c r="BK90" s="1440">
        <v>54.9</v>
      </c>
      <c r="BL90" s="1440">
        <v>41.6</v>
      </c>
      <c r="BM90" s="1440">
        <f>193.1-BJ90-BK90-BL90</f>
        <v>41.499999999999993</v>
      </c>
      <c r="BN90" s="1506">
        <f>Master!U96</f>
        <v>193.1</v>
      </c>
      <c r="BO90" s="1522">
        <v>42.9</v>
      </c>
      <c r="BP90" s="1440">
        <v>40.6</v>
      </c>
      <c r="BQ90" s="1440">
        <v>28.4</v>
      </c>
      <c r="BR90" s="1440">
        <f>149.2-BO90-BP90-BQ90</f>
        <v>37.29999999999999</v>
      </c>
      <c r="BS90" s="1506">
        <f>Master!V96</f>
        <v>149.19999999999999</v>
      </c>
      <c r="BT90" s="1522">
        <v>24</v>
      </c>
      <c r="BU90" s="1536">
        <v>40</v>
      </c>
      <c r="BV90" s="1536">
        <v>30</v>
      </c>
      <c r="BW90" s="1580">
        <f>BX90-BT90-BU90-BV90</f>
        <v>38.185079833678572</v>
      </c>
      <c r="BX90" s="1506">
        <f>Master!W96</f>
        <v>132.18507983367857</v>
      </c>
      <c r="BY90" s="1435"/>
      <c r="BZ90" s="1413"/>
      <c r="CA90" s="928"/>
      <c r="CB90" s="928"/>
      <c r="CC90" s="928"/>
      <c r="CD90" s="928"/>
      <c r="CE90" s="928"/>
      <c r="CF90" s="928"/>
      <c r="CG90" s="928"/>
      <c r="CH90" s="928"/>
      <c r="CI90" s="928"/>
      <c r="CJ90" s="928"/>
      <c r="CK90" s="928"/>
      <c r="CL90" s="928"/>
      <c r="CM90" s="928"/>
      <c r="CN90" s="928"/>
      <c r="CO90" s="928"/>
      <c r="CP90" s="928">
        <f>CP89</f>
        <v>19</v>
      </c>
      <c r="CQ90" s="928">
        <v>800</v>
      </c>
      <c r="CR90" s="1413">
        <f>CQ90/12</f>
        <v>66.666666666666671</v>
      </c>
      <c r="CS90" s="1316">
        <f>CR90/AC7</f>
        <v>7.7285725326532197E-3</v>
      </c>
      <c r="CT90" s="928"/>
      <c r="CU90" s="928"/>
      <c r="CV90" s="928"/>
      <c r="CW90" s="928"/>
      <c r="CX90" s="928"/>
      <c r="CY90" s="928"/>
      <c r="CZ90" s="928"/>
      <c r="DA90" s="928"/>
      <c r="DB90" s="928"/>
      <c r="DC90" s="928"/>
      <c r="DD90" s="928"/>
      <c r="DE90" s="928"/>
      <c r="DF90" s="928"/>
      <c r="DG90" s="928"/>
      <c r="DH90" s="928"/>
      <c r="DI90" s="928"/>
      <c r="DJ90" s="928"/>
      <c r="DK90" s="928"/>
      <c r="DL90" s="928"/>
      <c r="DM90" s="928"/>
      <c r="DN90" s="928"/>
      <c r="DO90" s="928"/>
      <c r="DP90" s="928"/>
      <c r="DQ90" s="928"/>
      <c r="DR90" s="928"/>
      <c r="DS90" s="928"/>
      <c r="DT90" s="928"/>
      <c r="DU90" s="928"/>
      <c r="DV90" s="928"/>
      <c r="DW90" s="928"/>
      <c r="DX90" s="928"/>
      <c r="DY90" s="1338"/>
      <c r="DZ90" s="928"/>
      <c r="EA90" s="928"/>
      <c r="EB90" s="928"/>
      <c r="EC90" s="1337"/>
      <c r="ED90" s="1338"/>
      <c r="EE90" s="928"/>
      <c r="EF90" s="928"/>
      <c r="EG90" s="928"/>
      <c r="EH90" s="1337"/>
      <c r="EI90" s="928"/>
      <c r="EJ90" s="928"/>
      <c r="EK90" s="928"/>
      <c r="EL90" s="928"/>
      <c r="EM90" s="1337"/>
      <c r="EN90" s="928"/>
      <c r="EO90" s="928"/>
      <c r="EP90" s="928"/>
      <c r="EQ90" s="928" t="s">
        <v>6294</v>
      </c>
      <c r="ER90" s="1254">
        <f>DO13</f>
        <v>2.3420933050590786E-2</v>
      </c>
      <c r="ES90" s="1254">
        <f>DP13</f>
        <v>3.1151249976627104E-2</v>
      </c>
      <c r="ET90" s="1254">
        <f>DQ13</f>
        <v>4.8629713579229294E-2</v>
      </c>
      <c r="EU90" s="1254">
        <f>DR13</f>
        <v>4.4189548437471027E-2</v>
      </c>
      <c r="EV90" s="1254">
        <f>DT13</f>
        <v>4.0608291861691237E-2</v>
      </c>
      <c r="EW90" s="1254">
        <f>DU13</f>
        <v>1.0045877382269364E-2</v>
      </c>
      <c r="EX90" s="1254">
        <f>DV13</f>
        <v>-2.4741420889976551E-2</v>
      </c>
      <c r="EY90" s="1254">
        <f>DW13</f>
        <v>-4.3530123913972485E-2</v>
      </c>
      <c r="EZ90" s="928"/>
      <c r="FA90" s="928"/>
      <c r="FB90" s="928"/>
      <c r="FC90" s="928"/>
      <c r="FD90" s="928"/>
      <c r="FE90" s="928"/>
      <c r="FF90" s="1436">
        <v>44</v>
      </c>
      <c r="FG90" s="928"/>
      <c r="FH90" s="1437">
        <v>55.888918721507402</v>
      </c>
      <c r="FI90" s="1319"/>
      <c r="FJ90" s="1623">
        <v>42.9</v>
      </c>
      <c r="FK90" s="1605"/>
      <c r="FL90" s="928"/>
      <c r="FM90" s="928"/>
      <c r="FN90" s="928"/>
      <c r="FO90" s="928"/>
      <c r="FP90" s="928"/>
      <c r="FQ90" s="928"/>
    </row>
    <row r="91" spans="1:173">
      <c r="A91" s="1438" t="s">
        <v>7489</v>
      </c>
      <c r="B91" s="928"/>
      <c r="C91" s="928"/>
      <c r="D91" s="928"/>
      <c r="E91" s="928"/>
      <c r="F91" s="928"/>
      <c r="G91" s="928"/>
      <c r="H91" s="928"/>
      <c r="I91" s="928"/>
      <c r="J91" s="928"/>
      <c r="K91" s="928"/>
      <c r="L91" s="928"/>
      <c r="M91" s="928"/>
      <c r="N91" s="928"/>
      <c r="O91" s="928"/>
      <c r="P91" s="928"/>
      <c r="Q91" s="928"/>
      <c r="R91" s="928"/>
      <c r="S91" s="928"/>
      <c r="T91" s="928"/>
      <c r="U91" s="928"/>
      <c r="V91" s="928">
        <f>V83-V84-V90</f>
        <v>23.299999999999983</v>
      </c>
      <c r="W91" s="928">
        <f>W83-W84-W90</f>
        <v>35.900000000000006</v>
      </c>
      <c r="X91" s="928">
        <v>46.8</v>
      </c>
      <c r="Y91" s="928">
        <f>181.4-V91-W91-X91</f>
        <v>75.40000000000002</v>
      </c>
      <c r="Z91" s="928">
        <f>Master!M95</f>
        <v>181.39999999999998</v>
      </c>
      <c r="AA91" s="928">
        <v>15.3</v>
      </c>
      <c r="AB91" s="928">
        <v>30.1</v>
      </c>
      <c r="AC91" s="928">
        <v>53.3</v>
      </c>
      <c r="AD91" s="928">
        <f>166.6-AA91-AB91-AC91</f>
        <v>67.899999999999991</v>
      </c>
      <c r="AE91" s="1254"/>
      <c r="AF91" s="928">
        <v>33.9</v>
      </c>
      <c r="AG91" s="928">
        <v>26.3</v>
      </c>
      <c r="AH91" s="928">
        <v>50.9</v>
      </c>
      <c r="AI91" s="928">
        <f>150-AF91-AG91-AH91</f>
        <v>38.9</v>
      </c>
      <c r="AJ91" s="1254"/>
      <c r="AK91" s="928">
        <v>13.9</v>
      </c>
      <c r="AL91" s="928">
        <v>13.9</v>
      </c>
      <c r="AM91" s="928">
        <v>30</v>
      </c>
      <c r="AN91" s="928">
        <f>113.6-AK91-AL91-AM91</f>
        <v>55.799999999999983</v>
      </c>
      <c r="AO91" s="1254"/>
      <c r="AP91" s="928">
        <v>12.6</v>
      </c>
      <c r="AQ91" s="928">
        <v>25.8</v>
      </c>
      <c r="AR91" s="928">
        <v>36.700000000000003</v>
      </c>
      <c r="AS91" s="928">
        <f>94.8-AP91-AQ91-AR91</f>
        <v>19.700000000000003</v>
      </c>
      <c r="AT91" s="1435">
        <f>Master!Q95</f>
        <v>94.8</v>
      </c>
      <c r="AU91" s="1435">
        <v>6.1</v>
      </c>
      <c r="AV91" s="1435">
        <v>14.3</v>
      </c>
      <c r="AW91" s="1435">
        <v>22.3</v>
      </c>
      <c r="AX91" s="1435">
        <f>107.8-AU91-AV91-AW91</f>
        <v>65.100000000000009</v>
      </c>
      <c r="AY91" s="1435"/>
      <c r="AZ91" s="1435">
        <v>4.7</v>
      </c>
      <c r="BA91" s="1435">
        <v>6.7</v>
      </c>
      <c r="BB91" s="1435">
        <v>13.8</v>
      </c>
      <c r="BC91" s="1435">
        <f>BD91-AZ91-BA91-BB91</f>
        <v>1.5</v>
      </c>
      <c r="BD91" s="1435">
        <f>Master!S95</f>
        <v>26.7</v>
      </c>
      <c r="BE91" s="1505">
        <v>1.7</v>
      </c>
      <c r="BF91" s="1435">
        <v>19.2</v>
      </c>
      <c r="BG91" s="1435">
        <v>25.3</v>
      </c>
      <c r="BH91" s="1435">
        <f>50.5-BG91-BF91-BE91</f>
        <v>4.3</v>
      </c>
      <c r="BI91" s="1506">
        <f>Master!T95</f>
        <v>50.5</v>
      </c>
      <c r="BJ91" s="1522">
        <f>1.8+3.4</f>
        <v>5.2</v>
      </c>
      <c r="BK91" s="1440">
        <v>0.1</v>
      </c>
      <c r="BL91" s="1440">
        <v>3.3</v>
      </c>
      <c r="BM91" s="1440">
        <f>17.4-BJ91-BK91-BL91</f>
        <v>8.8000000000000007</v>
      </c>
      <c r="BN91" s="1506">
        <f>Master!U95</f>
        <v>17</v>
      </c>
      <c r="BO91" s="1522">
        <v>0.7</v>
      </c>
      <c r="BP91" s="1440">
        <v>11.3</v>
      </c>
      <c r="BQ91" s="1440">
        <v>17.2</v>
      </c>
      <c r="BR91" s="1440">
        <f>46.3-BO91-BP91-BQ91</f>
        <v>17.099999999999998</v>
      </c>
      <c r="BS91" s="1506">
        <f>Master!V95</f>
        <v>46.3</v>
      </c>
      <c r="BT91" s="1522">
        <v>0.1</v>
      </c>
      <c r="BU91" s="1536">
        <v>0</v>
      </c>
      <c r="BV91" s="1536">
        <v>0</v>
      </c>
      <c r="BW91" s="1580">
        <f>BX91-BT91-BU91-BV91</f>
        <v>0</v>
      </c>
      <c r="BX91" s="1506">
        <f>Master!W95</f>
        <v>0.1</v>
      </c>
      <c r="BY91" s="1435"/>
      <c r="CA91" s="928"/>
      <c r="CB91" s="928"/>
      <c r="CC91" s="928"/>
      <c r="CD91" s="928"/>
      <c r="CE91" s="928"/>
      <c r="CF91" s="928"/>
      <c r="CG91" s="928"/>
      <c r="CH91" s="928"/>
      <c r="CI91" s="928"/>
      <c r="CJ91" s="928"/>
      <c r="CK91" s="928"/>
      <c r="CL91" s="928"/>
      <c r="CM91" s="928"/>
      <c r="CN91" s="928"/>
      <c r="CO91" s="928"/>
      <c r="CP91" s="928"/>
      <c r="CQ91" s="928"/>
      <c r="CR91" s="928"/>
      <c r="CS91" s="928"/>
      <c r="CT91" s="928"/>
      <c r="CU91" s="928"/>
      <c r="CV91" s="928"/>
      <c r="CW91" s="928"/>
      <c r="CX91" s="928"/>
      <c r="CY91" s="928"/>
      <c r="CZ91" s="928"/>
      <c r="DA91" s="928"/>
      <c r="DB91" s="928"/>
      <c r="DC91" s="928"/>
      <c r="DD91" s="928"/>
      <c r="DE91" s="928"/>
      <c r="DF91" s="928"/>
      <c r="DG91" s="928"/>
      <c r="DH91" s="928"/>
      <c r="DI91" s="928"/>
      <c r="DJ91" s="928"/>
      <c r="DK91" s="928"/>
      <c r="DL91" s="928"/>
      <c r="DM91" s="928"/>
      <c r="DN91" s="928"/>
      <c r="DO91" s="928"/>
      <c r="DP91" s="928"/>
      <c r="DQ91" s="928"/>
      <c r="DR91" s="928"/>
      <c r="DS91" s="928"/>
      <c r="DT91" s="928"/>
      <c r="DU91" s="928"/>
      <c r="DV91" s="928"/>
      <c r="DW91" s="928"/>
      <c r="DX91" s="928"/>
      <c r="DY91" s="1338"/>
      <c r="DZ91" s="928"/>
      <c r="EA91" s="928"/>
      <c r="EB91" s="928"/>
      <c r="EC91" s="1337"/>
      <c r="ED91" s="1338"/>
      <c r="EE91" s="928"/>
      <c r="EF91" s="928"/>
      <c r="EG91" s="928"/>
      <c r="EH91" s="1337"/>
      <c r="EI91" s="928"/>
      <c r="EJ91" s="928"/>
      <c r="EK91" s="928"/>
      <c r="EL91" s="928"/>
      <c r="EM91" s="1337"/>
      <c r="EN91" s="928"/>
      <c r="EO91" s="928"/>
      <c r="EP91" s="928"/>
      <c r="EQ91" s="928" t="s">
        <v>6295</v>
      </c>
      <c r="ER91" s="1254">
        <f>DO25</f>
        <v>-3.1600849625037952E-2</v>
      </c>
      <c r="ES91" s="1254">
        <f>DP25</f>
        <v>6.8528799444831368E-3</v>
      </c>
      <c r="ET91" s="1254">
        <f>DQ25</f>
        <v>1.5333972248843697E-2</v>
      </c>
      <c r="EU91" s="1254">
        <f>DR25</f>
        <v>1.6501493669685452E-2</v>
      </c>
      <c r="EV91" s="1254">
        <f>DT25</f>
        <v>-3.558639212175474E-2</v>
      </c>
      <c r="EW91" s="1254">
        <f>DU25</f>
        <v>-3.3901955716378218E-2</v>
      </c>
      <c r="EX91" s="1254">
        <f>DV25</f>
        <v>-7.1818442976156249E-2</v>
      </c>
      <c r="EY91" s="1254">
        <f>DW25</f>
        <v>-0.13915193357279454</v>
      </c>
      <c r="EZ91" s="928"/>
      <c r="FA91" s="928"/>
      <c r="FB91" s="928"/>
      <c r="FC91" s="928"/>
      <c r="FD91" s="928"/>
      <c r="FE91" s="928"/>
      <c r="FF91" s="1436">
        <v>15</v>
      </c>
      <c r="FG91" s="928"/>
      <c r="FH91" s="1437">
        <v>10.799999999999997</v>
      </c>
      <c r="FI91" s="1319"/>
      <c r="FJ91" s="1623">
        <v>2</v>
      </c>
      <c r="FK91" s="1605"/>
      <c r="FL91" s="928"/>
      <c r="FM91" s="928"/>
      <c r="FN91" s="928"/>
      <c r="FO91" s="928"/>
      <c r="FP91" s="928"/>
      <c r="FQ91" s="928"/>
    </row>
    <row r="92" spans="1:173">
      <c r="A92" s="928"/>
      <c r="B92" s="928"/>
      <c r="C92" s="928"/>
      <c r="D92" s="928"/>
      <c r="E92" s="928"/>
      <c r="F92" s="928"/>
      <c r="G92" s="928"/>
      <c r="H92" s="928"/>
      <c r="I92" s="928"/>
      <c r="J92" s="928"/>
      <c r="K92" s="928"/>
      <c r="L92" s="928"/>
      <c r="M92" s="928"/>
      <c r="N92" s="928"/>
      <c r="O92" s="928"/>
      <c r="P92" s="928"/>
      <c r="Q92" s="928"/>
      <c r="R92" s="928"/>
      <c r="S92" s="928"/>
      <c r="T92" s="928"/>
      <c r="U92" s="928"/>
      <c r="V92" s="928"/>
      <c r="W92" s="928"/>
      <c r="X92" s="928"/>
      <c r="Y92" s="928"/>
      <c r="Z92" s="928"/>
      <c r="AA92" s="928"/>
      <c r="AB92" s="928"/>
      <c r="AC92" s="928"/>
      <c r="AD92" s="928"/>
      <c r="AE92" s="928"/>
      <c r="AF92" s="928"/>
      <c r="AG92" s="928"/>
      <c r="AH92" s="928"/>
      <c r="AI92" s="928"/>
      <c r="AJ92" s="928"/>
      <c r="AK92" s="928"/>
      <c r="AL92" s="928"/>
      <c r="AM92" s="928"/>
      <c r="AN92" s="928"/>
      <c r="AO92" s="928"/>
      <c r="AP92" s="928"/>
      <c r="AQ92" s="928"/>
      <c r="AR92" s="928"/>
      <c r="AS92" s="928"/>
      <c r="AT92" s="928"/>
      <c r="AU92" s="928"/>
      <c r="AV92" s="928"/>
      <c r="AW92" s="928"/>
      <c r="AX92" s="928"/>
      <c r="AY92" s="928"/>
      <c r="AZ92" s="928"/>
      <c r="BA92" s="928"/>
      <c r="BB92" s="928"/>
      <c r="BC92" s="928"/>
      <c r="BD92" s="928"/>
      <c r="BE92" s="1338"/>
      <c r="BF92" s="928"/>
      <c r="BG92" s="928"/>
      <c r="BH92" s="928"/>
      <c r="BI92" s="1337"/>
      <c r="BJ92" s="1338"/>
      <c r="BK92" s="928"/>
      <c r="BL92" s="928"/>
      <c r="BM92" s="928"/>
      <c r="BN92" s="1337"/>
      <c r="BO92" s="1338"/>
      <c r="BP92" s="928"/>
      <c r="BQ92" s="928"/>
      <c r="BR92" s="928"/>
      <c r="BS92" s="1337"/>
      <c r="BT92" s="1338"/>
      <c r="BU92" s="928"/>
      <c r="BV92" s="928"/>
      <c r="BW92" s="928"/>
      <c r="BX92" s="1337"/>
      <c r="BY92" s="928"/>
      <c r="CA92" s="928"/>
      <c r="CB92" s="928"/>
      <c r="CC92" s="928"/>
      <c r="CD92" s="928"/>
      <c r="CE92" s="928"/>
      <c r="CF92" s="928"/>
      <c r="CG92" s="928"/>
      <c r="CH92" s="928"/>
      <c r="CI92" s="928"/>
      <c r="CJ92" s="928"/>
      <c r="CK92" s="928"/>
      <c r="CL92" s="928"/>
      <c r="CM92" s="928"/>
      <c r="CN92" s="928"/>
      <c r="CO92" s="928"/>
      <c r="CP92" s="928"/>
      <c r="CQ92" s="928"/>
      <c r="CR92" s="928"/>
      <c r="CS92" s="928"/>
      <c r="CT92" s="928"/>
      <c r="CU92" s="928"/>
      <c r="CV92" s="928"/>
      <c r="CW92" s="928"/>
      <c r="CX92" s="928"/>
      <c r="CY92" s="928"/>
      <c r="CZ92" s="928"/>
      <c r="DA92" s="928"/>
      <c r="DB92" s="928"/>
      <c r="DC92" s="928"/>
      <c r="DD92" s="928"/>
      <c r="DE92" s="928"/>
      <c r="DF92" s="928"/>
      <c r="DG92" s="928"/>
      <c r="DH92" s="928"/>
      <c r="DI92" s="928"/>
      <c r="DJ92" s="928"/>
      <c r="DK92" s="928"/>
      <c r="DL92" s="928"/>
      <c r="DM92" s="928"/>
      <c r="DN92" s="928"/>
      <c r="DO92" s="928"/>
      <c r="DP92" s="928"/>
      <c r="DQ92" s="928"/>
      <c r="DR92" s="928"/>
      <c r="DS92" s="928"/>
      <c r="DT92" s="928"/>
      <c r="DU92" s="928"/>
      <c r="DV92" s="928"/>
      <c r="DW92" s="928"/>
      <c r="DX92" s="928"/>
      <c r="DY92" s="1338"/>
      <c r="DZ92" s="928"/>
      <c r="EA92" s="928"/>
      <c r="EB92" s="928"/>
      <c r="EC92" s="1337"/>
      <c r="ED92" s="1338"/>
      <c r="EE92" s="928"/>
      <c r="EF92" s="928"/>
      <c r="EG92" s="928"/>
      <c r="EH92" s="1337"/>
      <c r="EI92" s="928"/>
      <c r="EJ92" s="928"/>
      <c r="EK92" s="928"/>
      <c r="EL92" s="928"/>
      <c r="EM92" s="1337"/>
      <c r="EN92" s="928"/>
      <c r="EO92" s="928"/>
      <c r="EP92" s="928"/>
      <c r="EQ92" s="928"/>
      <c r="ER92" s="928"/>
      <c r="ES92" s="928"/>
      <c r="ET92" s="928"/>
      <c r="EU92" s="928"/>
      <c r="EV92" s="928"/>
      <c r="EW92" s="928"/>
      <c r="EX92" s="928"/>
      <c r="EY92" s="928"/>
      <c r="EZ92" s="928"/>
      <c r="FA92" s="928"/>
      <c r="FB92" s="928"/>
      <c r="FC92" s="928"/>
      <c r="FD92" s="928"/>
      <c r="FE92" s="928"/>
      <c r="FF92" s="928"/>
      <c r="FG92" s="928"/>
      <c r="FH92" s="1319"/>
      <c r="FI92" s="1319"/>
      <c r="FJ92" s="1605"/>
      <c r="FK92" s="1605"/>
      <c r="FL92" s="928"/>
      <c r="FM92" s="928"/>
      <c r="FN92" s="928"/>
      <c r="FO92" s="928"/>
      <c r="FP92" s="928"/>
      <c r="FQ92" s="928"/>
    </row>
    <row r="93" spans="1:173">
      <c r="A93" s="1441"/>
      <c r="B93" s="928"/>
      <c r="C93" s="928"/>
      <c r="D93" s="928"/>
      <c r="E93" s="928"/>
      <c r="F93" s="928"/>
      <c r="G93" s="928"/>
      <c r="H93" s="928"/>
      <c r="I93" s="928"/>
      <c r="J93" s="928"/>
      <c r="K93" s="928"/>
      <c r="L93" s="928"/>
      <c r="M93" s="928"/>
      <c r="N93" s="928"/>
      <c r="O93" s="928"/>
      <c r="P93" s="928"/>
      <c r="Q93" s="928"/>
      <c r="R93" s="928"/>
      <c r="S93" s="928"/>
      <c r="T93" s="928"/>
      <c r="U93" s="928"/>
      <c r="V93" s="928"/>
      <c r="W93" s="928"/>
      <c r="X93" s="928"/>
      <c r="Y93" s="928"/>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355"/>
      <c r="BF93" s="1254"/>
      <c r="BG93" s="1254"/>
      <c r="BH93" s="1254"/>
      <c r="BI93" s="1389"/>
      <c r="BJ93" s="1355"/>
      <c r="BK93" s="1254"/>
      <c r="BL93" s="1254"/>
      <c r="BM93" s="1254"/>
      <c r="BN93" s="1389"/>
      <c r="BO93" s="1355"/>
      <c r="BP93" s="1254"/>
      <c r="BQ93" s="1254"/>
      <c r="BR93" s="1254"/>
      <c r="BS93" s="1389"/>
      <c r="BT93" s="1355"/>
      <c r="BU93" s="1254"/>
      <c r="BV93" s="1254"/>
      <c r="BW93" s="1254"/>
      <c r="BX93" s="1389"/>
      <c r="BY93" s="1254"/>
      <c r="CA93" s="928"/>
      <c r="CB93" s="928"/>
      <c r="CC93" s="928"/>
      <c r="CD93" s="928"/>
      <c r="CE93" s="928"/>
      <c r="CF93" s="928"/>
      <c r="CG93" s="928"/>
      <c r="CH93" s="928"/>
      <c r="CI93" s="928"/>
      <c r="CJ93" s="928"/>
      <c r="CK93" s="928"/>
      <c r="CL93" s="928"/>
      <c r="CM93" s="928"/>
      <c r="CN93" s="928"/>
      <c r="CO93" s="928"/>
      <c r="CP93" s="928"/>
      <c r="CQ93" s="928"/>
      <c r="CR93" s="928"/>
      <c r="CS93" s="928"/>
      <c r="CT93" s="928"/>
      <c r="CU93" s="928"/>
      <c r="CV93" s="928"/>
      <c r="CW93" s="928"/>
      <c r="CX93" s="928"/>
      <c r="CY93" s="928"/>
      <c r="CZ93" s="928"/>
      <c r="DA93" s="928"/>
      <c r="DB93" s="928"/>
      <c r="DC93" s="928"/>
      <c r="DD93" s="928"/>
      <c r="DE93" s="928"/>
      <c r="DF93" s="928"/>
      <c r="DG93" s="928"/>
      <c r="DH93" s="928"/>
      <c r="DI93" s="928"/>
      <c r="DJ93" s="928"/>
      <c r="DK93" s="928"/>
      <c r="DL93" s="928"/>
      <c r="DM93" s="928"/>
      <c r="DN93" s="928"/>
      <c r="DO93" s="928"/>
      <c r="DP93" s="928"/>
      <c r="DQ93" s="928"/>
      <c r="DR93" s="928"/>
      <c r="DS93" s="928"/>
      <c r="DT93" s="928"/>
      <c r="DU93" s="928"/>
      <c r="DV93" s="928"/>
      <c r="DW93" s="928"/>
      <c r="DX93" s="928"/>
      <c r="DY93" s="1338"/>
      <c r="DZ93" s="928"/>
      <c r="EA93" s="928"/>
      <c r="EB93" s="928"/>
      <c r="EC93" s="1337"/>
      <c r="ED93" s="1338"/>
      <c r="EE93" s="928"/>
      <c r="EF93" s="928"/>
      <c r="EG93" s="928"/>
      <c r="EH93" s="1337"/>
      <c r="EI93" s="928"/>
      <c r="EJ93" s="928"/>
      <c r="EK93" s="928"/>
      <c r="EL93" s="928"/>
      <c r="EM93" s="1337"/>
      <c r="EN93" s="928"/>
      <c r="EO93" s="928"/>
      <c r="EP93" s="928"/>
      <c r="EQ93" s="928"/>
      <c r="ER93" s="928"/>
      <c r="ES93" s="928"/>
      <c r="ET93" s="928"/>
      <c r="EU93" s="928"/>
      <c r="EV93" s="928"/>
      <c r="EW93" s="928"/>
      <c r="EX93" s="928"/>
      <c r="EY93" s="928"/>
      <c r="EZ93" s="928"/>
      <c r="FA93" s="928"/>
      <c r="FB93" s="928"/>
      <c r="FC93" s="928"/>
      <c r="FD93" s="928"/>
      <c r="FE93" s="928"/>
      <c r="FF93" s="1363"/>
      <c r="FG93" s="928"/>
      <c r="FH93" s="1351"/>
      <c r="FI93" s="1319"/>
      <c r="FJ93" s="1612"/>
      <c r="FK93" s="1605"/>
      <c r="FL93" s="928"/>
      <c r="FM93" s="928"/>
      <c r="FN93" s="928"/>
      <c r="FO93" s="928"/>
      <c r="FP93" s="928"/>
      <c r="FQ93" s="928"/>
    </row>
    <row r="94" spans="1:173">
      <c r="A94" s="928" t="s">
        <v>1826</v>
      </c>
      <c r="B94" s="928"/>
      <c r="C94" s="928"/>
      <c r="D94" s="928"/>
      <c r="E94" s="928"/>
      <c r="F94" s="928"/>
      <c r="G94" s="928"/>
      <c r="H94" s="928"/>
      <c r="I94" s="928"/>
      <c r="J94" s="928"/>
      <c r="K94" s="928"/>
      <c r="L94" s="928"/>
      <c r="M94" s="928"/>
      <c r="N94" s="928"/>
      <c r="O94" s="928"/>
      <c r="P94" s="928"/>
      <c r="Q94" s="928"/>
      <c r="R94" s="928"/>
      <c r="S94" s="928"/>
      <c r="T94" s="928"/>
      <c r="U94" s="928"/>
      <c r="V94" s="1413">
        <f t="shared" ref="V94:Y102" si="181">V83*V$180</f>
        <v>2521.6379999999999</v>
      </c>
      <c r="W94" s="1413">
        <f t="shared" si="181"/>
        <v>3192.7999999999997</v>
      </c>
      <c r="X94" s="1413">
        <f t="shared" si="181"/>
        <v>4363.4292900000009</v>
      </c>
      <c r="Y94" s="1413">
        <f t="shared" si="181"/>
        <v>7009.77</v>
      </c>
      <c r="Z94" s="1254"/>
      <c r="AA94" s="1413">
        <f t="shared" ref="AA94:AD95" si="182">AA83*AA$180</f>
        <v>4587.71</v>
      </c>
      <c r="AB94" s="1413">
        <f t="shared" si="182"/>
        <v>5692.9120000000003</v>
      </c>
      <c r="AC94" s="1413">
        <f t="shared" si="182"/>
        <v>6214.3200000000006</v>
      </c>
      <c r="AD94" s="1413">
        <f t="shared" si="182"/>
        <v>9034.8709999999992</v>
      </c>
      <c r="AE94" s="1254"/>
      <c r="AF94" s="1413">
        <f t="shared" ref="AF94:AI95" si="183">AF83*AF$180</f>
        <v>5963.0974355384642</v>
      </c>
      <c r="AG94" s="1413">
        <f t="shared" si="183"/>
        <v>6375.96</v>
      </c>
      <c r="AH94" s="1413">
        <f t="shared" si="183"/>
        <v>7166.3200000000006</v>
      </c>
      <c r="AI94" s="1413">
        <f t="shared" si="183"/>
        <v>8337</v>
      </c>
      <c r="AJ94" s="1254"/>
      <c r="AK94" s="1413">
        <f t="shared" ref="AK94:AN95" si="184">AK83*AK$180</f>
        <v>4423.37</v>
      </c>
      <c r="AL94" s="1413">
        <f t="shared" si="184"/>
        <v>3198.0200000000004</v>
      </c>
      <c r="AM94" s="1413">
        <f t="shared" si="184"/>
        <v>3870.2634092307708</v>
      </c>
      <c r="AN94" s="1413">
        <f t="shared" si="184"/>
        <v>5264.0280000000012</v>
      </c>
      <c r="AO94" s="1254"/>
      <c r="AP94" s="1413">
        <f t="shared" ref="AP94:AS95" si="185">AP83*AP$180</f>
        <v>2954.1632878461533</v>
      </c>
      <c r="AQ94" s="1413">
        <f t="shared" si="185"/>
        <v>4414.1660000000002</v>
      </c>
      <c r="AR94" s="1413">
        <f t="shared" si="185"/>
        <v>5485.0240000000013</v>
      </c>
      <c r="AS94" s="1413">
        <f t="shared" si="185"/>
        <v>5876.4700000000012</v>
      </c>
      <c r="AT94" s="1254"/>
      <c r="AU94" s="1413">
        <f t="shared" ref="AU94:AX95" si="186">AU83*AU$180</f>
        <v>4279.7897085937502</v>
      </c>
      <c r="AV94" s="1413">
        <f t="shared" si="186"/>
        <v>4578.7560000000003</v>
      </c>
      <c r="AW94" s="1413">
        <f t="shared" si="186"/>
        <v>4867.46</v>
      </c>
      <c r="AX94" s="1413">
        <f t="shared" si="186"/>
        <v>5366.8999999999987</v>
      </c>
      <c r="AY94" s="1413">
        <f>Master!R90</f>
        <v>19067.125</v>
      </c>
      <c r="AZ94" s="1413">
        <f t="shared" ref="AZ94:BC95" si="187">AZ83*AZ$180</f>
        <v>4548.029387076921</v>
      </c>
      <c r="BA94" s="1413">
        <f t="shared" si="187"/>
        <v>4579.3672473846154</v>
      </c>
      <c r="BB94" s="1413">
        <f t="shared" si="187"/>
        <v>5549.3703257575762</v>
      </c>
      <c r="BC94" s="1413">
        <f t="shared" si="187"/>
        <v>5427.3788754545458</v>
      </c>
      <c r="BD94" s="1413">
        <f>Master!S90</f>
        <v>20178.311999999998</v>
      </c>
      <c r="BE94" s="1499">
        <f t="shared" ref="BE94:BH95" si="188">BE83*BE$180</f>
        <v>5595.6156703125016</v>
      </c>
      <c r="BF94" s="1413">
        <f t="shared" si="188"/>
        <v>5607.7338624615386</v>
      </c>
      <c r="BG94" s="1413">
        <f t="shared" si="188"/>
        <v>7264.0537030303058</v>
      </c>
      <c r="BH94" s="1413">
        <f t="shared" si="188"/>
        <v>4799.0295722727269</v>
      </c>
      <c r="BI94" s="1500">
        <f>Master!T90</f>
        <v>23310.092270413064</v>
      </c>
      <c r="BJ94" s="1509">
        <f t="shared" ref="BJ94:BL95" si="189">BJ83*BJ$180</f>
        <v>4686.8071403076901</v>
      </c>
      <c r="BK94" s="1442">
        <f t="shared" si="189"/>
        <v>4787.639063692307</v>
      </c>
      <c r="BL94" s="1442">
        <f t="shared" si="189"/>
        <v>4202.4803269696977</v>
      </c>
      <c r="BM94" s="1442">
        <f t="shared" ref="BM94" si="190">BM83*BM$180</f>
        <v>3550.2878399999986</v>
      </c>
      <c r="BN94" s="1514">
        <f>Master!U90</f>
        <v>17214.16</v>
      </c>
      <c r="BO94" s="1509">
        <f t="shared" ref="BO94:BQ95" si="191">BO83*BO$180</f>
        <v>3937.26</v>
      </c>
      <c r="BP94" s="1442">
        <f t="shared" si="191"/>
        <v>3608.2140000000009</v>
      </c>
      <c r="BQ94" s="1442">
        <f t="shared" si="191"/>
        <v>3185.2620000000002</v>
      </c>
      <c r="BR94" s="1442">
        <f t="shared" ref="BR94" si="192">BR83*BR$180</f>
        <v>3978.585</v>
      </c>
      <c r="BS94" s="1514">
        <f>Master!V90</f>
        <v>14664.45</v>
      </c>
      <c r="BT94" s="1509">
        <f t="shared" ref="BT94:BW95" si="193">BT83*BT$180</f>
        <v>2036.3999999999999</v>
      </c>
      <c r="BU94" s="1442">
        <f t="shared" si="193"/>
        <v>3740</v>
      </c>
      <c r="BV94" s="1442">
        <f t="shared" si="193"/>
        <v>3400</v>
      </c>
      <c r="BW94" s="1442">
        <f t="shared" si="193"/>
        <v>3698.4307491887425</v>
      </c>
      <c r="BX94" s="1514">
        <f>Master!W90</f>
        <v>12866.448770046549</v>
      </c>
      <c r="BY94" s="1413"/>
      <c r="CA94" s="928"/>
      <c r="CB94" s="928"/>
      <c r="CC94" s="928"/>
      <c r="CD94" s="928"/>
      <c r="CE94" s="928"/>
      <c r="CF94" s="928"/>
      <c r="CG94" s="928"/>
      <c r="CH94" s="928"/>
      <c r="CI94" s="928"/>
      <c r="CJ94" s="928"/>
      <c r="CK94" s="928"/>
      <c r="CL94" s="928"/>
      <c r="CM94" s="928"/>
      <c r="CN94" s="928"/>
      <c r="CO94" s="928"/>
      <c r="CP94" s="928"/>
      <c r="CQ94" s="928"/>
      <c r="CR94" s="928"/>
      <c r="CS94" s="928"/>
      <c r="CT94" s="928"/>
      <c r="CU94" s="928"/>
      <c r="CV94" s="928"/>
      <c r="CW94" s="928"/>
      <c r="CX94" s="928"/>
      <c r="CY94" s="928"/>
      <c r="CZ94" s="928"/>
      <c r="DA94" s="928"/>
      <c r="DB94" s="928"/>
      <c r="DC94" s="928"/>
      <c r="DD94" s="928"/>
      <c r="DE94" s="928"/>
      <c r="DF94" s="928"/>
      <c r="DG94" s="928"/>
      <c r="DH94" s="928"/>
      <c r="DI94" s="928"/>
      <c r="DJ94" s="928"/>
      <c r="DK94" s="928"/>
      <c r="DL94" s="928"/>
      <c r="DM94" s="928"/>
      <c r="DN94" s="928"/>
      <c r="DO94" s="928"/>
      <c r="DP94" s="928"/>
      <c r="DQ94" s="928"/>
      <c r="DR94" s="928"/>
      <c r="DS94" s="928"/>
      <c r="DT94" s="928"/>
      <c r="DU94" s="928"/>
      <c r="DV94" s="928"/>
      <c r="DW94" s="928"/>
      <c r="DX94" s="928"/>
      <c r="DY94" s="1338"/>
      <c r="DZ94" s="928"/>
      <c r="EA94" s="928"/>
      <c r="EB94" s="928"/>
      <c r="EC94" s="1337"/>
      <c r="ED94" s="1338"/>
      <c r="EE94" s="928"/>
      <c r="EF94" s="928"/>
      <c r="EG94" s="928"/>
      <c r="EH94" s="1337"/>
      <c r="EI94" s="928"/>
      <c r="EJ94" s="928"/>
      <c r="EK94" s="928"/>
      <c r="EL94" s="928"/>
      <c r="EM94" s="1337"/>
      <c r="EN94" s="928"/>
      <c r="EO94" s="928"/>
      <c r="EP94" s="928"/>
      <c r="EQ94" s="928"/>
      <c r="ER94" s="928"/>
      <c r="ES94" s="928"/>
      <c r="ET94" s="928"/>
      <c r="EU94" s="928"/>
      <c r="EV94" s="928"/>
      <c r="EW94" s="928"/>
      <c r="EX94" s="928"/>
      <c r="EY94" s="928"/>
      <c r="EZ94" s="928"/>
      <c r="FA94" s="928"/>
      <c r="FB94" s="928"/>
      <c r="FC94" s="928"/>
      <c r="FD94" s="928"/>
      <c r="FE94" s="928"/>
      <c r="FF94" s="1429">
        <v>3561.3599999999997</v>
      </c>
      <c r="FG94" s="928"/>
      <c r="FH94" s="1425">
        <v>3857.7204432656249</v>
      </c>
      <c r="FI94" s="1319"/>
      <c r="FJ94" s="1622">
        <v>3562.0029999999997</v>
      </c>
      <c r="FK94" s="1605"/>
      <c r="FL94" s="928"/>
      <c r="FM94" s="928"/>
      <c r="FN94" s="928"/>
      <c r="FO94" s="928"/>
      <c r="FP94" s="928"/>
      <c r="FQ94" s="928"/>
    </row>
    <row r="95" spans="1:173">
      <c r="A95" s="1441" t="str">
        <f t="shared" ref="A95:A102" si="194">A84</f>
        <v xml:space="preserve"> of which telecoms</v>
      </c>
      <c r="B95" s="928"/>
      <c r="C95" s="928"/>
      <c r="D95" s="928"/>
      <c r="E95" s="928"/>
      <c r="F95" s="928"/>
      <c r="G95" s="928"/>
      <c r="H95" s="928"/>
      <c r="I95" s="928"/>
      <c r="J95" s="928"/>
      <c r="K95" s="928"/>
      <c r="L95" s="928"/>
      <c r="M95" s="928"/>
      <c r="N95" s="928"/>
      <c r="O95" s="928"/>
      <c r="P95" s="928"/>
      <c r="Q95" s="928"/>
      <c r="R95" s="928"/>
      <c r="S95" s="928"/>
      <c r="T95" s="1254">
        <f>SUM(V95:Y95)/SUM(V14:Y14)</f>
        <v>0.45164105563303586</v>
      </c>
      <c r="U95" s="928"/>
      <c r="V95" s="1413">
        <f t="shared" si="181"/>
        <v>1242.297</v>
      </c>
      <c r="W95" s="1413">
        <f t="shared" si="181"/>
        <v>1561.3</v>
      </c>
      <c r="X95" s="1413">
        <f t="shared" si="181"/>
        <v>2406.0521100000001</v>
      </c>
      <c r="Y95" s="1413">
        <f t="shared" si="181"/>
        <v>4246.45</v>
      </c>
      <c r="Z95" s="1254"/>
      <c r="AA95" s="1413">
        <f t="shared" si="182"/>
        <v>3270.55</v>
      </c>
      <c r="AB95" s="1413">
        <f t="shared" si="182"/>
        <v>3975.54</v>
      </c>
      <c r="AC95" s="1413">
        <f t="shared" si="182"/>
        <v>3863.4</v>
      </c>
      <c r="AD95" s="1413">
        <f t="shared" si="182"/>
        <v>5989.1680000000006</v>
      </c>
      <c r="AE95" s="1254"/>
      <c r="AF95" s="1413">
        <f t="shared" si="183"/>
        <v>3768.6343030769249</v>
      </c>
      <c r="AG95" s="1413">
        <f t="shared" si="183"/>
        <v>4106.46</v>
      </c>
      <c r="AH95" s="1413">
        <f t="shared" si="183"/>
        <v>4637.4719999999998</v>
      </c>
      <c r="AI95" s="1413">
        <f t="shared" si="183"/>
        <v>5901.4050000000007</v>
      </c>
      <c r="AJ95" s="1254"/>
      <c r="AK95" s="1413">
        <f t="shared" si="184"/>
        <v>3065.3</v>
      </c>
      <c r="AL95" s="1413">
        <f t="shared" si="184"/>
        <v>2085.02</v>
      </c>
      <c r="AM95" s="1413">
        <f t="shared" si="184"/>
        <v>2464.3528061538477</v>
      </c>
      <c r="AN95" s="1413">
        <f t="shared" si="184"/>
        <v>3000.420000000001</v>
      </c>
      <c r="AO95" s="1254"/>
      <c r="AP95" s="1413">
        <f t="shared" si="185"/>
        <v>1987.5505696923074</v>
      </c>
      <c r="AQ95" s="1413">
        <f t="shared" si="185"/>
        <v>2825.61</v>
      </c>
      <c r="AR95" s="1413">
        <f t="shared" si="185"/>
        <v>3931.944</v>
      </c>
      <c r="AS95" s="1413">
        <f t="shared" si="185"/>
        <v>4105.369999999999</v>
      </c>
      <c r="AT95" s="1254"/>
      <c r="AU95" s="1413">
        <f t="shared" si="186"/>
        <v>3258.3235242187502</v>
      </c>
      <c r="AV95" s="1413">
        <f t="shared" si="186"/>
        <v>3579.3029999999999</v>
      </c>
      <c r="AW95" s="1413">
        <f t="shared" si="186"/>
        <v>3455.1399999999994</v>
      </c>
      <c r="AX95" s="1413">
        <f t="shared" si="186"/>
        <v>2698.8499999999995</v>
      </c>
      <c r="AY95" s="1413">
        <f>Master!R89</f>
        <v>12966.800000000001</v>
      </c>
      <c r="AZ95" s="1413">
        <f t="shared" si="187"/>
        <v>3218.0207932307685</v>
      </c>
      <c r="BA95" s="1413">
        <f t="shared" si="187"/>
        <v>3168.7169496923084</v>
      </c>
      <c r="BB95" s="1413">
        <f t="shared" si="187"/>
        <v>3811.4656515151514</v>
      </c>
      <c r="BC95" s="1413">
        <f t="shared" si="187"/>
        <v>3965.2927009090918</v>
      </c>
      <c r="BD95" s="1413">
        <f>Master!S89</f>
        <v>14230.5</v>
      </c>
      <c r="BE95" s="1499">
        <f t="shared" si="188"/>
        <v>4063.9913156250018</v>
      </c>
      <c r="BF95" s="1413">
        <f t="shared" si="188"/>
        <v>4124.2169784615389</v>
      </c>
      <c r="BG95" s="1413">
        <f t="shared" si="188"/>
        <v>5489.1084242424258</v>
      </c>
      <c r="BH95" s="1413">
        <f t="shared" si="188"/>
        <v>3624.6885701515143</v>
      </c>
      <c r="BI95" s="1500">
        <f>Master!T89</f>
        <v>17333.977760915466</v>
      </c>
      <c r="BJ95" s="1509">
        <f t="shared" si="189"/>
        <v>3450.5233670769217</v>
      </c>
      <c r="BK95" s="1442">
        <f t="shared" si="189"/>
        <v>3685.4199406153839</v>
      </c>
      <c r="BL95" s="1442">
        <f t="shared" si="189"/>
        <v>3293.9999866666672</v>
      </c>
      <c r="BM95" s="1442">
        <f t="shared" ref="BM95" si="195">BM84*BM$180</f>
        <v>2564.7498799999985</v>
      </c>
      <c r="BN95" s="1514">
        <f>Master!U89</f>
        <v>12989.048999999999</v>
      </c>
      <c r="BO95" s="1509">
        <f t="shared" si="191"/>
        <v>3123.6840000000002</v>
      </c>
      <c r="BP95" s="1442">
        <f t="shared" si="191"/>
        <v>2691.1410000000005</v>
      </c>
      <c r="BQ95" s="1442">
        <f t="shared" si="191"/>
        <v>2406.87</v>
      </c>
      <c r="BR95" s="1442">
        <f t="shared" ref="BR95" si="196">BR84*BR$180</f>
        <v>3023.8650000000002</v>
      </c>
      <c r="BS95" s="1514">
        <f>Master!V89</f>
        <v>11204.1</v>
      </c>
      <c r="BT95" s="1509">
        <f t="shared" ref="BT95:BV95" si="197">BT84*BT$180</f>
        <v>1627.423</v>
      </c>
      <c r="BU95" s="1442">
        <f t="shared" si="197"/>
        <v>3060</v>
      </c>
      <c r="BV95" s="1442">
        <f t="shared" si="197"/>
        <v>2890</v>
      </c>
      <c r="BW95" s="1442">
        <f t="shared" si="193"/>
        <v>3042.6401881251477</v>
      </c>
      <c r="BX95" s="1514">
        <f>Master!W89</f>
        <v>10614.543750000001</v>
      </c>
      <c r="BY95" s="1413"/>
      <c r="CA95" s="928"/>
      <c r="CB95" s="928"/>
      <c r="CC95" s="928"/>
      <c r="CD95" s="928"/>
      <c r="CE95" s="928"/>
      <c r="CF95" s="928"/>
      <c r="CG95" s="928"/>
      <c r="CH95" s="928"/>
      <c r="CI95" s="928"/>
      <c r="CJ95" s="928"/>
      <c r="CK95" s="928"/>
      <c r="CL95" s="928"/>
      <c r="CM95" s="928"/>
      <c r="CN95" s="928"/>
      <c r="CO95" s="928"/>
      <c r="CP95" s="928"/>
      <c r="CQ95" s="928"/>
      <c r="CR95" s="928"/>
      <c r="CS95" s="928"/>
      <c r="CT95" s="928"/>
      <c r="CU95" s="928"/>
      <c r="CV95" s="928"/>
      <c r="CW95" s="928"/>
      <c r="CX95" s="928"/>
      <c r="CY95" s="928"/>
      <c r="CZ95" s="928"/>
      <c r="DA95" s="928"/>
      <c r="DB95" s="928"/>
      <c r="DC95" s="928"/>
      <c r="DD95" s="928"/>
      <c r="DE95" s="928"/>
      <c r="DF95" s="928"/>
      <c r="DG95" s="928"/>
      <c r="DH95" s="928"/>
      <c r="DI95" s="928"/>
      <c r="DJ95" s="928"/>
      <c r="DK95" s="928"/>
      <c r="DL95" s="928"/>
      <c r="DM95" s="928"/>
      <c r="DN95" s="928"/>
      <c r="DO95" s="928"/>
      <c r="DP95" s="928"/>
      <c r="DQ95" s="928"/>
      <c r="DR95" s="928"/>
      <c r="DS95" s="928"/>
      <c r="DT95" s="928"/>
      <c r="DU95" s="928"/>
      <c r="DV95" s="928"/>
      <c r="DW95" s="928"/>
      <c r="DX95" s="928"/>
      <c r="DY95" s="1338"/>
      <c r="DZ95" s="928"/>
      <c r="EA95" s="928"/>
      <c r="EB95" s="928"/>
      <c r="EC95" s="1337"/>
      <c r="ED95" s="1338"/>
      <c r="EE95" s="928"/>
      <c r="EF95" s="928"/>
      <c r="EG95" s="928"/>
      <c r="EH95" s="1337"/>
      <c r="EI95" s="928"/>
      <c r="EJ95" s="928"/>
      <c r="EK95" s="928"/>
      <c r="EL95" s="928"/>
      <c r="EM95" s="1337"/>
      <c r="EN95" s="928"/>
      <c r="EO95" s="928"/>
      <c r="EP95" s="928"/>
      <c r="EQ95" s="928"/>
      <c r="ER95" s="928"/>
      <c r="ES95" s="928"/>
      <c r="ET95" s="928"/>
      <c r="EU95" s="928"/>
      <c r="EV95" s="928"/>
      <c r="EW95" s="928"/>
      <c r="EX95" s="928"/>
      <c r="EY95" s="928"/>
      <c r="EZ95" s="928"/>
      <c r="FA95" s="928"/>
      <c r="FB95" s="928"/>
      <c r="FC95" s="928"/>
      <c r="FD95" s="928"/>
      <c r="FE95" s="928"/>
      <c r="FF95" s="1429">
        <v>2556</v>
      </c>
      <c r="FG95" s="928"/>
      <c r="FH95" s="1425">
        <v>2834.3498250000002</v>
      </c>
      <c r="FI95" s="1319"/>
      <c r="FJ95" s="1622">
        <v>2800.0499999999997</v>
      </c>
      <c r="FK95" s="1605"/>
      <c r="FL95" s="928"/>
      <c r="FM95" s="928"/>
      <c r="FN95" s="928"/>
      <c r="FO95" s="928"/>
      <c r="FP95" s="928"/>
      <c r="FQ95" s="928"/>
    </row>
    <row r="96" spans="1:173">
      <c r="A96" s="1441" t="str">
        <f t="shared" si="194"/>
        <v xml:space="preserve"> - of which Cablevision</v>
      </c>
      <c r="B96" s="928"/>
      <c r="C96" s="928"/>
      <c r="D96" s="928"/>
      <c r="E96" s="928"/>
      <c r="F96" s="928"/>
      <c r="G96" s="928"/>
      <c r="H96" s="928"/>
      <c r="I96" s="928"/>
      <c r="J96" s="928"/>
      <c r="K96" s="928"/>
      <c r="L96" s="928"/>
      <c r="M96" s="928"/>
      <c r="N96" s="928"/>
      <c r="O96" s="928"/>
      <c r="P96" s="928"/>
      <c r="Q96" s="928"/>
      <c r="R96" s="928"/>
      <c r="S96" s="928"/>
      <c r="T96" s="928"/>
      <c r="U96" s="928"/>
      <c r="V96" s="1413">
        <f t="shared" si="181"/>
        <v>219.61800000000002</v>
      </c>
      <c r="W96" s="1413">
        <f t="shared" si="181"/>
        <v>436.8</v>
      </c>
      <c r="X96" s="1413">
        <f t="shared" si="181"/>
        <v>539.19706500000007</v>
      </c>
      <c r="Y96" s="1413">
        <f t="shared" si="181"/>
        <v>1509.5400000000004</v>
      </c>
      <c r="Z96" s="1254">
        <f>SUM(V96:Y96)/'Cable cos'!I168</f>
        <v>0.41248403469516176</v>
      </c>
      <c r="AA96" s="1413">
        <f t="shared" ref="AA96:AA102" si="198">AA85*AA$180</f>
        <v>0</v>
      </c>
      <c r="AB96" s="1413"/>
      <c r="AC96" s="1413"/>
      <c r="AD96" s="1413"/>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355"/>
      <c r="BF96" s="1254"/>
      <c r="BG96" s="1254"/>
      <c r="BH96" s="1254"/>
      <c r="BI96" s="1389"/>
      <c r="BJ96" s="1509"/>
      <c r="BK96" s="1442"/>
      <c r="BL96" s="1442"/>
      <c r="BM96" s="1442">
        <f>BJ95+BK95+BL95+BM95</f>
        <v>12994.69317435897</v>
      </c>
      <c r="BN96" s="1514"/>
      <c r="BO96" s="1509"/>
      <c r="BP96" s="1442"/>
      <c r="BQ96" s="1442"/>
      <c r="BR96" s="1442"/>
      <c r="BS96" s="1514"/>
      <c r="BT96" s="1509"/>
      <c r="BU96" s="1442"/>
      <c r="BV96" s="1442"/>
      <c r="BW96" s="1442"/>
      <c r="BX96" s="1514"/>
      <c r="BY96" s="1254"/>
      <c r="BZ96" s="928"/>
      <c r="CA96" s="928"/>
      <c r="CB96" s="928"/>
      <c r="CC96" s="928"/>
      <c r="CD96" s="928"/>
      <c r="CE96" s="928"/>
      <c r="CF96" s="928"/>
      <c r="CG96" s="928"/>
      <c r="CH96" s="928"/>
      <c r="CI96" s="928"/>
      <c r="CJ96" s="928"/>
      <c r="CK96" s="928"/>
      <c r="CL96" s="928"/>
      <c r="CM96" s="928"/>
      <c r="CN96" s="928"/>
      <c r="CO96" s="928"/>
      <c r="CP96" s="928"/>
      <c r="CQ96" s="928"/>
      <c r="CR96" s="928"/>
      <c r="CS96" s="928"/>
      <c r="CT96" s="928"/>
      <c r="CU96" s="928"/>
      <c r="CV96" s="928"/>
      <c r="CW96" s="928"/>
      <c r="CX96" s="928"/>
      <c r="CY96" s="928"/>
      <c r="CZ96" s="928"/>
      <c r="DA96" s="928"/>
      <c r="DB96" s="928"/>
      <c r="DC96" s="928"/>
      <c r="DD96" s="928"/>
      <c r="DE96" s="928"/>
      <c r="DF96" s="928"/>
      <c r="DG96" s="928"/>
      <c r="DH96" s="928"/>
      <c r="DI96" s="928"/>
      <c r="DJ96" s="928"/>
      <c r="DK96" s="928"/>
      <c r="DL96" s="928"/>
      <c r="DM96" s="928"/>
      <c r="DN96" s="928"/>
      <c r="DO96" s="928"/>
      <c r="DP96" s="928"/>
      <c r="DQ96" s="928"/>
      <c r="DR96" s="928"/>
      <c r="DS96" s="928"/>
      <c r="DT96" s="928"/>
      <c r="DU96" s="928"/>
      <c r="DV96" s="928"/>
      <c r="DW96" s="928"/>
      <c r="DX96" s="928"/>
      <c r="DY96" s="1338"/>
      <c r="DZ96" s="928"/>
      <c r="EA96" s="928"/>
      <c r="EB96" s="928"/>
      <c r="EC96" s="1337"/>
      <c r="ED96" s="1338"/>
      <c r="EE96" s="928"/>
      <c r="EF96" s="928"/>
      <c r="EG96" s="928"/>
      <c r="EH96" s="1337"/>
      <c r="EI96" s="928"/>
      <c r="EJ96" s="928"/>
      <c r="EK96" s="928"/>
      <c r="EL96" s="928"/>
      <c r="EM96" s="1337"/>
      <c r="EN96" s="928"/>
      <c r="EO96" s="928"/>
      <c r="EP96" s="928"/>
      <c r="EQ96" s="928"/>
      <c r="ER96" s="928"/>
      <c r="ES96" s="928"/>
      <c r="ET96" s="928"/>
      <c r="EU96" s="928"/>
      <c r="EV96" s="928"/>
      <c r="EW96" s="928"/>
      <c r="EX96" s="928"/>
      <c r="EY96" s="928"/>
      <c r="EZ96" s="928"/>
      <c r="FA96" s="928"/>
      <c r="FB96" s="928"/>
      <c r="FC96" s="928"/>
      <c r="FD96" s="928"/>
      <c r="FE96" s="928"/>
      <c r="FF96" s="1363"/>
      <c r="FG96" s="928"/>
      <c r="FH96" s="1351"/>
      <c r="FI96" s="1319"/>
      <c r="FJ96" s="1622"/>
      <c r="FK96" s="1605"/>
      <c r="FL96" s="928"/>
      <c r="FM96" s="928"/>
      <c r="FN96" s="928"/>
      <c r="FO96" s="928"/>
      <c r="FP96" s="928"/>
      <c r="FQ96" s="928"/>
    </row>
    <row r="97" spans="1:173">
      <c r="A97" s="1441" t="str">
        <f t="shared" si="194"/>
        <v xml:space="preserve"> - of which Cablemas</v>
      </c>
      <c r="B97" s="928"/>
      <c r="C97" s="928"/>
      <c r="D97" s="928"/>
      <c r="E97" s="928"/>
      <c r="F97" s="928"/>
      <c r="G97" s="928"/>
      <c r="H97" s="928"/>
      <c r="I97" s="928"/>
      <c r="J97" s="928"/>
      <c r="K97" s="928"/>
      <c r="L97" s="928"/>
      <c r="M97" s="928"/>
      <c r="N97" s="928"/>
      <c r="O97" s="928"/>
      <c r="P97" s="928"/>
      <c r="Q97" s="928"/>
      <c r="R97" s="928"/>
      <c r="S97" s="928"/>
      <c r="T97" s="928"/>
      <c r="U97" s="928"/>
      <c r="V97" s="1413">
        <f t="shared" si="181"/>
        <v>698.54399999999998</v>
      </c>
      <c r="W97" s="1413">
        <f t="shared" si="181"/>
        <v>526.5</v>
      </c>
      <c r="X97" s="1413">
        <f t="shared" si="181"/>
        <v>1069.2107250000001</v>
      </c>
      <c r="Y97" s="1413">
        <f t="shared" si="181"/>
        <v>1601.28</v>
      </c>
      <c r="Z97" s="1254">
        <f>SUM(V97:Y97)/'Cable cos'!I170</f>
        <v>0.57162484619973009</v>
      </c>
      <c r="AA97" s="1413">
        <f t="shared" si="198"/>
        <v>0</v>
      </c>
      <c r="AB97" s="1413"/>
      <c r="AC97" s="1413"/>
      <c r="AD97" s="1413"/>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355"/>
      <c r="BF97" s="1254"/>
      <c r="BG97" s="1254"/>
      <c r="BH97" s="1254"/>
      <c r="BI97" s="1389"/>
      <c r="BJ97" s="1509"/>
      <c r="BK97" s="1442"/>
      <c r="BL97" s="1442">
        <f>SUM(BJ95:BL95)</f>
        <v>10429.943294358973</v>
      </c>
      <c r="BM97" s="1442">
        <f>SUM(BK95:BM95)</f>
        <v>9544.1698072820509</v>
      </c>
      <c r="BN97" s="1514"/>
      <c r="BO97" s="1509"/>
      <c r="BP97" s="1442"/>
      <c r="BQ97" s="1442"/>
      <c r="BR97" s="1442"/>
      <c r="BS97" s="1514"/>
      <c r="BT97" s="1509"/>
      <c r="BU97" s="1442"/>
      <c r="BV97" s="1442"/>
      <c r="BW97" s="1442"/>
      <c r="BX97" s="1514"/>
      <c r="BY97" s="1254"/>
      <c r="BZ97" s="928"/>
      <c r="CA97" s="928"/>
      <c r="CB97" s="928"/>
      <c r="CC97" s="928"/>
      <c r="CD97" s="928"/>
      <c r="CE97" s="928"/>
      <c r="CF97" s="928"/>
      <c r="CG97" s="928"/>
      <c r="CH97" s="928"/>
      <c r="CI97" s="928"/>
      <c r="CJ97" s="928"/>
      <c r="CK97" s="928"/>
      <c r="CL97" s="928"/>
      <c r="CM97" s="928"/>
      <c r="CN97" s="928"/>
      <c r="CO97" s="928"/>
      <c r="CP97" s="928"/>
      <c r="CQ97" s="928"/>
      <c r="CR97" s="928"/>
      <c r="CS97" s="928"/>
      <c r="CT97" s="928"/>
      <c r="CU97" s="928"/>
      <c r="CV97" s="928"/>
      <c r="CW97" s="928"/>
      <c r="CX97" s="928"/>
      <c r="CY97" s="928"/>
      <c r="CZ97" s="928"/>
      <c r="DA97" s="928"/>
      <c r="DB97" s="928"/>
      <c r="DC97" s="928"/>
      <c r="DD97" s="928"/>
      <c r="DE97" s="928"/>
      <c r="DF97" s="928"/>
      <c r="DG97" s="928"/>
      <c r="DH97" s="928"/>
      <c r="DI97" s="928"/>
      <c r="DJ97" s="928"/>
      <c r="DK97" s="928"/>
      <c r="DL97" s="928"/>
      <c r="DM97" s="928"/>
      <c r="DN97" s="928"/>
      <c r="DO97" s="928"/>
      <c r="DP97" s="928"/>
      <c r="DQ97" s="928"/>
      <c r="DR97" s="928"/>
      <c r="DS97" s="928"/>
      <c r="DT97" s="928"/>
      <c r="DU97" s="928"/>
      <c r="DV97" s="928"/>
      <c r="DW97" s="928"/>
      <c r="DX97" s="928"/>
      <c r="DY97" s="1338"/>
      <c r="DZ97" s="928"/>
      <c r="EA97" s="928"/>
      <c r="EB97" s="928"/>
      <c r="EC97" s="1337"/>
      <c r="ED97" s="1338"/>
      <c r="EE97" s="928"/>
      <c r="EF97" s="928"/>
      <c r="EG97" s="928"/>
      <c r="EH97" s="1337"/>
      <c r="EI97" s="928"/>
      <c r="EJ97" s="928"/>
      <c r="EK97" s="928"/>
      <c r="EL97" s="928"/>
      <c r="EM97" s="1337"/>
      <c r="EN97" s="928"/>
      <c r="EO97" s="928"/>
      <c r="EP97" s="928"/>
      <c r="EQ97" s="928"/>
      <c r="ER97" s="928"/>
      <c r="ES97" s="928"/>
      <c r="ET97" s="928"/>
      <c r="EU97" s="928"/>
      <c r="EV97" s="928"/>
      <c r="EW97" s="928"/>
      <c r="EX97" s="928"/>
      <c r="EY97" s="928"/>
      <c r="EZ97" s="928"/>
      <c r="FA97" s="928"/>
      <c r="FB97" s="928"/>
      <c r="FC97" s="928"/>
      <c r="FD97" s="928"/>
      <c r="FE97" s="928"/>
      <c r="FF97" s="1443"/>
      <c r="FG97" s="928"/>
      <c r="FH97" s="1351"/>
      <c r="FI97" s="1319"/>
      <c r="FJ97" s="1622"/>
      <c r="FK97" s="1605"/>
      <c r="FL97" s="928"/>
      <c r="FM97" s="928"/>
      <c r="FN97" s="928"/>
      <c r="FO97" s="928"/>
      <c r="FP97" s="928"/>
      <c r="FQ97" s="928"/>
    </row>
    <row r="98" spans="1:173">
      <c r="A98" s="1441" t="str">
        <f t="shared" si="194"/>
        <v xml:space="preserve"> - of which TVI</v>
      </c>
      <c r="B98" s="928"/>
      <c r="C98" s="928"/>
      <c r="D98" s="928"/>
      <c r="E98" s="928"/>
      <c r="F98" s="928"/>
      <c r="G98" s="928"/>
      <c r="H98" s="928"/>
      <c r="I98" s="928"/>
      <c r="J98" s="928"/>
      <c r="K98" s="928"/>
      <c r="L98" s="928"/>
      <c r="M98" s="928"/>
      <c r="N98" s="928"/>
      <c r="O98" s="928"/>
      <c r="P98" s="928"/>
      <c r="Q98" s="928"/>
      <c r="R98" s="928"/>
      <c r="S98" s="928"/>
      <c r="T98" s="928"/>
      <c r="U98" s="928"/>
      <c r="V98" s="1413">
        <f t="shared" si="181"/>
        <v>298.99800000000005</v>
      </c>
      <c r="W98" s="1413">
        <f t="shared" si="181"/>
        <v>371.8</v>
      </c>
      <c r="X98" s="1413">
        <f t="shared" si="181"/>
        <v>523.45408500000008</v>
      </c>
      <c r="Y98" s="1413">
        <f t="shared" si="181"/>
        <v>558.78000000000031</v>
      </c>
      <c r="Z98" s="1254">
        <f>SUM(V98:Y98)/'Cable cos'!I172</f>
        <v>0.54755285678053578</v>
      </c>
      <c r="AA98" s="1413">
        <f t="shared" si="198"/>
        <v>0</v>
      </c>
      <c r="AB98" s="1413"/>
      <c r="AC98" s="1413"/>
      <c r="AD98" s="1413"/>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355"/>
      <c r="BF98" s="1254"/>
      <c r="BG98" s="1254"/>
      <c r="BH98" s="1254"/>
      <c r="BI98" s="1389"/>
      <c r="BJ98" s="1355"/>
      <c r="BK98" s="1254"/>
      <c r="BL98" s="1254">
        <f>BL95/BN95</f>
        <v>0.25359824161620048</v>
      </c>
      <c r="BM98" s="1254">
        <f>BM95/BO95</f>
        <v>0.82106572879971162</v>
      </c>
      <c r="BN98" s="1389"/>
      <c r="BO98" s="1355"/>
      <c r="BP98" s="1254"/>
      <c r="BQ98" s="1254"/>
      <c r="BR98" s="1254"/>
      <c r="BS98" s="1389"/>
      <c r="BT98" s="1355"/>
      <c r="BU98" s="1254"/>
      <c r="BV98" s="1254"/>
      <c r="BW98" s="1254"/>
      <c r="BX98" s="1389"/>
      <c r="BY98" s="1254"/>
      <c r="BZ98" s="928"/>
      <c r="CA98" s="928"/>
      <c r="CB98" s="928"/>
      <c r="CC98" s="928"/>
      <c r="CD98" s="928"/>
      <c r="CE98" s="928"/>
      <c r="CF98" s="928"/>
      <c r="CG98" s="928"/>
      <c r="CH98" s="928"/>
      <c r="CI98" s="928"/>
      <c r="CJ98" s="928"/>
      <c r="CK98" s="928"/>
      <c r="CL98" s="928"/>
      <c r="CM98" s="928"/>
      <c r="CN98" s="928"/>
      <c r="CO98" s="928"/>
      <c r="CP98" s="928"/>
      <c r="CQ98" s="928"/>
      <c r="CR98" s="928"/>
      <c r="CS98" s="928"/>
      <c r="CT98" s="928"/>
      <c r="CU98" s="928"/>
      <c r="CV98" s="928"/>
      <c r="CW98" s="928"/>
      <c r="CX98" s="928"/>
      <c r="CY98" s="928"/>
      <c r="CZ98" s="928"/>
      <c r="DA98" s="928"/>
      <c r="DB98" s="928"/>
      <c r="DC98" s="928"/>
      <c r="DD98" s="928"/>
      <c r="DE98" s="928"/>
      <c r="DF98" s="928"/>
      <c r="DG98" s="928"/>
      <c r="DH98" s="928"/>
      <c r="DI98" s="928"/>
      <c r="DJ98" s="928"/>
      <c r="DK98" s="928"/>
      <c r="DL98" s="928"/>
      <c r="DM98" s="928"/>
      <c r="DN98" s="928"/>
      <c r="DO98" s="928"/>
      <c r="DP98" s="928"/>
      <c r="DQ98" s="928"/>
      <c r="DR98" s="928"/>
      <c r="DS98" s="928"/>
      <c r="DT98" s="928"/>
      <c r="DU98" s="928"/>
      <c r="DV98" s="928"/>
      <c r="DW98" s="928"/>
      <c r="DX98" s="928"/>
      <c r="DY98" s="1338"/>
      <c r="DZ98" s="928"/>
      <c r="EA98" s="928"/>
      <c r="EB98" s="928"/>
      <c r="EC98" s="1337"/>
      <c r="ED98" s="1338"/>
      <c r="EE98" s="928"/>
      <c r="EF98" s="928"/>
      <c r="EG98" s="928"/>
      <c r="EH98" s="1337"/>
      <c r="EI98" s="928"/>
      <c r="EJ98" s="928"/>
      <c r="EK98" s="928"/>
      <c r="EL98" s="928"/>
      <c r="EM98" s="1337"/>
      <c r="EN98" s="928"/>
      <c r="EO98" s="928"/>
      <c r="EP98" s="928"/>
      <c r="EQ98" s="928"/>
      <c r="ER98" s="928"/>
      <c r="ES98" s="928"/>
      <c r="ET98" s="928"/>
      <c r="EU98" s="928"/>
      <c r="EV98" s="928"/>
      <c r="EW98" s="928"/>
      <c r="EX98" s="928"/>
      <c r="EY98" s="928"/>
      <c r="EZ98" s="928"/>
      <c r="FA98" s="928"/>
      <c r="FB98" s="928"/>
      <c r="FC98" s="928"/>
      <c r="FD98" s="928"/>
      <c r="FE98" s="928"/>
      <c r="FF98" s="1363"/>
      <c r="FG98" s="928"/>
      <c r="FH98" s="1351"/>
      <c r="FI98" s="1319"/>
      <c r="FJ98" s="1612"/>
      <c r="FK98" s="1605"/>
      <c r="FL98" s="928"/>
      <c r="FM98" s="928"/>
      <c r="FN98" s="928"/>
      <c r="FO98" s="928"/>
      <c r="FP98" s="928"/>
      <c r="FQ98" s="928"/>
    </row>
    <row r="99" spans="1:173">
      <c r="A99" s="1441" t="str">
        <f t="shared" si="194"/>
        <v xml:space="preserve"> - of which Bestel</v>
      </c>
      <c r="B99" s="928"/>
      <c r="C99" s="928"/>
      <c r="D99" s="928"/>
      <c r="E99" s="928"/>
      <c r="F99" s="928"/>
      <c r="G99" s="928"/>
      <c r="H99" s="928"/>
      <c r="I99" s="928"/>
      <c r="J99" s="928"/>
      <c r="K99" s="928"/>
      <c r="L99" s="928"/>
      <c r="M99" s="928"/>
      <c r="N99" s="928"/>
      <c r="O99" s="928"/>
      <c r="P99" s="928"/>
      <c r="Q99" s="928"/>
      <c r="R99" s="928"/>
      <c r="S99" s="928"/>
      <c r="T99" s="928"/>
      <c r="U99" s="928"/>
      <c r="V99" s="1413">
        <f t="shared" si="181"/>
        <v>25.137000000000171</v>
      </c>
      <c r="W99" s="1413">
        <f t="shared" si="181"/>
        <v>226.2</v>
      </c>
      <c r="X99" s="1413">
        <f t="shared" si="181"/>
        <v>216.46597500000001</v>
      </c>
      <c r="Y99" s="1413">
        <f t="shared" si="181"/>
        <v>315.52999999999986</v>
      </c>
      <c r="Z99" s="1254">
        <f>SUM(V99:Y99)/'Cable cos'!I174</f>
        <v>0.22752301965204366</v>
      </c>
      <c r="AA99" s="1413">
        <f t="shared" si="198"/>
        <v>0</v>
      </c>
      <c r="AB99" s="1413"/>
      <c r="AC99" s="1413"/>
      <c r="AD99" s="1413"/>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355"/>
      <c r="BF99" s="1254"/>
      <c r="BG99" s="1254"/>
      <c r="BH99" s="1254"/>
      <c r="BI99" s="1389"/>
      <c r="BJ99" s="1355"/>
      <c r="BK99" s="1254"/>
      <c r="BL99" s="1254"/>
      <c r="BM99" s="1254"/>
      <c r="BN99" s="1389"/>
      <c r="BO99" s="1355"/>
      <c r="BP99" s="1254"/>
      <c r="BQ99" s="1254"/>
      <c r="BR99" s="1254"/>
      <c r="BS99" s="1389"/>
      <c r="BT99" s="1355"/>
      <c r="BU99" s="1254"/>
      <c r="BV99" s="1254"/>
      <c r="BW99" s="1254"/>
      <c r="BX99" s="1389"/>
      <c r="BY99" s="1254"/>
      <c r="BZ99" s="928"/>
      <c r="CA99" s="928"/>
      <c r="CB99" s="928"/>
      <c r="CC99" s="928"/>
      <c r="CD99" s="928"/>
      <c r="CE99" s="928"/>
      <c r="CF99" s="928"/>
      <c r="CG99" s="928"/>
      <c r="CH99" s="928"/>
      <c r="CI99" s="928"/>
      <c r="CJ99" s="928"/>
      <c r="CK99" s="928"/>
      <c r="CL99" s="928"/>
      <c r="CM99" s="928"/>
      <c r="CN99" s="928"/>
      <c r="CO99" s="928"/>
      <c r="CP99" s="928"/>
      <c r="CQ99" s="928"/>
      <c r="CR99" s="928"/>
      <c r="CS99" s="928"/>
      <c r="CT99" s="928"/>
      <c r="CU99" s="928"/>
      <c r="CV99" s="928"/>
      <c r="CW99" s="928"/>
      <c r="CX99" s="928"/>
      <c r="CY99" s="928"/>
      <c r="CZ99" s="928"/>
      <c r="DA99" s="928"/>
      <c r="DB99" s="928"/>
      <c r="DC99" s="928"/>
      <c r="DD99" s="928"/>
      <c r="DE99" s="928"/>
      <c r="DF99" s="928"/>
      <c r="DG99" s="928"/>
      <c r="DH99" s="928"/>
      <c r="DI99" s="928"/>
      <c r="DJ99" s="928"/>
      <c r="DK99" s="928"/>
      <c r="DL99" s="928"/>
      <c r="DM99" s="928"/>
      <c r="DN99" s="928"/>
      <c r="DO99" s="928"/>
      <c r="DP99" s="928"/>
      <c r="DQ99" s="928"/>
      <c r="DR99" s="928"/>
      <c r="DS99" s="928"/>
      <c r="DT99" s="928"/>
      <c r="DU99" s="928"/>
      <c r="DV99" s="928"/>
      <c r="DW99" s="928"/>
      <c r="DX99" s="928"/>
      <c r="DY99" s="1338"/>
      <c r="DZ99" s="928"/>
      <c r="EA99" s="928"/>
      <c r="EB99" s="928"/>
      <c r="EC99" s="1337"/>
      <c r="ED99" s="1338"/>
      <c r="EE99" s="928"/>
      <c r="EF99" s="928"/>
      <c r="EG99" s="928"/>
      <c r="EH99" s="1337"/>
      <c r="EI99" s="928"/>
      <c r="EJ99" s="928"/>
      <c r="EK99" s="928"/>
      <c r="EL99" s="928"/>
      <c r="EM99" s="1337"/>
      <c r="EN99" s="928"/>
      <c r="EO99" s="928"/>
      <c r="EP99" s="928"/>
      <c r="EQ99" s="928"/>
      <c r="ER99" s="928"/>
      <c r="ES99" s="928"/>
      <c r="ET99" s="928"/>
      <c r="EU99" s="928"/>
      <c r="EV99" s="928"/>
      <c r="EW99" s="928"/>
      <c r="EX99" s="928"/>
      <c r="EY99" s="928"/>
      <c r="EZ99" s="928"/>
      <c r="FA99" s="928"/>
      <c r="FB99" s="928"/>
      <c r="FC99" s="928"/>
      <c r="FD99" s="928"/>
      <c r="FE99" s="928"/>
      <c r="FF99" s="1363"/>
      <c r="FG99" s="928"/>
      <c r="FH99" s="1351"/>
      <c r="FI99" s="1319"/>
      <c r="FJ99" s="1612"/>
      <c r="FK99" s="1605"/>
      <c r="FL99" s="928"/>
      <c r="FM99" s="928"/>
      <c r="FN99" s="928"/>
      <c r="FO99" s="928"/>
      <c r="FP99" s="928"/>
      <c r="FQ99" s="928"/>
    </row>
    <row r="100" spans="1:173">
      <c r="A100" s="1441" t="str">
        <f t="shared" si="194"/>
        <v xml:space="preserve"> - of which Cablecom</v>
      </c>
      <c r="B100" s="928"/>
      <c r="C100" s="928"/>
      <c r="D100" s="928"/>
      <c r="E100" s="928"/>
      <c r="F100" s="928"/>
      <c r="G100" s="928"/>
      <c r="H100" s="928"/>
      <c r="I100" s="928"/>
      <c r="J100" s="928"/>
      <c r="K100" s="928"/>
      <c r="L100" s="928"/>
      <c r="M100" s="928"/>
      <c r="N100" s="928"/>
      <c r="O100" s="928"/>
      <c r="P100" s="928"/>
      <c r="Q100" s="928"/>
      <c r="R100" s="928"/>
      <c r="S100" s="928"/>
      <c r="T100" s="928"/>
      <c r="U100" s="928"/>
      <c r="V100" s="1413">
        <f t="shared" si="181"/>
        <v>0</v>
      </c>
      <c r="W100" s="1413">
        <f t="shared" si="181"/>
        <v>0</v>
      </c>
      <c r="X100" s="1413">
        <f t="shared" si="181"/>
        <v>57.724260000000008</v>
      </c>
      <c r="Y100" s="1413">
        <f t="shared" si="181"/>
        <v>261.32</v>
      </c>
      <c r="Z100" s="1254">
        <f>SUM(V100:Y100)/SUM(V262:Y262)</f>
        <v>0.23293002847338834</v>
      </c>
      <c r="AA100" s="1413">
        <f t="shared" si="198"/>
        <v>0</v>
      </c>
      <c r="AB100" s="1413"/>
      <c r="AC100" s="1413"/>
      <c r="AD100" s="1413"/>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355"/>
      <c r="BF100" s="1254"/>
      <c r="BG100" s="1254"/>
      <c r="BH100" s="1254"/>
      <c r="BI100" s="1389"/>
      <c r="BJ100" s="1355"/>
      <c r="BK100" s="1254"/>
      <c r="BL100" s="1254"/>
      <c r="BM100" s="1254"/>
      <c r="BN100" s="1389"/>
      <c r="BO100" s="1355"/>
      <c r="BP100" s="1254"/>
      <c r="BQ100" s="1254"/>
      <c r="BR100" s="1254"/>
      <c r="BS100" s="1389"/>
      <c r="BT100" s="1355"/>
      <c r="BU100" s="1254"/>
      <c r="BV100" s="1254"/>
      <c r="BW100" s="1254"/>
      <c r="BX100" s="1389"/>
      <c r="BY100" s="1254"/>
      <c r="BZ100" s="928"/>
      <c r="CA100" s="928"/>
      <c r="CB100" s="928"/>
      <c r="CC100" s="928"/>
      <c r="CD100" s="928"/>
      <c r="CE100" s="928"/>
      <c r="CF100" s="928"/>
      <c r="CG100" s="928"/>
      <c r="CH100" s="928"/>
      <c r="CI100" s="928"/>
      <c r="CJ100" s="928"/>
      <c r="CK100" s="928"/>
      <c r="CL100" s="928"/>
      <c r="CM100" s="928"/>
      <c r="CN100" s="928"/>
      <c r="CO100" s="928"/>
      <c r="CP100" s="928"/>
      <c r="CQ100" s="928"/>
      <c r="CR100" s="928"/>
      <c r="CS100" s="928"/>
      <c r="CT100" s="928"/>
      <c r="CU100" s="928"/>
      <c r="CV100" s="928"/>
      <c r="CW100" s="928"/>
      <c r="CX100" s="928"/>
      <c r="CY100" s="928"/>
      <c r="CZ100" s="928"/>
      <c r="DA100" s="928"/>
      <c r="DB100" s="928"/>
      <c r="DC100" s="928"/>
      <c r="DD100" s="928"/>
      <c r="DE100" s="928"/>
      <c r="DF100" s="928"/>
      <c r="DG100" s="928"/>
      <c r="DH100" s="928"/>
      <c r="DI100" s="928"/>
      <c r="DJ100" s="928"/>
      <c r="DK100" s="928"/>
      <c r="DL100" s="928"/>
      <c r="DM100" s="928"/>
      <c r="DN100" s="928"/>
      <c r="DO100" s="928"/>
      <c r="DP100" s="928"/>
      <c r="DQ100" s="928"/>
      <c r="DR100" s="928"/>
      <c r="DS100" s="928"/>
      <c r="DT100" s="928"/>
      <c r="DU100" s="928"/>
      <c r="DV100" s="928"/>
      <c r="DW100" s="928"/>
      <c r="DX100" s="928"/>
      <c r="DY100" s="1338"/>
      <c r="DZ100" s="928"/>
      <c r="EA100" s="928"/>
      <c r="EB100" s="928"/>
      <c r="EC100" s="1337"/>
      <c r="ED100" s="1338"/>
      <c r="EE100" s="928"/>
      <c r="EF100" s="928"/>
      <c r="EG100" s="928"/>
      <c r="EH100" s="1337"/>
      <c r="EI100" s="928"/>
      <c r="EJ100" s="928"/>
      <c r="EK100" s="928"/>
      <c r="EL100" s="928"/>
      <c r="EM100" s="1337"/>
      <c r="EN100" s="928"/>
      <c r="EO100" s="928"/>
      <c r="EP100" s="928"/>
      <c r="EQ100" s="928"/>
      <c r="ER100" s="928"/>
      <c r="ES100" s="928"/>
      <c r="ET100" s="928"/>
      <c r="EU100" s="928"/>
      <c r="EV100" s="928"/>
      <c r="EW100" s="928"/>
      <c r="EX100" s="928"/>
      <c r="EY100" s="928"/>
      <c r="EZ100" s="928"/>
      <c r="FA100" s="928"/>
      <c r="FB100" s="928"/>
      <c r="FC100" s="928"/>
      <c r="FD100" s="928"/>
      <c r="FE100" s="928"/>
      <c r="FF100" s="1363"/>
      <c r="FG100" s="928"/>
      <c r="FH100" s="1351"/>
      <c r="FI100" s="1319"/>
      <c r="FJ100" s="1612"/>
      <c r="FK100" s="1605"/>
      <c r="FL100" s="928"/>
      <c r="FM100" s="928"/>
      <c r="FN100" s="928"/>
      <c r="FO100" s="928"/>
      <c r="FP100" s="928"/>
      <c r="FQ100" s="928"/>
    </row>
    <row r="101" spans="1:173">
      <c r="A101" s="1441" t="str">
        <f t="shared" si="194"/>
        <v xml:space="preserve"> of which SKY</v>
      </c>
      <c r="B101" s="928"/>
      <c r="C101" s="928"/>
      <c r="D101" s="928"/>
      <c r="E101" s="928"/>
      <c r="F101" s="928"/>
      <c r="G101" s="928"/>
      <c r="H101" s="928"/>
      <c r="I101" s="928"/>
      <c r="J101" s="928"/>
      <c r="K101" s="928"/>
      <c r="L101" s="928"/>
      <c r="M101" s="928"/>
      <c r="N101" s="928"/>
      <c r="O101" s="928"/>
      <c r="P101" s="928"/>
      <c r="Q101" s="928"/>
      <c r="R101" s="928"/>
      <c r="S101" s="928"/>
      <c r="T101" s="928"/>
      <c r="U101" s="928"/>
      <c r="V101" s="1413">
        <f t="shared" si="181"/>
        <v>971.08200000000011</v>
      </c>
      <c r="W101" s="1413">
        <f t="shared" si="181"/>
        <v>1164.8</v>
      </c>
      <c r="X101" s="1413">
        <f t="shared" si="181"/>
        <v>1343.4009600000002</v>
      </c>
      <c r="Y101" s="1413">
        <f t="shared" si="181"/>
        <v>1715.2599999999998</v>
      </c>
      <c r="Z101" s="1254"/>
      <c r="AA101" s="1413">
        <f t="shared" si="198"/>
        <v>1089.19</v>
      </c>
      <c r="AB101" s="1413">
        <f t="shared" ref="AB101:AD102" si="199">AB90*AB$180</f>
        <v>1256.24</v>
      </c>
      <c r="AC101" s="1413">
        <f t="shared" si="199"/>
        <v>1471.38</v>
      </c>
      <c r="AD101" s="1413">
        <f t="shared" si="199"/>
        <v>1929.33</v>
      </c>
      <c r="AE101" s="1254"/>
      <c r="AF101" s="1413">
        <f t="shared" ref="AF101:AI102" si="200">AF90*AF$180</f>
        <v>1583.1870421538467</v>
      </c>
      <c r="AG101" s="1413">
        <f t="shared" si="200"/>
        <v>1801.3600000000001</v>
      </c>
      <c r="AH101" s="1413">
        <f t="shared" si="200"/>
        <v>1573.9640000000002</v>
      </c>
      <c r="AI101" s="1413">
        <f t="shared" si="200"/>
        <v>1462.9450000000004</v>
      </c>
      <c r="AJ101" s="1254"/>
      <c r="AK101" s="1413">
        <f t="shared" ref="AK101:AN102" si="201">AK90*AK$180</f>
        <v>1075.9000000000001</v>
      </c>
      <c r="AL101" s="1413">
        <f t="shared" si="201"/>
        <v>901.53000000000009</v>
      </c>
      <c r="AM101" s="1413">
        <f t="shared" si="201"/>
        <v>871.34383384615421</v>
      </c>
      <c r="AN101" s="1413">
        <f t="shared" si="201"/>
        <v>1156.4910000000002</v>
      </c>
      <c r="AO101" s="1254"/>
      <c r="AP101" s="1413">
        <f t="shared" ref="AP101:AS102" si="202">AP90*AP$180</f>
        <v>749.31218461538447</v>
      </c>
      <c r="AQ101" s="1413">
        <f t="shared" si="202"/>
        <v>1087.52</v>
      </c>
      <c r="AR101" s="1413">
        <f t="shared" si="202"/>
        <v>857.98199999999997</v>
      </c>
      <c r="AS101" s="1413">
        <f t="shared" si="202"/>
        <v>1359.1699999999998</v>
      </c>
      <c r="AT101" s="1254"/>
      <c r="AU101" s="1413">
        <f t="shared" ref="AU101:AX102" si="203">AU90*AU$180</f>
        <v>904.34318203125019</v>
      </c>
      <c r="AV101" s="1413">
        <f t="shared" si="203"/>
        <v>726.18</v>
      </c>
      <c r="AW101" s="1413">
        <f t="shared" si="203"/>
        <v>979.69999999999993</v>
      </c>
      <c r="AX101" s="1413">
        <f t="shared" si="203"/>
        <v>1414.875</v>
      </c>
      <c r="AY101" s="1254"/>
      <c r="AZ101" s="1413">
        <f t="shared" ref="AZ101:BC102" si="204">AZ90*AZ$180</f>
        <v>1236.0079864615382</v>
      </c>
      <c r="BA101" s="1413">
        <f t="shared" si="204"/>
        <v>1254.429520923077</v>
      </c>
      <c r="BB101" s="1413">
        <f t="shared" si="204"/>
        <v>1433.1640833333333</v>
      </c>
      <c r="BC101" s="1413">
        <f t="shared" si="204"/>
        <v>1431.2837972727264</v>
      </c>
      <c r="BD101" s="1254"/>
      <c r="BE101" s="1499">
        <f t="shared" ref="BE101:BH102" si="205">BE90*BE$180</f>
        <v>1497.0458500000004</v>
      </c>
      <c r="BF101" s="1413">
        <f t="shared" si="205"/>
        <v>1099.1238452307693</v>
      </c>
      <c r="BG101" s="1413">
        <f t="shared" si="205"/>
        <v>1268.1042454545459</v>
      </c>
      <c r="BH101" s="1413">
        <f t="shared" si="205"/>
        <v>1085.1242828787879</v>
      </c>
      <c r="BI101" s="1500">
        <f>Master!T88</f>
        <v>4951.6956950725162</v>
      </c>
      <c r="BJ101" s="1499">
        <f t="shared" ref="BJ101:BL102" si="206">BJ90*BJ$180</f>
        <v>1129.6722372307686</v>
      </c>
      <c r="BK101" s="1413">
        <f t="shared" si="206"/>
        <v>1100.215088307692</v>
      </c>
      <c r="BL101" s="1413">
        <f t="shared" si="206"/>
        <v>841.71007030303042</v>
      </c>
      <c r="BM101" s="1413">
        <f t="shared" ref="BM101" si="207">BM90*BM$180</f>
        <v>813.11779999999987</v>
      </c>
      <c r="BN101" s="1500">
        <f>Master!U88</f>
        <v>3883.241</v>
      </c>
      <c r="BO101" s="1499">
        <f t="shared" ref="BO101:BQ102" si="208">BO90*BO$180</f>
        <v>800.51400000000001</v>
      </c>
      <c r="BP101" s="1413">
        <f t="shared" si="208"/>
        <v>717.40200000000004</v>
      </c>
      <c r="BQ101" s="1413">
        <f t="shared" si="208"/>
        <v>484.78800000000001</v>
      </c>
      <c r="BR101" s="1413">
        <f t="shared" ref="BR101" si="209">BR90*BR$180</f>
        <v>654.6149999999999</v>
      </c>
      <c r="BS101" s="1500">
        <f>Master!V88</f>
        <v>2640.8399999999997</v>
      </c>
      <c r="BT101" s="1499">
        <f t="shared" ref="BT101:BW102" si="210">BT90*BT$180</f>
        <v>407.28</v>
      </c>
      <c r="BU101" s="1413">
        <f t="shared" si="210"/>
        <v>680</v>
      </c>
      <c r="BV101" s="1413">
        <f t="shared" si="210"/>
        <v>510</v>
      </c>
      <c r="BW101" s="1413">
        <f t="shared" si="210"/>
        <v>655.79056106359599</v>
      </c>
      <c r="BX101" s="1500">
        <f>Master!W88</f>
        <v>2251.9050200465481</v>
      </c>
      <c r="BY101" s="1254"/>
      <c r="BZ101" s="928"/>
      <c r="CA101" s="928"/>
      <c r="CB101" s="928"/>
      <c r="CC101" s="928"/>
      <c r="CD101" s="928"/>
      <c r="CE101" s="928"/>
      <c r="CF101" s="928"/>
      <c r="CG101" s="928"/>
      <c r="CH101" s="928"/>
      <c r="CI101" s="928"/>
      <c r="CJ101" s="928"/>
      <c r="CK101" s="928"/>
      <c r="CL101" s="928"/>
      <c r="CM101" s="928"/>
      <c r="CN101" s="928"/>
      <c r="CO101" s="928"/>
      <c r="CP101" s="928"/>
      <c r="CQ101" s="928"/>
      <c r="CR101" s="928"/>
      <c r="CS101" s="928"/>
      <c r="CT101" s="928"/>
      <c r="CU101" s="928"/>
      <c r="CV101" s="928"/>
      <c r="CW101" s="928"/>
      <c r="CX101" s="928"/>
      <c r="CY101" s="928"/>
      <c r="CZ101" s="928"/>
      <c r="DA101" s="928"/>
      <c r="DB101" s="928"/>
      <c r="DC101" s="928"/>
      <c r="DD101" s="928"/>
      <c r="DE101" s="928"/>
      <c r="DF101" s="928"/>
      <c r="DG101" s="928"/>
      <c r="DH101" s="928"/>
      <c r="DI101" s="928"/>
      <c r="DJ101" s="928"/>
      <c r="DK101" s="928"/>
      <c r="DL101" s="928"/>
      <c r="DM101" s="928"/>
      <c r="DN101" s="928"/>
      <c r="DO101" s="928"/>
      <c r="DP101" s="928"/>
      <c r="DQ101" s="928"/>
      <c r="DR101" s="928"/>
      <c r="DS101" s="928"/>
      <c r="DT101" s="928"/>
      <c r="DU101" s="928"/>
      <c r="DV101" s="928"/>
      <c r="DW101" s="928"/>
      <c r="DX101" s="928"/>
      <c r="DY101" s="1338"/>
      <c r="DZ101" s="928"/>
      <c r="EA101" s="928"/>
      <c r="EB101" s="928"/>
      <c r="EC101" s="1337"/>
      <c r="ED101" s="1338"/>
      <c r="EE101" s="928"/>
      <c r="EF101" s="928"/>
      <c r="EG101" s="928"/>
      <c r="EH101" s="1337"/>
      <c r="EI101" s="928"/>
      <c r="EJ101" s="928"/>
      <c r="EK101" s="928"/>
      <c r="EL101" s="928"/>
      <c r="EM101" s="1337"/>
      <c r="EN101" s="928"/>
      <c r="EO101" s="928"/>
      <c r="EP101" s="928"/>
      <c r="EQ101" s="928"/>
      <c r="ER101" s="928"/>
      <c r="ES101" s="928"/>
      <c r="ET101" s="928"/>
      <c r="EU101" s="928"/>
      <c r="EV101" s="928"/>
      <c r="EW101" s="928"/>
      <c r="EX101" s="928"/>
      <c r="EY101" s="928"/>
      <c r="EZ101" s="928"/>
      <c r="FA101" s="928"/>
      <c r="FB101" s="928"/>
      <c r="FC101" s="928"/>
      <c r="FD101" s="928"/>
      <c r="FE101" s="928"/>
      <c r="FF101" s="1429">
        <v>749.76</v>
      </c>
      <c r="FG101" s="928"/>
      <c r="FH101" s="1425">
        <v>849.70761826562557</v>
      </c>
      <c r="FI101" s="1319"/>
      <c r="FJ101" s="1621">
        <v>728.01299999999992</v>
      </c>
      <c r="FK101" s="1605"/>
      <c r="FL101" s="928"/>
      <c r="FM101" s="928"/>
      <c r="FN101" s="928"/>
      <c r="FO101" s="928"/>
      <c r="FP101" s="928"/>
      <c r="FQ101" s="928"/>
    </row>
    <row r="102" spans="1:173">
      <c r="A102" s="1441" t="str">
        <f t="shared" si="194"/>
        <v xml:space="preserve"> of which Content/other</v>
      </c>
      <c r="B102" s="928"/>
      <c r="C102" s="928"/>
      <c r="D102" s="928"/>
      <c r="E102" s="928"/>
      <c r="F102" s="928"/>
      <c r="G102" s="928"/>
      <c r="H102" s="928"/>
      <c r="I102" s="928"/>
      <c r="J102" s="928"/>
      <c r="K102" s="928"/>
      <c r="L102" s="928"/>
      <c r="M102" s="928"/>
      <c r="N102" s="928"/>
      <c r="O102" s="928"/>
      <c r="P102" s="928"/>
      <c r="Q102" s="928"/>
      <c r="R102" s="928"/>
      <c r="S102" s="928"/>
      <c r="T102" s="928"/>
      <c r="U102" s="928"/>
      <c r="V102" s="1413">
        <f t="shared" si="181"/>
        <v>308.25899999999979</v>
      </c>
      <c r="W102" s="1413">
        <f t="shared" si="181"/>
        <v>466.70000000000005</v>
      </c>
      <c r="X102" s="1413">
        <f t="shared" si="181"/>
        <v>613.97622000000001</v>
      </c>
      <c r="Y102" s="1413">
        <f t="shared" si="181"/>
        <v>1048.0600000000004</v>
      </c>
      <c r="Z102" s="1254"/>
      <c r="AA102" s="1413">
        <f t="shared" si="198"/>
        <v>227.97000000000003</v>
      </c>
      <c r="AB102" s="1413">
        <f t="shared" si="199"/>
        <v>461.13200000000001</v>
      </c>
      <c r="AC102" s="1413">
        <f t="shared" si="199"/>
        <v>876.25200000000007</v>
      </c>
      <c r="AD102" s="1413">
        <f t="shared" si="199"/>
        <v>1119.6709999999998</v>
      </c>
      <c r="AE102" s="1254"/>
      <c r="AF102" s="1413">
        <f t="shared" si="200"/>
        <v>611.27609030769258</v>
      </c>
      <c r="AG102" s="1413">
        <f t="shared" si="200"/>
        <v>468.14000000000004</v>
      </c>
      <c r="AH102" s="1413">
        <f t="shared" si="200"/>
        <v>954.88400000000001</v>
      </c>
      <c r="AI102" s="1413">
        <f t="shared" si="200"/>
        <v>772.16500000000008</v>
      </c>
      <c r="AJ102" s="1254"/>
      <c r="AK102" s="1413">
        <f t="shared" si="201"/>
        <v>282.17</v>
      </c>
      <c r="AL102" s="1413">
        <f t="shared" si="201"/>
        <v>257.84500000000003</v>
      </c>
      <c r="AM102" s="1413">
        <f t="shared" si="201"/>
        <v>534.56676923076952</v>
      </c>
      <c r="AN102" s="1413">
        <f t="shared" si="201"/>
        <v>1059.6419999999996</v>
      </c>
      <c r="AO102" s="1254"/>
      <c r="AP102" s="1413">
        <f t="shared" si="202"/>
        <v>236.0333381538461</v>
      </c>
      <c r="AQ102" s="1413">
        <f t="shared" si="202"/>
        <v>501.03600000000006</v>
      </c>
      <c r="AR102" s="1413">
        <f t="shared" si="202"/>
        <v>695.09800000000007</v>
      </c>
      <c r="AS102" s="1413">
        <f t="shared" si="202"/>
        <v>392.03000000000003</v>
      </c>
      <c r="AT102" s="1254"/>
      <c r="AU102" s="1413">
        <f t="shared" si="203"/>
        <v>117.12300234375002</v>
      </c>
      <c r="AV102" s="1413">
        <f t="shared" si="203"/>
        <v>273.27300000000002</v>
      </c>
      <c r="AW102" s="1413">
        <f t="shared" si="203"/>
        <v>432.62</v>
      </c>
      <c r="AX102" s="1413">
        <f t="shared" si="203"/>
        <v>1253.1750000000002</v>
      </c>
      <c r="AY102" s="1254"/>
      <c r="AZ102" s="1413">
        <f t="shared" si="204"/>
        <v>94.000607384615364</v>
      </c>
      <c r="BA102" s="1413">
        <f t="shared" si="204"/>
        <v>156.22077676923078</v>
      </c>
      <c r="BB102" s="1413">
        <f t="shared" si="204"/>
        <v>304.74059090909094</v>
      </c>
      <c r="BC102" s="1413">
        <f t="shared" si="204"/>
        <v>30.80237727272727</v>
      </c>
      <c r="BD102" s="1254"/>
      <c r="BE102" s="1499">
        <f t="shared" si="205"/>
        <v>34.578504687500008</v>
      </c>
      <c r="BF102" s="1413">
        <f t="shared" si="205"/>
        <v>384.39303876923083</v>
      </c>
      <c r="BG102" s="1413">
        <f t="shared" si="205"/>
        <v>506.84103333333354</v>
      </c>
      <c r="BH102" s="1413">
        <f t="shared" si="205"/>
        <v>89.216719242424219</v>
      </c>
      <c r="BI102" s="1500">
        <f>Master!T87</f>
        <v>1024.4188144250802</v>
      </c>
      <c r="BJ102" s="1499">
        <f t="shared" si="206"/>
        <v>106.61153599999994</v>
      </c>
      <c r="BK102" s="1413">
        <f t="shared" si="206"/>
        <v>2.0040347692307687</v>
      </c>
      <c r="BL102" s="1413">
        <f t="shared" si="206"/>
        <v>66.770269999999996</v>
      </c>
      <c r="BM102" s="1413">
        <f t="shared" ref="BM102" si="211">BM91*BM$180</f>
        <v>172.42016000000001</v>
      </c>
      <c r="BN102" s="1500">
        <f>Master!U87</f>
        <v>341.87</v>
      </c>
      <c r="BO102" s="1499">
        <f t="shared" si="208"/>
        <v>13.061999999999999</v>
      </c>
      <c r="BP102" s="1413">
        <f t="shared" si="208"/>
        <v>199.67100000000002</v>
      </c>
      <c r="BQ102" s="1413">
        <f t="shared" si="208"/>
        <v>293.60399999999998</v>
      </c>
      <c r="BR102" s="1413">
        <f t="shared" ref="BR102" si="212">BR91*BR$180</f>
        <v>300.10499999999996</v>
      </c>
      <c r="BS102" s="1500">
        <f>Master!V87</f>
        <v>819.50999999999988</v>
      </c>
      <c r="BT102" s="1499">
        <f t="shared" ref="BT102:BV102" si="213">BT91*BT$180</f>
        <v>1.6970000000000001</v>
      </c>
      <c r="BU102" s="1413">
        <f t="shared" si="213"/>
        <v>0</v>
      </c>
      <c r="BV102" s="1413">
        <f t="shared" si="213"/>
        <v>0</v>
      </c>
      <c r="BW102" s="1413">
        <f t="shared" si="210"/>
        <v>0</v>
      </c>
      <c r="BX102" s="1500">
        <f>Master!W87</f>
        <v>0</v>
      </c>
      <c r="BY102" s="1254"/>
      <c r="BZ102" s="928"/>
      <c r="CA102" s="928"/>
      <c r="CB102" s="928"/>
      <c r="CC102" s="928"/>
      <c r="CD102" s="928"/>
      <c r="CE102" s="928"/>
      <c r="CF102" s="928"/>
      <c r="CG102" s="928"/>
      <c r="CH102" s="928"/>
      <c r="CI102" s="928"/>
      <c r="CJ102" s="928"/>
      <c r="CK102" s="928"/>
      <c r="CL102" s="928"/>
      <c r="CM102" s="928"/>
      <c r="CN102" s="928"/>
      <c r="CO102" s="928"/>
      <c r="CP102" s="928"/>
      <c r="CQ102" s="928"/>
      <c r="CR102" s="928"/>
      <c r="CS102" s="928"/>
      <c r="CT102" s="928"/>
      <c r="CU102" s="928"/>
      <c r="CV102" s="928"/>
      <c r="CW102" s="928"/>
      <c r="CX102" s="928"/>
      <c r="CY102" s="928"/>
      <c r="CZ102" s="928"/>
      <c r="DA102" s="928"/>
      <c r="DB102" s="928"/>
      <c r="DC102" s="928"/>
      <c r="DD102" s="928"/>
      <c r="DE102" s="928"/>
      <c r="DF102" s="928"/>
      <c r="DG102" s="928"/>
      <c r="DH102" s="928"/>
      <c r="DI102" s="928"/>
      <c r="DJ102" s="928"/>
      <c r="DK102" s="928"/>
      <c r="DL102" s="928"/>
      <c r="DM102" s="928"/>
      <c r="DN102" s="928"/>
      <c r="DO102" s="928"/>
      <c r="DP102" s="928"/>
      <c r="DQ102" s="928"/>
      <c r="DR102" s="928"/>
      <c r="DS102" s="928"/>
      <c r="DT102" s="928"/>
      <c r="DU102" s="928"/>
      <c r="DV102" s="928"/>
      <c r="DW102" s="928"/>
      <c r="DX102" s="928"/>
      <c r="DY102" s="1338"/>
      <c r="DZ102" s="928"/>
      <c r="EA102" s="928"/>
      <c r="EB102" s="928"/>
      <c r="EC102" s="1337"/>
      <c r="ED102" s="1338"/>
      <c r="EE102" s="928"/>
      <c r="EF102" s="928"/>
      <c r="EG102" s="928"/>
      <c r="EH102" s="1337"/>
      <c r="EI102" s="928"/>
      <c r="EJ102" s="928"/>
      <c r="EK102" s="928"/>
      <c r="EL102" s="928"/>
      <c r="EM102" s="1337"/>
      <c r="EN102" s="928"/>
      <c r="EO102" s="928"/>
      <c r="EP102" s="928"/>
      <c r="EQ102" s="928"/>
      <c r="ER102" s="928"/>
      <c r="ES102" s="928"/>
      <c r="ET102" s="928"/>
      <c r="EU102" s="928"/>
      <c r="EV102" s="928"/>
      <c r="EW102" s="928"/>
      <c r="EX102" s="928"/>
      <c r="EY102" s="928"/>
      <c r="EZ102" s="928"/>
      <c r="FA102" s="928"/>
      <c r="FB102" s="928"/>
      <c r="FC102" s="928"/>
      <c r="FD102" s="928"/>
      <c r="FE102" s="928"/>
      <c r="FF102" s="1429">
        <v>255.6</v>
      </c>
      <c r="FG102" s="928"/>
      <c r="FH102" s="1425">
        <v>173.66299999999995</v>
      </c>
      <c r="FI102" s="1319"/>
      <c r="FJ102" s="1621">
        <v>33.94</v>
      </c>
      <c r="FK102" s="1605"/>
      <c r="FL102" s="928"/>
      <c r="FM102" s="928"/>
      <c r="FN102" s="928"/>
      <c r="FO102" s="928"/>
      <c r="FP102" s="928"/>
      <c r="FQ102" s="928"/>
    </row>
    <row r="103" spans="1:173">
      <c r="A103" s="1441"/>
      <c r="B103" s="928"/>
      <c r="C103" s="928"/>
      <c r="D103" s="928"/>
      <c r="E103" s="928"/>
      <c r="F103" s="928"/>
      <c r="G103" s="928"/>
      <c r="H103" s="928"/>
      <c r="I103" s="928"/>
      <c r="J103" s="928"/>
      <c r="K103" s="928"/>
      <c r="L103" s="928"/>
      <c r="M103" s="928"/>
      <c r="N103" s="928"/>
      <c r="O103" s="928"/>
      <c r="P103" s="928"/>
      <c r="Q103" s="928"/>
      <c r="R103" s="928"/>
      <c r="S103" s="928"/>
      <c r="T103" s="928"/>
      <c r="U103" s="928"/>
      <c r="V103" s="928"/>
      <c r="W103" s="928"/>
      <c r="X103" s="928"/>
      <c r="Y103" s="928"/>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355"/>
      <c r="BF103" s="1254"/>
      <c r="BG103" s="1254"/>
      <c r="BH103" s="1254"/>
      <c r="BI103" s="1389"/>
      <c r="BJ103" s="1355"/>
      <c r="BK103" s="1254"/>
      <c r="BL103" s="1254"/>
      <c r="BM103" s="1254"/>
      <c r="BN103" s="1389"/>
      <c r="BO103" s="1355"/>
      <c r="BP103" s="1254"/>
      <c r="BQ103" s="1254"/>
      <c r="BR103" s="1254"/>
      <c r="BS103" s="1389"/>
      <c r="BT103" s="1355"/>
      <c r="BU103" s="1254"/>
      <c r="BV103" s="1254"/>
      <c r="BW103" s="1254"/>
      <c r="BX103" s="1389"/>
      <c r="BY103" s="1254"/>
      <c r="BZ103" s="928"/>
      <c r="CA103" s="928"/>
      <c r="CB103" s="928"/>
      <c r="CC103" s="928"/>
      <c r="CD103" s="928"/>
      <c r="CE103" s="928"/>
      <c r="CF103" s="928"/>
      <c r="CG103" s="928"/>
      <c r="CH103" s="928"/>
      <c r="CI103" s="928"/>
      <c r="CJ103" s="928"/>
      <c r="CK103" s="928"/>
      <c r="CL103" s="928"/>
      <c r="CM103" s="928"/>
      <c r="CN103" s="928"/>
      <c r="CO103" s="928"/>
      <c r="CP103" s="928"/>
      <c r="CQ103" s="928"/>
      <c r="CR103" s="928"/>
      <c r="CS103" s="928"/>
      <c r="CT103" s="928"/>
      <c r="CU103" s="928"/>
      <c r="CV103" s="928"/>
      <c r="CW103" s="928"/>
      <c r="CX103" s="928"/>
      <c r="CY103" s="928"/>
      <c r="CZ103" s="928"/>
      <c r="DA103" s="928"/>
      <c r="DB103" s="928"/>
      <c r="DC103" s="928"/>
      <c r="DD103" s="928"/>
      <c r="DE103" s="928"/>
      <c r="DF103" s="928"/>
      <c r="DG103" s="928"/>
      <c r="DH103" s="928"/>
      <c r="DI103" s="928"/>
      <c r="DJ103" s="928"/>
      <c r="DK103" s="928"/>
      <c r="DL103" s="928"/>
      <c r="DM103" s="928"/>
      <c r="DN103" s="928"/>
      <c r="DO103" s="928"/>
      <c r="DP103" s="928"/>
      <c r="DQ103" s="928"/>
      <c r="DR103" s="928"/>
      <c r="DS103" s="928"/>
      <c r="DT103" s="928"/>
      <c r="DU103" s="928"/>
      <c r="DV103" s="928"/>
      <c r="DW103" s="928"/>
      <c r="DX103" s="928"/>
      <c r="DY103" s="1338"/>
      <c r="DZ103" s="928"/>
      <c r="EA103" s="928"/>
      <c r="EB103" s="928"/>
      <c r="EC103" s="1337"/>
      <c r="ED103" s="1338"/>
      <c r="EE103" s="928"/>
      <c r="EF103" s="928"/>
      <c r="EG103" s="928"/>
      <c r="EH103" s="1337"/>
      <c r="EI103" s="928"/>
      <c r="EJ103" s="928"/>
      <c r="EK103" s="928"/>
      <c r="EL103" s="928"/>
      <c r="EM103" s="1337"/>
      <c r="EN103" s="928"/>
      <c r="EO103" s="928"/>
      <c r="EP103" s="928"/>
      <c r="EQ103" s="928"/>
      <c r="ER103" s="928"/>
      <c r="ES103" s="928"/>
      <c r="ET103" s="928"/>
      <c r="EU103" s="928"/>
      <c r="EV103" s="928"/>
      <c r="EW103" s="928"/>
      <c r="EX103" s="928"/>
      <c r="EY103" s="928"/>
      <c r="EZ103" s="928"/>
      <c r="FA103" s="928"/>
      <c r="FB103" s="928"/>
      <c r="FC103" s="928"/>
      <c r="FD103" s="928"/>
      <c r="FE103" s="928"/>
      <c r="FF103" s="1363"/>
      <c r="FG103" s="928"/>
      <c r="FH103" s="1351"/>
      <c r="FI103" s="1319"/>
      <c r="FJ103" s="1612"/>
      <c r="FK103" s="1605"/>
      <c r="FL103" s="928"/>
      <c r="FM103" s="928"/>
      <c r="FN103" s="928"/>
      <c r="FO103" s="928"/>
      <c r="FP103" s="928"/>
      <c r="FQ103" s="928"/>
    </row>
    <row r="104" spans="1:173">
      <c r="A104" s="1441"/>
      <c r="B104" s="928"/>
      <c r="C104" s="928"/>
      <c r="D104" s="928"/>
      <c r="E104" s="928"/>
      <c r="F104" s="928"/>
      <c r="G104" s="928"/>
      <c r="H104" s="928"/>
      <c r="I104" s="928"/>
      <c r="J104" s="928"/>
      <c r="K104" s="928"/>
      <c r="L104" s="928"/>
      <c r="M104" s="928"/>
      <c r="N104" s="928"/>
      <c r="O104" s="928"/>
      <c r="P104" s="928"/>
      <c r="Q104" s="928"/>
      <c r="R104" s="928"/>
      <c r="S104" s="928"/>
      <c r="T104" s="928"/>
      <c r="U104" s="928"/>
      <c r="V104" s="928"/>
      <c r="W104" s="928"/>
      <c r="X104" s="928"/>
      <c r="Y104" s="928"/>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355"/>
      <c r="BF104" s="1254"/>
      <c r="BG104" s="1254"/>
      <c r="BH104" s="1254"/>
      <c r="BI104" s="1389"/>
      <c r="BJ104" s="1355"/>
      <c r="BK104" s="1254"/>
      <c r="BL104" s="1254"/>
      <c r="BM104" s="1254"/>
      <c r="BN104" s="1389"/>
      <c r="BO104" s="1355"/>
      <c r="BP104" s="1254"/>
      <c r="BQ104" s="1254"/>
      <c r="BR104" s="1254"/>
      <c r="BS104" s="1389"/>
      <c r="BT104" s="1355"/>
      <c r="BU104" s="1254"/>
      <c r="BV104" s="1254"/>
      <c r="BW104" s="1254"/>
      <c r="BX104" s="1389"/>
      <c r="BY104" s="1254"/>
      <c r="BZ104" s="928"/>
      <c r="CA104" s="928"/>
      <c r="CB104" s="928"/>
      <c r="CC104" s="928"/>
      <c r="CD104" s="928"/>
      <c r="CE104" s="928"/>
      <c r="CF104" s="928"/>
      <c r="CG104" s="928"/>
      <c r="CH104" s="928"/>
      <c r="CI104" s="928"/>
      <c r="CJ104" s="928"/>
      <c r="CK104" s="928"/>
      <c r="CL104" s="928"/>
      <c r="CM104" s="928"/>
      <c r="CN104" s="928"/>
      <c r="CO104" s="928"/>
      <c r="CP104" s="928"/>
      <c r="CQ104" s="928"/>
      <c r="CR104" s="928"/>
      <c r="CS104" s="928"/>
      <c r="CT104" s="928"/>
      <c r="CU104" s="928"/>
      <c r="CV104" s="928"/>
      <c r="CW104" s="928"/>
      <c r="CX104" s="928"/>
      <c r="CY104" s="928"/>
      <c r="CZ104" s="928"/>
      <c r="DA104" s="928"/>
      <c r="DB104" s="928"/>
      <c r="DC104" s="928"/>
      <c r="DD104" s="928"/>
      <c r="DE104" s="928"/>
      <c r="DF104" s="928"/>
      <c r="DG104" s="928"/>
      <c r="DH104" s="928"/>
      <c r="DI104" s="928"/>
      <c r="DJ104" s="928"/>
      <c r="DK104" s="928"/>
      <c r="DL104" s="928"/>
      <c r="DM104" s="928"/>
      <c r="DN104" s="928"/>
      <c r="DO104" s="928"/>
      <c r="DP104" s="928"/>
      <c r="DQ104" s="928"/>
      <c r="DR104" s="928"/>
      <c r="DS104" s="928"/>
      <c r="DT104" s="928"/>
      <c r="DU104" s="928"/>
      <c r="DV104" s="928"/>
      <c r="DW104" s="928"/>
      <c r="DX104" s="928"/>
      <c r="DY104" s="1338"/>
      <c r="DZ104" s="928"/>
      <c r="EA104" s="928"/>
      <c r="EB104" s="928"/>
      <c r="EC104" s="1337"/>
      <c r="ED104" s="1338"/>
      <c r="EE104" s="928"/>
      <c r="EF104" s="928"/>
      <c r="EG104" s="928"/>
      <c r="EH104" s="1337"/>
      <c r="EI104" s="928"/>
      <c r="EJ104" s="928"/>
      <c r="EK104" s="928"/>
      <c r="EL104" s="928"/>
      <c r="EM104" s="1337"/>
      <c r="EN104" s="928"/>
      <c r="EO104" s="928"/>
      <c r="EP104" s="928"/>
      <c r="EQ104" s="928"/>
      <c r="ER104" s="928"/>
      <c r="ES104" s="928"/>
      <c r="ET104" s="928"/>
      <c r="EU104" s="928"/>
      <c r="EV104" s="928"/>
      <c r="EW104" s="928"/>
      <c r="EX104" s="928"/>
      <c r="EY104" s="928"/>
      <c r="EZ104" s="928"/>
      <c r="FA104" s="928"/>
      <c r="FB104" s="928"/>
      <c r="FC104" s="928"/>
      <c r="FD104" s="928"/>
      <c r="FE104" s="928"/>
      <c r="FF104" s="1363"/>
      <c r="FG104" s="928"/>
      <c r="FH104" s="1351"/>
      <c r="FI104" s="1319"/>
      <c r="FJ104" s="1612"/>
      <c r="FK104" s="1605"/>
      <c r="FL104" s="928"/>
      <c r="FM104" s="928"/>
      <c r="FN104" s="928"/>
      <c r="FO104" s="928"/>
      <c r="FP104" s="928"/>
      <c r="FQ104" s="928"/>
    </row>
    <row r="105" spans="1:173">
      <c r="A105" s="1441" t="s">
        <v>7713</v>
      </c>
      <c r="B105" s="928"/>
      <c r="C105" s="928"/>
      <c r="D105" s="928"/>
      <c r="E105" s="928"/>
      <c r="F105" s="928"/>
      <c r="G105" s="928"/>
      <c r="H105" s="928"/>
      <c r="I105" s="928"/>
      <c r="J105" s="928"/>
      <c r="K105" s="928"/>
      <c r="L105" s="928"/>
      <c r="M105" s="928"/>
      <c r="N105" s="928"/>
      <c r="O105" s="928"/>
      <c r="P105" s="928"/>
      <c r="Q105" s="928"/>
      <c r="R105" s="928"/>
      <c r="S105" s="928"/>
      <c r="T105" s="928"/>
      <c r="U105" s="928"/>
      <c r="V105" s="928"/>
      <c r="W105" s="928"/>
      <c r="X105" s="928"/>
      <c r="Y105" s="928"/>
      <c r="Z105" s="1254"/>
      <c r="AA105" s="1254"/>
      <c r="AB105" s="1254"/>
      <c r="AC105" s="1254"/>
      <c r="AD105" s="1254">
        <f>SUM(AA94:AD94)/SUM(AA13:AD13)</f>
        <v>1.3259829641363907</v>
      </c>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355">
        <f t="shared" ref="BE105:BR105" si="214">BE94/BE16</f>
        <v>0.21799288125321409</v>
      </c>
      <c r="BF105" s="1254">
        <f t="shared" si="214"/>
        <v>0.21059617403030423</v>
      </c>
      <c r="BG105" s="1254">
        <f t="shared" si="214"/>
        <v>0.25901514011568255</v>
      </c>
      <c r="BH105" s="1254">
        <f t="shared" si="214"/>
        <v>0.15644248181877449</v>
      </c>
      <c r="BI105" s="1389">
        <f t="shared" si="214"/>
        <v>0.20996583695882276</v>
      </c>
      <c r="BJ105" s="1355">
        <f t="shared" si="214"/>
        <v>0.25007908417813546</v>
      </c>
      <c r="BK105" s="1254">
        <f t="shared" si="214"/>
        <v>0.25694683910589428</v>
      </c>
      <c r="BL105" s="1254">
        <f t="shared" si="214"/>
        <v>0.21759514567524441</v>
      </c>
      <c r="BM105" s="1254">
        <f t="shared" si="214"/>
        <v>0.18298377709744248</v>
      </c>
      <c r="BN105" s="1389">
        <f t="shared" si="214"/>
        <v>0.22623538565060139</v>
      </c>
      <c r="BO105" s="1355">
        <f t="shared" si="214"/>
        <v>0.21133296834240442</v>
      </c>
      <c r="BP105" s="1254">
        <f t="shared" si="214"/>
        <v>0.19338074667981528</v>
      </c>
      <c r="BQ105" s="1254">
        <f t="shared" si="214"/>
        <v>0.17293161483669214</v>
      </c>
      <c r="BR105" s="1254">
        <f t="shared" si="214"/>
        <v>0.21448128820795911</v>
      </c>
      <c r="BS105" s="1389"/>
      <c r="BT105" s="1355">
        <f>BT94/BT16</f>
        <v>0.12733628058503152</v>
      </c>
      <c r="BU105" s="1254">
        <f>BU94/BU16</f>
        <v>0.23157894736842105</v>
      </c>
      <c r="BV105" s="1254">
        <f>BV94/BV16</f>
        <v>0.21052631578947367</v>
      </c>
      <c r="BW105" s="1254">
        <f>BW94/BW16</f>
        <v>0.22858249649078713</v>
      </c>
      <c r="BX105" s="1389"/>
      <c r="BY105" s="1254"/>
      <c r="BZ105" s="928"/>
      <c r="CA105" s="928"/>
      <c r="CB105" s="928"/>
      <c r="CC105" s="928"/>
      <c r="CD105" s="928"/>
      <c r="CE105" s="928"/>
      <c r="CF105" s="928"/>
      <c r="CG105" s="928"/>
      <c r="CH105" s="928"/>
      <c r="CI105" s="928"/>
      <c r="CJ105" s="928"/>
      <c r="CK105" s="928"/>
      <c r="CL105" s="928"/>
      <c r="CM105" s="928"/>
      <c r="CN105" s="928"/>
      <c r="CO105" s="928"/>
      <c r="CP105" s="928"/>
      <c r="CQ105" s="928"/>
      <c r="CR105" s="928"/>
      <c r="CS105" s="928"/>
      <c r="CT105" s="928"/>
      <c r="CU105" s="928"/>
      <c r="CV105" s="928"/>
      <c r="CW105" s="928"/>
      <c r="CX105" s="928"/>
      <c r="CY105" s="928"/>
      <c r="CZ105" s="928"/>
      <c r="DA105" s="928"/>
      <c r="DB105" s="928"/>
      <c r="DC105" s="928"/>
      <c r="DD105" s="928"/>
      <c r="DE105" s="928"/>
      <c r="DF105" s="928"/>
      <c r="DG105" s="928"/>
      <c r="DH105" s="928"/>
      <c r="DI105" s="928"/>
      <c r="DJ105" s="928"/>
      <c r="DK105" s="928"/>
      <c r="DL105" s="928"/>
      <c r="DM105" s="928"/>
      <c r="DN105" s="928"/>
      <c r="DO105" s="928"/>
      <c r="DP105" s="928"/>
      <c r="DQ105" s="928"/>
      <c r="DR105" s="928"/>
      <c r="DS105" s="928"/>
      <c r="DT105" s="928"/>
      <c r="DU105" s="928"/>
      <c r="DV105" s="928"/>
      <c r="DW105" s="928"/>
      <c r="DX105" s="928"/>
      <c r="DY105" s="1338"/>
      <c r="DZ105" s="928"/>
      <c r="EA105" s="928"/>
      <c r="EB105" s="928"/>
      <c r="EC105" s="1337"/>
      <c r="ED105" s="1338"/>
      <c r="EE105" s="928"/>
      <c r="EF105" s="928"/>
      <c r="EG105" s="928"/>
      <c r="EH105" s="1337"/>
      <c r="EI105" s="928"/>
      <c r="EJ105" s="928"/>
      <c r="EK105" s="928"/>
      <c r="EL105" s="928"/>
      <c r="EM105" s="1337"/>
      <c r="EN105" s="928"/>
      <c r="EO105" s="928"/>
      <c r="EP105" s="928"/>
      <c r="EQ105" s="928"/>
      <c r="ER105" s="928"/>
      <c r="ES105" s="928"/>
      <c r="ET105" s="928"/>
      <c r="EU105" s="928"/>
      <c r="EV105" s="928"/>
      <c r="EW105" s="928"/>
      <c r="EX105" s="928"/>
      <c r="EY105" s="928"/>
      <c r="EZ105" s="928"/>
      <c r="FA105" s="928"/>
      <c r="FB105" s="928"/>
      <c r="FC105" s="928"/>
      <c r="FD105" s="928"/>
      <c r="FE105" s="928"/>
      <c r="FF105" s="1363">
        <v>0.20366387810764705</v>
      </c>
      <c r="FG105" s="928"/>
      <c r="FH105" s="1351">
        <v>0.20332224297507639</v>
      </c>
      <c r="FI105" s="1319"/>
      <c r="FJ105" s="1612">
        <v>0.21393411411411409</v>
      </c>
      <c r="FK105" s="1605"/>
      <c r="FL105" s="928"/>
      <c r="FM105" s="928"/>
      <c r="FN105" s="928"/>
      <c r="FO105" s="928"/>
      <c r="FP105" s="928"/>
      <c r="FQ105" s="928"/>
    </row>
    <row r="106" spans="1:173">
      <c r="A106" s="1441" t="s">
        <v>7714</v>
      </c>
      <c r="B106" s="928"/>
      <c r="C106" s="928"/>
      <c r="D106" s="928"/>
      <c r="E106" s="928"/>
      <c r="F106" s="928"/>
      <c r="G106" s="928"/>
      <c r="H106" s="928"/>
      <c r="I106" s="928"/>
      <c r="J106" s="928"/>
      <c r="K106" s="928"/>
      <c r="L106" s="928"/>
      <c r="M106" s="928"/>
      <c r="N106" s="928"/>
      <c r="O106" s="928"/>
      <c r="P106" s="928"/>
      <c r="Q106" s="928"/>
      <c r="R106" s="928"/>
      <c r="S106" s="928"/>
      <c r="T106" s="928"/>
      <c r="U106" s="928"/>
      <c r="V106" s="928"/>
      <c r="W106" s="928"/>
      <c r="X106" s="928"/>
      <c r="Y106" s="928"/>
      <c r="Z106" s="1254"/>
      <c r="AA106" s="1254"/>
      <c r="AB106" s="1254"/>
      <c r="AC106" s="1254"/>
      <c r="AD106" s="1254">
        <f>SUM(AA95:AD95)/SUM(AA14:AD14)</f>
        <v>0.60019930989213111</v>
      </c>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355">
        <f>BE95/BE14</f>
        <v>0.34804875738663144</v>
      </c>
      <c r="BF106" s="1254">
        <f>BF95/BF14</f>
        <v>0.34421254076763863</v>
      </c>
      <c r="BG106" s="1254">
        <f>BG95/BG14</f>
        <v>0.45490100146208756</v>
      </c>
      <c r="BH106" s="1254">
        <f>BH95/BH14</f>
        <v>0.29478119826869392</v>
      </c>
      <c r="BI106" s="1389"/>
      <c r="BJ106" s="1355">
        <f>BJ95/BJ14</f>
        <v>0.29230576196170288</v>
      </c>
      <c r="BK106" s="1254">
        <f>BK95/BK14</f>
        <v>0.31365276090343691</v>
      </c>
      <c r="BL106" s="1254">
        <f>BL95/BL14</f>
        <v>0.26577376042170947</v>
      </c>
      <c r="BM106" s="1254">
        <f>BM95/BM14</f>
        <v>0.20578417273113853</v>
      </c>
      <c r="BN106" s="1389"/>
      <c r="BO106" s="1355">
        <f>BO95/BO14</f>
        <v>0.25767230072508601</v>
      </c>
      <c r="BP106" s="1254">
        <f>BP95/BP14</f>
        <v>0.21894325346784368</v>
      </c>
      <c r="BQ106" s="1254">
        <f>BQ95/BQ14</f>
        <v>0.19813054108117453</v>
      </c>
      <c r="BR106" s="1254">
        <f>BR95/BR14</f>
        <v>0.24703972092415283</v>
      </c>
      <c r="BS106" s="1389"/>
      <c r="BT106" s="1355">
        <f>BT95/BT14</f>
        <v>0.13665832542594908</v>
      </c>
      <c r="BU106" s="1254">
        <f>BU95/BU14</f>
        <v>0.25081967213114753</v>
      </c>
      <c r="BV106" s="1254">
        <f>BV95/BV14</f>
        <v>0.23495934959349593</v>
      </c>
      <c r="BW106" s="1254">
        <f>BW95/BW14</f>
        <v>0.24549695719836911</v>
      </c>
      <c r="BX106" s="1389"/>
      <c r="BY106" s="1254"/>
      <c r="BZ106" s="928"/>
      <c r="CA106" s="928"/>
      <c r="CB106" s="928"/>
      <c r="CC106" s="928"/>
      <c r="CD106" s="928"/>
      <c r="CE106" s="928"/>
      <c r="CF106" s="928"/>
      <c r="CG106" s="928"/>
      <c r="CH106" s="928"/>
      <c r="CI106" s="928"/>
      <c r="CJ106" s="928"/>
      <c r="CK106" s="928"/>
      <c r="CL106" s="928"/>
      <c r="CM106" s="928"/>
      <c r="CN106" s="928"/>
      <c r="CO106" s="928"/>
      <c r="CP106" s="928"/>
      <c r="CQ106" s="928"/>
      <c r="CR106" s="928"/>
      <c r="CS106" s="928"/>
      <c r="CT106" s="928"/>
      <c r="CU106" s="928"/>
      <c r="CV106" s="928"/>
      <c r="CW106" s="928"/>
      <c r="CX106" s="928"/>
      <c r="CY106" s="928"/>
      <c r="CZ106" s="928"/>
      <c r="DA106" s="928"/>
      <c r="DB106" s="928"/>
      <c r="DC106" s="928"/>
      <c r="DD106" s="928"/>
      <c r="DE106" s="928"/>
      <c r="DF106" s="928"/>
      <c r="DG106" s="928"/>
      <c r="DH106" s="928"/>
      <c r="DI106" s="928"/>
      <c r="DJ106" s="928"/>
      <c r="DK106" s="928"/>
      <c r="DL106" s="928"/>
      <c r="DM106" s="928"/>
      <c r="DN106" s="928"/>
      <c r="DO106" s="928"/>
      <c r="DP106" s="928"/>
      <c r="DQ106" s="928"/>
      <c r="DR106" s="928"/>
      <c r="DS106" s="928"/>
      <c r="DT106" s="928"/>
      <c r="DU106" s="928"/>
      <c r="DV106" s="928"/>
      <c r="DW106" s="928"/>
      <c r="DX106" s="928"/>
      <c r="DY106" s="1338"/>
      <c r="DZ106" s="928"/>
      <c r="EA106" s="928"/>
      <c r="EB106" s="928"/>
      <c r="EC106" s="1337"/>
      <c r="ED106" s="1338"/>
      <c r="EE106" s="928"/>
      <c r="EF106" s="928"/>
      <c r="EG106" s="928"/>
      <c r="EH106" s="1337"/>
      <c r="EI106" s="928"/>
      <c r="EJ106" s="928"/>
      <c r="EK106" s="928"/>
      <c r="EL106" s="928"/>
      <c r="EM106" s="1337"/>
      <c r="EN106" s="928"/>
      <c r="EO106" s="928"/>
      <c r="EP106" s="928"/>
      <c r="EQ106" s="928"/>
      <c r="ER106" s="928"/>
      <c r="ES106" s="928"/>
      <c r="ET106" s="928"/>
      <c r="EU106" s="928"/>
      <c r="EV106" s="928"/>
      <c r="EW106" s="928"/>
      <c r="EX106" s="928"/>
      <c r="EY106" s="928"/>
      <c r="EZ106" s="928"/>
      <c r="FA106" s="928"/>
      <c r="FB106" s="928"/>
      <c r="FC106" s="928"/>
      <c r="FD106" s="928"/>
      <c r="FE106" s="928"/>
      <c r="FF106" s="1363">
        <v>0.20366387810764705</v>
      </c>
      <c r="FG106" s="928"/>
      <c r="FH106" s="1351">
        <v>0.22537989398274169</v>
      </c>
      <c r="FI106" s="1319"/>
      <c r="FJ106" s="1612">
        <v>0.22951229508196719</v>
      </c>
      <c r="FK106" s="1605"/>
      <c r="FL106" s="928"/>
      <c r="FM106" s="928"/>
      <c r="FN106" s="928"/>
      <c r="FO106" s="928"/>
      <c r="FP106" s="928"/>
      <c r="FQ106" s="928"/>
    </row>
    <row r="107" spans="1:173">
      <c r="A107" s="1441"/>
      <c r="B107" s="928"/>
      <c r="C107" s="928"/>
      <c r="D107" s="928"/>
      <c r="E107" s="928"/>
      <c r="F107" s="928"/>
      <c r="G107" s="928"/>
      <c r="H107" s="928"/>
      <c r="I107" s="928"/>
      <c r="J107" s="928"/>
      <c r="K107" s="928"/>
      <c r="L107" s="928"/>
      <c r="M107" s="928"/>
      <c r="N107" s="928"/>
      <c r="O107" s="928"/>
      <c r="P107" s="928"/>
      <c r="Q107" s="928"/>
      <c r="R107" s="928"/>
      <c r="S107" s="928"/>
      <c r="T107" s="928"/>
      <c r="U107" s="928"/>
      <c r="V107" s="928"/>
      <c r="W107" s="928"/>
      <c r="X107" s="928"/>
      <c r="Y107" s="928"/>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355"/>
      <c r="BF107" s="1254"/>
      <c r="BG107" s="1254"/>
      <c r="BH107" s="1254"/>
      <c r="BI107" s="1389"/>
      <c r="BJ107" s="1355"/>
      <c r="BK107" s="1254"/>
      <c r="BL107" s="1254"/>
      <c r="BM107" s="1254"/>
      <c r="BN107" s="1389"/>
      <c r="BO107" s="1355"/>
      <c r="BP107" s="1254"/>
      <c r="BQ107" s="1254"/>
      <c r="BR107" s="1254"/>
      <c r="BS107" s="1389"/>
      <c r="BT107" s="1355"/>
      <c r="BU107" s="1254"/>
      <c r="BV107" s="1254"/>
      <c r="BW107" s="1254"/>
      <c r="BX107" s="1389"/>
      <c r="BY107" s="1254"/>
      <c r="BZ107" s="928"/>
      <c r="CA107" s="928"/>
      <c r="CB107" s="928"/>
      <c r="CC107" s="928"/>
      <c r="CD107" s="928"/>
      <c r="CE107" s="928"/>
      <c r="CF107" s="928"/>
      <c r="CG107" s="928"/>
      <c r="CH107" s="928"/>
      <c r="CI107" s="928"/>
      <c r="CJ107" s="928"/>
      <c r="CK107" s="928"/>
      <c r="CL107" s="928"/>
      <c r="CM107" s="928"/>
      <c r="CN107" s="928"/>
      <c r="CO107" s="928"/>
      <c r="CP107" s="928"/>
      <c r="CQ107" s="928"/>
      <c r="CR107" s="928"/>
      <c r="CS107" s="928"/>
      <c r="CT107" s="928"/>
      <c r="CU107" s="928"/>
      <c r="CV107" s="928"/>
      <c r="CW107" s="928"/>
      <c r="CX107" s="928"/>
      <c r="CY107" s="928"/>
      <c r="CZ107" s="928"/>
      <c r="DA107" s="928"/>
      <c r="DB107" s="928"/>
      <c r="DC107" s="928"/>
      <c r="DD107" s="928"/>
      <c r="DE107" s="928"/>
      <c r="DF107" s="928"/>
      <c r="DG107" s="928"/>
      <c r="DH107" s="928"/>
      <c r="DI107" s="928"/>
      <c r="DJ107" s="928"/>
      <c r="DK107" s="928"/>
      <c r="DL107" s="928"/>
      <c r="DM107" s="928"/>
      <c r="DN107" s="928"/>
      <c r="DO107" s="928"/>
      <c r="DP107" s="928"/>
      <c r="DQ107" s="928"/>
      <c r="DR107" s="928"/>
      <c r="DS107" s="928"/>
      <c r="DT107" s="928"/>
      <c r="DU107" s="928"/>
      <c r="DV107" s="928"/>
      <c r="DW107" s="928"/>
      <c r="DX107" s="928"/>
      <c r="DY107" s="1338"/>
      <c r="DZ107" s="928"/>
      <c r="EA107" s="928"/>
      <c r="EB107" s="928"/>
      <c r="EC107" s="1337"/>
      <c r="ED107" s="1338"/>
      <c r="EE107" s="928"/>
      <c r="EF107" s="928"/>
      <c r="EG107" s="928"/>
      <c r="EH107" s="1337"/>
      <c r="EI107" s="928"/>
      <c r="EJ107" s="928"/>
      <c r="EK107" s="928"/>
      <c r="EL107" s="928"/>
      <c r="EM107" s="1337"/>
      <c r="EN107" s="928"/>
      <c r="EO107" s="928"/>
      <c r="EP107" s="928"/>
      <c r="EQ107" s="928"/>
      <c r="ER107" s="928"/>
      <c r="ES107" s="928"/>
      <c r="ET107" s="928"/>
      <c r="EU107" s="928"/>
      <c r="EV107" s="928"/>
      <c r="EW107" s="928"/>
      <c r="EX107" s="928"/>
      <c r="EY107" s="928"/>
      <c r="EZ107" s="928"/>
      <c r="FA107" s="928"/>
      <c r="FB107" s="928"/>
      <c r="FC107" s="928"/>
      <c r="FD107" s="928"/>
      <c r="FE107" s="928"/>
      <c r="FF107" s="1363"/>
      <c r="FG107" s="928"/>
      <c r="FH107" s="1351"/>
      <c r="FI107" s="1319"/>
      <c r="FJ107" s="1612"/>
      <c r="FK107" s="1605"/>
      <c r="FL107" s="928"/>
      <c r="FM107" s="928"/>
      <c r="FN107" s="928"/>
      <c r="FO107" s="928"/>
      <c r="FP107" s="928"/>
      <c r="FQ107" s="928"/>
    </row>
    <row r="108" spans="1:173">
      <c r="A108" s="1441"/>
      <c r="B108" s="928"/>
      <c r="C108" s="928"/>
      <c r="D108" s="928"/>
      <c r="E108" s="928"/>
      <c r="F108" s="928"/>
      <c r="G108" s="928"/>
      <c r="H108" s="928"/>
      <c r="I108" s="928"/>
      <c r="J108" s="928"/>
      <c r="K108" s="928"/>
      <c r="L108" s="928"/>
      <c r="M108" s="928"/>
      <c r="N108" s="928"/>
      <c r="O108" s="928"/>
      <c r="P108" s="928"/>
      <c r="Q108" s="928"/>
      <c r="R108" s="928"/>
      <c r="S108" s="928"/>
      <c r="T108" s="928"/>
      <c r="U108" s="928"/>
      <c r="V108" s="928"/>
      <c r="W108" s="928"/>
      <c r="X108" s="928"/>
      <c r="Y108" s="928"/>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f>SUM(AZ95:BA95)/SUM(AZ14:BA14)</f>
        <v>0.28855525528827691</v>
      </c>
      <c r="BB108" s="1254"/>
      <c r="BC108" s="1254"/>
      <c r="BD108" s="1254"/>
      <c r="BE108" s="1355"/>
      <c r="BF108" s="1254">
        <f>SUM(BE95:BF95)/SUM(BE14:BF14)</f>
        <v>0.34610591273544961</v>
      </c>
      <c r="BG108" s="1254"/>
      <c r="BH108" s="1254"/>
      <c r="BI108" s="1389"/>
      <c r="BJ108" s="1355"/>
      <c r="BK108" s="1254"/>
      <c r="BL108" s="1254"/>
      <c r="BM108" s="1254"/>
      <c r="BN108" s="1389"/>
      <c r="BO108" s="1355"/>
      <c r="BP108" s="1254"/>
      <c r="BQ108" s="1254"/>
      <c r="BR108" s="1254"/>
      <c r="BS108" s="1389"/>
      <c r="BT108" s="1355"/>
      <c r="BU108" s="1254"/>
      <c r="BV108" s="1254"/>
      <c r="BW108" s="1254"/>
      <c r="BX108" s="1389"/>
      <c r="BY108" s="1254"/>
      <c r="BZ108" s="928"/>
      <c r="CA108" s="928"/>
      <c r="CB108" s="928"/>
      <c r="CC108" s="928"/>
      <c r="CD108" s="928"/>
      <c r="CE108" s="928"/>
      <c r="CF108" s="928"/>
      <c r="CG108" s="928"/>
      <c r="CH108" s="928"/>
      <c r="CI108" s="928"/>
      <c r="CJ108" s="928"/>
      <c r="CK108" s="928"/>
      <c r="CL108" s="928"/>
      <c r="CM108" s="928"/>
      <c r="CN108" s="928"/>
      <c r="CO108" s="928"/>
      <c r="CP108" s="928"/>
      <c r="CQ108" s="928"/>
      <c r="CR108" s="928"/>
      <c r="CS108" s="928"/>
      <c r="CT108" s="928"/>
      <c r="CU108" s="928"/>
      <c r="CV108" s="928"/>
      <c r="CW108" s="928"/>
      <c r="CX108" s="928"/>
      <c r="CY108" s="928"/>
      <c r="CZ108" s="928"/>
      <c r="DA108" s="928"/>
      <c r="DB108" s="928"/>
      <c r="DC108" s="928"/>
      <c r="DD108" s="928"/>
      <c r="DE108" s="928"/>
      <c r="DF108" s="928"/>
      <c r="DG108" s="928"/>
      <c r="DH108" s="928"/>
      <c r="DI108" s="928"/>
      <c r="DJ108" s="928"/>
      <c r="DK108" s="928"/>
      <c r="DL108" s="928"/>
      <c r="DM108" s="928"/>
      <c r="DN108" s="928"/>
      <c r="DO108" s="928"/>
      <c r="DP108" s="928"/>
      <c r="DQ108" s="928"/>
      <c r="DR108" s="928"/>
      <c r="DS108" s="928"/>
      <c r="DT108" s="928"/>
      <c r="DU108" s="928"/>
      <c r="DV108" s="928"/>
      <c r="DW108" s="928"/>
      <c r="DX108" s="928"/>
      <c r="DY108" s="1338"/>
      <c r="DZ108" s="928"/>
      <c r="EA108" s="928"/>
      <c r="EB108" s="928"/>
      <c r="EC108" s="1337"/>
      <c r="ED108" s="1338"/>
      <c r="EE108" s="928"/>
      <c r="EF108" s="928"/>
      <c r="EG108" s="928"/>
      <c r="EH108" s="1337"/>
      <c r="EI108" s="928"/>
      <c r="EJ108" s="928"/>
      <c r="EK108" s="928"/>
      <c r="EL108" s="928"/>
      <c r="EM108" s="1337"/>
      <c r="EN108" s="928"/>
      <c r="EO108" s="928"/>
      <c r="EP108" s="928"/>
      <c r="EQ108" s="928"/>
      <c r="ER108" s="928"/>
      <c r="ES108" s="928"/>
      <c r="ET108" s="928"/>
      <c r="EU108" s="928"/>
      <c r="EV108" s="928"/>
      <c r="EW108" s="928"/>
      <c r="EX108" s="928"/>
      <c r="EY108" s="928"/>
      <c r="EZ108" s="928"/>
      <c r="FA108" s="928"/>
      <c r="FB108" s="928"/>
      <c r="FC108" s="928"/>
      <c r="FD108" s="928"/>
      <c r="FE108" s="928"/>
      <c r="FF108" s="1363"/>
      <c r="FG108" s="928"/>
      <c r="FH108" s="1351"/>
      <c r="FI108" s="1319"/>
      <c r="FJ108" s="1612"/>
      <c r="FK108" s="1605"/>
      <c r="FL108" s="928"/>
      <c r="FM108" s="928"/>
      <c r="FN108" s="928"/>
      <c r="FO108" s="928"/>
      <c r="FP108" s="928"/>
      <c r="FQ108" s="928"/>
    </row>
    <row r="109" spans="1:173">
      <c r="A109" s="1444" t="s">
        <v>16</v>
      </c>
      <c r="B109" s="928"/>
      <c r="C109" s="928"/>
      <c r="D109" s="928"/>
      <c r="E109" s="928"/>
      <c r="F109" s="928"/>
      <c r="G109" s="928"/>
      <c r="H109" s="928"/>
      <c r="I109" s="928"/>
      <c r="J109" s="928"/>
      <c r="K109" s="928"/>
      <c r="L109" s="928"/>
      <c r="M109" s="928"/>
      <c r="N109" s="928"/>
      <c r="O109" s="928"/>
      <c r="P109" s="928"/>
      <c r="Q109" s="928"/>
      <c r="R109" s="928"/>
      <c r="S109" s="928"/>
      <c r="T109" s="928"/>
      <c r="U109" s="928"/>
      <c r="V109" s="928"/>
      <c r="W109" s="928"/>
      <c r="X109" s="928"/>
      <c r="Y109" s="928"/>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355"/>
      <c r="BF109" s="1254"/>
      <c r="BG109" s="1254"/>
      <c r="BH109" s="1254"/>
      <c r="BI109" s="1389"/>
      <c r="BJ109" s="1355"/>
      <c r="BK109" s="1254"/>
      <c r="BL109" s="1254"/>
      <c r="BM109" s="1254"/>
      <c r="BN109" s="1389"/>
      <c r="BO109" s="1355"/>
      <c r="BP109" s="1254"/>
      <c r="BQ109" s="1254"/>
      <c r="BR109" s="1254"/>
      <c r="BS109" s="1389"/>
      <c r="BT109" s="1355"/>
      <c r="BU109" s="1254"/>
      <c r="BV109" s="1254"/>
      <c r="BW109" s="1254"/>
      <c r="BX109" s="1389"/>
      <c r="BY109" s="1254"/>
      <c r="BZ109" s="928"/>
      <c r="CA109" s="928"/>
      <c r="CB109" s="928"/>
      <c r="CC109" s="928"/>
      <c r="CD109" s="928"/>
      <c r="CE109" s="928"/>
      <c r="CF109" s="928"/>
      <c r="CG109" s="928"/>
      <c r="CH109" s="928"/>
      <c r="CI109" s="928"/>
      <c r="CJ109" s="928"/>
      <c r="CK109" s="928"/>
      <c r="CL109" s="928"/>
      <c r="CM109" s="928"/>
      <c r="CN109" s="928"/>
      <c r="CO109" s="928"/>
      <c r="CP109" s="928"/>
      <c r="CQ109" s="928"/>
      <c r="CR109" s="928"/>
      <c r="CS109" s="928"/>
      <c r="CT109" s="928"/>
      <c r="CU109" s="928"/>
      <c r="CV109" s="928"/>
      <c r="CW109" s="928"/>
      <c r="CX109" s="928"/>
      <c r="CY109" s="928"/>
      <c r="CZ109" s="928"/>
      <c r="DA109" s="928"/>
      <c r="DB109" s="928"/>
      <c r="DC109" s="928"/>
      <c r="DD109" s="928"/>
      <c r="DE109" s="928"/>
      <c r="DF109" s="928"/>
      <c r="DG109" s="928"/>
      <c r="DH109" s="928"/>
      <c r="DI109" s="928"/>
      <c r="DJ109" s="928"/>
      <c r="DK109" s="928"/>
      <c r="DL109" s="928"/>
      <c r="DM109" s="928"/>
      <c r="DN109" s="928"/>
      <c r="DO109" s="928"/>
      <c r="DP109" s="928"/>
      <c r="DQ109" s="928"/>
      <c r="DR109" s="928"/>
      <c r="DS109" s="928"/>
      <c r="DT109" s="928"/>
      <c r="DU109" s="928"/>
      <c r="DV109" s="928"/>
      <c r="DW109" s="928"/>
      <c r="DX109" s="928"/>
      <c r="DY109" s="1338"/>
      <c r="DZ109" s="928"/>
      <c r="EA109" s="928"/>
      <c r="EB109" s="928"/>
      <c r="EC109" s="1337"/>
      <c r="ED109" s="1338"/>
      <c r="EE109" s="928"/>
      <c r="EF109" s="928"/>
      <c r="EG109" s="928"/>
      <c r="EH109" s="1337"/>
      <c r="EI109" s="928"/>
      <c r="EJ109" s="928"/>
      <c r="EK109" s="928"/>
      <c r="EL109" s="928"/>
      <c r="EM109" s="1337"/>
      <c r="EN109" s="928"/>
      <c r="EO109" s="928"/>
      <c r="EP109" s="928"/>
      <c r="EQ109" s="928"/>
      <c r="ER109" s="928"/>
      <c r="ES109" s="928"/>
      <c r="ET109" s="928"/>
      <c r="EU109" s="928"/>
      <c r="EV109" s="928"/>
      <c r="EW109" s="928"/>
      <c r="EX109" s="928"/>
      <c r="EY109" s="928"/>
      <c r="EZ109" s="928"/>
      <c r="FA109" s="928"/>
      <c r="FB109" s="928"/>
      <c r="FC109" s="928"/>
      <c r="FD109" s="928"/>
      <c r="FE109" s="928"/>
      <c r="FF109" s="1363"/>
      <c r="FG109" s="928"/>
      <c r="FH109" s="1351"/>
      <c r="FI109" s="1319"/>
      <c r="FJ109" s="1612"/>
      <c r="FK109" s="1605"/>
      <c r="FL109" s="928"/>
      <c r="FM109" s="928"/>
      <c r="FN109" s="928"/>
      <c r="FO109" s="928"/>
      <c r="FP109" s="928"/>
      <c r="FQ109" s="928"/>
    </row>
    <row r="110" spans="1:173">
      <c r="A110" s="1445" t="s">
        <v>200</v>
      </c>
      <c r="B110" s="1446"/>
      <c r="C110" s="1446"/>
      <c r="D110" s="1446"/>
      <c r="E110" s="1446"/>
      <c r="F110" s="1446"/>
      <c r="G110" s="1446"/>
      <c r="H110" s="1446"/>
      <c r="I110" s="1446"/>
      <c r="J110" s="1446"/>
      <c r="K110" s="1446"/>
      <c r="L110" s="1446"/>
      <c r="M110" s="1446"/>
      <c r="N110" s="1446"/>
      <c r="O110" s="1446"/>
      <c r="P110" s="1446"/>
      <c r="Q110" s="1446"/>
      <c r="R110" s="1446"/>
      <c r="S110" s="1446"/>
      <c r="T110" s="1446"/>
      <c r="U110" s="1446"/>
      <c r="V110" s="1446"/>
      <c r="W110" s="1446"/>
      <c r="X110" s="1446"/>
      <c r="Y110" s="1446"/>
      <c r="Z110" s="1447"/>
      <c r="AA110" s="1448" t="s">
        <v>2118</v>
      </c>
      <c r="AB110" s="1448" t="s">
        <v>2143</v>
      </c>
      <c r="AC110" s="1448" t="s">
        <v>2232</v>
      </c>
      <c r="AD110" s="1448" t="s">
        <v>2378</v>
      </c>
      <c r="AE110" s="1447"/>
      <c r="AF110" s="1448" t="s">
        <v>2515</v>
      </c>
      <c r="AG110" s="1448" t="s">
        <v>2596</v>
      </c>
      <c r="AH110" s="1448" t="s">
        <v>2759</v>
      </c>
      <c r="AI110" s="1448" t="s">
        <v>3096</v>
      </c>
      <c r="AJ110" s="1446"/>
      <c r="AK110" s="1448" t="s">
        <v>3256</v>
      </c>
      <c r="AL110" s="1448" t="s">
        <v>3257</v>
      </c>
      <c r="AM110" s="1448" t="s">
        <v>3258</v>
      </c>
      <c r="AN110" s="1448" t="s">
        <v>3259</v>
      </c>
      <c r="AO110" s="1447"/>
      <c r="AP110" s="1448" t="s">
        <v>3805</v>
      </c>
      <c r="AQ110" s="1448" t="s">
        <v>3806</v>
      </c>
      <c r="AR110" s="1448" t="s">
        <v>3807</v>
      </c>
      <c r="AS110" s="1448" t="s">
        <v>3808</v>
      </c>
      <c r="AT110" s="1447"/>
      <c r="AU110" s="1448" t="s">
        <v>4551</v>
      </c>
      <c r="AV110" s="1448" t="s">
        <v>4594</v>
      </c>
      <c r="AW110" s="1448" t="s">
        <v>4595</v>
      </c>
      <c r="AX110" s="1448" t="s">
        <v>4596</v>
      </c>
      <c r="AY110" s="1447"/>
      <c r="AZ110" s="1448" t="s">
        <v>5307</v>
      </c>
      <c r="BA110" s="1448" t="s">
        <v>5308</v>
      </c>
      <c r="BB110" s="1448" t="s">
        <v>5309</v>
      </c>
      <c r="BC110" s="1448" t="s">
        <v>5310</v>
      </c>
      <c r="BD110" s="1447"/>
      <c r="BE110" s="1507" t="s">
        <v>6007</v>
      </c>
      <c r="BF110" s="1448" t="s">
        <v>6242</v>
      </c>
      <c r="BG110" s="1448" t="s">
        <v>6243</v>
      </c>
      <c r="BH110" s="1448" t="s">
        <v>6244</v>
      </c>
      <c r="BI110" s="1508"/>
      <c r="BJ110" s="1507" t="s">
        <v>6473</v>
      </c>
      <c r="BK110" s="1448" t="s">
        <v>6474</v>
      </c>
      <c r="BL110" s="1448" t="s">
        <v>6475</v>
      </c>
      <c r="BM110" s="1448" t="s">
        <v>6476</v>
      </c>
      <c r="BN110" s="1508"/>
      <c r="BO110" s="1507" t="s">
        <v>7046</v>
      </c>
      <c r="BP110" s="1448" t="s">
        <v>7463</v>
      </c>
      <c r="BQ110" s="1448" t="s">
        <v>7592</v>
      </c>
      <c r="BR110" s="1448" t="s">
        <v>7615</v>
      </c>
      <c r="BS110" s="1389"/>
      <c r="BT110" s="1507" t="s">
        <v>7046</v>
      </c>
      <c r="BU110" s="1448" t="s">
        <v>7463</v>
      </c>
      <c r="BV110" s="1448" t="s">
        <v>7592</v>
      </c>
      <c r="BW110" s="1448" t="s">
        <v>7615</v>
      </c>
      <c r="BX110" s="1389"/>
      <c r="BY110" s="1254"/>
      <c r="BZ110" s="928"/>
      <c r="CA110" s="928"/>
      <c r="CB110" s="928"/>
      <c r="CC110" s="928"/>
      <c r="CD110" s="928"/>
      <c r="CE110" s="928"/>
      <c r="CF110" s="928"/>
      <c r="CG110" s="928"/>
      <c r="CH110" s="928"/>
      <c r="CI110" s="928"/>
      <c r="CJ110" s="928"/>
      <c r="CK110" s="928"/>
      <c r="CL110" s="928"/>
      <c r="CM110" s="928"/>
      <c r="CN110" s="928"/>
      <c r="CO110" s="928"/>
      <c r="CP110" s="928"/>
      <c r="CQ110" s="928"/>
      <c r="CR110" s="928"/>
      <c r="CS110" s="928"/>
      <c r="CT110" s="928"/>
      <c r="CU110" s="928"/>
      <c r="CV110" s="928"/>
      <c r="CW110" s="928"/>
      <c r="CX110" s="928"/>
      <c r="CY110" s="928"/>
      <c r="CZ110" s="928"/>
      <c r="DA110" s="928"/>
      <c r="DB110" s="928"/>
      <c r="DC110" s="928"/>
      <c r="DD110" s="928"/>
      <c r="DE110" s="928"/>
      <c r="DF110" s="928"/>
      <c r="DG110" s="928"/>
      <c r="DH110" s="928"/>
      <c r="DI110" s="928"/>
      <c r="DJ110" s="928"/>
      <c r="DK110" s="928"/>
      <c r="DL110" s="928"/>
      <c r="DM110" s="928"/>
      <c r="DN110" s="928"/>
      <c r="DO110" s="928"/>
      <c r="DP110" s="928"/>
      <c r="DQ110" s="928"/>
      <c r="DR110" s="928"/>
      <c r="DS110" s="928"/>
      <c r="DT110" s="928"/>
      <c r="DU110" s="928"/>
      <c r="DV110" s="928"/>
      <c r="DW110" s="928"/>
      <c r="DX110" s="928"/>
      <c r="DY110" s="1338"/>
      <c r="DZ110" s="928"/>
      <c r="EA110" s="928"/>
      <c r="EB110" s="928"/>
      <c r="EC110" s="1337"/>
      <c r="ED110" s="1338"/>
      <c r="EE110" s="928"/>
      <c r="EF110" s="928"/>
      <c r="EG110" s="928"/>
      <c r="EH110" s="1337"/>
      <c r="EI110" s="928"/>
      <c r="EJ110" s="928"/>
      <c r="EK110" s="928"/>
      <c r="EL110" s="928"/>
      <c r="EM110" s="1337"/>
      <c r="EN110" s="928"/>
      <c r="EO110" s="928"/>
      <c r="EP110" s="928"/>
      <c r="EQ110" s="928"/>
      <c r="ER110" s="928"/>
      <c r="ES110" s="928"/>
      <c r="ET110" s="928"/>
      <c r="EU110" s="928"/>
      <c r="EV110" s="928"/>
      <c r="EW110" s="928"/>
      <c r="EX110" s="928"/>
      <c r="EY110" s="928"/>
      <c r="EZ110" s="928"/>
      <c r="FA110" s="928"/>
      <c r="FB110" s="928"/>
      <c r="FC110" s="928"/>
      <c r="FD110" s="928"/>
      <c r="FE110" s="928"/>
      <c r="FF110" s="1449" t="s">
        <v>6475</v>
      </c>
      <c r="FG110" s="928"/>
      <c r="FH110" s="1450" t="s">
        <v>7615</v>
      </c>
      <c r="FI110" s="1319"/>
      <c r="FJ110" s="1624" t="s">
        <v>7046</v>
      </c>
      <c r="FK110" s="1605"/>
      <c r="FL110" s="928"/>
      <c r="FM110" s="928"/>
      <c r="FN110" s="928"/>
      <c r="FO110" s="928"/>
      <c r="FP110" s="928"/>
      <c r="FQ110" s="928"/>
    </row>
    <row r="111" spans="1:173">
      <c r="A111" s="1441" t="s">
        <v>3102</v>
      </c>
      <c r="B111" s="928"/>
      <c r="C111" s="928"/>
      <c r="D111" s="928"/>
      <c r="E111" s="928"/>
      <c r="F111" s="928"/>
      <c r="G111" s="928"/>
      <c r="H111" s="928"/>
      <c r="I111" s="928"/>
      <c r="J111" s="928"/>
      <c r="K111" s="928"/>
      <c r="L111" s="928"/>
      <c r="M111" s="928"/>
      <c r="N111" s="928"/>
      <c r="O111" s="928"/>
      <c r="P111" s="928"/>
      <c r="Q111" s="928"/>
      <c r="R111" s="928"/>
      <c r="S111" s="928"/>
      <c r="T111" s="928"/>
      <c r="U111" s="928"/>
      <c r="V111" s="928"/>
      <c r="W111" s="928"/>
      <c r="X111" s="928"/>
      <c r="Y111" s="928"/>
      <c r="Z111" s="1254"/>
      <c r="AA111" s="1442">
        <v>5687</v>
      </c>
      <c r="AB111" s="1442">
        <v>5912.4</v>
      </c>
      <c r="AC111" s="1442">
        <v>6182.4</v>
      </c>
      <c r="AD111" s="1442">
        <f>24279.5-AA111-AB111-AC111</f>
        <v>6497.7000000000007</v>
      </c>
      <c r="AE111" s="1442"/>
      <c r="AF111" s="1442">
        <v>6674</v>
      </c>
      <c r="AG111" s="1442">
        <v>6773.6</v>
      </c>
      <c r="AH111" s="1442">
        <v>6932.7</v>
      </c>
      <c r="AI111" s="1442">
        <f>27517-AF111-AG111-AH111</f>
        <v>7136.7</v>
      </c>
      <c r="AJ111" s="928"/>
      <c r="AK111" s="1442">
        <v>7018.3</v>
      </c>
      <c r="AL111" s="1442">
        <v>7069.3</v>
      </c>
      <c r="AM111" s="1442">
        <v>7303.4</v>
      </c>
      <c r="AN111" s="1442">
        <f>29067.9-AK111-AL111-AM111</f>
        <v>7676.9000000000033</v>
      </c>
      <c r="AO111" s="1254"/>
      <c r="AP111" s="1442">
        <v>7691.4</v>
      </c>
      <c r="AQ111" s="1442">
        <v>7869</v>
      </c>
      <c r="AR111" s="1442">
        <v>8220.9</v>
      </c>
      <c r="AS111" s="1442">
        <f>32279.8-AP111-AQ111-AR111</f>
        <v>8498.5000000000018</v>
      </c>
      <c r="AT111" s="1254"/>
      <c r="AU111" s="1442">
        <v>8874.2000000000007</v>
      </c>
      <c r="AV111" s="1442">
        <v>9216.7999999999993</v>
      </c>
      <c r="AW111" s="1442">
        <v>9603.7999999999993</v>
      </c>
      <c r="AX111" s="1442">
        <v>9800.9</v>
      </c>
      <c r="AY111" s="1254"/>
      <c r="AZ111" s="1442">
        <v>9755.7999999999993</v>
      </c>
      <c r="BA111" s="1442">
        <v>9928.9</v>
      </c>
      <c r="BB111" s="1442">
        <v>10227.4</v>
      </c>
      <c r="BC111" s="1442">
        <v>10529.4</v>
      </c>
      <c r="BD111" s="1254"/>
      <c r="BE111" s="1509">
        <v>10465.4</v>
      </c>
      <c r="BF111" s="1442">
        <v>10564.7</v>
      </c>
      <c r="BG111" s="1442">
        <v>10823</v>
      </c>
      <c r="BH111" s="1442">
        <v>11036.9</v>
      </c>
      <c r="BI111" s="1389"/>
      <c r="BJ111" s="1523">
        <v>10820.6</v>
      </c>
      <c r="BK111" s="1451">
        <v>10965.6</v>
      </c>
      <c r="BL111" s="1451">
        <v>11034</v>
      </c>
      <c r="BM111" s="1451">
        <v>11138.2</v>
      </c>
      <c r="BN111" s="1389"/>
      <c r="BO111" s="1523">
        <v>11255.2</v>
      </c>
      <c r="BP111" s="1451">
        <v>11438.8</v>
      </c>
      <c r="BQ111" s="1451">
        <v>11230.5</v>
      </c>
      <c r="BR111" s="1451">
        <v>11108.7</v>
      </c>
      <c r="BS111" s="1511"/>
      <c r="BT111" s="1523">
        <v>10844.4</v>
      </c>
      <c r="BU111" s="1537">
        <v>11100</v>
      </c>
      <c r="BV111" s="1537">
        <v>11250</v>
      </c>
      <c r="BW111" s="1537">
        <v>11300</v>
      </c>
      <c r="BX111" s="1511"/>
      <c r="BY111" s="1254"/>
      <c r="BZ111" s="928"/>
      <c r="CA111" s="928"/>
      <c r="CB111" s="928"/>
      <c r="CC111" s="928"/>
      <c r="CD111" s="928"/>
      <c r="CE111" s="928"/>
      <c r="CF111" s="928"/>
      <c r="CG111" s="928"/>
      <c r="CH111" s="928"/>
      <c r="CI111" s="928"/>
      <c r="CJ111" s="928"/>
      <c r="CK111" s="928"/>
      <c r="CL111" s="928"/>
      <c r="CM111" s="928"/>
      <c r="CN111" s="928"/>
      <c r="CO111" s="928"/>
      <c r="CP111" s="928"/>
      <c r="CQ111" s="928"/>
      <c r="CR111" s="928"/>
      <c r="CS111" s="928"/>
      <c r="CT111" s="928"/>
      <c r="CU111" s="1254">
        <f t="shared" ref="CU111:CX113" si="215">AF111/AA111-1</f>
        <v>0.17355371900826455</v>
      </c>
      <c r="CV111" s="1254">
        <f t="shared" si="215"/>
        <v>0.14565996887896637</v>
      </c>
      <c r="CW111" s="1254">
        <f t="shared" si="215"/>
        <v>0.12136063664596275</v>
      </c>
      <c r="CX111" s="1254">
        <f t="shared" si="215"/>
        <v>9.834249041968679E-2</v>
      </c>
      <c r="CY111" s="928"/>
      <c r="CZ111" s="1254">
        <f t="shared" ref="CZ111:DC113" si="216">AK111/AF111-1</f>
        <v>5.1588252921786149E-2</v>
      </c>
      <c r="DA111" s="1254">
        <f t="shared" si="216"/>
        <v>4.3654777370969677E-2</v>
      </c>
      <c r="DB111" s="1254">
        <f t="shared" si="216"/>
        <v>5.3471230545097947E-2</v>
      </c>
      <c r="DC111" s="1254">
        <f t="shared" si="216"/>
        <v>7.5693247579413869E-2</v>
      </c>
      <c r="DD111" s="928"/>
      <c r="DE111" s="1254">
        <f t="shared" ref="DE111:DH113" si="217">AP111/AK111-1</f>
        <v>9.5906416083666901E-2</v>
      </c>
      <c r="DF111" s="1254">
        <f t="shared" si="217"/>
        <v>0.1131229400364957</v>
      </c>
      <c r="DG111" s="1254">
        <f t="shared" si="217"/>
        <v>0.12562642057124074</v>
      </c>
      <c r="DH111" s="1254">
        <f t="shared" si="217"/>
        <v>0.10702236579869462</v>
      </c>
      <c r="DI111" s="928"/>
      <c r="DJ111" s="1254">
        <f t="shared" ref="DJ111:DM113" si="218">AU111/AP111-1</f>
        <v>0.1537821462932627</v>
      </c>
      <c r="DK111" s="1254">
        <f t="shared" si="218"/>
        <v>0.1712797051721946</v>
      </c>
      <c r="DL111" s="1254">
        <f t="shared" si="218"/>
        <v>0.16821759174786211</v>
      </c>
      <c r="DM111" s="1254">
        <f t="shared" si="218"/>
        <v>0.15325057363064043</v>
      </c>
      <c r="DN111" s="928"/>
      <c r="DO111" s="1254">
        <f t="shared" ref="DO111:DR113" si="219">AZ111/AU111-1</f>
        <v>9.9344166234702769E-2</v>
      </c>
      <c r="DP111" s="1254">
        <f t="shared" si="219"/>
        <v>7.7261088447183379E-2</v>
      </c>
      <c r="DQ111" s="1254">
        <f t="shared" si="219"/>
        <v>6.4932630833628435E-2</v>
      </c>
      <c r="DR111" s="1254">
        <f t="shared" si="219"/>
        <v>7.4329908477792861E-2</v>
      </c>
      <c r="DS111" s="928"/>
      <c r="DT111" s="928"/>
      <c r="DU111" s="928"/>
      <c r="DV111" s="928"/>
      <c r="DW111" s="928"/>
      <c r="DX111" s="928"/>
      <c r="DY111" s="1338"/>
      <c r="DZ111" s="928"/>
      <c r="EA111" s="928"/>
      <c r="EB111" s="928"/>
      <c r="EC111" s="1337"/>
      <c r="ED111" s="1338"/>
      <c r="EE111" s="928"/>
      <c r="EF111" s="928"/>
      <c r="EG111" s="928"/>
      <c r="EH111" s="1337"/>
      <c r="EI111" s="928"/>
      <c r="EJ111" s="928"/>
      <c r="EK111" s="928"/>
      <c r="EL111" s="928"/>
      <c r="EM111" s="1337"/>
      <c r="EN111" s="928"/>
      <c r="EO111" s="928"/>
      <c r="EP111" s="928"/>
      <c r="EQ111" s="928"/>
      <c r="ER111" s="928"/>
      <c r="ES111" s="928"/>
      <c r="ET111" s="928"/>
      <c r="EU111" s="928"/>
      <c r="EV111" s="928"/>
      <c r="EW111" s="928"/>
      <c r="EX111" s="928"/>
      <c r="EY111" s="928"/>
      <c r="EZ111" s="928"/>
      <c r="FA111" s="928"/>
      <c r="FB111" s="928"/>
      <c r="FC111" s="928"/>
      <c r="FD111" s="928"/>
      <c r="FE111" s="928"/>
      <c r="FF111" s="1452">
        <v>11420.189999999999</v>
      </c>
      <c r="FG111" s="928"/>
      <c r="FH111" s="1453">
        <v>11305.272999999999</v>
      </c>
      <c r="FI111" s="1319"/>
      <c r="FJ111" s="1618">
        <v>11300</v>
      </c>
      <c r="FK111" s="1605"/>
      <c r="FL111" s="928"/>
      <c r="FM111" s="928"/>
      <c r="FN111" s="928"/>
      <c r="FO111" s="928"/>
      <c r="FP111" s="928"/>
      <c r="FQ111" s="928"/>
    </row>
    <row r="112" spans="1:173">
      <c r="A112" s="1441" t="s">
        <v>3103</v>
      </c>
      <c r="B112" s="928"/>
      <c r="C112" s="928"/>
      <c r="D112" s="928"/>
      <c r="E112" s="928"/>
      <c r="F112" s="928"/>
      <c r="G112" s="928"/>
      <c r="H112" s="928"/>
      <c r="I112" s="928"/>
      <c r="J112" s="928"/>
      <c r="K112" s="928"/>
      <c r="L112" s="928"/>
      <c r="M112" s="928"/>
      <c r="N112" s="928"/>
      <c r="O112" s="928"/>
      <c r="P112" s="928"/>
      <c r="Q112" s="928"/>
      <c r="R112" s="928"/>
      <c r="S112" s="928"/>
      <c r="T112" s="928"/>
      <c r="U112" s="928"/>
      <c r="V112" s="928"/>
      <c r="W112" s="928"/>
      <c r="X112" s="928"/>
      <c r="Y112" s="928"/>
      <c r="Z112" s="1254"/>
      <c r="AA112" s="1442">
        <v>1209</v>
      </c>
      <c r="AB112" s="1442">
        <v>1222.8</v>
      </c>
      <c r="AC112" s="1442">
        <v>1340.3</v>
      </c>
      <c r="AD112" s="1442">
        <f>5072.6-AA112-AB112-AC112</f>
        <v>1300.5000000000002</v>
      </c>
      <c r="AE112" s="1442"/>
      <c r="AF112" s="1442">
        <v>1301</v>
      </c>
      <c r="AG112" s="1442">
        <v>1321.7</v>
      </c>
      <c r="AH112" s="1442">
        <v>1518.6</v>
      </c>
      <c r="AI112" s="1442">
        <f>5654.6-AF112-AG112-AH112</f>
        <v>1513.3000000000006</v>
      </c>
      <c r="AJ112" s="928"/>
      <c r="AK112" s="1442">
        <v>1327.2</v>
      </c>
      <c r="AL112" s="1442">
        <v>1321.9</v>
      </c>
      <c r="AM112" s="1442">
        <v>1303.4000000000001</v>
      </c>
      <c r="AN112" s="1442">
        <f>5218.5-AK112-AL112-AM112</f>
        <v>1266</v>
      </c>
      <c r="AO112" s="1254"/>
      <c r="AP112" s="1442">
        <v>1273.8</v>
      </c>
      <c r="AQ112" s="1442">
        <v>1300.2</v>
      </c>
      <c r="AR112" s="1442">
        <v>1358.2</v>
      </c>
      <c r="AS112" s="1442">
        <f>5341-AP112-AQ112-AR112</f>
        <v>1408.8</v>
      </c>
      <c r="AT112" s="1254"/>
      <c r="AU112" s="1442">
        <v>1393.1</v>
      </c>
      <c r="AV112" s="1442">
        <v>1412.8</v>
      </c>
      <c r="AW112" s="1442">
        <v>1437.7</v>
      </c>
      <c r="AX112" s="1442">
        <v>1631</v>
      </c>
      <c r="AY112" s="1254"/>
      <c r="AZ112" s="1442">
        <v>1482.8</v>
      </c>
      <c r="BA112" s="1442">
        <v>1789</v>
      </c>
      <c r="BB112" s="1442">
        <v>1734</v>
      </c>
      <c r="BC112" s="1442">
        <v>1778.1</v>
      </c>
      <c r="BD112" s="1254"/>
      <c r="BE112" s="1509">
        <v>1700.3</v>
      </c>
      <c r="BF112" s="1442">
        <v>1865.1</v>
      </c>
      <c r="BG112" s="1442">
        <v>1744.4</v>
      </c>
      <c r="BH112" s="1442">
        <v>1962.3000000000009</v>
      </c>
      <c r="BI112" s="1389"/>
      <c r="BJ112" s="1523">
        <v>1528.4</v>
      </c>
      <c r="BK112" s="1451">
        <v>1515.2</v>
      </c>
      <c r="BL112" s="1451">
        <v>1811</v>
      </c>
      <c r="BM112" s="1451">
        <v>1867.1</v>
      </c>
      <c r="BN112" s="1389"/>
      <c r="BO112" s="1523">
        <v>1466.5</v>
      </c>
      <c r="BP112" s="1451">
        <v>1394</v>
      </c>
      <c r="BQ112" s="1451">
        <v>1376.1</v>
      </c>
      <c r="BR112" s="1451">
        <v>1567.1</v>
      </c>
      <c r="BS112" s="1389"/>
      <c r="BT112" s="1523">
        <v>1064.3</v>
      </c>
      <c r="BU112" s="1442">
        <f>BU14-BU111</f>
        <v>1100</v>
      </c>
      <c r="BV112" s="1442">
        <f>BV14-BV111</f>
        <v>1050</v>
      </c>
      <c r="BW112" s="1442">
        <f>BW14-BW111</f>
        <v>1093.8000000000029</v>
      </c>
      <c r="BX112" s="1389"/>
      <c r="BY112" s="1254"/>
      <c r="BZ112" s="928"/>
      <c r="CA112" s="928"/>
      <c r="CB112" s="928"/>
      <c r="CC112" s="928"/>
      <c r="CD112" s="928"/>
      <c r="CE112" s="928"/>
      <c r="CF112" s="928"/>
      <c r="CG112" s="928"/>
      <c r="CH112" s="928"/>
      <c r="CI112" s="928"/>
      <c r="CJ112" s="928"/>
      <c r="CK112" s="928"/>
      <c r="CL112" s="928"/>
      <c r="CM112" s="928"/>
      <c r="CN112" s="928"/>
      <c r="CO112" s="928"/>
      <c r="CP112" s="928"/>
      <c r="CQ112" s="928"/>
      <c r="CR112" s="928"/>
      <c r="CS112" s="928"/>
      <c r="CT112" s="928"/>
      <c r="CU112" s="1447">
        <f t="shared" si="215"/>
        <v>7.6095947063689051E-2</v>
      </c>
      <c r="CV112" s="1447">
        <f t="shared" si="215"/>
        <v>8.0879947661105733E-2</v>
      </c>
      <c r="CW112" s="1447">
        <f t="shared" si="215"/>
        <v>0.13302991867492353</v>
      </c>
      <c r="CX112" s="1447">
        <f t="shared" si="215"/>
        <v>0.16362937331795502</v>
      </c>
      <c r="CY112" s="928"/>
      <c r="CZ112" s="1447">
        <f t="shared" si="216"/>
        <v>2.0138355111452677E-2</v>
      </c>
      <c r="DA112" s="1447">
        <f t="shared" si="216"/>
        <v>1.5132026935016363E-4</v>
      </c>
      <c r="DB112" s="1447">
        <f t="shared" si="216"/>
        <v>-0.14170946924799144</v>
      </c>
      <c r="DC112" s="1447">
        <f t="shared" si="216"/>
        <v>-0.16341769642503179</v>
      </c>
      <c r="DD112" s="928"/>
      <c r="DE112" s="1447">
        <f t="shared" si="217"/>
        <v>-4.0235081374321968E-2</v>
      </c>
      <c r="DF112" s="1447">
        <f t="shared" si="217"/>
        <v>-1.6415765186474029E-2</v>
      </c>
      <c r="DG112" s="1447">
        <f t="shared" si="217"/>
        <v>4.2043885223262301E-2</v>
      </c>
      <c r="DH112" s="1447">
        <f t="shared" si="217"/>
        <v>0.11279620853080563</v>
      </c>
      <c r="DI112" s="928"/>
      <c r="DJ112" s="1447">
        <f t="shared" si="218"/>
        <v>9.3656775003925219E-2</v>
      </c>
      <c r="DK112" s="1447">
        <f t="shared" si="218"/>
        <v>8.6602061221350501E-2</v>
      </c>
      <c r="DL112" s="1447">
        <f t="shared" si="218"/>
        <v>5.8533352967162333E-2</v>
      </c>
      <c r="DM112" s="1447">
        <f t="shared" si="218"/>
        <v>0.1577228847245884</v>
      </c>
      <c r="DN112" s="928"/>
      <c r="DO112" s="1447">
        <f t="shared" si="219"/>
        <v>6.4388773239537844E-2</v>
      </c>
      <c r="DP112" s="1447">
        <f t="shared" si="219"/>
        <v>0.26627972819932055</v>
      </c>
      <c r="DQ112" s="1447">
        <f t="shared" si="219"/>
        <v>0.20609306531265204</v>
      </c>
      <c r="DR112" s="1447">
        <f t="shared" si="219"/>
        <v>9.0190067443286281E-2</v>
      </c>
      <c r="DS112" s="928"/>
      <c r="DT112" s="928"/>
      <c r="DU112" s="928"/>
      <c r="DV112" s="928"/>
      <c r="DW112" s="928"/>
      <c r="DX112" s="928"/>
      <c r="DY112" s="1338"/>
      <c r="DZ112" s="928"/>
      <c r="EA112" s="928"/>
      <c r="EB112" s="928"/>
      <c r="EC112" s="1337"/>
      <c r="ED112" s="1338"/>
      <c r="EE112" s="928"/>
      <c r="EF112" s="928"/>
      <c r="EG112" s="928"/>
      <c r="EH112" s="1337"/>
      <c r="EI112" s="928"/>
      <c r="EJ112" s="928"/>
      <c r="EK112" s="928"/>
      <c r="EL112" s="928"/>
      <c r="EM112" s="1337"/>
      <c r="EN112" s="928"/>
      <c r="EO112" s="928"/>
      <c r="EP112" s="928"/>
      <c r="EQ112" s="928"/>
      <c r="ER112" s="928"/>
      <c r="ES112" s="928"/>
      <c r="ET112" s="928"/>
      <c r="EU112" s="928"/>
      <c r="EV112" s="928"/>
      <c r="EW112" s="928"/>
      <c r="EX112" s="928"/>
      <c r="EY112" s="928"/>
      <c r="EZ112" s="928"/>
      <c r="FA112" s="928"/>
      <c r="FB112" s="928"/>
      <c r="FC112" s="928"/>
      <c r="FD112" s="928"/>
      <c r="FE112" s="928"/>
      <c r="FF112" s="1452">
        <v>1629.9</v>
      </c>
      <c r="FG112" s="928"/>
      <c r="FH112" s="1453">
        <v>1717.732</v>
      </c>
      <c r="FI112" s="1319"/>
      <c r="FJ112" s="1618">
        <v>1393.175</v>
      </c>
      <c r="FK112" s="1605"/>
      <c r="FL112" s="928"/>
      <c r="FM112" s="928"/>
      <c r="FN112" s="928"/>
      <c r="FO112" s="928"/>
      <c r="FP112" s="928"/>
      <c r="FQ112" s="928"/>
    </row>
    <row r="113" spans="1:173">
      <c r="A113" s="1454" t="s">
        <v>3104</v>
      </c>
      <c r="B113" s="1406"/>
      <c r="C113" s="1406"/>
      <c r="D113" s="1406"/>
      <c r="E113" s="1406"/>
      <c r="F113" s="1406"/>
      <c r="G113" s="1406"/>
      <c r="H113" s="1406"/>
      <c r="I113" s="1406"/>
      <c r="J113" s="1406"/>
      <c r="K113" s="1406"/>
      <c r="L113" s="1406"/>
      <c r="M113" s="1406"/>
      <c r="N113" s="1406"/>
      <c r="O113" s="1406"/>
      <c r="P113" s="1406"/>
      <c r="Q113" s="1406"/>
      <c r="R113" s="1406"/>
      <c r="S113" s="1406"/>
      <c r="T113" s="1406"/>
      <c r="U113" s="1406"/>
      <c r="V113" s="1406"/>
      <c r="W113" s="1406"/>
      <c r="X113" s="1406"/>
      <c r="Y113" s="1406"/>
      <c r="Z113" s="1455"/>
      <c r="AA113" s="1456">
        <f>AA111+AA112</f>
        <v>6896</v>
      </c>
      <c r="AB113" s="1456">
        <f>AB111+AB112</f>
        <v>7135.2</v>
      </c>
      <c r="AC113" s="1456">
        <f>AC111+AC112</f>
        <v>7522.7</v>
      </c>
      <c r="AD113" s="1456">
        <f>AD111+AD112</f>
        <v>7798.2000000000007</v>
      </c>
      <c r="AE113" s="1456"/>
      <c r="AF113" s="1456">
        <f>AF111+AF112</f>
        <v>7975</v>
      </c>
      <c r="AG113" s="1456">
        <f>AG111+AG112</f>
        <v>8095.3</v>
      </c>
      <c r="AH113" s="1456">
        <f>AH111+AH112</f>
        <v>8451.2999999999993</v>
      </c>
      <c r="AI113" s="1456">
        <f>AI111+AI112</f>
        <v>8650</v>
      </c>
      <c r="AJ113" s="1406"/>
      <c r="AK113" s="1456">
        <f>AK111+AK112</f>
        <v>8345.5</v>
      </c>
      <c r="AL113" s="1456">
        <f>AL111+AL112</f>
        <v>8391.2000000000007</v>
      </c>
      <c r="AM113" s="1456">
        <f>AM111+AM112</f>
        <v>8606.7999999999993</v>
      </c>
      <c r="AN113" s="1456">
        <f>AN111+AN112</f>
        <v>8942.9000000000033</v>
      </c>
      <c r="AO113" s="1455"/>
      <c r="AP113" s="1456">
        <f>AP111+AP112</f>
        <v>8965.1999999999989</v>
      </c>
      <c r="AQ113" s="1456">
        <f>AQ111+AQ112</f>
        <v>9169.2000000000007</v>
      </c>
      <c r="AR113" s="1456">
        <f>AR111+AR112</f>
        <v>9579.1</v>
      </c>
      <c r="AS113" s="1456">
        <f>AS111+AS112</f>
        <v>9907.3000000000011</v>
      </c>
      <c r="AT113" s="1455"/>
      <c r="AU113" s="1456">
        <f>AU111+AU112</f>
        <v>10267.300000000001</v>
      </c>
      <c r="AV113" s="1456">
        <f>AV111+AV112</f>
        <v>10629.599999999999</v>
      </c>
      <c r="AW113" s="1456">
        <f>AW111+AW112</f>
        <v>11041.5</v>
      </c>
      <c r="AX113" s="1456">
        <f>AX111+AX112</f>
        <v>11431.9</v>
      </c>
      <c r="AY113" s="1455"/>
      <c r="AZ113" s="1456">
        <f>AZ111+AZ112</f>
        <v>11238.599999999999</v>
      </c>
      <c r="BA113" s="1456">
        <f>BA111+BA112</f>
        <v>11717.9</v>
      </c>
      <c r="BB113" s="1456">
        <f>BB111+BB112</f>
        <v>11961.4</v>
      </c>
      <c r="BC113" s="1456">
        <f>BC111+BC112</f>
        <v>12307.5</v>
      </c>
      <c r="BD113" s="1455"/>
      <c r="BE113" s="1510">
        <f>BE111+BE112</f>
        <v>12165.699999999999</v>
      </c>
      <c r="BF113" s="1456">
        <f>BF111+BF112</f>
        <v>12429.800000000001</v>
      </c>
      <c r="BG113" s="1456">
        <f>BG111+BG112</f>
        <v>12567.4</v>
      </c>
      <c r="BH113" s="1456">
        <f>BH111+BH112</f>
        <v>12999.2</v>
      </c>
      <c r="BI113" s="1511"/>
      <c r="BJ113" s="1510">
        <f>BJ111+BJ112</f>
        <v>12349</v>
      </c>
      <c r="BK113" s="1456">
        <f>BK111+BK112</f>
        <v>12480.800000000001</v>
      </c>
      <c r="BL113" s="1456">
        <f>BL111+BL112</f>
        <v>12845</v>
      </c>
      <c r="BM113" s="1456">
        <f>BM111+BM112</f>
        <v>13005.300000000001</v>
      </c>
      <c r="BN113" s="1524"/>
      <c r="BO113" s="1510">
        <f>BO111+BO112</f>
        <v>12721.7</v>
      </c>
      <c r="BP113" s="1456">
        <f>BP111+BP112</f>
        <v>12832.8</v>
      </c>
      <c r="BQ113" s="1456">
        <f>BQ111+BQ112</f>
        <v>12606.6</v>
      </c>
      <c r="BR113" s="1456">
        <f>BR111+BR112</f>
        <v>12675.800000000001</v>
      </c>
      <c r="BS113" s="1524"/>
      <c r="BT113" s="1510">
        <f>BT111+BT112</f>
        <v>11908.699999999999</v>
      </c>
      <c r="BU113" s="1456">
        <f>BU111+BU112</f>
        <v>12200</v>
      </c>
      <c r="BV113" s="1456">
        <f>BV111+BV112</f>
        <v>12300</v>
      </c>
      <c r="BW113" s="1456">
        <f>BW111+BW112</f>
        <v>12393.800000000003</v>
      </c>
      <c r="BX113" s="1524"/>
      <c r="BY113" s="1254"/>
      <c r="BZ113" s="928"/>
      <c r="CA113" s="928"/>
      <c r="CB113" s="928"/>
      <c r="CC113" s="928"/>
      <c r="CD113" s="928"/>
      <c r="CE113" s="928"/>
      <c r="CF113" s="928"/>
      <c r="CG113" s="928"/>
      <c r="CH113" s="928"/>
      <c r="CI113" s="928"/>
      <c r="CJ113" s="928"/>
      <c r="CK113" s="928"/>
      <c r="CL113" s="928"/>
      <c r="CM113" s="928"/>
      <c r="CN113" s="928"/>
      <c r="CO113" s="928"/>
      <c r="CP113" s="928"/>
      <c r="CQ113" s="928"/>
      <c r="CR113" s="928"/>
      <c r="CS113" s="928"/>
      <c r="CT113" s="928"/>
      <c r="CU113" s="1254">
        <f t="shared" si="215"/>
        <v>0.15646751740139209</v>
      </c>
      <c r="CV113" s="1254">
        <f t="shared" si="215"/>
        <v>0.13455824644018399</v>
      </c>
      <c r="CW113" s="1254">
        <f t="shared" si="215"/>
        <v>0.12343972244008139</v>
      </c>
      <c r="CX113" s="1254">
        <f t="shared" si="215"/>
        <v>0.10923033520556014</v>
      </c>
      <c r="CY113" s="928"/>
      <c r="CZ113" s="1254">
        <f t="shared" si="216"/>
        <v>4.6457680250783673E-2</v>
      </c>
      <c r="DA113" s="1254">
        <f t="shared" si="216"/>
        <v>3.6552073425320852E-2</v>
      </c>
      <c r="DB113" s="1254">
        <f t="shared" si="216"/>
        <v>1.8399536166033625E-2</v>
      </c>
      <c r="DC113" s="1254">
        <f t="shared" si="216"/>
        <v>3.386127167630093E-2</v>
      </c>
      <c r="DD113" s="928"/>
      <c r="DE113" s="1254">
        <f t="shared" si="217"/>
        <v>7.4255586843208876E-2</v>
      </c>
      <c r="DF113" s="1254">
        <f t="shared" si="217"/>
        <v>9.2716178854037601E-2</v>
      </c>
      <c r="DG113" s="1254">
        <f t="shared" si="217"/>
        <v>0.11296881535530057</v>
      </c>
      <c r="DH113" s="1254">
        <f t="shared" si="217"/>
        <v>0.10783973878719411</v>
      </c>
      <c r="DI113" s="928"/>
      <c r="DJ113" s="1254">
        <f t="shared" si="218"/>
        <v>0.14523937000847753</v>
      </c>
      <c r="DK113" s="1254">
        <f t="shared" si="218"/>
        <v>0.15927234655149825</v>
      </c>
      <c r="DL113" s="1254">
        <f t="shared" si="218"/>
        <v>0.15266569928281348</v>
      </c>
      <c r="DM113" s="1254">
        <f t="shared" si="218"/>
        <v>0.15388652811563164</v>
      </c>
      <c r="DN113" s="928"/>
      <c r="DO113" s="1254">
        <f t="shared" si="219"/>
        <v>9.460130706222647E-2</v>
      </c>
      <c r="DP113" s="1254">
        <f t="shared" si="219"/>
        <v>0.10238390908406725</v>
      </c>
      <c r="DQ113" s="1254">
        <f t="shared" si="219"/>
        <v>8.3312955667255384E-2</v>
      </c>
      <c r="DR113" s="1254">
        <f t="shared" si="219"/>
        <v>7.6592692378344873E-2</v>
      </c>
      <c r="DS113" s="928"/>
      <c r="DT113" s="928"/>
      <c r="DU113" s="928"/>
      <c r="DV113" s="928"/>
      <c r="DW113" s="928"/>
      <c r="DX113" s="928"/>
      <c r="DY113" s="1338"/>
      <c r="DZ113" s="928"/>
      <c r="EA113" s="928"/>
      <c r="EB113" s="928"/>
      <c r="EC113" s="1337"/>
      <c r="ED113" s="1338"/>
      <c r="EE113" s="928"/>
      <c r="EF113" s="928"/>
      <c r="EG113" s="928"/>
      <c r="EH113" s="1337"/>
      <c r="EI113" s="928"/>
      <c r="EJ113" s="928"/>
      <c r="EK113" s="928"/>
      <c r="EL113" s="928"/>
      <c r="EM113" s="1337"/>
      <c r="EN113" s="928"/>
      <c r="EO113" s="928"/>
      <c r="EP113" s="928"/>
      <c r="EQ113" s="928"/>
      <c r="ER113" s="928"/>
      <c r="ES113" s="928"/>
      <c r="ET113" s="928"/>
      <c r="EU113" s="928"/>
      <c r="EV113" s="928"/>
      <c r="EW113" s="928"/>
      <c r="EX113" s="928"/>
      <c r="EY113" s="928"/>
      <c r="EZ113" s="928"/>
      <c r="FA113" s="928"/>
      <c r="FB113" s="928"/>
      <c r="FC113" s="928"/>
      <c r="FD113" s="928"/>
      <c r="FE113" s="928"/>
      <c r="FF113" s="1457">
        <v>13050.089999999998</v>
      </c>
      <c r="FG113" s="928"/>
      <c r="FH113" s="1453">
        <v>13023.004999999999</v>
      </c>
      <c r="FI113" s="1319"/>
      <c r="FJ113" s="1619">
        <v>12693.174999999999</v>
      </c>
      <c r="FK113" s="1605"/>
      <c r="FL113" s="928"/>
      <c r="FM113" s="928"/>
      <c r="FN113" s="928"/>
      <c r="FO113" s="928"/>
      <c r="FP113" s="928"/>
      <c r="FQ113" s="928"/>
    </row>
    <row r="114" spans="1:173">
      <c r="A114" s="1441" t="s">
        <v>1244</v>
      </c>
      <c r="B114" s="928"/>
      <c r="C114" s="928"/>
      <c r="D114" s="928"/>
      <c r="E114" s="928"/>
      <c r="F114" s="928"/>
      <c r="G114" s="928"/>
      <c r="H114" s="928"/>
      <c r="I114" s="928"/>
      <c r="J114" s="928"/>
      <c r="K114" s="928"/>
      <c r="L114" s="928"/>
      <c r="M114" s="928"/>
      <c r="N114" s="928"/>
      <c r="O114" s="928"/>
      <c r="P114" s="928"/>
      <c r="Q114" s="928"/>
      <c r="R114" s="928"/>
      <c r="S114" s="928"/>
      <c r="T114" s="928"/>
      <c r="U114" s="928"/>
      <c r="V114" s="928"/>
      <c r="W114" s="928"/>
      <c r="X114" s="928"/>
      <c r="Y114" s="928"/>
      <c r="Z114" s="1254"/>
      <c r="AA114" s="1442">
        <f>AA113-AA14</f>
        <v>181.5</v>
      </c>
      <c r="AB114" s="1442">
        <f>AB113-AB14</f>
        <v>225.5</v>
      </c>
      <c r="AC114" s="1442">
        <f>AC113-AC14</f>
        <v>228.69999999999982</v>
      </c>
      <c r="AD114" s="1442">
        <f>AD113-AD14</f>
        <v>228.10000000000218</v>
      </c>
      <c r="AE114" s="1442"/>
      <c r="AF114" s="1442">
        <f>AF113-AF14</f>
        <v>353.89999999999964</v>
      </c>
      <c r="AG114" s="1442">
        <f>AG113-AG14</f>
        <v>293.19999999999982</v>
      </c>
      <c r="AH114" s="1442">
        <f>AH113-AH14</f>
        <v>296.09999999999945</v>
      </c>
      <c r="AI114" s="1442">
        <f>AI113-AI14</f>
        <v>336.79999999999927</v>
      </c>
      <c r="AJ114" s="928"/>
      <c r="AK114" s="1442">
        <f>AK113-AK14</f>
        <v>249.19999999999982</v>
      </c>
      <c r="AL114" s="1442">
        <f>AL113-AL14</f>
        <v>354.50000000000091</v>
      </c>
      <c r="AM114" s="1442">
        <f>AM113-AM14</f>
        <v>284.29999999999927</v>
      </c>
      <c r="AN114" s="1442">
        <f>AN113-AN14</f>
        <v>350.00000000000364</v>
      </c>
      <c r="AO114" s="1254"/>
      <c r="AP114" s="1442">
        <f>AP113-AP14</f>
        <v>295.49999999999818</v>
      </c>
      <c r="AQ114" s="1442">
        <f>AQ113-AQ14</f>
        <v>343.5</v>
      </c>
      <c r="AR114" s="1442">
        <f>AR113-AR14</f>
        <v>359.20000000000073</v>
      </c>
      <c r="AS114" s="1442">
        <f>AS113-AS14</f>
        <v>389.60000000000036</v>
      </c>
      <c r="AT114" s="1254"/>
      <c r="AU114" s="1442">
        <f>AU113-AU14</f>
        <v>369.20000000000073</v>
      </c>
      <c r="AV114" s="1442">
        <f>AV113-AV14</f>
        <v>413.89999999999782</v>
      </c>
      <c r="AW114" s="1442">
        <f>AW113-AW14</f>
        <v>469.39999999999964</v>
      </c>
      <c r="AX114" s="1442">
        <f>AX113-AX14</f>
        <v>415.79999999999927</v>
      </c>
      <c r="AY114" s="1254"/>
      <c r="AZ114" s="1442">
        <f>AZ113-AZ14</f>
        <v>413.89999999999782</v>
      </c>
      <c r="BA114" s="1442">
        <f>BA113-BA14</f>
        <v>409.10000000000036</v>
      </c>
      <c r="BB114" s="1442">
        <f>BB113-BB14</f>
        <v>553.5</v>
      </c>
      <c r="BC114" s="1442">
        <f>BC113-BC14</f>
        <v>481.80000000000473</v>
      </c>
      <c r="BD114" s="1254"/>
      <c r="BE114" s="1509">
        <f>BE113-BE14</f>
        <v>489.19999999999891</v>
      </c>
      <c r="BF114" s="1442">
        <f>BF113-BF14</f>
        <v>448.20000000000073</v>
      </c>
      <c r="BG114" s="1442">
        <f>BG113-BG14</f>
        <v>500.79999999999927</v>
      </c>
      <c r="BH114" s="1442">
        <f>BH113-BH14</f>
        <v>703</v>
      </c>
      <c r="BI114" s="1389"/>
      <c r="BJ114" s="1509">
        <f>BJ113-BJ14</f>
        <v>544.5</v>
      </c>
      <c r="BK114" s="1442">
        <f>BK113-BK14</f>
        <v>730.80000000000109</v>
      </c>
      <c r="BL114" s="1442">
        <f>BL113-BL14</f>
        <v>451</v>
      </c>
      <c r="BM114" s="1442">
        <f>BM113-BM14</f>
        <v>542.00000000000182</v>
      </c>
      <c r="BN114" s="1389"/>
      <c r="BO114" s="1509">
        <f>BO113-BO14</f>
        <v>599</v>
      </c>
      <c r="BP114" s="1442">
        <f>BP113-BP14</f>
        <v>541.29999999999927</v>
      </c>
      <c r="BQ114" s="1442">
        <f>BQ113-BQ14</f>
        <v>458.70000000000073</v>
      </c>
      <c r="BR114" s="1442">
        <f>BR113-BR14</f>
        <v>435.40000000000146</v>
      </c>
      <c r="BS114" s="1389"/>
      <c r="BT114" s="1509">
        <f>BT113-BT14</f>
        <v>0</v>
      </c>
      <c r="BU114" s="1442">
        <f>BU113-BU14</f>
        <v>0</v>
      </c>
      <c r="BV114" s="1442">
        <f>BV113-BV14</f>
        <v>0</v>
      </c>
      <c r="BW114" s="1442">
        <f>BW113-BW14</f>
        <v>0</v>
      </c>
      <c r="BX114" s="1389"/>
      <c r="BY114" s="1254"/>
      <c r="BZ114" s="928"/>
      <c r="CA114" s="928"/>
      <c r="CB114" s="928"/>
      <c r="CC114" s="928"/>
      <c r="CD114" s="928"/>
      <c r="CE114" s="928"/>
      <c r="CF114" s="928"/>
      <c r="CG114" s="928"/>
      <c r="CH114" s="928"/>
      <c r="CI114" s="928"/>
      <c r="CJ114" s="928"/>
      <c r="CK114" s="928"/>
      <c r="CL114" s="928"/>
      <c r="CM114" s="928"/>
      <c r="CN114" s="928"/>
      <c r="CO114" s="928"/>
      <c r="CP114" s="928"/>
      <c r="CQ114" s="928"/>
      <c r="CR114" s="928"/>
      <c r="CS114" s="928"/>
      <c r="CT114" s="928"/>
      <c r="CU114" s="928"/>
      <c r="CV114" s="928"/>
      <c r="CW114" s="928"/>
      <c r="CX114" s="928"/>
      <c r="CY114" s="928"/>
      <c r="CZ114" s="928"/>
      <c r="DA114" s="928"/>
      <c r="DB114" s="928"/>
      <c r="DC114" s="928"/>
      <c r="DD114" s="928"/>
      <c r="DE114" s="928"/>
      <c r="DF114" s="928"/>
      <c r="DG114" s="928"/>
      <c r="DH114" s="928"/>
      <c r="DI114" s="928"/>
      <c r="DJ114" s="928"/>
      <c r="DK114" s="928"/>
      <c r="DL114" s="928"/>
      <c r="DM114" s="928"/>
      <c r="DN114" s="928"/>
      <c r="DO114" s="928"/>
      <c r="DP114" s="928"/>
      <c r="DQ114" s="928"/>
      <c r="DR114" s="928"/>
      <c r="DS114" s="928"/>
      <c r="DT114" s="928"/>
      <c r="DU114" s="928"/>
      <c r="DV114" s="928"/>
      <c r="DW114" s="928"/>
      <c r="DX114" s="928"/>
      <c r="DY114" s="1338"/>
      <c r="DZ114" s="928"/>
      <c r="EA114" s="928"/>
      <c r="EB114" s="928"/>
      <c r="EC114" s="1337"/>
      <c r="ED114" s="1338"/>
      <c r="EE114" s="928"/>
      <c r="EF114" s="928"/>
      <c r="EG114" s="928"/>
      <c r="EH114" s="1337"/>
      <c r="EI114" s="928"/>
      <c r="EJ114" s="928"/>
      <c r="EK114" s="928"/>
      <c r="EL114" s="928"/>
      <c r="EM114" s="1337"/>
      <c r="EN114" s="928"/>
      <c r="EO114" s="928"/>
      <c r="EP114" s="928"/>
      <c r="EQ114" s="928"/>
      <c r="ER114" s="928"/>
      <c r="ES114" s="928"/>
      <c r="ET114" s="928"/>
      <c r="EU114" s="928"/>
      <c r="EV114" s="928"/>
      <c r="EW114" s="928"/>
      <c r="EX114" s="928"/>
      <c r="EY114" s="928"/>
      <c r="EZ114" s="928"/>
      <c r="FA114" s="928"/>
      <c r="FB114" s="928"/>
      <c r="FC114" s="928"/>
      <c r="FD114" s="928"/>
      <c r="FE114" s="928"/>
      <c r="FF114" s="1452">
        <v>500</v>
      </c>
      <c r="FG114" s="928"/>
      <c r="FH114" s="1453">
        <v>447.12799999999697</v>
      </c>
      <c r="FI114" s="1319"/>
      <c r="FJ114" s="1622">
        <v>493.17499999999927</v>
      </c>
      <c r="FK114" s="1605"/>
      <c r="FL114" s="928"/>
      <c r="FM114" s="928"/>
      <c r="FN114" s="928"/>
      <c r="FO114" s="928"/>
      <c r="FP114" s="928"/>
      <c r="FQ114" s="928"/>
    </row>
    <row r="115" spans="1:173">
      <c r="A115" s="1441"/>
      <c r="B115" s="928"/>
      <c r="C115" s="928"/>
      <c r="D115" s="928"/>
      <c r="E115" s="928"/>
      <c r="F115" s="928"/>
      <c r="G115" s="928"/>
      <c r="H115" s="928"/>
      <c r="I115" s="928"/>
      <c r="J115" s="928"/>
      <c r="K115" s="928"/>
      <c r="L115" s="928"/>
      <c r="M115" s="928"/>
      <c r="N115" s="928"/>
      <c r="O115" s="928"/>
      <c r="P115" s="928"/>
      <c r="Q115" s="928"/>
      <c r="R115" s="928"/>
      <c r="S115" s="928"/>
      <c r="T115" s="928"/>
      <c r="U115" s="928"/>
      <c r="V115" s="928"/>
      <c r="W115" s="928"/>
      <c r="X115" s="928"/>
      <c r="Y115" s="928"/>
      <c r="Z115" s="1254"/>
      <c r="AA115" s="1413"/>
      <c r="AB115" s="1413"/>
      <c r="AC115" s="1413"/>
      <c r="AD115" s="1413"/>
      <c r="AE115" s="1254"/>
      <c r="AF115" s="1413"/>
      <c r="AG115" s="1413"/>
      <c r="AH115" s="1413"/>
      <c r="AI115" s="1413"/>
      <c r="AJ115" s="928"/>
      <c r="AK115" s="1254"/>
      <c r="AL115" s="1254"/>
      <c r="AM115" s="1254"/>
      <c r="AN115" s="1254"/>
      <c r="AO115" s="1254"/>
      <c r="AP115" s="1254"/>
      <c r="AQ115" s="1254"/>
      <c r="AR115" s="1254"/>
      <c r="AS115" s="1254"/>
      <c r="AT115" s="1254"/>
      <c r="AU115" s="1254"/>
      <c r="AV115" s="1316"/>
      <c r="AW115" s="1316"/>
      <c r="AX115" s="1316"/>
      <c r="AY115" s="1254"/>
      <c r="AZ115" s="1316"/>
      <c r="BA115" s="1316"/>
      <c r="BB115" s="1316"/>
      <c r="BC115" s="1254"/>
      <c r="BD115" s="1254"/>
      <c r="BE115" s="1355"/>
      <c r="BF115" s="1316">
        <f>BF113/BA113-1</f>
        <v>6.0753206632587986E-2</v>
      </c>
      <c r="BG115" s="1316">
        <f>BG113/BB113-1</f>
        <v>5.0662965873560006E-2</v>
      </c>
      <c r="BH115" s="1316">
        <f>BH113/BB113-1</f>
        <v>8.6762419114819522E-2</v>
      </c>
      <c r="BI115" s="1389"/>
      <c r="BJ115" s="1355"/>
      <c r="BK115" s="1254"/>
      <c r="BL115" s="1254"/>
      <c r="BM115" s="1254"/>
      <c r="BN115" s="1389"/>
      <c r="BO115" s="1355"/>
      <c r="BP115" s="1254"/>
      <c r="BQ115" s="1254"/>
      <c r="BR115" s="1254"/>
      <c r="BS115" s="1389"/>
      <c r="BT115" s="1355"/>
      <c r="BU115" s="1254"/>
      <c r="BV115" s="1254"/>
      <c r="BW115" s="1254"/>
      <c r="BX115" s="1389"/>
      <c r="BY115" s="1254"/>
      <c r="BZ115" s="928"/>
      <c r="CA115" s="928"/>
      <c r="CB115" s="928"/>
      <c r="CC115" s="928"/>
      <c r="CD115" s="928"/>
      <c r="CE115" s="928"/>
      <c r="CF115" s="928"/>
      <c r="CG115" s="928"/>
      <c r="CH115" s="928"/>
      <c r="CI115" s="928"/>
      <c r="CJ115" s="928"/>
      <c r="CK115" s="928"/>
      <c r="CL115" s="928"/>
      <c r="CM115" s="928"/>
      <c r="CN115" s="928"/>
      <c r="CO115" s="928"/>
      <c r="CP115" s="928"/>
      <c r="CQ115" s="928"/>
      <c r="CR115" s="928"/>
      <c r="CS115" s="928"/>
      <c r="CT115" s="928"/>
      <c r="CU115" s="928"/>
      <c r="CV115" s="928"/>
      <c r="CW115" s="928"/>
      <c r="CX115" s="928"/>
      <c r="CY115" s="928"/>
      <c r="CZ115" s="928"/>
      <c r="DA115" s="928"/>
      <c r="DB115" s="928"/>
      <c r="DC115" s="928"/>
      <c r="DD115" s="928"/>
      <c r="DE115" s="928"/>
      <c r="DF115" s="928"/>
      <c r="DG115" s="928"/>
      <c r="DH115" s="928"/>
      <c r="DI115" s="928"/>
      <c r="DJ115" s="928"/>
      <c r="DK115" s="928"/>
      <c r="DL115" s="928"/>
      <c r="DM115" s="928"/>
      <c r="DN115" s="928"/>
      <c r="DO115" s="928"/>
      <c r="DP115" s="928"/>
      <c r="DQ115" s="928"/>
      <c r="DR115" s="928"/>
      <c r="DS115" s="928"/>
      <c r="DT115" s="928"/>
      <c r="DU115" s="928"/>
      <c r="DV115" s="928"/>
      <c r="DW115" s="928"/>
      <c r="DX115" s="928"/>
      <c r="DY115" s="1338"/>
      <c r="DZ115" s="928"/>
      <c r="EA115" s="928"/>
      <c r="EB115" s="928"/>
      <c r="EC115" s="1337"/>
      <c r="ED115" s="1338"/>
      <c r="EE115" s="928"/>
      <c r="EF115" s="928"/>
      <c r="EG115" s="928"/>
      <c r="EH115" s="1337"/>
      <c r="EI115" s="928"/>
      <c r="EJ115" s="928"/>
      <c r="EK115" s="928"/>
      <c r="EL115" s="928"/>
      <c r="EM115" s="1337"/>
      <c r="EN115" s="928"/>
      <c r="EO115" s="928"/>
      <c r="EP115" s="928"/>
      <c r="EQ115" s="928"/>
      <c r="ER115" s="928"/>
      <c r="ES115" s="928"/>
      <c r="ET115" s="928"/>
      <c r="EU115" s="928"/>
      <c r="EV115" s="928"/>
      <c r="EW115" s="928"/>
      <c r="EX115" s="928"/>
      <c r="EY115" s="928"/>
      <c r="EZ115" s="928"/>
      <c r="FA115" s="928"/>
      <c r="FB115" s="928"/>
      <c r="FC115" s="928"/>
      <c r="FD115" s="928"/>
      <c r="FE115" s="928"/>
      <c r="FF115" s="1363"/>
      <c r="FG115" s="928"/>
      <c r="FH115" s="1351"/>
      <c r="FI115" s="1319"/>
      <c r="FJ115" s="1612"/>
      <c r="FK115" s="1605"/>
      <c r="FL115" s="928"/>
      <c r="FM115" s="928"/>
      <c r="FN115" s="928"/>
      <c r="FO115" s="928"/>
      <c r="FP115" s="928"/>
      <c r="FQ115" s="928"/>
    </row>
    <row r="116" spans="1:173">
      <c r="A116" s="1444" t="s">
        <v>3105</v>
      </c>
      <c r="B116" s="928"/>
      <c r="C116" s="928"/>
      <c r="D116" s="928"/>
      <c r="E116" s="928"/>
      <c r="F116" s="928"/>
      <c r="G116" s="928"/>
      <c r="H116" s="928"/>
      <c r="I116" s="928"/>
      <c r="J116" s="928"/>
      <c r="K116" s="928"/>
      <c r="L116" s="928"/>
      <c r="M116" s="928"/>
      <c r="N116" s="928"/>
      <c r="O116" s="928"/>
      <c r="P116" s="928"/>
      <c r="Q116" s="928"/>
      <c r="R116" s="928"/>
      <c r="S116" s="928"/>
      <c r="T116" s="928"/>
      <c r="U116" s="928"/>
      <c r="V116" s="928"/>
      <c r="W116" s="928"/>
      <c r="X116" s="928"/>
      <c r="Y116" s="928"/>
      <c r="Z116" s="1254"/>
      <c r="AA116" s="1413"/>
      <c r="AB116" s="1413"/>
      <c r="AC116" s="1413"/>
      <c r="AD116" s="1413"/>
      <c r="AE116" s="1254"/>
      <c r="AF116" s="1413"/>
      <c r="AG116" s="1413"/>
      <c r="AH116" s="1413"/>
      <c r="AI116" s="1413"/>
      <c r="AJ116" s="928"/>
      <c r="AK116" s="1254"/>
      <c r="AL116" s="1254"/>
      <c r="AM116" s="1254"/>
      <c r="AN116" s="1254"/>
      <c r="AO116" s="1254"/>
      <c r="AP116" s="1254"/>
      <c r="AQ116" s="1254"/>
      <c r="AR116" s="1254"/>
      <c r="AS116" s="1254"/>
      <c r="AT116" s="1254"/>
      <c r="AU116" s="1316">
        <f>(AU111-475)/AP111-1</f>
        <v>9.2024858933354325E-2</v>
      </c>
      <c r="AV116" s="1316">
        <f>(AV111-475)/AQ111-1</f>
        <v>0.11091625365357727</v>
      </c>
      <c r="AW116" s="1316">
        <f>(AW111-475)/AR111-1</f>
        <v>0.11043802989940277</v>
      </c>
      <c r="AX116" s="1316">
        <f>(AX111-475)/AS111-1</f>
        <v>9.7358357357180347E-2</v>
      </c>
      <c r="AY116" s="1254"/>
      <c r="AZ116" s="1316"/>
      <c r="BA116" s="1316"/>
      <c r="BB116" s="1316"/>
      <c r="BC116" s="1316"/>
      <c r="BD116" s="1254"/>
      <c r="BE116" s="1347"/>
      <c r="BF116" s="1316"/>
      <c r="BG116" s="1316"/>
      <c r="BH116" s="1316"/>
      <c r="BI116" s="1389"/>
      <c r="BJ116" s="1347"/>
      <c r="BK116" s="1316"/>
      <c r="BL116" s="1316"/>
      <c r="BM116" s="1316"/>
      <c r="BN116" s="1389"/>
      <c r="BO116" s="1347"/>
      <c r="BP116" s="1316"/>
      <c r="BQ116" s="1316"/>
      <c r="BR116" s="1316"/>
      <c r="BS116" s="1389"/>
      <c r="BT116" s="1347"/>
      <c r="BU116" s="1316"/>
      <c r="BV116" s="1316"/>
      <c r="BW116" s="1316"/>
      <c r="BX116" s="1389"/>
      <c r="BY116" s="1254"/>
      <c r="BZ116" s="928"/>
      <c r="CA116" s="928"/>
      <c r="CB116" s="928"/>
      <c r="CC116" s="928"/>
      <c r="CD116" s="928"/>
      <c r="CE116" s="928"/>
      <c r="CF116" s="928"/>
      <c r="CG116" s="928"/>
      <c r="CH116" s="928"/>
      <c r="CI116" s="928"/>
      <c r="CJ116" s="928"/>
      <c r="CK116" s="928"/>
      <c r="CL116" s="928"/>
      <c r="CM116" s="928"/>
      <c r="CN116" s="928"/>
      <c r="CO116" s="928"/>
      <c r="CP116" s="928"/>
      <c r="CQ116" s="928"/>
      <c r="CR116" s="928"/>
      <c r="CS116" s="928"/>
      <c r="CT116" s="928"/>
      <c r="CU116" s="928"/>
      <c r="CV116" s="928"/>
      <c r="CW116" s="928"/>
      <c r="CX116" s="928"/>
      <c r="CY116" s="928"/>
      <c r="CZ116" s="928"/>
      <c r="DA116" s="928"/>
      <c r="DB116" s="928"/>
      <c r="DC116" s="928"/>
      <c r="DD116" s="928"/>
      <c r="DE116" s="928"/>
      <c r="DF116" s="928"/>
      <c r="DG116" s="928"/>
      <c r="DH116" s="928"/>
      <c r="DI116" s="928"/>
      <c r="DJ116" s="928"/>
      <c r="DK116" s="928"/>
      <c r="DL116" s="928"/>
      <c r="DM116" s="928"/>
      <c r="DN116" s="928"/>
      <c r="DO116" s="928"/>
      <c r="DP116" s="928"/>
      <c r="DQ116" s="928"/>
      <c r="DR116" s="928"/>
      <c r="DS116" s="928"/>
      <c r="DT116" s="928"/>
      <c r="DU116" s="928"/>
      <c r="DV116" s="928"/>
      <c r="DW116" s="928"/>
      <c r="DX116" s="928"/>
      <c r="DY116" s="1338"/>
      <c r="DZ116" s="928"/>
      <c r="EA116" s="928"/>
      <c r="EB116" s="928"/>
      <c r="EC116" s="1337"/>
      <c r="ED116" s="1338"/>
      <c r="EE116" s="928"/>
      <c r="EF116" s="928"/>
      <c r="EG116" s="928"/>
      <c r="EH116" s="1337"/>
      <c r="EI116" s="928"/>
      <c r="EJ116" s="928"/>
      <c r="EK116" s="928"/>
      <c r="EL116" s="928"/>
      <c r="EM116" s="1337"/>
      <c r="EN116" s="928"/>
      <c r="EO116" s="928"/>
      <c r="EP116" s="928"/>
      <c r="EQ116" s="928"/>
      <c r="ER116" s="928"/>
      <c r="ES116" s="928"/>
      <c r="ET116" s="928"/>
      <c r="EU116" s="928"/>
      <c r="EV116" s="928"/>
      <c r="EW116" s="928"/>
      <c r="EX116" s="928"/>
      <c r="EY116" s="928"/>
      <c r="EZ116" s="928"/>
      <c r="FA116" s="928"/>
      <c r="FB116" s="928"/>
      <c r="FC116" s="928"/>
      <c r="FD116" s="928"/>
      <c r="FE116" s="928"/>
      <c r="FF116" s="1360"/>
      <c r="FG116" s="928"/>
      <c r="FH116" s="1361"/>
      <c r="FI116" s="1319"/>
      <c r="FJ116" s="1615"/>
      <c r="FK116" s="1605"/>
      <c r="FL116" s="928"/>
      <c r="FM116" s="928"/>
      <c r="FN116" s="928"/>
      <c r="FO116" s="928"/>
      <c r="FP116" s="928"/>
      <c r="FQ116" s="928"/>
    </row>
    <row r="117" spans="1:173">
      <c r="A117" s="1441" t="str">
        <f>A111</f>
        <v>Retail</v>
      </c>
      <c r="B117" s="928"/>
      <c r="C117" s="928"/>
      <c r="D117" s="928"/>
      <c r="E117" s="928"/>
      <c r="F117" s="928"/>
      <c r="G117" s="928"/>
      <c r="H117" s="928"/>
      <c r="I117" s="928"/>
      <c r="J117" s="928"/>
      <c r="K117" s="928"/>
      <c r="L117" s="928"/>
      <c r="M117" s="928"/>
      <c r="N117" s="928"/>
      <c r="O117" s="928"/>
      <c r="P117" s="928"/>
      <c r="Q117" s="928"/>
      <c r="R117" s="928"/>
      <c r="S117" s="928"/>
      <c r="T117" s="928"/>
      <c r="U117" s="928"/>
      <c r="V117" s="928"/>
      <c r="W117" s="928"/>
      <c r="X117" s="928"/>
      <c r="Y117" s="928"/>
      <c r="Z117" s="1254"/>
      <c r="AA117" s="1413"/>
      <c r="AB117" s="1413"/>
      <c r="AC117" s="1413"/>
      <c r="AD117" s="1413"/>
      <c r="AE117" s="1254"/>
      <c r="AF117" s="1316">
        <f t="shared" ref="AF117:AI119" si="220">AF111/AA111-1</f>
        <v>0.17355371900826455</v>
      </c>
      <c r="AG117" s="1316">
        <f t="shared" si="220"/>
        <v>0.14565996887896637</v>
      </c>
      <c r="AH117" s="1316">
        <f t="shared" si="220"/>
        <v>0.12136063664596275</v>
      </c>
      <c r="AI117" s="1316">
        <f t="shared" si="220"/>
        <v>9.834249041968679E-2</v>
      </c>
      <c r="AJ117" s="928"/>
      <c r="AK117" s="1316">
        <f t="shared" ref="AK117:AN119" si="221">AK111/AF111-1</f>
        <v>5.1588252921786149E-2</v>
      </c>
      <c r="AL117" s="1316">
        <f t="shared" si="221"/>
        <v>4.3654777370969677E-2</v>
      </c>
      <c r="AM117" s="1316">
        <f t="shared" si="221"/>
        <v>5.3471230545097947E-2</v>
      </c>
      <c r="AN117" s="1316">
        <f t="shared" si="221"/>
        <v>7.5693247579413869E-2</v>
      </c>
      <c r="AO117" s="1254"/>
      <c r="AP117" s="1316">
        <f t="shared" ref="AP117:AS119" si="222">AP111/AK111-1</f>
        <v>9.5906416083666901E-2</v>
      </c>
      <c r="AQ117" s="1316">
        <f t="shared" si="222"/>
        <v>0.1131229400364957</v>
      </c>
      <c r="AR117" s="1316">
        <f t="shared" si="222"/>
        <v>0.12562642057124074</v>
      </c>
      <c r="AS117" s="1316">
        <f t="shared" si="222"/>
        <v>0.10702236579869462</v>
      </c>
      <c r="AT117" s="1316"/>
      <c r="AU117" s="1316">
        <f t="shared" ref="AU117:AX119" si="223">AU111/AP111-1</f>
        <v>0.1537821462932627</v>
      </c>
      <c r="AV117" s="1316">
        <f t="shared" si="223"/>
        <v>0.1712797051721946</v>
      </c>
      <c r="AW117" s="1316">
        <f t="shared" si="223"/>
        <v>0.16821759174786211</v>
      </c>
      <c r="AX117" s="1316">
        <f t="shared" si="223"/>
        <v>0.15325057363064043</v>
      </c>
      <c r="AY117" s="1316"/>
      <c r="AZ117" s="1316">
        <f t="shared" ref="AZ117:BC119" si="224">AZ111/AU111-1</f>
        <v>9.9344166234702769E-2</v>
      </c>
      <c r="BA117" s="1316">
        <f t="shared" si="224"/>
        <v>7.7261088447183379E-2</v>
      </c>
      <c r="BB117" s="1316">
        <f t="shared" si="224"/>
        <v>6.4932630833628435E-2</v>
      </c>
      <c r="BC117" s="1316">
        <f t="shared" si="224"/>
        <v>7.4329908477792861E-2</v>
      </c>
      <c r="BD117" s="1316"/>
      <c r="BE117" s="1347">
        <f t="shared" ref="BE117:BH119" si="225">BE111/AZ111-1</f>
        <v>7.2736218454662938E-2</v>
      </c>
      <c r="BF117" s="1316">
        <f t="shared" si="225"/>
        <v>6.4035290918430077E-2</v>
      </c>
      <c r="BG117" s="1316">
        <f t="shared" si="225"/>
        <v>5.823571973326569E-2</v>
      </c>
      <c r="BH117" s="1316">
        <f t="shared" si="225"/>
        <v>4.8198377875282583E-2</v>
      </c>
      <c r="BI117" s="1415"/>
      <c r="BJ117" s="1347">
        <f t="shared" ref="BJ117:BR119" si="226">BJ111/BE111-1</f>
        <v>3.3940413171020811E-2</v>
      </c>
      <c r="BK117" s="1316">
        <f t="shared" si="226"/>
        <v>3.7947125805749327E-2</v>
      </c>
      <c r="BL117" s="1316">
        <f t="shared" si="226"/>
        <v>1.9495518802550071E-2</v>
      </c>
      <c r="BM117" s="1316">
        <f t="shared" si="226"/>
        <v>9.1783018782449766E-3</v>
      </c>
      <c r="BN117" s="1415"/>
      <c r="BO117" s="1347">
        <f t="shared" si="226"/>
        <v>4.0164131379036405E-2</v>
      </c>
      <c r="BP117" s="1316">
        <f t="shared" si="226"/>
        <v>4.3153133435470892E-2</v>
      </c>
      <c r="BQ117" s="1316">
        <f t="shared" si="226"/>
        <v>1.7808591625883663E-2</v>
      </c>
      <c r="BR117" s="1316">
        <f t="shared" si="226"/>
        <v>-2.6485428525255816E-3</v>
      </c>
      <c r="BS117" s="1415"/>
      <c r="BT117" s="1347">
        <f t="shared" ref="BT117:BT119" si="227">BT111/BO111-1</f>
        <v>-3.649868505224263E-2</v>
      </c>
      <c r="BU117" s="1316">
        <f t="shared" ref="BU117:BW119" si="228">BU111/BP111-1</f>
        <v>-2.9618491450152051E-2</v>
      </c>
      <c r="BV117" s="1316">
        <f t="shared" si="228"/>
        <v>1.736342994523854E-3</v>
      </c>
      <c r="BW117" s="1316">
        <f t="shared" si="228"/>
        <v>1.7220736899907108E-2</v>
      </c>
      <c r="BX117" s="1415"/>
      <c r="BY117" s="1316"/>
      <c r="BZ117" s="928"/>
      <c r="CA117" s="928"/>
      <c r="CB117" s="928"/>
      <c r="CC117" s="928"/>
      <c r="CD117" s="928"/>
      <c r="CE117" s="928"/>
      <c r="CF117" s="928"/>
      <c r="CG117" s="928"/>
      <c r="CH117" s="928"/>
      <c r="CI117" s="928"/>
      <c r="CJ117" s="928"/>
      <c r="CK117" s="928"/>
      <c r="CL117" s="928"/>
      <c r="CM117" s="928"/>
      <c r="CN117" s="928"/>
      <c r="CO117" s="928"/>
      <c r="CP117" s="928"/>
      <c r="CQ117" s="928"/>
      <c r="CR117" s="928"/>
      <c r="CS117" s="928"/>
      <c r="CT117" s="928"/>
      <c r="CU117" s="928"/>
      <c r="CV117" s="928"/>
      <c r="CW117" s="928"/>
      <c r="CX117" s="928"/>
      <c r="CY117" s="928"/>
      <c r="CZ117" s="928"/>
      <c r="DA117" s="928"/>
      <c r="DB117" s="928"/>
      <c r="DC117" s="928"/>
      <c r="DD117" s="928"/>
      <c r="DE117" s="928"/>
      <c r="DF117" s="928"/>
      <c r="DG117" s="928"/>
      <c r="DH117" s="928"/>
      <c r="DI117" s="928"/>
      <c r="DJ117" s="928"/>
      <c r="DK117" s="928"/>
      <c r="DL117" s="928"/>
      <c r="DM117" s="928"/>
      <c r="DN117" s="928"/>
      <c r="DO117" s="928"/>
      <c r="DP117" s="928"/>
      <c r="DQ117" s="928"/>
      <c r="DR117" s="928"/>
      <c r="DS117" s="928"/>
      <c r="DT117" s="928"/>
      <c r="DU117" s="928"/>
      <c r="DV117" s="928"/>
      <c r="DW117" s="928"/>
      <c r="DX117" s="928"/>
      <c r="DY117" s="1338"/>
      <c r="DZ117" s="928"/>
      <c r="EA117" s="928"/>
      <c r="EB117" s="928"/>
      <c r="EC117" s="1337"/>
      <c r="ED117" s="1338"/>
      <c r="EE117" s="928"/>
      <c r="EF117" s="928"/>
      <c r="EG117" s="928"/>
      <c r="EH117" s="1337"/>
      <c r="EI117" s="928"/>
      <c r="EJ117" s="928"/>
      <c r="EK117" s="928"/>
      <c r="EL117" s="928"/>
      <c r="EM117" s="1337"/>
      <c r="EN117" s="928"/>
      <c r="EO117" s="928"/>
      <c r="EP117" s="928"/>
      <c r="EQ117" s="928"/>
      <c r="ER117" s="928"/>
      <c r="ES117" s="928"/>
      <c r="ET117" s="928"/>
      <c r="EU117" s="928"/>
      <c r="EV117" s="928"/>
      <c r="EW117" s="928"/>
      <c r="EX117" s="928"/>
      <c r="EY117" s="928"/>
      <c r="EZ117" s="928"/>
      <c r="FA117" s="928"/>
      <c r="FB117" s="928"/>
      <c r="FC117" s="928"/>
      <c r="FD117" s="928"/>
      <c r="FE117" s="928"/>
      <c r="FF117" s="1360">
        <v>3.5000000000000003E-2</v>
      </c>
      <c r="FG117" s="928"/>
      <c r="FH117" s="1458">
        <v>1.4999999999999999E-2</v>
      </c>
      <c r="FI117" s="1319"/>
      <c r="FJ117" s="1615">
        <v>3.9803824010233857E-3</v>
      </c>
      <c r="FK117" s="1605"/>
      <c r="FL117" s="928"/>
      <c r="FM117" s="928"/>
      <c r="FN117" s="928"/>
      <c r="FO117" s="928"/>
      <c r="FP117" s="928"/>
      <c r="FQ117" s="928"/>
    </row>
    <row r="118" spans="1:173">
      <c r="A118" s="1441" t="str">
        <f>A112</f>
        <v>Wholesale</v>
      </c>
      <c r="B118" s="928"/>
      <c r="C118" s="928"/>
      <c r="D118" s="928"/>
      <c r="E118" s="928"/>
      <c r="F118" s="928"/>
      <c r="G118" s="928"/>
      <c r="H118" s="928"/>
      <c r="I118" s="928"/>
      <c r="J118" s="928"/>
      <c r="K118" s="928"/>
      <c r="L118" s="928"/>
      <c r="M118" s="928"/>
      <c r="N118" s="928"/>
      <c r="O118" s="928"/>
      <c r="P118" s="928"/>
      <c r="Q118" s="928"/>
      <c r="R118" s="928"/>
      <c r="S118" s="928"/>
      <c r="T118" s="928"/>
      <c r="U118" s="928"/>
      <c r="V118" s="928"/>
      <c r="W118" s="928"/>
      <c r="X118" s="928"/>
      <c r="Y118" s="928"/>
      <c r="Z118" s="1254"/>
      <c r="AA118" s="1413"/>
      <c r="AB118" s="1413"/>
      <c r="AC118" s="1413"/>
      <c r="AD118" s="1413"/>
      <c r="AE118" s="1254"/>
      <c r="AF118" s="1316">
        <f t="shared" si="220"/>
        <v>7.6095947063689051E-2</v>
      </c>
      <c r="AG118" s="1316">
        <f t="shared" si="220"/>
        <v>8.0879947661105733E-2</v>
      </c>
      <c r="AH118" s="1316">
        <f t="shared" si="220"/>
        <v>0.13302991867492353</v>
      </c>
      <c r="AI118" s="1316">
        <f t="shared" si="220"/>
        <v>0.16362937331795502</v>
      </c>
      <c r="AJ118" s="928"/>
      <c r="AK118" s="1316">
        <f t="shared" si="221"/>
        <v>2.0138355111452677E-2</v>
      </c>
      <c r="AL118" s="1316">
        <f t="shared" si="221"/>
        <v>1.5132026935016363E-4</v>
      </c>
      <c r="AM118" s="1316">
        <f t="shared" si="221"/>
        <v>-0.14170946924799144</v>
      </c>
      <c r="AN118" s="1316">
        <f t="shared" si="221"/>
        <v>-0.16341769642503179</v>
      </c>
      <c r="AO118" s="1254"/>
      <c r="AP118" s="1316">
        <f t="shared" si="222"/>
        <v>-4.0235081374321968E-2</v>
      </c>
      <c r="AQ118" s="1316">
        <f t="shared" si="222"/>
        <v>-1.6415765186474029E-2</v>
      </c>
      <c r="AR118" s="1316">
        <f t="shared" si="222"/>
        <v>4.2043885223262301E-2</v>
      </c>
      <c r="AS118" s="1316">
        <f t="shared" si="222"/>
        <v>0.11279620853080563</v>
      </c>
      <c r="AT118" s="1316"/>
      <c r="AU118" s="1316">
        <f t="shared" si="223"/>
        <v>9.3656775003925219E-2</v>
      </c>
      <c r="AV118" s="1316">
        <f t="shared" si="223"/>
        <v>8.6602061221350501E-2</v>
      </c>
      <c r="AW118" s="1316">
        <f t="shared" si="223"/>
        <v>5.8533352967162333E-2</v>
      </c>
      <c r="AX118" s="1316">
        <f t="shared" si="223"/>
        <v>0.1577228847245884</v>
      </c>
      <c r="AY118" s="1316"/>
      <c r="AZ118" s="1316">
        <f t="shared" si="224"/>
        <v>6.4388773239537844E-2</v>
      </c>
      <c r="BA118" s="1316">
        <f t="shared" si="224"/>
        <v>0.26627972819932055</v>
      </c>
      <c r="BB118" s="1316">
        <f t="shared" si="224"/>
        <v>0.20609306531265204</v>
      </c>
      <c r="BC118" s="1316">
        <f t="shared" si="224"/>
        <v>9.0190067443286281E-2</v>
      </c>
      <c r="BD118" s="1316"/>
      <c r="BE118" s="1347">
        <f t="shared" si="225"/>
        <v>0.14668195306177512</v>
      </c>
      <c r="BF118" s="1316">
        <f t="shared" si="225"/>
        <v>4.2537730575740618E-2</v>
      </c>
      <c r="BG118" s="1316">
        <f t="shared" si="225"/>
        <v>5.9976931949250467E-3</v>
      </c>
      <c r="BH118" s="1316">
        <f t="shared" si="225"/>
        <v>0.10359372363759123</v>
      </c>
      <c r="BI118" s="1415"/>
      <c r="BJ118" s="1347">
        <f t="shared" si="226"/>
        <v>-0.10109980591660284</v>
      </c>
      <c r="BK118" s="1316">
        <f t="shared" si="226"/>
        <v>-0.18760388182939247</v>
      </c>
      <c r="BL118" s="1316">
        <f t="shared" si="226"/>
        <v>3.8179316670488461E-2</v>
      </c>
      <c r="BM118" s="1316">
        <f t="shared" si="226"/>
        <v>-4.8514498292820063E-2</v>
      </c>
      <c r="BN118" s="1415"/>
      <c r="BO118" s="1347">
        <f t="shared" si="226"/>
        <v>-4.0499869144203116E-2</v>
      </c>
      <c r="BP118" s="1316">
        <f t="shared" si="226"/>
        <v>-7.9989440337909223E-2</v>
      </c>
      <c r="BQ118" s="1316">
        <f t="shared" si="226"/>
        <v>-0.24014356709000562</v>
      </c>
      <c r="BR118" s="1316">
        <f t="shared" si="226"/>
        <v>-0.16067698569974831</v>
      </c>
      <c r="BS118" s="1415"/>
      <c r="BT118" s="1347">
        <f t="shared" si="227"/>
        <v>-0.27425843845891584</v>
      </c>
      <c r="BU118" s="1316">
        <f t="shared" si="228"/>
        <v>-0.21090387374461983</v>
      </c>
      <c r="BV118" s="1316">
        <f t="shared" si="228"/>
        <v>-0.23697405711794195</v>
      </c>
      <c r="BW118" s="1316">
        <f t="shared" si="228"/>
        <v>-0.30202284474506857</v>
      </c>
      <c r="BX118" s="1415"/>
      <c r="BY118" s="1316"/>
      <c r="BZ118" s="928"/>
      <c r="CA118" s="928"/>
      <c r="CB118" s="928"/>
      <c r="CC118" s="928"/>
      <c r="CD118" s="928"/>
      <c r="CE118" s="928"/>
      <c r="CF118" s="928"/>
      <c r="CG118" s="928"/>
      <c r="CH118" s="928"/>
      <c r="CI118" s="928"/>
      <c r="CJ118" s="928"/>
      <c r="CK118" s="928"/>
      <c r="CL118" s="928"/>
      <c r="CM118" s="928"/>
      <c r="CN118" s="928"/>
      <c r="CO118" s="928"/>
      <c r="CP118" s="928"/>
      <c r="CQ118" s="928"/>
      <c r="CR118" s="928"/>
      <c r="CS118" s="928"/>
      <c r="CT118" s="928"/>
      <c r="CU118" s="928"/>
      <c r="CV118" s="928"/>
      <c r="CW118" s="928"/>
      <c r="CX118" s="928"/>
      <c r="CY118" s="928"/>
      <c r="CZ118" s="928"/>
      <c r="DA118" s="928"/>
      <c r="DB118" s="928"/>
      <c r="DC118" s="928"/>
      <c r="DD118" s="928"/>
      <c r="DE118" s="928"/>
      <c r="DF118" s="928"/>
      <c r="DG118" s="928"/>
      <c r="DH118" s="928"/>
      <c r="DI118" s="928"/>
      <c r="DJ118" s="928"/>
      <c r="DK118" s="928"/>
      <c r="DL118" s="928"/>
      <c r="DM118" s="928"/>
      <c r="DN118" s="928"/>
      <c r="DO118" s="928"/>
      <c r="DP118" s="928"/>
      <c r="DQ118" s="928"/>
      <c r="DR118" s="928"/>
      <c r="DS118" s="928"/>
      <c r="DT118" s="928"/>
      <c r="DU118" s="928"/>
      <c r="DV118" s="928"/>
      <c r="DW118" s="928"/>
      <c r="DX118" s="928"/>
      <c r="DY118" s="1338"/>
      <c r="DZ118" s="928"/>
      <c r="EA118" s="928"/>
      <c r="EB118" s="928"/>
      <c r="EC118" s="1337"/>
      <c r="ED118" s="1338"/>
      <c r="EE118" s="928"/>
      <c r="EF118" s="928"/>
      <c r="EG118" s="928"/>
      <c r="EH118" s="1337"/>
      <c r="EI118" s="928"/>
      <c r="EJ118" s="928"/>
      <c r="EK118" s="928"/>
      <c r="EL118" s="928"/>
      <c r="EM118" s="1337"/>
      <c r="EN118" s="928"/>
      <c r="EO118" s="928"/>
      <c r="EP118" s="928"/>
      <c r="EQ118" s="928"/>
      <c r="ER118" s="928"/>
      <c r="ES118" s="928"/>
      <c r="ET118" s="928"/>
      <c r="EU118" s="928"/>
      <c r="EV118" s="928"/>
      <c r="EW118" s="928"/>
      <c r="EX118" s="928"/>
      <c r="EY118" s="928"/>
      <c r="EZ118" s="928"/>
      <c r="FA118" s="928"/>
      <c r="FB118" s="928"/>
      <c r="FC118" s="928"/>
      <c r="FD118" s="928"/>
      <c r="FE118" s="928"/>
      <c r="FF118" s="1459">
        <v>-0.1</v>
      </c>
      <c r="FG118" s="928"/>
      <c r="FH118" s="1458">
        <v>-0.08</v>
      </c>
      <c r="FI118" s="1319"/>
      <c r="FJ118" s="1615">
        <v>-5.0000000000000044E-2</v>
      </c>
      <c r="FK118" s="1605"/>
      <c r="FL118" s="928"/>
      <c r="FM118" s="928"/>
      <c r="FN118" s="928"/>
      <c r="FO118" s="928"/>
      <c r="FP118" s="928"/>
      <c r="FQ118" s="928"/>
    </row>
    <row r="119" spans="1:173">
      <c r="A119" s="1454" t="s">
        <v>3818</v>
      </c>
      <c r="B119" s="1406"/>
      <c r="C119" s="1406"/>
      <c r="D119" s="1406"/>
      <c r="E119" s="1406"/>
      <c r="F119" s="1406"/>
      <c r="G119" s="1406"/>
      <c r="H119" s="1406"/>
      <c r="I119" s="1406"/>
      <c r="J119" s="1406"/>
      <c r="K119" s="1406"/>
      <c r="L119" s="1406"/>
      <c r="M119" s="1406"/>
      <c r="N119" s="1406"/>
      <c r="O119" s="1406"/>
      <c r="P119" s="1406"/>
      <c r="Q119" s="1406"/>
      <c r="R119" s="1406"/>
      <c r="S119" s="1406"/>
      <c r="T119" s="1406"/>
      <c r="U119" s="1406"/>
      <c r="V119" s="1406"/>
      <c r="W119" s="1406"/>
      <c r="X119" s="1406"/>
      <c r="Y119" s="1406"/>
      <c r="Z119" s="1455"/>
      <c r="AA119" s="1455"/>
      <c r="AB119" s="1455"/>
      <c r="AC119" s="1455"/>
      <c r="AD119" s="1455"/>
      <c r="AE119" s="1455"/>
      <c r="AF119" s="1460">
        <f t="shared" si="220"/>
        <v>0.15646751740139209</v>
      </c>
      <c r="AG119" s="1460">
        <f t="shared" si="220"/>
        <v>0.13455824644018399</v>
      </c>
      <c r="AH119" s="1460">
        <f t="shared" si="220"/>
        <v>0.12343972244008139</v>
      </c>
      <c r="AI119" s="1460">
        <f t="shared" si="220"/>
        <v>0.10923033520556014</v>
      </c>
      <c r="AJ119" s="1406"/>
      <c r="AK119" s="1460">
        <f t="shared" si="221"/>
        <v>4.6457680250783673E-2</v>
      </c>
      <c r="AL119" s="1460">
        <f t="shared" si="221"/>
        <v>3.6552073425320852E-2</v>
      </c>
      <c r="AM119" s="1460">
        <f t="shared" si="221"/>
        <v>1.8399536166033625E-2</v>
      </c>
      <c r="AN119" s="1460">
        <f t="shared" si="221"/>
        <v>3.386127167630093E-2</v>
      </c>
      <c r="AO119" s="1455"/>
      <c r="AP119" s="1460">
        <f t="shared" si="222"/>
        <v>7.4255586843208876E-2</v>
      </c>
      <c r="AQ119" s="1460">
        <f t="shared" si="222"/>
        <v>9.2716178854037601E-2</v>
      </c>
      <c r="AR119" s="1460">
        <f t="shared" si="222"/>
        <v>0.11296881535530057</v>
      </c>
      <c r="AS119" s="1460">
        <f t="shared" si="222"/>
        <v>0.10783973878719411</v>
      </c>
      <c r="AT119" s="1460"/>
      <c r="AU119" s="1460">
        <f t="shared" si="223"/>
        <v>0.14523937000847753</v>
      </c>
      <c r="AV119" s="1460">
        <f t="shared" si="223"/>
        <v>0.15927234655149825</v>
      </c>
      <c r="AW119" s="1460">
        <f t="shared" si="223"/>
        <v>0.15266569928281348</v>
      </c>
      <c r="AX119" s="1460">
        <f t="shared" si="223"/>
        <v>0.15388652811563164</v>
      </c>
      <c r="AY119" s="1460"/>
      <c r="AZ119" s="1460">
        <f t="shared" si="224"/>
        <v>9.460130706222647E-2</v>
      </c>
      <c r="BA119" s="1460">
        <f t="shared" si="224"/>
        <v>0.10238390908406725</v>
      </c>
      <c r="BB119" s="1460">
        <f t="shared" si="224"/>
        <v>8.3312955667255384E-2</v>
      </c>
      <c r="BC119" s="1460">
        <f t="shared" si="224"/>
        <v>7.6592692378344873E-2</v>
      </c>
      <c r="BD119" s="1460"/>
      <c r="BE119" s="1512">
        <f t="shared" si="225"/>
        <v>8.2492481269909046E-2</v>
      </c>
      <c r="BF119" s="1460">
        <f t="shared" si="225"/>
        <v>6.0753206632587986E-2</v>
      </c>
      <c r="BG119" s="1460">
        <f t="shared" si="225"/>
        <v>5.0662965873560006E-2</v>
      </c>
      <c r="BH119" s="1460">
        <f t="shared" si="225"/>
        <v>5.620150314848682E-2</v>
      </c>
      <c r="BI119" s="1513"/>
      <c r="BJ119" s="1512">
        <f t="shared" si="226"/>
        <v>1.506695052483642E-2</v>
      </c>
      <c r="BK119" s="1460">
        <f t="shared" si="226"/>
        <v>4.1030426877344262E-3</v>
      </c>
      <c r="BL119" s="1460">
        <f t="shared" si="226"/>
        <v>2.2088896669159919E-2</v>
      </c>
      <c r="BM119" s="1460">
        <f t="shared" si="226"/>
        <v>4.6925964674748855E-4</v>
      </c>
      <c r="BN119" s="1513"/>
      <c r="BO119" s="1512">
        <f t="shared" si="226"/>
        <v>3.0180581423597141E-2</v>
      </c>
      <c r="BP119" s="1460">
        <f t="shared" si="226"/>
        <v>2.8203320299980517E-2</v>
      </c>
      <c r="BQ119" s="1460">
        <f t="shared" si="226"/>
        <v>-1.8559750875827175E-2</v>
      </c>
      <c r="BR119" s="1460">
        <f t="shared" si="226"/>
        <v>-2.5335824625345005E-2</v>
      </c>
      <c r="BS119" s="1513"/>
      <c r="BT119" s="1512">
        <f t="shared" si="227"/>
        <v>-6.3906553369439734E-2</v>
      </c>
      <c r="BU119" s="1460">
        <f t="shared" si="228"/>
        <v>-4.9311140203229131E-2</v>
      </c>
      <c r="BV119" s="1460">
        <f t="shared" si="228"/>
        <v>-2.4320593974584748E-2</v>
      </c>
      <c r="BW119" s="1460">
        <f t="shared" si="228"/>
        <v>-2.2247116552801205E-2</v>
      </c>
      <c r="BX119" s="1513"/>
      <c r="BY119" s="1316"/>
      <c r="BZ119" s="928"/>
      <c r="CA119" s="928"/>
      <c r="CB119" s="928"/>
      <c r="CC119" s="928"/>
      <c r="CD119" s="928"/>
      <c r="CE119" s="928"/>
      <c r="CF119" s="928"/>
      <c r="CG119" s="928"/>
      <c r="CH119" s="928"/>
      <c r="CI119" s="928"/>
      <c r="CJ119" s="928"/>
      <c r="CK119" s="928"/>
      <c r="CL119" s="928"/>
      <c r="CM119" s="928"/>
      <c r="CN119" s="928"/>
      <c r="CO119" s="928"/>
      <c r="CP119" s="928"/>
      <c r="CQ119" s="928"/>
      <c r="CR119" s="928"/>
      <c r="CS119" s="928"/>
      <c r="CT119" s="928"/>
      <c r="CU119" s="928"/>
      <c r="CV119" s="928"/>
      <c r="CW119" s="928"/>
      <c r="CX119" s="928"/>
      <c r="CY119" s="928"/>
      <c r="CZ119" s="928"/>
      <c r="DA119" s="928"/>
      <c r="DB119" s="928"/>
      <c r="DC119" s="928"/>
      <c r="DD119" s="928"/>
      <c r="DE119" s="928"/>
      <c r="DF119" s="928"/>
      <c r="DG119" s="928"/>
      <c r="DH119" s="928"/>
      <c r="DI119" s="928"/>
      <c r="DJ119" s="928"/>
      <c r="DK119" s="928"/>
      <c r="DL119" s="928"/>
      <c r="DM119" s="928"/>
      <c r="DN119" s="928"/>
      <c r="DO119" s="928"/>
      <c r="DP119" s="928"/>
      <c r="DQ119" s="928"/>
      <c r="DR119" s="928"/>
      <c r="DS119" s="928"/>
      <c r="DT119" s="928"/>
      <c r="DU119" s="928"/>
      <c r="DV119" s="928"/>
      <c r="DW119" s="928"/>
      <c r="DX119" s="928"/>
      <c r="DY119" s="1338"/>
      <c r="DZ119" s="928"/>
      <c r="EA119" s="928"/>
      <c r="EB119" s="928"/>
      <c r="EC119" s="1337"/>
      <c r="ED119" s="1338"/>
      <c r="EE119" s="928"/>
      <c r="EF119" s="928"/>
      <c r="EG119" s="928"/>
      <c r="EH119" s="1337"/>
      <c r="EI119" s="928"/>
      <c r="EJ119" s="928"/>
      <c r="EK119" s="928"/>
      <c r="EL119" s="928"/>
      <c r="EM119" s="1337"/>
      <c r="EN119" s="928"/>
      <c r="EO119" s="928"/>
      <c r="EP119" s="928"/>
      <c r="EQ119" s="928"/>
      <c r="ER119" s="928"/>
      <c r="ES119" s="928"/>
      <c r="ET119" s="928"/>
      <c r="EU119" s="928"/>
      <c r="EV119" s="928"/>
      <c r="EW119" s="928"/>
      <c r="EX119" s="928"/>
      <c r="EY119" s="928"/>
      <c r="EZ119" s="928"/>
      <c r="FA119" s="928"/>
      <c r="FB119" s="928"/>
      <c r="FC119" s="928"/>
      <c r="FD119" s="928"/>
      <c r="FE119" s="928"/>
      <c r="FF119" s="1360">
        <v>1.596652393927589E-2</v>
      </c>
      <c r="FG119" s="928"/>
      <c r="FH119" s="1361">
        <v>1.3613680576378684E-3</v>
      </c>
      <c r="FI119" s="1319"/>
      <c r="FJ119" s="1625">
        <v>-2.2422317771997324E-3</v>
      </c>
      <c r="FK119" s="1605"/>
      <c r="FL119" s="928"/>
      <c r="FM119" s="928"/>
      <c r="FN119" s="928"/>
      <c r="FO119" s="928"/>
      <c r="FP119" s="928"/>
      <c r="FQ119" s="928"/>
    </row>
    <row r="120" spans="1:173">
      <c r="A120" s="1441" t="s">
        <v>3819</v>
      </c>
      <c r="B120" s="928"/>
      <c r="C120" s="928"/>
      <c r="D120" s="928"/>
      <c r="E120" s="928"/>
      <c r="F120" s="928"/>
      <c r="G120" s="928"/>
      <c r="H120" s="928"/>
      <c r="I120" s="928"/>
      <c r="J120" s="928"/>
      <c r="K120" s="928"/>
      <c r="L120" s="928"/>
      <c r="M120" s="928"/>
      <c r="N120" s="928"/>
      <c r="O120" s="928"/>
      <c r="P120" s="928"/>
      <c r="Q120" s="928"/>
      <c r="R120" s="928"/>
      <c r="S120" s="928"/>
      <c r="T120" s="928"/>
      <c r="U120" s="928"/>
      <c r="V120" s="928"/>
      <c r="W120" s="928"/>
      <c r="X120" s="928"/>
      <c r="Y120" s="928"/>
      <c r="Z120" s="1254"/>
      <c r="AA120" s="1254"/>
      <c r="AB120" s="1254"/>
      <c r="AC120" s="1254"/>
      <c r="AD120" s="1254"/>
      <c r="AE120" s="1254"/>
      <c r="AF120" s="1316">
        <f>CU14</f>
        <v>0.13502122272693429</v>
      </c>
      <c r="AG120" s="1316">
        <f>CV14</f>
        <v>0.12915177214640305</v>
      </c>
      <c r="AH120" s="1316">
        <f>CW14</f>
        <v>0.11806964628461758</v>
      </c>
      <c r="AI120" s="1316">
        <f>CX14</f>
        <v>9.8162507760796158E-2</v>
      </c>
      <c r="AJ120" s="928"/>
      <c r="AK120" s="1316">
        <f>CZ14</f>
        <v>6.2353203605778562E-2</v>
      </c>
      <c r="AL120" s="1316">
        <f>DA14</f>
        <v>3.0068827623332073E-2</v>
      </c>
      <c r="AM120" s="1316">
        <f>DB14</f>
        <v>2.0514518344123989E-2</v>
      </c>
      <c r="AN120" s="1316">
        <f>DC14</f>
        <v>3.3645287013424285E-2</v>
      </c>
      <c r="AO120" s="1316"/>
      <c r="AP120" s="1316">
        <f>DE14</f>
        <v>7.082247446364387E-2</v>
      </c>
      <c r="AQ120" s="1316">
        <f>DF14</f>
        <v>9.8174623912800074E-2</v>
      </c>
      <c r="AR120" s="1316">
        <f>DG14</f>
        <v>0.10782817662961852</v>
      </c>
      <c r="AS120" s="1316">
        <f>DH14</f>
        <v>0.10762373587496676</v>
      </c>
      <c r="AT120" s="1316"/>
      <c r="AU120" s="1316">
        <f>DJ14</f>
        <v>0.14168887043380973</v>
      </c>
      <c r="AV120" s="1316">
        <f>DK14</f>
        <v>0.15749458966427587</v>
      </c>
      <c r="AW120" s="1316">
        <f>DL14</f>
        <v>0.14666102669226366</v>
      </c>
      <c r="AX120" s="1316">
        <f>DM14</f>
        <v>0.15743299326517946</v>
      </c>
      <c r="AY120" s="1316"/>
      <c r="AZ120" s="1316">
        <f>DO14</f>
        <v>9.3613925904971751E-2</v>
      </c>
      <c r="BA120" s="1316">
        <f>DP14</f>
        <v>0.10700196755973623</v>
      </c>
      <c r="BB120" s="1316">
        <f>DQ14</f>
        <v>7.9057140965371087E-2</v>
      </c>
      <c r="BC120" s="1316">
        <f>DR14</f>
        <v>7.3492433801435553E-2</v>
      </c>
      <c r="BD120" s="1316"/>
      <c r="BE120" s="1347">
        <f>DT14</f>
        <v>7.8690402505381174E-2</v>
      </c>
      <c r="BF120" s="1316">
        <f>DU14</f>
        <v>5.9493491794001319E-2</v>
      </c>
      <c r="BG120" s="1316">
        <f>DV14</f>
        <v>5.7740688470270696E-2</v>
      </c>
      <c r="BH120" s="1316">
        <f>DW14</f>
        <v>3.9786228299382387E-2</v>
      </c>
      <c r="BI120" s="1415"/>
      <c r="BJ120" s="1347">
        <f>DY14</f>
        <v>1.0962189012118317E-2</v>
      </c>
      <c r="BK120" s="1316">
        <f>DZ14</f>
        <v>-1.9329638779461922E-2</v>
      </c>
      <c r="BL120" s="1316">
        <f>EA14</f>
        <v>2.7132746589760171E-2</v>
      </c>
      <c r="BM120" s="1316">
        <f>EB14</f>
        <v>1.3589564255623632E-2</v>
      </c>
      <c r="BN120" s="1415"/>
      <c r="BO120" s="1347">
        <f>ED14</f>
        <v>2.695582193231405E-2</v>
      </c>
      <c r="BP120" s="1316">
        <f>EE14</f>
        <v>4.6085106382978802E-2</v>
      </c>
      <c r="BQ120" s="1316">
        <f>EF14</f>
        <v>-1.9856382120380878E-2</v>
      </c>
      <c r="BR120" s="1316">
        <f>EG14</f>
        <v>-1.7884508918183717E-2</v>
      </c>
      <c r="BS120" s="1415"/>
      <c r="BT120" s="1347">
        <f>EI14</f>
        <v>-1.76528331147352E-2</v>
      </c>
      <c r="BU120" s="1316">
        <f>EJ14</f>
        <v>-7.4441687344912744E-3</v>
      </c>
      <c r="BV120" s="1316">
        <f>EK14</f>
        <v>1.2520682587113807E-2</v>
      </c>
      <c r="BW120" s="1316">
        <f>EL14</f>
        <v>1.2532270187249006E-2</v>
      </c>
      <c r="BX120" s="1415"/>
      <c r="BY120" s="1316"/>
      <c r="BZ120" s="928"/>
      <c r="CA120" s="928"/>
      <c r="CB120" s="928"/>
      <c r="CC120" s="928"/>
      <c r="CD120" s="928"/>
      <c r="CE120" s="928"/>
      <c r="CF120" s="928"/>
      <c r="CG120" s="928"/>
      <c r="CH120" s="928"/>
      <c r="CI120" s="928"/>
      <c r="CJ120" s="928"/>
      <c r="CK120" s="928"/>
      <c r="CL120" s="928"/>
      <c r="CM120" s="928"/>
      <c r="CN120" s="928"/>
      <c r="CO120" s="928"/>
      <c r="CP120" s="928"/>
      <c r="CQ120" s="928"/>
      <c r="CR120" s="928"/>
      <c r="CS120" s="928"/>
      <c r="CT120" s="928"/>
      <c r="CU120" s="928"/>
      <c r="CV120" s="928"/>
      <c r="CW120" s="928"/>
      <c r="CX120" s="928"/>
      <c r="CY120" s="928"/>
      <c r="CZ120" s="928"/>
      <c r="DA120" s="928"/>
      <c r="DB120" s="928"/>
      <c r="DC120" s="928"/>
      <c r="DD120" s="928"/>
      <c r="DE120" s="928"/>
      <c r="DF120" s="928"/>
      <c r="DG120" s="928"/>
      <c r="DH120" s="928"/>
      <c r="DI120" s="928"/>
      <c r="DJ120" s="928"/>
      <c r="DK120" s="928"/>
      <c r="DL120" s="928"/>
      <c r="DM120" s="928"/>
      <c r="DN120" s="928"/>
      <c r="DO120" s="928"/>
      <c r="DP120" s="928"/>
      <c r="DQ120" s="928"/>
      <c r="DR120" s="928"/>
      <c r="DS120" s="928"/>
      <c r="DT120" s="928"/>
      <c r="DU120" s="928"/>
      <c r="DV120" s="928"/>
      <c r="DW120" s="928"/>
      <c r="DX120" s="928"/>
      <c r="DY120" s="1338"/>
      <c r="DZ120" s="928"/>
      <c r="EA120" s="928"/>
      <c r="EB120" s="928"/>
      <c r="EC120" s="1337"/>
      <c r="ED120" s="1338"/>
      <c r="EE120" s="928"/>
      <c r="EF120" s="928"/>
      <c r="EG120" s="928"/>
      <c r="EH120" s="1337"/>
      <c r="EI120" s="928"/>
      <c r="EJ120" s="928"/>
      <c r="EK120" s="928"/>
      <c r="EL120" s="928"/>
      <c r="EM120" s="1337"/>
      <c r="EN120" s="928"/>
      <c r="EO120" s="928"/>
      <c r="EP120" s="928"/>
      <c r="EQ120" s="928"/>
      <c r="ER120" s="928"/>
      <c r="ES120" s="928"/>
      <c r="ET120" s="928"/>
      <c r="EU120" s="928"/>
      <c r="EV120" s="928"/>
      <c r="EW120" s="928"/>
      <c r="EX120" s="928"/>
      <c r="EY120" s="928"/>
      <c r="EZ120" s="928"/>
      <c r="FA120" s="928"/>
      <c r="FB120" s="928"/>
      <c r="FC120" s="928"/>
      <c r="FD120" s="928"/>
      <c r="FE120" s="928"/>
      <c r="FF120" s="1360">
        <v>1.259399709536857E-2</v>
      </c>
      <c r="FG120" s="928"/>
      <c r="FH120" s="1361">
        <v>9.0326799483284592E-3</v>
      </c>
      <c r="FI120" s="1319"/>
      <c r="FJ120" s="1615">
        <v>6.3764672886401641E-3</v>
      </c>
      <c r="FK120" s="1605"/>
      <c r="FL120" s="928"/>
      <c r="FM120" s="928"/>
      <c r="FN120" s="928"/>
      <c r="FO120" s="928"/>
      <c r="FP120" s="928"/>
      <c r="FQ120" s="928"/>
    </row>
    <row r="121" spans="1:173">
      <c r="A121" s="1441"/>
      <c r="B121" s="928"/>
      <c r="C121" s="928"/>
      <c r="D121" s="928"/>
      <c r="E121" s="928"/>
      <c r="F121" s="928"/>
      <c r="G121" s="928"/>
      <c r="H121" s="928"/>
      <c r="I121" s="928"/>
      <c r="J121" s="928"/>
      <c r="K121" s="928"/>
      <c r="L121" s="928"/>
      <c r="M121" s="928"/>
      <c r="N121" s="928"/>
      <c r="O121" s="928"/>
      <c r="P121" s="928"/>
      <c r="Q121" s="928"/>
      <c r="R121" s="928"/>
      <c r="S121" s="928"/>
      <c r="T121" s="928"/>
      <c r="U121" s="928"/>
      <c r="V121" s="928"/>
      <c r="W121" s="928"/>
      <c r="X121" s="928"/>
      <c r="Y121" s="928"/>
      <c r="Z121" s="1254"/>
      <c r="AA121" s="1254"/>
      <c r="AB121" s="1254"/>
      <c r="AC121" s="1254"/>
      <c r="AD121" s="1254"/>
      <c r="AE121" s="1254"/>
      <c r="AF121" s="1254"/>
      <c r="AG121" s="1254"/>
      <c r="AH121" s="1254"/>
      <c r="AI121" s="1254"/>
      <c r="AJ121" s="928"/>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355"/>
      <c r="BF121" s="1254"/>
      <c r="BG121" s="1254"/>
      <c r="BH121" s="1254"/>
      <c r="BI121" s="1389"/>
      <c r="BJ121" s="1355"/>
      <c r="BK121" s="1254"/>
      <c r="BL121" s="1254"/>
      <c r="BM121" s="1254"/>
      <c r="BN121" s="1389"/>
      <c r="BO121" s="1355"/>
      <c r="BP121" s="1254"/>
      <c r="BQ121" s="1254"/>
      <c r="BR121" s="1254"/>
      <c r="BS121" s="1389"/>
      <c r="BT121" s="1355"/>
      <c r="BU121" s="1254"/>
      <c r="BV121" s="1254"/>
      <c r="BW121" s="1254"/>
      <c r="BX121" s="1389"/>
      <c r="BY121" s="1254"/>
      <c r="BZ121" s="928"/>
      <c r="CA121" s="928"/>
      <c r="CB121" s="928"/>
      <c r="CC121" s="928"/>
      <c r="CD121" s="928"/>
      <c r="CE121" s="928"/>
      <c r="CF121" s="928"/>
      <c r="CG121" s="928"/>
      <c r="CH121" s="928"/>
      <c r="CI121" s="928"/>
      <c r="CJ121" s="928"/>
      <c r="CK121" s="928"/>
      <c r="CL121" s="928"/>
      <c r="CM121" s="928"/>
      <c r="CN121" s="928"/>
      <c r="CO121" s="928"/>
      <c r="CP121" s="928"/>
      <c r="CQ121" s="928"/>
      <c r="CR121" s="928"/>
      <c r="CS121" s="928"/>
      <c r="CT121" s="928"/>
      <c r="CU121" s="928"/>
      <c r="CV121" s="928"/>
      <c r="CW121" s="928"/>
      <c r="CX121" s="928"/>
      <c r="CY121" s="928"/>
      <c r="CZ121" s="928"/>
      <c r="DA121" s="928"/>
      <c r="DB121" s="928"/>
      <c r="DC121" s="928"/>
      <c r="DD121" s="928"/>
      <c r="DE121" s="928"/>
      <c r="DF121" s="928"/>
      <c r="DG121" s="928"/>
      <c r="DH121" s="928"/>
      <c r="DI121" s="928"/>
      <c r="DJ121" s="928"/>
      <c r="DK121" s="928"/>
      <c r="DL121" s="928"/>
      <c r="DM121" s="928"/>
      <c r="DN121" s="928"/>
      <c r="DO121" s="928"/>
      <c r="DP121" s="928"/>
      <c r="DQ121" s="928"/>
      <c r="DR121" s="928"/>
      <c r="DS121" s="928"/>
      <c r="DT121" s="928"/>
      <c r="DU121" s="928"/>
      <c r="DV121" s="928"/>
      <c r="DW121" s="928"/>
      <c r="DX121" s="928"/>
      <c r="DY121" s="1338"/>
      <c r="DZ121" s="928"/>
      <c r="EA121" s="928"/>
      <c r="EB121" s="928"/>
      <c r="EC121" s="1337"/>
      <c r="ED121" s="1338"/>
      <c r="EE121" s="928"/>
      <c r="EF121" s="928"/>
      <c r="EG121" s="928"/>
      <c r="EH121" s="1337"/>
      <c r="EI121" s="928"/>
      <c r="EJ121" s="928"/>
      <c r="EK121" s="928"/>
      <c r="EL121" s="928"/>
      <c r="EM121" s="1337"/>
      <c r="EN121" s="928"/>
      <c r="EO121" s="928"/>
      <c r="EP121" s="928"/>
      <c r="EQ121" s="928"/>
      <c r="ER121" s="928"/>
      <c r="ES121" s="928"/>
      <c r="ET121" s="928"/>
      <c r="EU121" s="928"/>
      <c r="EV121" s="928"/>
      <c r="EW121" s="928"/>
      <c r="EX121" s="928"/>
      <c r="EY121" s="928"/>
      <c r="EZ121" s="928"/>
      <c r="FA121" s="928"/>
      <c r="FB121" s="928"/>
      <c r="FC121" s="928"/>
      <c r="FD121" s="928"/>
      <c r="FE121" s="928"/>
      <c r="FF121" s="1363"/>
      <c r="FG121" s="928"/>
      <c r="FH121" s="1351"/>
      <c r="FI121" s="1319"/>
      <c r="FJ121" s="1612"/>
      <c r="FK121" s="1605"/>
      <c r="FL121" s="928"/>
      <c r="FM121" s="928"/>
      <c r="FN121" s="928"/>
      <c r="FO121" s="928"/>
      <c r="FP121" s="928"/>
      <c r="FQ121" s="928"/>
    </row>
    <row r="122" spans="1:173">
      <c r="A122" s="1441" t="s">
        <v>4220</v>
      </c>
      <c r="B122" s="928"/>
      <c r="C122" s="928"/>
      <c r="D122" s="928"/>
      <c r="E122" s="928"/>
      <c r="F122" s="928"/>
      <c r="G122" s="928"/>
      <c r="H122" s="928"/>
      <c r="I122" s="928"/>
      <c r="J122" s="928"/>
      <c r="K122" s="928"/>
      <c r="L122" s="928"/>
      <c r="M122" s="928"/>
      <c r="N122" s="928"/>
      <c r="O122" s="928"/>
      <c r="P122" s="928"/>
      <c r="Q122" s="928"/>
      <c r="R122" s="928"/>
      <c r="S122" s="928"/>
      <c r="T122" s="928"/>
      <c r="U122" s="928"/>
      <c r="V122" s="928"/>
      <c r="W122" s="928"/>
      <c r="X122" s="928"/>
      <c r="Y122" s="928"/>
      <c r="Z122" s="1254"/>
      <c r="AA122" s="1442">
        <f>AA111/AVERAGE(Y239,AA239)/3*1000</f>
        <v>256.29892232995684</v>
      </c>
      <c r="AB122" s="1442">
        <f>AB111/AVERAGE(AA239,AB239)/3*1000</f>
        <v>243.61430273564221</v>
      </c>
      <c r="AC122" s="1442">
        <f>AC111/AVERAGE(AB239,AC239)/3*1000</f>
        <v>244.45918802017118</v>
      </c>
      <c r="AD122" s="1442">
        <f>AD111/AVERAGE(AC239,AD239)/3*1000</f>
        <v>245.86265337327555</v>
      </c>
      <c r="AE122" s="1254"/>
      <c r="AF122" s="1442">
        <f>AF111/AVERAGE(AD239,AF239)/3*1000</f>
        <v>243.28510864025202</v>
      </c>
      <c r="AG122" s="1442">
        <f>AG111/AVERAGE(AF239,AG239)/3*1000</f>
        <v>240.21677670337016</v>
      </c>
      <c r="AH122" s="1442">
        <f>AH111/AVERAGE(AG239,AH239)/3*1000</f>
        <v>240.61663831411542</v>
      </c>
      <c r="AI122" s="1442">
        <f>AI111/AVERAGE(AH239,AI239)/3*1000</f>
        <v>245.12551695940078</v>
      </c>
      <c r="AJ122" s="928"/>
      <c r="AK122" s="1442">
        <f>AK111/AVERAGE(AI239,AK239)/3*1000</f>
        <v>243.24273414010702</v>
      </c>
      <c r="AL122" s="1442">
        <f>AL111/AVERAGE(AK239,AL239)/3*1000</f>
        <v>245.86798715370807</v>
      </c>
      <c r="AM122" s="1442">
        <f>AM111/AVERAGE(AL239,AM239)/3*1000</f>
        <v>249.35168868219404</v>
      </c>
      <c r="AN122" s="1442">
        <f>AN111/AVERAGE(AM239,AN239)/3*1000</f>
        <v>256.31949129951448</v>
      </c>
      <c r="AO122" s="1254"/>
      <c r="AP122" s="1442">
        <f>AP111/AVERAGE(AO239,AP239)/3*1000</f>
        <v>250.4915449577511</v>
      </c>
      <c r="AQ122" s="1442">
        <f>AQ111/AVERAGE(AP239,AQ239)/3*1000</f>
        <v>249.07734316804255</v>
      </c>
      <c r="AR122" s="1442">
        <f>AR111/AVERAGE(AQ239,AR239)/3*1000</f>
        <v>252.97167636685296</v>
      </c>
      <c r="AS122" s="1442">
        <f>AS111/AVERAGE(AR239,AS239)/3*1000</f>
        <v>248.37304839857987</v>
      </c>
      <c r="AT122" s="1254"/>
      <c r="AU122" s="1442">
        <f>AU111/AVERAGE(AT239,AU239)/3*1000</f>
        <v>246.83664577642372</v>
      </c>
      <c r="AV122" s="1442">
        <f>AV111/AVERAGE(AU239,AV239)/3*1000</f>
        <v>250.39900141417243</v>
      </c>
      <c r="AW122" s="1442">
        <f>AW111/AVERAGE(AV239,AW239)/3*1000</f>
        <v>256.60768187551736</v>
      </c>
      <c r="AX122" s="1442">
        <f>AX111/AVERAGE(AW239,AX239)/3*1000</f>
        <v>259.37663993519777</v>
      </c>
      <c r="AY122" s="1254"/>
      <c r="AZ122" s="1442">
        <f>AZ111/AVERAGE(AY239,AZ239)/3*1000</f>
        <v>251.91834744786706</v>
      </c>
      <c r="BA122" s="1442">
        <f>BA111/AVERAGE(AZ239,BA239)/3*1000</f>
        <v>251.5733118593117</v>
      </c>
      <c r="BB122" s="1442">
        <f>BB111/AVERAGE(BA239,BB239)/3*1000</f>
        <v>250.05256900873536</v>
      </c>
      <c r="BC122" s="1442">
        <f>BC111/AVERAGE(BB239,BC239)/3*1000</f>
        <v>251.12945828038713</v>
      </c>
      <c r="BD122" s="1254"/>
      <c r="BE122" s="1509">
        <f>BE111/AVERAGE(BD239,BE239)/3*1000</f>
        <v>246.14766867964954</v>
      </c>
      <c r="BF122" s="1442">
        <f>BF111/AVERAGE(BE239,BF239)/3*1000</f>
        <v>246.47111119074307</v>
      </c>
      <c r="BG122" s="1442">
        <f>BG111/AVERAGE(BF239,BG239)/3*1000</f>
        <v>251.49272539341311</v>
      </c>
      <c r="BH122" s="1442">
        <f>BH111/AVERAGE(BG239,BH239)/3*1000</f>
        <v>254.07309952111839</v>
      </c>
      <c r="BI122" s="1389"/>
      <c r="BJ122" s="1509">
        <f>BJ111/AVERAGE(BI239,BJ239)/3*1000</f>
        <v>244.4175456993961</v>
      </c>
      <c r="BK122" s="1442">
        <f>BK111/AVERAGE(BJ239,BK239)/3*1000</f>
        <v>242.26343722982978</v>
      </c>
      <c r="BL122" s="1442">
        <f>BL111/AVERAGE(BK239,BL239)/3*1000</f>
        <v>238.52573198475721</v>
      </c>
      <c r="BM122" s="1442">
        <f>BM111/AVERAGE(BL239,BM239)/3*1000</f>
        <v>235.68852469197662</v>
      </c>
      <c r="BN122" s="1389"/>
      <c r="BO122" s="1509">
        <f>BO111/AVERAGE(BN239,BO239)/3*1000</f>
        <v>233.41168194858687</v>
      </c>
      <c r="BP122" s="1442">
        <f>BP111/AVERAGE(BO239,BP239)/3*1000</f>
        <v>234.95829792156761</v>
      </c>
      <c r="BQ122" s="1442">
        <f>BQ111/AVERAGE(BP239,BQ239)/3*1000</f>
        <v>236.83515103072796</v>
      </c>
      <c r="BR122" s="1442">
        <f>BR111/AVERAGE(BQ239,BR239)/3*1000</f>
        <v>240.57183709331997</v>
      </c>
      <c r="BS122" s="1389"/>
      <c r="BT122" s="1509">
        <f>BT111/AVERAGE(BS239,BT239)/3*1000</f>
        <v>234.56098574273724</v>
      </c>
      <c r="BU122" s="1442">
        <f>BU111/AVERAGE(BT239,BU239)/3*1000</f>
        <v>239.52460192791412</v>
      </c>
      <c r="BV122" s="1442">
        <f>BV111/AVERAGE(BU239,BV239)/3*1000</f>
        <v>241.92354377348471</v>
      </c>
      <c r="BW122" s="1442">
        <f>BW111/AVERAGE(BV239,BW239)/3*1000</f>
        <v>241.89989782961106</v>
      </c>
      <c r="BX122" s="1389"/>
      <c r="BY122" s="1254"/>
      <c r="BZ122" s="928"/>
      <c r="CA122" s="928"/>
      <c r="CB122" s="928"/>
      <c r="CC122" s="928"/>
      <c r="CD122" s="928"/>
      <c r="CE122" s="928"/>
      <c r="CF122" s="928"/>
      <c r="CG122" s="928"/>
      <c r="CH122" s="928"/>
      <c r="CI122" s="928"/>
      <c r="CJ122" s="928"/>
      <c r="CK122" s="928"/>
      <c r="CL122" s="928"/>
      <c r="CM122" s="928"/>
      <c r="CN122" s="928"/>
      <c r="CO122" s="928"/>
      <c r="CP122" s="928"/>
      <c r="CQ122" s="928"/>
      <c r="CR122" s="928"/>
      <c r="CS122" s="928"/>
      <c r="CT122" s="928"/>
      <c r="CU122" s="928"/>
      <c r="CV122" s="928"/>
      <c r="CW122" s="928"/>
      <c r="CX122" s="928"/>
      <c r="CY122" s="928"/>
      <c r="CZ122" s="928"/>
      <c r="DA122" s="928"/>
      <c r="DB122" s="928"/>
      <c r="DC122" s="928"/>
      <c r="DD122" s="928"/>
      <c r="DE122" s="928"/>
      <c r="DF122" s="928"/>
      <c r="DG122" s="928"/>
      <c r="DH122" s="928"/>
      <c r="DI122" s="928"/>
      <c r="DJ122" s="928"/>
      <c r="DK122" s="928"/>
      <c r="DL122" s="928"/>
      <c r="DM122" s="928"/>
      <c r="DN122" s="928"/>
      <c r="DO122" s="928"/>
      <c r="DP122" s="928"/>
      <c r="DQ122" s="928"/>
      <c r="DR122" s="928"/>
      <c r="DS122" s="928"/>
      <c r="DT122" s="1254">
        <f t="shared" ref="DT122:DW123" si="229">BE122/AZ122-1</f>
        <v>-2.2906941184233198E-2</v>
      </c>
      <c r="DU122" s="1254">
        <f t="shared" si="229"/>
        <v>-2.0281168264072225E-2</v>
      </c>
      <c r="DV122" s="1254">
        <f t="shared" si="229"/>
        <v>5.7594144718722262E-3</v>
      </c>
      <c r="DW122" s="1254">
        <f t="shared" si="229"/>
        <v>1.1721608690943297E-2</v>
      </c>
      <c r="DX122" s="928"/>
      <c r="DY122" s="1355">
        <f t="shared" ref="DY122:EB123" si="230">BJ122/BE122-1</f>
        <v>-7.028801001991658E-3</v>
      </c>
      <c r="DZ122" s="1254">
        <f t="shared" si="230"/>
        <v>-1.7071671972367586E-2</v>
      </c>
      <c r="EA122" s="1254">
        <f t="shared" si="230"/>
        <v>-5.1560113273143249E-2</v>
      </c>
      <c r="EB122" s="1254">
        <f t="shared" si="230"/>
        <v>-7.2359391308223331E-2</v>
      </c>
      <c r="EC122" s="1337"/>
      <c r="ED122" s="1355">
        <f t="shared" ref="ED122:EG123" si="231">BO122/BJ122-1</f>
        <v>-4.5028943070826388E-2</v>
      </c>
      <c r="EE122" s="1254">
        <f t="shared" si="231"/>
        <v>-3.0153701242717657E-2</v>
      </c>
      <c r="EF122" s="1254">
        <f t="shared" si="231"/>
        <v>-7.0876250539597674E-3</v>
      </c>
      <c r="EG122" s="1254">
        <f t="shared" si="231"/>
        <v>2.0719347315383274E-2</v>
      </c>
      <c r="EH122" s="1337"/>
      <c r="EI122" s="1355">
        <f t="shared" ref="EI122:EL123" si="232">BT122/BO122-1</f>
        <v>4.9239343316309636E-3</v>
      </c>
      <c r="EJ122" s="1254">
        <f t="shared" si="232"/>
        <v>1.9434529645217413E-2</v>
      </c>
      <c r="EK122" s="1254">
        <f t="shared" si="232"/>
        <v>2.1484955761894353E-2</v>
      </c>
      <c r="EL122" s="1254">
        <f t="shared" si="232"/>
        <v>5.5204331161005094E-3</v>
      </c>
      <c r="EM122" s="1337"/>
      <c r="EN122" s="928"/>
      <c r="EO122" s="928"/>
      <c r="EP122" s="928"/>
      <c r="EQ122" s="928"/>
      <c r="ER122" s="928" t="s">
        <v>5307</v>
      </c>
      <c r="ES122" s="928" t="s">
        <v>5308</v>
      </c>
      <c r="ET122" s="928" t="s">
        <v>5309</v>
      </c>
      <c r="EU122" s="928" t="s">
        <v>5310</v>
      </c>
      <c r="EV122" s="928" t="s">
        <v>6007</v>
      </c>
      <c r="EW122" s="928" t="s">
        <v>6242</v>
      </c>
      <c r="EX122" s="928" t="s">
        <v>6243</v>
      </c>
      <c r="EY122" s="928" t="s">
        <v>6244</v>
      </c>
      <c r="EZ122" s="928" t="s">
        <v>6473</v>
      </c>
      <c r="FA122" s="928"/>
      <c r="FB122" s="928"/>
      <c r="FC122" s="928"/>
      <c r="FD122" s="928"/>
      <c r="FE122" s="928"/>
      <c r="FF122" s="1452">
        <v>236.65700968783491</v>
      </c>
      <c r="FG122" s="928"/>
      <c r="FH122" s="1453">
        <v>244.90143343587138</v>
      </c>
      <c r="FI122" s="1319"/>
      <c r="FJ122" s="1622">
        <v>244.39872458038334</v>
      </c>
      <c r="FK122" s="1605"/>
      <c r="FL122" s="928"/>
      <c r="FM122" s="928"/>
      <c r="FN122" s="928"/>
      <c r="FO122" s="928"/>
      <c r="FP122" s="928"/>
      <c r="FQ122" s="928"/>
    </row>
    <row r="123" spans="1:173">
      <c r="A123" s="1441" t="s">
        <v>4221</v>
      </c>
      <c r="B123" s="928"/>
      <c r="C123" s="928"/>
      <c r="D123" s="928"/>
      <c r="E123" s="928"/>
      <c r="F123" s="928"/>
      <c r="G123" s="928"/>
      <c r="H123" s="928"/>
      <c r="I123" s="928"/>
      <c r="J123" s="928"/>
      <c r="K123" s="928"/>
      <c r="L123" s="928"/>
      <c r="M123" s="928"/>
      <c r="N123" s="928"/>
      <c r="O123" s="928"/>
      <c r="P123" s="928"/>
      <c r="Q123" s="928"/>
      <c r="R123" s="928"/>
      <c r="S123" s="928"/>
      <c r="T123" s="928"/>
      <c r="U123" s="928"/>
      <c r="V123" s="928"/>
      <c r="W123" s="928"/>
      <c r="X123" s="928"/>
      <c r="Y123" s="928"/>
      <c r="Z123" s="1254"/>
      <c r="AA123" s="1442"/>
      <c r="AB123" s="1442"/>
      <c r="AC123" s="1442"/>
      <c r="AD123" s="1442"/>
      <c r="AE123" s="1254"/>
      <c r="AF123" s="1442"/>
      <c r="AG123" s="1442"/>
      <c r="AH123" s="1442"/>
      <c r="AI123" s="1442"/>
      <c r="AJ123" s="928"/>
      <c r="AK123" s="1442"/>
      <c r="AL123" s="1442"/>
      <c r="AM123" s="1442"/>
      <c r="AN123" s="1442"/>
      <c r="AO123" s="1254"/>
      <c r="AP123" s="1442">
        <f>AP111/AVERAGE(AO241,AP241)/3*1000</f>
        <v>533.54699076000986</v>
      </c>
      <c r="AQ123" s="1442">
        <f>AQ111/AVERAGE(AP241,AQ241)/3*1000</f>
        <v>533.2019661810441</v>
      </c>
      <c r="AR123" s="1442">
        <f>AR111/AVERAGE(AQ241,AR241)/3*1000</f>
        <v>548.85983588626095</v>
      </c>
      <c r="AS123" s="1442">
        <f>AS111/AVERAGE(AR241,AS241)/3*1000</f>
        <v>546.85912540933816</v>
      </c>
      <c r="AT123" s="1254"/>
      <c r="AU123" s="1442">
        <f>AU111/AVERAGE(AT241,AU241)/3*1000</f>
        <v>550.65032070706536</v>
      </c>
      <c r="AV123" s="1442">
        <f>AV111/AVERAGE(AU241,AV241)/3*1000</f>
        <v>565.43642881634912</v>
      </c>
      <c r="AW123" s="1442">
        <f>AW111/AVERAGE(AV241,AW241)/3*1000</f>
        <v>587.34733650156807</v>
      </c>
      <c r="AX123" s="1442">
        <f>AX111/AVERAGE(AW241,AX241)/3*1000</f>
        <v>601.56019785209412</v>
      </c>
      <c r="AY123" s="1254"/>
      <c r="AZ123" s="1442">
        <f>AZ111/AVERAGE(AY241,AZ241)/3*1000</f>
        <v>589.34216136562657</v>
      </c>
      <c r="BA123" s="1442">
        <f>BA111/AVERAGE(AZ241,BA241)/3*1000</f>
        <v>591.5033196432878</v>
      </c>
      <c r="BB123" s="1442">
        <f>BB111/AVERAGE(BA241,BB241)/3*1000</f>
        <v>596.59076497817171</v>
      </c>
      <c r="BC123" s="1442">
        <f>BC111/AVERAGE(BB241,BC241)/3*1000</f>
        <v>607.37230266239203</v>
      </c>
      <c r="BD123" s="1254"/>
      <c r="BE123" s="1509">
        <f>BE111/AVERAGE(BD241,BE241)/3*1000</f>
        <v>598.28104580714262</v>
      </c>
      <c r="BF123" s="1442">
        <f>BF111/AVERAGE(BE241,BF241)/3*1000</f>
        <v>605.09473959310617</v>
      </c>
      <c r="BG123" s="1442">
        <f>BG111/AVERAGE(BF241,BG241)/3*1000</f>
        <v>622.84311453910561</v>
      </c>
      <c r="BH123" s="1442">
        <f>BH111/AVERAGE(BG241,BH241)/3*1000</f>
        <v>634.37570023920307</v>
      </c>
      <c r="BI123" s="1514"/>
      <c r="BJ123" s="1509">
        <f>BJ111/AVERAGE(BH241,BJ241)/3*1000</f>
        <v>613.96367689658177</v>
      </c>
      <c r="BK123" s="1442">
        <f>BK111/AVERAGE(BJ241,BK241)/3*1000</f>
        <v>611.23370262856326</v>
      </c>
      <c r="BL123" s="1442">
        <f>BL111/AVERAGE(BK241,BL241)/3*1000</f>
        <v>604.7332810289497</v>
      </c>
      <c r="BM123" s="1442">
        <f>BM111/AVERAGE(BL241,BM241)/3*1000</f>
        <v>600.25983589444502</v>
      </c>
      <c r="BN123" s="1389"/>
      <c r="BO123" s="1509">
        <f>BO111/AVERAGE(BM241,BO241)/3*1000</f>
        <v>596.53180284960661</v>
      </c>
      <c r="BP123" s="1442">
        <f>BP111/AVERAGE(BO241,BP241)/3*1000</f>
        <v>602.78839088537995</v>
      </c>
      <c r="BQ123" s="1442">
        <f>BQ111/AVERAGE(BP241,BQ241)/3*1000</f>
        <v>609.46446489375739</v>
      </c>
      <c r="BR123" s="1442">
        <f>BR111/AVERAGE(BQ241,BR241)/3*1000</f>
        <v>619.22969995028404</v>
      </c>
      <c r="BS123" s="1389"/>
      <c r="BT123" s="1509">
        <f>BT111/AVERAGE(BR241,BT241)/3*1000</f>
        <v>602.44441521382305</v>
      </c>
      <c r="BU123" s="1442">
        <f>BU111/AVERAGE(BT241,BU241)/3*1000</f>
        <v>615.06213813386933</v>
      </c>
      <c r="BV123" s="1442">
        <f>BV111/AVERAGE(BU241,BV241)/3*1000</f>
        <v>622.58038358994179</v>
      </c>
      <c r="BW123" s="1442">
        <f>BW111/AVERAGE(BV241,BW241)/3*1000</f>
        <v>622.646723374928</v>
      </c>
      <c r="BX123" s="1389"/>
      <c r="BY123" s="1254"/>
      <c r="BZ123" s="928"/>
      <c r="CA123" s="928"/>
      <c r="CB123" s="928"/>
      <c r="CC123" s="928"/>
      <c r="CD123" s="928"/>
      <c r="CE123" s="928"/>
      <c r="CF123" s="928"/>
      <c r="CG123" s="928"/>
      <c r="CH123" s="928"/>
      <c r="CI123" s="928"/>
      <c r="CJ123" s="928"/>
      <c r="CK123" s="928"/>
      <c r="CL123" s="928"/>
      <c r="CM123" s="928"/>
      <c r="CN123" s="928"/>
      <c r="CO123" s="928"/>
      <c r="CP123" s="928"/>
      <c r="CQ123" s="928"/>
      <c r="CR123" s="928"/>
      <c r="CS123" s="928"/>
      <c r="CT123" s="928"/>
      <c r="CU123" s="928"/>
      <c r="CV123" s="928"/>
      <c r="CW123" s="928"/>
      <c r="CX123" s="928"/>
      <c r="CY123" s="928"/>
      <c r="CZ123" s="928"/>
      <c r="DA123" s="928"/>
      <c r="DB123" s="928"/>
      <c r="DC123" s="928"/>
      <c r="DD123" s="928"/>
      <c r="DE123" s="928"/>
      <c r="DF123" s="928"/>
      <c r="DG123" s="928"/>
      <c r="DH123" s="928"/>
      <c r="DI123" s="928"/>
      <c r="DJ123" s="928"/>
      <c r="DK123" s="928"/>
      <c r="DL123" s="928"/>
      <c r="DM123" s="928"/>
      <c r="DN123" s="928"/>
      <c r="DO123" s="928"/>
      <c r="DP123" s="928"/>
      <c r="DQ123" s="928"/>
      <c r="DR123" s="928"/>
      <c r="DS123" s="928"/>
      <c r="DT123" s="1254">
        <f t="shared" si="229"/>
        <v>1.5167563136502693E-2</v>
      </c>
      <c r="DU123" s="1254">
        <f t="shared" si="229"/>
        <v>2.2977757686998057E-2</v>
      </c>
      <c r="DV123" s="1254">
        <f t="shared" si="229"/>
        <v>4.400394894127202E-2</v>
      </c>
      <c r="DW123" s="1254">
        <f t="shared" si="229"/>
        <v>4.4459382586994334E-2</v>
      </c>
      <c r="DX123" s="928"/>
      <c r="DY123" s="1355">
        <f t="shared" si="230"/>
        <v>2.6212816199586708E-2</v>
      </c>
      <c r="DZ123" s="1254">
        <f t="shared" si="230"/>
        <v>1.0145457618066844E-2</v>
      </c>
      <c r="EA123" s="1254">
        <f t="shared" si="230"/>
        <v>-2.9076075639941745E-2</v>
      </c>
      <c r="EB123" s="1254">
        <f t="shared" si="230"/>
        <v>-5.3778643053152941E-2</v>
      </c>
      <c r="EC123" s="1337"/>
      <c r="ED123" s="1355">
        <f t="shared" si="231"/>
        <v>-2.8392353982712004E-2</v>
      </c>
      <c r="EE123" s="1254">
        <f t="shared" si="231"/>
        <v>-1.3816829318908486E-2</v>
      </c>
      <c r="EF123" s="1254">
        <f t="shared" si="231"/>
        <v>7.82358770920899E-3</v>
      </c>
      <c r="EG123" s="1254">
        <f t="shared" si="231"/>
        <v>3.1602754209886674E-2</v>
      </c>
      <c r="EH123" s="1337"/>
      <c r="EI123" s="1355">
        <f t="shared" si="232"/>
        <v>9.9116465140201004E-3</v>
      </c>
      <c r="EJ123" s="1254">
        <f t="shared" si="232"/>
        <v>2.036161849511009E-2</v>
      </c>
      <c r="EK123" s="1254">
        <f t="shared" si="232"/>
        <v>2.1520399386157463E-2</v>
      </c>
      <c r="EL123" s="1254">
        <f t="shared" si="232"/>
        <v>5.5181840033162732E-3</v>
      </c>
      <c r="EM123" s="1337"/>
      <c r="EN123" s="928"/>
      <c r="EO123" s="928"/>
      <c r="EP123" s="928"/>
      <c r="EQ123" s="928" t="s">
        <v>200</v>
      </c>
      <c r="ER123" s="1316">
        <f>DO13</f>
        <v>2.3420933050590786E-2</v>
      </c>
      <c r="ES123" s="1316">
        <f>DP13</f>
        <v>3.1151249976627104E-2</v>
      </c>
      <c r="ET123" s="1316">
        <f>DQ13</f>
        <v>4.8629713579229294E-2</v>
      </c>
      <c r="EU123" s="1316">
        <f>DR13</f>
        <v>4.4189548437471027E-2</v>
      </c>
      <c r="EV123" s="1316">
        <f>DT13</f>
        <v>4.0608291861691237E-2</v>
      </c>
      <c r="EW123" s="1316">
        <f>DU13</f>
        <v>1.0045877382269364E-2</v>
      </c>
      <c r="EX123" s="1316">
        <f>DV13</f>
        <v>-2.4741420889976551E-2</v>
      </c>
      <c r="EY123" s="1316">
        <f>DW13</f>
        <v>-4.3530123913972485E-2</v>
      </c>
      <c r="EZ123" s="1316">
        <f>DY13</f>
        <v>-6.2064428957474105E-2</v>
      </c>
      <c r="FA123" s="928"/>
      <c r="FB123" s="928"/>
      <c r="FC123" s="928"/>
      <c r="FD123" s="928"/>
      <c r="FE123" s="928"/>
      <c r="FF123" s="1452">
        <v>608.28545977174986</v>
      </c>
      <c r="FG123" s="928"/>
      <c r="FH123" s="1453">
        <v>588.31263062150413</v>
      </c>
      <c r="FI123" s="1319"/>
      <c r="FJ123" s="1622">
        <v>627.14160256956848</v>
      </c>
      <c r="FK123" s="1605"/>
      <c r="FL123" s="928"/>
      <c r="FM123" s="928"/>
      <c r="FN123" s="928"/>
      <c r="FO123" s="928"/>
      <c r="FP123" s="928"/>
      <c r="FQ123" s="928"/>
    </row>
    <row r="124" spans="1:173">
      <c r="A124" s="1441"/>
      <c r="B124" s="928"/>
      <c r="C124" s="928"/>
      <c r="D124" s="928"/>
      <c r="E124" s="928"/>
      <c r="F124" s="928"/>
      <c r="G124" s="928"/>
      <c r="H124" s="928"/>
      <c r="I124" s="928"/>
      <c r="J124" s="928"/>
      <c r="K124" s="928"/>
      <c r="L124" s="928"/>
      <c r="M124" s="928"/>
      <c r="N124" s="928"/>
      <c r="O124" s="928"/>
      <c r="P124" s="928"/>
      <c r="Q124" s="928"/>
      <c r="R124" s="928"/>
      <c r="S124" s="928"/>
      <c r="T124" s="928"/>
      <c r="U124" s="928"/>
      <c r="V124" s="928"/>
      <c r="W124" s="928"/>
      <c r="X124" s="928"/>
      <c r="Y124" s="928"/>
      <c r="Z124" s="1254"/>
      <c r="AA124" s="1254"/>
      <c r="AB124" s="1254"/>
      <c r="AC124" s="1254"/>
      <c r="AD124" s="1254"/>
      <c r="AE124" s="1254"/>
      <c r="AF124" s="1254"/>
      <c r="AG124" s="1254"/>
      <c r="AH124" s="1254"/>
      <c r="AI124" s="1254"/>
      <c r="AJ124" s="928"/>
      <c r="AK124" s="1254"/>
      <c r="AL124" s="1254"/>
      <c r="AM124" s="1254"/>
      <c r="AN124" s="1254"/>
      <c r="AO124" s="1254"/>
      <c r="AP124" s="1254"/>
      <c r="AQ124" s="1254"/>
      <c r="AR124" s="1254"/>
      <c r="AS124" s="1254"/>
      <c r="AT124" s="1254"/>
      <c r="AU124" s="1461"/>
      <c r="AV124" s="1461"/>
      <c r="AW124" s="1461"/>
      <c r="AX124" s="1461"/>
      <c r="AY124" s="1254"/>
      <c r="AZ124" s="1254"/>
      <c r="BA124" s="1254"/>
      <c r="BB124" s="1254"/>
      <c r="BC124" s="1254"/>
      <c r="BD124" s="1254"/>
      <c r="BE124" s="1355"/>
      <c r="BF124" s="1254"/>
      <c r="BG124" s="1254"/>
      <c r="BH124" s="1254"/>
      <c r="BI124" s="1389"/>
      <c r="BJ124" s="1355"/>
      <c r="BK124" s="1254"/>
      <c r="BL124" s="1254"/>
      <c r="BM124" s="1442"/>
      <c r="BN124" s="1389"/>
      <c r="BO124" s="1509"/>
      <c r="BP124" s="1254"/>
      <c r="BQ124" s="1254"/>
      <c r="BR124" s="1254"/>
      <c r="BS124" s="1389"/>
      <c r="BT124" s="1509"/>
      <c r="BU124" s="1254"/>
      <c r="BV124" s="1254"/>
      <c r="BW124" s="1254"/>
      <c r="BX124" s="1389"/>
      <c r="BY124" s="1254"/>
      <c r="BZ124" s="928"/>
      <c r="CA124" s="928"/>
      <c r="CB124" s="928"/>
      <c r="CC124" s="928"/>
      <c r="CD124" s="928"/>
      <c r="CE124" s="928"/>
      <c r="CF124" s="928"/>
      <c r="CG124" s="928"/>
      <c r="CH124" s="928"/>
      <c r="CI124" s="928"/>
      <c r="CJ124" s="928"/>
      <c r="CK124" s="928"/>
      <c r="CL124" s="928"/>
      <c r="CM124" s="928"/>
      <c r="CN124" s="928"/>
      <c r="CO124" s="928"/>
      <c r="CP124" s="928"/>
      <c r="CQ124" s="928"/>
      <c r="CR124" s="928"/>
      <c r="CS124" s="928"/>
      <c r="CT124" s="928"/>
      <c r="CU124" s="928"/>
      <c r="CV124" s="928"/>
      <c r="CW124" s="928"/>
      <c r="CX124" s="928"/>
      <c r="CY124" s="928"/>
      <c r="CZ124" s="928"/>
      <c r="DA124" s="928"/>
      <c r="DB124" s="928"/>
      <c r="DC124" s="928"/>
      <c r="DD124" s="928"/>
      <c r="DE124" s="928"/>
      <c r="DF124" s="928"/>
      <c r="DG124" s="928"/>
      <c r="DH124" s="928"/>
      <c r="DI124" s="928"/>
      <c r="DJ124" s="928"/>
      <c r="DK124" s="928"/>
      <c r="DL124" s="928"/>
      <c r="DM124" s="928"/>
      <c r="DN124" s="928"/>
      <c r="DO124" s="928"/>
      <c r="DP124" s="928"/>
      <c r="DQ124" s="928"/>
      <c r="DR124" s="928"/>
      <c r="DS124" s="928"/>
      <c r="DT124" s="928"/>
      <c r="DU124" s="928"/>
      <c r="DV124" s="928"/>
      <c r="DW124" s="928"/>
      <c r="DX124" s="928"/>
      <c r="DY124" s="1338"/>
      <c r="DZ124" s="928"/>
      <c r="EA124" s="928"/>
      <c r="EB124" s="928"/>
      <c r="EC124" s="1337"/>
      <c r="ED124" s="1338"/>
      <c r="EE124" s="928"/>
      <c r="EF124" s="928"/>
      <c r="EG124" s="928"/>
      <c r="EH124" s="1337"/>
      <c r="EI124" s="928"/>
      <c r="EJ124" s="928"/>
      <c r="EK124" s="928"/>
      <c r="EL124" s="928"/>
      <c r="EM124" s="1337"/>
      <c r="EN124" s="928"/>
      <c r="EO124" s="928"/>
      <c r="EP124" s="928"/>
      <c r="EQ124" s="928" t="s">
        <v>57</v>
      </c>
      <c r="ER124" s="1254">
        <f>DO25</f>
        <v>-3.1600849625037952E-2</v>
      </c>
      <c r="ES124" s="1254">
        <f>DP25</f>
        <v>6.8528799444831368E-3</v>
      </c>
      <c r="ET124" s="1254">
        <f>DQ25</f>
        <v>1.5333972248843697E-2</v>
      </c>
      <c r="EU124" s="1254">
        <f>DR25</f>
        <v>1.6501493669685452E-2</v>
      </c>
      <c r="EV124" s="1254">
        <f>DT25</f>
        <v>-3.558639212175474E-2</v>
      </c>
      <c r="EW124" s="1254">
        <f>DU25</f>
        <v>-3.3901955716378218E-2</v>
      </c>
      <c r="EX124" s="1254">
        <f>DV25</f>
        <v>-7.1818442976156249E-2</v>
      </c>
      <c r="EY124" s="1254">
        <f>DW25</f>
        <v>-0.13915193357279454</v>
      </c>
      <c r="EZ124" s="1254">
        <f>DY25</f>
        <v>-0.13604084474355993</v>
      </c>
      <c r="FA124" s="928"/>
      <c r="FB124" s="928"/>
      <c r="FC124" s="928"/>
      <c r="FD124" s="928"/>
      <c r="FE124" s="928"/>
      <c r="FF124" s="1363"/>
      <c r="FG124" s="928"/>
      <c r="FH124" s="1351"/>
      <c r="FI124" s="1319"/>
      <c r="FJ124" s="1622"/>
      <c r="FK124" s="1605"/>
      <c r="FL124" s="928"/>
      <c r="FM124" s="928"/>
      <c r="FN124" s="928"/>
      <c r="FO124" s="928"/>
      <c r="FP124" s="928"/>
      <c r="FQ124" s="928"/>
    </row>
    <row r="125" spans="1:173">
      <c r="A125" s="1444" t="s">
        <v>57</v>
      </c>
      <c r="B125" s="928"/>
      <c r="C125" s="928"/>
      <c r="D125" s="928"/>
      <c r="E125" s="928"/>
      <c r="F125" s="928"/>
      <c r="G125" s="928"/>
      <c r="H125" s="928"/>
      <c r="I125" s="928"/>
      <c r="J125" s="928"/>
      <c r="K125" s="928"/>
      <c r="L125" s="928"/>
      <c r="M125" s="928"/>
      <c r="N125" s="928"/>
      <c r="O125" s="928"/>
      <c r="P125" s="928"/>
      <c r="Q125" s="928"/>
      <c r="R125" s="928"/>
      <c r="S125" s="928"/>
      <c r="T125" s="928"/>
      <c r="U125" s="928"/>
      <c r="V125" s="928"/>
      <c r="W125" s="928"/>
      <c r="X125" s="928"/>
      <c r="Y125" s="928"/>
      <c r="Z125" s="1254"/>
      <c r="AA125" s="1254"/>
      <c r="AB125" s="1254"/>
      <c r="AC125" s="1254"/>
      <c r="AD125" s="1254"/>
      <c r="AE125" s="1254"/>
      <c r="AF125" s="1254"/>
      <c r="AG125" s="1254"/>
      <c r="AH125" s="1254"/>
      <c r="AI125" s="1254"/>
      <c r="AJ125" s="928"/>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355"/>
      <c r="BF125" s="1254"/>
      <c r="BG125" s="1254"/>
      <c r="BH125" s="1254"/>
      <c r="BI125" s="1389"/>
      <c r="BJ125" s="1355"/>
      <c r="BK125" s="1254"/>
      <c r="BL125" s="1254"/>
      <c r="BM125" s="1442"/>
      <c r="BN125" s="1514"/>
      <c r="BO125" s="1509"/>
      <c r="BP125" s="1442"/>
      <c r="BQ125" s="1442"/>
      <c r="BR125" s="1254"/>
      <c r="BS125" s="1389"/>
      <c r="BT125" s="1509"/>
      <c r="BU125" s="1442"/>
      <c r="BV125" s="1442"/>
      <c r="BW125" s="1254"/>
      <c r="BX125" s="1389"/>
      <c r="BY125" s="1254"/>
      <c r="BZ125" s="928"/>
      <c r="CA125" s="928"/>
      <c r="CB125" s="928"/>
      <c r="CC125" s="928"/>
      <c r="CD125" s="928"/>
      <c r="CE125" s="928"/>
      <c r="CF125" s="928"/>
      <c r="CG125" s="928"/>
      <c r="CH125" s="928"/>
      <c r="CI125" s="928"/>
      <c r="CJ125" s="928"/>
      <c r="CK125" s="928"/>
      <c r="CL125" s="928"/>
      <c r="CM125" s="928"/>
      <c r="CN125" s="928"/>
      <c r="CO125" s="928"/>
      <c r="CP125" s="928"/>
      <c r="CQ125" s="928"/>
      <c r="CR125" s="928"/>
      <c r="CS125" s="928"/>
      <c r="CT125" s="928"/>
      <c r="CU125" s="928"/>
      <c r="CV125" s="928"/>
      <c r="CW125" s="928"/>
      <c r="CX125" s="928"/>
      <c r="CY125" s="928"/>
      <c r="CZ125" s="928"/>
      <c r="DA125" s="928"/>
      <c r="DB125" s="928"/>
      <c r="DC125" s="928"/>
      <c r="DD125" s="928"/>
      <c r="DE125" s="928"/>
      <c r="DF125" s="928"/>
      <c r="DG125" s="928"/>
      <c r="DH125" s="928"/>
      <c r="DI125" s="928"/>
      <c r="DJ125" s="928"/>
      <c r="DK125" s="928"/>
      <c r="DL125" s="928"/>
      <c r="DM125" s="928"/>
      <c r="DN125" s="928"/>
      <c r="DO125" s="928"/>
      <c r="DP125" s="928"/>
      <c r="DQ125" s="928"/>
      <c r="DR125" s="928"/>
      <c r="DS125" s="928"/>
      <c r="DT125" s="928"/>
      <c r="DU125" s="928"/>
      <c r="DV125" s="928"/>
      <c r="DW125" s="928"/>
      <c r="DX125" s="928"/>
      <c r="DY125" s="1338"/>
      <c r="DZ125" s="928"/>
      <c r="EA125" s="928"/>
      <c r="EB125" s="928"/>
      <c r="EC125" s="1337"/>
      <c r="ED125" s="1338"/>
      <c r="EE125" s="928"/>
      <c r="EF125" s="928"/>
      <c r="EG125" s="928"/>
      <c r="EH125" s="1337"/>
      <c r="EI125" s="928"/>
      <c r="EJ125" s="928"/>
      <c r="EK125" s="928"/>
      <c r="EL125" s="928"/>
      <c r="EM125" s="1337"/>
      <c r="EN125" s="928"/>
      <c r="EO125" s="928"/>
      <c r="EP125" s="928"/>
      <c r="EQ125" s="928"/>
      <c r="ER125" s="928"/>
      <c r="ES125" s="928"/>
      <c r="ET125" s="928"/>
      <c r="EU125" s="928"/>
      <c r="EV125" s="928"/>
      <c r="EW125" s="928"/>
      <c r="EX125" s="928"/>
      <c r="EY125" s="928"/>
      <c r="EZ125" s="928"/>
      <c r="FA125" s="928"/>
      <c r="FB125" s="928"/>
      <c r="FC125" s="928"/>
      <c r="FD125" s="928"/>
      <c r="FE125" s="928"/>
      <c r="FF125" s="1363"/>
      <c r="FG125" s="928"/>
      <c r="FH125" s="1351"/>
      <c r="FI125" s="1319"/>
      <c r="FJ125" s="1622"/>
      <c r="FK125" s="1605"/>
      <c r="FL125" s="928"/>
      <c r="FM125" s="928"/>
      <c r="FN125" s="928"/>
      <c r="FO125" s="928"/>
      <c r="FP125" s="928"/>
      <c r="FQ125" s="928"/>
    </row>
    <row r="126" spans="1:173">
      <c r="A126" s="1441" t="s">
        <v>3102</v>
      </c>
      <c r="B126" s="928"/>
      <c r="C126" s="928"/>
      <c r="D126" s="928"/>
      <c r="E126" s="928"/>
      <c r="F126" s="928"/>
      <c r="G126" s="928"/>
      <c r="H126" s="928"/>
      <c r="I126" s="928"/>
      <c r="J126" s="928"/>
      <c r="K126" s="928"/>
      <c r="L126" s="928"/>
      <c r="M126" s="928"/>
      <c r="N126" s="928"/>
      <c r="O126" s="928"/>
      <c r="P126" s="928"/>
      <c r="Q126" s="928"/>
      <c r="R126" s="928"/>
      <c r="S126" s="928"/>
      <c r="T126" s="928"/>
      <c r="U126" s="928"/>
      <c r="V126" s="928"/>
      <c r="W126" s="928"/>
      <c r="X126" s="928"/>
      <c r="Y126" s="928"/>
      <c r="Z126" s="1254"/>
      <c r="AA126" s="1442">
        <v>2267.9</v>
      </c>
      <c r="AB126" s="1442">
        <v>2372.4</v>
      </c>
      <c r="AC126" s="1442">
        <v>2505.4</v>
      </c>
      <c r="AD126" s="1442">
        <f>9781.9-AA126-AB126-AC126</f>
        <v>2636.2000000000003</v>
      </c>
      <c r="AE126" s="1442"/>
      <c r="AF126" s="1442">
        <v>2809.5</v>
      </c>
      <c r="AG126" s="1442">
        <v>2877.9</v>
      </c>
      <c r="AH126" s="1442">
        <v>2988</v>
      </c>
      <c r="AI126" s="1442">
        <f>11771.7-AF126-AG126-AH126</f>
        <v>3096.3000000000011</v>
      </c>
      <c r="AJ126" s="928"/>
      <c r="AK126" s="1442">
        <v>3023</v>
      </c>
      <c r="AL126" s="1442">
        <v>3060.6</v>
      </c>
      <c r="AM126" s="1442">
        <v>3141.2</v>
      </c>
      <c r="AN126" s="1442">
        <f>12578-AK126-AL126-AM126</f>
        <v>3353.2</v>
      </c>
      <c r="AO126" s="1254"/>
      <c r="AP126" s="1442">
        <v>3338</v>
      </c>
      <c r="AQ126" s="1442">
        <v>3405.4</v>
      </c>
      <c r="AR126" s="1442">
        <v>3548.5</v>
      </c>
      <c r="AS126" s="1442">
        <f>13962-AP126-AQ126-AR126</f>
        <v>3670.1000000000004</v>
      </c>
      <c r="AT126" s="1254"/>
      <c r="AU126" s="1442">
        <v>3917.6</v>
      </c>
      <c r="AV126" s="1442">
        <v>4059.8</v>
      </c>
      <c r="AW126" s="1442">
        <v>4119.7</v>
      </c>
      <c r="AX126" s="1442">
        <v>4151.1000000000004</v>
      </c>
      <c r="AY126" s="1254"/>
      <c r="AZ126" s="1442">
        <v>4122.7</v>
      </c>
      <c r="BA126" s="1442">
        <v>4174.3</v>
      </c>
      <c r="BB126" s="1442">
        <v>4323.1000000000004</v>
      </c>
      <c r="BC126" s="1442">
        <v>4471.3999999999996</v>
      </c>
      <c r="BD126" s="1254"/>
      <c r="BE126" s="1509">
        <v>4483.3</v>
      </c>
      <c r="BF126" s="1442">
        <v>4474.7</v>
      </c>
      <c r="BG126" s="1442">
        <v>4583.3999999999996</v>
      </c>
      <c r="BH126" s="1442">
        <v>4846.1000000000013</v>
      </c>
      <c r="BI126" s="1389"/>
      <c r="BJ126" s="1523">
        <v>4674.5</v>
      </c>
      <c r="BK126" s="1451">
        <v>4697.7</v>
      </c>
      <c r="BL126" s="1451">
        <v>4596.7</v>
      </c>
      <c r="BM126" s="1451">
        <v>4896.2</v>
      </c>
      <c r="BN126" s="1389"/>
      <c r="BO126" s="1523">
        <v>4741.7</v>
      </c>
      <c r="BP126" s="1451">
        <v>4630.3</v>
      </c>
      <c r="BQ126" s="1451">
        <v>4260.5</v>
      </c>
      <c r="BR126" s="1451">
        <v>4569.3999999999996</v>
      </c>
      <c r="BS126" s="1389"/>
      <c r="BT126" s="1582">
        <f>0.392*BT111</f>
        <v>4251.0047999999997</v>
      </c>
      <c r="BU126" s="1537">
        <v>4300</v>
      </c>
      <c r="BV126" s="1537">
        <v>4000</v>
      </c>
      <c r="BW126" s="1537">
        <v>4540</v>
      </c>
      <c r="BX126" s="1389"/>
      <c r="BY126" s="1254"/>
      <c r="BZ126" s="928"/>
      <c r="CA126" s="928"/>
      <c r="CB126" s="928"/>
      <c r="CC126" s="928"/>
      <c r="CD126" s="928"/>
      <c r="CE126" s="928"/>
      <c r="CF126" s="928"/>
      <c r="CG126" s="928"/>
      <c r="CH126" s="928"/>
      <c r="CI126" s="928"/>
      <c r="CJ126" s="928"/>
      <c r="CK126" s="928"/>
      <c r="CL126" s="928"/>
      <c r="CM126" s="928"/>
      <c r="CN126" s="928"/>
      <c r="CO126" s="928"/>
      <c r="CP126" s="928"/>
      <c r="CQ126" s="928"/>
      <c r="CR126" s="928"/>
      <c r="CS126" s="928"/>
      <c r="CT126" s="928"/>
      <c r="CU126" s="1254">
        <f t="shared" ref="CU126:CX128" si="233">AF126/AA126-1</f>
        <v>0.23881123506327429</v>
      </c>
      <c r="CV126" s="1254">
        <f t="shared" si="233"/>
        <v>0.21307536671724825</v>
      </c>
      <c r="CW126" s="1254">
        <f t="shared" si="233"/>
        <v>0.19262393230621844</v>
      </c>
      <c r="CX126" s="1254">
        <f t="shared" si="233"/>
        <v>0.17453152264623362</v>
      </c>
      <c r="CY126" s="928"/>
      <c r="CZ126" s="1254">
        <f t="shared" ref="CZ126:DC128" si="234">AK126/AF126-1</f>
        <v>7.5992169425164624E-2</v>
      </c>
      <c r="DA126" s="1254">
        <f t="shared" si="234"/>
        <v>6.3483790263733963E-2</v>
      </c>
      <c r="DB126" s="1254">
        <f t="shared" si="234"/>
        <v>5.1271753681392251E-2</v>
      </c>
      <c r="DC126" s="1254">
        <f t="shared" si="234"/>
        <v>8.2969996447372241E-2</v>
      </c>
      <c r="DD126" s="928"/>
      <c r="DE126" s="1254">
        <f t="shared" ref="DE126:DH128" si="235">AP126/AK126-1</f>
        <v>0.10420112471055254</v>
      </c>
      <c r="DF126" s="1254">
        <f t="shared" si="235"/>
        <v>0.11265764882702745</v>
      </c>
      <c r="DG126" s="1254">
        <f t="shared" si="235"/>
        <v>0.12966382274290078</v>
      </c>
      <c r="DH126" s="1254">
        <f t="shared" si="235"/>
        <v>9.4506739830609643E-2</v>
      </c>
      <c r="DI126" s="928"/>
      <c r="DJ126" s="1254">
        <f t="shared" ref="DJ126:DL128" si="236">AU126/AP126-1</f>
        <v>0.17363690832834022</v>
      </c>
      <c r="DK126" s="1254">
        <f t="shared" si="236"/>
        <v>0.19216538438949904</v>
      </c>
      <c r="DL126" s="1254">
        <f t="shared" si="236"/>
        <v>0.16096942370015488</v>
      </c>
      <c r="DM126" s="1254"/>
      <c r="DN126" s="928"/>
      <c r="DO126" s="928"/>
      <c r="DP126" s="928"/>
      <c r="DQ126" s="928"/>
      <c r="DR126" s="928"/>
      <c r="DS126" s="928"/>
      <c r="DT126" s="928"/>
      <c r="DU126" s="928"/>
      <c r="DV126" s="928"/>
      <c r="DW126" s="928"/>
      <c r="DX126" s="928"/>
      <c r="DY126" s="1338"/>
      <c r="DZ126" s="928"/>
      <c r="EA126" s="928"/>
      <c r="EB126" s="928"/>
      <c r="EC126" s="1337"/>
      <c r="ED126" s="1338"/>
      <c r="EE126" s="928"/>
      <c r="EF126" s="928"/>
      <c r="EG126" s="928"/>
      <c r="EH126" s="1337"/>
      <c r="EI126" s="928"/>
      <c r="EJ126" s="928"/>
      <c r="EK126" s="928"/>
      <c r="EL126" s="928"/>
      <c r="EM126" s="1337"/>
      <c r="EN126" s="928"/>
      <c r="EO126" s="928"/>
      <c r="EP126" s="928"/>
      <c r="EQ126" s="928"/>
      <c r="ER126" s="928"/>
      <c r="ES126" s="928"/>
      <c r="ET126" s="928"/>
      <c r="EU126" s="928"/>
      <c r="EV126" s="928"/>
      <c r="EW126" s="928"/>
      <c r="EX126" s="928"/>
      <c r="EY126" s="928"/>
      <c r="EZ126" s="928"/>
      <c r="FA126" s="928"/>
      <c r="FB126" s="928"/>
      <c r="FC126" s="928"/>
      <c r="FD126" s="928"/>
      <c r="FE126" s="928"/>
      <c r="FF126" s="1452">
        <v>4510.97505</v>
      </c>
      <c r="FG126" s="928"/>
      <c r="FH126" s="1453">
        <v>4522.1091999999999</v>
      </c>
      <c r="FI126" s="1319"/>
      <c r="FJ126" s="1618">
        <v>4700</v>
      </c>
      <c r="FK126" s="1605"/>
      <c r="FL126" s="928"/>
      <c r="FM126" s="928"/>
      <c r="FN126" s="928"/>
      <c r="FO126" s="928"/>
      <c r="FP126" s="928"/>
      <c r="FQ126" s="928"/>
    </row>
    <row r="127" spans="1:173">
      <c r="A127" s="1441" t="s">
        <v>3103</v>
      </c>
      <c r="B127" s="928"/>
      <c r="C127" s="928"/>
      <c r="D127" s="928"/>
      <c r="E127" s="928"/>
      <c r="F127" s="928"/>
      <c r="G127" s="928"/>
      <c r="H127" s="928"/>
      <c r="I127" s="928"/>
      <c r="J127" s="928"/>
      <c r="K127" s="928"/>
      <c r="L127" s="928"/>
      <c r="M127" s="928"/>
      <c r="N127" s="928"/>
      <c r="O127" s="928"/>
      <c r="P127" s="928"/>
      <c r="Q127" s="928"/>
      <c r="R127" s="928"/>
      <c r="S127" s="928"/>
      <c r="T127" s="928"/>
      <c r="U127" s="928"/>
      <c r="V127" s="928"/>
      <c r="W127" s="928"/>
      <c r="X127" s="928"/>
      <c r="Y127" s="928"/>
      <c r="Z127" s="1254"/>
      <c r="AA127" s="1442">
        <v>463.4</v>
      </c>
      <c r="AB127" s="1442">
        <v>473.1</v>
      </c>
      <c r="AC127" s="1442">
        <v>548.6</v>
      </c>
      <c r="AD127" s="1442">
        <f>1944.4-AA127-AB127-AC127</f>
        <v>459.29999999999995</v>
      </c>
      <c r="AE127" s="1442"/>
      <c r="AF127" s="1442">
        <v>493</v>
      </c>
      <c r="AG127" s="1442">
        <v>500.4</v>
      </c>
      <c r="AH127" s="1442">
        <v>547.5</v>
      </c>
      <c r="AI127" s="1442">
        <f>2021-AF127-AG127-AH127</f>
        <v>480.09999999999991</v>
      </c>
      <c r="AJ127" s="928"/>
      <c r="AK127" s="1442">
        <v>467.7</v>
      </c>
      <c r="AL127" s="1442">
        <v>494.9</v>
      </c>
      <c r="AM127" s="1442">
        <v>492.1</v>
      </c>
      <c r="AN127" s="1442">
        <f>1892.6-AK127-AL127-AM127</f>
        <v>437.89999999999986</v>
      </c>
      <c r="AO127" s="1254"/>
      <c r="AP127" s="1442">
        <v>433.9</v>
      </c>
      <c r="AQ127" s="1442">
        <v>414.3</v>
      </c>
      <c r="AR127" s="1442">
        <v>492.3</v>
      </c>
      <c r="AS127" s="1442">
        <f>1811.9-AP127-AQ127-AR127</f>
        <v>471.40000000000003</v>
      </c>
      <c r="AT127" s="1254"/>
      <c r="AU127" s="1442">
        <v>497</v>
      </c>
      <c r="AV127" s="1442">
        <v>521.9</v>
      </c>
      <c r="AW127" s="1442">
        <v>504</v>
      </c>
      <c r="AX127" s="1442">
        <v>527.9</v>
      </c>
      <c r="AY127" s="1254"/>
      <c r="AZ127" s="1442">
        <v>505.2</v>
      </c>
      <c r="BA127" s="1442">
        <v>625.9</v>
      </c>
      <c r="BB127" s="1442">
        <v>611.29999999999995</v>
      </c>
      <c r="BC127" s="1442">
        <v>645.79999999999995</v>
      </c>
      <c r="BD127" s="1254"/>
      <c r="BE127" s="1509">
        <v>528.29999999999995</v>
      </c>
      <c r="BF127" s="1442">
        <v>673.6</v>
      </c>
      <c r="BG127" s="1442">
        <v>629.9</v>
      </c>
      <c r="BH127" s="1442">
        <v>703.50000000000023</v>
      </c>
      <c r="BI127" s="1389"/>
      <c r="BJ127" s="1523">
        <v>493.3</v>
      </c>
      <c r="BK127" s="1451">
        <v>492.3</v>
      </c>
      <c r="BL127" s="1451">
        <v>461.3</v>
      </c>
      <c r="BM127" s="1451">
        <v>358.9</v>
      </c>
      <c r="BN127" s="1389"/>
      <c r="BO127" s="1523">
        <v>434.4</v>
      </c>
      <c r="BP127" s="1451">
        <v>357.8</v>
      </c>
      <c r="BQ127" s="1451">
        <v>257.7</v>
      </c>
      <c r="BR127" s="1451">
        <v>278.39999999999998</v>
      </c>
      <c r="BS127" s="1389"/>
      <c r="BT127" s="1509">
        <f>BT128-BT126</f>
        <v>416.79520000000048</v>
      </c>
      <c r="BU127" s="1442">
        <f>BU26-BU126</f>
        <v>350</v>
      </c>
      <c r="BV127" s="1442">
        <f t="shared" ref="BV127:BW127" si="237">BV26-BV126</f>
        <v>250</v>
      </c>
      <c r="BW127" s="1442">
        <f t="shared" si="237"/>
        <v>71.131250000002183</v>
      </c>
      <c r="BX127" s="1389"/>
      <c r="BY127" s="1254"/>
      <c r="BZ127" s="928"/>
      <c r="CA127" s="928"/>
      <c r="CB127" s="928"/>
      <c r="CC127" s="928"/>
      <c r="CD127" s="928"/>
      <c r="CE127" s="928"/>
      <c r="CF127" s="928"/>
      <c r="CG127" s="928"/>
      <c r="CH127" s="928"/>
      <c r="CI127" s="928"/>
      <c r="CJ127" s="928"/>
      <c r="CK127" s="928"/>
      <c r="CL127" s="928"/>
      <c r="CM127" s="928"/>
      <c r="CN127" s="928"/>
      <c r="CO127" s="928"/>
      <c r="CP127" s="928"/>
      <c r="CQ127" s="928"/>
      <c r="CR127" s="928"/>
      <c r="CS127" s="928"/>
      <c r="CT127" s="928"/>
      <c r="CU127" s="1447">
        <f t="shared" si="233"/>
        <v>6.3875701337936963E-2</v>
      </c>
      <c r="CV127" s="1447">
        <f t="shared" si="233"/>
        <v>5.7704502219403819E-2</v>
      </c>
      <c r="CW127" s="1447">
        <f t="shared" si="233"/>
        <v>-2.005103900838523E-3</v>
      </c>
      <c r="CX127" s="1447">
        <f t="shared" si="233"/>
        <v>4.5286305247115077E-2</v>
      </c>
      <c r="CY127" s="928"/>
      <c r="CZ127" s="1447">
        <f t="shared" si="234"/>
        <v>-5.1318458417849877E-2</v>
      </c>
      <c r="DA127" s="1447">
        <f t="shared" si="234"/>
        <v>-1.0991207034372508E-2</v>
      </c>
      <c r="DB127" s="1447">
        <f t="shared" si="234"/>
        <v>-0.10118721461187208</v>
      </c>
      <c r="DC127" s="1447">
        <f t="shared" si="234"/>
        <v>-8.789835450947725E-2</v>
      </c>
      <c r="DD127" s="928"/>
      <c r="DE127" s="1447">
        <f t="shared" si="235"/>
        <v>-7.226854821466755E-2</v>
      </c>
      <c r="DF127" s="1447">
        <f t="shared" si="235"/>
        <v>-0.16286118407759143</v>
      </c>
      <c r="DG127" s="1447">
        <f t="shared" si="235"/>
        <v>4.0642145905311899E-4</v>
      </c>
      <c r="DH127" s="1447">
        <f t="shared" si="235"/>
        <v>7.6501484357159644E-2</v>
      </c>
      <c r="DI127" s="928"/>
      <c r="DJ127" s="1447">
        <f t="shared" si="236"/>
        <v>0.14542521318276114</v>
      </c>
      <c r="DK127" s="1447">
        <f t="shared" si="236"/>
        <v>0.25971518223509515</v>
      </c>
      <c r="DL127" s="1447">
        <f t="shared" si="236"/>
        <v>2.3765996343692919E-2</v>
      </c>
      <c r="DM127" s="1254"/>
      <c r="DN127" s="928"/>
      <c r="DO127" s="928"/>
      <c r="DP127" s="928"/>
      <c r="DQ127" s="928"/>
      <c r="DR127" s="928"/>
      <c r="DS127" s="928"/>
      <c r="DT127" s="928"/>
      <c r="DU127" s="928"/>
      <c r="DV127" s="928"/>
      <c r="DW127" s="928"/>
      <c r="DX127" s="928"/>
      <c r="DY127" s="1338"/>
      <c r="DZ127" s="928"/>
      <c r="EA127" s="928"/>
      <c r="EB127" s="928"/>
      <c r="EC127" s="1337"/>
      <c r="ED127" s="1338"/>
      <c r="EE127" s="928"/>
      <c r="EF127" s="928"/>
      <c r="EG127" s="928"/>
      <c r="EH127" s="1337"/>
      <c r="EI127" s="928"/>
      <c r="EJ127" s="928"/>
      <c r="EK127" s="928"/>
      <c r="EL127" s="928"/>
      <c r="EM127" s="1337"/>
      <c r="EN127" s="928"/>
      <c r="EO127" s="928"/>
      <c r="EP127" s="928"/>
      <c r="EQ127" s="928"/>
      <c r="ER127" s="928"/>
      <c r="ES127" s="928"/>
      <c r="ET127" s="928"/>
      <c r="EU127" s="928"/>
      <c r="EV127" s="928"/>
      <c r="EW127" s="928"/>
      <c r="EX127" s="928"/>
      <c r="EY127" s="928"/>
      <c r="EZ127" s="928"/>
      <c r="FA127" s="928"/>
      <c r="FB127" s="928"/>
      <c r="FC127" s="928"/>
      <c r="FD127" s="928"/>
      <c r="FE127" s="928"/>
      <c r="FF127" s="1462">
        <v>415.62450000000001</v>
      </c>
      <c r="FG127" s="928"/>
      <c r="FH127" s="1453">
        <v>309.19175999999999</v>
      </c>
      <c r="FI127" s="1319"/>
      <c r="FJ127" s="1618">
        <v>325.79999999999995</v>
      </c>
      <c r="FK127" s="1605"/>
      <c r="FL127" s="928"/>
      <c r="FM127" s="928"/>
      <c r="FN127" s="928"/>
      <c r="FO127" s="928"/>
      <c r="FP127" s="928"/>
      <c r="FQ127" s="928"/>
    </row>
    <row r="128" spans="1:173">
      <c r="A128" s="1454" t="s">
        <v>98</v>
      </c>
      <c r="B128" s="1406"/>
      <c r="C128" s="1406"/>
      <c r="D128" s="1406"/>
      <c r="E128" s="1406"/>
      <c r="F128" s="1406"/>
      <c r="G128" s="1406"/>
      <c r="H128" s="1406"/>
      <c r="I128" s="1406"/>
      <c r="J128" s="1406"/>
      <c r="K128" s="1406"/>
      <c r="L128" s="1406"/>
      <c r="M128" s="1406"/>
      <c r="N128" s="1406"/>
      <c r="O128" s="1406"/>
      <c r="P128" s="1406"/>
      <c r="Q128" s="1406"/>
      <c r="R128" s="1406"/>
      <c r="S128" s="1406"/>
      <c r="T128" s="1406"/>
      <c r="U128" s="1406"/>
      <c r="V128" s="1406"/>
      <c r="W128" s="1406"/>
      <c r="X128" s="1406"/>
      <c r="Y128" s="1406"/>
      <c r="Z128" s="1455"/>
      <c r="AA128" s="1456">
        <f>SUM(AA126:AA127)</f>
        <v>2731.3</v>
      </c>
      <c r="AB128" s="1456">
        <f>SUM(AB126:AB127)</f>
        <v>2845.5</v>
      </c>
      <c r="AC128" s="1456">
        <f>SUM(AC126:AC127)</f>
        <v>3054</v>
      </c>
      <c r="AD128" s="1456">
        <f>SUM(AD126:AD127)</f>
        <v>3095.5</v>
      </c>
      <c r="AE128" s="1456"/>
      <c r="AF128" s="1456">
        <f>SUM(AF126:AF127)</f>
        <v>3302.5</v>
      </c>
      <c r="AG128" s="1456">
        <f>SUM(AG126:AG127)</f>
        <v>3378.3</v>
      </c>
      <c r="AH128" s="1456">
        <f>SUM(AH126:AH127)</f>
        <v>3535.5</v>
      </c>
      <c r="AI128" s="1456">
        <f>SUM(AI126:AI127)</f>
        <v>3576.400000000001</v>
      </c>
      <c r="AJ128" s="1406"/>
      <c r="AK128" s="1456">
        <f>SUM(AK126:AK127)</f>
        <v>3490.7</v>
      </c>
      <c r="AL128" s="1456">
        <f>SUM(AL126:AL127)</f>
        <v>3555.5</v>
      </c>
      <c r="AM128" s="1456">
        <f>SUM(AM126:AM127)</f>
        <v>3633.2999999999997</v>
      </c>
      <c r="AN128" s="1456">
        <f>SUM(AN126:AN127)</f>
        <v>3791.0999999999995</v>
      </c>
      <c r="AO128" s="1455"/>
      <c r="AP128" s="1456">
        <f>SUM(AP126:AP127)</f>
        <v>3771.9</v>
      </c>
      <c r="AQ128" s="1456">
        <f>SUM(AQ126:AQ127)</f>
        <v>3819.7000000000003</v>
      </c>
      <c r="AR128" s="1456">
        <f>SUM(AR126:AR127)</f>
        <v>4040.8</v>
      </c>
      <c r="AS128" s="1456">
        <f>SUM(AS126:AS127)</f>
        <v>4141.5</v>
      </c>
      <c r="AT128" s="1455"/>
      <c r="AU128" s="1456">
        <f>SUM(AU126:AU127)</f>
        <v>4414.6000000000004</v>
      </c>
      <c r="AV128" s="1456">
        <f>SUM(AV126:AV127)</f>
        <v>4581.7</v>
      </c>
      <c r="AW128" s="1456">
        <f>SUM(AW126:AW127)</f>
        <v>4623.7</v>
      </c>
      <c r="AX128" s="1456">
        <f>SUM(AX126:AX127)</f>
        <v>4679</v>
      </c>
      <c r="AY128" s="1455"/>
      <c r="AZ128" s="1456">
        <f>SUM(AZ126:AZ127)</f>
        <v>4627.8999999999996</v>
      </c>
      <c r="BA128" s="1456">
        <f>SUM(BA126:BA127)</f>
        <v>4800.2</v>
      </c>
      <c r="BB128" s="1456">
        <f>SUM(BB126:BB127)</f>
        <v>4934.4000000000005</v>
      </c>
      <c r="BC128" s="1456">
        <f>SUM(BC126:BC127)</f>
        <v>5117.2</v>
      </c>
      <c r="BD128" s="1455"/>
      <c r="BE128" s="1510">
        <f>SUM(BE126:BE127)</f>
        <v>5011.6000000000004</v>
      </c>
      <c r="BF128" s="1456">
        <f>SUM(BF126:BF127)</f>
        <v>5148.3</v>
      </c>
      <c r="BG128" s="1456">
        <f>SUM(BG126:BG127)</f>
        <v>5213.2999999999993</v>
      </c>
      <c r="BH128" s="1456">
        <f>SUM(BH126:BH127)</f>
        <v>5549.6000000000013</v>
      </c>
      <c r="BI128" s="1511"/>
      <c r="BJ128" s="1510">
        <f>SUM(BJ126:BJ127)</f>
        <v>5167.8</v>
      </c>
      <c r="BK128" s="1456">
        <f>SUM(BK126:BK127)</f>
        <v>5190</v>
      </c>
      <c r="BL128" s="1456">
        <f>SUM(BL126:BL127)</f>
        <v>5058</v>
      </c>
      <c r="BM128" s="1456">
        <f>SUM(BM126:BM127)</f>
        <v>5255.0999999999995</v>
      </c>
      <c r="BN128" s="1511"/>
      <c r="BO128" s="1510">
        <f>SUM(BO126:BO127)</f>
        <v>5176.0999999999995</v>
      </c>
      <c r="BP128" s="1456">
        <f>SUM(BP126:BP127)</f>
        <v>4988.1000000000004</v>
      </c>
      <c r="BQ128" s="1456">
        <f>SUM(BQ126:BQ127)</f>
        <v>4518.2</v>
      </c>
      <c r="BR128" s="1456">
        <f>SUM(BR126:BR127)</f>
        <v>4847.7999999999993</v>
      </c>
      <c r="BS128" s="1511"/>
      <c r="BT128" s="1638">
        <v>4667.8</v>
      </c>
      <c r="BU128" s="1456">
        <f>SUM(BU126:BU127)</f>
        <v>4650</v>
      </c>
      <c r="BV128" s="1456">
        <f>SUM(BV126:BV127)</f>
        <v>4250</v>
      </c>
      <c r="BW128" s="1456">
        <f>SUM(BW126:BW127)</f>
        <v>4611.1312500000022</v>
      </c>
      <c r="BX128" s="1511"/>
      <c r="BY128" s="1254"/>
      <c r="BZ128" s="928"/>
      <c r="CA128" s="928"/>
      <c r="CB128" s="928"/>
      <c r="CC128" s="928"/>
      <c r="CD128" s="928"/>
      <c r="CE128" s="928"/>
      <c r="CF128" s="928"/>
      <c r="CG128" s="928"/>
      <c r="CH128" s="928"/>
      <c r="CI128" s="928"/>
      <c r="CJ128" s="928"/>
      <c r="CK128" s="928"/>
      <c r="CL128" s="928"/>
      <c r="CM128" s="928"/>
      <c r="CN128" s="928"/>
      <c r="CO128" s="928"/>
      <c r="CP128" s="928"/>
      <c r="CQ128" s="928"/>
      <c r="CR128" s="928"/>
      <c r="CS128" s="928"/>
      <c r="CT128" s="928"/>
      <c r="CU128" s="1254">
        <f t="shared" si="233"/>
        <v>0.20913118295317235</v>
      </c>
      <c r="CV128" s="1254">
        <f t="shared" si="233"/>
        <v>0.1872430152872957</v>
      </c>
      <c r="CW128" s="1254">
        <f t="shared" si="233"/>
        <v>0.15766208251473479</v>
      </c>
      <c r="CX128" s="1254">
        <f t="shared" si="233"/>
        <v>0.15535454692295292</v>
      </c>
      <c r="CY128" s="928"/>
      <c r="CZ128" s="1254">
        <f t="shared" si="234"/>
        <v>5.698713096139274E-2</v>
      </c>
      <c r="DA128" s="1254">
        <f t="shared" si="234"/>
        <v>5.245241689607183E-2</v>
      </c>
      <c r="DB128" s="1254">
        <f t="shared" si="234"/>
        <v>2.766228256257941E-2</v>
      </c>
      <c r="DC128" s="1254">
        <f t="shared" si="234"/>
        <v>6.0032434850687322E-2</v>
      </c>
      <c r="DD128" s="928"/>
      <c r="DE128" s="1254">
        <f t="shared" si="235"/>
        <v>8.0556908356490098E-2</v>
      </c>
      <c r="DF128" s="1254">
        <f t="shared" si="235"/>
        <v>7.4307411053297745E-2</v>
      </c>
      <c r="DG128" s="1254">
        <f t="shared" si="235"/>
        <v>0.11215699226598419</v>
      </c>
      <c r="DH128" s="1254">
        <f t="shared" si="235"/>
        <v>9.2427000079132959E-2</v>
      </c>
      <c r="DI128" s="928"/>
      <c r="DJ128" s="1254">
        <f t="shared" si="236"/>
        <v>0.17039157984039877</v>
      </c>
      <c r="DK128" s="1254">
        <f t="shared" si="236"/>
        <v>0.19949210670995088</v>
      </c>
      <c r="DL128" s="1254">
        <f t="shared" si="236"/>
        <v>0.14425361314591156</v>
      </c>
      <c r="DM128" s="1254"/>
      <c r="DN128" s="928"/>
      <c r="DO128" s="928"/>
      <c r="DP128" s="928"/>
      <c r="DQ128" s="928"/>
      <c r="DR128" s="928"/>
      <c r="DS128" s="928"/>
      <c r="DT128" s="928"/>
      <c r="DU128" s="928"/>
      <c r="DV128" s="928"/>
      <c r="DW128" s="928"/>
      <c r="DX128" s="928"/>
      <c r="DY128" s="1338"/>
      <c r="DZ128" s="928"/>
      <c r="EA128" s="928"/>
      <c r="EB128" s="928"/>
      <c r="EC128" s="1337"/>
      <c r="ED128" s="1338"/>
      <c r="EE128" s="928"/>
      <c r="EF128" s="928"/>
      <c r="EG128" s="928"/>
      <c r="EH128" s="1337"/>
      <c r="EI128" s="928"/>
      <c r="EJ128" s="928"/>
      <c r="EK128" s="928"/>
      <c r="EL128" s="928"/>
      <c r="EM128" s="1337"/>
      <c r="EN128" s="928"/>
      <c r="EO128" s="928"/>
      <c r="EP128" s="928"/>
      <c r="EQ128" s="928"/>
      <c r="ER128" s="928"/>
      <c r="ES128" s="928"/>
      <c r="ET128" s="928"/>
      <c r="EU128" s="928"/>
      <c r="EV128" s="928"/>
      <c r="EW128" s="928"/>
      <c r="EX128" s="928"/>
      <c r="EY128" s="928"/>
      <c r="EZ128" s="928"/>
      <c r="FA128" s="928"/>
      <c r="FB128" s="928"/>
      <c r="FC128" s="928"/>
      <c r="FD128" s="928"/>
      <c r="FE128" s="928"/>
      <c r="FF128" s="1452">
        <v>4926.5995499999999</v>
      </c>
      <c r="FG128" s="928"/>
      <c r="FH128" s="1453">
        <v>4831.3009599999996</v>
      </c>
      <c r="FI128" s="1319"/>
      <c r="FJ128" s="1619">
        <v>5025.8</v>
      </c>
      <c r="FK128" s="1605"/>
      <c r="FL128" s="928"/>
      <c r="FM128" s="928"/>
      <c r="FN128" s="928"/>
      <c r="FO128" s="928"/>
      <c r="FP128" s="928"/>
      <c r="FQ128" s="928"/>
    </row>
    <row r="129" spans="1:173">
      <c r="A129" s="1441" t="s">
        <v>504</v>
      </c>
      <c r="B129" s="928"/>
      <c r="C129" s="928"/>
      <c r="D129" s="928"/>
      <c r="E129" s="928"/>
      <c r="F129" s="928"/>
      <c r="G129" s="928"/>
      <c r="H129" s="928"/>
      <c r="I129" s="928"/>
      <c r="J129" s="928"/>
      <c r="K129" s="928"/>
      <c r="L129" s="928"/>
      <c r="M129" s="928"/>
      <c r="N129" s="928"/>
      <c r="O129" s="928"/>
      <c r="P129" s="928"/>
      <c r="Q129" s="928"/>
      <c r="R129" s="928"/>
      <c r="S129" s="928"/>
      <c r="T129" s="928"/>
      <c r="U129" s="928"/>
      <c r="V129" s="928"/>
      <c r="W129" s="928"/>
      <c r="X129" s="928"/>
      <c r="Y129" s="928"/>
      <c r="Z129" s="1254"/>
      <c r="AA129" s="1254"/>
      <c r="AB129" s="1254"/>
      <c r="AC129" s="1254"/>
      <c r="AD129" s="1254"/>
      <c r="AE129" s="1254"/>
      <c r="AF129" s="1254"/>
      <c r="AG129" s="1254"/>
      <c r="AH129" s="1254"/>
      <c r="AI129" s="1254"/>
      <c r="AJ129" s="928"/>
      <c r="AK129" s="1254"/>
      <c r="AL129" s="1254"/>
      <c r="AM129" s="1254"/>
      <c r="AN129" s="1254"/>
      <c r="AO129" s="1254"/>
      <c r="AP129" s="1254"/>
      <c r="AQ129" s="1254"/>
      <c r="AR129" s="1254"/>
      <c r="AS129" s="1254"/>
      <c r="AT129" s="1254"/>
      <c r="AU129" s="1442">
        <f>AU26-AU128</f>
        <v>-117.5</v>
      </c>
      <c r="AV129" s="1442">
        <f>AV26-AV128</f>
        <v>-108</v>
      </c>
      <c r="AW129" s="1442">
        <f>AW26-AW128</f>
        <v>-142</v>
      </c>
      <c r="AX129" s="1442">
        <f>AX26-AX128</f>
        <v>-134</v>
      </c>
      <c r="AY129" s="1254"/>
      <c r="AZ129" s="1442">
        <f>AZ26-AZ128</f>
        <v>-137.59999999999945</v>
      </c>
      <c r="BA129" s="1442">
        <f>BA26-BA128</f>
        <v>-143.69999999999982</v>
      </c>
      <c r="BB129" s="1442">
        <f>BB26-BB128</f>
        <v>-137.70000000000073</v>
      </c>
      <c r="BC129" s="1442">
        <f>BC26-BC128</f>
        <v>-162.39999999999964</v>
      </c>
      <c r="BD129" s="1254"/>
      <c r="BE129" s="1509">
        <f>BE26-BE128</f>
        <v>-177</v>
      </c>
      <c r="BF129" s="1442">
        <f>BF26-BF128</f>
        <v>-128.19999999999982</v>
      </c>
      <c r="BG129" s="1442">
        <f>BG26-BG128</f>
        <v>-148.79999999999927</v>
      </c>
      <c r="BH129" s="1442">
        <f>BH26-BH128</f>
        <v>-183.80000000000109</v>
      </c>
      <c r="BI129" s="1389"/>
      <c r="BJ129" s="1509">
        <f>BJ26-BJ128</f>
        <v>-188.5</v>
      </c>
      <c r="BK129" s="1442">
        <f>BK26-BK128</f>
        <v>-238.19999999999982</v>
      </c>
      <c r="BL129" s="1442">
        <f>BL26-BL128</f>
        <v>-145.60000000000036</v>
      </c>
      <c r="BM129" s="1442">
        <f>BM26-BM128</f>
        <v>-195.79999999999927</v>
      </c>
      <c r="BN129" s="1389"/>
      <c r="BO129" s="1509">
        <f>BO26-BO128</f>
        <v>-219.09999999999945</v>
      </c>
      <c r="BP129" s="1442">
        <f>BP26-BP128</f>
        <v>-146.70000000000073</v>
      </c>
      <c r="BQ129" s="1442">
        <f>BQ26-BQ128</f>
        <v>-197.39999999999964</v>
      </c>
      <c r="BR129" s="1442">
        <f>BR26-BR128</f>
        <v>-145.99999999999909</v>
      </c>
      <c r="BS129" s="1389"/>
      <c r="BT129" s="1509">
        <f>BT26-BT128</f>
        <v>0</v>
      </c>
      <c r="BU129" s="1442">
        <f>BU26-BU128</f>
        <v>0</v>
      </c>
      <c r="BV129" s="1442">
        <f>BV26-BV128</f>
        <v>0</v>
      </c>
      <c r="BW129" s="1442">
        <f>BW26-BW128</f>
        <v>0</v>
      </c>
      <c r="BX129" s="1389"/>
      <c r="BY129" s="1254"/>
      <c r="BZ129" s="928"/>
      <c r="CA129" s="928"/>
      <c r="CB129" s="928"/>
      <c r="CC129" s="928"/>
      <c r="CD129" s="928"/>
      <c r="CE129" s="928"/>
      <c r="CF129" s="928"/>
      <c r="CG129" s="928"/>
      <c r="CH129" s="928"/>
      <c r="CI129" s="928"/>
      <c r="CJ129" s="928"/>
      <c r="CK129" s="928"/>
      <c r="CL129" s="928"/>
      <c r="CM129" s="928"/>
      <c r="CN129" s="928"/>
      <c r="CO129" s="928"/>
      <c r="CP129" s="928"/>
      <c r="CQ129" s="928"/>
      <c r="CR129" s="928"/>
      <c r="CS129" s="928"/>
      <c r="CT129" s="928"/>
      <c r="CU129" s="928"/>
      <c r="CV129" s="928"/>
      <c r="CW129" s="928"/>
      <c r="CX129" s="928"/>
      <c r="CY129" s="928"/>
      <c r="CZ129" s="928"/>
      <c r="DA129" s="928"/>
      <c r="DB129" s="928"/>
      <c r="DC129" s="928"/>
      <c r="DD129" s="928"/>
      <c r="DE129" s="928"/>
      <c r="DF129" s="928"/>
      <c r="DG129" s="928"/>
      <c r="DH129" s="928"/>
      <c r="DI129" s="928"/>
      <c r="DJ129" s="928"/>
      <c r="DK129" s="928"/>
      <c r="DL129" s="928"/>
      <c r="DM129" s="928"/>
      <c r="DN129" s="928"/>
      <c r="DO129" s="928"/>
      <c r="DP129" s="928"/>
      <c r="DQ129" s="928"/>
      <c r="DR129" s="928"/>
      <c r="DS129" s="928"/>
      <c r="DT129" s="928"/>
      <c r="DU129" s="928"/>
      <c r="DV129" s="928"/>
      <c r="DW129" s="928"/>
      <c r="DX129" s="928"/>
      <c r="DY129" s="1338"/>
      <c r="DZ129" s="928"/>
      <c r="EA129" s="928"/>
      <c r="EB129" s="928"/>
      <c r="EC129" s="1337"/>
      <c r="ED129" s="1338"/>
      <c r="EE129" s="928"/>
      <c r="EF129" s="928"/>
      <c r="EG129" s="928"/>
      <c r="EH129" s="1337"/>
      <c r="EI129" s="928"/>
      <c r="EJ129" s="928"/>
      <c r="EK129" s="928"/>
      <c r="EL129" s="928"/>
      <c r="EM129" s="1337"/>
      <c r="EN129" s="928"/>
      <c r="EO129" s="928"/>
      <c r="EP129" s="928"/>
      <c r="EQ129" s="928"/>
      <c r="ER129" s="928"/>
      <c r="ES129" s="928"/>
      <c r="ET129" s="928"/>
      <c r="EU129" s="928"/>
      <c r="EV129" s="928"/>
      <c r="EW129" s="928"/>
      <c r="EX129" s="928"/>
      <c r="EY129" s="928"/>
      <c r="EZ129" s="928"/>
      <c r="FA129" s="928"/>
      <c r="FB129" s="928"/>
      <c r="FC129" s="928"/>
      <c r="FD129" s="928"/>
      <c r="FE129" s="928"/>
      <c r="FF129" s="1452">
        <v>-176.59954999999991</v>
      </c>
      <c r="FG129" s="928"/>
      <c r="FH129" s="1453">
        <v>-204.36273450000044</v>
      </c>
      <c r="FI129" s="1319"/>
      <c r="FJ129" s="1622">
        <v>-205.80000000000018</v>
      </c>
      <c r="FK129" s="1605"/>
      <c r="FL129" s="928"/>
      <c r="FM129" s="928"/>
      <c r="FN129" s="928"/>
      <c r="FO129" s="928"/>
      <c r="FP129" s="928"/>
      <c r="FQ129" s="928"/>
    </row>
    <row r="130" spans="1:173">
      <c r="A130" s="1441"/>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c r="Y130" s="928"/>
      <c r="Z130" s="1254"/>
      <c r="AA130" s="1254"/>
      <c r="AB130" s="1254"/>
      <c r="AC130" s="1254"/>
      <c r="AD130" s="1254"/>
      <c r="AE130" s="1254"/>
      <c r="AF130" s="1254"/>
      <c r="AG130" s="1254"/>
      <c r="AH130" s="1254"/>
      <c r="AI130" s="1254"/>
      <c r="AJ130" s="928"/>
      <c r="AK130" s="1254"/>
      <c r="AL130" s="1254"/>
      <c r="AM130" s="1254"/>
      <c r="AN130" s="1254"/>
      <c r="AO130" s="1254"/>
      <c r="AP130" s="1254"/>
      <c r="AQ130" s="1254"/>
      <c r="AR130" s="1254"/>
      <c r="AS130" s="1254"/>
      <c r="AT130" s="1254"/>
      <c r="AU130" s="1254"/>
      <c r="AV130" s="1254"/>
      <c r="AW130" s="1254"/>
      <c r="AX130" s="1254"/>
      <c r="AY130" s="1254"/>
      <c r="AZ130" s="1442"/>
      <c r="BA130" s="1254"/>
      <c r="BB130" s="1254"/>
      <c r="BC130" s="1254"/>
      <c r="BD130" s="1254"/>
      <c r="BE130" s="1355"/>
      <c r="BF130" s="1254"/>
      <c r="BG130" s="1316">
        <f>BG128/BB128-1</f>
        <v>5.6521562905317513E-2</v>
      </c>
      <c r="BH130" s="1316">
        <f>BH128/BB128-1</f>
        <v>0.12467574578469542</v>
      </c>
      <c r="BI130" s="1389"/>
      <c r="BJ130" s="1347">
        <f>BJ128/BE128-1</f>
        <v>3.1167690956979799E-2</v>
      </c>
      <c r="BK130" s="1316">
        <f>BK128/BF128-1</f>
        <v>8.0997610861837099E-3</v>
      </c>
      <c r="BL130" s="1316">
        <f>BL128/BG128-1</f>
        <v>-2.9789193025530736E-2</v>
      </c>
      <c r="BM130" s="1316">
        <f>BM128/BH128-1</f>
        <v>-5.3066887703618559E-2</v>
      </c>
      <c r="BN130" s="1389"/>
      <c r="BO130" s="1347">
        <f>BO128/BJ128-1</f>
        <v>1.6060993072486429E-3</v>
      </c>
      <c r="BP130" s="1316">
        <f>BP128/BK128-1</f>
        <v>-3.8901734104046182E-2</v>
      </c>
      <c r="BQ130" s="1316">
        <f>BQ128/BL128-1</f>
        <v>-0.10672202451561885</v>
      </c>
      <c r="BR130" s="1316">
        <f>BR128/BM128-1</f>
        <v>-7.7505661167247109E-2</v>
      </c>
      <c r="BS130" s="1389"/>
      <c r="BT130" s="1347">
        <f>BT128/BO128-1</f>
        <v>-9.8201348505631558E-2</v>
      </c>
      <c r="BU130" s="1316">
        <f>BU128/BP128-1</f>
        <v>-6.7781319540506479E-2</v>
      </c>
      <c r="BV130" s="1316">
        <f>BV128/BQ128-1</f>
        <v>-5.9359922092868778E-2</v>
      </c>
      <c r="BW130" s="1316">
        <f>BW128/BR128-1</f>
        <v>-4.8819825487849577E-2</v>
      </c>
      <c r="BX130" s="1389"/>
      <c r="BY130" s="1254"/>
      <c r="BZ130" s="928"/>
      <c r="CA130" s="928"/>
      <c r="CB130" s="928"/>
      <c r="CC130" s="928"/>
      <c r="CD130" s="928"/>
      <c r="CE130" s="928"/>
      <c r="CF130" s="928"/>
      <c r="CG130" s="928"/>
      <c r="CH130" s="928"/>
      <c r="CI130" s="928"/>
      <c r="CJ130" s="928"/>
      <c r="CK130" s="928"/>
      <c r="CL130" s="928"/>
      <c r="CM130" s="928"/>
      <c r="CN130" s="928"/>
      <c r="CO130" s="928"/>
      <c r="CP130" s="928"/>
      <c r="CQ130" s="928"/>
      <c r="CR130" s="928"/>
      <c r="CS130" s="928"/>
      <c r="CT130" s="928"/>
      <c r="CU130" s="928"/>
      <c r="CV130" s="928"/>
      <c r="CW130" s="928"/>
      <c r="CX130" s="928"/>
      <c r="CY130" s="928"/>
      <c r="CZ130" s="928"/>
      <c r="DA130" s="928"/>
      <c r="DB130" s="928"/>
      <c r="DC130" s="928"/>
      <c r="DD130" s="928"/>
      <c r="DE130" s="928"/>
      <c r="DF130" s="928"/>
      <c r="DG130" s="928"/>
      <c r="DH130" s="928"/>
      <c r="DI130" s="928"/>
      <c r="DJ130" s="928"/>
      <c r="DK130" s="928"/>
      <c r="DL130" s="928"/>
      <c r="DM130" s="928"/>
      <c r="DN130" s="928"/>
      <c r="DO130" s="928"/>
      <c r="DP130" s="928"/>
      <c r="DQ130" s="928"/>
      <c r="DR130" s="928"/>
      <c r="DS130" s="928"/>
      <c r="DT130" s="928"/>
      <c r="DU130" s="928"/>
      <c r="DV130" s="928"/>
      <c r="DW130" s="928"/>
      <c r="DX130" s="928"/>
      <c r="DY130" s="1338"/>
      <c r="DZ130" s="928"/>
      <c r="EA130" s="928"/>
      <c r="EB130" s="928"/>
      <c r="EC130" s="1337"/>
      <c r="ED130" s="1338"/>
      <c r="EE130" s="928"/>
      <c r="EF130" s="928"/>
      <c r="EG130" s="928"/>
      <c r="EH130" s="1337"/>
      <c r="EI130" s="928"/>
      <c r="EJ130" s="928"/>
      <c r="EK130" s="928"/>
      <c r="EL130" s="928"/>
      <c r="EM130" s="1337"/>
      <c r="EN130" s="928"/>
      <c r="EO130" s="928"/>
      <c r="EP130" s="928"/>
      <c r="EQ130" s="928"/>
      <c r="ER130" s="928"/>
      <c r="ES130" s="928"/>
      <c r="ET130" s="928"/>
      <c r="EU130" s="928"/>
      <c r="EV130" s="928"/>
      <c r="EW130" s="928"/>
      <c r="EX130" s="928"/>
      <c r="EY130" s="928"/>
      <c r="EZ130" s="928"/>
      <c r="FA130" s="928"/>
      <c r="FB130" s="928"/>
      <c r="FC130" s="928"/>
      <c r="FD130" s="928"/>
      <c r="FE130" s="928"/>
      <c r="FF130" s="1360">
        <v>-2.5978736654804324E-2</v>
      </c>
      <c r="FG130" s="928"/>
      <c r="FH130" s="1361">
        <v>-8.0645285532149669E-2</v>
      </c>
      <c r="FI130" s="1319"/>
      <c r="FJ130" s="1615">
        <v>-2.9037306079866987E-2</v>
      </c>
      <c r="FK130" s="1605"/>
      <c r="FL130" s="928"/>
      <c r="FM130" s="928"/>
      <c r="FN130" s="928"/>
      <c r="FO130" s="928"/>
      <c r="FP130" s="928"/>
      <c r="FQ130" s="928"/>
    </row>
    <row r="131" spans="1:173">
      <c r="A131" s="1444" t="s">
        <v>4897</v>
      </c>
      <c r="B131" s="928"/>
      <c r="C131" s="928"/>
      <c r="D131" s="928"/>
      <c r="E131" s="928"/>
      <c r="F131" s="928"/>
      <c r="G131" s="928"/>
      <c r="H131" s="928"/>
      <c r="I131" s="928"/>
      <c r="J131" s="928"/>
      <c r="K131" s="928"/>
      <c r="L131" s="928"/>
      <c r="M131" s="928"/>
      <c r="N131" s="928"/>
      <c r="O131" s="928"/>
      <c r="P131" s="928"/>
      <c r="Q131" s="928"/>
      <c r="R131" s="928"/>
      <c r="S131" s="928"/>
      <c r="T131" s="928"/>
      <c r="U131" s="928"/>
      <c r="V131" s="928"/>
      <c r="W131" s="928"/>
      <c r="X131" s="928"/>
      <c r="Y131" s="928"/>
      <c r="Z131" s="1254"/>
      <c r="AA131" s="1254"/>
      <c r="AB131" s="1254"/>
      <c r="AC131" s="1254"/>
      <c r="AD131" s="1254"/>
      <c r="AE131" s="1254"/>
      <c r="AF131" s="1254"/>
      <c r="AG131" s="1254"/>
      <c r="AH131" s="1254"/>
      <c r="AI131" s="1254"/>
      <c r="AJ131" s="928"/>
      <c r="AK131" s="1254"/>
      <c r="AL131" s="1254"/>
      <c r="AM131" s="1254"/>
      <c r="AN131" s="1254"/>
      <c r="AO131" s="1254"/>
      <c r="AP131" s="1254"/>
      <c r="AQ131" s="1254"/>
      <c r="AR131" s="1254"/>
      <c r="AS131" s="1254"/>
      <c r="AT131" s="1254"/>
      <c r="AU131" s="1316">
        <f>AU132-4.5%</f>
        <v>0.12863690832834024</v>
      </c>
      <c r="AV131" s="1316">
        <f>AV132-4.5%</f>
        <v>0.14716538438949905</v>
      </c>
      <c r="AW131" s="1316">
        <f>AW132-4.5%</f>
        <v>0.11596942370015488</v>
      </c>
      <c r="AX131" s="1316">
        <f>AX132-4.5%</f>
        <v>8.6059099207106124E-2</v>
      </c>
      <c r="AY131" s="1254"/>
      <c r="AZ131" s="1316"/>
      <c r="BA131" s="1316"/>
      <c r="BB131" s="1316"/>
      <c r="BC131" s="1254"/>
      <c r="BD131" s="1254"/>
      <c r="BE131" s="1347"/>
      <c r="BF131" s="1316"/>
      <c r="BG131" s="1316"/>
      <c r="BH131" s="1254"/>
      <c r="BI131" s="1389"/>
      <c r="BJ131" s="1347"/>
      <c r="BK131" s="1316"/>
      <c r="BL131" s="1316"/>
      <c r="BM131" s="1316"/>
      <c r="BN131" s="1389"/>
      <c r="BO131" s="1347"/>
      <c r="BP131" s="1316"/>
      <c r="BQ131" s="1316"/>
      <c r="BR131" s="1316"/>
      <c r="BS131" s="1389"/>
      <c r="BT131" s="1347"/>
      <c r="BU131" s="1316"/>
      <c r="BV131" s="1316"/>
      <c r="BW131" s="1316"/>
      <c r="BX131" s="1389"/>
      <c r="BY131" s="1254"/>
      <c r="BZ131" s="928"/>
      <c r="CA131" s="928"/>
      <c r="CB131" s="928"/>
      <c r="CC131" s="928"/>
      <c r="CD131" s="928"/>
      <c r="CE131" s="928"/>
      <c r="CF131" s="928"/>
      <c r="CG131" s="928"/>
      <c r="CH131" s="928"/>
      <c r="CI131" s="928"/>
      <c r="CJ131" s="928"/>
      <c r="CK131" s="928"/>
      <c r="CL131" s="928"/>
      <c r="CM131" s="928"/>
      <c r="CN131" s="928"/>
      <c r="CO131" s="928"/>
      <c r="CP131" s="928"/>
      <c r="CQ131" s="928"/>
      <c r="CR131" s="928"/>
      <c r="CS131" s="928"/>
      <c r="CT131" s="928"/>
      <c r="CU131" s="928"/>
      <c r="CV131" s="928"/>
      <c r="CW131" s="928"/>
      <c r="CX131" s="928"/>
      <c r="CY131" s="928"/>
      <c r="CZ131" s="928"/>
      <c r="DA131" s="928"/>
      <c r="DB131" s="928"/>
      <c r="DC131" s="928"/>
      <c r="DD131" s="928"/>
      <c r="DE131" s="928"/>
      <c r="DF131" s="928"/>
      <c r="DG131" s="928"/>
      <c r="DH131" s="928"/>
      <c r="DI131" s="928"/>
      <c r="DJ131" s="928"/>
      <c r="DK131" s="928"/>
      <c r="DL131" s="928"/>
      <c r="DM131" s="928"/>
      <c r="DN131" s="928"/>
      <c r="DO131" s="928"/>
      <c r="DP131" s="928"/>
      <c r="DQ131" s="928"/>
      <c r="DR131" s="928"/>
      <c r="DS131" s="928"/>
      <c r="DT131" s="928"/>
      <c r="DU131" s="928"/>
      <c r="DV131" s="928"/>
      <c r="DW131" s="928"/>
      <c r="DX131" s="928"/>
      <c r="DY131" s="1338"/>
      <c r="DZ131" s="928"/>
      <c r="EA131" s="928"/>
      <c r="EB131" s="928"/>
      <c r="EC131" s="1337"/>
      <c r="ED131" s="1338"/>
      <c r="EE131" s="928"/>
      <c r="EF131" s="928"/>
      <c r="EG131" s="928"/>
      <c r="EH131" s="1337"/>
      <c r="EI131" s="928"/>
      <c r="EJ131" s="928"/>
      <c r="EK131" s="928"/>
      <c r="EL131" s="928"/>
      <c r="EM131" s="1337"/>
      <c r="EN131" s="928"/>
      <c r="EO131" s="928"/>
      <c r="EP131" s="928"/>
      <c r="EQ131" s="928"/>
      <c r="ER131" s="928"/>
      <c r="ES131" s="928"/>
      <c r="ET131" s="928"/>
      <c r="EU131" s="928"/>
      <c r="EV131" s="928"/>
      <c r="EW131" s="928"/>
      <c r="EX131" s="928"/>
      <c r="EY131" s="928"/>
      <c r="EZ131" s="928"/>
      <c r="FA131" s="928"/>
      <c r="FB131" s="928"/>
      <c r="FC131" s="928"/>
      <c r="FD131" s="928"/>
      <c r="FE131" s="928"/>
      <c r="FF131" s="1360"/>
      <c r="FG131" s="928"/>
      <c r="FH131" s="1361"/>
      <c r="FI131" s="1319"/>
      <c r="FJ131" s="1615"/>
      <c r="FK131" s="1605"/>
      <c r="FL131" s="928"/>
      <c r="FM131" s="928"/>
      <c r="FN131" s="928"/>
      <c r="FO131" s="928"/>
      <c r="FP131" s="928"/>
      <c r="FQ131" s="928"/>
    </row>
    <row r="132" spans="1:173">
      <c r="A132" s="1441" t="str">
        <f>A126</f>
        <v>Retail</v>
      </c>
      <c r="B132" s="928"/>
      <c r="C132" s="928"/>
      <c r="D132" s="928"/>
      <c r="E132" s="928"/>
      <c r="F132" s="928"/>
      <c r="G132" s="928"/>
      <c r="H132" s="928"/>
      <c r="I132" s="928"/>
      <c r="J132" s="928"/>
      <c r="K132" s="928"/>
      <c r="L132" s="928"/>
      <c r="M132" s="928"/>
      <c r="N132" s="928"/>
      <c r="O132" s="928"/>
      <c r="P132" s="928"/>
      <c r="Q132" s="928"/>
      <c r="R132" s="928"/>
      <c r="S132" s="928"/>
      <c r="T132" s="928"/>
      <c r="U132" s="928"/>
      <c r="V132" s="928"/>
      <c r="W132" s="928"/>
      <c r="X132" s="928"/>
      <c r="Y132" s="928"/>
      <c r="Z132" s="1254"/>
      <c r="AA132" s="1254"/>
      <c r="AB132" s="1254"/>
      <c r="AC132" s="1254"/>
      <c r="AD132" s="1254"/>
      <c r="AE132" s="1254"/>
      <c r="AF132" s="1316">
        <f t="shared" ref="AF132:AI133" si="238">AF126/AA126-1</f>
        <v>0.23881123506327429</v>
      </c>
      <c r="AG132" s="1316">
        <f t="shared" si="238"/>
        <v>0.21307536671724825</v>
      </c>
      <c r="AH132" s="1316">
        <f t="shared" si="238"/>
        <v>0.19262393230621844</v>
      </c>
      <c r="AI132" s="1316">
        <f t="shared" si="238"/>
        <v>0.17453152264623362</v>
      </c>
      <c r="AJ132" s="928"/>
      <c r="AK132" s="1316">
        <f t="shared" ref="AK132:AN133" si="239">AK126/AF126-1</f>
        <v>7.5992169425164624E-2</v>
      </c>
      <c r="AL132" s="1316">
        <f t="shared" si="239"/>
        <v>6.3483790263733963E-2</v>
      </c>
      <c r="AM132" s="1316">
        <f t="shared" si="239"/>
        <v>5.1271753681392251E-2</v>
      </c>
      <c r="AN132" s="1316">
        <f t="shared" si="239"/>
        <v>8.2969996447372241E-2</v>
      </c>
      <c r="AO132" s="1254"/>
      <c r="AP132" s="1316">
        <f t="shared" ref="AP132:AS133" si="240">AP126/AK126-1</f>
        <v>0.10420112471055254</v>
      </c>
      <c r="AQ132" s="1316">
        <f t="shared" si="240"/>
        <v>0.11265764882702745</v>
      </c>
      <c r="AR132" s="1316">
        <f t="shared" si="240"/>
        <v>0.12966382274290078</v>
      </c>
      <c r="AS132" s="1316">
        <f t="shared" si="240"/>
        <v>9.4506739830609643E-2</v>
      </c>
      <c r="AT132" s="1254"/>
      <c r="AU132" s="1316">
        <f t="shared" ref="AU132:AX133" si="241">AU126/AP126-1</f>
        <v>0.17363690832834022</v>
      </c>
      <c r="AV132" s="1316">
        <f t="shared" si="241"/>
        <v>0.19216538438949904</v>
      </c>
      <c r="AW132" s="1316">
        <f t="shared" si="241"/>
        <v>0.16096942370015488</v>
      </c>
      <c r="AX132" s="1316">
        <f t="shared" si="241"/>
        <v>0.13105909920710612</v>
      </c>
      <c r="AY132" s="1254"/>
      <c r="AZ132" s="1316">
        <f t="shared" ref="AZ132:BC133" si="242">AZ126/AU126-1</f>
        <v>5.2353481723504069E-2</v>
      </c>
      <c r="BA132" s="1316">
        <f t="shared" si="242"/>
        <v>2.8203359771417302E-2</v>
      </c>
      <c r="BB132" s="1316">
        <f t="shared" si="242"/>
        <v>4.9372527125761678E-2</v>
      </c>
      <c r="BC132" s="1316">
        <f t="shared" si="242"/>
        <v>7.716027077160259E-2</v>
      </c>
      <c r="BD132" s="1254"/>
      <c r="BE132" s="1347">
        <f t="shared" ref="BE132:BH133" si="243">BE126/AZ126-1</f>
        <v>8.7466951269798976E-2</v>
      </c>
      <c r="BF132" s="1316">
        <f t="shared" si="243"/>
        <v>7.1964161655846404E-2</v>
      </c>
      <c r="BG132" s="1316">
        <f t="shared" si="243"/>
        <v>6.0211422358955158E-2</v>
      </c>
      <c r="BH132" s="1316">
        <f t="shared" si="243"/>
        <v>8.379925750324313E-2</v>
      </c>
      <c r="BI132" s="1389"/>
      <c r="BJ132" s="1347">
        <f t="shared" ref="BJ132:BO134" si="244">BJ126/BE126-1</f>
        <v>4.2647157227934773E-2</v>
      </c>
      <c r="BK132" s="1316">
        <f t="shared" si="244"/>
        <v>4.983574317831363E-2</v>
      </c>
      <c r="BL132" s="1316">
        <f t="shared" si="244"/>
        <v>2.9017759741676308E-3</v>
      </c>
      <c r="BM132" s="1316">
        <f t="shared" si="244"/>
        <v>1.0338210107096124E-2</v>
      </c>
      <c r="BN132" s="1389"/>
      <c r="BO132" s="1347">
        <f t="shared" si="244"/>
        <v>1.4375869076906689E-2</v>
      </c>
      <c r="BP132" s="1316">
        <f t="shared" ref="BP132:BP134" si="245">BP126/BK126-1</f>
        <v>-1.4347446622815396E-2</v>
      </c>
      <c r="BQ132" s="1316">
        <f t="shared" ref="BQ132:BQ134" si="246">BQ126/BL126-1</f>
        <v>-7.3139426110035433E-2</v>
      </c>
      <c r="BR132" s="1316">
        <f>BR126/BM126-1</f>
        <v>-6.6745639475511709E-2</v>
      </c>
      <c r="BS132" s="1389"/>
      <c r="BT132" s="1347">
        <f t="shared" ref="BT132:BT134" si="247">BT126/BO126-1</f>
        <v>-0.10348507919100747</v>
      </c>
      <c r="BU132" s="1316">
        <f t="shared" ref="BU132:BW134" si="248">BU126/BP126-1</f>
        <v>-7.1334470768632752E-2</v>
      </c>
      <c r="BV132" s="1316">
        <f t="shared" si="248"/>
        <v>-6.1143058326487476E-2</v>
      </c>
      <c r="BW132" s="1316">
        <f t="shared" si="248"/>
        <v>-6.4341051341532118E-3</v>
      </c>
      <c r="BX132" s="1389"/>
      <c r="BY132" s="1254"/>
      <c r="BZ132" s="928"/>
      <c r="CA132" s="928"/>
      <c r="CB132" s="928"/>
      <c r="CC132" s="928"/>
      <c r="CD132" s="928"/>
      <c r="CE132" s="928"/>
      <c r="CF132" s="928"/>
      <c r="CG132" s="928"/>
      <c r="CH132" s="928"/>
      <c r="CI132" s="928"/>
      <c r="CJ132" s="928"/>
      <c r="CK132" s="928"/>
      <c r="CL132" s="928"/>
      <c r="CM132" s="928"/>
      <c r="CN132" s="928"/>
      <c r="CO132" s="928"/>
      <c r="CP132" s="928"/>
      <c r="CQ132" s="928"/>
      <c r="CR132" s="928"/>
      <c r="CS132" s="928"/>
      <c r="CT132" s="928"/>
      <c r="CU132" s="928"/>
      <c r="CV132" s="928"/>
      <c r="CW132" s="928"/>
      <c r="CX132" s="928"/>
      <c r="CY132" s="928"/>
      <c r="CZ132" s="928"/>
      <c r="DA132" s="928"/>
      <c r="DB132" s="928"/>
      <c r="DC132" s="928"/>
      <c r="DD132" s="928"/>
      <c r="DE132" s="928"/>
      <c r="DF132" s="928"/>
      <c r="DG132" s="928"/>
      <c r="DH132" s="928"/>
      <c r="DI132" s="928"/>
      <c r="DJ132" s="928"/>
      <c r="DK132" s="928"/>
      <c r="DL132" s="928"/>
      <c r="DM132" s="928"/>
      <c r="DN132" s="928"/>
      <c r="DO132" s="928"/>
      <c r="DP132" s="928"/>
      <c r="DQ132" s="928"/>
      <c r="DR132" s="928"/>
      <c r="DS132" s="928"/>
      <c r="DT132" s="928"/>
      <c r="DU132" s="928"/>
      <c r="DV132" s="928"/>
      <c r="DW132" s="928"/>
      <c r="DX132" s="928"/>
      <c r="DY132" s="1338"/>
      <c r="DZ132" s="928"/>
      <c r="EA132" s="928"/>
      <c r="EB132" s="928"/>
      <c r="EC132" s="1337"/>
      <c r="ED132" s="1338"/>
      <c r="EE132" s="928"/>
      <c r="EF132" s="928"/>
      <c r="EG132" s="928"/>
      <c r="EH132" s="1337"/>
      <c r="EI132" s="928"/>
      <c r="EJ132" s="928"/>
      <c r="EK132" s="928"/>
      <c r="EL132" s="928"/>
      <c r="EM132" s="1337"/>
      <c r="EN132" s="928"/>
      <c r="EO132" s="928"/>
      <c r="EP132" s="928"/>
      <c r="EQ132" s="928"/>
      <c r="ER132" s="928"/>
      <c r="ES132" s="928"/>
      <c r="ET132" s="928"/>
      <c r="EU132" s="928"/>
      <c r="EV132" s="928"/>
      <c r="EW132" s="928"/>
      <c r="EX132" s="928"/>
      <c r="EY132" s="928"/>
      <c r="EZ132" s="928"/>
      <c r="FA132" s="928"/>
      <c r="FB132" s="928"/>
      <c r="FC132" s="928"/>
      <c r="FD132" s="928"/>
      <c r="FE132" s="928"/>
      <c r="FF132" s="1360">
        <v>-1.8649237496464854E-2</v>
      </c>
      <c r="FG132" s="928"/>
      <c r="FH132" s="1361">
        <v>-7.640431354928312E-2</v>
      </c>
      <c r="FI132" s="1319"/>
      <c r="FJ132" s="1615">
        <v>-8.7943142754708381E-3</v>
      </c>
      <c r="FK132" s="1605"/>
      <c r="FL132" s="928"/>
      <c r="FM132" s="928"/>
      <c r="FN132" s="928"/>
      <c r="FO132" s="928"/>
      <c r="FP132" s="928"/>
      <c r="FQ132" s="928"/>
    </row>
    <row r="133" spans="1:173">
      <c r="A133" s="1441" t="str">
        <f>A127</f>
        <v>Wholesale</v>
      </c>
      <c r="B133" s="928"/>
      <c r="C133" s="928"/>
      <c r="D133" s="928"/>
      <c r="E133" s="928"/>
      <c r="F133" s="928"/>
      <c r="G133" s="928"/>
      <c r="H133" s="928"/>
      <c r="I133" s="928"/>
      <c r="J133" s="928"/>
      <c r="K133" s="928"/>
      <c r="L133" s="928"/>
      <c r="M133" s="928"/>
      <c r="N133" s="928"/>
      <c r="O133" s="928"/>
      <c r="P133" s="928"/>
      <c r="Q133" s="928"/>
      <c r="R133" s="928"/>
      <c r="S133" s="928"/>
      <c r="T133" s="928"/>
      <c r="U133" s="928"/>
      <c r="V133" s="928"/>
      <c r="W133" s="928"/>
      <c r="X133" s="928"/>
      <c r="Y133" s="928"/>
      <c r="Z133" s="1254"/>
      <c r="AA133" s="1254"/>
      <c r="AB133" s="1254"/>
      <c r="AC133" s="1254"/>
      <c r="AD133" s="1254"/>
      <c r="AE133" s="1254"/>
      <c r="AF133" s="1316">
        <f t="shared" si="238"/>
        <v>6.3875701337936963E-2</v>
      </c>
      <c r="AG133" s="1316">
        <f t="shared" si="238"/>
        <v>5.7704502219403819E-2</v>
      </c>
      <c r="AH133" s="1316">
        <f t="shared" si="238"/>
        <v>-2.005103900838523E-3</v>
      </c>
      <c r="AI133" s="1316">
        <f t="shared" si="238"/>
        <v>4.5286305247115077E-2</v>
      </c>
      <c r="AJ133" s="928"/>
      <c r="AK133" s="1316">
        <f t="shared" si="239"/>
        <v>-5.1318458417849877E-2</v>
      </c>
      <c r="AL133" s="1316">
        <f t="shared" si="239"/>
        <v>-1.0991207034372508E-2</v>
      </c>
      <c r="AM133" s="1316">
        <f t="shared" si="239"/>
        <v>-0.10118721461187208</v>
      </c>
      <c r="AN133" s="1316">
        <f t="shared" si="239"/>
        <v>-8.789835450947725E-2</v>
      </c>
      <c r="AO133" s="1254"/>
      <c r="AP133" s="1316">
        <f t="shared" si="240"/>
        <v>-7.226854821466755E-2</v>
      </c>
      <c r="AQ133" s="1316">
        <f t="shared" si="240"/>
        <v>-0.16286118407759143</v>
      </c>
      <c r="AR133" s="1316">
        <f t="shared" si="240"/>
        <v>4.0642145905311899E-4</v>
      </c>
      <c r="AS133" s="1316">
        <f t="shared" si="240"/>
        <v>7.6501484357159644E-2</v>
      </c>
      <c r="AT133" s="1254"/>
      <c r="AU133" s="1316">
        <f t="shared" si="241"/>
        <v>0.14542521318276114</v>
      </c>
      <c r="AV133" s="1316">
        <f t="shared" si="241"/>
        <v>0.25971518223509515</v>
      </c>
      <c r="AW133" s="1316">
        <f t="shared" si="241"/>
        <v>2.3765996343692919E-2</v>
      </c>
      <c r="AX133" s="1316">
        <f t="shared" si="241"/>
        <v>0.11985574883326255</v>
      </c>
      <c r="AY133" s="1254"/>
      <c r="AZ133" s="1316">
        <f t="shared" si="242"/>
        <v>1.6498993963782738E-2</v>
      </c>
      <c r="BA133" s="1316">
        <f t="shared" si="242"/>
        <v>0.19927189116689026</v>
      </c>
      <c r="BB133" s="1316">
        <f t="shared" si="242"/>
        <v>0.21289682539682531</v>
      </c>
      <c r="BC133" s="1316">
        <f t="shared" si="242"/>
        <v>0.22333775336237927</v>
      </c>
      <c r="BD133" s="1254"/>
      <c r="BE133" s="1347">
        <f t="shared" si="243"/>
        <v>4.572446555819476E-2</v>
      </c>
      <c r="BF133" s="1316">
        <f t="shared" si="243"/>
        <v>7.6210257229589518E-2</v>
      </c>
      <c r="BG133" s="1316">
        <f t="shared" si="243"/>
        <v>3.0426958939963944E-2</v>
      </c>
      <c r="BH133" s="1316">
        <f t="shared" si="243"/>
        <v>8.934654691855104E-2</v>
      </c>
      <c r="BI133" s="1389"/>
      <c r="BJ133" s="1347">
        <f t="shared" si="244"/>
        <v>-6.6250236607987789E-2</v>
      </c>
      <c r="BK133" s="1316">
        <f t="shared" si="244"/>
        <v>-0.26915083135391926</v>
      </c>
      <c r="BL133" s="1316">
        <f t="shared" si="244"/>
        <v>-0.26766153357675815</v>
      </c>
      <c r="BM133" s="1316">
        <f t="shared" si="244"/>
        <v>-0.48983653162757657</v>
      </c>
      <c r="BN133" s="1389"/>
      <c r="BO133" s="1347">
        <f t="shared" si="244"/>
        <v>-0.11939995945672011</v>
      </c>
      <c r="BP133" s="1316">
        <f t="shared" si="245"/>
        <v>-0.27320739386552917</v>
      </c>
      <c r="BQ133" s="1316">
        <f t="shared" si="246"/>
        <v>-0.44136137004118803</v>
      </c>
      <c r="BR133" s="1316">
        <f>BR127/BM127-1</f>
        <v>-0.22429646140986348</v>
      </c>
      <c r="BS133" s="1389"/>
      <c r="BT133" s="1347">
        <f t="shared" si="247"/>
        <v>-4.0526703499078054E-2</v>
      </c>
      <c r="BU133" s="1316">
        <f t="shared" si="248"/>
        <v>-2.1799888205701556E-2</v>
      </c>
      <c r="BV133" s="1316">
        <f t="shared" si="248"/>
        <v>-2.9879705083430297E-2</v>
      </c>
      <c r="BW133" s="1316">
        <f t="shared" si="248"/>
        <v>-0.74449982040229101</v>
      </c>
      <c r="BX133" s="1389"/>
      <c r="BY133" s="1254"/>
      <c r="BZ133" s="928"/>
      <c r="CA133" s="928"/>
      <c r="CB133" s="928"/>
      <c r="CC133" s="928"/>
      <c r="CD133" s="928"/>
      <c r="CE133" s="928"/>
      <c r="CF133" s="928"/>
      <c r="CG133" s="928"/>
      <c r="CH133" s="928"/>
      <c r="CI133" s="928"/>
      <c r="CJ133" s="928"/>
      <c r="CK133" s="928"/>
      <c r="CL133" s="928"/>
      <c r="CM133" s="928"/>
      <c r="CN133" s="928"/>
      <c r="CO133" s="928"/>
      <c r="CP133" s="928"/>
      <c r="CQ133" s="928"/>
      <c r="CR133" s="928"/>
      <c r="CS133" s="928"/>
      <c r="CT133" s="928"/>
      <c r="CU133" s="928"/>
      <c r="CV133" s="928"/>
      <c r="CW133" s="928"/>
      <c r="CX133" s="928"/>
      <c r="CY133" s="928"/>
      <c r="CZ133" s="928"/>
      <c r="DA133" s="928"/>
      <c r="DB133" s="928"/>
      <c r="DC133" s="928"/>
      <c r="DD133" s="928"/>
      <c r="DE133" s="928"/>
      <c r="DF133" s="928"/>
      <c r="DG133" s="928"/>
      <c r="DH133" s="928"/>
      <c r="DI133" s="928"/>
      <c r="DJ133" s="928"/>
      <c r="DK133" s="928"/>
      <c r="DL133" s="928"/>
      <c r="DM133" s="928"/>
      <c r="DN133" s="928"/>
      <c r="DO133" s="928"/>
      <c r="DP133" s="928"/>
      <c r="DQ133" s="928"/>
      <c r="DR133" s="928"/>
      <c r="DS133" s="928"/>
      <c r="DT133" s="928"/>
      <c r="DU133" s="928"/>
      <c r="DV133" s="928"/>
      <c r="DW133" s="928"/>
      <c r="DX133" s="928"/>
      <c r="DY133" s="1338"/>
      <c r="DZ133" s="928"/>
      <c r="EA133" s="928"/>
      <c r="EB133" s="928"/>
      <c r="EC133" s="1337"/>
      <c r="ED133" s="1338"/>
      <c r="EE133" s="928"/>
      <c r="EF133" s="928"/>
      <c r="EG133" s="928"/>
      <c r="EH133" s="1337"/>
      <c r="EI133" s="928"/>
      <c r="EJ133" s="928"/>
      <c r="EK133" s="928"/>
      <c r="EL133" s="928"/>
      <c r="EM133" s="1337"/>
      <c r="EN133" s="928"/>
      <c r="EO133" s="928"/>
      <c r="EP133" s="928"/>
      <c r="EQ133" s="928"/>
      <c r="ER133" s="928"/>
      <c r="ES133" s="928"/>
      <c r="ET133" s="928"/>
      <c r="EU133" s="928"/>
      <c r="EV133" s="928"/>
      <c r="EW133" s="928"/>
      <c r="EX133" s="928"/>
      <c r="EY133" s="928"/>
      <c r="EZ133" s="928"/>
      <c r="FA133" s="928"/>
      <c r="FB133" s="928"/>
      <c r="FC133" s="928"/>
      <c r="FD133" s="928"/>
      <c r="FE133" s="928"/>
      <c r="FF133" s="1360">
        <v>-9.9014740949490587E-2</v>
      </c>
      <c r="FG133" s="928"/>
      <c r="FH133" s="1361">
        <v>-0.13850164391195319</v>
      </c>
      <c r="FI133" s="1319"/>
      <c r="FJ133" s="1615">
        <v>-0.25000000000000011</v>
      </c>
      <c r="FK133" s="1605"/>
      <c r="FL133" s="928"/>
      <c r="FM133" s="928"/>
      <c r="FN133" s="928"/>
      <c r="FO133" s="928"/>
      <c r="FP133" s="928"/>
      <c r="FQ133" s="928"/>
    </row>
    <row r="134" spans="1:173">
      <c r="A134" s="1454" t="s">
        <v>98</v>
      </c>
      <c r="B134" s="1406"/>
      <c r="C134" s="1406"/>
      <c r="D134" s="1406"/>
      <c r="E134" s="1406"/>
      <c r="F134" s="1406"/>
      <c r="G134" s="1406"/>
      <c r="H134" s="1406"/>
      <c r="I134" s="1406"/>
      <c r="J134" s="1406"/>
      <c r="K134" s="1406"/>
      <c r="L134" s="1406"/>
      <c r="M134" s="1406"/>
      <c r="N134" s="1406"/>
      <c r="O134" s="1406"/>
      <c r="P134" s="1406"/>
      <c r="Q134" s="1406"/>
      <c r="R134" s="1406"/>
      <c r="S134" s="1406"/>
      <c r="T134" s="1406"/>
      <c r="U134" s="1406"/>
      <c r="V134" s="1406"/>
      <c r="W134" s="1406"/>
      <c r="X134" s="1406"/>
      <c r="Y134" s="1406"/>
      <c r="Z134" s="1455"/>
      <c r="AA134" s="1455"/>
      <c r="AB134" s="1455"/>
      <c r="AC134" s="1455"/>
      <c r="AD134" s="1455"/>
      <c r="AE134" s="1455"/>
      <c r="AF134" s="1460"/>
      <c r="AG134" s="1460"/>
      <c r="AH134" s="1460"/>
      <c r="AI134" s="1460"/>
      <c r="AJ134" s="1406"/>
      <c r="AK134" s="1460"/>
      <c r="AL134" s="1460"/>
      <c r="AM134" s="1460"/>
      <c r="AN134" s="1460"/>
      <c r="AO134" s="1455"/>
      <c r="AP134" s="1460"/>
      <c r="AQ134" s="1460"/>
      <c r="AR134" s="1460"/>
      <c r="AS134" s="1460"/>
      <c r="AT134" s="1455"/>
      <c r="AU134" s="1460"/>
      <c r="AV134" s="1460"/>
      <c r="AW134" s="1460"/>
      <c r="AX134" s="1460"/>
      <c r="AY134" s="1455"/>
      <c r="AZ134" s="1460"/>
      <c r="BA134" s="1460"/>
      <c r="BB134" s="1460"/>
      <c r="BC134" s="1460"/>
      <c r="BD134" s="1455"/>
      <c r="BE134" s="1512">
        <f t="shared" ref="BE134" si="249">BE128/AZ128-1</f>
        <v>8.2910175241470485E-2</v>
      </c>
      <c r="BF134" s="1460">
        <f t="shared" ref="BF134" si="250">BF128/BA128-1</f>
        <v>7.2517811757843553E-2</v>
      </c>
      <c r="BG134" s="1460">
        <f t="shared" ref="BG134" si="251">BG128/BB128-1</f>
        <v>5.6521562905317513E-2</v>
      </c>
      <c r="BH134" s="1460">
        <f t="shared" ref="BH134" si="252">BH128/BC128-1</f>
        <v>8.4499335574142354E-2</v>
      </c>
      <c r="BI134" s="1511"/>
      <c r="BJ134" s="1512">
        <f t="shared" si="244"/>
        <v>3.1167690956979799E-2</v>
      </c>
      <c r="BK134" s="1460">
        <f t="shared" si="244"/>
        <v>8.0997610861837099E-3</v>
      </c>
      <c r="BL134" s="1460">
        <f t="shared" si="244"/>
        <v>-2.9789193025530736E-2</v>
      </c>
      <c r="BM134" s="1460">
        <f t="shared" si="244"/>
        <v>-5.3066887703618559E-2</v>
      </c>
      <c r="BN134" s="1511"/>
      <c r="BO134" s="1512">
        <f t="shared" si="244"/>
        <v>1.6060993072486429E-3</v>
      </c>
      <c r="BP134" s="1460">
        <f t="shared" si="245"/>
        <v>-3.8901734104046182E-2</v>
      </c>
      <c r="BQ134" s="1460">
        <f t="shared" si="246"/>
        <v>-0.10672202451561885</v>
      </c>
      <c r="BR134" s="1460">
        <f>BR128/BM128-1</f>
        <v>-7.7505661167247109E-2</v>
      </c>
      <c r="BS134" s="1511"/>
      <c r="BT134" s="1512">
        <f t="shared" si="247"/>
        <v>-9.8201348505631558E-2</v>
      </c>
      <c r="BU134" s="1460">
        <f t="shared" si="248"/>
        <v>-6.7781319540506479E-2</v>
      </c>
      <c r="BV134" s="1460">
        <f t="shared" si="248"/>
        <v>-5.9359922092868778E-2</v>
      </c>
      <c r="BW134" s="1460">
        <f t="shared" si="248"/>
        <v>-4.8819825487849577E-2</v>
      </c>
      <c r="BX134" s="1511"/>
      <c r="BY134" s="1254"/>
      <c r="BZ134" s="928"/>
      <c r="CA134" s="928"/>
      <c r="CB134" s="928"/>
      <c r="CC134" s="928"/>
      <c r="CD134" s="928"/>
      <c r="CE134" s="928"/>
      <c r="CF134" s="928"/>
      <c r="CG134" s="928"/>
      <c r="CH134" s="928"/>
      <c r="CI134" s="928"/>
      <c r="CJ134" s="928"/>
      <c r="CK134" s="928"/>
      <c r="CL134" s="928"/>
      <c r="CM134" s="928"/>
      <c r="CN134" s="928"/>
      <c r="CO134" s="928"/>
      <c r="CP134" s="928"/>
      <c r="CQ134" s="928"/>
      <c r="CR134" s="928"/>
      <c r="CS134" s="928"/>
      <c r="CT134" s="928"/>
      <c r="CU134" s="928"/>
      <c r="CV134" s="928"/>
      <c r="CW134" s="928"/>
      <c r="CX134" s="928"/>
      <c r="CY134" s="928"/>
      <c r="CZ134" s="928"/>
      <c r="DA134" s="928"/>
      <c r="DB134" s="928"/>
      <c r="DC134" s="928"/>
      <c r="DD134" s="928"/>
      <c r="DE134" s="928"/>
      <c r="DF134" s="928"/>
      <c r="DG134" s="928"/>
      <c r="DH134" s="928"/>
      <c r="DI134" s="928"/>
      <c r="DJ134" s="928"/>
      <c r="DK134" s="928"/>
      <c r="DL134" s="928"/>
      <c r="DM134" s="928"/>
      <c r="DN134" s="928"/>
      <c r="DO134" s="928"/>
      <c r="DP134" s="928"/>
      <c r="DQ134" s="928"/>
      <c r="DR134" s="928"/>
      <c r="DS134" s="928"/>
      <c r="DT134" s="928"/>
      <c r="DU134" s="928"/>
      <c r="DV134" s="928"/>
      <c r="DW134" s="928"/>
      <c r="DX134" s="928"/>
      <c r="DY134" s="1338"/>
      <c r="DZ134" s="928"/>
      <c r="EA134" s="928"/>
      <c r="EB134" s="928"/>
      <c r="EC134" s="1337"/>
      <c r="ED134" s="1338"/>
      <c r="EE134" s="928"/>
      <c r="EF134" s="928"/>
      <c r="EG134" s="928"/>
      <c r="EH134" s="1337"/>
      <c r="EI134" s="928"/>
      <c r="EJ134" s="928"/>
      <c r="EK134" s="928"/>
      <c r="EL134" s="928"/>
      <c r="EM134" s="1337"/>
      <c r="EN134" s="928"/>
      <c r="EO134" s="928"/>
      <c r="EP134" s="928"/>
      <c r="EQ134" s="928"/>
      <c r="ER134" s="928"/>
      <c r="ES134" s="928"/>
      <c r="ET134" s="928"/>
      <c r="EU134" s="928"/>
      <c r="EV134" s="928"/>
      <c r="EW134" s="928"/>
      <c r="EX134" s="928"/>
      <c r="EY134" s="928"/>
      <c r="EZ134" s="928"/>
      <c r="FA134" s="928"/>
      <c r="FB134" s="928"/>
      <c r="FC134" s="928"/>
      <c r="FD134" s="928"/>
      <c r="FE134" s="928"/>
      <c r="FF134" s="1360">
        <v>-2.5978736654804324E-2</v>
      </c>
      <c r="FG134" s="928"/>
      <c r="FH134" s="1361">
        <v>-8.0645285532149669E-2</v>
      </c>
      <c r="FI134" s="1319"/>
      <c r="FJ134" s="1625">
        <v>-2.9037306079866987E-2</v>
      </c>
      <c r="FK134" s="1605"/>
      <c r="FL134" s="928"/>
      <c r="FM134" s="928"/>
      <c r="FN134" s="928"/>
      <c r="FO134" s="928"/>
      <c r="FP134" s="928"/>
      <c r="FQ134" s="928"/>
    </row>
    <row r="135" spans="1:173">
      <c r="A135" s="1441"/>
      <c r="B135" s="928"/>
      <c r="C135" s="928"/>
      <c r="D135" s="928"/>
      <c r="E135" s="928"/>
      <c r="F135" s="928"/>
      <c r="G135" s="928"/>
      <c r="H135" s="928"/>
      <c r="I135" s="928"/>
      <c r="J135" s="928"/>
      <c r="K135" s="928"/>
      <c r="L135" s="928"/>
      <c r="M135" s="928"/>
      <c r="N135" s="928"/>
      <c r="O135" s="928"/>
      <c r="P135" s="928"/>
      <c r="Q135" s="928"/>
      <c r="R135" s="928"/>
      <c r="S135" s="928"/>
      <c r="T135" s="928"/>
      <c r="U135" s="928"/>
      <c r="V135" s="928"/>
      <c r="W135" s="928"/>
      <c r="X135" s="928"/>
      <c r="Y135" s="928"/>
      <c r="Z135" s="1254"/>
      <c r="AA135" s="1254"/>
      <c r="AB135" s="1254"/>
      <c r="AC135" s="1254"/>
      <c r="AD135" s="1254"/>
      <c r="AE135" s="1254"/>
      <c r="AF135" s="1254"/>
      <c r="AG135" s="1254"/>
      <c r="AH135" s="1254"/>
      <c r="AI135" s="1254"/>
      <c r="AJ135" s="928"/>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355"/>
      <c r="BF135" s="1254"/>
      <c r="BG135" s="1254"/>
      <c r="BH135" s="1254"/>
      <c r="BI135" s="1389"/>
      <c r="BJ135" s="1355"/>
      <c r="BK135" s="1254"/>
      <c r="BL135" s="1254"/>
      <c r="BM135" s="1254"/>
      <c r="BN135" s="1389"/>
      <c r="BO135" s="1355"/>
      <c r="BP135" s="1254"/>
      <c r="BQ135" s="1254"/>
      <c r="BR135" s="1254"/>
      <c r="BS135" s="1389"/>
      <c r="BT135" s="1355"/>
      <c r="BU135" s="1254"/>
      <c r="BV135" s="1254"/>
      <c r="BW135" s="1254"/>
      <c r="BX135" s="1389"/>
      <c r="BY135" s="1254"/>
      <c r="BZ135" s="928"/>
      <c r="CA135" s="928"/>
      <c r="CB135" s="928"/>
      <c r="CC135" s="928"/>
      <c r="CD135" s="928"/>
      <c r="CE135" s="928"/>
      <c r="CF135" s="928"/>
      <c r="CG135" s="928"/>
      <c r="CH135" s="928"/>
      <c r="CI135" s="928"/>
      <c r="CJ135" s="928"/>
      <c r="CK135" s="928"/>
      <c r="CL135" s="928"/>
      <c r="CM135" s="928"/>
      <c r="CN135" s="928"/>
      <c r="CO135" s="928"/>
      <c r="CP135" s="928"/>
      <c r="CQ135" s="928"/>
      <c r="CR135" s="928"/>
      <c r="CS135" s="928"/>
      <c r="CT135" s="928"/>
      <c r="CU135" s="928"/>
      <c r="CV135" s="928"/>
      <c r="CW135" s="928"/>
      <c r="CX135" s="928"/>
      <c r="CY135" s="928"/>
      <c r="CZ135" s="928"/>
      <c r="DA135" s="928"/>
      <c r="DB135" s="928"/>
      <c r="DC135" s="928"/>
      <c r="DD135" s="928"/>
      <c r="DE135" s="928"/>
      <c r="DF135" s="928"/>
      <c r="DG135" s="928"/>
      <c r="DH135" s="928"/>
      <c r="DI135" s="928"/>
      <c r="DJ135" s="928"/>
      <c r="DK135" s="928"/>
      <c r="DL135" s="928"/>
      <c r="DM135" s="928"/>
      <c r="DN135" s="928"/>
      <c r="DO135" s="928"/>
      <c r="DP135" s="928"/>
      <c r="DQ135" s="928"/>
      <c r="DR135" s="928"/>
      <c r="DS135" s="928"/>
      <c r="DT135" s="928"/>
      <c r="DU135" s="928"/>
      <c r="DV135" s="928"/>
      <c r="DW135" s="928"/>
      <c r="DX135" s="928"/>
      <c r="DY135" s="1338"/>
      <c r="DZ135" s="928"/>
      <c r="EA135" s="928"/>
      <c r="EB135" s="928"/>
      <c r="EC135" s="1337"/>
      <c r="ED135" s="1338"/>
      <c r="EE135" s="928"/>
      <c r="EF135" s="928"/>
      <c r="EG135" s="928"/>
      <c r="EH135" s="1337"/>
      <c r="EI135" s="928"/>
      <c r="EJ135" s="928"/>
      <c r="EK135" s="928"/>
      <c r="EL135" s="928"/>
      <c r="EM135" s="1337"/>
      <c r="EN135" s="928"/>
      <c r="EO135" s="928"/>
      <c r="EP135" s="928"/>
      <c r="EQ135" s="928"/>
      <c r="ER135" s="928"/>
      <c r="ES135" s="928"/>
      <c r="ET135" s="928"/>
      <c r="EU135" s="928"/>
      <c r="EV135" s="928"/>
      <c r="EW135" s="928"/>
      <c r="EX135" s="928"/>
      <c r="EY135" s="928"/>
      <c r="EZ135" s="928"/>
      <c r="FA135" s="928"/>
      <c r="FB135" s="928"/>
      <c r="FC135" s="928"/>
      <c r="FD135" s="928"/>
      <c r="FE135" s="928"/>
      <c r="FF135" s="1363"/>
      <c r="FG135" s="928"/>
      <c r="FH135" s="1351"/>
      <c r="FI135" s="1319"/>
      <c r="FJ135" s="1612"/>
      <c r="FK135" s="1605"/>
      <c r="FL135" s="928"/>
      <c r="FM135" s="928"/>
      <c r="FN135" s="928"/>
      <c r="FO135" s="928"/>
      <c r="FP135" s="928"/>
      <c r="FQ135" s="928"/>
    </row>
    <row r="136" spans="1:173">
      <c r="A136" s="1444" t="s">
        <v>1654</v>
      </c>
      <c r="B136" s="928"/>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1254"/>
      <c r="AA136" s="1254"/>
      <c r="AB136" s="1254"/>
      <c r="AC136" s="1254"/>
      <c r="AD136" s="1254"/>
      <c r="AE136" s="1254"/>
      <c r="AF136" s="1254"/>
      <c r="AG136" s="1254"/>
      <c r="AH136" s="1254"/>
      <c r="AI136" s="1254"/>
      <c r="AJ136" s="928"/>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355"/>
      <c r="BF136" s="1254"/>
      <c r="BG136" s="1254"/>
      <c r="BH136" s="1254"/>
      <c r="BI136" s="1389"/>
      <c r="BJ136" s="1355"/>
      <c r="BK136" s="1254"/>
      <c r="BL136" s="1254"/>
      <c r="BM136" s="1254"/>
      <c r="BN136" s="1389"/>
      <c r="BO136" s="1355"/>
      <c r="BP136" s="1254"/>
      <c r="BQ136" s="1254"/>
      <c r="BR136" s="1254"/>
      <c r="BS136" s="1389"/>
      <c r="BT136" s="1355"/>
      <c r="BU136" s="1254"/>
      <c r="BV136" s="1254"/>
      <c r="BW136" s="1254"/>
      <c r="BX136" s="1389"/>
      <c r="BY136" s="1254"/>
      <c r="BZ136" s="928"/>
      <c r="CA136" s="928"/>
      <c r="CB136" s="928"/>
      <c r="CC136" s="928"/>
      <c r="CD136" s="928"/>
      <c r="CE136" s="928"/>
      <c r="CF136" s="928"/>
      <c r="CG136" s="928"/>
      <c r="CH136" s="928"/>
      <c r="CI136" s="928"/>
      <c r="CJ136" s="928"/>
      <c r="CK136" s="928"/>
      <c r="CL136" s="928"/>
      <c r="CM136" s="928"/>
      <c r="CN136" s="928"/>
      <c r="CO136" s="928"/>
      <c r="CP136" s="928"/>
      <c r="CQ136" s="928"/>
      <c r="CR136" s="928"/>
      <c r="CS136" s="928"/>
      <c r="CT136" s="928"/>
      <c r="CU136" s="928"/>
      <c r="CV136" s="928"/>
      <c r="CW136" s="928"/>
      <c r="CX136" s="928"/>
      <c r="CY136" s="928"/>
      <c r="CZ136" s="928"/>
      <c r="DA136" s="928"/>
      <c r="DB136" s="928"/>
      <c r="DC136" s="928"/>
      <c r="DD136" s="928"/>
      <c r="DE136" s="928"/>
      <c r="DF136" s="928"/>
      <c r="DG136" s="928"/>
      <c r="DH136" s="928"/>
      <c r="DI136" s="928"/>
      <c r="DJ136" s="928"/>
      <c r="DK136" s="928"/>
      <c r="DL136" s="928"/>
      <c r="DM136" s="928"/>
      <c r="DN136" s="928"/>
      <c r="DO136" s="928"/>
      <c r="DP136" s="928"/>
      <c r="DQ136" s="928"/>
      <c r="DR136" s="928"/>
      <c r="DS136" s="928"/>
      <c r="DT136" s="928"/>
      <c r="DU136" s="928"/>
      <c r="DV136" s="928"/>
      <c r="DW136" s="928"/>
      <c r="DX136" s="928"/>
      <c r="DY136" s="1338"/>
      <c r="DZ136" s="928"/>
      <c r="EA136" s="928"/>
      <c r="EB136" s="928"/>
      <c r="EC136" s="1337"/>
      <c r="ED136" s="1338"/>
      <c r="EE136" s="928"/>
      <c r="EF136" s="928"/>
      <c r="EG136" s="928"/>
      <c r="EH136" s="1337"/>
      <c r="EI136" s="928"/>
      <c r="EJ136" s="928"/>
      <c r="EK136" s="928"/>
      <c r="EL136" s="928"/>
      <c r="EM136" s="1337"/>
      <c r="EN136" s="928"/>
      <c r="EO136" s="928"/>
      <c r="EP136" s="928"/>
      <c r="EQ136" s="928"/>
      <c r="ER136" s="928"/>
      <c r="ES136" s="928"/>
      <c r="ET136" s="928"/>
      <c r="EU136" s="928"/>
      <c r="EV136" s="928"/>
      <c r="EW136" s="928"/>
      <c r="EX136" s="928"/>
      <c r="EY136" s="928"/>
      <c r="EZ136" s="928"/>
      <c r="FA136" s="928"/>
      <c r="FB136" s="928"/>
      <c r="FC136" s="928"/>
      <c r="FD136" s="928"/>
      <c r="FE136" s="928"/>
      <c r="FF136" s="1363"/>
      <c r="FG136" s="928"/>
      <c r="FH136" s="1351"/>
      <c r="FI136" s="1319"/>
      <c r="FJ136" s="1612"/>
      <c r="FK136" s="1605"/>
      <c r="FL136" s="928"/>
      <c r="FM136" s="928"/>
      <c r="FN136" s="928"/>
      <c r="FO136" s="928"/>
      <c r="FP136" s="928"/>
      <c r="FQ136" s="928"/>
    </row>
    <row r="137" spans="1:173">
      <c r="A137" s="1441" t="str">
        <f>A126</f>
        <v>Retail</v>
      </c>
      <c r="B137" s="928"/>
      <c r="C137" s="928"/>
      <c r="D137" s="928"/>
      <c r="E137" s="928"/>
      <c r="F137" s="928"/>
      <c r="G137" s="928"/>
      <c r="H137" s="928"/>
      <c r="I137" s="928"/>
      <c r="J137" s="928"/>
      <c r="K137" s="928"/>
      <c r="L137" s="928"/>
      <c r="M137" s="928"/>
      <c r="N137" s="928"/>
      <c r="O137" s="928"/>
      <c r="P137" s="928"/>
      <c r="Q137" s="928"/>
      <c r="R137" s="928"/>
      <c r="S137" s="928"/>
      <c r="T137" s="928"/>
      <c r="U137" s="928"/>
      <c r="V137" s="928"/>
      <c r="W137" s="928"/>
      <c r="X137" s="928"/>
      <c r="Y137" s="928"/>
      <c r="Z137" s="1254"/>
      <c r="AA137" s="1442">
        <f t="shared" ref="AA137:AD139" si="253">AA111-AA126</f>
        <v>3419.1</v>
      </c>
      <c r="AB137" s="1442">
        <f t="shared" si="253"/>
        <v>3539.9999999999995</v>
      </c>
      <c r="AC137" s="1442">
        <f t="shared" si="253"/>
        <v>3676.9999999999995</v>
      </c>
      <c r="AD137" s="1442">
        <f t="shared" si="253"/>
        <v>3861.5000000000005</v>
      </c>
      <c r="AE137" s="1254"/>
      <c r="AF137" s="1442">
        <f t="shared" ref="AF137:AI139" si="254">AF111-AF126</f>
        <v>3864.5</v>
      </c>
      <c r="AG137" s="1442">
        <f t="shared" si="254"/>
        <v>3895.7000000000003</v>
      </c>
      <c r="AH137" s="1442">
        <f t="shared" si="254"/>
        <v>3944.7</v>
      </c>
      <c r="AI137" s="1442">
        <f t="shared" si="254"/>
        <v>4040.3999999999987</v>
      </c>
      <c r="AJ137" s="928"/>
      <c r="AK137" s="1442">
        <f t="shared" ref="AK137:AN139" si="255">AK111-AK126</f>
        <v>3995.3</v>
      </c>
      <c r="AL137" s="1442">
        <f t="shared" si="255"/>
        <v>4008.7000000000003</v>
      </c>
      <c r="AM137" s="1442">
        <f t="shared" si="255"/>
        <v>4162.2</v>
      </c>
      <c r="AN137" s="1442">
        <f t="shared" si="255"/>
        <v>4323.7000000000035</v>
      </c>
      <c r="AO137" s="1254"/>
      <c r="AP137" s="1442">
        <f t="shared" ref="AP137:AS139" si="256">AP111-AP126</f>
        <v>4353.3999999999996</v>
      </c>
      <c r="AQ137" s="1442">
        <f t="shared" si="256"/>
        <v>4463.6000000000004</v>
      </c>
      <c r="AR137" s="1442">
        <f t="shared" si="256"/>
        <v>4672.3999999999996</v>
      </c>
      <c r="AS137" s="1442">
        <f t="shared" si="256"/>
        <v>4828.4000000000015</v>
      </c>
      <c r="AT137" s="1254"/>
      <c r="AU137" s="1442">
        <f t="shared" ref="AU137:AX139" si="257">AU111-AU126</f>
        <v>4956.6000000000004</v>
      </c>
      <c r="AV137" s="1442">
        <f t="shared" si="257"/>
        <v>5156.9999999999991</v>
      </c>
      <c r="AW137" s="1442">
        <f t="shared" si="257"/>
        <v>5484.0999999999995</v>
      </c>
      <c r="AX137" s="1442">
        <f t="shared" si="257"/>
        <v>5649.7999999999993</v>
      </c>
      <c r="AY137" s="1254"/>
      <c r="AZ137" s="1442">
        <f t="shared" ref="AZ137:BC139" si="258">AZ111-AZ126</f>
        <v>5633.0999999999995</v>
      </c>
      <c r="BA137" s="1442">
        <f t="shared" si="258"/>
        <v>5754.5999999999995</v>
      </c>
      <c r="BB137" s="1442">
        <f t="shared" si="258"/>
        <v>5904.2999999999993</v>
      </c>
      <c r="BC137" s="1442">
        <f t="shared" si="258"/>
        <v>6058</v>
      </c>
      <c r="BD137" s="1254"/>
      <c r="BE137" s="1509">
        <f t="shared" ref="BE137:BH139" si="259">BE111-BE126</f>
        <v>5982.0999999999995</v>
      </c>
      <c r="BF137" s="1442">
        <f t="shared" si="259"/>
        <v>6090.0000000000009</v>
      </c>
      <c r="BG137" s="1442">
        <f t="shared" si="259"/>
        <v>6239.6</v>
      </c>
      <c r="BH137" s="1442">
        <f t="shared" si="259"/>
        <v>6190.7999999999984</v>
      </c>
      <c r="BI137" s="1389"/>
      <c r="BJ137" s="1509">
        <f t="shared" ref="BJ137:BJ139" si="260">BJ111-BJ126</f>
        <v>6146.1</v>
      </c>
      <c r="BK137" s="1442">
        <f t="shared" ref="BK137:BL137" si="261">BK111-BK126</f>
        <v>6267.9000000000005</v>
      </c>
      <c r="BL137" s="1442">
        <f t="shared" si="261"/>
        <v>6437.3</v>
      </c>
      <c r="BM137" s="1442">
        <f t="shared" ref="BM137" si="262">BM111-BM126</f>
        <v>6242.0000000000009</v>
      </c>
      <c r="BN137" s="1389"/>
      <c r="BO137" s="1509">
        <f t="shared" ref="BO137:BO139" si="263">BO111-BO126</f>
        <v>6513.5000000000009</v>
      </c>
      <c r="BP137" s="1442">
        <f t="shared" ref="BP137:BQ137" si="264">BP111-BP126</f>
        <v>6808.4999999999991</v>
      </c>
      <c r="BQ137" s="1442">
        <f t="shared" si="264"/>
        <v>6970</v>
      </c>
      <c r="BR137" s="1442">
        <f t="shared" ref="BR137" si="265">BR111-BR126</f>
        <v>6539.3000000000011</v>
      </c>
      <c r="BS137" s="1389"/>
      <c r="BT137" s="1509">
        <f t="shared" ref="BT137:BW139" si="266">BT111-BT126</f>
        <v>6593.3951999999999</v>
      </c>
      <c r="BU137" s="1442">
        <f t="shared" si="266"/>
        <v>6800</v>
      </c>
      <c r="BV137" s="1442">
        <f t="shared" si="266"/>
        <v>7250</v>
      </c>
      <c r="BW137" s="1442">
        <f t="shared" si="266"/>
        <v>6760</v>
      </c>
      <c r="BX137" s="1389"/>
      <c r="BY137" s="1254"/>
      <c r="BZ137" s="928"/>
      <c r="CA137" s="928"/>
      <c r="CB137" s="928"/>
      <c r="CC137" s="928"/>
      <c r="CD137" s="928"/>
      <c r="CE137" s="928"/>
      <c r="CF137" s="928"/>
      <c r="CG137" s="928"/>
      <c r="CH137" s="928"/>
      <c r="CI137" s="928"/>
      <c r="CJ137" s="928"/>
      <c r="CK137" s="928"/>
      <c r="CL137" s="928"/>
      <c r="CM137" s="928"/>
      <c r="CN137" s="928"/>
      <c r="CO137" s="928"/>
      <c r="CP137" s="928"/>
      <c r="CQ137" s="928"/>
      <c r="CR137" s="928"/>
      <c r="CS137" s="928"/>
      <c r="CT137" s="928"/>
      <c r="CU137" s="1254">
        <f t="shared" ref="CU137:CX139" si="267">AF137/AA137-1</f>
        <v>0.13026819923371646</v>
      </c>
      <c r="CV137" s="1254">
        <f t="shared" si="267"/>
        <v>0.10048022598870077</v>
      </c>
      <c r="CW137" s="1254">
        <f t="shared" si="267"/>
        <v>7.2803916236062083E-2</v>
      </c>
      <c r="CX137" s="1254">
        <f t="shared" si="267"/>
        <v>4.632914670464805E-2</v>
      </c>
      <c r="CY137" s="928"/>
      <c r="CZ137" s="1254">
        <f t="shared" ref="CZ137:DC139" si="268">AK137/AF137-1</f>
        <v>3.3846551947211756E-2</v>
      </c>
      <c r="DA137" s="1254">
        <f t="shared" si="268"/>
        <v>2.9006340323946889E-2</v>
      </c>
      <c r="DB137" s="1254">
        <f t="shared" si="268"/>
        <v>5.5137272796410342E-2</v>
      </c>
      <c r="DC137" s="1254">
        <f t="shared" si="268"/>
        <v>7.011682011682141E-2</v>
      </c>
      <c r="DD137" s="928"/>
      <c r="DE137" s="1254">
        <f>AP137/AK137-1</f>
        <v>8.9630315620854439E-2</v>
      </c>
      <c r="DF137" s="1254"/>
      <c r="DG137" s="1254"/>
      <c r="DH137" s="1254"/>
      <c r="DI137" s="928"/>
      <c r="DJ137" s="1254"/>
      <c r="DK137" s="1254"/>
      <c r="DL137" s="1254"/>
      <c r="DM137" s="1254"/>
      <c r="DN137" s="928"/>
      <c r="DO137" s="928"/>
      <c r="DP137" s="928"/>
      <c r="DQ137" s="928"/>
      <c r="DR137" s="928"/>
      <c r="DS137" s="928"/>
      <c r="DT137" s="928"/>
      <c r="DU137" s="928"/>
      <c r="DV137" s="928"/>
      <c r="DW137" s="928"/>
      <c r="DX137" s="928"/>
      <c r="DY137" s="1338"/>
      <c r="DZ137" s="928"/>
      <c r="EA137" s="928"/>
      <c r="EB137" s="928"/>
      <c r="EC137" s="1337"/>
      <c r="ED137" s="1338"/>
      <c r="EE137" s="928"/>
      <c r="EF137" s="928"/>
      <c r="EG137" s="928"/>
      <c r="EH137" s="1337"/>
      <c r="EI137" s="928"/>
      <c r="EJ137" s="928"/>
      <c r="EK137" s="928"/>
      <c r="EL137" s="928"/>
      <c r="EM137" s="1337"/>
      <c r="EN137" s="928"/>
      <c r="EO137" s="928"/>
      <c r="EP137" s="928"/>
      <c r="EQ137" s="928"/>
      <c r="ER137" s="928"/>
      <c r="ES137" s="928"/>
      <c r="ET137" s="928"/>
      <c r="EU137" s="928"/>
      <c r="EV137" s="928"/>
      <c r="EW137" s="928"/>
      <c r="EX137" s="928"/>
      <c r="EY137" s="928"/>
      <c r="EZ137" s="928"/>
      <c r="FA137" s="928"/>
      <c r="FB137" s="928"/>
      <c r="FC137" s="928"/>
      <c r="FD137" s="928"/>
      <c r="FE137" s="928"/>
      <c r="FF137" s="1452">
        <v>6909.2149499999987</v>
      </c>
      <c r="FG137" s="928"/>
      <c r="FH137" s="1453">
        <v>6783.1637999999994</v>
      </c>
      <c r="FI137" s="1319"/>
      <c r="FJ137" s="1622">
        <v>6600</v>
      </c>
      <c r="FK137" s="1605"/>
      <c r="FL137" s="928"/>
      <c r="FM137" s="928"/>
      <c r="FN137" s="928"/>
      <c r="FO137" s="928"/>
      <c r="FP137" s="928"/>
      <c r="FQ137" s="928"/>
    </row>
    <row r="138" spans="1:173">
      <c r="A138" s="1441" t="str">
        <f>A127</f>
        <v>Wholesale</v>
      </c>
      <c r="B138" s="928"/>
      <c r="C138" s="928"/>
      <c r="D138" s="928"/>
      <c r="E138" s="928"/>
      <c r="F138" s="928"/>
      <c r="G138" s="928"/>
      <c r="H138" s="928"/>
      <c r="I138" s="928"/>
      <c r="J138" s="928"/>
      <c r="K138" s="928"/>
      <c r="L138" s="928"/>
      <c r="M138" s="928"/>
      <c r="N138" s="928"/>
      <c r="O138" s="928"/>
      <c r="P138" s="928"/>
      <c r="Q138" s="928"/>
      <c r="R138" s="928"/>
      <c r="S138" s="928"/>
      <c r="T138" s="928"/>
      <c r="U138" s="928"/>
      <c r="V138" s="928"/>
      <c r="W138" s="928"/>
      <c r="X138" s="928"/>
      <c r="Y138" s="928"/>
      <c r="Z138" s="1254"/>
      <c r="AA138" s="1442">
        <f t="shared" si="253"/>
        <v>745.6</v>
      </c>
      <c r="AB138" s="1442">
        <f t="shared" si="253"/>
        <v>749.69999999999993</v>
      </c>
      <c r="AC138" s="1442">
        <f t="shared" si="253"/>
        <v>791.69999999999993</v>
      </c>
      <c r="AD138" s="1442">
        <f t="shared" si="253"/>
        <v>841.20000000000027</v>
      </c>
      <c r="AE138" s="1254"/>
      <c r="AF138" s="1442">
        <f t="shared" si="254"/>
        <v>808</v>
      </c>
      <c r="AG138" s="1442">
        <f t="shared" si="254"/>
        <v>821.30000000000007</v>
      </c>
      <c r="AH138" s="1442">
        <f t="shared" si="254"/>
        <v>971.09999999999991</v>
      </c>
      <c r="AI138" s="1442">
        <f t="shared" si="254"/>
        <v>1033.2000000000007</v>
      </c>
      <c r="AJ138" s="928"/>
      <c r="AK138" s="1442">
        <f t="shared" si="255"/>
        <v>859.5</v>
      </c>
      <c r="AL138" s="1442">
        <f t="shared" si="255"/>
        <v>827.00000000000011</v>
      </c>
      <c r="AM138" s="1442">
        <f t="shared" si="255"/>
        <v>811.30000000000007</v>
      </c>
      <c r="AN138" s="1442">
        <f t="shared" si="255"/>
        <v>828.10000000000014</v>
      </c>
      <c r="AO138" s="1254"/>
      <c r="AP138" s="1442">
        <f t="shared" si="256"/>
        <v>839.9</v>
      </c>
      <c r="AQ138" s="1442">
        <f t="shared" si="256"/>
        <v>885.90000000000009</v>
      </c>
      <c r="AR138" s="1442">
        <f t="shared" si="256"/>
        <v>865.90000000000009</v>
      </c>
      <c r="AS138" s="1442">
        <f t="shared" si="256"/>
        <v>937.39999999999986</v>
      </c>
      <c r="AT138" s="1254"/>
      <c r="AU138" s="1442">
        <f t="shared" si="257"/>
        <v>896.09999999999991</v>
      </c>
      <c r="AV138" s="1442">
        <f t="shared" si="257"/>
        <v>890.9</v>
      </c>
      <c r="AW138" s="1442">
        <f t="shared" si="257"/>
        <v>933.7</v>
      </c>
      <c r="AX138" s="1442">
        <f t="shared" si="257"/>
        <v>1103.0999999999999</v>
      </c>
      <c r="AY138" s="1254"/>
      <c r="AZ138" s="1442">
        <f t="shared" si="258"/>
        <v>977.59999999999991</v>
      </c>
      <c r="BA138" s="1442">
        <f t="shared" si="258"/>
        <v>1163.0999999999999</v>
      </c>
      <c r="BB138" s="1442">
        <f t="shared" si="258"/>
        <v>1122.7</v>
      </c>
      <c r="BC138" s="1442">
        <f t="shared" si="258"/>
        <v>1132.3</v>
      </c>
      <c r="BD138" s="1254"/>
      <c r="BE138" s="1509">
        <f t="shared" si="259"/>
        <v>1172</v>
      </c>
      <c r="BF138" s="1442">
        <f t="shared" si="259"/>
        <v>1191.5</v>
      </c>
      <c r="BG138" s="1442">
        <f t="shared" si="259"/>
        <v>1114.5</v>
      </c>
      <c r="BH138" s="1442">
        <f t="shared" si="259"/>
        <v>1258.8000000000006</v>
      </c>
      <c r="BI138" s="1389"/>
      <c r="BJ138" s="1509">
        <f t="shared" si="260"/>
        <v>1035.1000000000001</v>
      </c>
      <c r="BK138" s="1442">
        <f t="shared" ref="BK138:BL138" si="269">BK112-BK127</f>
        <v>1022.9000000000001</v>
      </c>
      <c r="BL138" s="1442">
        <f t="shared" si="269"/>
        <v>1349.7</v>
      </c>
      <c r="BM138" s="1442">
        <f t="shared" ref="BM138" si="270">BM112-BM127</f>
        <v>1508.1999999999998</v>
      </c>
      <c r="BN138" s="1389"/>
      <c r="BO138" s="1509">
        <f t="shared" si="263"/>
        <v>1032.0999999999999</v>
      </c>
      <c r="BP138" s="1442">
        <f t="shared" ref="BP138:BQ138" si="271">BP112-BP127</f>
        <v>1036.2</v>
      </c>
      <c r="BQ138" s="1442">
        <f t="shared" si="271"/>
        <v>1118.3999999999999</v>
      </c>
      <c r="BR138" s="1442">
        <f t="shared" ref="BR138" si="272">BR112-BR127</f>
        <v>1288.6999999999998</v>
      </c>
      <c r="BS138" s="1389"/>
      <c r="BT138" s="1509">
        <f t="shared" si="266"/>
        <v>647.50479999999948</v>
      </c>
      <c r="BU138" s="1442">
        <f t="shared" si="266"/>
        <v>750</v>
      </c>
      <c r="BV138" s="1442">
        <f t="shared" si="266"/>
        <v>800</v>
      </c>
      <c r="BW138" s="1442">
        <f t="shared" si="266"/>
        <v>1022.6687500000007</v>
      </c>
      <c r="BX138" s="1389"/>
      <c r="BY138" s="1254"/>
      <c r="BZ138" s="928"/>
      <c r="CA138" s="928"/>
      <c r="CB138" s="928"/>
      <c r="CC138" s="928"/>
      <c r="CD138" s="928"/>
      <c r="CE138" s="928"/>
      <c r="CF138" s="928"/>
      <c r="CG138" s="928"/>
      <c r="CH138" s="928"/>
      <c r="CI138" s="928"/>
      <c r="CJ138" s="928"/>
      <c r="CK138" s="928"/>
      <c r="CL138" s="928"/>
      <c r="CM138" s="928"/>
      <c r="CN138" s="928"/>
      <c r="CO138" s="928"/>
      <c r="CP138" s="928"/>
      <c r="CQ138" s="928"/>
      <c r="CR138" s="928"/>
      <c r="CS138" s="928"/>
      <c r="CT138" s="928"/>
      <c r="CU138" s="1447">
        <f t="shared" si="267"/>
        <v>8.3690987124463545E-2</v>
      </c>
      <c r="CV138" s="1447">
        <f t="shared" si="267"/>
        <v>9.5504868614112448E-2</v>
      </c>
      <c r="CW138" s="1447">
        <f t="shared" si="267"/>
        <v>0.22660098522167482</v>
      </c>
      <c r="CX138" s="1447">
        <f t="shared" si="267"/>
        <v>0.22824536376604887</v>
      </c>
      <c r="CY138" s="928"/>
      <c r="CZ138" s="1447">
        <f t="shared" si="268"/>
        <v>6.3737623762376128E-2</v>
      </c>
      <c r="DA138" s="1447">
        <f t="shared" si="268"/>
        <v>6.9402167295751216E-3</v>
      </c>
      <c r="DB138" s="1447">
        <f t="shared" si="268"/>
        <v>-0.16455565853156195</v>
      </c>
      <c r="DC138" s="1447">
        <f t="shared" si="268"/>
        <v>-0.19850948509485133</v>
      </c>
      <c r="DD138" s="928"/>
      <c r="DE138" s="1447">
        <f>AP138/AK138-1</f>
        <v>-2.2803955788249008E-2</v>
      </c>
      <c r="DF138" s="1254"/>
      <c r="DG138" s="1254"/>
      <c r="DH138" s="1254"/>
      <c r="DI138" s="928"/>
      <c r="DJ138" s="1254"/>
      <c r="DK138" s="1254"/>
      <c r="DL138" s="1254"/>
      <c r="DM138" s="1254"/>
      <c r="DN138" s="928"/>
      <c r="DO138" s="928"/>
      <c r="DP138" s="928"/>
      <c r="DQ138" s="928"/>
      <c r="DR138" s="928"/>
      <c r="DS138" s="928"/>
      <c r="DT138" s="928"/>
      <c r="DU138" s="928"/>
      <c r="DV138" s="928"/>
      <c r="DW138" s="928"/>
      <c r="DX138" s="928"/>
      <c r="DY138" s="1338"/>
      <c r="DZ138" s="928"/>
      <c r="EA138" s="928"/>
      <c r="EB138" s="928"/>
      <c r="EC138" s="1337"/>
      <c r="ED138" s="1338"/>
      <c r="EE138" s="928"/>
      <c r="EF138" s="928"/>
      <c r="EG138" s="928"/>
      <c r="EH138" s="1337"/>
      <c r="EI138" s="928"/>
      <c r="EJ138" s="928"/>
      <c r="EK138" s="928"/>
      <c r="EL138" s="928"/>
      <c r="EM138" s="1337"/>
      <c r="EN138" s="928"/>
      <c r="EO138" s="928"/>
      <c r="EP138" s="928"/>
      <c r="EQ138" s="928"/>
      <c r="ER138" s="928"/>
      <c r="ES138" s="928"/>
      <c r="ET138" s="928"/>
      <c r="EU138" s="928"/>
      <c r="EV138" s="928"/>
      <c r="EW138" s="928"/>
      <c r="EX138" s="928"/>
      <c r="EY138" s="928"/>
      <c r="EZ138" s="928"/>
      <c r="FA138" s="928"/>
      <c r="FB138" s="928"/>
      <c r="FC138" s="928"/>
      <c r="FD138" s="928"/>
      <c r="FE138" s="928"/>
      <c r="FF138" s="1462">
        <v>1214.2755000000002</v>
      </c>
      <c r="FG138" s="928"/>
      <c r="FH138" s="1453">
        <v>1408.54024</v>
      </c>
      <c r="FI138" s="1319"/>
      <c r="FJ138" s="1622">
        <v>1067.375</v>
      </c>
      <c r="FK138" s="1605"/>
      <c r="FL138" s="928"/>
      <c r="FM138" s="928"/>
      <c r="FN138" s="928"/>
      <c r="FO138" s="928"/>
      <c r="FP138" s="928"/>
      <c r="FQ138" s="928"/>
    </row>
    <row r="139" spans="1:173">
      <c r="A139" s="1454" t="str">
        <f>A128</f>
        <v>Total</v>
      </c>
      <c r="B139" s="1406"/>
      <c r="C139" s="1406"/>
      <c r="D139" s="1406"/>
      <c r="E139" s="1406"/>
      <c r="F139" s="1406"/>
      <c r="G139" s="1406"/>
      <c r="H139" s="1406"/>
      <c r="I139" s="1406"/>
      <c r="J139" s="1406"/>
      <c r="K139" s="1406"/>
      <c r="L139" s="1406"/>
      <c r="M139" s="1406"/>
      <c r="N139" s="1406"/>
      <c r="O139" s="1406"/>
      <c r="P139" s="1406"/>
      <c r="Q139" s="1406"/>
      <c r="R139" s="1406"/>
      <c r="S139" s="1406"/>
      <c r="T139" s="1406"/>
      <c r="U139" s="1406"/>
      <c r="V139" s="1406"/>
      <c r="W139" s="1406"/>
      <c r="X139" s="1406"/>
      <c r="Y139" s="1406"/>
      <c r="Z139" s="1455"/>
      <c r="AA139" s="1456">
        <f t="shared" si="253"/>
        <v>4164.7</v>
      </c>
      <c r="AB139" s="1456">
        <f t="shared" si="253"/>
        <v>4289.7</v>
      </c>
      <c r="AC139" s="1456">
        <f t="shared" si="253"/>
        <v>4468.7</v>
      </c>
      <c r="AD139" s="1456">
        <f t="shared" si="253"/>
        <v>4702.7000000000007</v>
      </c>
      <c r="AE139" s="1455"/>
      <c r="AF139" s="1456">
        <f t="shared" si="254"/>
        <v>4672.5</v>
      </c>
      <c r="AG139" s="1456">
        <f t="shared" si="254"/>
        <v>4717</v>
      </c>
      <c r="AH139" s="1456">
        <f t="shared" si="254"/>
        <v>4915.7999999999993</v>
      </c>
      <c r="AI139" s="1456">
        <f t="shared" si="254"/>
        <v>5073.5999999999985</v>
      </c>
      <c r="AJ139" s="1406"/>
      <c r="AK139" s="1456">
        <f t="shared" si="255"/>
        <v>4854.8</v>
      </c>
      <c r="AL139" s="1456">
        <f t="shared" si="255"/>
        <v>4835.7000000000007</v>
      </c>
      <c r="AM139" s="1456">
        <f t="shared" si="255"/>
        <v>4973.5</v>
      </c>
      <c r="AN139" s="1456">
        <f t="shared" si="255"/>
        <v>5151.8000000000038</v>
      </c>
      <c r="AO139" s="1455"/>
      <c r="AP139" s="1456">
        <f t="shared" si="256"/>
        <v>5193.2999999999993</v>
      </c>
      <c r="AQ139" s="1456">
        <f t="shared" si="256"/>
        <v>5349.5</v>
      </c>
      <c r="AR139" s="1456">
        <f t="shared" si="256"/>
        <v>5538.3</v>
      </c>
      <c r="AS139" s="1456">
        <f t="shared" si="256"/>
        <v>5765.8000000000011</v>
      </c>
      <c r="AT139" s="1455"/>
      <c r="AU139" s="1456">
        <f t="shared" si="257"/>
        <v>5852.7000000000007</v>
      </c>
      <c r="AV139" s="1456">
        <f t="shared" si="257"/>
        <v>6047.8999999999987</v>
      </c>
      <c r="AW139" s="1456">
        <f t="shared" si="257"/>
        <v>6417.8</v>
      </c>
      <c r="AX139" s="1456">
        <f t="shared" si="257"/>
        <v>6752.9</v>
      </c>
      <c r="AY139" s="1455"/>
      <c r="AZ139" s="1456">
        <f t="shared" si="258"/>
        <v>6610.6999999999989</v>
      </c>
      <c r="BA139" s="1456">
        <f t="shared" si="258"/>
        <v>6917.7</v>
      </c>
      <c r="BB139" s="1456">
        <f t="shared" si="258"/>
        <v>7026.9999999999991</v>
      </c>
      <c r="BC139" s="1456">
        <f t="shared" si="258"/>
        <v>7190.3</v>
      </c>
      <c r="BD139" s="1455"/>
      <c r="BE139" s="1510">
        <f t="shared" si="259"/>
        <v>7154.0999999999985</v>
      </c>
      <c r="BF139" s="1456">
        <f t="shared" si="259"/>
        <v>7281.5000000000009</v>
      </c>
      <c r="BG139" s="1456">
        <f t="shared" si="259"/>
        <v>7354.1</v>
      </c>
      <c r="BH139" s="1456">
        <f t="shared" si="259"/>
        <v>7449.5999999999995</v>
      </c>
      <c r="BI139" s="1511"/>
      <c r="BJ139" s="1510">
        <f t="shared" si="260"/>
        <v>7181.2</v>
      </c>
      <c r="BK139" s="1456">
        <f t="shared" ref="BK139:BL139" si="273">BK113-BK128</f>
        <v>7290.8000000000011</v>
      </c>
      <c r="BL139" s="1456">
        <f t="shared" si="273"/>
        <v>7787</v>
      </c>
      <c r="BM139" s="1456">
        <f t="shared" ref="BM139" si="274">BM113-BM128</f>
        <v>7750.2000000000016</v>
      </c>
      <c r="BN139" s="1511"/>
      <c r="BO139" s="1510">
        <f t="shared" si="263"/>
        <v>7545.6000000000013</v>
      </c>
      <c r="BP139" s="1456">
        <f t="shared" ref="BP139:BQ139" si="275">BP113-BP128</f>
        <v>7844.6999999999989</v>
      </c>
      <c r="BQ139" s="1456">
        <f t="shared" si="275"/>
        <v>8088.4000000000005</v>
      </c>
      <c r="BR139" s="1456">
        <f t="shared" ref="BR139" si="276">BR113-BR128</f>
        <v>7828.0000000000018</v>
      </c>
      <c r="BS139" s="1511"/>
      <c r="BT139" s="1510">
        <f t="shared" si="266"/>
        <v>7240.8999999999987</v>
      </c>
      <c r="BU139" s="1456">
        <f t="shared" si="266"/>
        <v>7550</v>
      </c>
      <c r="BV139" s="1456">
        <f t="shared" si="266"/>
        <v>8050</v>
      </c>
      <c r="BW139" s="1456">
        <f t="shared" si="266"/>
        <v>7782.6687500000007</v>
      </c>
      <c r="BX139" s="1511"/>
      <c r="BY139" s="1254"/>
      <c r="BZ139" s="928"/>
      <c r="CA139" s="928"/>
      <c r="CB139" s="928"/>
      <c r="CC139" s="928"/>
      <c r="CD139" s="928"/>
      <c r="CE139" s="928"/>
      <c r="CF139" s="928"/>
      <c r="CG139" s="928"/>
      <c r="CH139" s="928"/>
      <c r="CI139" s="928"/>
      <c r="CJ139" s="928"/>
      <c r="CK139" s="928"/>
      <c r="CL139" s="928"/>
      <c r="CM139" s="928"/>
      <c r="CN139" s="928"/>
      <c r="CO139" s="928"/>
      <c r="CP139" s="928"/>
      <c r="CQ139" s="928"/>
      <c r="CR139" s="928"/>
      <c r="CS139" s="928"/>
      <c r="CT139" s="928"/>
      <c r="CU139" s="1254">
        <f t="shared" si="267"/>
        <v>0.12192955074795297</v>
      </c>
      <c r="CV139" s="1254">
        <f t="shared" si="267"/>
        <v>9.9610695386623815E-2</v>
      </c>
      <c r="CW139" s="1254">
        <f t="shared" si="267"/>
        <v>0.10005146910734664</v>
      </c>
      <c r="CX139" s="1254">
        <f t="shared" si="267"/>
        <v>7.8869585557232558E-2</v>
      </c>
      <c r="CY139" s="928"/>
      <c r="CZ139" s="1254">
        <f t="shared" si="268"/>
        <v>3.9015516318887222E-2</v>
      </c>
      <c r="DA139" s="1254">
        <f t="shared" si="268"/>
        <v>2.5164299342802732E-2</v>
      </c>
      <c r="DB139" s="1254">
        <f t="shared" si="268"/>
        <v>1.1737662231986912E-2</v>
      </c>
      <c r="DC139" s="1254">
        <f t="shared" si="268"/>
        <v>1.5413118889941124E-2</v>
      </c>
      <c r="DD139" s="928"/>
      <c r="DE139" s="1254">
        <f>AP139/AK139-1</f>
        <v>6.9724808437010566E-2</v>
      </c>
      <c r="DF139" s="1254"/>
      <c r="DG139" s="1254"/>
      <c r="DH139" s="1254"/>
      <c r="DI139" s="928"/>
      <c r="DJ139" s="1254"/>
      <c r="DK139" s="1254"/>
      <c r="DL139" s="1254"/>
      <c r="DM139" s="1254"/>
      <c r="DN139" s="928"/>
      <c r="DO139" s="928"/>
      <c r="DP139" s="928"/>
      <c r="DQ139" s="928"/>
      <c r="DR139" s="928"/>
      <c r="DS139" s="928"/>
      <c r="DT139" s="928"/>
      <c r="DU139" s="928"/>
      <c r="DV139" s="928"/>
      <c r="DW139" s="928"/>
      <c r="DX139" s="928"/>
      <c r="DY139" s="1338"/>
      <c r="DZ139" s="928"/>
      <c r="EA139" s="928"/>
      <c r="EB139" s="928"/>
      <c r="EC139" s="1337"/>
      <c r="ED139" s="1338"/>
      <c r="EE139" s="928"/>
      <c r="EF139" s="928"/>
      <c r="EG139" s="928"/>
      <c r="EH139" s="1337"/>
      <c r="EI139" s="928"/>
      <c r="EJ139" s="928"/>
      <c r="EK139" s="928"/>
      <c r="EL139" s="928"/>
      <c r="EM139" s="1337"/>
      <c r="EN139" s="928"/>
      <c r="EO139" s="928"/>
      <c r="EP139" s="928"/>
      <c r="EQ139" s="928"/>
      <c r="ER139" s="928"/>
      <c r="ES139" s="928"/>
      <c r="ET139" s="928"/>
      <c r="EU139" s="928"/>
      <c r="EV139" s="928"/>
      <c r="EW139" s="928"/>
      <c r="EX139" s="928"/>
      <c r="EY139" s="928"/>
      <c r="EZ139" s="928"/>
      <c r="FA139" s="928"/>
      <c r="FB139" s="928"/>
      <c r="FC139" s="928"/>
      <c r="FD139" s="928"/>
      <c r="FE139" s="928"/>
      <c r="FF139" s="1452">
        <v>8123.4904499999984</v>
      </c>
      <c r="FG139" s="928"/>
      <c r="FH139" s="1453">
        <v>8191.7040399999996</v>
      </c>
      <c r="FI139" s="1319"/>
      <c r="FJ139" s="1619">
        <v>7667.3749999999991</v>
      </c>
      <c r="FK139" s="1605"/>
      <c r="FL139" s="928"/>
      <c r="FM139" s="928"/>
      <c r="FN139" s="928"/>
      <c r="FO139" s="928"/>
      <c r="FP139" s="928"/>
      <c r="FQ139" s="928"/>
    </row>
    <row r="140" spans="1:173">
      <c r="A140" s="1441"/>
      <c r="B140" s="928"/>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1254"/>
      <c r="AA140" s="1254"/>
      <c r="AB140" s="1254"/>
      <c r="AC140" s="1254"/>
      <c r="AD140" s="1254"/>
      <c r="AE140" s="1254"/>
      <c r="AF140" s="1254"/>
      <c r="AG140" s="1254"/>
      <c r="AH140" s="1254"/>
      <c r="AI140" s="1254"/>
      <c r="AJ140" s="928"/>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355"/>
      <c r="BF140" s="1254"/>
      <c r="BG140" s="1254"/>
      <c r="BH140" s="1254"/>
      <c r="BI140" s="1389"/>
      <c r="BJ140" s="1355"/>
      <c r="BK140" s="1254"/>
      <c r="BL140" s="1254"/>
      <c r="BM140" s="1254"/>
      <c r="BN140" s="1389"/>
      <c r="BO140" s="1355"/>
      <c r="BP140" s="1254"/>
      <c r="BQ140" s="1254"/>
      <c r="BR140" s="1254"/>
      <c r="BS140" s="1389"/>
      <c r="BT140" s="1355"/>
      <c r="BU140" s="1254"/>
      <c r="BV140" s="1254"/>
      <c r="BW140" s="1254"/>
      <c r="BX140" s="1389"/>
      <c r="BY140" s="1254"/>
      <c r="BZ140" s="928"/>
      <c r="CA140" s="928"/>
      <c r="CB140" s="928"/>
      <c r="CC140" s="928"/>
      <c r="CD140" s="928"/>
      <c r="CE140" s="928"/>
      <c r="CF140" s="928"/>
      <c r="CG140" s="928"/>
      <c r="CH140" s="928"/>
      <c r="CI140" s="928"/>
      <c r="CJ140" s="928"/>
      <c r="CK140" s="928"/>
      <c r="CL140" s="928"/>
      <c r="CM140" s="928"/>
      <c r="CN140" s="928"/>
      <c r="CO140" s="928"/>
      <c r="CP140" s="928"/>
      <c r="CQ140" s="928"/>
      <c r="CR140" s="928"/>
      <c r="CS140" s="928"/>
      <c r="CT140" s="928"/>
      <c r="CU140" s="928"/>
      <c r="CV140" s="928"/>
      <c r="CW140" s="928"/>
      <c r="CX140" s="928"/>
      <c r="CY140" s="928"/>
      <c r="CZ140" s="928"/>
      <c r="DA140" s="928"/>
      <c r="DB140" s="928"/>
      <c r="DC140" s="928"/>
      <c r="DD140" s="928"/>
      <c r="DE140" s="928"/>
      <c r="DF140" s="928"/>
      <c r="DG140" s="928"/>
      <c r="DH140" s="928"/>
      <c r="DI140" s="928"/>
      <c r="DJ140" s="928"/>
      <c r="DK140" s="928"/>
      <c r="DL140" s="928"/>
      <c r="DM140" s="928"/>
      <c r="DN140" s="928"/>
      <c r="DO140" s="928"/>
      <c r="DP140" s="928"/>
      <c r="DQ140" s="928"/>
      <c r="DR140" s="928"/>
      <c r="DS140" s="928"/>
      <c r="DT140" s="928"/>
      <c r="DU140" s="928"/>
      <c r="DV140" s="928"/>
      <c r="DW140" s="928"/>
      <c r="DX140" s="928"/>
      <c r="DY140" s="1338"/>
      <c r="DZ140" s="928"/>
      <c r="EA140" s="928"/>
      <c r="EB140" s="928"/>
      <c r="EC140" s="1337"/>
      <c r="ED140" s="1338"/>
      <c r="EE140" s="928"/>
      <c r="EF140" s="928"/>
      <c r="EG140" s="928"/>
      <c r="EH140" s="1337"/>
      <c r="EI140" s="928"/>
      <c r="EJ140" s="928"/>
      <c r="EK140" s="928"/>
      <c r="EL140" s="928"/>
      <c r="EM140" s="1337"/>
      <c r="EN140" s="928"/>
      <c r="EO140" s="928"/>
      <c r="EP140" s="928"/>
      <c r="EQ140" s="928"/>
      <c r="ER140" s="928"/>
      <c r="ES140" s="928"/>
      <c r="ET140" s="928"/>
      <c r="EU140" s="928"/>
      <c r="EV140" s="928"/>
      <c r="EW140" s="928"/>
      <c r="EX140" s="928"/>
      <c r="EY140" s="928"/>
      <c r="EZ140" s="928"/>
      <c r="FA140" s="928"/>
      <c r="FB140" s="928"/>
      <c r="FC140" s="928"/>
      <c r="FD140" s="928"/>
      <c r="FE140" s="928"/>
      <c r="FF140" s="1363"/>
      <c r="FG140" s="928"/>
      <c r="FH140" s="1351"/>
      <c r="FI140" s="1319"/>
      <c r="FJ140" s="1612"/>
      <c r="FK140" s="1605"/>
      <c r="FL140" s="928"/>
      <c r="FM140" s="928"/>
      <c r="FN140" s="928"/>
      <c r="FO140" s="928"/>
      <c r="FP140" s="928"/>
      <c r="FQ140" s="928"/>
    </row>
    <row r="141" spans="1:173">
      <c r="A141" s="1444" t="s">
        <v>506</v>
      </c>
      <c r="B141" s="928"/>
      <c r="C141" s="928"/>
      <c r="D141" s="928"/>
      <c r="E141" s="928"/>
      <c r="F141" s="928"/>
      <c r="G141" s="928"/>
      <c r="H141" s="928"/>
      <c r="I141" s="928"/>
      <c r="J141" s="928"/>
      <c r="K141" s="928"/>
      <c r="L141" s="928"/>
      <c r="M141" s="928"/>
      <c r="N141" s="928"/>
      <c r="O141" s="928"/>
      <c r="P141" s="928"/>
      <c r="Q141" s="928"/>
      <c r="R141" s="928"/>
      <c r="S141" s="928"/>
      <c r="T141" s="928"/>
      <c r="U141" s="928"/>
      <c r="V141" s="928"/>
      <c r="W141" s="928"/>
      <c r="X141" s="928"/>
      <c r="Y141" s="928"/>
      <c r="Z141" s="1254"/>
      <c r="AA141" s="1254"/>
      <c r="AB141" s="1254"/>
      <c r="AC141" s="1254"/>
      <c r="AD141" s="1254"/>
      <c r="AE141" s="1254"/>
      <c r="AF141" s="1254"/>
      <c r="AG141" s="1254"/>
      <c r="AH141" s="1254"/>
      <c r="AI141" s="1254"/>
      <c r="AJ141" s="928"/>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355"/>
      <c r="BF141" s="1254"/>
      <c r="BG141" s="1254"/>
      <c r="BH141" s="1254"/>
      <c r="BI141" s="1389"/>
      <c r="BJ141" s="1355"/>
      <c r="BK141" s="1254"/>
      <c r="BL141" s="1254"/>
      <c r="BM141" s="1254"/>
      <c r="BN141" s="1389"/>
      <c r="BO141" s="1355"/>
      <c r="BP141" s="1254"/>
      <c r="BQ141" s="1254"/>
      <c r="BR141" s="1254"/>
      <c r="BS141" s="1389"/>
      <c r="BT141" s="1355"/>
      <c r="BU141" s="1254"/>
      <c r="BV141" s="1254"/>
      <c r="BW141" s="1254"/>
      <c r="BX141" s="1389"/>
      <c r="BY141" s="1254"/>
      <c r="BZ141" s="928"/>
      <c r="CA141" s="928"/>
      <c r="CB141" s="928"/>
      <c r="CC141" s="928"/>
      <c r="CD141" s="928"/>
      <c r="CE141" s="928"/>
      <c r="CF141" s="928"/>
      <c r="CG141" s="928"/>
      <c r="CH141" s="928"/>
      <c r="CI141" s="928"/>
      <c r="CJ141" s="928"/>
      <c r="CK141" s="928"/>
      <c r="CL141" s="928"/>
      <c r="CM141" s="928"/>
      <c r="CN141" s="928"/>
      <c r="CO141" s="928"/>
      <c r="CP141" s="928"/>
      <c r="CQ141" s="928"/>
      <c r="CR141" s="928"/>
      <c r="CS141" s="928"/>
      <c r="CT141" s="928"/>
      <c r="CU141" s="928"/>
      <c r="CV141" s="928"/>
      <c r="CW141" s="928"/>
      <c r="CX141" s="928"/>
      <c r="CY141" s="928"/>
      <c r="CZ141" s="928"/>
      <c r="DA141" s="928"/>
      <c r="DB141" s="928"/>
      <c r="DC141" s="928"/>
      <c r="DD141" s="928"/>
      <c r="DE141" s="928"/>
      <c r="DF141" s="928"/>
      <c r="DG141" s="928"/>
      <c r="DH141" s="928"/>
      <c r="DI141" s="928"/>
      <c r="DJ141" s="928"/>
      <c r="DK141" s="928"/>
      <c r="DL141" s="928"/>
      <c r="DM141" s="928"/>
      <c r="DN141" s="928"/>
      <c r="DO141" s="928"/>
      <c r="DP141" s="928"/>
      <c r="DQ141" s="928"/>
      <c r="DR141" s="928"/>
      <c r="DS141" s="928"/>
      <c r="DT141" s="928"/>
      <c r="DU141" s="928"/>
      <c r="DV141" s="928"/>
      <c r="DW141" s="928"/>
      <c r="DX141" s="928"/>
      <c r="DY141" s="1338"/>
      <c r="DZ141" s="928"/>
      <c r="EA141" s="928"/>
      <c r="EB141" s="928"/>
      <c r="EC141" s="1337"/>
      <c r="ED141" s="1338"/>
      <c r="EE141" s="928"/>
      <c r="EF141" s="928"/>
      <c r="EG141" s="928"/>
      <c r="EH141" s="1337"/>
      <c r="EI141" s="928"/>
      <c r="EJ141" s="928"/>
      <c r="EK141" s="928"/>
      <c r="EL141" s="928"/>
      <c r="EM141" s="1337"/>
      <c r="EN141" s="928"/>
      <c r="EO141" s="928"/>
      <c r="EP141" s="928"/>
      <c r="EQ141" s="928"/>
      <c r="ER141" s="928"/>
      <c r="ES141" s="928"/>
      <c r="ET141" s="928"/>
      <c r="EU141" s="928"/>
      <c r="EV141" s="928"/>
      <c r="EW141" s="928"/>
      <c r="EX141" s="928"/>
      <c r="EY141" s="928"/>
      <c r="EZ141" s="928"/>
      <c r="FA141" s="928"/>
      <c r="FB141" s="928"/>
      <c r="FC141" s="928"/>
      <c r="FD141" s="928"/>
      <c r="FE141" s="928"/>
      <c r="FF141" s="1363"/>
      <c r="FG141" s="928"/>
      <c r="FH141" s="1351"/>
      <c r="FI141" s="1319"/>
      <c r="FJ141" s="1612"/>
      <c r="FK141" s="1605"/>
      <c r="FL141" s="928"/>
      <c r="FM141" s="928"/>
      <c r="FN141" s="928"/>
      <c r="FO141" s="928"/>
      <c r="FP141" s="928"/>
      <c r="FQ141" s="928"/>
    </row>
    <row r="142" spans="1:173">
      <c r="A142" s="1441" t="str">
        <f>A126</f>
        <v>Retail</v>
      </c>
      <c r="B142" s="928"/>
      <c r="C142" s="928"/>
      <c r="D142" s="928"/>
      <c r="E142" s="928"/>
      <c r="F142" s="928"/>
      <c r="G142" s="928"/>
      <c r="H142" s="928"/>
      <c r="I142" s="928"/>
      <c r="J142" s="928"/>
      <c r="K142" s="928"/>
      <c r="L142" s="928"/>
      <c r="M142" s="928"/>
      <c r="N142" s="928"/>
      <c r="O142" s="928"/>
      <c r="P142" s="928"/>
      <c r="Q142" s="928"/>
      <c r="R142" s="928"/>
      <c r="S142" s="928"/>
      <c r="T142" s="928"/>
      <c r="U142" s="928"/>
      <c r="V142" s="928"/>
      <c r="W142" s="928"/>
      <c r="X142" s="928"/>
      <c r="Y142" s="928"/>
      <c r="Z142" s="1254"/>
      <c r="AA142" s="1316">
        <f t="shared" ref="AA142:AD144" si="277">AA126/AA111</f>
        <v>0.39878670652365045</v>
      </c>
      <c r="AB142" s="1316">
        <f t="shared" si="277"/>
        <v>0.40125837223462557</v>
      </c>
      <c r="AC142" s="1316">
        <f t="shared" si="277"/>
        <v>0.40524715320910976</v>
      </c>
      <c r="AD142" s="1316">
        <f t="shared" si="277"/>
        <v>0.405712790679779</v>
      </c>
      <c r="AE142" s="1254"/>
      <c r="AF142" s="1316">
        <f t="shared" ref="AF142:AI144" si="278">AF126/AF111</f>
        <v>0.42096194186394964</v>
      </c>
      <c r="AG142" s="1316">
        <f t="shared" si="278"/>
        <v>0.42487008385496633</v>
      </c>
      <c r="AH142" s="1316">
        <f t="shared" si="278"/>
        <v>0.43100090873685576</v>
      </c>
      <c r="AI142" s="1316">
        <f t="shared" si="278"/>
        <v>0.43385598385808583</v>
      </c>
      <c r="AJ142" s="928"/>
      <c r="AK142" s="1316">
        <f t="shared" ref="AK142:AN144" si="279">AK126/AK111</f>
        <v>0.43073108872518984</v>
      </c>
      <c r="AL142" s="1316">
        <f t="shared" si="279"/>
        <v>0.43294244126009646</v>
      </c>
      <c r="AM142" s="1316">
        <f t="shared" si="279"/>
        <v>0.43010104882657391</v>
      </c>
      <c r="AN142" s="1316">
        <f t="shared" si="279"/>
        <v>0.43679089215699024</v>
      </c>
      <c r="AO142" s="1254"/>
      <c r="AP142" s="1316">
        <f t="shared" ref="AP142:AS144" si="280">AP126/AP111</f>
        <v>0.43399121096289361</v>
      </c>
      <c r="AQ142" s="1316">
        <f t="shared" si="280"/>
        <v>0.43276146905578855</v>
      </c>
      <c r="AR142" s="1316">
        <f t="shared" si="280"/>
        <v>0.43164373730370154</v>
      </c>
      <c r="AS142" s="1316">
        <f t="shared" si="280"/>
        <v>0.43185267988468551</v>
      </c>
      <c r="AT142" s="1254"/>
      <c r="AU142" s="1316">
        <f t="shared" ref="AU142:AX144" si="281">AU126/AU111</f>
        <v>0.44145951184332105</v>
      </c>
      <c r="AV142" s="1316">
        <f t="shared" si="281"/>
        <v>0.44047825709573829</v>
      </c>
      <c r="AW142" s="1316">
        <f t="shared" si="281"/>
        <v>0.42896561777629688</v>
      </c>
      <c r="AX142" s="1316">
        <f t="shared" si="281"/>
        <v>0.42354273587119556</v>
      </c>
      <c r="AY142" s="1254"/>
      <c r="AZ142" s="1316">
        <f t="shared" ref="AZ142:BC144" si="282">AZ126/AZ111</f>
        <v>0.42258963898398905</v>
      </c>
      <c r="BA142" s="1316">
        <f t="shared" si="282"/>
        <v>0.42041918037244813</v>
      </c>
      <c r="BB142" s="1316">
        <f t="shared" si="282"/>
        <v>0.42269785087118922</v>
      </c>
      <c r="BC142" s="1316">
        <f t="shared" si="282"/>
        <v>0.42465857503751397</v>
      </c>
      <c r="BD142" s="1254"/>
      <c r="BE142" s="1347">
        <f t="shared" ref="BE142:BH144" si="283">BE126/BE111</f>
        <v>0.42839260802262696</v>
      </c>
      <c r="BF142" s="1316">
        <f t="shared" si="283"/>
        <v>0.42355201756793848</v>
      </c>
      <c r="BG142" s="1316">
        <f t="shared" si="283"/>
        <v>0.42348701838676889</v>
      </c>
      <c r="BH142" s="1316">
        <f t="shared" si="283"/>
        <v>0.43908162618126478</v>
      </c>
      <c r="BI142" s="1389"/>
      <c r="BJ142" s="1347">
        <f t="shared" ref="BJ142:BK144" si="284">BJ126/BJ111</f>
        <v>0.43200007393305362</v>
      </c>
      <c r="BK142" s="1316">
        <f t="shared" si="284"/>
        <v>0.42840337054059968</v>
      </c>
      <c r="BL142" s="1316">
        <f t="shared" ref="BL142:BM142" si="285">BL126/BL111</f>
        <v>0.41659416349465289</v>
      </c>
      <c r="BM142" s="1316">
        <f t="shared" si="285"/>
        <v>0.43958628862832411</v>
      </c>
      <c r="BN142" s="1389"/>
      <c r="BO142" s="1347">
        <f t="shared" ref="BO142:BQ142" si="286">BO126/BO111</f>
        <v>0.42128971497618872</v>
      </c>
      <c r="BP142" s="1316">
        <f t="shared" si="286"/>
        <v>0.40478896387732982</v>
      </c>
      <c r="BQ142" s="1316">
        <f t="shared" si="286"/>
        <v>0.37936868349583724</v>
      </c>
      <c r="BR142" s="1316">
        <f t="shared" ref="BR142" si="287">BR126/BR111</f>
        <v>0.41133525975136598</v>
      </c>
      <c r="BS142" s="1389"/>
      <c r="BT142" s="1347">
        <f t="shared" ref="BT142:BW144" si="288">BT126/BT111</f>
        <v>0.39199999999999996</v>
      </c>
      <c r="BU142" s="1316">
        <f t="shared" si="288"/>
        <v>0.38738738738738737</v>
      </c>
      <c r="BV142" s="1316">
        <f t="shared" si="288"/>
        <v>0.35555555555555557</v>
      </c>
      <c r="BW142" s="1316">
        <f t="shared" si="288"/>
        <v>0.40176991150442476</v>
      </c>
      <c r="BX142" s="1389"/>
      <c r="BY142" s="1254"/>
      <c r="BZ142" s="928"/>
      <c r="CA142" s="928"/>
      <c r="CB142" s="928"/>
      <c r="CC142" s="928"/>
      <c r="CD142" s="928"/>
      <c r="CE142" s="928"/>
      <c r="CF142" s="928"/>
      <c r="CG142" s="928"/>
      <c r="CH142" s="928"/>
      <c r="CI142" s="928"/>
      <c r="CJ142" s="928"/>
      <c r="CK142" s="928"/>
      <c r="CL142" s="928"/>
      <c r="CM142" s="928"/>
      <c r="CN142" s="928"/>
      <c r="CO142" s="928"/>
      <c r="CP142" s="928"/>
      <c r="CQ142" s="928"/>
      <c r="CR142" s="928"/>
      <c r="CS142" s="928"/>
      <c r="CT142" s="928"/>
      <c r="CU142" s="928"/>
      <c r="CV142" s="928"/>
      <c r="CW142" s="928"/>
      <c r="CX142" s="928"/>
      <c r="CY142" s="928"/>
      <c r="CZ142" s="928"/>
      <c r="DA142" s="928"/>
      <c r="DB142" s="928"/>
      <c r="DC142" s="928"/>
      <c r="DD142" s="928"/>
      <c r="DE142" s="928"/>
      <c r="DF142" s="928"/>
      <c r="DG142" s="928"/>
      <c r="DH142" s="928"/>
      <c r="DI142" s="928"/>
      <c r="DJ142" s="928"/>
      <c r="DK142" s="928"/>
      <c r="DL142" s="928"/>
      <c r="DM142" s="928"/>
      <c r="DN142" s="928"/>
      <c r="DO142" s="928"/>
      <c r="DP142" s="928"/>
      <c r="DQ142" s="928"/>
      <c r="DR142" s="928"/>
      <c r="DS142" s="928"/>
      <c r="DT142" s="928"/>
      <c r="DU142" s="928"/>
      <c r="DV142" s="928"/>
      <c r="DW142" s="928"/>
      <c r="DX142" s="928"/>
      <c r="DY142" s="1338"/>
      <c r="DZ142" s="928"/>
      <c r="EA142" s="928"/>
      <c r="EB142" s="928"/>
      <c r="EC142" s="1337"/>
      <c r="ED142" s="1338"/>
      <c r="EE142" s="928"/>
      <c r="EF142" s="928"/>
      <c r="EG142" s="928"/>
      <c r="EH142" s="1337"/>
      <c r="EI142" s="928"/>
      <c r="EJ142" s="928"/>
      <c r="EK142" s="928"/>
      <c r="EL142" s="928"/>
      <c r="EM142" s="1337"/>
      <c r="EN142" s="928"/>
      <c r="EO142" s="928"/>
      <c r="EP142" s="928"/>
      <c r="EQ142" s="928"/>
      <c r="ER142" s="928"/>
      <c r="ES142" s="928"/>
      <c r="ET142" s="928"/>
      <c r="EU142" s="928"/>
      <c r="EV142" s="928"/>
      <c r="EW142" s="928"/>
      <c r="EX142" s="928"/>
      <c r="EY142" s="928"/>
      <c r="EZ142" s="928"/>
      <c r="FA142" s="928"/>
      <c r="FB142" s="928"/>
      <c r="FC142" s="928"/>
      <c r="FD142" s="928"/>
      <c r="FE142" s="928"/>
      <c r="FF142" s="1360">
        <v>0.39500000000000002</v>
      </c>
      <c r="FG142" s="928"/>
      <c r="FH142" s="1458">
        <v>0.4</v>
      </c>
      <c r="FI142" s="1319"/>
      <c r="FJ142" s="1615">
        <v>0.41592920353982299</v>
      </c>
      <c r="FK142" s="1605"/>
      <c r="FL142" s="928"/>
      <c r="FM142" s="928"/>
      <c r="FN142" s="928"/>
      <c r="FO142" s="928"/>
      <c r="FP142" s="928"/>
      <c r="FQ142" s="928"/>
    </row>
    <row r="143" spans="1:173">
      <c r="A143" s="1441" t="str">
        <f>A127</f>
        <v>Wholesale</v>
      </c>
      <c r="B143" s="928"/>
      <c r="C143" s="928"/>
      <c r="D143" s="928"/>
      <c r="E143" s="928"/>
      <c r="F143" s="928"/>
      <c r="G143" s="928"/>
      <c r="H143" s="928"/>
      <c r="I143" s="928"/>
      <c r="J143" s="928"/>
      <c r="K143" s="928"/>
      <c r="L143" s="928"/>
      <c r="M143" s="928"/>
      <c r="N143" s="928"/>
      <c r="O143" s="928"/>
      <c r="P143" s="928"/>
      <c r="Q143" s="928"/>
      <c r="R143" s="928"/>
      <c r="S143" s="928"/>
      <c r="T143" s="928"/>
      <c r="U143" s="928"/>
      <c r="V143" s="928"/>
      <c r="W143" s="928"/>
      <c r="X143" s="928"/>
      <c r="Y143" s="928"/>
      <c r="Z143" s="1254"/>
      <c r="AA143" s="1316">
        <f t="shared" si="277"/>
        <v>0.38329197684036392</v>
      </c>
      <c r="AB143" s="1316">
        <f t="shared" si="277"/>
        <v>0.38689892051030428</v>
      </c>
      <c r="AC143" s="1316">
        <f t="shared" si="277"/>
        <v>0.40931134820562565</v>
      </c>
      <c r="AD143" s="1316">
        <f t="shared" si="277"/>
        <v>0.35317185697808523</v>
      </c>
      <c r="AE143" s="1254"/>
      <c r="AF143" s="1316">
        <f t="shared" si="278"/>
        <v>0.37893927747886241</v>
      </c>
      <c r="AG143" s="1316">
        <f t="shared" si="278"/>
        <v>0.37860331391389873</v>
      </c>
      <c r="AH143" s="1316">
        <f t="shared" si="278"/>
        <v>0.36052943500592655</v>
      </c>
      <c r="AI143" s="1316">
        <f t="shared" si="278"/>
        <v>0.31725368400185006</v>
      </c>
      <c r="AJ143" s="928"/>
      <c r="AK143" s="1316">
        <f t="shared" si="279"/>
        <v>0.35239602169981915</v>
      </c>
      <c r="AL143" s="1316">
        <f t="shared" si="279"/>
        <v>0.37438535441410087</v>
      </c>
      <c r="AM143" s="1316">
        <f t="shared" si="279"/>
        <v>0.37755102040816324</v>
      </c>
      <c r="AN143" s="1316">
        <f t="shared" si="279"/>
        <v>0.34589257503949439</v>
      </c>
      <c r="AO143" s="1254"/>
      <c r="AP143" s="1316">
        <f t="shared" si="280"/>
        <v>0.34063432249960746</v>
      </c>
      <c r="AQ143" s="1316">
        <f t="shared" si="280"/>
        <v>0.31864328564836181</v>
      </c>
      <c r="AR143" s="1316">
        <f t="shared" si="280"/>
        <v>0.36246502724193785</v>
      </c>
      <c r="AS143" s="1316">
        <f t="shared" si="280"/>
        <v>0.33461101646791597</v>
      </c>
      <c r="AT143" s="1254"/>
      <c r="AU143" s="1316">
        <f t="shared" si="281"/>
        <v>0.3567583088076951</v>
      </c>
      <c r="AV143" s="1316">
        <f t="shared" si="281"/>
        <v>0.36940826727066817</v>
      </c>
      <c r="AW143" s="1316">
        <f t="shared" si="281"/>
        <v>0.35055992209779507</v>
      </c>
      <c r="AX143" s="1316">
        <f t="shared" si="281"/>
        <v>0.32366646229307172</v>
      </c>
      <c r="AY143" s="1254"/>
      <c r="AZ143" s="1316">
        <f t="shared" si="282"/>
        <v>0.34070677097383328</v>
      </c>
      <c r="BA143" s="1316">
        <f t="shared" si="282"/>
        <v>0.34986025712688651</v>
      </c>
      <c r="BB143" s="1316">
        <f t="shared" si="282"/>
        <v>0.35253748558246828</v>
      </c>
      <c r="BC143" s="1316">
        <f t="shared" si="282"/>
        <v>0.36319667060345312</v>
      </c>
      <c r="BD143" s="1254"/>
      <c r="BE143" s="1347">
        <f t="shared" si="283"/>
        <v>0.31070987472798917</v>
      </c>
      <c r="BF143" s="1316">
        <f t="shared" si="283"/>
        <v>0.36116025950351188</v>
      </c>
      <c r="BG143" s="1316">
        <f t="shared" si="283"/>
        <v>0.36109837193304284</v>
      </c>
      <c r="BH143" s="1316">
        <f t="shared" si="283"/>
        <v>0.35850787341385104</v>
      </c>
      <c r="BI143" s="1389"/>
      <c r="BJ143" s="1347">
        <f t="shared" si="284"/>
        <v>0.32275582308296258</v>
      </c>
      <c r="BK143" s="1316">
        <f t="shared" si="284"/>
        <v>0.3249076029567054</v>
      </c>
      <c r="BL143" s="1316">
        <f t="shared" ref="BL143:BM143" si="289">BL127/BL112</f>
        <v>0.25472114853672007</v>
      </c>
      <c r="BM143" s="1316">
        <f t="shared" si="289"/>
        <v>0.19222323389213217</v>
      </c>
      <c r="BN143" s="1389"/>
      <c r="BO143" s="1347">
        <f t="shared" ref="BO143:BQ143" si="290">BO127/BO112</f>
        <v>0.29621547903170814</v>
      </c>
      <c r="BP143" s="1316">
        <f t="shared" si="290"/>
        <v>0.25667144906743183</v>
      </c>
      <c r="BQ143" s="1316">
        <f t="shared" si="290"/>
        <v>0.18726836712448225</v>
      </c>
      <c r="BR143" s="1316">
        <f t="shared" ref="BR143" si="291">BR127/BR112</f>
        <v>0.17765298959862166</v>
      </c>
      <c r="BS143" s="1389"/>
      <c r="BT143" s="1347">
        <f t="shared" ref="BT143:BV143" si="292">BT127/BT112</f>
        <v>0.391614394437659</v>
      </c>
      <c r="BU143" s="1316">
        <f t="shared" si="292"/>
        <v>0.31818181818181818</v>
      </c>
      <c r="BV143" s="1316">
        <f t="shared" si="292"/>
        <v>0.23809523809523808</v>
      </c>
      <c r="BW143" s="1316">
        <f t="shared" si="288"/>
        <v>6.5031312854271342E-2</v>
      </c>
      <c r="BX143" s="1389"/>
      <c r="BY143" s="1254"/>
      <c r="BZ143" s="928"/>
      <c r="CA143" s="928"/>
      <c r="CB143" s="928"/>
      <c r="CC143" s="928"/>
      <c r="CD143" s="928"/>
      <c r="CE143" s="928"/>
      <c r="CF143" s="928"/>
      <c r="CG143" s="928"/>
      <c r="CH143" s="928"/>
      <c r="CI143" s="928"/>
      <c r="CJ143" s="928"/>
      <c r="CK143" s="928"/>
      <c r="CL143" s="928"/>
      <c r="CM143" s="928"/>
      <c r="CN143" s="928"/>
      <c r="CO143" s="928"/>
      <c r="CP143" s="928"/>
      <c r="CQ143" s="928"/>
      <c r="CR143" s="928"/>
      <c r="CS143" s="928"/>
      <c r="CT143" s="928"/>
      <c r="CU143" s="928"/>
      <c r="CV143" s="928"/>
      <c r="CW143" s="928"/>
      <c r="CX143" s="928"/>
      <c r="CY143" s="928"/>
      <c r="CZ143" s="928"/>
      <c r="DA143" s="928"/>
      <c r="DB143" s="928"/>
      <c r="DC143" s="928"/>
      <c r="DD143" s="928"/>
      <c r="DE143" s="928"/>
      <c r="DF143" s="928"/>
      <c r="DG143" s="928"/>
      <c r="DH143" s="928"/>
      <c r="DI143" s="928"/>
      <c r="DJ143" s="928"/>
      <c r="DK143" s="928"/>
      <c r="DL143" s="928"/>
      <c r="DM143" s="928"/>
      <c r="DN143" s="928"/>
      <c r="DO143" s="928"/>
      <c r="DP143" s="928"/>
      <c r="DQ143" s="928"/>
      <c r="DR143" s="928"/>
      <c r="DS143" s="928"/>
      <c r="DT143" s="928"/>
      <c r="DU143" s="928"/>
      <c r="DV143" s="928"/>
      <c r="DW143" s="928"/>
      <c r="DX143" s="928"/>
      <c r="DY143" s="1338"/>
      <c r="DZ143" s="928"/>
      <c r="EA143" s="928"/>
      <c r="EB143" s="928"/>
      <c r="EC143" s="1337"/>
      <c r="ED143" s="1338"/>
      <c r="EE143" s="928"/>
      <c r="EF143" s="928"/>
      <c r="EG143" s="928"/>
      <c r="EH143" s="1337"/>
      <c r="EI143" s="928"/>
      <c r="EJ143" s="928"/>
      <c r="EK143" s="928"/>
      <c r="EL143" s="928"/>
      <c r="EM143" s="1337"/>
      <c r="EN143" s="928"/>
      <c r="EO143" s="928"/>
      <c r="EP143" s="928"/>
      <c r="EQ143" s="928"/>
      <c r="ER143" s="928"/>
      <c r="ES143" s="928"/>
      <c r="ET143" s="928"/>
      <c r="EU143" s="928"/>
      <c r="EV143" s="928"/>
      <c r="EW143" s="928"/>
      <c r="EX143" s="928"/>
      <c r="EY143" s="928"/>
      <c r="EZ143" s="928"/>
      <c r="FA143" s="928"/>
      <c r="FB143" s="928"/>
      <c r="FC143" s="928"/>
      <c r="FD143" s="928"/>
      <c r="FE143" s="928"/>
      <c r="FF143" s="1459">
        <v>0.255</v>
      </c>
      <c r="FG143" s="928"/>
      <c r="FH143" s="1458">
        <v>0.18</v>
      </c>
      <c r="FI143" s="1319"/>
      <c r="FJ143" s="1615">
        <v>0.23385432555134852</v>
      </c>
      <c r="FK143" s="1605"/>
      <c r="FL143" s="928"/>
      <c r="FM143" s="928"/>
      <c r="FN143" s="928"/>
      <c r="FO143" s="928"/>
      <c r="FP143" s="928"/>
      <c r="FQ143" s="928"/>
    </row>
    <row r="144" spans="1:173">
      <c r="A144" s="1454" t="str">
        <f>A128</f>
        <v>Total</v>
      </c>
      <c r="B144" s="1406"/>
      <c r="C144" s="1406"/>
      <c r="D144" s="1406"/>
      <c r="E144" s="1406"/>
      <c r="F144" s="1406"/>
      <c r="G144" s="1406"/>
      <c r="H144" s="1406"/>
      <c r="I144" s="1406"/>
      <c r="J144" s="1406"/>
      <c r="K144" s="1406"/>
      <c r="L144" s="1406"/>
      <c r="M144" s="1406"/>
      <c r="N144" s="1406"/>
      <c r="O144" s="1406"/>
      <c r="P144" s="1406"/>
      <c r="Q144" s="1406"/>
      <c r="R144" s="1406"/>
      <c r="S144" s="1406"/>
      <c r="T144" s="1406"/>
      <c r="U144" s="1406"/>
      <c r="V144" s="1406"/>
      <c r="W144" s="1406"/>
      <c r="X144" s="1406"/>
      <c r="Y144" s="1406"/>
      <c r="Z144" s="1455"/>
      <c r="AA144" s="1460">
        <f t="shared" si="277"/>
        <v>0.39607018561484919</v>
      </c>
      <c r="AB144" s="1460">
        <f t="shared" si="277"/>
        <v>0.39879751093171883</v>
      </c>
      <c r="AC144" s="1460">
        <f t="shared" si="277"/>
        <v>0.40597126031876851</v>
      </c>
      <c r="AD144" s="1460">
        <f t="shared" si="277"/>
        <v>0.39695057833859093</v>
      </c>
      <c r="AE144" s="1455"/>
      <c r="AF144" s="1460">
        <f t="shared" si="278"/>
        <v>0.4141065830721003</v>
      </c>
      <c r="AG144" s="1460">
        <f t="shared" si="278"/>
        <v>0.41731622052301953</v>
      </c>
      <c r="AH144" s="1460">
        <f t="shared" si="278"/>
        <v>0.41833800717049452</v>
      </c>
      <c r="AI144" s="1460">
        <f t="shared" si="278"/>
        <v>0.41345664739884402</v>
      </c>
      <c r="AJ144" s="1406"/>
      <c r="AK144" s="1460">
        <f t="shared" si="279"/>
        <v>0.4182733209514109</v>
      </c>
      <c r="AL144" s="1460">
        <f t="shared" si="279"/>
        <v>0.42371770426160738</v>
      </c>
      <c r="AM144" s="1460">
        <f t="shared" si="279"/>
        <v>0.4221429567318864</v>
      </c>
      <c r="AN144" s="1460">
        <f t="shared" si="279"/>
        <v>0.42392288854845722</v>
      </c>
      <c r="AO144" s="1455"/>
      <c r="AP144" s="1460">
        <f t="shared" si="280"/>
        <v>0.42072681033328879</v>
      </c>
      <c r="AQ144" s="1460">
        <f t="shared" si="280"/>
        <v>0.41657941805173843</v>
      </c>
      <c r="AR144" s="1460">
        <f t="shared" si="280"/>
        <v>0.42183503669447026</v>
      </c>
      <c r="AS144" s="1460">
        <f t="shared" si="280"/>
        <v>0.41802509260848059</v>
      </c>
      <c r="AT144" s="1455"/>
      <c r="AU144" s="1460">
        <f t="shared" si="281"/>
        <v>0.42996698255627086</v>
      </c>
      <c r="AV144" s="1460">
        <f t="shared" si="281"/>
        <v>0.43103221193647928</v>
      </c>
      <c r="AW144" s="1460">
        <f t="shared" si="281"/>
        <v>0.41875650953221932</v>
      </c>
      <c r="AX144" s="1460">
        <f t="shared" si="281"/>
        <v>0.40929329332831815</v>
      </c>
      <c r="AY144" s="1455"/>
      <c r="AZ144" s="1460">
        <f t="shared" si="282"/>
        <v>0.41178616553663272</v>
      </c>
      <c r="BA144" s="1460">
        <f t="shared" si="282"/>
        <v>0.40964677971308849</v>
      </c>
      <c r="BB144" s="1460">
        <f t="shared" si="282"/>
        <v>0.41252696172688824</v>
      </c>
      <c r="BC144" s="1460">
        <f t="shared" si="282"/>
        <v>0.41577899654682104</v>
      </c>
      <c r="BD144" s="1455"/>
      <c r="BE144" s="1512">
        <f t="shared" si="283"/>
        <v>0.4119450586484954</v>
      </c>
      <c r="BF144" s="1460">
        <f t="shared" si="283"/>
        <v>0.41419009155416819</v>
      </c>
      <c r="BG144" s="1460">
        <f t="shared" si="283"/>
        <v>0.41482725146012694</v>
      </c>
      <c r="BH144" s="1460">
        <f t="shared" si="283"/>
        <v>0.42691857960489882</v>
      </c>
      <c r="BI144" s="1511"/>
      <c r="BJ144" s="1512">
        <f t="shared" si="284"/>
        <v>0.4184792290873755</v>
      </c>
      <c r="BK144" s="1460">
        <f t="shared" si="284"/>
        <v>0.41583872828664825</v>
      </c>
      <c r="BL144" s="1460">
        <f t="shared" ref="BL144:BM144" si="293">BL128/BL113</f>
        <v>0.39377189567925264</v>
      </c>
      <c r="BM144" s="1460">
        <f t="shared" si="293"/>
        <v>0.40407372378953188</v>
      </c>
      <c r="BN144" s="1511"/>
      <c r="BO144" s="1512">
        <f t="shared" ref="BO144:BQ144" si="294">BO128/BO113</f>
        <v>0.40687172311876552</v>
      </c>
      <c r="BP144" s="1460">
        <f t="shared" si="294"/>
        <v>0.38869927061903875</v>
      </c>
      <c r="BQ144" s="1460">
        <f t="shared" si="294"/>
        <v>0.35839956848000254</v>
      </c>
      <c r="BR144" s="1460">
        <f t="shared" ref="BR144" si="295">BR128/BR113</f>
        <v>0.38244528944918654</v>
      </c>
      <c r="BS144" s="1511"/>
      <c r="BT144" s="1512">
        <f t="shared" ref="BT144:BV144" si="296">BT128/BT113</f>
        <v>0.3919655378000958</v>
      </c>
      <c r="BU144" s="1460">
        <f t="shared" si="296"/>
        <v>0.38114754098360654</v>
      </c>
      <c r="BV144" s="1460">
        <f t="shared" si="296"/>
        <v>0.34552845528455284</v>
      </c>
      <c r="BW144" s="1460">
        <f t="shared" si="288"/>
        <v>0.37205144911165267</v>
      </c>
      <c r="BX144" s="1511"/>
      <c r="BY144" s="1254"/>
      <c r="BZ144" s="928"/>
      <c r="CA144" s="928"/>
      <c r="CB144" s="928"/>
      <c r="CC144" s="928"/>
      <c r="CD144" s="928"/>
      <c r="CE144" s="928"/>
      <c r="CF144" s="928"/>
      <c r="CG144" s="928"/>
      <c r="CH144" s="928"/>
      <c r="CI144" s="928"/>
      <c r="CJ144" s="928"/>
      <c r="CK144" s="928"/>
      <c r="CL144" s="928"/>
      <c r="CM144" s="928"/>
      <c r="CN144" s="928"/>
      <c r="CO144" s="928"/>
      <c r="CP144" s="928"/>
      <c r="CQ144" s="928"/>
      <c r="CR144" s="928"/>
      <c r="CS144" s="928"/>
      <c r="CT144" s="928"/>
      <c r="CU144" s="928"/>
      <c r="CV144" s="928"/>
      <c r="CW144" s="928"/>
      <c r="CX144" s="928"/>
      <c r="CY144" s="928"/>
      <c r="CZ144" s="928"/>
      <c r="DA144" s="928"/>
      <c r="DB144" s="928"/>
      <c r="DC144" s="928"/>
      <c r="DD144" s="928"/>
      <c r="DE144" s="928"/>
      <c r="DF144" s="928"/>
      <c r="DG144" s="928"/>
      <c r="DH144" s="928"/>
      <c r="DI144" s="928"/>
      <c r="DJ144" s="928"/>
      <c r="DK144" s="928"/>
      <c r="DL144" s="928"/>
      <c r="DM144" s="928"/>
      <c r="DN144" s="928"/>
      <c r="DO144" s="928"/>
      <c r="DP144" s="928"/>
      <c r="DQ144" s="928"/>
      <c r="DR144" s="928"/>
      <c r="DS144" s="928"/>
      <c r="DT144" s="928"/>
      <c r="DU144" s="928"/>
      <c r="DV144" s="928"/>
      <c r="DW144" s="928"/>
      <c r="DX144" s="928"/>
      <c r="DY144" s="1338"/>
      <c r="DZ144" s="928"/>
      <c r="EA144" s="928"/>
      <c r="EB144" s="928"/>
      <c r="EC144" s="1337"/>
      <c r="ED144" s="1338"/>
      <c r="EE144" s="928"/>
      <c r="EF144" s="928"/>
      <c r="EG144" s="928"/>
      <c r="EH144" s="1337"/>
      <c r="EI144" s="928"/>
      <c r="EJ144" s="928"/>
      <c r="EK144" s="928"/>
      <c r="EL144" s="928"/>
      <c r="EM144" s="1337"/>
      <c r="EN144" s="928"/>
      <c r="EO144" s="928"/>
      <c r="EP144" s="928"/>
      <c r="EQ144" s="928"/>
      <c r="ER144" s="928"/>
      <c r="ES144" s="928"/>
      <c r="ET144" s="928"/>
      <c r="EU144" s="928"/>
      <c r="EV144" s="928"/>
      <c r="EW144" s="928"/>
      <c r="EX144" s="928"/>
      <c r="EY144" s="928"/>
      <c r="EZ144" s="928"/>
      <c r="FA144" s="928"/>
      <c r="FB144" s="928"/>
      <c r="FC144" s="928"/>
      <c r="FD144" s="928"/>
      <c r="FE144" s="928"/>
      <c r="FF144" s="1360">
        <v>0.37751460334756315</v>
      </c>
      <c r="FG144" s="928"/>
      <c r="FH144" s="1361">
        <v>0.3709820398594641</v>
      </c>
      <c r="FI144" s="1319"/>
      <c r="FJ144" s="1625">
        <v>0.39594506496601523</v>
      </c>
      <c r="FK144" s="1605"/>
      <c r="FL144" s="928"/>
      <c r="FM144" s="928"/>
      <c r="FN144" s="928"/>
      <c r="FO144" s="928"/>
      <c r="FP144" s="928"/>
      <c r="FQ144" s="928"/>
    </row>
    <row r="145" spans="1:173">
      <c r="A145" s="1441"/>
      <c r="B145" s="928"/>
      <c r="C145" s="928"/>
      <c r="D145" s="928"/>
      <c r="E145" s="928"/>
      <c r="F145" s="928"/>
      <c r="G145" s="928"/>
      <c r="H145" s="928"/>
      <c r="I145" s="928"/>
      <c r="J145" s="928"/>
      <c r="K145" s="928"/>
      <c r="L145" s="928"/>
      <c r="M145" s="928"/>
      <c r="N145" s="928"/>
      <c r="O145" s="928"/>
      <c r="P145" s="928"/>
      <c r="Q145" s="928"/>
      <c r="R145" s="928"/>
      <c r="S145" s="928"/>
      <c r="T145" s="928"/>
      <c r="U145" s="928"/>
      <c r="V145" s="928"/>
      <c r="W145" s="928"/>
      <c r="X145" s="928"/>
      <c r="Y145" s="928"/>
      <c r="Z145" s="1254"/>
      <c r="AA145" s="1254"/>
      <c r="AB145" s="1254"/>
      <c r="AC145" s="1254"/>
      <c r="AD145" s="1316"/>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355"/>
      <c r="BF145" s="1254"/>
      <c r="BG145" s="1254"/>
      <c r="BH145" s="1254"/>
      <c r="BI145" s="1389"/>
      <c r="BJ145" s="1355"/>
      <c r="BK145" s="1254"/>
      <c r="BL145" s="1254"/>
      <c r="BM145" s="1254"/>
      <c r="BN145" s="1389"/>
      <c r="BO145" s="1355"/>
      <c r="BP145" s="1254"/>
      <c r="BQ145" s="1254"/>
      <c r="BR145" s="1254"/>
      <c r="BS145" s="1389"/>
      <c r="BT145" s="1355"/>
      <c r="BU145" s="1254"/>
      <c r="BV145" s="1254"/>
      <c r="BW145" s="1254"/>
      <c r="BX145" s="1389"/>
      <c r="BY145" s="1254"/>
      <c r="BZ145" s="928"/>
      <c r="CA145" s="928"/>
      <c r="CB145" s="928"/>
      <c r="CC145" s="928"/>
      <c r="CD145" s="928"/>
      <c r="CE145" s="928"/>
      <c r="CF145" s="928"/>
      <c r="CG145" s="928"/>
      <c r="CH145" s="928"/>
      <c r="CI145" s="928"/>
      <c r="CJ145" s="928"/>
      <c r="CK145" s="928"/>
      <c r="CL145" s="928"/>
      <c r="CM145" s="928"/>
      <c r="CN145" s="928"/>
      <c r="CO145" s="928"/>
      <c r="CP145" s="928"/>
      <c r="CQ145" s="928"/>
      <c r="CR145" s="928"/>
      <c r="CS145" s="928"/>
      <c r="CT145" s="928"/>
      <c r="CU145" s="928"/>
      <c r="CV145" s="928"/>
      <c r="CW145" s="928"/>
      <c r="CX145" s="928"/>
      <c r="CY145" s="928"/>
      <c r="CZ145" s="928"/>
      <c r="DA145" s="928"/>
      <c r="DB145" s="928"/>
      <c r="DC145" s="928"/>
      <c r="DD145" s="928"/>
      <c r="DE145" s="928"/>
      <c r="DF145" s="928"/>
      <c r="DG145" s="928"/>
      <c r="DH145" s="928"/>
      <c r="DI145" s="928"/>
      <c r="DJ145" s="928"/>
      <c r="DK145" s="928"/>
      <c r="DL145" s="928"/>
      <c r="DM145" s="928"/>
      <c r="DN145" s="928"/>
      <c r="DO145" s="928"/>
      <c r="DP145" s="928"/>
      <c r="DQ145" s="928"/>
      <c r="DR145" s="928"/>
      <c r="DS145" s="928"/>
      <c r="DT145" s="928"/>
      <c r="DU145" s="928"/>
      <c r="DV145" s="928"/>
      <c r="DW145" s="928"/>
      <c r="DX145" s="928"/>
      <c r="DY145" s="1338"/>
      <c r="DZ145" s="928"/>
      <c r="EA145" s="928"/>
      <c r="EB145" s="928"/>
      <c r="EC145" s="1337"/>
      <c r="ED145" s="1338"/>
      <c r="EE145" s="928"/>
      <c r="EF145" s="928"/>
      <c r="EG145" s="928"/>
      <c r="EH145" s="1337"/>
      <c r="EI145" s="928"/>
      <c r="EJ145" s="928"/>
      <c r="EK145" s="928"/>
      <c r="EL145" s="928"/>
      <c r="EM145" s="1337"/>
      <c r="EN145" s="928"/>
      <c r="EO145" s="928"/>
      <c r="EP145" s="928"/>
      <c r="EQ145" s="928"/>
      <c r="ER145" s="928"/>
      <c r="ES145" s="928"/>
      <c r="ET145" s="928"/>
      <c r="EU145" s="928"/>
      <c r="EV145" s="928"/>
      <c r="EW145" s="928"/>
      <c r="EX145" s="928"/>
      <c r="EY145" s="928"/>
      <c r="EZ145" s="928"/>
      <c r="FA145" s="928"/>
      <c r="FB145" s="928"/>
      <c r="FC145" s="928"/>
      <c r="FD145" s="928"/>
      <c r="FE145" s="928"/>
      <c r="FF145" s="1363"/>
      <c r="FG145" s="928"/>
      <c r="FH145" s="1351"/>
      <c r="FI145" s="1319"/>
      <c r="FJ145" s="1612"/>
      <c r="FK145" s="1605"/>
      <c r="FL145" s="928"/>
      <c r="FM145" s="928"/>
      <c r="FN145" s="928"/>
      <c r="FO145" s="928"/>
      <c r="FP145" s="928"/>
      <c r="FQ145" s="928"/>
    </row>
    <row r="146" spans="1:173">
      <c r="A146" s="1463" t="s">
        <v>1025</v>
      </c>
      <c r="B146" s="928"/>
      <c r="C146" s="928"/>
      <c r="D146" s="928"/>
      <c r="E146" s="928"/>
      <c r="F146" s="928"/>
      <c r="G146" s="928"/>
      <c r="H146" s="928"/>
      <c r="I146" s="928"/>
      <c r="J146" s="928"/>
      <c r="K146" s="928"/>
      <c r="L146" s="928"/>
      <c r="M146" s="928"/>
      <c r="N146" s="928"/>
      <c r="O146" s="928"/>
      <c r="P146" s="928"/>
      <c r="Q146" s="928"/>
      <c r="R146" s="928"/>
      <c r="S146" s="928"/>
      <c r="T146" s="928"/>
      <c r="U146" s="928"/>
      <c r="V146" s="928"/>
      <c r="W146" s="928"/>
      <c r="X146" s="928"/>
      <c r="Y146" s="928"/>
      <c r="Z146" s="1254"/>
      <c r="AA146" s="1254"/>
      <c r="AB146" s="1254"/>
      <c r="AC146" s="1254"/>
      <c r="AD146" s="1254"/>
      <c r="AE146" s="1254"/>
      <c r="AF146" s="1254">
        <f>AF95/AF14</f>
        <v>0.49450004632886652</v>
      </c>
      <c r="AG146" s="1254">
        <f>AG95/AG14</f>
        <v>0.52632752720421427</v>
      </c>
      <c r="AH146" s="1254">
        <f>AH95/AH14</f>
        <v>0.56865214832254263</v>
      </c>
      <c r="AI146" s="1254">
        <f>AI95/AI14</f>
        <v>0.70988367896838767</v>
      </c>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355"/>
      <c r="BF146" s="1254"/>
      <c r="BG146" s="1254"/>
      <c r="BH146" s="1254"/>
      <c r="BI146" s="1389"/>
      <c r="BJ146" s="1355"/>
      <c r="BK146" s="1254"/>
      <c r="BL146" s="1254"/>
      <c r="BM146" s="1254"/>
      <c r="BN146" s="1389"/>
      <c r="BO146" s="1355"/>
      <c r="BP146" s="1254"/>
      <c r="BQ146" s="1254"/>
      <c r="BR146" s="1254"/>
      <c r="BS146" s="1389"/>
      <c r="BT146" s="1355"/>
      <c r="BU146" s="1254"/>
      <c r="BV146" s="1254"/>
      <c r="BW146" s="1254"/>
      <c r="BX146" s="1389"/>
      <c r="BY146" s="1254"/>
      <c r="BZ146" s="928"/>
      <c r="CA146" s="928"/>
      <c r="CB146" s="928"/>
      <c r="CC146" s="928"/>
      <c r="CD146" s="928"/>
      <c r="CE146" s="928"/>
      <c r="CF146" s="928"/>
      <c r="CG146" s="928"/>
      <c r="CH146" s="928"/>
      <c r="CI146" s="928"/>
      <c r="CJ146" s="928"/>
      <c r="CK146" s="928"/>
      <c r="CL146" s="928"/>
      <c r="CM146" s="928"/>
      <c r="CN146" s="928"/>
      <c r="CO146" s="928"/>
      <c r="CP146" s="928"/>
      <c r="CQ146" s="928"/>
      <c r="CR146" s="928"/>
      <c r="CS146" s="928"/>
      <c r="CT146" s="928"/>
      <c r="CU146" s="928"/>
      <c r="CV146" s="928"/>
      <c r="CW146" s="928"/>
      <c r="CX146" s="928"/>
      <c r="CY146" s="928"/>
      <c r="CZ146" s="928"/>
      <c r="DA146" s="928"/>
      <c r="DB146" s="928"/>
      <c r="DC146" s="928"/>
      <c r="DD146" s="928"/>
      <c r="DE146" s="928"/>
      <c r="DF146" s="928"/>
      <c r="DG146" s="928"/>
      <c r="DH146" s="928"/>
      <c r="DI146" s="928"/>
      <c r="DJ146" s="928"/>
      <c r="DK146" s="928"/>
      <c r="DL146" s="928"/>
      <c r="DM146" s="928"/>
      <c r="DN146" s="928"/>
      <c r="DO146" s="928"/>
      <c r="DP146" s="928"/>
      <c r="DQ146" s="928"/>
      <c r="DR146" s="928"/>
      <c r="DS146" s="928"/>
      <c r="DT146" s="928"/>
      <c r="DU146" s="928"/>
      <c r="DV146" s="928"/>
      <c r="DW146" s="928"/>
      <c r="DX146" s="928"/>
      <c r="DY146" s="1338"/>
      <c r="DZ146" s="928"/>
      <c r="EA146" s="928"/>
      <c r="EB146" s="928"/>
      <c r="EC146" s="1337"/>
      <c r="ED146" s="1338"/>
      <c r="EE146" s="928"/>
      <c r="EF146" s="928"/>
      <c r="EG146" s="928"/>
      <c r="EH146" s="1337"/>
      <c r="EI146" s="928"/>
      <c r="EJ146" s="928"/>
      <c r="EK146" s="928"/>
      <c r="EL146" s="928"/>
      <c r="EM146" s="1337"/>
      <c r="EN146" s="928"/>
      <c r="EO146" s="928"/>
      <c r="EP146" s="928"/>
      <c r="EQ146" s="928"/>
      <c r="ER146" s="928"/>
      <c r="ES146" s="928"/>
      <c r="ET146" s="928"/>
      <c r="EU146" s="928"/>
      <c r="EV146" s="928"/>
      <c r="EW146" s="928"/>
      <c r="EX146" s="928"/>
      <c r="EY146" s="928"/>
      <c r="EZ146" s="928"/>
      <c r="FA146" s="928"/>
      <c r="FB146" s="928"/>
      <c r="FC146" s="928"/>
      <c r="FD146" s="928"/>
      <c r="FE146" s="928"/>
      <c r="FF146" s="1363"/>
      <c r="FG146" s="928"/>
      <c r="FH146" s="1351"/>
      <c r="FI146" s="1319"/>
      <c r="FJ146" s="1612"/>
      <c r="FK146" s="1605"/>
      <c r="FL146" s="928"/>
      <c r="FM146" s="928"/>
      <c r="FN146" s="928"/>
      <c r="FO146" s="928"/>
      <c r="FP146" s="928"/>
      <c r="FQ146" s="928"/>
    </row>
    <row r="147" spans="1:173">
      <c r="A147" s="1441" t="s">
        <v>4078</v>
      </c>
      <c r="B147" s="928"/>
      <c r="C147" s="928"/>
      <c r="D147" s="928"/>
      <c r="E147" s="928"/>
      <c r="F147" s="928"/>
      <c r="G147" s="928"/>
      <c r="H147" s="928"/>
      <c r="I147" s="928"/>
      <c r="J147" s="928"/>
      <c r="K147" s="928"/>
      <c r="L147" s="928"/>
      <c r="M147" s="928"/>
      <c r="N147" s="928"/>
      <c r="O147" s="928"/>
      <c r="P147" s="928"/>
      <c r="Q147" s="928"/>
      <c r="R147" s="928"/>
      <c r="S147" s="928"/>
      <c r="T147" s="928"/>
      <c r="U147" s="928"/>
      <c r="V147" s="928"/>
      <c r="W147" s="928"/>
      <c r="X147" s="928"/>
      <c r="Y147" s="928"/>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413">
        <f>Master!Q164</f>
        <v>-6723</v>
      </c>
      <c r="AU147" s="1464">
        <v>2500</v>
      </c>
      <c r="AV147" s="1464">
        <v>2500</v>
      </c>
      <c r="AW147" s="1413">
        <f>7535.422-AV147-AU147</f>
        <v>2535.4219999999996</v>
      </c>
      <c r="AX147" s="1413">
        <f>8636.632-AU147-AV147-AW147</f>
        <v>1101.21</v>
      </c>
      <c r="AY147" s="1413"/>
      <c r="AZ147" s="1413">
        <v>3807</v>
      </c>
      <c r="BA147" s="1464">
        <v>1500</v>
      </c>
      <c r="BB147" s="1464">
        <v>1500</v>
      </c>
      <c r="BC147" s="1413">
        <f>-Master!S164-AZ147-BA147-BB147</f>
        <v>1874</v>
      </c>
      <c r="BD147" s="1413"/>
      <c r="BE147" s="1515">
        <v>1200</v>
      </c>
      <c r="BF147" s="1465">
        <f>5345-BE147</f>
        <v>4145</v>
      </c>
      <c r="BG147" s="1465">
        <f>7456.848-SUM(BE147:BF147)</f>
        <v>2111.848</v>
      </c>
      <c r="BH147" s="1465">
        <f>9166.2-BG147-BF147-BE147</f>
        <v>1709.3520000000008</v>
      </c>
      <c r="BI147" s="1337"/>
      <c r="BJ147" s="1582">
        <v>3000</v>
      </c>
      <c r="BK147" s="1583">
        <v>3000</v>
      </c>
      <c r="BL147" s="1583">
        <v>3000</v>
      </c>
      <c r="BM147" s="1451">
        <f>12118-BJ147-BK147-BL147</f>
        <v>3118</v>
      </c>
      <c r="BN147" s="1514"/>
      <c r="BO147" s="1523">
        <v>4185</v>
      </c>
      <c r="BP147" s="1451">
        <f>5844.376-BO147</f>
        <v>1659.3760000000002</v>
      </c>
      <c r="BQ147" s="1583">
        <v>1250</v>
      </c>
      <c r="BR147" s="1451">
        <f>7014.309-BO147-BP147-BQ147</f>
        <v>-80.067000000000007</v>
      </c>
      <c r="BS147" s="1514"/>
      <c r="BT147" s="1523">
        <v>1511.326</v>
      </c>
      <c r="BU147" s="1537">
        <v>-700</v>
      </c>
      <c r="BV147" s="1537">
        <v>-700</v>
      </c>
      <c r="BW147" s="1537">
        <f ca="1">-Master!W164-BT147-BU147-BV147</f>
        <v>-857.88048523929683</v>
      </c>
      <c r="BX147" s="1514"/>
      <c r="BY147" s="1413"/>
      <c r="BZ147" s="928"/>
      <c r="CA147" s="928"/>
      <c r="CB147" s="928"/>
      <c r="CC147" s="928"/>
      <c r="CD147" s="928"/>
      <c r="CE147" s="928"/>
      <c r="CF147" s="928"/>
      <c r="CG147" s="928"/>
      <c r="CH147" s="928"/>
      <c r="CI147" s="928"/>
      <c r="CJ147" s="928"/>
      <c r="CK147" s="928"/>
      <c r="CL147" s="928"/>
      <c r="CM147" s="928"/>
      <c r="CN147" s="928"/>
      <c r="CO147" s="928"/>
      <c r="CP147" s="928"/>
      <c r="CQ147" s="928"/>
      <c r="CR147" s="928"/>
      <c r="CS147" s="928"/>
      <c r="CT147" s="928"/>
      <c r="CU147" s="928"/>
      <c r="CV147" s="928"/>
      <c r="CW147" s="928"/>
      <c r="CX147" s="928"/>
      <c r="CY147" s="928"/>
      <c r="CZ147" s="928"/>
      <c r="DA147" s="928"/>
      <c r="DB147" s="928"/>
      <c r="DC147" s="928"/>
      <c r="DD147" s="928"/>
      <c r="DE147" s="928"/>
      <c r="DF147" s="928"/>
      <c r="DG147" s="928"/>
      <c r="DH147" s="928"/>
      <c r="DI147" s="928"/>
      <c r="DJ147" s="928"/>
      <c r="DK147" s="928"/>
      <c r="DL147" s="928"/>
      <c r="DM147" s="928"/>
      <c r="DN147" s="928"/>
      <c r="DO147" s="928"/>
      <c r="DP147" s="928"/>
      <c r="DQ147" s="928"/>
      <c r="DR147" s="928"/>
      <c r="DS147" s="928"/>
      <c r="DT147" s="928"/>
      <c r="DU147" s="928"/>
      <c r="DV147" s="928"/>
      <c r="DW147" s="928"/>
      <c r="DX147" s="928"/>
      <c r="DY147" s="1338"/>
      <c r="DZ147" s="928"/>
      <c r="EA147" s="928"/>
      <c r="EB147" s="928"/>
      <c r="EC147" s="1337"/>
      <c r="ED147" s="1338"/>
      <c r="EE147" s="928"/>
      <c r="EF147" s="928"/>
      <c r="EG147" s="928"/>
      <c r="EH147" s="1337"/>
      <c r="EI147" s="928"/>
      <c r="EJ147" s="928"/>
      <c r="EK147" s="928"/>
      <c r="EL147" s="928"/>
      <c r="EM147" s="1337"/>
      <c r="EN147" s="928"/>
      <c r="EO147" s="928"/>
      <c r="EP147" s="928"/>
      <c r="EQ147" s="928"/>
      <c r="ER147" s="928"/>
      <c r="ES147" s="928"/>
      <c r="ET147" s="928"/>
      <c r="EU147" s="928"/>
      <c r="EV147" s="928"/>
      <c r="EW147" s="928"/>
      <c r="EX147" s="928"/>
      <c r="EY147" s="928"/>
      <c r="EZ147" s="928"/>
      <c r="FA147" s="928"/>
      <c r="FB147" s="928"/>
      <c r="FC147" s="928"/>
      <c r="FD147" s="928"/>
      <c r="FE147" s="928"/>
      <c r="FF147" s="1429">
        <v>1250</v>
      </c>
      <c r="FG147" s="928"/>
      <c r="FH147" s="1425">
        <v>1163.0657337657449</v>
      </c>
      <c r="FI147" s="1319"/>
      <c r="FJ147" s="1618">
        <v>-65</v>
      </c>
      <c r="FK147" s="1605"/>
      <c r="FL147" s="928"/>
      <c r="FM147" s="928"/>
      <c r="FN147" s="928"/>
      <c r="FO147" s="928"/>
      <c r="FP147" s="928"/>
      <c r="FQ147" s="928"/>
    </row>
    <row r="148" spans="1:173">
      <c r="A148" s="1441"/>
      <c r="B148" s="928"/>
      <c r="C148" s="928"/>
      <c r="D148" s="928"/>
      <c r="E148" s="928"/>
      <c r="F148" s="928"/>
      <c r="G148" s="928"/>
      <c r="H148" s="928"/>
      <c r="I148" s="928"/>
      <c r="J148" s="928"/>
      <c r="K148" s="928"/>
      <c r="L148" s="928"/>
      <c r="M148" s="928"/>
      <c r="N148" s="928"/>
      <c r="O148" s="928"/>
      <c r="P148" s="928"/>
      <c r="Q148" s="928"/>
      <c r="R148" s="928"/>
      <c r="S148" s="928"/>
      <c r="T148" s="928"/>
      <c r="U148" s="928"/>
      <c r="V148" s="928"/>
      <c r="W148" s="928"/>
      <c r="X148" s="928"/>
      <c r="Y148" s="928"/>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413"/>
      <c r="AU148" s="1413"/>
      <c r="AV148" s="1413"/>
      <c r="AW148" s="1413"/>
      <c r="AX148" s="1413"/>
      <c r="AY148" s="1413"/>
      <c r="AZ148" s="1413"/>
      <c r="BA148" s="1413"/>
      <c r="BB148" s="1413"/>
      <c r="BC148" s="1413"/>
      <c r="BD148" s="1413"/>
      <c r="BE148" s="1499"/>
      <c r="BF148" s="1413"/>
      <c r="BG148" s="1413"/>
      <c r="BH148" s="1413"/>
      <c r="BI148" s="1500"/>
      <c r="BJ148" s="1509"/>
      <c r="BK148" s="1442"/>
      <c r="BL148" s="1442"/>
      <c r="BM148" s="1442"/>
      <c r="BN148" s="1514"/>
      <c r="BO148" s="1509"/>
      <c r="BP148" s="1442"/>
      <c r="BQ148" s="1442"/>
      <c r="BR148" s="1442"/>
      <c r="BS148" s="1514"/>
      <c r="BT148" s="1509"/>
      <c r="BU148" s="1442"/>
      <c r="BV148" s="1442"/>
      <c r="BW148" s="1442"/>
      <c r="BX148" s="1514"/>
      <c r="BY148" s="1413"/>
      <c r="BZ148" s="928"/>
      <c r="CA148" s="928"/>
      <c r="CB148" s="928"/>
      <c r="CC148" s="928"/>
      <c r="CD148" s="928"/>
      <c r="CE148" s="928"/>
      <c r="CF148" s="928"/>
      <c r="CG148" s="928"/>
      <c r="CH148" s="928"/>
      <c r="CI148" s="928"/>
      <c r="CJ148" s="928"/>
      <c r="CK148" s="928"/>
      <c r="CL148" s="928"/>
      <c r="CM148" s="928"/>
      <c r="CN148" s="928"/>
      <c r="CO148" s="928"/>
      <c r="CP148" s="928"/>
      <c r="CQ148" s="928"/>
      <c r="CR148" s="928"/>
      <c r="CS148" s="928"/>
      <c r="CT148" s="928"/>
      <c r="CU148" s="928"/>
      <c r="CV148" s="928"/>
      <c r="CW148" s="928"/>
      <c r="CX148" s="928"/>
      <c r="CY148" s="928"/>
      <c r="CZ148" s="928"/>
      <c r="DA148" s="928"/>
      <c r="DB148" s="928"/>
      <c r="DC148" s="928"/>
      <c r="DD148" s="928"/>
      <c r="DE148" s="928"/>
      <c r="DF148" s="928"/>
      <c r="DG148" s="928"/>
      <c r="DH148" s="928"/>
      <c r="DI148" s="928"/>
      <c r="DJ148" s="928"/>
      <c r="DK148" s="928"/>
      <c r="DL148" s="928"/>
      <c r="DM148" s="928"/>
      <c r="DN148" s="928"/>
      <c r="DO148" s="928"/>
      <c r="DP148" s="928"/>
      <c r="DQ148" s="928"/>
      <c r="DR148" s="928"/>
      <c r="DS148" s="928"/>
      <c r="DT148" s="928"/>
      <c r="DU148" s="928"/>
      <c r="DV148" s="928"/>
      <c r="DW148" s="928"/>
      <c r="DX148" s="928"/>
      <c r="DY148" s="1338"/>
      <c r="DZ148" s="928"/>
      <c r="EA148" s="928"/>
      <c r="EB148" s="928"/>
      <c r="EC148" s="1337"/>
      <c r="ED148" s="1338"/>
      <c r="EE148" s="928"/>
      <c r="EF148" s="928"/>
      <c r="EG148" s="928"/>
      <c r="EH148" s="1337"/>
      <c r="EI148" s="928"/>
      <c r="EJ148" s="928"/>
      <c r="EK148" s="928"/>
      <c r="EL148" s="928"/>
      <c r="EM148" s="1337"/>
      <c r="EN148" s="928"/>
      <c r="EO148" s="928"/>
      <c r="EP148" s="928"/>
      <c r="EQ148" s="928"/>
      <c r="ER148" s="928"/>
      <c r="ES148" s="928"/>
      <c r="ET148" s="928"/>
      <c r="EU148" s="928"/>
      <c r="EV148" s="928"/>
      <c r="EW148" s="928"/>
      <c r="EX148" s="928"/>
      <c r="EY148" s="928"/>
      <c r="EZ148" s="928"/>
      <c r="FA148" s="928"/>
      <c r="FB148" s="928"/>
      <c r="FC148" s="928"/>
      <c r="FD148" s="928"/>
      <c r="FE148" s="928"/>
      <c r="FF148" s="1429"/>
      <c r="FG148" s="928"/>
      <c r="FH148" s="1425"/>
      <c r="FI148" s="1319"/>
      <c r="FJ148" s="1622"/>
      <c r="FK148" s="1605"/>
      <c r="FL148" s="928"/>
      <c r="FM148" s="928"/>
      <c r="FN148" s="928"/>
      <c r="FO148" s="928"/>
      <c r="FP148" s="928"/>
      <c r="FQ148" s="928"/>
    </row>
    <row r="149" spans="1:173">
      <c r="A149" s="1444" t="s">
        <v>372</v>
      </c>
      <c r="B149" s="1393"/>
      <c r="C149" s="1393"/>
      <c r="D149" s="1393"/>
      <c r="E149" s="1393"/>
      <c r="F149" s="1393"/>
      <c r="G149" s="1393"/>
      <c r="H149" s="1393"/>
      <c r="I149" s="1393"/>
      <c r="J149" s="1393"/>
      <c r="K149" s="1393"/>
      <c r="L149" s="1393"/>
      <c r="M149" s="1393"/>
      <c r="N149" s="1393"/>
      <c r="O149" s="1393"/>
      <c r="P149" s="1393"/>
      <c r="Q149" s="1393"/>
      <c r="R149" s="1393"/>
      <c r="S149" s="1393"/>
      <c r="T149" s="1393"/>
      <c r="U149" s="1393"/>
      <c r="V149" s="1393"/>
      <c r="W149" s="1393"/>
      <c r="X149" s="1393"/>
      <c r="Y149" s="1393"/>
      <c r="Z149" s="1395"/>
      <c r="AA149" s="1426">
        <f>AA32-AA94+AA73+AA65+AA66</f>
        <v>526.29000000000019</v>
      </c>
      <c r="AB149" s="1426">
        <f>AB32-AB94+AB73+AB65+AB66</f>
        <v>169.48799999999818</v>
      </c>
      <c r="AC149" s="1426">
        <f>AC32-AC94+AC73+AC65+AC66</f>
        <v>-2506.42</v>
      </c>
      <c r="AD149" s="1426">
        <f>AD32-AD94+AD73+AD65+AD66</f>
        <v>-2894.4709999999991</v>
      </c>
      <c r="AE149" s="1395"/>
      <c r="AF149" s="1426">
        <f>AF32-AF94+AF73+AF65+AF66+AF67</f>
        <v>-1158.2974355384645</v>
      </c>
      <c r="AG149" s="1426">
        <f>AG32-AG94+AG73+AG65+AG66+AG67</f>
        <v>-256.07999999999913</v>
      </c>
      <c r="AH149" s="1426">
        <f>AH32-AH94+AH73+AH65+AH66+AH67</f>
        <v>-1946.7200000000003</v>
      </c>
      <c r="AI149" s="1426">
        <f>AI32-AI94+AI73+AI65+AI66+AI67</f>
        <v>-2888.1000000000013</v>
      </c>
      <c r="AJ149" s="1395"/>
      <c r="AK149" s="1426">
        <f>AK32-AK94+AK73+AK65+AK66+AK67</f>
        <v>1736.0300000000011</v>
      </c>
      <c r="AL149" s="1426">
        <f>AL32-AL94+AL73+AL65+AL66+AL67</f>
        <v>3219.28</v>
      </c>
      <c r="AM149" s="1426">
        <f>AM32-AM94+AM73+AM65+AM66+AM67</f>
        <v>1739.4365907692272</v>
      </c>
      <c r="AN149" s="1426">
        <f>AN32-AN94+AN73+AN65+AN66+AN67</f>
        <v>-249.92800000000392</v>
      </c>
      <c r="AO149" s="1395"/>
      <c r="AP149" s="1426">
        <f>AP32-AP94+AP73+AP65+AP66+AP67</f>
        <v>2734.4367121538453</v>
      </c>
      <c r="AQ149" s="1426">
        <f>AQ32-AQ94+AQ73+AQ65+AQ66+AQ67</f>
        <v>1203.7340000000022</v>
      </c>
      <c r="AR149" s="1426">
        <f>AR32-AR94+AR73+AR65+AR66+AR67</f>
        <v>705.77599999999916</v>
      </c>
      <c r="AS149" s="1426">
        <f>AS32-AS94+AS73+AS65+AS66+AS67</f>
        <v>29.029999999997813</v>
      </c>
      <c r="AT149" s="1395"/>
      <c r="AU149" s="1426">
        <f>AU32-AU94+AU147+AU68</f>
        <v>4632.5102914062518</v>
      </c>
      <c r="AV149" s="1426">
        <f>AV32-AV94+AV147+AV68</f>
        <v>4858.6439999999975</v>
      </c>
      <c r="AW149" s="1426">
        <f>AW32-AW94+AW147+AW68</f>
        <v>4714.7620000000015</v>
      </c>
      <c r="AX149" s="1426">
        <f>AX32-AX94+AX147+AX68</f>
        <v>4882.01</v>
      </c>
      <c r="AY149" s="1395"/>
      <c r="AZ149" s="1426">
        <f>AZ32-AZ94-AZ147+AZ68</f>
        <v>-8871.2293870769172</v>
      </c>
      <c r="BA149" s="1426">
        <f>BA32-BA94-BA147+BA68</f>
        <v>1759.0327526153856</v>
      </c>
      <c r="BB149" s="1426">
        <f>BB32-BB94-BB147+BB68</f>
        <v>3149.2296742424223</v>
      </c>
      <c r="BC149" s="1426">
        <f>BC32-BC94-BC147+BC68</f>
        <v>3316.1211245454501</v>
      </c>
      <c r="BD149" s="1395"/>
      <c r="BE149" s="1581">
        <f>BE32-BE94-BE147+BE65</f>
        <v>-387.61567031250024</v>
      </c>
      <c r="BF149" s="1426">
        <f>BF32-BF94-BF147+BF65</f>
        <v>-2749.0338624615374</v>
      </c>
      <c r="BG149" s="1426">
        <f>BG32-BG94-BG147+BG65</f>
        <v>-1471.0017030303056</v>
      </c>
      <c r="BH149" s="1426">
        <f>BH32-BH94-BH147+BH65</f>
        <v>6614.3184277272721</v>
      </c>
      <c r="BI149" s="1518"/>
      <c r="BJ149" s="1584">
        <f>BJ32-BJ94-BJ147+BJ65</f>
        <v>-3777.90714030769</v>
      </c>
      <c r="BK149" s="1585">
        <f>BK32-BK94-BK147+BK65</f>
        <v>-3283.3390636923064</v>
      </c>
      <c r="BL149" s="1585">
        <f>BL32-BL94-BL147+BL65</f>
        <v>-2970.4803269696986</v>
      </c>
      <c r="BM149" s="1585">
        <f>BM32-BM94-BM147+BM65</f>
        <v>-3233.1878400000001</v>
      </c>
      <c r="BN149" s="1586"/>
      <c r="BO149" s="1584">
        <f>BO32-BO94-BO147+BO65</f>
        <v>-3718.0600000000004</v>
      </c>
      <c r="BP149" s="1585">
        <f>BP32-BP94-BP147+BP65</f>
        <v>-943.79000000000224</v>
      </c>
      <c r="BQ149" s="1585">
        <f>BQ32-BQ94-BQ147+BQ65</f>
        <v>-497.56200000000013</v>
      </c>
      <c r="BR149" s="1585">
        <f>BR32-BR94-BR147+BR65</f>
        <v>-0.41799999999943793</v>
      </c>
      <c r="BS149" s="1586"/>
      <c r="BT149" s="1584">
        <f>BT32-BT94-BT147+BT65</f>
        <v>2502.2739999999994</v>
      </c>
      <c r="BU149" s="1585">
        <f>BU32-BU94-BU147+BU65</f>
        <v>775.54432063092827</v>
      </c>
      <c r="BV149" s="1585">
        <f>BV32-BV94-BV147+BV65</f>
        <v>802.08625760614632</v>
      </c>
      <c r="BW149" s="1585">
        <f ca="1">BW32-BW94-BW147+BW65</f>
        <v>1141.915667139599</v>
      </c>
      <c r="BX149" s="1514"/>
      <c r="BY149" s="1254"/>
      <c r="BZ149" s="928"/>
      <c r="CA149" s="928"/>
      <c r="CB149" s="928"/>
      <c r="CC149" s="928"/>
      <c r="CD149" s="928"/>
      <c r="CE149" s="928"/>
      <c r="CF149" s="928"/>
      <c r="CG149" s="928"/>
      <c r="CH149" s="928"/>
      <c r="CI149" s="928"/>
      <c r="CJ149" s="928"/>
      <c r="CK149" s="928"/>
      <c r="CL149" s="928"/>
      <c r="CM149" s="928"/>
      <c r="CN149" s="928"/>
      <c r="CO149" s="928"/>
      <c r="CP149" s="928"/>
      <c r="CQ149" s="928"/>
      <c r="CR149" s="928"/>
      <c r="CS149" s="928"/>
      <c r="CT149" s="928"/>
      <c r="CU149" s="928"/>
      <c r="CV149" s="928"/>
      <c r="CW149" s="928"/>
      <c r="CX149" s="928"/>
      <c r="CY149" s="928"/>
      <c r="CZ149" s="928"/>
      <c r="DA149" s="928"/>
      <c r="DB149" s="928"/>
      <c r="DC149" s="928"/>
      <c r="DD149" s="928"/>
      <c r="DE149" s="928"/>
      <c r="DF149" s="928"/>
      <c r="DG149" s="928"/>
      <c r="DH149" s="928"/>
      <c r="DI149" s="928"/>
      <c r="DJ149" s="928"/>
      <c r="DK149" s="928"/>
      <c r="DL149" s="928"/>
      <c r="DM149" s="928"/>
      <c r="DN149" s="928"/>
      <c r="DO149" s="928"/>
      <c r="DP149" s="928"/>
      <c r="DQ149" s="928"/>
      <c r="DR149" s="928"/>
      <c r="DS149" s="928"/>
      <c r="DT149" s="928"/>
      <c r="DU149" s="928"/>
      <c r="DV149" s="928"/>
      <c r="DW149" s="928"/>
      <c r="DX149" s="928"/>
      <c r="DY149" s="1338"/>
      <c r="DZ149" s="928"/>
      <c r="EA149" s="928"/>
      <c r="EB149" s="928"/>
      <c r="EC149" s="1337"/>
      <c r="ED149" s="1338"/>
      <c r="EE149" s="928"/>
      <c r="EF149" s="928"/>
      <c r="EG149" s="928"/>
      <c r="EH149" s="1337"/>
      <c r="EI149" s="928"/>
      <c r="EJ149" s="928"/>
      <c r="EK149" s="928"/>
      <c r="EL149" s="928"/>
      <c r="EM149" s="1337"/>
      <c r="EN149" s="928"/>
      <c r="EO149" s="928"/>
      <c r="EP149" s="928"/>
      <c r="EQ149" s="928"/>
      <c r="ER149" s="928"/>
      <c r="ES149" s="928"/>
      <c r="ET149" s="928"/>
      <c r="EU149" s="928"/>
      <c r="EV149" s="928"/>
      <c r="EW149" s="928"/>
      <c r="EX149" s="928"/>
      <c r="EY149" s="928"/>
      <c r="EZ149" s="928"/>
      <c r="FA149" s="928"/>
      <c r="FB149" s="928"/>
      <c r="FC149" s="928"/>
      <c r="FD149" s="928"/>
      <c r="FE149" s="928"/>
      <c r="FF149" s="1429">
        <v>-581.35999999999967</v>
      </c>
      <c r="FG149" s="928"/>
      <c r="FH149" s="1425">
        <v>-1899.7392190421849</v>
      </c>
      <c r="FI149" s="1319"/>
      <c r="FJ149" s="1626">
        <v>708.54900000000089</v>
      </c>
      <c r="FK149" s="1605"/>
      <c r="FL149" s="928"/>
      <c r="FM149" s="928"/>
      <c r="FN149" s="928"/>
      <c r="FO149" s="928"/>
      <c r="FP149" s="928"/>
      <c r="FQ149" s="928"/>
    </row>
    <row r="150" spans="1:173">
      <c r="A150" s="1441" t="s">
        <v>6008</v>
      </c>
      <c r="B150" s="928"/>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c r="Y150" s="928"/>
      <c r="Z150" s="1254"/>
      <c r="AA150" s="1413"/>
      <c r="AB150" s="1413"/>
      <c r="AC150" s="1413"/>
      <c r="AD150" s="1413"/>
      <c r="AE150" s="1254"/>
      <c r="AF150" s="1413"/>
      <c r="AG150" s="1413"/>
      <c r="AH150" s="1413"/>
      <c r="AI150" s="1413"/>
      <c r="AJ150" s="1254"/>
      <c r="AK150" s="1413"/>
      <c r="AL150" s="1413"/>
      <c r="AM150" s="1413"/>
      <c r="AN150" s="1413"/>
      <c r="AO150" s="1254"/>
      <c r="AP150" s="1413"/>
      <c r="AQ150" s="1413"/>
      <c r="AR150" s="1413"/>
      <c r="AS150" s="1413"/>
      <c r="AT150" s="1254"/>
      <c r="AU150" s="1413"/>
      <c r="AV150" s="1413"/>
      <c r="AW150" s="1413"/>
      <c r="AX150" s="1413"/>
      <c r="AY150" s="1254"/>
      <c r="AZ150" s="1413"/>
      <c r="BA150" s="1413"/>
      <c r="BB150" s="1413"/>
      <c r="BC150" s="1413"/>
      <c r="BD150" s="1254"/>
      <c r="BE150" s="1499">
        <v>186</v>
      </c>
      <c r="BF150" s="1413">
        <f>378-BE150</f>
        <v>192</v>
      </c>
      <c r="BG150" s="1413">
        <f>581.148-SUM(BE150:BF150)</f>
        <v>203.14800000000002</v>
      </c>
      <c r="BH150" s="1413">
        <f>1082.226-BE150-BF150-BG150</f>
        <v>501.07800000000009</v>
      </c>
      <c r="BI150" s="1337"/>
      <c r="BJ150" s="1509">
        <f>(169.57)</f>
        <v>169.57</v>
      </c>
      <c r="BK150" s="1583">
        <v>170</v>
      </c>
      <c r="BL150" s="1583">
        <v>170</v>
      </c>
      <c r="BM150" s="1442">
        <f>Master!U201-BJ150-BK150-BL150</f>
        <v>189.43000000000006</v>
      </c>
      <c r="BN150" s="1514"/>
      <c r="BO150" s="1523">
        <f>174+255.639</f>
        <v>429.63900000000001</v>
      </c>
      <c r="BP150" s="1451">
        <f>328-BO150</f>
        <v>-101.63900000000001</v>
      </c>
      <c r="BQ150" s="1583">
        <v>170</v>
      </c>
      <c r="BR150" s="1442">
        <f>Master!V200-BO150-BP150-BQ150</f>
        <v>847.00199999999995</v>
      </c>
      <c r="BS150" s="1514"/>
      <c r="BT150" s="1523">
        <f>145.751+218.134</f>
        <v>363.88499999999999</v>
      </c>
      <c r="BU150" s="1537">
        <v>340</v>
      </c>
      <c r="BV150" s="1537">
        <v>340</v>
      </c>
      <c r="BW150" s="1442">
        <f>Master!W200-BT150-BU150-BV150</f>
        <v>341.46705999999995</v>
      </c>
      <c r="BX150" s="1514"/>
      <c r="BY150" s="1254"/>
      <c r="BZ150" s="928"/>
      <c r="CA150" s="928"/>
      <c r="CB150" s="928"/>
      <c r="CC150" s="928"/>
      <c r="CD150" s="928"/>
      <c r="CE150" s="928"/>
      <c r="CF150" s="928"/>
      <c r="CG150" s="928"/>
      <c r="CH150" s="928"/>
      <c r="CI150" s="928"/>
      <c r="CJ150" s="928"/>
      <c r="CK150" s="928"/>
      <c r="CL150" s="928"/>
      <c r="CM150" s="928"/>
      <c r="CN150" s="928"/>
      <c r="CO150" s="928"/>
      <c r="CP150" s="928"/>
      <c r="CQ150" s="928"/>
      <c r="CR150" s="928"/>
      <c r="CS150" s="928"/>
      <c r="CT150" s="928"/>
      <c r="CU150" s="928"/>
      <c r="CV150" s="928"/>
      <c r="CW150" s="928"/>
      <c r="CX150" s="928"/>
      <c r="CY150" s="928"/>
      <c r="CZ150" s="928"/>
      <c r="DA150" s="928"/>
      <c r="DB150" s="928"/>
      <c r="DC150" s="928"/>
      <c r="DD150" s="928"/>
      <c r="DE150" s="928"/>
      <c r="DF150" s="928"/>
      <c r="DG150" s="928"/>
      <c r="DH150" s="928"/>
      <c r="DI150" s="928"/>
      <c r="DJ150" s="928"/>
      <c r="DK150" s="928"/>
      <c r="DL150" s="928"/>
      <c r="DM150" s="928"/>
      <c r="DN150" s="928"/>
      <c r="DO150" s="928"/>
      <c r="DP150" s="928"/>
      <c r="DQ150" s="928"/>
      <c r="DR150" s="928"/>
      <c r="DS150" s="928"/>
      <c r="DT150" s="928"/>
      <c r="DU150" s="928"/>
      <c r="DV150" s="928"/>
      <c r="DW150" s="928"/>
      <c r="DX150" s="928"/>
      <c r="DY150" s="1338"/>
      <c r="DZ150" s="928"/>
      <c r="EA150" s="928"/>
      <c r="EB150" s="928"/>
      <c r="EC150" s="1337"/>
      <c r="ED150" s="1338"/>
      <c r="EE150" s="928"/>
      <c r="EF150" s="928"/>
      <c r="EG150" s="928"/>
      <c r="EH150" s="1337"/>
      <c r="EI150" s="928"/>
      <c r="EJ150" s="928"/>
      <c r="EK150" s="928"/>
      <c r="EL150" s="928"/>
      <c r="EM150" s="1337"/>
      <c r="EN150" s="928"/>
      <c r="EO150" s="928"/>
      <c r="EP150" s="928"/>
      <c r="EQ150" s="928"/>
      <c r="ER150" s="928"/>
      <c r="ES150" s="928"/>
      <c r="ET150" s="928"/>
      <c r="EU150" s="928"/>
      <c r="EV150" s="928"/>
      <c r="EW150" s="928"/>
      <c r="EX150" s="928"/>
      <c r="EY150" s="928"/>
      <c r="EZ150" s="928"/>
      <c r="FA150" s="928"/>
      <c r="FB150" s="928"/>
      <c r="FC150" s="928"/>
      <c r="FD150" s="928"/>
      <c r="FE150" s="928"/>
      <c r="FF150" s="1429">
        <v>170</v>
      </c>
      <c r="FG150" s="928"/>
      <c r="FH150" s="1425">
        <v>158.47000000000003</v>
      </c>
      <c r="FI150" s="1319"/>
      <c r="FJ150" s="1618">
        <v>350</v>
      </c>
      <c r="FK150" s="1605"/>
      <c r="FL150" s="928"/>
      <c r="FM150" s="928"/>
      <c r="FN150" s="928"/>
      <c r="FO150" s="928"/>
      <c r="FP150" s="928"/>
      <c r="FQ150" s="928"/>
    </row>
    <row r="151" spans="1:173">
      <c r="A151" s="1441" t="s">
        <v>5079</v>
      </c>
      <c r="B151" s="928"/>
      <c r="C151" s="928"/>
      <c r="D151" s="928"/>
      <c r="E151" s="928"/>
      <c r="F151" s="928"/>
      <c r="G151" s="928"/>
      <c r="H151" s="928"/>
      <c r="I151" s="928"/>
      <c r="J151" s="928"/>
      <c r="K151" s="928"/>
      <c r="L151" s="928"/>
      <c r="M151" s="928"/>
      <c r="N151" s="928"/>
      <c r="O151" s="928"/>
      <c r="P151" s="928"/>
      <c r="Q151" s="928"/>
      <c r="R151" s="928"/>
      <c r="S151" s="928"/>
      <c r="T151" s="928"/>
      <c r="U151" s="928"/>
      <c r="V151" s="928"/>
      <c r="W151" s="928"/>
      <c r="X151" s="928"/>
      <c r="Y151" s="928"/>
      <c r="Z151" s="1254"/>
      <c r="AA151" s="1413"/>
      <c r="AB151" s="1413"/>
      <c r="AC151" s="1413"/>
      <c r="AD151" s="1413"/>
      <c r="AE151" s="1254"/>
      <c r="AF151" s="1413"/>
      <c r="AG151" s="1413"/>
      <c r="AH151" s="1413"/>
      <c r="AI151" s="1413"/>
      <c r="AJ151" s="1254"/>
      <c r="AK151" s="1413"/>
      <c r="AL151" s="1413"/>
      <c r="AM151" s="1413"/>
      <c r="AN151" s="1413"/>
      <c r="AO151" s="1254"/>
      <c r="AP151" s="1413"/>
      <c r="AQ151" s="1413"/>
      <c r="AR151" s="1413"/>
      <c r="AS151" s="1413"/>
      <c r="AT151" s="1254"/>
      <c r="AU151" s="1464">
        <v>750</v>
      </c>
      <c r="AV151" s="1464">
        <v>750</v>
      </c>
      <c r="AW151" s="1413">
        <f>2130-AU151-AV151</f>
        <v>630</v>
      </c>
      <c r="AX151" s="1413">
        <f>2094-AU151-AV151-AW151</f>
        <v>-36</v>
      </c>
      <c r="AY151" s="1254"/>
      <c r="AZ151" s="1464">
        <v>325</v>
      </c>
      <c r="BA151" s="1464">
        <v>325</v>
      </c>
      <c r="BB151" s="1464">
        <v>325</v>
      </c>
      <c r="BC151" s="1413">
        <f>-Master!S170-AZ151-BA151-BB151</f>
        <v>260</v>
      </c>
      <c r="BD151" s="1254"/>
      <c r="BE151" s="1499">
        <v>486</v>
      </c>
      <c r="BF151" s="1413">
        <f>937.6-BE151</f>
        <v>451.6</v>
      </c>
      <c r="BG151" s="1413">
        <f>1498.2-SUM(BE151:BF151)</f>
        <v>560.6</v>
      </c>
      <c r="BH151" s="1413">
        <f>1899.4-BG151-BF151-BE151</f>
        <v>401.20000000000016</v>
      </c>
      <c r="BI151" s="1337"/>
      <c r="BJ151" s="1509">
        <v>511.2</v>
      </c>
      <c r="BK151" s="1442">
        <f>828.1-BJ151</f>
        <v>316.90000000000003</v>
      </c>
      <c r="BL151" s="1583">
        <v>450</v>
      </c>
      <c r="BM151" s="1442">
        <f>1867-BL151-BK151-BJ151</f>
        <v>588.89999999999986</v>
      </c>
      <c r="BN151" s="1514"/>
      <c r="BO151" s="1523">
        <v>203.8</v>
      </c>
      <c r="BP151" s="1451">
        <f>845.528-BO151</f>
        <v>641.72800000000007</v>
      </c>
      <c r="BQ151" s="1583">
        <v>400</v>
      </c>
      <c r="BR151" s="1442">
        <f>-Master!V170-BO151-BP151-BQ151</f>
        <v>624.17900000000009</v>
      </c>
      <c r="BS151" s="1514"/>
      <c r="BT151" s="1523">
        <v>379.9</v>
      </c>
      <c r="BU151" s="1537">
        <v>465</v>
      </c>
      <c r="BV151" s="1537">
        <v>470</v>
      </c>
      <c r="BW151" s="1442">
        <f>-Master!W170-BT151-BU151-BV151</f>
        <v>554.80700000000024</v>
      </c>
      <c r="BX151" s="1514"/>
      <c r="BY151" s="1254"/>
      <c r="BZ151" s="928"/>
      <c r="CA151" s="928"/>
      <c r="CB151" s="928"/>
      <c r="CC151" s="928"/>
      <c r="CD151" s="928"/>
      <c r="CE151" s="928"/>
      <c r="CF151" s="928"/>
      <c r="CG151" s="928"/>
      <c r="CH151" s="928"/>
      <c r="CI151" s="928"/>
      <c r="CJ151" s="928"/>
      <c r="CK151" s="928"/>
      <c r="CL151" s="928"/>
      <c r="CM151" s="928"/>
      <c r="CN151" s="928"/>
      <c r="CO151" s="928"/>
      <c r="CP151" s="928"/>
      <c r="CQ151" s="928"/>
      <c r="CR151" s="928"/>
      <c r="CS151" s="928"/>
      <c r="CT151" s="928"/>
      <c r="CU151" s="928"/>
      <c r="CV151" s="928"/>
      <c r="CW151" s="928"/>
      <c r="CX151" s="928"/>
      <c r="CY151" s="928"/>
      <c r="CZ151" s="928"/>
      <c r="DA151" s="928"/>
      <c r="DB151" s="928"/>
      <c r="DC151" s="928"/>
      <c r="DD151" s="928"/>
      <c r="DE151" s="928"/>
      <c r="DF151" s="928"/>
      <c r="DG151" s="928"/>
      <c r="DH151" s="928"/>
      <c r="DI151" s="928"/>
      <c r="DJ151" s="928"/>
      <c r="DK151" s="928"/>
      <c r="DL151" s="928"/>
      <c r="DM151" s="928"/>
      <c r="DN151" s="928"/>
      <c r="DO151" s="928"/>
      <c r="DP151" s="928"/>
      <c r="DQ151" s="928"/>
      <c r="DR151" s="928"/>
      <c r="DS151" s="928"/>
      <c r="DT151" s="928"/>
      <c r="DU151" s="928"/>
      <c r="DV151" s="928"/>
      <c r="DW151" s="928"/>
      <c r="DX151" s="928"/>
      <c r="DY151" s="1338"/>
      <c r="DZ151" s="928"/>
      <c r="EA151" s="928"/>
      <c r="EB151" s="928"/>
      <c r="EC151" s="1337"/>
      <c r="ED151" s="1338"/>
      <c r="EE151" s="928"/>
      <c r="EF151" s="928"/>
      <c r="EG151" s="928"/>
      <c r="EH151" s="1337"/>
      <c r="EI151" s="928"/>
      <c r="EJ151" s="928"/>
      <c r="EK151" s="928"/>
      <c r="EL151" s="928"/>
      <c r="EM151" s="1337"/>
      <c r="EN151" s="928"/>
      <c r="EO151" s="928"/>
      <c r="EP151" s="928"/>
      <c r="EQ151" s="928"/>
      <c r="ER151" s="928"/>
      <c r="ES151" s="928"/>
      <c r="ET151" s="928"/>
      <c r="EU151" s="928"/>
      <c r="EV151" s="928"/>
      <c r="EW151" s="928"/>
      <c r="EX151" s="928"/>
      <c r="EY151" s="928"/>
      <c r="EZ151" s="928"/>
      <c r="FA151" s="928"/>
      <c r="FB151" s="928"/>
      <c r="FC151" s="928"/>
      <c r="FD151" s="928"/>
      <c r="FE151" s="928"/>
      <c r="FF151" s="1429">
        <v>400</v>
      </c>
      <c r="FG151" s="928"/>
      <c r="FH151" s="1453">
        <v>561.47199999999998</v>
      </c>
      <c r="FI151" s="1319"/>
      <c r="FJ151" s="1618">
        <v>465</v>
      </c>
      <c r="FK151" s="1605"/>
      <c r="FL151" s="928"/>
      <c r="FM151" s="928"/>
      <c r="FN151" s="928"/>
      <c r="FO151" s="928"/>
      <c r="FP151" s="928"/>
      <c r="FQ151" s="928"/>
    </row>
    <row r="152" spans="1:173">
      <c r="A152" s="1441" t="s">
        <v>3322</v>
      </c>
      <c r="B152" s="928"/>
      <c r="C152" s="928"/>
      <c r="D152" s="928"/>
      <c r="E152" s="928"/>
      <c r="F152" s="928"/>
      <c r="G152" s="928"/>
      <c r="H152" s="928"/>
      <c r="I152" s="928"/>
      <c r="J152" s="928"/>
      <c r="K152" s="928"/>
      <c r="L152" s="928"/>
      <c r="M152" s="928"/>
      <c r="N152" s="928"/>
      <c r="O152" s="928"/>
      <c r="P152" s="928"/>
      <c r="Q152" s="928"/>
      <c r="R152" s="928"/>
      <c r="S152" s="928"/>
      <c r="T152" s="928"/>
      <c r="U152" s="928"/>
      <c r="V152" s="928"/>
      <c r="W152" s="928"/>
      <c r="X152" s="928"/>
      <c r="Y152" s="928"/>
      <c r="Z152" s="1254"/>
      <c r="AA152" s="1413"/>
      <c r="AB152" s="1413"/>
      <c r="AC152" s="1413"/>
      <c r="AD152" s="1413"/>
      <c r="AE152" s="1254"/>
      <c r="AF152" s="1413"/>
      <c r="AG152" s="1413"/>
      <c r="AH152" s="1413"/>
      <c r="AI152" s="1413"/>
      <c r="AJ152" s="1254"/>
      <c r="AK152" s="1254"/>
      <c r="AL152" s="1254"/>
      <c r="AM152" s="1254"/>
      <c r="AN152" s="1254"/>
      <c r="AO152" s="1254"/>
      <c r="AP152" s="1254"/>
      <c r="AQ152" s="1254"/>
      <c r="AR152" s="1254"/>
      <c r="AS152" s="1254"/>
      <c r="AT152" s="1413">
        <f>Master!Q167</f>
        <v>-1068.8679914529912</v>
      </c>
      <c r="AU152" s="1464">
        <v>0</v>
      </c>
      <c r="AV152" s="1413">
        <f>1066-AU152</f>
        <v>1066</v>
      </c>
      <c r="AW152" s="1413">
        <f>1066-AU152-AV152</f>
        <v>0</v>
      </c>
      <c r="AX152" s="1413"/>
      <c r="AY152" s="1413"/>
      <c r="AZ152" s="1464">
        <v>0</v>
      </c>
      <c r="BA152" s="1413">
        <v>0</v>
      </c>
      <c r="BB152" s="1464">
        <v>0</v>
      </c>
      <c r="BC152" s="1413">
        <f>Master!S167-AZ152-BA152-BB152</f>
        <v>-1068.8679914529912</v>
      </c>
      <c r="BD152" s="1413"/>
      <c r="BE152" s="1499"/>
      <c r="BF152" s="1413"/>
      <c r="BG152" s="1413">
        <v>1053.3920000000001</v>
      </c>
      <c r="BH152" s="1413">
        <v>0</v>
      </c>
      <c r="BI152" s="1337"/>
      <c r="BJ152" s="1509">
        <v>0</v>
      </c>
      <c r="BK152" s="1442">
        <f>1053.392-BJ152</f>
        <v>1053.3920000000001</v>
      </c>
      <c r="BL152" s="1442">
        <v>0</v>
      </c>
      <c r="BM152" s="1442">
        <v>0</v>
      </c>
      <c r="BN152" s="1514"/>
      <c r="BO152" s="1523">
        <v>0</v>
      </c>
      <c r="BP152" s="1451">
        <f>1027.354-BO152</f>
        <v>1027.354</v>
      </c>
      <c r="BQ152" s="1583">
        <v>0</v>
      </c>
      <c r="BR152" s="1442">
        <f>-Master!V167-BO152-BP152-BQ152</f>
        <v>0</v>
      </c>
      <c r="BS152" s="1514"/>
      <c r="BT152" s="1523">
        <v>0</v>
      </c>
      <c r="BU152" s="1537">
        <v>1078</v>
      </c>
      <c r="BV152" s="1537">
        <v>0</v>
      </c>
      <c r="BW152" s="1442">
        <f>-Master!W167-BT152-BU152-BV152</f>
        <v>3.6153101805211918E-3</v>
      </c>
      <c r="BX152" s="1514"/>
      <c r="BY152" s="1413"/>
      <c r="BZ152" s="928"/>
      <c r="CA152" s="928"/>
      <c r="CB152" s="928"/>
      <c r="CC152" s="928"/>
      <c r="CD152" s="928"/>
      <c r="CE152" s="928"/>
      <c r="CF152" s="928"/>
      <c r="CG152" s="928"/>
      <c r="CH152" s="928"/>
      <c r="CI152" s="928"/>
      <c r="CJ152" s="928"/>
      <c r="CK152" s="928"/>
      <c r="CL152" s="928"/>
      <c r="CM152" s="928"/>
      <c r="CN152" s="928"/>
      <c r="CO152" s="928"/>
      <c r="CP152" s="928"/>
      <c r="CQ152" s="928"/>
      <c r="CR152" s="928"/>
      <c r="CS152" s="928"/>
      <c r="CT152" s="928"/>
      <c r="CU152" s="1446"/>
      <c r="CV152" s="1466" t="s">
        <v>1889</v>
      </c>
      <c r="CW152" s="1466" t="s">
        <v>5049</v>
      </c>
      <c r="CX152" s="928"/>
      <c r="CY152" s="928"/>
      <c r="CZ152" s="928"/>
      <c r="DA152" s="928"/>
      <c r="DB152" s="928"/>
      <c r="DC152" s="928"/>
      <c r="DD152" s="928"/>
      <c r="DE152" s="928"/>
      <c r="DF152" s="928"/>
      <c r="DG152" s="928"/>
      <c r="DH152" s="928"/>
      <c r="DI152" s="928"/>
      <c r="DJ152" s="928"/>
      <c r="DK152" s="928"/>
      <c r="DL152" s="928"/>
      <c r="DM152" s="928"/>
      <c r="DN152" s="928"/>
      <c r="DO152" s="928"/>
      <c r="DP152" s="928"/>
      <c r="DQ152" s="928"/>
      <c r="DR152" s="928"/>
      <c r="DS152" s="928"/>
      <c r="DT152" s="928"/>
      <c r="DU152" s="928"/>
      <c r="DV152" s="928"/>
      <c r="DW152" s="928"/>
      <c r="DX152" s="928"/>
      <c r="DY152" s="1338"/>
      <c r="DZ152" s="928"/>
      <c r="EA152" s="928"/>
      <c r="EB152" s="928"/>
      <c r="EC152" s="1337"/>
      <c r="ED152" s="1338"/>
      <c r="EE152" s="928"/>
      <c r="EF152" s="928"/>
      <c r="EG152" s="928"/>
      <c r="EH152" s="1337"/>
      <c r="EI152" s="928"/>
      <c r="EJ152" s="928"/>
      <c r="EK152" s="928"/>
      <c r="EL152" s="928"/>
      <c r="EM152" s="1337"/>
      <c r="EN152" s="928"/>
      <c r="EO152" s="928"/>
      <c r="EP152" s="928"/>
      <c r="EQ152" s="928"/>
      <c r="ER152" s="928"/>
      <c r="ES152" s="928"/>
      <c r="ET152" s="928"/>
      <c r="EU152" s="928"/>
      <c r="EV152" s="928"/>
      <c r="EW152" s="928"/>
      <c r="EX152" s="928"/>
      <c r="EY152" s="928"/>
      <c r="EZ152" s="928"/>
      <c r="FA152" s="928"/>
      <c r="FB152" s="928"/>
      <c r="FC152" s="928"/>
      <c r="FD152" s="928"/>
      <c r="FE152" s="928"/>
      <c r="FF152" s="1429">
        <v>0</v>
      </c>
      <c r="FG152" s="928"/>
      <c r="FH152" s="1453">
        <v>50.649615310180479</v>
      </c>
      <c r="FI152" s="1319"/>
      <c r="FJ152" s="1618">
        <v>0</v>
      </c>
      <c r="FK152" s="1605"/>
      <c r="FL152" s="928"/>
      <c r="FM152" s="928"/>
      <c r="FN152" s="928"/>
      <c r="FO152" s="928"/>
      <c r="FP152" s="928"/>
      <c r="FQ152" s="928"/>
    </row>
    <row r="153" spans="1:173">
      <c r="A153" s="1441" t="s">
        <v>5067</v>
      </c>
      <c r="B153" s="928"/>
      <c r="C153" s="928"/>
      <c r="D153" s="928"/>
      <c r="E153" s="928"/>
      <c r="F153" s="928"/>
      <c r="G153" s="928"/>
      <c r="H153" s="928"/>
      <c r="I153" s="928"/>
      <c r="J153" s="928"/>
      <c r="K153" s="928"/>
      <c r="L153" s="928"/>
      <c r="M153" s="928"/>
      <c r="N153" s="928"/>
      <c r="O153" s="928"/>
      <c r="P153" s="928"/>
      <c r="Q153" s="928"/>
      <c r="R153" s="928"/>
      <c r="S153" s="928"/>
      <c r="T153" s="928"/>
      <c r="U153" s="928"/>
      <c r="V153" s="928"/>
      <c r="W153" s="928"/>
      <c r="X153" s="928"/>
      <c r="Y153" s="928"/>
      <c r="Z153" s="1254"/>
      <c r="AA153" s="1413"/>
      <c r="AB153" s="1413"/>
      <c r="AC153" s="1413"/>
      <c r="AD153" s="1413"/>
      <c r="AE153" s="1254"/>
      <c r="AF153" s="1413"/>
      <c r="AG153" s="1413"/>
      <c r="AH153" s="1413"/>
      <c r="AI153" s="1413"/>
      <c r="AJ153" s="1254"/>
      <c r="AK153" s="1254"/>
      <c r="AL153" s="1254"/>
      <c r="AM153" s="1254"/>
      <c r="AN153" s="1254"/>
      <c r="AO153" s="1254"/>
      <c r="AP153" s="1254"/>
      <c r="AQ153" s="1254"/>
      <c r="AR153" s="1254"/>
      <c r="AS153" s="1254"/>
      <c r="AT153" s="1413"/>
      <c r="AU153" s="1464">
        <v>0</v>
      </c>
      <c r="AV153" s="1413">
        <f>1094-AU153</f>
        <v>1094</v>
      </c>
      <c r="AW153" s="1413">
        <f>1385.75-AU153-AV153</f>
        <v>291.75</v>
      </c>
      <c r="AX153" s="1413">
        <f>1385.75-AU153-AV153-AW153</f>
        <v>0</v>
      </c>
      <c r="AY153" s="1413"/>
      <c r="AZ153" s="1413">
        <v>196</v>
      </c>
      <c r="BA153" s="1464">
        <v>0</v>
      </c>
      <c r="BB153" s="1464">
        <v>0</v>
      </c>
      <c r="BC153" s="1413">
        <f>Master!S169-AZ153-BA153-BB153</f>
        <v>198.87179487179486</v>
      </c>
      <c r="BD153" s="1413"/>
      <c r="BE153" s="1499">
        <v>50.5</v>
      </c>
      <c r="BF153" s="1413">
        <v>0</v>
      </c>
      <c r="BG153" s="1413">
        <f>113.5-SUM(BE153:BF153)</f>
        <v>63</v>
      </c>
      <c r="BH153" s="1413">
        <f>438.15-BG153-BF153-BE153</f>
        <v>324.64999999999998</v>
      </c>
      <c r="BI153" s="1337"/>
      <c r="BJ153" s="1509">
        <v>596.24199999999996</v>
      </c>
      <c r="BK153" s="1442">
        <f>646.242-BJ153</f>
        <v>50</v>
      </c>
      <c r="BL153" s="1583">
        <v>350</v>
      </c>
      <c r="BM153" s="1442">
        <f>1278-BJ153-BK153-BL153</f>
        <v>281.75800000000004</v>
      </c>
      <c r="BN153" s="1514"/>
      <c r="BO153" s="1523">
        <v>823.7</v>
      </c>
      <c r="BP153" s="1451">
        <f>910.936-BO153</f>
        <v>87.23599999999999</v>
      </c>
      <c r="BQ153" s="1583">
        <v>200</v>
      </c>
      <c r="BR153" s="1442">
        <f>-Master!V169-BO153-BP153-BQ153</f>
        <v>86.146000000000072</v>
      </c>
      <c r="BS153" s="1514"/>
      <c r="BT153" s="1523">
        <v>0</v>
      </c>
      <c r="BU153" s="1537">
        <v>0</v>
      </c>
      <c r="BV153" s="1537">
        <v>0</v>
      </c>
      <c r="BW153" s="1442">
        <f>-Master!W169-BT153-BU153-BV153</f>
        <v>0</v>
      </c>
      <c r="BX153" s="1514"/>
      <c r="BY153" s="1413"/>
      <c r="BZ153" s="928"/>
      <c r="CA153" s="928"/>
      <c r="CB153" s="928"/>
      <c r="CC153" s="928"/>
      <c r="CD153" s="928"/>
      <c r="CE153" s="928"/>
      <c r="CF153" s="928"/>
      <c r="CG153" s="928"/>
      <c r="CH153" s="928"/>
      <c r="CI153" s="928"/>
      <c r="CJ153" s="928"/>
      <c r="CK153" s="928"/>
      <c r="CL153" s="928"/>
      <c r="CM153" s="928"/>
      <c r="CN153" s="928"/>
      <c r="CO153" s="928"/>
      <c r="CP153" s="928"/>
      <c r="CQ153" s="928"/>
      <c r="CR153" s="928"/>
      <c r="CS153" s="928"/>
      <c r="CT153" s="928"/>
      <c r="CU153" s="928" t="s">
        <v>5068</v>
      </c>
      <c r="CV153" s="1413">
        <f>AV153</f>
        <v>1094</v>
      </c>
      <c r="CW153" s="928">
        <f>CV153/20</f>
        <v>54.7</v>
      </c>
      <c r="CX153" s="928"/>
      <c r="CY153" s="928"/>
      <c r="CZ153" s="928"/>
      <c r="DA153" s="928"/>
      <c r="DB153" s="928"/>
      <c r="DC153" s="928"/>
      <c r="DD153" s="928"/>
      <c r="DE153" s="928"/>
      <c r="DF153" s="928"/>
      <c r="DG153" s="928"/>
      <c r="DH153" s="928"/>
      <c r="DI153" s="928"/>
      <c r="DJ153" s="928"/>
      <c r="DK153" s="928"/>
      <c r="DL153" s="928"/>
      <c r="DM153" s="928"/>
      <c r="DN153" s="928"/>
      <c r="DO153" s="928"/>
      <c r="DP153" s="928"/>
      <c r="DQ153" s="928"/>
      <c r="DR153" s="928"/>
      <c r="DS153" s="928"/>
      <c r="DT153" s="928"/>
      <c r="DU153" s="928"/>
      <c r="DV153" s="928"/>
      <c r="DW153" s="928"/>
      <c r="DX153" s="928"/>
      <c r="DY153" s="1338"/>
      <c r="DZ153" s="928"/>
      <c r="EA153" s="928"/>
      <c r="EB153" s="928"/>
      <c r="EC153" s="1337"/>
      <c r="ED153" s="1338"/>
      <c r="EE153" s="928"/>
      <c r="EF153" s="928"/>
      <c r="EG153" s="928"/>
      <c r="EH153" s="1337"/>
      <c r="EI153" s="928"/>
      <c r="EJ153" s="928"/>
      <c r="EK153" s="928"/>
      <c r="EL153" s="928"/>
      <c r="EM153" s="1337"/>
      <c r="EN153" s="928"/>
      <c r="EO153" s="928"/>
      <c r="EP153" s="928"/>
      <c r="EQ153" s="928"/>
      <c r="ER153" s="928"/>
      <c r="ES153" s="928"/>
      <c r="ET153" s="928"/>
      <c r="EU153" s="928"/>
      <c r="EV153" s="928"/>
      <c r="EW153" s="928"/>
      <c r="EX153" s="928"/>
      <c r="EY153" s="928"/>
      <c r="EZ153" s="928"/>
      <c r="FA153" s="928"/>
      <c r="FB153" s="928"/>
      <c r="FC153" s="928"/>
      <c r="FD153" s="928"/>
      <c r="FE153" s="928"/>
      <c r="FF153" s="1429">
        <v>200</v>
      </c>
      <c r="FG153" s="928"/>
      <c r="FH153" s="1453">
        <v>289.06399999999996</v>
      </c>
      <c r="FI153" s="1319"/>
      <c r="FJ153" s="1618">
        <v>200</v>
      </c>
      <c r="FK153" s="1605"/>
      <c r="FL153" s="928"/>
      <c r="FM153" s="928"/>
      <c r="FN153" s="928"/>
      <c r="FO153" s="928"/>
      <c r="FP153" s="928"/>
      <c r="FQ153" s="928"/>
    </row>
    <row r="154" spans="1:173">
      <c r="A154" s="1441" t="s">
        <v>3320</v>
      </c>
      <c r="B154" s="928"/>
      <c r="C154" s="928"/>
      <c r="D154" s="928"/>
      <c r="E154" s="928"/>
      <c r="F154" s="928"/>
      <c r="G154" s="928"/>
      <c r="H154" s="928"/>
      <c r="I154" s="928"/>
      <c r="J154" s="928"/>
      <c r="K154" s="928"/>
      <c r="L154" s="928"/>
      <c r="M154" s="928"/>
      <c r="N154" s="928"/>
      <c r="O154" s="928"/>
      <c r="P154" s="928"/>
      <c r="Q154" s="928"/>
      <c r="R154" s="928"/>
      <c r="S154" s="928"/>
      <c r="T154" s="928"/>
      <c r="U154" s="928"/>
      <c r="V154" s="928"/>
      <c r="W154" s="928"/>
      <c r="X154" s="928"/>
      <c r="Y154" s="928"/>
      <c r="Z154" s="1254"/>
      <c r="AA154" s="1413"/>
      <c r="AB154" s="1413"/>
      <c r="AC154" s="1413"/>
      <c r="AD154" s="1413"/>
      <c r="AE154" s="1254"/>
      <c r="AF154" s="1413"/>
      <c r="AG154" s="1413"/>
      <c r="AH154" s="1413"/>
      <c r="AI154" s="1413"/>
      <c r="AJ154" s="1254"/>
      <c r="AK154" s="1254"/>
      <c r="AL154" s="1254"/>
      <c r="AM154" s="1254"/>
      <c r="AN154" s="1254"/>
      <c r="AO154" s="1254"/>
      <c r="AP154" s="1254"/>
      <c r="AQ154" s="1254"/>
      <c r="AR154" s="1254"/>
      <c r="AS154" s="1254"/>
      <c r="AT154" s="1413">
        <f>Master!Q168</f>
        <v>0</v>
      </c>
      <c r="AU154" s="1464">
        <v>0</v>
      </c>
      <c r="AV154" s="1464">
        <v>0</v>
      </c>
      <c r="AW154" s="1464">
        <v>0</v>
      </c>
      <c r="AX154" s="1464"/>
      <c r="AY154" s="1413"/>
      <c r="AZ154" s="1464">
        <v>0</v>
      </c>
      <c r="BA154" s="1413">
        <v>1280</v>
      </c>
      <c r="BB154" s="1464">
        <v>0</v>
      </c>
      <c r="BC154" s="1413">
        <f>-Master!S168-AZ154-BA154-BB154</f>
        <v>140</v>
      </c>
      <c r="BD154" s="1413"/>
      <c r="BE154" s="1499">
        <v>0</v>
      </c>
      <c r="BF154" s="1413"/>
      <c r="BG154" s="1413"/>
      <c r="BH154" s="1413"/>
      <c r="BI154" s="1337"/>
      <c r="BJ154" s="1509"/>
      <c r="BK154" s="1442"/>
      <c r="BL154" s="1442"/>
      <c r="BM154" s="1442"/>
      <c r="BN154" s="1514"/>
      <c r="BO154" s="1523">
        <v>0</v>
      </c>
      <c r="BP154" s="1451">
        <v>0</v>
      </c>
      <c r="BQ154" s="1583">
        <v>0</v>
      </c>
      <c r="BR154" s="1442">
        <f>-Master!V168-BO154-BP154-BQ154</f>
        <v>0</v>
      </c>
      <c r="BS154" s="1514"/>
      <c r="BT154" s="1523">
        <v>0</v>
      </c>
      <c r="BU154" s="1537">
        <v>0</v>
      </c>
      <c r="BV154" s="1537">
        <v>0</v>
      </c>
      <c r="BW154" s="1442">
        <f>-Master!W168-BT154-BU154-BV154</f>
        <v>0</v>
      </c>
      <c r="BX154" s="1514"/>
      <c r="BY154" s="1413"/>
      <c r="BZ154" s="928"/>
      <c r="CA154" s="928"/>
      <c r="CB154" s="928"/>
      <c r="CC154" s="928"/>
      <c r="CD154" s="928"/>
      <c r="CE154" s="928"/>
      <c r="CF154" s="928"/>
      <c r="CG154" s="928"/>
      <c r="CH154" s="928"/>
      <c r="CI154" s="928"/>
      <c r="CJ154" s="928"/>
      <c r="CK154" s="928"/>
      <c r="CL154" s="928"/>
      <c r="CM154" s="928"/>
      <c r="CN154" s="928"/>
      <c r="CO154" s="928"/>
      <c r="CP154" s="928"/>
      <c r="CQ154" s="928"/>
      <c r="CR154" s="928"/>
      <c r="CS154" s="928"/>
      <c r="CT154" s="928"/>
      <c r="CU154" s="928" t="s">
        <v>5069</v>
      </c>
      <c r="CV154" s="928">
        <v>41</v>
      </c>
      <c r="CW154" s="1435">
        <f>CW153/CW155</f>
        <v>10.25</v>
      </c>
      <c r="CX154" s="928"/>
      <c r="CY154" s="928"/>
      <c r="CZ154" s="928"/>
      <c r="DA154" s="928"/>
      <c r="DB154" s="928"/>
      <c r="DC154" s="928"/>
      <c r="DD154" s="928"/>
      <c r="DE154" s="928"/>
      <c r="DF154" s="928"/>
      <c r="DG154" s="928"/>
      <c r="DH154" s="928"/>
      <c r="DI154" s="928"/>
      <c r="DJ154" s="928"/>
      <c r="DK154" s="928"/>
      <c r="DL154" s="928"/>
      <c r="DM154" s="928"/>
      <c r="DN154" s="928"/>
      <c r="DO154" s="928"/>
      <c r="DP154" s="928"/>
      <c r="DQ154" s="928"/>
      <c r="DR154" s="928"/>
      <c r="DS154" s="928"/>
      <c r="DT154" s="928"/>
      <c r="DU154" s="928"/>
      <c r="DV154" s="928"/>
      <c r="DW154" s="928"/>
      <c r="DX154" s="928"/>
      <c r="DY154" s="1338"/>
      <c r="DZ154" s="928"/>
      <c r="EA154" s="928"/>
      <c r="EB154" s="928"/>
      <c r="EC154" s="1337"/>
      <c r="ED154" s="1338"/>
      <c r="EE154" s="928"/>
      <c r="EF154" s="928"/>
      <c r="EG154" s="928"/>
      <c r="EH154" s="1337"/>
      <c r="EI154" s="928"/>
      <c r="EJ154" s="928"/>
      <c r="EK154" s="928"/>
      <c r="EL154" s="928"/>
      <c r="EM154" s="1337"/>
      <c r="EN154" s="928"/>
      <c r="EO154" s="928"/>
      <c r="EP154" s="928"/>
      <c r="EQ154" s="928"/>
      <c r="ER154" s="928"/>
      <c r="ES154" s="928"/>
      <c r="ET154" s="928"/>
      <c r="EU154" s="928"/>
      <c r="EV154" s="928"/>
      <c r="EW154" s="928"/>
      <c r="EX154" s="928"/>
      <c r="EY154" s="928"/>
      <c r="EZ154" s="928"/>
      <c r="FA154" s="928"/>
      <c r="FB154" s="928"/>
      <c r="FC154" s="928"/>
      <c r="FD154" s="928"/>
      <c r="FE154" s="928"/>
      <c r="FF154" s="1429">
        <v>0</v>
      </c>
      <c r="FG154" s="928"/>
      <c r="FH154" s="1453">
        <v>56.408791929894903</v>
      </c>
      <c r="FI154" s="1319"/>
      <c r="FJ154" s="1618">
        <v>0</v>
      </c>
      <c r="FK154" s="1605"/>
      <c r="FL154" s="928"/>
      <c r="FM154" s="928"/>
      <c r="FN154" s="928"/>
      <c r="FO154" s="928"/>
      <c r="FP154" s="928"/>
      <c r="FQ154" s="928"/>
    </row>
    <row r="155" spans="1:173">
      <c r="A155" s="1441" t="s">
        <v>44</v>
      </c>
      <c r="B155" s="928"/>
      <c r="C155" s="928"/>
      <c r="D155" s="928"/>
      <c r="E155" s="928"/>
      <c r="F155" s="928"/>
      <c r="G155" s="928"/>
      <c r="H155" s="928"/>
      <c r="I155" s="928"/>
      <c r="J155" s="928"/>
      <c r="K155" s="928"/>
      <c r="L155" s="928"/>
      <c r="M155" s="928"/>
      <c r="N155" s="928"/>
      <c r="O155" s="928"/>
      <c r="P155" s="928"/>
      <c r="Q155" s="928"/>
      <c r="R155" s="928"/>
      <c r="S155" s="928"/>
      <c r="T155" s="928"/>
      <c r="U155" s="928"/>
      <c r="V155" s="928"/>
      <c r="W155" s="928"/>
      <c r="X155" s="928"/>
      <c r="Y155" s="928"/>
      <c r="Z155" s="1254"/>
      <c r="AA155" s="1254"/>
      <c r="AB155" s="1254"/>
      <c r="AC155" s="1254"/>
      <c r="AD155" s="1254"/>
      <c r="AE155" s="1254"/>
      <c r="AF155" s="1254"/>
      <c r="AG155" s="1254"/>
      <c r="AH155" s="1413"/>
      <c r="AI155" s="1413"/>
      <c r="AJ155" s="1254"/>
      <c r="AK155" s="1254"/>
      <c r="AL155" s="1254"/>
      <c r="AM155" s="1254"/>
      <c r="AN155" s="1254"/>
      <c r="AO155" s="1254"/>
      <c r="AP155" s="1254"/>
      <c r="AQ155" s="1254"/>
      <c r="AR155" s="1254"/>
      <c r="AS155" s="1254"/>
      <c r="AT155" s="1413">
        <f>Master!Q174</f>
        <v>4057.7800000000007</v>
      </c>
      <c r="AU155" s="1413"/>
      <c r="AV155" s="1413"/>
      <c r="AW155" s="1413"/>
      <c r="AX155" s="1413"/>
      <c r="AY155" s="1413"/>
      <c r="AZ155" s="1034">
        <v>13455</v>
      </c>
      <c r="BA155" s="1413"/>
      <c r="BB155" s="1413"/>
      <c r="BC155" s="1413">
        <f ca="1">-Master!S172-Master!S165-Master!S171-AZ155-BA155-BB155</f>
        <v>-7082.5682412698343</v>
      </c>
      <c r="BD155" s="1413"/>
      <c r="BE155" s="1499">
        <v>2065</v>
      </c>
      <c r="BF155" s="1413">
        <v>-2600</v>
      </c>
      <c r="BG155" s="1413">
        <v>5322.6079999999947</v>
      </c>
      <c r="BH155" s="1034">
        <v>8950</v>
      </c>
      <c r="BI155" s="1337"/>
      <c r="BJ155" s="1509">
        <v>29287</v>
      </c>
      <c r="BK155" s="1442"/>
      <c r="BL155" s="1442"/>
      <c r="BM155" s="1442"/>
      <c r="BN155" s="1514"/>
      <c r="BO155" s="1582">
        <v>-3886</v>
      </c>
      <c r="BP155" s="1583">
        <v>-1397</v>
      </c>
      <c r="BQ155" s="1583">
        <v>37</v>
      </c>
      <c r="BR155" s="1583">
        <v>-3793</v>
      </c>
      <c r="BS155" s="1514"/>
      <c r="BT155" s="1582">
        <f>BT149-BT150-BT151-BT152-BT153-BT154+BT161</f>
        <v>-1439.710999999998</v>
      </c>
      <c r="BU155" s="1583"/>
      <c r="BV155" s="1583"/>
      <c r="BW155" s="1583">
        <f>Master!W174-Interims!BT155-Interims!BU155-Interims!BV155</f>
        <v>587.9109999999979</v>
      </c>
      <c r="BX155" s="1514"/>
      <c r="BY155" s="1413"/>
      <c r="BZ155" s="928"/>
      <c r="CA155" s="928"/>
      <c r="CB155" s="928"/>
      <c r="CC155" s="928"/>
      <c r="CD155" s="928"/>
      <c r="CE155" s="928"/>
      <c r="CF155" s="928"/>
      <c r="CG155" s="928"/>
      <c r="CH155" s="928"/>
      <c r="CI155" s="928"/>
      <c r="CJ155" s="928"/>
      <c r="CK155" s="928"/>
      <c r="CL155" s="928"/>
      <c r="CM155" s="928"/>
      <c r="CN155" s="928"/>
      <c r="CO155" s="928"/>
      <c r="CP155" s="928"/>
      <c r="CQ155" s="928"/>
      <c r="CR155" s="928"/>
      <c r="CS155" s="928"/>
      <c r="CT155" s="928"/>
      <c r="CU155" s="928" t="s">
        <v>5070</v>
      </c>
      <c r="CV155" s="1435">
        <f>CV153/CV154</f>
        <v>26.682926829268293</v>
      </c>
      <c r="CW155" s="1435">
        <f>CV155/5</f>
        <v>5.3365853658536588</v>
      </c>
      <c r="CX155" s="928"/>
      <c r="CY155" s="928"/>
      <c r="CZ155" s="928"/>
      <c r="DA155" s="928"/>
      <c r="DB155" s="928"/>
      <c r="DC155" s="928"/>
      <c r="DD155" s="928"/>
      <c r="DE155" s="928"/>
      <c r="DF155" s="928"/>
      <c r="DG155" s="928"/>
      <c r="DH155" s="928"/>
      <c r="DI155" s="928"/>
      <c r="DJ155" s="928"/>
      <c r="DK155" s="928"/>
      <c r="DL155" s="928"/>
      <c r="DM155" s="928"/>
      <c r="DN155" s="928"/>
      <c r="DO155" s="928"/>
      <c r="DP155" s="928"/>
      <c r="DQ155" s="928"/>
      <c r="DR155" s="928"/>
      <c r="DS155" s="928"/>
      <c r="DT155" s="928"/>
      <c r="DU155" s="928"/>
      <c r="DV155" s="928"/>
      <c r="DW155" s="928"/>
      <c r="DX155" s="928"/>
      <c r="DY155" s="1338"/>
      <c r="DZ155" s="928"/>
      <c r="EA155" s="928"/>
      <c r="EB155" s="928"/>
      <c r="EC155" s="1337"/>
      <c r="ED155" s="1338"/>
      <c r="EE155" s="928"/>
      <c r="EF155" s="928"/>
      <c r="EG155" s="928"/>
      <c r="EH155" s="1337"/>
      <c r="EI155" s="928"/>
      <c r="EJ155" s="928"/>
      <c r="EK155" s="928"/>
      <c r="EL155" s="928"/>
      <c r="EM155" s="1337"/>
      <c r="EN155" s="928"/>
      <c r="EO155" s="928"/>
      <c r="EP155" s="928"/>
      <c r="EQ155" s="928"/>
      <c r="ER155" s="928"/>
      <c r="ES155" s="928"/>
      <c r="ET155" s="928"/>
      <c r="EU155" s="928"/>
      <c r="EV155" s="928"/>
      <c r="EW155" s="928"/>
      <c r="EX155" s="928"/>
      <c r="EY155" s="928"/>
      <c r="EZ155" s="928"/>
      <c r="FA155" s="928"/>
      <c r="FB155" s="928"/>
      <c r="FC155" s="928"/>
      <c r="FD155" s="928"/>
      <c r="FE155" s="928"/>
      <c r="FF155" s="1467">
        <v>0</v>
      </c>
      <c r="FG155" s="928"/>
      <c r="FH155" s="1453">
        <v>-23</v>
      </c>
      <c r="FI155" s="1319"/>
      <c r="FJ155" s="1618">
        <v>39.049000000000888</v>
      </c>
      <c r="FK155" s="1605"/>
      <c r="FL155" s="928"/>
      <c r="FM155" s="928"/>
      <c r="FN155" s="928"/>
      <c r="FO155" s="928"/>
      <c r="FP155" s="928"/>
      <c r="FQ155" s="928"/>
    </row>
    <row r="156" spans="1:173">
      <c r="A156" s="1588" t="s">
        <v>3321</v>
      </c>
      <c r="B156" s="1430"/>
      <c r="C156" s="1430"/>
      <c r="D156" s="1430"/>
      <c r="E156" s="1430"/>
      <c r="F156" s="1430"/>
      <c r="G156" s="1430"/>
      <c r="H156" s="1430"/>
      <c r="I156" s="1430"/>
      <c r="J156" s="1430"/>
      <c r="K156" s="1430"/>
      <c r="L156" s="1430"/>
      <c r="M156" s="1430"/>
      <c r="N156" s="1430"/>
      <c r="O156" s="1430"/>
      <c r="P156" s="1430"/>
      <c r="Q156" s="1430"/>
      <c r="R156" s="1430"/>
      <c r="S156" s="1430"/>
      <c r="T156" s="1430"/>
      <c r="U156" s="1430"/>
      <c r="V156" s="1430"/>
      <c r="W156" s="1430"/>
      <c r="X156" s="1430"/>
      <c r="Y156" s="1430"/>
      <c r="Z156" s="1548"/>
      <c r="AA156" s="1548"/>
      <c r="AB156" s="1548"/>
      <c r="AC156" s="1548"/>
      <c r="AD156" s="1548"/>
      <c r="AE156" s="1548"/>
      <c r="AF156" s="1548"/>
      <c r="AG156" s="1548"/>
      <c r="AH156" s="1431"/>
      <c r="AI156" s="1431"/>
      <c r="AJ156" s="1548"/>
      <c r="AK156" s="1548"/>
      <c r="AL156" s="1548"/>
      <c r="AM156" s="1548"/>
      <c r="AN156" s="1548"/>
      <c r="AO156" s="1548"/>
      <c r="AP156" s="1548"/>
      <c r="AQ156" s="1548"/>
      <c r="AR156" s="1548"/>
      <c r="AS156" s="1548"/>
      <c r="AT156" s="1548"/>
      <c r="AU156" s="1431">
        <f>AU149-AU152-AU154-AU155-AU151</f>
        <v>3882.5102914062518</v>
      </c>
      <c r="AV156" s="1431">
        <f>AV149-AV152-AV154-AV155-AV151</f>
        <v>3042.6439999999975</v>
      </c>
      <c r="AW156" s="1431">
        <f>AW149-AW152-AW154-AW155-AW151</f>
        <v>4084.7620000000015</v>
      </c>
      <c r="AX156" s="1431">
        <f>AX149-AX152-AX154-AX155-AX151</f>
        <v>4918.01</v>
      </c>
      <c r="AY156" s="1548"/>
      <c r="AZ156" s="1431">
        <f>AZ149-AZ152-AZ154-AZ155-AZ151</f>
        <v>-22651.229387076917</v>
      </c>
      <c r="BA156" s="1431"/>
      <c r="BB156" s="1431"/>
      <c r="BC156" s="1431">
        <f ca="1">BC149-BC152-BC154-BC155-BC151</f>
        <v>11067.557357268277</v>
      </c>
      <c r="BD156" s="1548"/>
      <c r="BE156" s="1503">
        <f>BE149-BE150-BE152-BE153-BE154-BE155-BE151</f>
        <v>-3175.1156703125002</v>
      </c>
      <c r="BF156" s="1431">
        <f>BF149-BF150-BF152-BF153-BF154-BF155-BF151</f>
        <v>-792.63386246153743</v>
      </c>
      <c r="BG156" s="1431">
        <f>BG149-BG150-BG152-BG153-BG154-BG155-BG151</f>
        <v>-8673.7497030303002</v>
      </c>
      <c r="BH156" s="1431">
        <f>BH149-BH150-BH152-BH153-BH154-BH155-BH151</f>
        <v>-3562.6095722727282</v>
      </c>
      <c r="BI156" s="1549"/>
      <c r="BJ156" s="1577">
        <f>BJ149-BJ150-BJ152-BJ153-BJ154-BJ155-BJ151</f>
        <v>-34341.919140307684</v>
      </c>
      <c r="BK156" s="1578">
        <f>BK149-BK150-BK152-BK153-BK154-BK155-BK151</f>
        <v>-4873.6310636923063</v>
      </c>
      <c r="BL156" s="1578">
        <f>BL149-BL150-BL152-BL153-BL154-BL155-BL151</f>
        <v>-3940.4803269696986</v>
      </c>
      <c r="BM156" s="1578">
        <f>BM149-BM150-BM152-BM153-BM154-BM155-BM151</f>
        <v>-4293.2758399999993</v>
      </c>
      <c r="BN156" s="1579"/>
      <c r="BO156" s="1577">
        <f>BO149-BO150-BO152-BO153-BO154-BO155-BO151</f>
        <v>-1289.1990000000003</v>
      </c>
      <c r="BP156" s="1578">
        <f>BP149-BP150-BP152-BP153-BP154-BP155-BP151</f>
        <v>-1201.4690000000023</v>
      </c>
      <c r="BQ156" s="1578">
        <f>BQ149-BQ150-BQ152-BQ153-BQ154-BQ155-BQ151</f>
        <v>-1304.5620000000001</v>
      </c>
      <c r="BR156" s="1578">
        <f>BR149-BR150-BR152-BR153-BR154-BR155-BR151</f>
        <v>2235.2550000000006</v>
      </c>
      <c r="BS156" s="1579"/>
      <c r="BT156" s="1577">
        <f>BT149-BT150-BT151-BT152-BT153-BT154-BT155</f>
        <v>3198.1999999999971</v>
      </c>
      <c r="BU156" s="1578">
        <f>BU149-BU150-BU151-BU152-BU153-BU154-BU155</f>
        <v>-1107.4556793690717</v>
      </c>
      <c r="BV156" s="1578">
        <f t="shared" ref="BV156:BW156" si="297">BV149-BV150-BV151-BV152-BV153-BV154-BV155</f>
        <v>-7.9137423938536813</v>
      </c>
      <c r="BW156" s="1578">
        <f t="shared" ca="1" si="297"/>
        <v>-342.2730081705796</v>
      </c>
      <c r="BX156" s="1579"/>
      <c r="BY156" s="1254"/>
      <c r="BZ156" s="928"/>
      <c r="CA156" s="928"/>
      <c r="CB156" s="928"/>
      <c r="CC156" s="928"/>
      <c r="CD156" s="928"/>
      <c r="CE156" s="928"/>
      <c r="CF156" s="928"/>
      <c r="CG156" s="928"/>
      <c r="CH156" s="928"/>
      <c r="CI156" s="928"/>
      <c r="CJ156" s="928"/>
      <c r="CK156" s="928"/>
      <c r="CL156" s="928"/>
      <c r="CM156" s="928"/>
      <c r="CN156" s="928"/>
      <c r="CO156" s="928"/>
      <c r="CP156" s="928"/>
      <c r="CQ156" s="928"/>
      <c r="CR156" s="928"/>
      <c r="CS156" s="928"/>
      <c r="CT156" s="928"/>
      <c r="CU156" s="928"/>
      <c r="CV156" s="928"/>
      <c r="CW156" s="928"/>
      <c r="CX156" s="928"/>
      <c r="CY156" s="928"/>
      <c r="CZ156" s="928"/>
      <c r="DA156" s="928"/>
      <c r="DB156" s="928"/>
      <c r="DC156" s="928"/>
      <c r="DD156" s="928"/>
      <c r="DE156" s="928"/>
      <c r="DF156" s="928"/>
      <c r="DG156" s="928"/>
      <c r="DH156" s="928"/>
      <c r="DI156" s="928"/>
      <c r="DJ156" s="928"/>
      <c r="DK156" s="928"/>
      <c r="DL156" s="928"/>
      <c r="DM156" s="928"/>
      <c r="DN156" s="928"/>
      <c r="DO156" s="928"/>
      <c r="DP156" s="928"/>
      <c r="DQ156" s="928"/>
      <c r="DR156" s="928"/>
      <c r="DS156" s="928"/>
      <c r="DT156" s="928"/>
      <c r="DU156" s="928"/>
      <c r="DV156" s="928"/>
      <c r="DW156" s="928"/>
      <c r="DX156" s="928"/>
      <c r="DY156" s="1338"/>
      <c r="DZ156" s="928"/>
      <c r="EA156" s="928"/>
      <c r="EB156" s="928"/>
      <c r="EC156" s="1337"/>
      <c r="ED156" s="1338"/>
      <c r="EE156" s="928"/>
      <c r="EF156" s="928"/>
      <c r="EG156" s="928"/>
      <c r="EH156" s="1337"/>
      <c r="EI156" s="928"/>
      <c r="EJ156" s="928"/>
      <c r="EK156" s="928"/>
      <c r="EL156" s="928"/>
      <c r="EM156" s="1337"/>
      <c r="EN156" s="928"/>
      <c r="EO156" s="928"/>
      <c r="EP156" s="928"/>
      <c r="EQ156" s="928"/>
      <c r="ER156" s="928"/>
      <c r="ES156" s="928"/>
      <c r="ET156" s="928"/>
      <c r="EU156" s="928"/>
      <c r="EV156" s="928"/>
      <c r="EW156" s="928"/>
      <c r="EX156" s="928"/>
      <c r="EY156" s="928"/>
      <c r="EZ156" s="928"/>
      <c r="FA156" s="928"/>
      <c r="FB156" s="928"/>
      <c r="FC156" s="928"/>
      <c r="FD156" s="928"/>
      <c r="FE156" s="928"/>
      <c r="FF156" s="1429">
        <v>-1351.3599999999997</v>
      </c>
      <c r="FG156" s="928"/>
      <c r="FH156" s="1425">
        <v>-2992.8036262822598</v>
      </c>
      <c r="FI156" s="1319"/>
      <c r="FJ156" s="1620">
        <v>-345.5</v>
      </c>
      <c r="FK156" s="1605"/>
      <c r="FL156" s="928"/>
      <c r="FM156" s="928"/>
      <c r="FN156" s="928"/>
      <c r="FO156" s="928"/>
      <c r="FP156" s="928"/>
      <c r="FQ156" s="928"/>
    </row>
    <row r="157" spans="1:173">
      <c r="A157" s="1441"/>
      <c r="B157" s="928"/>
      <c r="C157" s="928"/>
      <c r="D157" s="928"/>
      <c r="E157" s="928"/>
      <c r="F157" s="928"/>
      <c r="G157" s="928"/>
      <c r="H157" s="928"/>
      <c r="I157" s="928"/>
      <c r="J157" s="928"/>
      <c r="K157" s="928"/>
      <c r="L157" s="928"/>
      <c r="M157" s="928"/>
      <c r="N157" s="928"/>
      <c r="O157" s="928"/>
      <c r="P157" s="928"/>
      <c r="Q157" s="928"/>
      <c r="R157" s="928"/>
      <c r="S157" s="928"/>
      <c r="T157" s="928"/>
      <c r="U157" s="928"/>
      <c r="V157" s="928"/>
      <c r="W157" s="928"/>
      <c r="X157" s="928"/>
      <c r="Y157" s="928"/>
      <c r="Z157" s="1254"/>
      <c r="AA157" s="1254"/>
      <c r="AB157" s="1254"/>
      <c r="AC157" s="1254"/>
      <c r="AD157" s="1254"/>
      <c r="AE157" s="1254"/>
      <c r="AF157" s="1254"/>
      <c r="AG157" s="1254"/>
      <c r="AH157" s="1413"/>
      <c r="AI157" s="1413"/>
      <c r="AJ157" s="1254"/>
      <c r="AK157" s="1254"/>
      <c r="AL157" s="1254"/>
      <c r="AM157" s="1254"/>
      <c r="AN157" s="1254"/>
      <c r="AO157" s="1254"/>
      <c r="AP157" s="1254"/>
      <c r="AQ157" s="1254"/>
      <c r="AR157" s="1254"/>
      <c r="AS157" s="1254"/>
      <c r="AT157" s="1254"/>
      <c r="AU157" s="1464">
        <v>525</v>
      </c>
      <c r="AV157" s="1464">
        <v>525</v>
      </c>
      <c r="AW157" s="1464">
        <v>525</v>
      </c>
      <c r="AX157" s="1413">
        <f>2093.546-AU157-AV157-AW157</f>
        <v>518.54599999999982</v>
      </c>
      <c r="AY157" s="1254"/>
      <c r="AZ157" s="1413">
        <f>AX160-AZ160</f>
        <v>-19923.699999999997</v>
      </c>
      <c r="BA157" s="1413"/>
      <c r="BB157" s="1413"/>
      <c r="BC157" s="1254"/>
      <c r="BD157" s="1254"/>
      <c r="BE157" s="1355"/>
      <c r="BF157" s="1254"/>
      <c r="BG157" s="1468"/>
      <c r="BH157" s="1468"/>
      <c r="BI157" s="1389"/>
      <c r="BJ157" s="1509"/>
      <c r="BK157" s="1442"/>
      <c r="BL157" s="1442"/>
      <c r="BM157" s="1442"/>
      <c r="BN157" s="1514"/>
      <c r="BO157" s="1509"/>
      <c r="BP157" s="1442"/>
      <c r="BQ157" s="1442"/>
      <c r="BR157" s="1442"/>
      <c r="BS157" s="1514"/>
      <c r="BT157" s="1509"/>
      <c r="BU157" s="1442"/>
      <c r="BV157" s="1442"/>
      <c r="BW157" s="1442"/>
      <c r="BX157" s="1514"/>
      <c r="BY157" s="1254"/>
      <c r="BZ157" s="928"/>
      <c r="CA157" s="928"/>
      <c r="CB157" s="928"/>
      <c r="CC157" s="928"/>
      <c r="CD157" s="928"/>
      <c r="CE157" s="928"/>
      <c r="CF157" s="928"/>
      <c r="CG157" s="928"/>
      <c r="CH157" s="928"/>
      <c r="CI157" s="928"/>
      <c r="CJ157" s="928"/>
      <c r="CK157" s="928"/>
      <c r="CL157" s="928"/>
      <c r="CM157" s="928"/>
      <c r="CN157" s="928"/>
      <c r="CO157" s="928"/>
      <c r="CP157" s="928"/>
      <c r="CQ157" s="928"/>
      <c r="CR157" s="928"/>
      <c r="CS157" s="928"/>
      <c r="CT157" s="928"/>
      <c r="CU157" s="928"/>
      <c r="CV157" s="928"/>
      <c r="CW157" s="928"/>
      <c r="CX157" s="928"/>
      <c r="CY157" s="928"/>
      <c r="CZ157" s="928"/>
      <c r="DA157" s="928"/>
      <c r="DB157" s="928"/>
      <c r="DC157" s="928"/>
      <c r="DD157" s="928"/>
      <c r="DE157" s="928"/>
      <c r="DF157" s="928"/>
      <c r="DG157" s="928"/>
      <c r="DH157" s="928"/>
      <c r="DI157" s="928"/>
      <c r="DJ157" s="928"/>
      <c r="DK157" s="928"/>
      <c r="DL157" s="928"/>
      <c r="DM157" s="928"/>
      <c r="DN157" s="928"/>
      <c r="DO157" s="928"/>
      <c r="DP157" s="928"/>
      <c r="DQ157" s="928"/>
      <c r="DR157" s="928"/>
      <c r="DS157" s="928"/>
      <c r="DT157" s="928"/>
      <c r="DU157" s="928"/>
      <c r="DV157" s="928"/>
      <c r="DW157" s="928"/>
      <c r="DX157" s="928"/>
      <c r="DY157" s="1338"/>
      <c r="DZ157" s="928"/>
      <c r="EA157" s="928"/>
      <c r="EB157" s="928"/>
      <c r="EC157" s="1337"/>
      <c r="ED157" s="1338"/>
      <c r="EE157" s="928"/>
      <c r="EF157" s="928"/>
      <c r="EG157" s="928"/>
      <c r="EH157" s="1337"/>
      <c r="EI157" s="928"/>
      <c r="EJ157" s="928"/>
      <c r="EK157" s="928"/>
      <c r="EL157" s="928"/>
      <c r="EM157" s="1337"/>
      <c r="EN157" s="928"/>
      <c r="EO157" s="928"/>
      <c r="EP157" s="928"/>
      <c r="EQ157" s="928"/>
      <c r="ER157" s="928"/>
      <c r="ES157" s="928"/>
      <c r="ET157" s="928"/>
      <c r="EU157" s="928"/>
      <c r="EV157" s="928"/>
      <c r="EW157" s="928"/>
      <c r="EX157" s="928"/>
      <c r="EY157" s="928"/>
      <c r="EZ157" s="928"/>
      <c r="FA157" s="928"/>
      <c r="FB157" s="928"/>
      <c r="FC157" s="928"/>
      <c r="FD157" s="928"/>
      <c r="FE157" s="928"/>
      <c r="FF157" s="1429"/>
      <c r="FG157" s="928"/>
      <c r="FH157" s="1425"/>
      <c r="FI157" s="1319"/>
      <c r="FJ157" s="1622"/>
      <c r="FK157" s="1605"/>
      <c r="FL157" s="928"/>
      <c r="FM157" s="928"/>
      <c r="FN157" s="928"/>
      <c r="FO157" s="928"/>
      <c r="FP157" s="928"/>
      <c r="FQ157" s="928"/>
    </row>
    <row r="158" spans="1:173">
      <c r="A158" s="1441"/>
      <c r="B158" s="928"/>
      <c r="C158" s="928"/>
      <c r="D158" s="928"/>
      <c r="E158" s="928"/>
      <c r="F158" s="928"/>
      <c r="G158" s="928"/>
      <c r="H158" s="928"/>
      <c r="I158" s="928"/>
      <c r="J158" s="928"/>
      <c r="K158" s="928"/>
      <c r="L158" s="928"/>
      <c r="M158" s="928"/>
      <c r="N158" s="928"/>
      <c r="O158" s="928"/>
      <c r="P158" s="928"/>
      <c r="Q158" s="928"/>
      <c r="R158" s="928"/>
      <c r="S158" s="928"/>
      <c r="T158" s="928"/>
      <c r="U158" s="928"/>
      <c r="V158" s="928"/>
      <c r="W158" s="928"/>
      <c r="X158" s="928"/>
      <c r="Y158" s="928"/>
      <c r="Z158" s="1254"/>
      <c r="AA158" s="1254"/>
      <c r="AB158" s="1254"/>
      <c r="AC158" s="1254"/>
      <c r="AD158" s="1254"/>
      <c r="AE158" s="1254"/>
      <c r="AF158" s="1254"/>
      <c r="AG158" s="1254"/>
      <c r="AH158" s="1413"/>
      <c r="AI158" s="1413"/>
      <c r="AJ158" s="1254"/>
      <c r="AK158" s="1254"/>
      <c r="AL158" s="1254"/>
      <c r="AM158" s="1254"/>
      <c r="AN158" s="1254"/>
      <c r="AO158" s="1254"/>
      <c r="AP158" s="1254"/>
      <c r="AQ158" s="1254"/>
      <c r="AR158" s="1254"/>
      <c r="AS158" s="1254"/>
      <c r="AT158" s="1254"/>
      <c r="AU158" s="1413"/>
      <c r="AV158" s="1413"/>
      <c r="AW158" s="1413"/>
      <c r="AX158" s="1413"/>
      <c r="AY158" s="1254"/>
      <c r="AZ158" s="1254"/>
      <c r="BA158" s="1254"/>
      <c r="BB158" s="1254"/>
      <c r="BC158" s="1254"/>
      <c r="BD158" s="1254"/>
      <c r="BE158" s="1355"/>
      <c r="BF158" s="1254"/>
      <c r="BG158" s="1468"/>
      <c r="BH158" s="1468"/>
      <c r="BI158" s="1389"/>
      <c r="BJ158" s="1509"/>
      <c r="BK158" s="1442"/>
      <c r="BL158" s="1442"/>
      <c r="BM158" s="1442"/>
      <c r="BN158" s="1514"/>
      <c r="BO158" s="1509"/>
      <c r="BP158" s="1442"/>
      <c r="BQ158" s="1442"/>
      <c r="BR158" s="1442"/>
      <c r="BS158" s="1514"/>
      <c r="BT158" s="1509"/>
      <c r="BU158" s="1442"/>
      <c r="BV158" s="1442"/>
      <c r="BW158" s="1442"/>
      <c r="BX158" s="1514"/>
      <c r="BY158" s="1254"/>
      <c r="BZ158" s="928"/>
      <c r="CA158" s="928"/>
      <c r="CB158" s="928"/>
      <c r="CC158" s="928"/>
      <c r="CD158" s="928"/>
      <c r="CE158" s="928"/>
      <c r="CF158" s="928"/>
      <c r="CG158" s="928"/>
      <c r="CH158" s="928"/>
      <c r="CI158" s="928"/>
      <c r="CJ158" s="928"/>
      <c r="CK158" s="928"/>
      <c r="CL158" s="928"/>
      <c r="CM158" s="928"/>
      <c r="CN158" s="928"/>
      <c r="CO158" s="928"/>
      <c r="CP158" s="928"/>
      <c r="CQ158" s="928"/>
      <c r="CR158" s="928"/>
      <c r="CS158" s="928"/>
      <c r="CT158" s="928"/>
      <c r="CU158" s="928"/>
      <c r="CV158" s="928"/>
      <c r="CW158" s="928"/>
      <c r="CX158" s="928"/>
      <c r="CY158" s="928"/>
      <c r="CZ158" s="928"/>
      <c r="DA158" s="928"/>
      <c r="DB158" s="928"/>
      <c r="DC158" s="928"/>
      <c r="DD158" s="928"/>
      <c r="DE158" s="928"/>
      <c r="DF158" s="928"/>
      <c r="DG158" s="928"/>
      <c r="DH158" s="928"/>
      <c r="DI158" s="928"/>
      <c r="DJ158" s="928"/>
      <c r="DK158" s="928"/>
      <c r="DL158" s="928"/>
      <c r="DM158" s="928"/>
      <c r="DN158" s="928"/>
      <c r="DO158" s="928"/>
      <c r="DP158" s="928"/>
      <c r="DQ158" s="928"/>
      <c r="DR158" s="928"/>
      <c r="DS158" s="928"/>
      <c r="DT158" s="928"/>
      <c r="DU158" s="928"/>
      <c r="DV158" s="928"/>
      <c r="DW158" s="928"/>
      <c r="DX158" s="928"/>
      <c r="DY158" s="1338"/>
      <c r="DZ158" s="928"/>
      <c r="EA158" s="928"/>
      <c r="EB158" s="928"/>
      <c r="EC158" s="1337"/>
      <c r="ED158" s="1338"/>
      <c r="EE158" s="928"/>
      <c r="EF158" s="928"/>
      <c r="EG158" s="928"/>
      <c r="EH158" s="1337"/>
      <c r="EI158" s="928"/>
      <c r="EJ158" s="928"/>
      <c r="EK158" s="928"/>
      <c r="EL158" s="928"/>
      <c r="EM158" s="1337"/>
      <c r="EN158" s="928"/>
      <c r="EO158" s="928"/>
      <c r="EP158" s="928"/>
      <c r="EQ158" s="928"/>
      <c r="ER158" s="928"/>
      <c r="ES158" s="928"/>
      <c r="ET158" s="928"/>
      <c r="EU158" s="928"/>
      <c r="EV158" s="928"/>
      <c r="EW158" s="928"/>
      <c r="EX158" s="928"/>
      <c r="EY158" s="928"/>
      <c r="EZ158" s="928"/>
      <c r="FA158" s="928"/>
      <c r="FB158" s="928"/>
      <c r="FC158" s="928"/>
      <c r="FD158" s="928"/>
      <c r="FE158" s="928"/>
      <c r="FF158" s="1469"/>
      <c r="FG158" s="928"/>
      <c r="FH158" s="1351"/>
      <c r="FI158" s="1319"/>
      <c r="FJ158" s="1622"/>
      <c r="FK158" s="1605"/>
      <c r="FL158" s="928"/>
      <c r="FM158" s="928"/>
      <c r="FN158" s="928"/>
      <c r="FO158" s="928"/>
      <c r="FP158" s="928"/>
      <c r="FQ158" s="928"/>
    </row>
    <row r="159" spans="1:173">
      <c r="A159" s="1441"/>
      <c r="B159" s="928"/>
      <c r="C159" s="928"/>
      <c r="D159" s="928"/>
      <c r="E159" s="928"/>
      <c r="F159" s="928"/>
      <c r="G159" s="928"/>
      <c r="H159" s="928"/>
      <c r="I159" s="928"/>
      <c r="J159" s="928"/>
      <c r="K159" s="928"/>
      <c r="L159" s="928"/>
      <c r="M159" s="928"/>
      <c r="N159" s="928"/>
      <c r="O159" s="928"/>
      <c r="P159" s="928"/>
      <c r="Q159" s="928"/>
      <c r="R159" s="928"/>
      <c r="S159" s="928"/>
      <c r="T159" s="928"/>
      <c r="U159" s="928"/>
      <c r="V159" s="928"/>
      <c r="W159" s="928"/>
      <c r="X159" s="928"/>
      <c r="Y159" s="928"/>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355"/>
      <c r="BF159" s="1254"/>
      <c r="BG159" s="1254"/>
      <c r="BH159" s="1254"/>
      <c r="BI159" s="1389"/>
      <c r="BJ159" s="1509"/>
      <c r="BK159" s="1442"/>
      <c r="BL159" s="1442"/>
      <c r="BM159" s="1442"/>
      <c r="BN159" s="1514"/>
      <c r="BO159" s="1509"/>
      <c r="BP159" s="1442"/>
      <c r="BQ159" s="1442"/>
      <c r="BR159" s="1442"/>
      <c r="BS159" s="1514"/>
      <c r="BT159" s="1509"/>
      <c r="BU159" s="1442"/>
      <c r="BV159" s="1442"/>
      <c r="BW159" s="1664"/>
      <c r="BX159" s="1514"/>
      <c r="BY159" s="1254"/>
      <c r="BZ159" s="928"/>
      <c r="CA159" s="928"/>
      <c r="CB159" s="928"/>
      <c r="CC159" s="928"/>
      <c r="CD159" s="928"/>
      <c r="CE159" s="928"/>
      <c r="CF159" s="928"/>
      <c r="CG159" s="928"/>
      <c r="CH159" s="928"/>
      <c r="CI159" s="928"/>
      <c r="CJ159" s="928"/>
      <c r="CK159" s="928"/>
      <c r="CL159" s="928"/>
      <c r="CM159" s="928"/>
      <c r="CN159" s="928"/>
      <c r="CO159" s="928"/>
      <c r="CP159" s="928"/>
      <c r="CQ159" s="928"/>
      <c r="CR159" s="928"/>
      <c r="CS159" s="928"/>
      <c r="CT159" s="928"/>
      <c r="CU159" s="928"/>
      <c r="CV159" s="928"/>
      <c r="CW159" s="928"/>
      <c r="CX159" s="928"/>
      <c r="CY159" s="928"/>
      <c r="CZ159" s="928"/>
      <c r="DA159" s="928"/>
      <c r="DB159" s="928"/>
      <c r="DC159" s="928"/>
      <c r="DD159" s="928"/>
      <c r="DE159" s="928"/>
      <c r="DF159" s="928"/>
      <c r="DG159" s="928"/>
      <c r="DH159" s="928"/>
      <c r="DI159" s="928"/>
      <c r="DJ159" s="928"/>
      <c r="DK159" s="928"/>
      <c r="DL159" s="928"/>
      <c r="DM159" s="928"/>
      <c r="DN159" s="928"/>
      <c r="DO159" s="928"/>
      <c r="DP159" s="928"/>
      <c r="DQ159" s="928"/>
      <c r="DR159" s="928"/>
      <c r="DS159" s="928"/>
      <c r="DT159" s="928"/>
      <c r="DU159" s="928"/>
      <c r="DV159" s="928"/>
      <c r="DW159" s="928"/>
      <c r="DX159" s="928"/>
      <c r="DY159" s="1338"/>
      <c r="DZ159" s="928"/>
      <c r="EA159" s="928"/>
      <c r="EB159" s="928"/>
      <c r="EC159" s="1337"/>
      <c r="ED159" s="1338"/>
      <c r="EE159" s="928"/>
      <c r="EF159" s="928"/>
      <c r="EG159" s="928"/>
      <c r="EH159" s="1337"/>
      <c r="EI159" s="928"/>
      <c r="EJ159" s="928"/>
      <c r="EK159" s="928"/>
      <c r="EL159" s="928"/>
      <c r="EM159" s="1337"/>
      <c r="EN159" s="928"/>
      <c r="EO159" s="928"/>
      <c r="EP159" s="928"/>
      <c r="EQ159" s="928"/>
      <c r="ER159" s="928"/>
      <c r="ES159" s="928"/>
      <c r="ET159" s="928"/>
      <c r="EU159" s="928"/>
      <c r="EV159" s="928"/>
      <c r="EW159" s="928"/>
      <c r="EX159" s="928"/>
      <c r="EY159" s="928"/>
      <c r="EZ159" s="928"/>
      <c r="FA159" s="928"/>
      <c r="FB159" s="928"/>
      <c r="FC159" s="928"/>
      <c r="FD159" s="928"/>
      <c r="FE159" s="928"/>
      <c r="FF159" s="1363"/>
      <c r="FG159" s="928"/>
      <c r="FH159" s="1351"/>
      <c r="FI159" s="1319"/>
      <c r="FJ159" s="1622"/>
      <c r="FK159" s="1605"/>
      <c r="FL159" s="928"/>
      <c r="FM159" s="928"/>
      <c r="FN159" s="928"/>
      <c r="FO159" s="928"/>
      <c r="FP159" s="928"/>
      <c r="FQ159" s="928"/>
    </row>
    <row r="160" spans="1:173">
      <c r="A160" s="1444" t="s">
        <v>224</v>
      </c>
      <c r="B160" s="928"/>
      <c r="C160" s="928"/>
      <c r="D160" s="928"/>
      <c r="E160" s="928"/>
      <c r="F160" s="928"/>
      <c r="G160" s="928"/>
      <c r="H160" s="928"/>
      <c r="I160" s="928"/>
      <c r="J160" s="928"/>
      <c r="K160" s="928"/>
      <c r="L160" s="928"/>
      <c r="M160" s="928"/>
      <c r="N160" s="928"/>
      <c r="O160" s="928"/>
      <c r="P160" s="928"/>
      <c r="Q160" s="928"/>
      <c r="R160" s="928"/>
      <c r="S160" s="928"/>
      <c r="T160" s="928">
        <f>Master!L156</f>
        <v>34993</v>
      </c>
      <c r="U160" s="928"/>
      <c r="V160" s="928">
        <v>33041.800000000003</v>
      </c>
      <c r="W160" s="928">
        <v>31497</v>
      </c>
      <c r="X160" s="928">
        <v>39748</v>
      </c>
      <c r="Y160" s="928">
        <v>40507</v>
      </c>
      <c r="Z160" s="1254"/>
      <c r="AA160" s="928">
        <v>39261</v>
      </c>
      <c r="AB160" s="928">
        <v>43433</v>
      </c>
      <c r="AC160" s="928">
        <v>47727</v>
      </c>
      <c r="AD160" s="1034">
        <f>49675.8+AD164</f>
        <v>55481</v>
      </c>
      <c r="AE160" s="1254"/>
      <c r="AF160" s="1470">
        <f>47218.2+AF164</f>
        <v>52966</v>
      </c>
      <c r="AG160" s="1034">
        <f>56360.2+AG164</f>
        <v>62314.2</v>
      </c>
      <c r="AH160" s="1413">
        <v>73742.899999999994</v>
      </c>
      <c r="AI160" s="1413">
        <v>78405.899999999994</v>
      </c>
      <c r="AJ160" s="1413">
        <f>Master!O176</f>
        <v>78405.899999999994</v>
      </c>
      <c r="AK160" s="1413">
        <v>72606</v>
      </c>
      <c r="AL160" s="1413">
        <v>72084.100000000006</v>
      </c>
      <c r="AM160" s="1413">
        <v>73953</v>
      </c>
      <c r="AN160" s="1413">
        <v>79273.100000000006</v>
      </c>
      <c r="AO160" s="1435">
        <f>Master!P176</f>
        <v>79273</v>
      </c>
      <c r="AP160" s="1435">
        <v>73339.3</v>
      </c>
      <c r="AQ160" s="1435">
        <v>72176.899999999994</v>
      </c>
      <c r="AR160" s="1435">
        <v>68630.399999999994</v>
      </c>
      <c r="AS160" s="1435">
        <v>83318.5</v>
      </c>
      <c r="AT160" s="1435"/>
      <c r="AU160" s="1435">
        <v>94276</v>
      </c>
      <c r="AV160" s="1435">
        <v>93495.2</v>
      </c>
      <c r="AW160" s="1435">
        <v>94994.7</v>
      </c>
      <c r="AX160" s="1435">
        <v>93733.1</v>
      </c>
      <c r="AY160" s="928"/>
      <c r="AZ160" s="1435">
        <v>113656.8</v>
      </c>
      <c r="BA160" s="1435">
        <v>109037.5</v>
      </c>
      <c r="BB160" s="1435">
        <v>104688.2</v>
      </c>
      <c r="BC160" s="1435">
        <v>96143</v>
      </c>
      <c r="BD160" s="928"/>
      <c r="BE160" s="1505">
        <v>99318.8</v>
      </c>
      <c r="BF160" s="1435">
        <v>100113.2</v>
      </c>
      <c r="BG160" s="1435">
        <v>108781.9</v>
      </c>
      <c r="BH160" s="1435">
        <v>105219.9</v>
      </c>
      <c r="BI160" s="1506"/>
      <c r="BJ160" s="1523">
        <v>56948.2</v>
      </c>
      <c r="BK160" s="1451">
        <v>59098.7</v>
      </c>
      <c r="BL160" s="1451">
        <v>59358.7</v>
      </c>
      <c r="BM160" s="1451">
        <v>59094.400000000001</v>
      </c>
      <c r="BN160" s="1514"/>
      <c r="BO160" s="1523">
        <v>60383.199999999997</v>
      </c>
      <c r="BP160" s="1451">
        <v>61584.2</v>
      </c>
      <c r="BQ160" s="1451">
        <v>62889.4</v>
      </c>
      <c r="BR160" s="1451">
        <v>60654.5</v>
      </c>
      <c r="BS160" s="1514"/>
      <c r="BT160" s="1523">
        <v>57456.3</v>
      </c>
      <c r="BU160" s="1442">
        <f>BT160-BU156</f>
        <v>58563.755679369075</v>
      </c>
      <c r="BV160" s="1442">
        <f>BU160-BV156</f>
        <v>58571.669421762927</v>
      </c>
      <c r="BW160" s="1442">
        <f ca="1">BX160</f>
        <v>58915.414928870276</v>
      </c>
      <c r="BX160" s="1587">
        <f ca="1">Master!W156</f>
        <v>58915.414928870276</v>
      </c>
      <c r="BY160" s="928"/>
      <c r="BZ160" s="928"/>
      <c r="CA160" s="928"/>
      <c r="CB160" s="928"/>
      <c r="CC160" s="928"/>
      <c r="CD160" s="928"/>
      <c r="CE160" s="928"/>
      <c r="CF160" s="928"/>
      <c r="CG160" s="928"/>
      <c r="CH160" s="928"/>
      <c r="CI160" s="928"/>
      <c r="CJ160" s="928"/>
      <c r="CK160" s="928"/>
      <c r="CL160" s="928"/>
      <c r="CM160" s="928"/>
      <c r="CN160" s="928"/>
      <c r="CO160" s="928"/>
      <c r="CP160" s="928"/>
      <c r="CQ160" s="928"/>
      <c r="CR160" s="928"/>
      <c r="CS160" s="928"/>
      <c r="CT160" s="928"/>
      <c r="CU160" s="928"/>
      <c r="CV160" s="928"/>
      <c r="CW160" s="928"/>
      <c r="CX160" s="928"/>
      <c r="CY160" s="928"/>
      <c r="CZ160" s="928"/>
      <c r="DA160" s="928"/>
      <c r="DB160" s="928"/>
      <c r="DC160" s="928"/>
      <c r="DD160" s="928"/>
      <c r="DE160" s="928"/>
      <c r="DF160" s="928"/>
      <c r="DG160" s="928"/>
      <c r="DH160" s="928"/>
      <c r="DI160" s="928"/>
      <c r="DJ160" s="928"/>
      <c r="DK160" s="928"/>
      <c r="DL160" s="928"/>
      <c r="DM160" s="928"/>
      <c r="DN160" s="928"/>
      <c r="DO160" s="928"/>
      <c r="DP160" s="928"/>
      <c r="DQ160" s="928"/>
      <c r="DR160" s="928"/>
      <c r="DS160" s="928"/>
      <c r="DT160" s="928"/>
      <c r="DU160" s="928"/>
      <c r="DV160" s="928"/>
      <c r="DW160" s="928"/>
      <c r="DX160" s="928"/>
      <c r="DY160" s="1338"/>
      <c r="DZ160" s="928"/>
      <c r="EA160" s="928"/>
      <c r="EB160" s="928"/>
      <c r="EC160" s="1337"/>
      <c r="ED160" s="1338"/>
      <c r="EE160" s="928"/>
      <c r="EF160" s="928"/>
      <c r="EG160" s="928"/>
      <c r="EH160" s="1337"/>
      <c r="EI160" s="928"/>
      <c r="EJ160" s="928"/>
      <c r="EK160" s="928"/>
      <c r="EL160" s="928"/>
      <c r="EM160" s="1337"/>
      <c r="EN160" s="928"/>
      <c r="EO160" s="928"/>
      <c r="EP160" s="928"/>
      <c r="EQ160" s="928"/>
      <c r="ER160" s="928"/>
      <c r="ES160" s="928"/>
      <c r="ET160" s="928"/>
      <c r="EU160" s="928"/>
      <c r="EV160" s="928"/>
      <c r="EW160" s="928"/>
      <c r="EX160" s="928"/>
      <c r="EY160" s="928"/>
      <c r="EZ160" s="928"/>
      <c r="FA160" s="928"/>
      <c r="FB160" s="928"/>
      <c r="FC160" s="928"/>
      <c r="FD160" s="928"/>
      <c r="FE160" s="928"/>
      <c r="FF160" s="1436">
        <v>62935.56</v>
      </c>
      <c r="FG160" s="928"/>
      <c r="FH160" s="1437">
        <v>62850.820312906406</v>
      </c>
      <c r="FI160" s="1319"/>
      <c r="FJ160" s="1618">
        <v>61000</v>
      </c>
      <c r="FK160" s="1605"/>
      <c r="FL160" s="928"/>
      <c r="FM160" s="928"/>
      <c r="FN160" s="928"/>
      <c r="FO160" s="928"/>
      <c r="FP160" s="928"/>
      <c r="FQ160" s="928"/>
    </row>
    <row r="161" spans="1:173">
      <c r="A161" s="1441" t="s">
        <v>5066</v>
      </c>
      <c r="B161" s="928"/>
      <c r="C161" s="928"/>
      <c r="D161" s="928"/>
      <c r="E161" s="928"/>
      <c r="F161" s="928"/>
      <c r="G161" s="928"/>
      <c r="H161" s="928"/>
      <c r="I161" s="928"/>
      <c r="J161" s="928"/>
      <c r="K161" s="928"/>
      <c r="L161" s="928"/>
      <c r="M161" s="928"/>
      <c r="N161" s="928"/>
      <c r="O161" s="928"/>
      <c r="P161" s="928"/>
      <c r="Q161" s="928"/>
      <c r="R161" s="928"/>
      <c r="S161" s="928"/>
      <c r="T161" s="928"/>
      <c r="U161" s="928"/>
      <c r="V161" s="928"/>
      <c r="W161" s="928"/>
      <c r="X161" s="928"/>
      <c r="Y161" s="928"/>
      <c r="Z161" s="1254"/>
      <c r="AA161" s="928"/>
      <c r="AB161" s="928"/>
      <c r="AC161" s="928"/>
      <c r="AD161" s="1034"/>
      <c r="AE161" s="1254"/>
      <c r="AF161" s="1470"/>
      <c r="AG161" s="1034"/>
      <c r="AH161" s="1413"/>
      <c r="AI161" s="1413"/>
      <c r="AJ161" s="1413"/>
      <c r="AK161" s="1413"/>
      <c r="AL161" s="1413"/>
      <c r="AM161" s="1413"/>
      <c r="AN161" s="1413"/>
      <c r="AO161" s="1435"/>
      <c r="AP161" s="1435"/>
      <c r="AQ161" s="1435"/>
      <c r="AR161" s="1435"/>
      <c r="AS161" s="1435"/>
      <c r="AT161" s="1435"/>
      <c r="AU161" s="1442">
        <f>AU160/19</f>
        <v>4961.894736842105</v>
      </c>
      <c r="AV161" s="1442">
        <f>AV160/19</f>
        <v>4920.8</v>
      </c>
      <c r="AW161" s="1442">
        <f>AW160/19</f>
        <v>4999.7210526315785</v>
      </c>
      <c r="AX161" s="1442">
        <f>AX160/19</f>
        <v>4933.3210526315788</v>
      </c>
      <c r="AY161" s="1435"/>
      <c r="AZ161" s="1435"/>
      <c r="BA161" s="1435"/>
      <c r="BB161" s="1435"/>
      <c r="BC161" s="1435"/>
      <c r="BD161" s="1435"/>
      <c r="BE161" s="1505">
        <f>BE160-BC160</f>
        <v>3175.8000000000029</v>
      </c>
      <c r="BF161" s="1435">
        <f>BF160-BE160</f>
        <v>794.39999999999418</v>
      </c>
      <c r="BG161" s="1435">
        <f>BG160-BF160</f>
        <v>8668.6999999999971</v>
      </c>
      <c r="BH161" s="1435">
        <f>BH160-BG160</f>
        <v>-3562</v>
      </c>
      <c r="BI161" s="1506"/>
      <c r="BJ161" s="1509">
        <f>BJ160-BH160</f>
        <v>-48271.7</v>
      </c>
      <c r="BK161" s="1442">
        <f>BK160-BJ160</f>
        <v>2150.5</v>
      </c>
      <c r="BL161" s="1442">
        <f>BL160-BK160</f>
        <v>260</v>
      </c>
      <c r="BM161" s="1442">
        <f>BM160-BL160</f>
        <v>-264.29999999999563</v>
      </c>
      <c r="BN161" s="1514"/>
      <c r="BO161" s="1509">
        <f>BO160-BM160</f>
        <v>1288.7999999999956</v>
      </c>
      <c r="BP161" s="1442">
        <f>BP160-BO160</f>
        <v>1201</v>
      </c>
      <c r="BQ161" s="1442">
        <f>BQ160-BP160</f>
        <v>1305.2000000000044</v>
      </c>
      <c r="BR161" s="1442">
        <f>BR160-BQ160</f>
        <v>-2234.9000000000015</v>
      </c>
      <c r="BS161" s="1514"/>
      <c r="BT161" s="1509">
        <f>BT160-BR160</f>
        <v>-3198.1999999999971</v>
      </c>
      <c r="BU161" s="1442">
        <f>BU160-BT160</f>
        <v>1107.4556793690717</v>
      </c>
      <c r="BV161" s="1442">
        <f>BV160-BU160</f>
        <v>7.9137423938518623</v>
      </c>
      <c r="BW161" s="1442">
        <f ca="1">BW160-BV160</f>
        <v>343.74550710734911</v>
      </c>
      <c r="BX161" s="1514"/>
      <c r="BY161" s="1435"/>
      <c r="BZ161" s="928"/>
      <c r="CA161" s="928"/>
      <c r="CB161" s="928"/>
      <c r="CC161" s="928"/>
      <c r="CD161" s="928"/>
      <c r="CE161" s="928"/>
      <c r="CF161" s="928"/>
      <c r="CG161" s="928"/>
      <c r="CH161" s="928"/>
      <c r="CI161" s="928"/>
      <c r="CJ161" s="928"/>
      <c r="CK161" s="928"/>
      <c r="CL161" s="928"/>
      <c r="CM161" s="928"/>
      <c r="CN161" s="928"/>
      <c r="CO161" s="928"/>
      <c r="CP161" s="928"/>
      <c r="CQ161" s="928"/>
      <c r="CR161" s="928"/>
      <c r="CS161" s="928"/>
      <c r="CT161" s="928"/>
      <c r="CU161" s="928"/>
      <c r="CV161" s="928"/>
      <c r="CW161" s="928"/>
      <c r="CX161" s="928"/>
      <c r="CY161" s="928"/>
      <c r="CZ161" s="928"/>
      <c r="DA161" s="928"/>
      <c r="DB161" s="928"/>
      <c r="DC161" s="928"/>
      <c r="DD161" s="928"/>
      <c r="DE161" s="928"/>
      <c r="DF161" s="928"/>
      <c r="DG161" s="928"/>
      <c r="DH161" s="928"/>
      <c r="DI161" s="928"/>
      <c r="DJ161" s="928"/>
      <c r="DK161" s="928"/>
      <c r="DL161" s="928"/>
      <c r="DM161" s="928"/>
      <c r="DN161" s="928"/>
      <c r="DO161" s="928"/>
      <c r="DP161" s="928"/>
      <c r="DQ161" s="928"/>
      <c r="DR161" s="928"/>
      <c r="DS161" s="928"/>
      <c r="DT161" s="928"/>
      <c r="DU161" s="928"/>
      <c r="DV161" s="928"/>
      <c r="DW161" s="928"/>
      <c r="DX161" s="928"/>
      <c r="DY161" s="1338"/>
      <c r="DZ161" s="928"/>
      <c r="EA161" s="928"/>
      <c r="EB161" s="928"/>
      <c r="EC161" s="1337"/>
      <c r="ED161" s="1338"/>
      <c r="EE161" s="928"/>
      <c r="EF161" s="928"/>
      <c r="EG161" s="928"/>
      <c r="EH161" s="1337"/>
      <c r="EI161" s="928"/>
      <c r="EJ161" s="928"/>
      <c r="EK161" s="928"/>
      <c r="EL161" s="928"/>
      <c r="EM161" s="1337"/>
      <c r="EN161" s="928"/>
      <c r="EO161" s="928"/>
      <c r="EP161" s="928"/>
      <c r="EQ161" s="928"/>
      <c r="ER161" s="928"/>
      <c r="ES161" s="928"/>
      <c r="ET161" s="928"/>
      <c r="EU161" s="928"/>
      <c r="EV161" s="928"/>
      <c r="EW161" s="928"/>
      <c r="EX161" s="928"/>
      <c r="EY161" s="928"/>
      <c r="EZ161" s="928"/>
      <c r="FA161" s="928"/>
      <c r="FB161" s="928"/>
      <c r="FC161" s="928"/>
      <c r="FD161" s="928"/>
      <c r="FE161" s="928"/>
      <c r="FF161" s="1436">
        <v>1351.3600000000006</v>
      </c>
      <c r="FG161" s="928"/>
      <c r="FH161" s="1437">
        <v>-0.94168709358928027</v>
      </c>
      <c r="FI161" s="1319"/>
      <c r="FJ161" s="1622">
        <v>345.5</v>
      </c>
      <c r="FK161" s="1605"/>
      <c r="FL161" s="928"/>
      <c r="FM161" s="928"/>
      <c r="FN161" s="928"/>
      <c r="FO161" s="928"/>
      <c r="FP161" s="928"/>
      <c r="FQ161" s="928"/>
    </row>
    <row r="162" spans="1:173">
      <c r="A162" s="1441"/>
      <c r="B162" s="928"/>
      <c r="C162" s="928"/>
      <c r="D162" s="928"/>
      <c r="E162" s="928"/>
      <c r="F162" s="928"/>
      <c r="G162" s="928"/>
      <c r="H162" s="928"/>
      <c r="I162" s="928"/>
      <c r="J162" s="928"/>
      <c r="K162" s="928"/>
      <c r="L162" s="928"/>
      <c r="M162" s="928"/>
      <c r="N162" s="928"/>
      <c r="O162" s="928"/>
      <c r="P162" s="928"/>
      <c r="Q162" s="928"/>
      <c r="R162" s="928"/>
      <c r="S162" s="928"/>
      <c r="T162" s="928"/>
      <c r="U162" s="928"/>
      <c r="V162" s="928"/>
      <c r="W162" s="928"/>
      <c r="X162" s="928"/>
      <c r="Y162" s="928"/>
      <c r="Z162" s="1254"/>
      <c r="AA162" s="928"/>
      <c r="AB162" s="928"/>
      <c r="AC162" s="928"/>
      <c r="AD162" s="1034"/>
      <c r="AE162" s="1254"/>
      <c r="AF162" s="1470"/>
      <c r="AG162" s="1034"/>
      <c r="AH162" s="1413"/>
      <c r="AI162" s="1413"/>
      <c r="AJ162" s="1413"/>
      <c r="AK162" s="1413"/>
      <c r="AL162" s="1413"/>
      <c r="AM162" s="1413"/>
      <c r="AN162" s="1413"/>
      <c r="AO162" s="1435"/>
      <c r="AP162" s="1435"/>
      <c r="AQ162" s="1435"/>
      <c r="AR162" s="1435"/>
      <c r="AS162" s="1435"/>
      <c r="AT162" s="1435"/>
      <c r="AU162" s="1435"/>
      <c r="AV162" s="1435"/>
      <c r="AW162" s="1435"/>
      <c r="AX162" s="1435"/>
      <c r="AY162" s="1435"/>
      <c r="AZ162" s="1435"/>
      <c r="BA162" s="1435"/>
      <c r="BB162" s="1435"/>
      <c r="BC162" s="1435"/>
      <c r="BD162" s="1435"/>
      <c r="BE162" s="1505"/>
      <c r="BF162" s="1435"/>
      <c r="BG162" s="1435"/>
      <c r="BH162" s="1435"/>
      <c r="BI162" s="1506"/>
      <c r="BJ162" s="1509"/>
      <c r="BK162" s="1442"/>
      <c r="BL162" s="1442"/>
      <c r="BM162" s="1442"/>
      <c r="BN162" s="1514"/>
      <c r="BO162" s="1509"/>
      <c r="BP162" s="1442"/>
      <c r="BQ162" s="1442"/>
      <c r="BR162" s="1442"/>
      <c r="BS162" s="1514"/>
      <c r="BT162" s="1509"/>
      <c r="BU162" s="1442"/>
      <c r="BV162" s="1442"/>
      <c r="BW162" s="1442"/>
      <c r="BX162" s="1587"/>
      <c r="BY162" s="1435"/>
      <c r="BZ162" s="928"/>
      <c r="CA162" s="928"/>
      <c r="CB162" s="928"/>
      <c r="CC162" s="928"/>
      <c r="CD162" s="928"/>
      <c r="CE162" s="928"/>
      <c r="CF162" s="928"/>
      <c r="CG162" s="928"/>
      <c r="CH162" s="928"/>
      <c r="CI162" s="928"/>
      <c r="CJ162" s="928"/>
      <c r="CK162" s="928"/>
      <c r="CL162" s="928"/>
      <c r="CM162" s="928"/>
      <c r="CN162" s="928"/>
      <c r="CO162" s="928"/>
      <c r="CP162" s="928"/>
      <c r="CQ162" s="928"/>
      <c r="CR162" s="928"/>
      <c r="CS162" s="928"/>
      <c r="CT162" s="928"/>
      <c r="CU162" s="928"/>
      <c r="CV162" s="928"/>
      <c r="CW162" s="928"/>
      <c r="CX162" s="928"/>
      <c r="CY162" s="928"/>
      <c r="CZ162" s="928"/>
      <c r="DA162" s="928"/>
      <c r="DB162" s="928"/>
      <c r="DC162" s="928"/>
      <c r="DD162" s="928"/>
      <c r="DE162" s="928"/>
      <c r="DF162" s="928"/>
      <c r="DG162" s="928"/>
      <c r="DH162" s="928"/>
      <c r="DI162" s="928"/>
      <c r="DJ162" s="928"/>
      <c r="DK162" s="928"/>
      <c r="DL162" s="928"/>
      <c r="DM162" s="928"/>
      <c r="DN162" s="928"/>
      <c r="DO162" s="928"/>
      <c r="DP162" s="928"/>
      <c r="DQ162" s="928"/>
      <c r="DR162" s="928"/>
      <c r="DS162" s="928"/>
      <c r="DT162" s="928"/>
      <c r="DU162" s="928"/>
      <c r="DV162" s="928"/>
      <c r="DW162" s="928"/>
      <c r="DX162" s="928"/>
      <c r="DY162" s="1338"/>
      <c r="DZ162" s="928"/>
      <c r="EA162" s="928"/>
      <c r="EB162" s="928"/>
      <c r="EC162" s="1337"/>
      <c r="ED162" s="1338"/>
      <c r="EE162" s="928"/>
      <c r="EF162" s="928"/>
      <c r="EG162" s="928"/>
      <c r="EH162" s="1337"/>
      <c r="EI162" s="928"/>
      <c r="EJ162" s="928"/>
      <c r="EK162" s="928"/>
      <c r="EL162" s="928"/>
      <c r="EM162" s="1337"/>
      <c r="EN162" s="928"/>
      <c r="EO162" s="928"/>
      <c r="EP162" s="928"/>
      <c r="EQ162" s="928"/>
      <c r="ER162" s="928"/>
      <c r="ES162" s="928"/>
      <c r="ET162" s="928"/>
      <c r="EU162" s="928"/>
      <c r="EV162" s="928"/>
      <c r="EW162" s="928"/>
      <c r="EX162" s="928"/>
      <c r="EY162" s="928"/>
      <c r="EZ162" s="928"/>
      <c r="FA162" s="928"/>
      <c r="FB162" s="928"/>
      <c r="FC162" s="928"/>
      <c r="FD162" s="928"/>
      <c r="FE162" s="928"/>
      <c r="FF162" s="1360"/>
      <c r="FG162" s="928"/>
      <c r="FH162" s="1437"/>
      <c r="FI162" s="1319"/>
      <c r="FJ162" s="1622"/>
      <c r="FK162" s="1605"/>
      <c r="FL162" s="928"/>
      <c r="FM162" s="928"/>
      <c r="FN162" s="928"/>
      <c r="FO162" s="928"/>
      <c r="FP162" s="928"/>
      <c r="FQ162" s="928"/>
    </row>
    <row r="163" spans="1:173">
      <c r="A163" s="1471" t="s">
        <v>1727</v>
      </c>
      <c r="B163" s="928"/>
      <c r="C163" s="928"/>
      <c r="D163" s="928"/>
      <c r="E163" s="928"/>
      <c r="F163" s="928"/>
      <c r="G163" s="928"/>
      <c r="H163" s="928"/>
      <c r="I163" s="928"/>
      <c r="J163" s="928"/>
      <c r="K163" s="928"/>
      <c r="L163" s="928"/>
      <c r="M163" s="928"/>
      <c r="N163" s="928"/>
      <c r="O163" s="928"/>
      <c r="P163" s="928"/>
      <c r="Q163" s="928"/>
      <c r="R163" s="928"/>
      <c r="S163" s="928"/>
      <c r="T163" s="928">
        <f>T160+T166</f>
        <v>60839.9</v>
      </c>
      <c r="U163" s="928"/>
      <c r="V163" s="928">
        <f>V160+V166</f>
        <v>59965.8</v>
      </c>
      <c r="W163" s="928">
        <f>W160+W166</f>
        <v>68532.399999999994</v>
      </c>
      <c r="X163" s="928">
        <v>77041</v>
      </c>
      <c r="Y163" s="928">
        <v>80998</v>
      </c>
      <c r="Z163" s="1254"/>
      <c r="AA163" s="928">
        <v>83390</v>
      </c>
      <c r="AB163" s="928">
        <v>84858</v>
      </c>
      <c r="AC163" s="928">
        <v>88819</v>
      </c>
      <c r="AD163" s="928">
        <v>110410.6</v>
      </c>
      <c r="AE163" s="1254"/>
      <c r="AF163" s="928">
        <v>112882.4</v>
      </c>
      <c r="AG163" s="928">
        <v>116773.5</v>
      </c>
      <c r="AH163" s="928">
        <v>121776</v>
      </c>
      <c r="AI163" s="928">
        <v>126997.6</v>
      </c>
      <c r="AJ163" s="1254"/>
      <c r="AK163" s="1254"/>
      <c r="AL163" s="928">
        <v>116393.2</v>
      </c>
      <c r="AM163" s="928">
        <v>116170.1</v>
      </c>
      <c r="AN163" s="928">
        <v>122300.1</v>
      </c>
      <c r="AO163" s="1254"/>
      <c r="AP163" s="928">
        <v>116950</v>
      </c>
      <c r="AQ163" s="928">
        <v>122558.39999999999</v>
      </c>
      <c r="AR163" s="928">
        <v>118358.39999999999</v>
      </c>
      <c r="AS163" s="928">
        <v>121972</v>
      </c>
      <c r="AT163" s="1254"/>
      <c r="AU163" s="928">
        <v>121002</v>
      </c>
      <c r="AV163" s="928">
        <v>133988.9</v>
      </c>
      <c r="AW163" s="928">
        <v>134767.70000000001</v>
      </c>
      <c r="AX163" s="928">
        <v>120936.6</v>
      </c>
      <c r="AY163" s="1254"/>
      <c r="AZ163" s="928">
        <v>157783.79999999999</v>
      </c>
      <c r="BA163" s="928">
        <v>120936.6</v>
      </c>
      <c r="BB163" s="928">
        <v>146920.29999999999</v>
      </c>
      <c r="BC163" s="928">
        <f>BA163</f>
        <v>120936.6</v>
      </c>
      <c r="BD163" s="1254"/>
      <c r="BE163" s="1355"/>
      <c r="BF163" s="1254"/>
      <c r="BG163" s="1254"/>
      <c r="BH163" s="928">
        <v>135473</v>
      </c>
      <c r="BI163" s="1389"/>
      <c r="BJ163" s="1509"/>
      <c r="BK163" s="1442"/>
      <c r="BL163" s="1451">
        <v>116025</v>
      </c>
      <c r="BM163" s="1451">
        <v>105240.7</v>
      </c>
      <c r="BN163" s="1514"/>
      <c r="BO163" s="1523">
        <v>98911.5</v>
      </c>
      <c r="BP163" s="1451">
        <v>95420</v>
      </c>
      <c r="BQ163" s="1451">
        <v>90704</v>
      </c>
      <c r="BR163" s="1451">
        <v>88535.9</v>
      </c>
      <c r="BS163" s="1514"/>
      <c r="BT163" s="1523">
        <v>87149.1</v>
      </c>
      <c r="BU163" s="1442">
        <f>BU160+BU166</f>
        <v>91563.755679369075</v>
      </c>
      <c r="BV163" s="1442">
        <f>BV160+BV166</f>
        <v>90071.669421762927</v>
      </c>
      <c r="BW163" s="1537">
        <f>BX163</f>
        <v>94997.021870415774</v>
      </c>
      <c r="BX163" s="1587">
        <f>Master!W256+Master!W273</f>
        <v>94997.021870415774</v>
      </c>
      <c r="BY163" s="1254"/>
      <c r="BZ163" s="928"/>
      <c r="CA163" s="928"/>
      <c r="CB163" s="928"/>
      <c r="CC163" s="928"/>
      <c r="CD163" s="928"/>
      <c r="CE163" s="928"/>
      <c r="CF163" s="928"/>
      <c r="CG163" s="928"/>
      <c r="CH163" s="928"/>
      <c r="CI163" s="928"/>
      <c r="CJ163" s="928"/>
      <c r="CK163" s="928"/>
      <c r="CL163" s="928"/>
      <c r="CM163" s="928"/>
      <c r="CN163" s="928"/>
      <c r="CO163" s="928"/>
      <c r="CP163" s="928"/>
      <c r="CQ163" s="928"/>
      <c r="CR163" s="928"/>
      <c r="CS163" s="928"/>
      <c r="CT163" s="928"/>
      <c r="CU163" s="928"/>
      <c r="CV163" s="928"/>
      <c r="CW163" s="928"/>
      <c r="CX163" s="928"/>
      <c r="CY163" s="928"/>
      <c r="CZ163" s="928"/>
      <c r="DA163" s="928"/>
      <c r="DB163" s="928"/>
      <c r="DC163" s="928"/>
      <c r="DD163" s="928"/>
      <c r="DE163" s="928"/>
      <c r="DF163" s="928"/>
      <c r="DG163" s="928"/>
      <c r="DH163" s="928"/>
      <c r="DI163" s="928"/>
      <c r="DJ163" s="928"/>
      <c r="DK163" s="928"/>
      <c r="DL163" s="928"/>
      <c r="DM163" s="928"/>
      <c r="DN163" s="928"/>
      <c r="DO163" s="928"/>
      <c r="DP163" s="928"/>
      <c r="DQ163" s="928"/>
      <c r="DR163" s="928"/>
      <c r="DS163" s="928"/>
      <c r="DT163" s="928"/>
      <c r="DU163" s="928"/>
      <c r="DV163" s="928"/>
      <c r="DW163" s="928"/>
      <c r="DX163" s="928"/>
      <c r="DY163" s="1338"/>
      <c r="DZ163" s="928"/>
      <c r="EA163" s="928"/>
      <c r="EB163" s="928"/>
      <c r="EC163" s="1337"/>
      <c r="ED163" s="1338"/>
      <c r="EE163" s="928"/>
      <c r="EF163" s="928"/>
      <c r="EG163" s="928"/>
      <c r="EH163" s="1337"/>
      <c r="EI163" s="928"/>
      <c r="EJ163" s="928"/>
      <c r="EK163" s="928"/>
      <c r="EL163" s="928"/>
      <c r="EM163" s="1337"/>
      <c r="EN163" s="928"/>
      <c r="EO163" s="928"/>
      <c r="EP163" s="928"/>
      <c r="EQ163" s="928"/>
      <c r="ER163" s="928"/>
      <c r="ES163" s="928"/>
      <c r="ET163" s="928"/>
      <c r="EU163" s="928"/>
      <c r="EV163" s="928"/>
      <c r="EW163" s="928"/>
      <c r="EX163" s="928"/>
      <c r="EY163" s="928"/>
      <c r="EZ163" s="928"/>
      <c r="FA163" s="928"/>
      <c r="FB163" s="928"/>
      <c r="FC163" s="928"/>
      <c r="FD163" s="928"/>
      <c r="FE163" s="928"/>
      <c r="FF163" s="1429">
        <v>1573.3890000000001</v>
      </c>
      <c r="FG163" s="928"/>
      <c r="FH163" s="1351"/>
      <c r="FI163" s="1319"/>
      <c r="FJ163" s="1618">
        <v>88800</v>
      </c>
      <c r="FK163" s="1605"/>
      <c r="FL163" s="928"/>
      <c r="FM163" s="928"/>
      <c r="FN163" s="928"/>
      <c r="FO163" s="928"/>
      <c r="FP163" s="928"/>
      <c r="FQ163" s="928"/>
    </row>
    <row r="164" spans="1:173">
      <c r="A164" s="1471" t="s">
        <v>2892</v>
      </c>
      <c r="B164" s="928"/>
      <c r="C164" s="928"/>
      <c r="D164" s="928"/>
      <c r="E164" s="928"/>
      <c r="F164" s="928"/>
      <c r="G164" s="928"/>
      <c r="H164" s="928"/>
      <c r="I164" s="928"/>
      <c r="J164" s="928"/>
      <c r="K164" s="928"/>
      <c r="L164" s="928"/>
      <c r="M164" s="928"/>
      <c r="N164" s="928"/>
      <c r="O164" s="928"/>
      <c r="P164" s="928"/>
      <c r="Q164" s="928"/>
      <c r="R164" s="928"/>
      <c r="S164" s="928"/>
      <c r="T164" s="928"/>
      <c r="U164" s="928"/>
      <c r="V164" s="928"/>
      <c r="W164" s="928"/>
      <c r="X164" s="928"/>
      <c r="Y164" s="928"/>
      <c r="Z164" s="1254"/>
      <c r="AA164" s="928"/>
      <c r="AB164" s="928"/>
      <c r="AC164" s="928"/>
      <c r="AD164" s="1413">
        <v>5805.2</v>
      </c>
      <c r="AE164" s="1254"/>
      <c r="AF164" s="928">
        <v>5747.8</v>
      </c>
      <c r="AG164" s="928">
        <v>5954</v>
      </c>
      <c r="AH164" s="928">
        <v>6093.9</v>
      </c>
      <c r="AI164" s="928">
        <v>5816.2</v>
      </c>
      <c r="AJ164" s="1254"/>
      <c r="AK164" s="1254"/>
      <c r="AL164" s="928">
        <v>4988.6000000000004</v>
      </c>
      <c r="AM164" s="928">
        <v>4810.8</v>
      </c>
      <c r="AN164" s="928">
        <v>5041.8999999999996</v>
      </c>
      <c r="AO164" s="1254"/>
      <c r="AP164" s="928">
        <v>4610.5</v>
      </c>
      <c r="AQ164" s="928">
        <v>5580.5</v>
      </c>
      <c r="AR164" s="928">
        <v>5206.8999999999996</v>
      </c>
      <c r="AS164" s="928">
        <v>5317.9</v>
      </c>
      <c r="AT164" s="1254"/>
      <c r="AU164" s="928">
        <v>9897.5</v>
      </c>
      <c r="AV164" s="928">
        <v>9612.5</v>
      </c>
      <c r="AW164" s="928">
        <v>9656.6</v>
      </c>
      <c r="AX164" s="928">
        <v>9363.6</v>
      </c>
      <c r="AY164" s="1254"/>
      <c r="AZ164" s="928">
        <f>AX164</f>
        <v>9363.6</v>
      </c>
      <c r="BA164" s="928">
        <v>9363.6</v>
      </c>
      <c r="BB164" s="928">
        <v>9840</v>
      </c>
      <c r="BC164" s="928">
        <f>BA164</f>
        <v>9363.6</v>
      </c>
      <c r="BD164" s="1254"/>
      <c r="BE164" s="1355"/>
      <c r="BF164" s="1254"/>
      <c r="BG164" s="1254"/>
      <c r="BH164" s="928">
        <v>9681</v>
      </c>
      <c r="BI164" s="1389"/>
      <c r="BJ164" s="1509"/>
      <c r="BK164" s="1442"/>
      <c r="BL164" s="1451">
        <v>8357</v>
      </c>
      <c r="BM164" s="1451">
        <v>8369</v>
      </c>
      <c r="BN164" s="1514"/>
      <c r="BO164" s="1523">
        <v>8052.2</v>
      </c>
      <c r="BP164" s="1451">
        <v>7730.4</v>
      </c>
      <c r="BQ164" s="1451">
        <v>7518</v>
      </c>
      <c r="BR164" s="1451">
        <v>7291.5</v>
      </c>
      <c r="BS164" s="1514"/>
      <c r="BT164" s="1523">
        <v>5935.7</v>
      </c>
      <c r="BU164" s="1537">
        <v>6000</v>
      </c>
      <c r="BV164" s="1537">
        <v>6000</v>
      </c>
      <c r="BW164" s="1537">
        <v>6000</v>
      </c>
      <c r="BX164" s="1587">
        <f>Master!W273</f>
        <v>6000</v>
      </c>
      <c r="BY164" s="1254"/>
      <c r="BZ164" s="928"/>
      <c r="CA164" s="928"/>
      <c r="CB164" s="928"/>
      <c r="CC164" s="928"/>
      <c r="CD164" s="928"/>
      <c r="CE164" s="928"/>
      <c r="CF164" s="928"/>
      <c r="CG164" s="928"/>
      <c r="CH164" s="928"/>
      <c r="CI164" s="928"/>
      <c r="CJ164" s="928"/>
      <c r="CK164" s="928"/>
      <c r="CL164" s="928"/>
      <c r="CM164" s="928"/>
      <c r="CN164" s="928"/>
      <c r="CO164" s="928"/>
      <c r="CP164" s="928"/>
      <c r="CQ164" s="928"/>
      <c r="CR164" s="928"/>
      <c r="CS164" s="928"/>
      <c r="CT164" s="928"/>
      <c r="CU164" s="928"/>
      <c r="CV164" s="928"/>
      <c r="CW164" s="928"/>
      <c r="CX164" s="928"/>
      <c r="CY164" s="928"/>
      <c r="CZ164" s="928"/>
      <c r="DA164" s="928"/>
      <c r="DB164" s="928"/>
      <c r="DC164" s="928"/>
      <c r="DD164" s="928"/>
      <c r="DE164" s="928"/>
      <c r="DF164" s="928"/>
      <c r="DG164" s="928"/>
      <c r="DH164" s="928"/>
      <c r="DI164" s="928"/>
      <c r="DJ164" s="928"/>
      <c r="DK164" s="928"/>
      <c r="DL164" s="928"/>
      <c r="DM164" s="928"/>
      <c r="DN164" s="928"/>
      <c r="DO164" s="928"/>
      <c r="DP164" s="928"/>
      <c r="DQ164" s="928"/>
      <c r="DR164" s="928"/>
      <c r="DS164" s="928"/>
      <c r="DT164" s="928"/>
      <c r="DU164" s="928"/>
      <c r="DV164" s="928"/>
      <c r="DW164" s="928"/>
      <c r="DX164" s="928"/>
      <c r="DY164" s="1338"/>
      <c r="DZ164" s="928"/>
      <c r="EA164" s="928"/>
      <c r="EB164" s="928"/>
      <c r="EC164" s="1337"/>
      <c r="ED164" s="1338"/>
      <c r="EE164" s="928"/>
      <c r="EF164" s="928"/>
      <c r="EG164" s="928"/>
      <c r="EH164" s="1337"/>
      <c r="EI164" s="928"/>
      <c r="EJ164" s="928"/>
      <c r="EK164" s="928"/>
      <c r="EL164" s="928"/>
      <c r="EM164" s="1337"/>
      <c r="EN164" s="928"/>
      <c r="EO164" s="928"/>
      <c r="EP164" s="928"/>
      <c r="EQ164" s="928"/>
      <c r="ER164" s="928"/>
      <c r="ES164" s="928"/>
      <c r="ET164" s="928"/>
      <c r="EU164" s="928"/>
      <c r="EV164" s="928"/>
      <c r="EW164" s="928"/>
      <c r="EX164" s="928"/>
      <c r="EY164" s="928"/>
      <c r="EZ164" s="928"/>
      <c r="FA164" s="928"/>
      <c r="FB164" s="928"/>
      <c r="FC164" s="928"/>
      <c r="FD164" s="928"/>
      <c r="FE164" s="928"/>
      <c r="FF164" s="1363"/>
      <c r="FG164" s="928"/>
      <c r="FH164" s="1351"/>
      <c r="FI164" s="1319"/>
      <c r="FJ164" s="1618">
        <v>6000</v>
      </c>
      <c r="FK164" s="1605"/>
      <c r="FL164" s="928"/>
      <c r="FM164" s="928"/>
      <c r="FN164" s="928"/>
      <c r="FO164" s="928"/>
      <c r="FP164" s="928"/>
      <c r="FQ164" s="928"/>
    </row>
    <row r="165" spans="1:173">
      <c r="A165" s="1471" t="s">
        <v>2893</v>
      </c>
      <c r="B165" s="928"/>
      <c r="C165" s="928"/>
      <c r="D165" s="928"/>
      <c r="E165" s="928"/>
      <c r="F165" s="928"/>
      <c r="G165" s="928"/>
      <c r="H165" s="928"/>
      <c r="I165" s="928"/>
      <c r="J165" s="928"/>
      <c r="K165" s="928"/>
      <c r="L165" s="928"/>
      <c r="M165" s="928"/>
      <c r="N165" s="928"/>
      <c r="O165" s="928"/>
      <c r="P165" s="928"/>
      <c r="Q165" s="928"/>
      <c r="R165" s="928"/>
      <c r="S165" s="928"/>
      <c r="T165" s="928"/>
      <c r="U165" s="928"/>
      <c r="V165" s="928"/>
      <c r="W165" s="928"/>
      <c r="X165" s="928"/>
      <c r="Y165" s="928"/>
      <c r="Z165" s="1254"/>
      <c r="AA165" s="928"/>
      <c r="AB165" s="928"/>
      <c r="AC165" s="928"/>
      <c r="AD165" s="1413"/>
      <c r="AE165" s="1254"/>
      <c r="AF165" s="928"/>
      <c r="AG165" s="928"/>
      <c r="AH165" s="928">
        <v>4817.3999999999996</v>
      </c>
      <c r="AI165" s="928"/>
      <c r="AJ165" s="1254"/>
      <c r="AK165" s="1254"/>
      <c r="AL165" s="928"/>
      <c r="AM165" s="928"/>
      <c r="AN165" s="928"/>
      <c r="AO165" s="1254"/>
      <c r="AP165" s="1254"/>
      <c r="AQ165" s="1254"/>
      <c r="AR165" s="1254"/>
      <c r="AS165" s="1254"/>
      <c r="AT165" s="1254"/>
      <c r="AU165" s="1254"/>
      <c r="AV165" s="1254"/>
      <c r="AW165" s="1254"/>
      <c r="AX165" s="1254"/>
      <c r="AY165" s="1254"/>
      <c r="AZ165" s="1254"/>
      <c r="BA165" s="1254"/>
      <c r="BB165" s="1254"/>
      <c r="BC165" s="1254"/>
      <c r="BD165" s="1254"/>
      <c r="BE165" s="1355"/>
      <c r="BF165" s="1254"/>
      <c r="BG165" s="1254"/>
      <c r="BH165" s="1254"/>
      <c r="BI165" s="1389"/>
      <c r="BJ165" s="1509"/>
      <c r="BK165" s="1442"/>
      <c r="BL165" s="1442"/>
      <c r="BM165" s="1442"/>
      <c r="BN165" s="1514"/>
      <c r="BO165" s="1509"/>
      <c r="BP165" s="1442"/>
      <c r="BQ165" s="1442"/>
      <c r="BR165" s="1442"/>
      <c r="BS165" s="1514"/>
      <c r="BT165" s="1509"/>
      <c r="BU165" s="1442"/>
      <c r="BV165" s="1442"/>
      <c r="BW165" s="1442"/>
      <c r="BX165" s="1514"/>
      <c r="BY165" s="1254"/>
      <c r="BZ165" s="928"/>
      <c r="CA165" s="928"/>
      <c r="CB165" s="928"/>
      <c r="CC165" s="928"/>
      <c r="CD165" s="928"/>
      <c r="CE165" s="928"/>
      <c r="CF165" s="928"/>
      <c r="CG165" s="928"/>
      <c r="CH165" s="928"/>
      <c r="CI165" s="928"/>
      <c r="CJ165" s="928"/>
      <c r="CK165" s="928"/>
      <c r="CL165" s="928"/>
      <c r="CM165" s="928"/>
      <c r="CN165" s="928"/>
      <c r="CO165" s="928"/>
      <c r="CP165" s="928"/>
      <c r="CQ165" s="928"/>
      <c r="CR165" s="928"/>
      <c r="CS165" s="928"/>
      <c r="CT165" s="928"/>
      <c r="CU165" s="928"/>
      <c r="CV165" s="928"/>
      <c r="CW165" s="928"/>
      <c r="CX165" s="928"/>
      <c r="CY165" s="928"/>
      <c r="CZ165" s="928"/>
      <c r="DA165" s="928"/>
      <c r="DB165" s="928"/>
      <c r="DC165" s="928"/>
      <c r="DD165" s="928"/>
      <c r="DE165" s="928"/>
      <c r="DF165" s="928"/>
      <c r="DG165" s="928"/>
      <c r="DH165" s="928"/>
      <c r="DI165" s="928"/>
      <c r="DJ165" s="928"/>
      <c r="DK165" s="928"/>
      <c r="DL165" s="928"/>
      <c r="DM165" s="928"/>
      <c r="DN165" s="928"/>
      <c r="DO165" s="928"/>
      <c r="DP165" s="928"/>
      <c r="DQ165" s="928"/>
      <c r="DR165" s="928"/>
      <c r="DS165" s="928"/>
      <c r="DT165" s="928"/>
      <c r="DU165" s="928"/>
      <c r="DV165" s="928"/>
      <c r="DW165" s="928"/>
      <c r="DX165" s="928"/>
      <c r="DY165" s="1338"/>
      <c r="DZ165" s="928"/>
      <c r="EA165" s="928"/>
      <c r="EB165" s="928"/>
      <c r="EC165" s="1337"/>
      <c r="ED165" s="1338"/>
      <c r="EE165" s="928"/>
      <c r="EF165" s="928"/>
      <c r="EG165" s="928"/>
      <c r="EH165" s="1337"/>
      <c r="EI165" s="928"/>
      <c r="EJ165" s="928"/>
      <c r="EK165" s="928"/>
      <c r="EL165" s="928"/>
      <c r="EM165" s="1337"/>
      <c r="EN165" s="928"/>
      <c r="EO165" s="928"/>
      <c r="EP165" s="928"/>
      <c r="EQ165" s="928"/>
      <c r="ER165" s="928"/>
      <c r="ES165" s="928"/>
      <c r="ET165" s="928"/>
      <c r="EU165" s="928"/>
      <c r="EV165" s="928"/>
      <c r="EW165" s="928"/>
      <c r="EX165" s="928"/>
      <c r="EY165" s="928"/>
      <c r="EZ165" s="928"/>
      <c r="FA165" s="928"/>
      <c r="FB165" s="928"/>
      <c r="FC165" s="928"/>
      <c r="FD165" s="928"/>
      <c r="FE165" s="928"/>
      <c r="FF165" s="1363"/>
      <c r="FG165" s="928"/>
      <c r="FH165" s="1351"/>
      <c r="FI165" s="1319"/>
      <c r="FJ165" s="1622"/>
      <c r="FK165" s="1605"/>
      <c r="FL165" s="928"/>
      <c r="FM165" s="928"/>
      <c r="FN165" s="928"/>
      <c r="FO165" s="928"/>
      <c r="FP165" s="928"/>
      <c r="FQ165" s="928"/>
    </row>
    <row r="166" spans="1:173">
      <c r="A166" s="1471" t="s">
        <v>2894</v>
      </c>
      <c r="B166" s="928"/>
      <c r="C166" s="928"/>
      <c r="D166" s="928"/>
      <c r="E166" s="928"/>
      <c r="F166" s="928"/>
      <c r="G166" s="928"/>
      <c r="H166" s="928"/>
      <c r="I166" s="928"/>
      <c r="J166" s="928"/>
      <c r="K166" s="928"/>
      <c r="L166" s="928"/>
      <c r="M166" s="928"/>
      <c r="N166" s="928"/>
      <c r="O166" s="928"/>
      <c r="P166" s="928"/>
      <c r="Q166" s="928"/>
      <c r="R166" s="928"/>
      <c r="S166" s="928"/>
      <c r="T166" s="928">
        <f>16692+3723+5431.9</f>
        <v>25846.9</v>
      </c>
      <c r="U166" s="928"/>
      <c r="V166" s="928">
        <f>18416+3761+4747</f>
        <v>26924</v>
      </c>
      <c r="W166" s="928">
        <f>31962.6+5072.8</f>
        <v>37035.4</v>
      </c>
      <c r="X166" s="928">
        <f>X163-X160</f>
        <v>37293</v>
      </c>
      <c r="Y166" s="928">
        <f>Y163-Y160</f>
        <v>40491</v>
      </c>
      <c r="Z166" s="1254"/>
      <c r="AA166" s="928">
        <f>AA163-AA160</f>
        <v>44129</v>
      </c>
      <c r="AB166" s="928">
        <f>AB163-AB160</f>
        <v>41425</v>
      </c>
      <c r="AC166" s="928">
        <f>AC163-AC160</f>
        <v>41092</v>
      </c>
      <c r="AD166" s="928">
        <f>AD163-AD160</f>
        <v>54929.600000000006</v>
      </c>
      <c r="AE166" s="1254"/>
      <c r="AF166" s="1413">
        <f>AF163-AF160</f>
        <v>59916.399999999994</v>
      </c>
      <c r="AG166" s="1413">
        <f>AG163-AG160</f>
        <v>54459.3</v>
      </c>
      <c r="AH166" s="1413">
        <f>AH163+AH164+AH165-AH160</f>
        <v>58944.399999999994</v>
      </c>
      <c r="AI166" s="1413">
        <f>AI163+AI164+AI165-AI160</f>
        <v>54407.900000000023</v>
      </c>
      <c r="AJ166" s="1254"/>
      <c r="AK166" s="1254"/>
      <c r="AL166" s="1413">
        <f>AL163+AL164+AL165-AL160</f>
        <v>49297.7</v>
      </c>
      <c r="AM166" s="1413">
        <f>AM163+AM164+AM165-AM160</f>
        <v>47027.900000000009</v>
      </c>
      <c r="AN166" s="1413">
        <f>AN163+AN164+AN165-AN160</f>
        <v>48068.899999999994</v>
      </c>
      <c r="AO166" s="1254"/>
      <c r="AP166" s="1413">
        <f>AP163+AP164+AP165-AP160</f>
        <v>48221.2</v>
      </c>
      <c r="AQ166" s="1413">
        <f>AQ163+AQ164+AQ165-AQ160</f>
        <v>55962</v>
      </c>
      <c r="AR166" s="1413">
        <f>AR163+AR164+AR165-AR160</f>
        <v>54934.899999999994</v>
      </c>
      <c r="AS166" s="1413">
        <f>AS163+AS164+AS165-AS160</f>
        <v>43971.399999999994</v>
      </c>
      <c r="AT166" s="1254"/>
      <c r="AU166" s="1413">
        <f>AU163+AU164+AU165-AU160</f>
        <v>36623.5</v>
      </c>
      <c r="AV166" s="1413">
        <f>AV163+AV164+AV165-AV160</f>
        <v>50106.2</v>
      </c>
      <c r="AW166" s="1413">
        <f>AW163+AW164+AW165-AW160</f>
        <v>49429.60000000002</v>
      </c>
      <c r="AX166" s="1413">
        <f>AX163+AX164+AX165-AX160</f>
        <v>36567.100000000006</v>
      </c>
      <c r="AY166" s="1254"/>
      <c r="AZ166" s="1413">
        <f>AZ163+AZ164+AZ165-AZ160</f>
        <v>53490.599999999991</v>
      </c>
      <c r="BA166" s="1413">
        <f>BA163+BA164+BA165-BA160</f>
        <v>21262.700000000012</v>
      </c>
      <c r="BB166" s="1413">
        <f>BB163+BB164+BB165-BB160</f>
        <v>52072.099999999991</v>
      </c>
      <c r="BC166" s="1413">
        <f>BC163+BC164-BC160</f>
        <v>34157.200000000012</v>
      </c>
      <c r="BD166" s="1254"/>
      <c r="BE166" s="1355"/>
      <c r="BF166" s="1254"/>
      <c r="BG166" s="1254"/>
      <c r="BH166" s="1413">
        <f>BH163+BH164-BH160</f>
        <v>39934.100000000006</v>
      </c>
      <c r="BI166" s="1389"/>
      <c r="BJ166" s="1509"/>
      <c r="BK166" s="1442"/>
      <c r="BL166" s="1442">
        <f>BL163+BL164-BL160</f>
        <v>65023.3</v>
      </c>
      <c r="BM166" s="1442">
        <f>BM163+BM164-BM160</f>
        <v>54515.299999999996</v>
      </c>
      <c r="BN166" s="1514"/>
      <c r="BO166" s="1509">
        <f>BO163+BO164-BO160</f>
        <v>46580.5</v>
      </c>
      <c r="BP166" s="1442">
        <f>BP163+BP164-BP160</f>
        <v>41566.199999999997</v>
      </c>
      <c r="BQ166" s="1442">
        <f>BQ163+BQ164-BQ160</f>
        <v>35332.6</v>
      </c>
      <c r="BR166" s="1442">
        <f>BR163+BR164-BR160</f>
        <v>35172.899999999994</v>
      </c>
      <c r="BS166" s="1514"/>
      <c r="BT166" s="1509">
        <f>BT163+BT164-BT160</f>
        <v>35628.5</v>
      </c>
      <c r="BU166" s="1537">
        <v>33000</v>
      </c>
      <c r="BV166" s="1537">
        <v>31500</v>
      </c>
      <c r="BW166" s="1537">
        <f ca="1">BX166</f>
        <v>30081.606941545499</v>
      </c>
      <c r="BX166" s="1514">
        <f ca="1">Master!W257</f>
        <v>30081.606941545499</v>
      </c>
      <c r="BY166" s="1254"/>
      <c r="BZ166" s="928"/>
      <c r="CA166" s="928"/>
      <c r="CB166" s="928"/>
      <c r="CC166" s="928"/>
      <c r="CD166" s="928"/>
      <c r="CE166" s="928"/>
      <c r="CF166" s="928"/>
      <c r="CG166" s="928"/>
      <c r="CH166" s="928"/>
      <c r="CI166" s="928"/>
      <c r="CJ166" s="928"/>
      <c r="CK166" s="928"/>
      <c r="CL166" s="928"/>
      <c r="CM166" s="928"/>
      <c r="CN166" s="928"/>
      <c r="CO166" s="928"/>
      <c r="CP166" s="928"/>
      <c r="CQ166" s="928"/>
      <c r="CR166" s="928"/>
      <c r="CS166" s="928"/>
      <c r="CT166" s="928"/>
      <c r="CU166" s="928"/>
      <c r="CV166" s="928"/>
      <c r="CW166" s="928"/>
      <c r="CX166" s="928"/>
      <c r="CY166" s="928"/>
      <c r="CZ166" s="928"/>
      <c r="DA166" s="928"/>
      <c r="DB166" s="928"/>
      <c r="DC166" s="928"/>
      <c r="DD166" s="928"/>
      <c r="DE166" s="928"/>
      <c r="DF166" s="928"/>
      <c r="DG166" s="928"/>
      <c r="DH166" s="928"/>
      <c r="DI166" s="928"/>
      <c r="DJ166" s="928"/>
      <c r="DK166" s="928"/>
      <c r="DL166" s="928"/>
      <c r="DM166" s="928"/>
      <c r="DN166" s="928"/>
      <c r="DO166" s="928"/>
      <c r="DP166" s="928"/>
      <c r="DQ166" s="928"/>
      <c r="DR166" s="928"/>
      <c r="DS166" s="928"/>
      <c r="DT166" s="928"/>
      <c r="DU166" s="928"/>
      <c r="DV166" s="928"/>
      <c r="DW166" s="928"/>
      <c r="DX166" s="928"/>
      <c r="DY166" s="1338"/>
      <c r="DZ166" s="928"/>
      <c r="EA166" s="928"/>
      <c r="EB166" s="928"/>
      <c r="EC166" s="1337"/>
      <c r="ED166" s="1338"/>
      <c r="EE166" s="928"/>
      <c r="EF166" s="928"/>
      <c r="EG166" s="928"/>
      <c r="EH166" s="1337"/>
      <c r="EI166" s="928"/>
      <c r="EJ166" s="928"/>
      <c r="EK166" s="928"/>
      <c r="EL166" s="928"/>
      <c r="EM166" s="1337"/>
      <c r="EN166" s="928"/>
      <c r="EO166" s="928"/>
      <c r="EP166" s="928"/>
      <c r="EQ166" s="928"/>
      <c r="ER166" s="928"/>
      <c r="ES166" s="928"/>
      <c r="ET166" s="928"/>
      <c r="EU166" s="928"/>
      <c r="EV166" s="928"/>
      <c r="EW166" s="928"/>
      <c r="EX166" s="928"/>
      <c r="EY166" s="928"/>
      <c r="EZ166" s="928"/>
      <c r="FA166" s="928"/>
      <c r="FB166" s="928"/>
      <c r="FC166" s="928"/>
      <c r="FD166" s="928"/>
      <c r="FE166" s="928"/>
      <c r="FF166" s="1363"/>
      <c r="FG166" s="928"/>
      <c r="FH166" s="1351"/>
      <c r="FI166" s="1319"/>
      <c r="FJ166" s="1622">
        <v>33800</v>
      </c>
      <c r="FK166" s="1605"/>
      <c r="FL166" s="928"/>
      <c r="FM166" s="928"/>
      <c r="FN166" s="928"/>
      <c r="FO166" s="928"/>
      <c r="FP166" s="928"/>
      <c r="FQ166" s="928"/>
    </row>
    <row r="167" spans="1:173">
      <c r="A167" s="1471" t="s">
        <v>2325</v>
      </c>
      <c r="B167" s="928"/>
      <c r="C167" s="928"/>
      <c r="D167" s="928"/>
      <c r="E167" s="928"/>
      <c r="F167" s="928"/>
      <c r="G167" s="928"/>
      <c r="H167" s="928"/>
      <c r="I167" s="928"/>
      <c r="J167" s="928"/>
      <c r="K167" s="928"/>
      <c r="L167" s="928"/>
      <c r="M167" s="928"/>
      <c r="N167" s="928"/>
      <c r="O167" s="928"/>
      <c r="P167" s="928"/>
      <c r="Q167" s="928"/>
      <c r="R167" s="928"/>
      <c r="S167" s="928"/>
      <c r="T167" s="928"/>
      <c r="U167" s="928"/>
      <c r="V167" s="928"/>
      <c r="W167" s="928"/>
      <c r="X167" s="928"/>
      <c r="Y167" s="928"/>
      <c r="Z167" s="1254"/>
      <c r="AA167" s="1413">
        <f>AA166/AA180</f>
        <v>2961.6778523489934</v>
      </c>
      <c r="AB167" s="1413">
        <f>AB166/AB180</f>
        <v>2703.9817232375976</v>
      </c>
      <c r="AC167" s="1413">
        <f>AC166/AC180</f>
        <v>2499.5133819951338</v>
      </c>
      <c r="AD167" s="1413">
        <f>AD166/17.3</f>
        <v>3175.1213872832373</v>
      </c>
      <c r="AE167" s="1254"/>
      <c r="AF167" s="1413">
        <f>AF166/17.3</f>
        <v>3463.3757225433519</v>
      </c>
      <c r="AG167" s="1413">
        <f>AG166/17.3</f>
        <v>3147.9364161849712</v>
      </c>
      <c r="AH167" s="1413">
        <f>AH166/17.3</f>
        <v>3407.1907514450863</v>
      </c>
      <c r="AI167" s="1413">
        <f>AI166/20.7</f>
        <v>2628.4009661835762</v>
      </c>
      <c r="AJ167" s="1254"/>
      <c r="AK167" s="1254"/>
      <c r="AL167" s="1413">
        <f>AL166/20.7</f>
        <v>2381.5314009661834</v>
      </c>
      <c r="AM167" s="1413">
        <f>AM166/19</f>
        <v>2475.1526315789479</v>
      </c>
      <c r="AN167" s="1413">
        <f>AN166/19</f>
        <v>2529.9421052631574</v>
      </c>
      <c r="AO167" s="1254"/>
      <c r="AP167" s="1413">
        <f>AP166/19</f>
        <v>2537.9578947368418</v>
      </c>
      <c r="AQ167" s="1413">
        <f>AQ166/19</f>
        <v>2945.3684210526317</v>
      </c>
      <c r="AR167" s="1413">
        <f>AR166/19</f>
        <v>2891.310526315789</v>
      </c>
      <c r="AS167" s="1413">
        <f>AS166/19</f>
        <v>2314.2842105263153</v>
      </c>
      <c r="AT167" s="1254"/>
      <c r="AU167" s="1413">
        <f>AU166/19</f>
        <v>1927.5526315789473</v>
      </c>
      <c r="AV167" s="1413">
        <f>AV166/19</f>
        <v>2637.1684210526314</v>
      </c>
      <c r="AW167" s="1413">
        <f>AW166/19</f>
        <v>2601.5578947368431</v>
      </c>
      <c r="AX167" s="1413">
        <f>AX166/19</f>
        <v>1924.5842105263162</v>
      </c>
      <c r="AY167" s="1254"/>
      <c r="AZ167" s="1413">
        <f>AZ166/19</f>
        <v>2815.2947368421046</v>
      </c>
      <c r="BA167" s="1413">
        <f>BA166/19</f>
        <v>1119.089473684211</v>
      </c>
      <c r="BB167" s="1413">
        <f>BB166/21</f>
        <v>2479.6238095238091</v>
      </c>
      <c r="BC167" s="1413">
        <f>BC166/19</f>
        <v>1797.7473684210534</v>
      </c>
      <c r="BD167" s="1254"/>
      <c r="BE167" s="1355"/>
      <c r="BF167" s="1254"/>
      <c r="BG167" s="1254"/>
      <c r="BH167" s="1413">
        <f>BH166/20</f>
        <v>1996.7050000000004</v>
      </c>
      <c r="BI167" s="1389"/>
      <c r="BJ167" s="1509"/>
      <c r="BK167" s="1442"/>
      <c r="BL167" s="1442">
        <f>BL166/BL180</f>
        <v>3213.6591629777745</v>
      </c>
      <c r="BM167" s="1442">
        <f>BM166/BM180</f>
        <v>2782.35816507768</v>
      </c>
      <c r="BN167" s="1514"/>
      <c r="BO167" s="1509">
        <f>BO166/BO180</f>
        <v>2496.2754555198285</v>
      </c>
      <c r="BP167" s="1442">
        <f>BP166/BP180</f>
        <v>2352.3599320882849</v>
      </c>
      <c r="BQ167" s="1442">
        <f>BQ166/BQ180</f>
        <v>2069.865260691271</v>
      </c>
      <c r="BR167" s="1442">
        <f>BR166/BR180</f>
        <v>2004.1538461538457</v>
      </c>
      <c r="BS167" s="1514"/>
      <c r="BT167" s="1509">
        <f>BT166/BT180</f>
        <v>2099.4991160872128</v>
      </c>
      <c r="BU167" s="1442">
        <f>BU166/BU180</f>
        <v>1941.1764705882354</v>
      </c>
      <c r="BV167" s="1442">
        <f>BV166/BV180</f>
        <v>1852.9411764705883</v>
      </c>
      <c r="BW167" s="1442">
        <f ca="1">BW166/BW180</f>
        <v>1751.5783708830493</v>
      </c>
      <c r="BX167" s="1514"/>
      <c r="BY167" s="1254"/>
      <c r="BZ167" s="928"/>
      <c r="CA167" s="928"/>
      <c r="CB167" s="928"/>
      <c r="CC167" s="928"/>
      <c r="CD167" s="928"/>
      <c r="CE167" s="928"/>
      <c r="CF167" s="928"/>
      <c r="CG167" s="928"/>
      <c r="CH167" s="928"/>
      <c r="CI167" s="928"/>
      <c r="CJ167" s="928"/>
      <c r="CK167" s="928"/>
      <c r="CL167" s="928"/>
      <c r="CM167" s="928"/>
      <c r="CN167" s="928"/>
      <c r="CO167" s="928"/>
      <c r="CP167" s="928"/>
      <c r="CQ167" s="928"/>
      <c r="CR167" s="928"/>
      <c r="CS167" s="928"/>
      <c r="CT167" s="928"/>
      <c r="CU167" s="928"/>
      <c r="CV167" s="928"/>
      <c r="CW167" s="928"/>
      <c r="CX167" s="928"/>
      <c r="CY167" s="928"/>
      <c r="CZ167" s="928"/>
      <c r="DA167" s="928"/>
      <c r="DB167" s="928"/>
      <c r="DC167" s="928"/>
      <c r="DD167" s="928"/>
      <c r="DE167" s="928"/>
      <c r="DF167" s="928"/>
      <c r="DG167" s="928"/>
      <c r="DH167" s="928"/>
      <c r="DI167" s="928"/>
      <c r="DJ167" s="928"/>
      <c r="DK167" s="928"/>
      <c r="DL167" s="928"/>
      <c r="DM167" s="928"/>
      <c r="DN167" s="928"/>
      <c r="DO167" s="928"/>
      <c r="DP167" s="928"/>
      <c r="DQ167" s="928"/>
      <c r="DR167" s="928"/>
      <c r="DS167" s="928"/>
      <c r="DT167" s="928"/>
      <c r="DU167" s="928"/>
      <c r="DV167" s="928"/>
      <c r="DW167" s="928"/>
      <c r="DX167" s="928"/>
      <c r="DY167" s="1338"/>
      <c r="DZ167" s="928"/>
      <c r="EA167" s="928"/>
      <c r="EB167" s="928"/>
      <c r="EC167" s="1337"/>
      <c r="ED167" s="1338"/>
      <c r="EE167" s="928"/>
      <c r="EF167" s="928"/>
      <c r="EG167" s="928"/>
      <c r="EH167" s="1337"/>
      <c r="EI167" s="928"/>
      <c r="EJ167" s="928"/>
      <c r="EK167" s="928"/>
      <c r="EL167" s="928"/>
      <c r="EM167" s="1337"/>
      <c r="EN167" s="928"/>
      <c r="EO167" s="928"/>
      <c r="EP167" s="928"/>
      <c r="EQ167" s="928"/>
      <c r="ER167" s="928"/>
      <c r="ES167" s="928"/>
      <c r="ET167" s="928"/>
      <c r="EU167" s="928"/>
      <c r="EV167" s="928"/>
      <c r="EW167" s="928"/>
      <c r="EX167" s="928"/>
      <c r="EY167" s="928"/>
      <c r="EZ167" s="928"/>
      <c r="FA167" s="928"/>
      <c r="FB167" s="928"/>
      <c r="FC167" s="928"/>
      <c r="FD167" s="928"/>
      <c r="FE167" s="928"/>
      <c r="FF167" s="1363"/>
      <c r="FG167" s="928"/>
      <c r="FH167" s="1351"/>
      <c r="FI167" s="1319"/>
      <c r="FJ167" s="1622">
        <v>1991.7501473187981</v>
      </c>
      <c r="FK167" s="1605"/>
      <c r="FL167" s="928"/>
      <c r="FM167" s="928"/>
      <c r="FN167" s="928"/>
      <c r="FO167" s="928"/>
      <c r="FP167" s="928"/>
      <c r="FQ167" s="928"/>
    </row>
    <row r="168" spans="1:173">
      <c r="A168" s="1441"/>
      <c r="B168" s="928"/>
      <c r="C168" s="928"/>
      <c r="D168" s="928"/>
      <c r="E168" s="928"/>
      <c r="F168" s="928"/>
      <c r="G168" s="928"/>
      <c r="H168" s="928"/>
      <c r="I168" s="928"/>
      <c r="J168" s="928"/>
      <c r="K168" s="928"/>
      <c r="L168" s="928"/>
      <c r="M168" s="928"/>
      <c r="N168" s="928"/>
      <c r="O168" s="928"/>
      <c r="P168" s="928"/>
      <c r="Q168" s="928"/>
      <c r="R168" s="928"/>
      <c r="S168" s="928"/>
      <c r="T168" s="928"/>
      <c r="U168" s="928"/>
      <c r="V168" s="928"/>
      <c r="W168" s="928"/>
      <c r="X168" s="928"/>
      <c r="Y168" s="928"/>
      <c r="Z168" s="1254"/>
      <c r="AA168" s="1413"/>
      <c r="AB168" s="1413"/>
      <c r="AC168" s="1413"/>
      <c r="AD168" s="1413"/>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355"/>
      <c r="BF168" s="1254"/>
      <c r="BG168" s="1254"/>
      <c r="BH168" s="1254"/>
      <c r="BI168" s="1389"/>
      <c r="BJ168" s="1355"/>
      <c r="BK168" s="1254"/>
      <c r="BL168" s="1254"/>
      <c r="BM168" s="1254"/>
      <c r="BN168" s="1389"/>
      <c r="BO168" s="1355"/>
      <c r="BP168" s="1254"/>
      <c r="BQ168" s="1254"/>
      <c r="BR168" s="1254"/>
      <c r="BS168" s="1389"/>
      <c r="BT168" s="1355"/>
      <c r="BU168" s="1254"/>
      <c r="BV168" s="1254"/>
      <c r="BW168" s="1254"/>
      <c r="BX168" s="1389"/>
      <c r="BY168" s="1254"/>
      <c r="BZ168" s="928"/>
      <c r="CA168" s="928"/>
      <c r="CB168" s="928"/>
      <c r="CC168" s="928"/>
      <c r="CD168" s="928"/>
      <c r="CE168" s="928"/>
      <c r="CF168" s="928"/>
      <c r="CG168" s="928"/>
      <c r="CH168" s="928"/>
      <c r="CI168" s="928"/>
      <c r="CJ168" s="928"/>
      <c r="CK168" s="928"/>
      <c r="CL168" s="928"/>
      <c r="CM168" s="928"/>
      <c r="CN168" s="928"/>
      <c r="CO168" s="928"/>
      <c r="CP168" s="928"/>
      <c r="CQ168" s="928"/>
      <c r="CR168" s="928"/>
      <c r="CS168" s="928"/>
      <c r="CT168" s="928"/>
      <c r="CU168" s="928"/>
      <c r="CV168" s="928"/>
      <c r="CW168" s="928"/>
      <c r="CX168" s="928"/>
      <c r="CY168" s="928"/>
      <c r="CZ168" s="928"/>
      <c r="DA168" s="928"/>
      <c r="DB168" s="928"/>
      <c r="DC168" s="928"/>
      <c r="DD168" s="928"/>
      <c r="DE168" s="928"/>
      <c r="DF168" s="928"/>
      <c r="DG168" s="928"/>
      <c r="DH168" s="928"/>
      <c r="DI168" s="928"/>
      <c r="DJ168" s="928"/>
      <c r="DK168" s="928"/>
      <c r="DL168" s="928"/>
      <c r="DM168" s="928"/>
      <c r="DN168" s="928"/>
      <c r="DO168" s="928"/>
      <c r="DP168" s="928"/>
      <c r="DQ168" s="928"/>
      <c r="DR168" s="928"/>
      <c r="DS168" s="928"/>
      <c r="DT168" s="928"/>
      <c r="DU168" s="928"/>
      <c r="DV168" s="928"/>
      <c r="DW168" s="928"/>
      <c r="DX168" s="928"/>
      <c r="DY168" s="1338"/>
      <c r="DZ168" s="928"/>
      <c r="EA168" s="928"/>
      <c r="EB168" s="928"/>
      <c r="EC168" s="1337"/>
      <c r="ED168" s="1338"/>
      <c r="EE168" s="928"/>
      <c r="EF168" s="928"/>
      <c r="EG168" s="928"/>
      <c r="EH168" s="1337"/>
      <c r="EI168" s="928"/>
      <c r="EJ168" s="928"/>
      <c r="EK168" s="928"/>
      <c r="EL168" s="928"/>
      <c r="EM168" s="1337"/>
      <c r="EN168" s="928"/>
      <c r="EO168" s="928"/>
      <c r="EP168" s="928"/>
      <c r="EQ168" s="928"/>
      <c r="ER168" s="928"/>
      <c r="ES168" s="928"/>
      <c r="ET168" s="928"/>
      <c r="EU168" s="928"/>
      <c r="EV168" s="928"/>
      <c r="EW168" s="928"/>
      <c r="EX168" s="928"/>
      <c r="EY168" s="928"/>
      <c r="EZ168" s="928"/>
      <c r="FA168" s="928"/>
      <c r="FB168" s="928"/>
      <c r="FC168" s="928"/>
      <c r="FD168" s="928"/>
      <c r="FE168" s="928"/>
      <c r="FF168" s="1363"/>
      <c r="FG168" s="928"/>
      <c r="FH168" s="1351"/>
      <c r="FI168" s="1319"/>
      <c r="FJ168" s="1612"/>
      <c r="FK168" s="1605"/>
      <c r="FL168" s="928"/>
      <c r="FM168" s="928"/>
      <c r="FN168" s="928"/>
      <c r="FO168" s="928"/>
      <c r="FP168" s="928"/>
      <c r="FQ168" s="928"/>
    </row>
    <row r="169" spans="1:173">
      <c r="A169" s="1444" t="s">
        <v>2595</v>
      </c>
      <c r="B169" s="1393"/>
      <c r="C169" s="1393"/>
      <c r="D169" s="1393"/>
      <c r="E169" s="1393"/>
      <c r="F169" s="1393"/>
      <c r="G169" s="1393"/>
      <c r="H169" s="1393"/>
      <c r="I169" s="1393"/>
      <c r="J169" s="1393"/>
      <c r="K169" s="1393"/>
      <c r="L169" s="1393"/>
      <c r="M169" s="1393"/>
      <c r="N169" s="1393"/>
      <c r="O169" s="1393"/>
      <c r="P169" s="1393"/>
      <c r="Q169" s="1393"/>
      <c r="R169" s="1393"/>
      <c r="S169" s="1393"/>
      <c r="T169" s="1393"/>
      <c r="U169" s="1393"/>
      <c r="V169" s="1393"/>
      <c r="W169" s="1393"/>
      <c r="X169" s="1393"/>
      <c r="Y169" s="1393"/>
      <c r="Z169" s="1395"/>
      <c r="AA169" s="1472">
        <f>AA160/(W32+X32+Y32+AA32)</f>
        <v>1.2455861497901339</v>
      </c>
      <c r="AB169" s="1472">
        <f>AB160/(X32+Y32+AA32+AB32)</f>
        <v>1.366647053085678</v>
      </c>
      <c r="AC169" s="1472">
        <f>AC160/(Y32+AA32+AB32+AC32)</f>
        <v>1.4653803995738373</v>
      </c>
      <c r="AD169" s="1472">
        <f>AD160/(AA32+AB32+AC32+AD32)</f>
        <v>1.7136829620111627</v>
      </c>
      <c r="AE169" s="1472"/>
      <c r="AF169" s="1472">
        <f>AF160/(AB32+AC32+AD32+AF32)</f>
        <v>1.6261405641724693</v>
      </c>
      <c r="AG169" s="1472">
        <f>AG160/(AC32+AD32+AF32+AG32)</f>
        <v>1.8553413615876433</v>
      </c>
      <c r="AH169" s="1472">
        <f>AH160/(AD32+AF32+AG32+AH32)</f>
        <v>2.1797253902305793</v>
      </c>
      <c r="AI169" s="1472">
        <f>AI160/(AF32+AG32+AH32+AI32)</f>
        <v>2.3062268144580127</v>
      </c>
      <c r="AJ169" s="1395"/>
      <c r="AK169" s="1472">
        <f>AK160/(AG32+AH32+AI32+AK32)</f>
        <v>2.1190615726223525</v>
      </c>
      <c r="AL169" s="1472">
        <f>AL160/(AH32+AI32+AK32+AL32)</f>
        <v>2.1257789115144727</v>
      </c>
      <c r="AM169" s="1472">
        <f>AM160/(AI32+AK32+AL32+AM32)</f>
        <v>2.203388820527183</v>
      </c>
      <c r="AN169" s="1472">
        <f>AN160/(AK32+AL32+AM32+AN32)</f>
        <v>2.4183742888085544</v>
      </c>
      <c r="AO169" s="1395"/>
      <c r="AP169" s="1472">
        <f>AP160/(AL32+AM32+AN32+AP32)</f>
        <v>2.1814317753228756</v>
      </c>
      <c r="AQ169" s="1472">
        <f>AQ160/(AM32+AN32+AP32+AQ32)</f>
        <v>2.057388731479</v>
      </c>
      <c r="AR169" s="1472">
        <f>AR160/(AN32+AP32+AQ32+AR32)</f>
        <v>1.8975447909754477</v>
      </c>
      <c r="AS169" s="1472">
        <f>AS160/(AP32+AQ32+AR32+AS32)</f>
        <v>2.2781423454460943</v>
      </c>
      <c r="AT169" s="1395"/>
      <c r="AU169" s="1472">
        <f>AU160/(AQ32*1.02+AR32*1.02+AS32*1.02+AU32)</f>
        <v>2.5209266108623711</v>
      </c>
      <c r="AV169" s="1472">
        <f>AV160/(AR32*1.02+AS32*1.02+AU32+AV32)</f>
        <v>2.5652000322216635</v>
      </c>
      <c r="AW169" s="1472">
        <f>AW160/(AS32*1.02+AU32+AV32+AW32)</f>
        <v>2.5815646002199721</v>
      </c>
      <c r="AX169" s="1472">
        <f>AX160/(AU32+AV32+AW32+AX32)</f>
        <v>2.4438236375345128</v>
      </c>
      <c r="AY169" s="1395"/>
      <c r="AZ169" s="1472">
        <f>AZ160/(AV32+AW32+AX32+AZ32)</f>
        <v>3.0019650931834509</v>
      </c>
      <c r="BA169" s="1472">
        <f>BA160/(AW32+AX32+AZ32+BA32)</f>
        <v>2.9806162559933518</v>
      </c>
      <c r="BB169" s="1472">
        <f>BB160/(AX32+AZ32+BA32+BB32)</f>
        <v>2.8639171422162155</v>
      </c>
      <c r="BC169" s="1472">
        <f>BC160/(AZ32+BA32+BB32+BC32)</f>
        <v>2.5632323340042924</v>
      </c>
      <c r="BD169" s="1395"/>
      <c r="BE169" s="1516">
        <f>BE160/(BA32+BB32+BC32+BE32)</f>
        <v>2.6118106177748328</v>
      </c>
      <c r="BF169" s="1472">
        <f>BF160/(BB32+BC32+BE32+BF32)</f>
        <v>2.5468069896945509</v>
      </c>
      <c r="BG169" s="1472">
        <f>BG160/(BC32+BE32+BF32+BG32)</f>
        <v>2.7470662360193234</v>
      </c>
      <c r="BH169" s="1517">
        <f>BH160/(BE32+BF32+BG32+BH32-4547)</f>
        <v>2.6941674113486975</v>
      </c>
      <c r="BI169" s="1518"/>
      <c r="BJ169" s="1516">
        <f>BJ160/(BJ32*4)</f>
        <v>2.1202493000536129</v>
      </c>
      <c r="BK169" s="1472">
        <f>BK160/(BK32*4)</f>
        <v>2.1988741219192756</v>
      </c>
      <c r="BL169" s="1472">
        <f>BL160/(BL32*4)</f>
        <v>2.2718424678505817</v>
      </c>
      <c r="BM169" s="1472">
        <f>BM160/(BM32*4)</f>
        <v>2.6523995044794342</v>
      </c>
      <c r="BN169" s="1518"/>
      <c r="BO169" s="1516">
        <f>BO160/(BK32+BL32+BM32+BO32)</f>
        <v>2.3832494622382727</v>
      </c>
      <c r="BP169" s="1472">
        <f>BP160/(BL32+BM32+BO32+BP32)</f>
        <v>2.46690060166158</v>
      </c>
      <c r="BQ169" s="1472">
        <f>BQ160/(BM32+BO32+BP32+BQ32)</f>
        <v>2.6314437303340701</v>
      </c>
      <c r="BR169" s="1472">
        <f>BR160/(BO32+BP32+BQ32+BR32)</f>
        <v>2.5045110888137385</v>
      </c>
      <c r="BS169" s="1389"/>
      <c r="BT169" s="1516">
        <f>BT160/(BP32+BQ32+BR32+BT32)</f>
        <v>2.2387984678867987</v>
      </c>
      <c r="BU169" s="1472">
        <f>BU160/(BQ32+BR32+BT32+BU32)</f>
        <v>2.3583469709430536</v>
      </c>
      <c r="BV169" s="1472">
        <f>BV160/(BR32+BT32+BU32+BV32)</f>
        <v>2.3840992412857225</v>
      </c>
      <c r="BW169" s="1472">
        <f ca="1">BW160/(BT32+BU32+BV32+BW32)</f>
        <v>2.4182569210435152</v>
      </c>
      <c r="BX169" s="1389"/>
      <c r="BY169" s="1254"/>
      <c r="BZ169" s="928"/>
      <c r="CA169" s="928"/>
      <c r="CB169" s="928"/>
      <c r="CC169" s="928"/>
      <c r="CD169" s="928"/>
      <c r="CE169" s="928"/>
      <c r="CF169" s="928"/>
      <c r="CG169" s="928"/>
      <c r="CH169" s="928"/>
      <c r="CI169" s="928"/>
      <c r="CJ169" s="928"/>
      <c r="CK169" s="928"/>
      <c r="CL169" s="928"/>
      <c r="CM169" s="928"/>
      <c r="CN169" s="928"/>
      <c r="CO169" s="928"/>
      <c r="CP169" s="928"/>
      <c r="CQ169" s="928"/>
      <c r="CR169" s="928"/>
      <c r="CS169" s="928"/>
      <c r="CT169" s="928"/>
      <c r="CU169" s="928"/>
      <c r="CV169" s="928"/>
      <c r="CW169" s="928"/>
      <c r="CX169" s="928"/>
      <c r="CY169" s="928"/>
      <c r="CZ169" s="928"/>
      <c r="DA169" s="928"/>
      <c r="DB169" s="928"/>
      <c r="DC169" s="928"/>
      <c r="DD169" s="928"/>
      <c r="DE169" s="928"/>
      <c r="DF169" s="928"/>
      <c r="DG169" s="928"/>
      <c r="DH169" s="928"/>
      <c r="DI169" s="928"/>
      <c r="DJ169" s="928"/>
      <c r="DK169" s="928"/>
      <c r="DL169" s="928"/>
      <c r="DM169" s="928"/>
      <c r="DN169" s="928"/>
      <c r="DO169" s="928"/>
      <c r="DP169" s="928"/>
      <c r="DQ169" s="928"/>
      <c r="DR169" s="928"/>
      <c r="DS169" s="928"/>
      <c r="DT169" s="928"/>
      <c r="DU169" s="928"/>
      <c r="DV169" s="928"/>
      <c r="DW169" s="928"/>
      <c r="DX169" s="928"/>
      <c r="DY169" s="1338"/>
      <c r="DZ169" s="928"/>
      <c r="EA169" s="928"/>
      <c r="EB169" s="928"/>
      <c r="EC169" s="1337"/>
      <c r="ED169" s="1338"/>
      <c r="EE169" s="928"/>
      <c r="EF169" s="928"/>
      <c r="EG169" s="928"/>
      <c r="EH169" s="1337"/>
      <c r="EI169" s="928"/>
      <c r="EJ169" s="928"/>
      <c r="EK169" s="928"/>
      <c r="EL169" s="928"/>
      <c r="EM169" s="1337"/>
      <c r="EN169" s="928"/>
      <c r="EO169" s="928"/>
      <c r="EP169" s="928"/>
      <c r="EQ169" s="928"/>
      <c r="ER169" s="928"/>
      <c r="ES169" s="928"/>
      <c r="ET169" s="928"/>
      <c r="EU169" s="928"/>
      <c r="EV169" s="928"/>
      <c r="EW169" s="928"/>
      <c r="EX169" s="928"/>
      <c r="EY169" s="928"/>
      <c r="EZ169" s="928"/>
      <c r="FA169" s="928"/>
      <c r="FB169" s="928"/>
      <c r="FC169" s="928"/>
      <c r="FD169" s="928"/>
      <c r="FE169" s="928"/>
      <c r="FF169" s="1469">
        <v>2.5520382467793148</v>
      </c>
      <c r="FG169" s="928"/>
      <c r="FH169" s="1473">
        <v>2.6801166481462428</v>
      </c>
      <c r="FI169" s="1319"/>
      <c r="FJ169" s="1627">
        <v>2.5783815304697915</v>
      </c>
      <c r="FK169" s="1605"/>
      <c r="FL169" s="928"/>
      <c r="FM169" s="928"/>
      <c r="FN169" s="928"/>
      <c r="FO169" s="928"/>
      <c r="FP169" s="928"/>
      <c r="FQ169" s="928"/>
    </row>
    <row r="170" spans="1:173">
      <c r="A170" s="1441"/>
      <c r="B170" s="928"/>
      <c r="C170" s="928"/>
      <c r="D170" s="928"/>
      <c r="E170" s="928"/>
      <c r="F170" s="928"/>
      <c r="G170" s="928"/>
      <c r="H170" s="928"/>
      <c r="I170" s="928"/>
      <c r="J170" s="928"/>
      <c r="K170" s="928"/>
      <c r="L170" s="928"/>
      <c r="M170" s="928"/>
      <c r="N170" s="928"/>
      <c r="O170" s="928"/>
      <c r="P170" s="928"/>
      <c r="Q170" s="928"/>
      <c r="R170" s="928"/>
      <c r="S170" s="928"/>
      <c r="T170" s="928"/>
      <c r="U170" s="928"/>
      <c r="V170" s="928"/>
      <c r="W170" s="928"/>
      <c r="X170" s="928"/>
      <c r="Y170" s="928"/>
      <c r="Z170" s="1254"/>
      <c r="AA170" s="1413"/>
      <c r="AB170" s="1413"/>
      <c r="AC170" s="1413"/>
      <c r="AD170" s="1413"/>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519">
        <f>BE160/(BE32*4)</f>
        <v>2.8505809147685524</v>
      </c>
      <c r="BF170" s="1468">
        <f>BF160/(BF32*4)</f>
        <v>2.7175725857239024</v>
      </c>
      <c r="BG170" s="1468">
        <f>BG160/(BG32*4)</f>
        <v>2.6717236467236467</v>
      </c>
      <c r="BH170" s="1520">
        <f>BH160/((BH32-4547)*4)</f>
        <v>2.4010748026105606</v>
      </c>
      <c r="BI170" s="1389"/>
      <c r="BJ170" s="1519"/>
      <c r="BK170" s="1468"/>
      <c r="BL170" s="1468"/>
      <c r="BM170" s="1468"/>
      <c r="BN170" s="1389"/>
      <c r="BO170" s="1519">
        <f>BO160/(BO32*4)</f>
        <v>2.3169414003744975</v>
      </c>
      <c r="BP170" s="1468">
        <f>BP160/(BP32*4)</f>
        <v>2.4257590319683628</v>
      </c>
      <c r="BQ170" s="1468">
        <f>BQ160/(BQ32*4)</f>
        <v>2.8758642765685019</v>
      </c>
      <c r="BR170" s="1468">
        <f>BR160/(BR32*4)</f>
        <v>2.5749940565140603</v>
      </c>
      <c r="BS170" s="1389"/>
      <c r="BT170" s="1519">
        <f>BT160/(BT32*4)</f>
        <v>1.8042600361754513</v>
      </c>
      <c r="BU170" s="1468">
        <f>BU160/(BU32*4)</f>
        <v>2.6544866777840483</v>
      </c>
      <c r="BV170" s="1468">
        <f>BV160/(BV32*4)</f>
        <v>2.8148163314344945</v>
      </c>
      <c r="BW170" s="1468">
        <f ca="1">BW160/(BW32*4)</f>
        <v>2.5913150141549948</v>
      </c>
      <c r="BX170" s="1389"/>
      <c r="BY170" s="1254"/>
      <c r="BZ170" s="928"/>
      <c r="CA170" s="928"/>
      <c r="CB170" s="928"/>
      <c r="CC170" s="928"/>
      <c r="CD170" s="928"/>
      <c r="CE170" s="928"/>
      <c r="CF170" s="928"/>
      <c r="CG170" s="928"/>
      <c r="CH170" s="928"/>
      <c r="CI170" s="928"/>
      <c r="CJ170" s="928"/>
      <c r="CK170" s="928"/>
      <c r="CL170" s="928"/>
      <c r="CM170" s="928"/>
      <c r="CN170" s="928"/>
      <c r="CO170" s="928"/>
      <c r="CP170" s="928"/>
      <c r="CQ170" s="928"/>
      <c r="CR170" s="928"/>
      <c r="CS170" s="928"/>
      <c r="CT170" s="928"/>
      <c r="CU170" s="928"/>
      <c r="CV170" s="928"/>
      <c r="CW170" s="928"/>
      <c r="CX170" s="928"/>
      <c r="CY170" s="928"/>
      <c r="CZ170" s="928"/>
      <c r="DA170" s="928"/>
      <c r="DB170" s="928"/>
      <c r="DC170" s="928"/>
      <c r="DD170" s="928"/>
      <c r="DE170" s="928"/>
      <c r="DF170" s="928"/>
      <c r="DG170" s="928"/>
      <c r="DH170" s="928"/>
      <c r="DI170" s="928"/>
      <c r="DJ170" s="1348" t="s">
        <v>3805</v>
      </c>
      <c r="DK170" s="1348" t="s">
        <v>3806</v>
      </c>
      <c r="DL170" s="1348" t="s">
        <v>3807</v>
      </c>
      <c r="DM170" s="1348" t="s">
        <v>3808</v>
      </c>
      <c r="DN170" s="1348" t="s">
        <v>4551</v>
      </c>
      <c r="DO170" s="1348"/>
      <c r="DP170" s="1348"/>
      <c r="DQ170" s="1348"/>
      <c r="DR170" s="1348"/>
      <c r="DS170" s="1348"/>
      <c r="DT170" s="1348"/>
      <c r="DU170" s="1348"/>
      <c r="DV170" s="1348"/>
      <c r="DW170" s="1348"/>
      <c r="DX170" s="1348"/>
      <c r="DY170" s="1338"/>
      <c r="DZ170" s="928"/>
      <c r="EA170" s="928"/>
      <c r="EB170" s="928"/>
      <c r="EC170" s="1337"/>
      <c r="ED170" s="1654"/>
      <c r="EE170" s="1348"/>
      <c r="EF170" s="1348"/>
      <c r="EG170" s="1348"/>
      <c r="EH170" s="1655"/>
      <c r="EI170" s="1348"/>
      <c r="EJ170" s="1348"/>
      <c r="EK170" s="1348"/>
      <c r="EL170" s="1348"/>
      <c r="EM170" s="1655"/>
      <c r="EN170" s="1348"/>
      <c r="EO170" s="1348"/>
      <c r="EP170" s="1348"/>
      <c r="EQ170" s="1348"/>
      <c r="ER170" s="928"/>
      <c r="ES170" s="928"/>
      <c r="ET170" s="928"/>
      <c r="EU170" s="928"/>
      <c r="EV170" s="928"/>
      <c r="EW170" s="928"/>
      <c r="EX170" s="928"/>
      <c r="EY170" s="928"/>
      <c r="EZ170" s="928"/>
      <c r="FA170" s="928"/>
      <c r="FB170" s="928"/>
      <c r="FC170" s="928"/>
      <c r="FD170" s="928"/>
      <c r="FE170" s="928"/>
      <c r="FF170" s="1469">
        <v>2.5255040128410915</v>
      </c>
      <c r="FG170" s="1348"/>
      <c r="FH170" s="1474"/>
      <c r="FI170" s="1475"/>
      <c r="FJ170" s="1628">
        <v>2.5606358570960337</v>
      </c>
      <c r="FK170" s="1637"/>
      <c r="FL170" s="928"/>
      <c r="FM170" s="928"/>
      <c r="FN170" s="928"/>
      <c r="FO170" s="928"/>
      <c r="FP170" s="928"/>
      <c r="FQ170" s="928"/>
    </row>
    <row r="171" spans="1:173">
      <c r="A171" s="1441" t="s">
        <v>3095</v>
      </c>
      <c r="B171" s="928"/>
      <c r="C171" s="928"/>
      <c r="D171" s="928"/>
      <c r="E171" s="928"/>
      <c r="F171" s="928"/>
      <c r="G171" s="928"/>
      <c r="H171" s="928"/>
      <c r="I171" s="928"/>
      <c r="J171" s="928"/>
      <c r="K171" s="928"/>
      <c r="L171" s="928"/>
      <c r="M171" s="928"/>
      <c r="N171" s="928"/>
      <c r="O171" s="928"/>
      <c r="P171" s="928"/>
      <c r="Q171" s="928"/>
      <c r="R171" s="928"/>
      <c r="S171" s="928"/>
      <c r="T171" s="928"/>
      <c r="U171" s="928"/>
      <c r="V171" s="928"/>
      <c r="W171" s="928"/>
      <c r="X171" s="928"/>
      <c r="Y171" s="928">
        <v>20150.7</v>
      </c>
      <c r="Z171" s="1254"/>
      <c r="AA171" s="1413"/>
      <c r="AB171" s="1413">
        <v>15257.8</v>
      </c>
      <c r="AC171" s="1413">
        <v>12057.5</v>
      </c>
      <c r="AD171" s="1413">
        <v>20470.400000000001</v>
      </c>
      <c r="AE171" s="1254"/>
      <c r="AF171" s="1413">
        <v>18602.3</v>
      </c>
      <c r="AG171" s="1413">
        <v>13760.8</v>
      </c>
      <c r="AH171" s="1413">
        <v>11802.2</v>
      </c>
      <c r="AI171" s="1413">
        <v>21709.4</v>
      </c>
      <c r="AJ171" s="1254"/>
      <c r="AK171" s="1254"/>
      <c r="AL171" s="1254"/>
      <c r="AM171" s="1413">
        <v>10412.1</v>
      </c>
      <c r="AN171" s="1413">
        <v>18798.3</v>
      </c>
      <c r="AO171" s="1254"/>
      <c r="AP171" s="1413">
        <v>19341.8</v>
      </c>
      <c r="AQ171" s="1413">
        <v>14095.2</v>
      </c>
      <c r="AR171" s="1413"/>
      <c r="AS171" s="1413"/>
      <c r="AT171" s="1254"/>
      <c r="AU171" s="1254"/>
      <c r="AV171" s="1254"/>
      <c r="AW171" s="1254"/>
      <c r="AX171" s="1254"/>
      <c r="AY171" s="1254"/>
      <c r="AZ171" s="1254"/>
      <c r="BA171" s="1254"/>
      <c r="BB171" s="1254"/>
      <c r="BC171" s="1254"/>
      <c r="BD171" s="1254"/>
      <c r="BE171" s="1355"/>
      <c r="BF171" s="1254"/>
      <c r="BG171" s="1254"/>
      <c r="BH171" s="1254"/>
      <c r="BI171" s="1389"/>
      <c r="BJ171" s="1355"/>
      <c r="BK171" s="1254"/>
      <c r="BL171" s="1254"/>
      <c r="BM171" s="1254"/>
      <c r="BN171" s="1389"/>
      <c r="BO171" s="1355"/>
      <c r="BP171" s="1254"/>
      <c r="BQ171" s="1254"/>
      <c r="BR171" s="1254"/>
      <c r="BS171" s="1389"/>
      <c r="BT171" s="1355"/>
      <c r="BU171" s="1254"/>
      <c r="BV171" s="1254"/>
      <c r="BW171" s="1254"/>
      <c r="BX171" s="1389"/>
      <c r="BY171" s="1254"/>
      <c r="BZ171" s="928"/>
      <c r="CA171" s="928"/>
      <c r="CB171" s="928"/>
      <c r="CC171" s="928"/>
      <c r="CD171" s="928"/>
      <c r="CE171" s="928"/>
      <c r="CF171" s="928"/>
      <c r="CG171" s="928"/>
      <c r="CH171" s="928"/>
      <c r="CI171" s="928"/>
      <c r="CJ171" s="928"/>
      <c r="CK171" s="928"/>
      <c r="CL171" s="928"/>
      <c r="CM171" s="928"/>
      <c r="CN171" s="928"/>
      <c r="CO171" s="928"/>
      <c r="CP171" s="928"/>
      <c r="CQ171" s="928"/>
      <c r="CR171" s="928"/>
      <c r="CS171" s="928"/>
      <c r="CT171" s="928"/>
      <c r="CU171" s="928"/>
      <c r="CV171" s="928"/>
      <c r="CW171" s="928"/>
      <c r="CX171" s="928"/>
      <c r="CY171" s="928"/>
      <c r="CZ171" s="928"/>
      <c r="DA171" s="928"/>
      <c r="DB171" s="928"/>
      <c r="DC171" s="928"/>
      <c r="DD171" s="928"/>
      <c r="DE171" s="928"/>
      <c r="DF171" s="928"/>
      <c r="DG171" s="928"/>
      <c r="DH171" s="928"/>
      <c r="DI171" s="928"/>
      <c r="DJ171" s="1468">
        <f>AP169</f>
        <v>2.1814317753228756</v>
      </c>
      <c r="DK171" s="1468">
        <f>AQ169</f>
        <v>2.057388731479</v>
      </c>
      <c r="DL171" s="1468">
        <f>AR169</f>
        <v>1.8975447909754477</v>
      </c>
      <c r="DM171" s="1468">
        <f>AS169</f>
        <v>2.2781423454460943</v>
      </c>
      <c r="DN171" s="1468">
        <f>AU169</f>
        <v>2.5209266108623711</v>
      </c>
      <c r="DO171" s="1468"/>
      <c r="DP171" s="1468"/>
      <c r="DQ171" s="1468"/>
      <c r="DR171" s="1468"/>
      <c r="DS171" s="1468"/>
      <c r="DT171" s="1468"/>
      <c r="DU171" s="1468"/>
      <c r="DV171" s="1468"/>
      <c r="DW171" s="1468"/>
      <c r="DX171" s="1468"/>
      <c r="DY171" s="1338"/>
      <c r="DZ171" s="928"/>
      <c r="EA171" s="928"/>
      <c r="EB171" s="928"/>
      <c r="EC171" s="1337"/>
      <c r="ED171" s="1519"/>
      <c r="EE171" s="1468"/>
      <c r="EF171" s="1468"/>
      <c r="EG171" s="1468"/>
      <c r="EH171" s="1656"/>
      <c r="EI171" s="1468"/>
      <c r="EJ171" s="1468"/>
      <c r="EK171" s="1468"/>
      <c r="EL171" s="1468"/>
      <c r="EM171" s="1656"/>
      <c r="EN171" s="1468"/>
      <c r="EO171" s="1468"/>
      <c r="EP171" s="1468"/>
      <c r="EQ171" s="1468"/>
      <c r="ER171" s="928"/>
      <c r="ES171" s="928"/>
      <c r="ET171" s="928"/>
      <c r="EU171" s="928"/>
      <c r="EV171" s="928"/>
      <c r="EW171" s="928"/>
      <c r="EX171" s="928"/>
      <c r="EY171" s="928"/>
      <c r="EZ171" s="928"/>
      <c r="FA171" s="928"/>
      <c r="FB171" s="928"/>
      <c r="FC171" s="928"/>
      <c r="FD171" s="928"/>
      <c r="FE171" s="928"/>
      <c r="FF171" s="1363"/>
      <c r="FG171" s="1468"/>
      <c r="FH171" s="1351"/>
      <c r="FI171" s="1474"/>
      <c r="FJ171" s="1612"/>
      <c r="FK171" s="1628"/>
      <c r="FL171" s="928"/>
      <c r="FM171" s="928"/>
      <c r="FN171" s="928"/>
      <c r="FO171" s="928"/>
      <c r="FP171" s="928"/>
      <c r="FQ171" s="928"/>
    </row>
    <row r="172" spans="1:173">
      <c r="A172" s="1441" t="s">
        <v>264</v>
      </c>
      <c r="B172" s="928"/>
      <c r="C172" s="928"/>
      <c r="D172" s="928"/>
      <c r="E172" s="928"/>
      <c r="F172" s="928"/>
      <c r="G172" s="928"/>
      <c r="H172" s="928"/>
      <c r="I172" s="928"/>
      <c r="J172" s="928"/>
      <c r="K172" s="928"/>
      <c r="L172" s="928"/>
      <c r="M172" s="928"/>
      <c r="N172" s="928"/>
      <c r="O172" s="928"/>
      <c r="P172" s="928"/>
      <c r="Q172" s="928"/>
      <c r="R172" s="928"/>
      <c r="S172" s="928"/>
      <c r="T172" s="928"/>
      <c r="U172" s="928"/>
      <c r="V172" s="928"/>
      <c r="W172" s="928"/>
      <c r="X172" s="928"/>
      <c r="Y172" s="928"/>
      <c r="Z172" s="1254"/>
      <c r="AA172" s="1413"/>
      <c r="AB172" s="1413"/>
      <c r="AC172" s="1413">
        <f>AC171-AB171</f>
        <v>-3200.2999999999993</v>
      </c>
      <c r="AD172" s="1413">
        <f>AD171-AC171</f>
        <v>8412.9000000000015</v>
      </c>
      <c r="AE172" s="1254"/>
      <c r="AF172" s="1413">
        <f>AF171-AD171</f>
        <v>-1868.1000000000022</v>
      </c>
      <c r="AG172" s="1413">
        <f>AG171-AF171</f>
        <v>-4841.5</v>
      </c>
      <c r="AH172" s="1413">
        <f>AH171-AG171</f>
        <v>-1958.5999999999985</v>
      </c>
      <c r="AI172" s="1413">
        <f>AI171-AH171</f>
        <v>9907.2000000000007</v>
      </c>
      <c r="AJ172" s="1254"/>
      <c r="AK172" s="1254"/>
      <c r="AL172" s="1254"/>
      <c r="AM172" s="1254"/>
      <c r="AN172" s="1413">
        <f>AN171-AM171</f>
        <v>8386.1999999999989</v>
      </c>
      <c r="AO172" s="1254"/>
      <c r="AP172" s="1254"/>
      <c r="AQ172" s="1254"/>
      <c r="AR172" s="1254"/>
      <c r="AS172" s="1254"/>
      <c r="AT172" s="1254"/>
      <c r="AU172" s="1254"/>
      <c r="AV172" s="1254"/>
      <c r="AW172" s="1254"/>
      <c r="AX172" s="1254"/>
      <c r="AY172" s="1254"/>
      <c r="AZ172" s="1254"/>
      <c r="BA172" s="1254"/>
      <c r="BB172" s="1254"/>
      <c r="BC172" s="1254"/>
      <c r="BD172" s="1254"/>
      <c r="BE172" s="1355"/>
      <c r="BF172" s="1254"/>
      <c r="BG172" s="1254"/>
      <c r="BH172" s="1254"/>
      <c r="BI172" s="1389"/>
      <c r="BJ172" s="1355"/>
      <c r="BK172" s="1254"/>
      <c r="BL172" s="1254"/>
      <c r="BM172" s="1254"/>
      <c r="BN172" s="1389"/>
      <c r="BO172" s="1355"/>
      <c r="BP172" s="1254"/>
      <c r="BQ172" s="1254"/>
      <c r="BR172" s="1254"/>
      <c r="BS172" s="1389"/>
      <c r="BT172" s="1355"/>
      <c r="BU172" s="1254"/>
      <c r="BV172" s="1254"/>
      <c r="BW172" s="1254"/>
      <c r="BX172" s="1389"/>
      <c r="BY172" s="1254"/>
      <c r="BZ172" s="928"/>
      <c r="CA172" s="928"/>
      <c r="CB172" s="928"/>
      <c r="CC172" s="928"/>
      <c r="CD172" s="928"/>
      <c r="CE172" s="928"/>
      <c r="CF172" s="928"/>
      <c r="CG172" s="928"/>
      <c r="CH172" s="928"/>
      <c r="CI172" s="928"/>
      <c r="CJ172" s="928"/>
      <c r="CK172" s="928"/>
      <c r="CL172" s="928"/>
      <c r="CM172" s="928"/>
      <c r="CN172" s="928"/>
      <c r="CO172" s="928"/>
      <c r="CP172" s="928"/>
      <c r="CQ172" s="928"/>
      <c r="CR172" s="928"/>
      <c r="CS172" s="928"/>
      <c r="CT172" s="928"/>
      <c r="CU172" s="928"/>
      <c r="CV172" s="928"/>
      <c r="CW172" s="928"/>
      <c r="CX172" s="928"/>
      <c r="CY172" s="928"/>
      <c r="CZ172" s="928"/>
      <c r="DA172" s="928"/>
      <c r="DB172" s="928"/>
      <c r="DC172" s="928"/>
      <c r="DD172" s="928"/>
      <c r="DE172" s="928"/>
      <c r="DF172" s="928"/>
      <c r="DG172" s="928"/>
      <c r="DH172" s="928"/>
      <c r="DI172" s="928"/>
      <c r="DJ172" s="928"/>
      <c r="DK172" s="928"/>
      <c r="DL172" s="928"/>
      <c r="DM172" s="928"/>
      <c r="DN172" s="928"/>
      <c r="DO172" s="928"/>
      <c r="DP172" s="928"/>
      <c r="DQ172" s="928"/>
      <c r="DR172" s="928"/>
      <c r="DS172" s="928"/>
      <c r="DT172" s="928"/>
      <c r="DU172" s="928"/>
      <c r="DV172" s="928"/>
      <c r="DW172" s="928"/>
      <c r="DX172" s="928"/>
      <c r="DY172" s="1338"/>
      <c r="DZ172" s="928"/>
      <c r="EA172" s="928"/>
      <c r="EB172" s="928"/>
      <c r="EC172" s="1337"/>
      <c r="ED172" s="1338"/>
      <c r="EE172" s="928"/>
      <c r="EF172" s="928"/>
      <c r="EG172" s="928"/>
      <c r="EH172" s="1337"/>
      <c r="EI172" s="928"/>
      <c r="EJ172" s="928"/>
      <c r="EK172" s="928"/>
      <c r="EL172" s="928"/>
      <c r="EM172" s="1337"/>
      <c r="EN172" s="928"/>
      <c r="EO172" s="928"/>
      <c r="EP172" s="928"/>
      <c r="EQ172" s="928"/>
      <c r="ER172" s="928"/>
      <c r="ES172" s="928"/>
      <c r="ET172" s="928"/>
      <c r="EU172" s="928"/>
      <c r="EV172" s="928"/>
      <c r="EW172" s="928"/>
      <c r="EX172" s="928"/>
      <c r="EY172" s="928"/>
      <c r="EZ172" s="928"/>
      <c r="FA172" s="928"/>
      <c r="FB172" s="928"/>
      <c r="FC172" s="928"/>
      <c r="FD172" s="928"/>
      <c r="FE172" s="928"/>
      <c r="FF172" s="1363"/>
      <c r="FG172" s="928"/>
      <c r="FH172" s="1351"/>
      <c r="FI172" s="1319"/>
      <c r="FJ172" s="1612"/>
      <c r="FK172" s="1605"/>
      <c r="FL172" s="928"/>
      <c r="FM172" s="928"/>
      <c r="FN172" s="928"/>
      <c r="FO172" s="928"/>
      <c r="FP172" s="928"/>
      <c r="FQ172" s="928"/>
    </row>
    <row r="173" spans="1:173">
      <c r="A173" s="1441"/>
      <c r="B173" s="928"/>
      <c r="C173" s="928"/>
      <c r="D173" s="928"/>
      <c r="E173" s="928"/>
      <c r="F173" s="928"/>
      <c r="G173" s="928"/>
      <c r="H173" s="928"/>
      <c r="I173" s="928"/>
      <c r="J173" s="928"/>
      <c r="K173" s="928"/>
      <c r="L173" s="928"/>
      <c r="M173" s="928"/>
      <c r="N173" s="928"/>
      <c r="O173" s="928"/>
      <c r="P173" s="928"/>
      <c r="Q173" s="928"/>
      <c r="R173" s="928"/>
      <c r="S173" s="928"/>
      <c r="T173" s="928"/>
      <c r="U173" s="928"/>
      <c r="V173" s="928"/>
      <c r="W173" s="928"/>
      <c r="X173" s="928"/>
      <c r="Y173" s="928"/>
      <c r="Z173" s="1254"/>
      <c r="AA173" s="1413"/>
      <c r="AB173" s="1413"/>
      <c r="AC173" s="1413"/>
      <c r="AD173" s="1413"/>
      <c r="AE173" s="1254"/>
      <c r="AF173" s="1254"/>
      <c r="AG173" s="1254"/>
      <c r="AH173" s="1254"/>
      <c r="AI173" s="1254"/>
      <c r="AJ173" s="1254"/>
      <c r="AK173" s="1254"/>
      <c r="AL173" s="1254"/>
      <c r="AM173" s="1254"/>
      <c r="AN173" s="1254">
        <f>AN171/AI171-1</f>
        <v>-0.13409398693653451</v>
      </c>
      <c r="AO173" s="1254"/>
      <c r="AP173" s="1254"/>
      <c r="AQ173" s="1254"/>
      <c r="AR173" s="1254"/>
      <c r="AS173" s="1254"/>
      <c r="AT173" s="1254"/>
      <c r="AU173" s="1254"/>
      <c r="AV173" s="1254"/>
      <c r="AW173" s="1254"/>
      <c r="AX173" s="1254"/>
      <c r="AY173" s="1254"/>
      <c r="AZ173" s="1254"/>
      <c r="BA173" s="1254"/>
      <c r="BB173" s="1254"/>
      <c r="BC173" s="1254"/>
      <c r="BD173" s="1254"/>
      <c r="BE173" s="1355"/>
      <c r="BF173" s="1254"/>
      <c r="BG173" s="1254"/>
      <c r="BH173" s="1254"/>
      <c r="BI173" s="1389"/>
      <c r="BJ173" s="1355"/>
      <c r="BK173" s="1254"/>
      <c r="BL173" s="1254"/>
      <c r="BM173" s="1254"/>
      <c r="BN173" s="1389"/>
      <c r="BO173" s="1355"/>
      <c r="BP173" s="1254"/>
      <c r="BQ173" s="1254"/>
      <c r="BR173" s="1254"/>
      <c r="BS173" s="1389"/>
      <c r="BT173" s="1355"/>
      <c r="BU173" s="1254"/>
      <c r="BV173" s="1254"/>
      <c r="BW173" s="1254"/>
      <c r="BX173" s="1389"/>
      <c r="BY173" s="1254"/>
      <c r="BZ173" s="928"/>
      <c r="CA173" s="928"/>
      <c r="CB173" s="928"/>
      <c r="CC173" s="928"/>
      <c r="CD173" s="928"/>
      <c r="CE173" s="928"/>
      <c r="CF173" s="928"/>
      <c r="CG173" s="928"/>
      <c r="CH173" s="928"/>
      <c r="CI173" s="928"/>
      <c r="CJ173" s="928"/>
      <c r="CK173" s="928"/>
      <c r="CL173" s="928"/>
      <c r="CM173" s="928"/>
      <c r="CN173" s="928"/>
      <c r="CO173" s="928"/>
      <c r="CP173" s="928"/>
      <c r="CQ173" s="928"/>
      <c r="CR173" s="928"/>
      <c r="CS173" s="928"/>
      <c r="CT173" s="928"/>
      <c r="CU173" s="928"/>
      <c r="CV173" s="928"/>
      <c r="CW173" s="928"/>
      <c r="CX173" s="928"/>
      <c r="CY173" s="928"/>
      <c r="CZ173" s="928"/>
      <c r="DA173" s="928"/>
      <c r="DB173" s="928"/>
      <c r="DC173" s="928"/>
      <c r="DD173" s="928"/>
      <c r="DE173" s="928"/>
      <c r="DF173" s="928"/>
      <c r="DG173" s="928"/>
      <c r="DH173" s="928"/>
      <c r="DI173" s="928"/>
      <c r="DJ173" s="928"/>
      <c r="DK173" s="928"/>
      <c r="DL173" s="928"/>
      <c r="DM173" s="928"/>
      <c r="DN173" s="928"/>
      <c r="DO173" s="928"/>
      <c r="DP173" s="928"/>
      <c r="DQ173" s="928"/>
      <c r="DR173" s="928"/>
      <c r="DS173" s="928"/>
      <c r="DT173" s="928"/>
      <c r="DU173" s="928"/>
      <c r="DV173" s="928"/>
      <c r="DW173" s="928"/>
      <c r="DX173" s="928"/>
      <c r="DY173" s="1338"/>
      <c r="DZ173" s="928"/>
      <c r="EA173" s="928"/>
      <c r="EB173" s="928"/>
      <c r="EC173" s="1337"/>
      <c r="ED173" s="1338"/>
      <c r="EE173" s="928"/>
      <c r="EF173" s="928"/>
      <c r="EG173" s="928"/>
      <c r="EH173" s="1337"/>
      <c r="EI173" s="928"/>
      <c r="EJ173" s="928"/>
      <c r="EK173" s="928"/>
      <c r="EL173" s="928"/>
      <c r="EM173" s="1337"/>
      <c r="EN173" s="928"/>
      <c r="EO173" s="928"/>
      <c r="EP173" s="928"/>
      <c r="EQ173" s="928"/>
      <c r="ER173" s="928"/>
      <c r="ES173" s="928"/>
      <c r="ET173" s="928"/>
      <c r="EU173" s="928"/>
      <c r="EV173" s="928"/>
      <c r="EW173" s="928"/>
      <c r="EX173" s="928"/>
      <c r="EY173" s="928"/>
      <c r="EZ173" s="928"/>
      <c r="FA173" s="928"/>
      <c r="FB173" s="928"/>
      <c r="FC173" s="928"/>
      <c r="FD173" s="928"/>
      <c r="FE173" s="928"/>
      <c r="FF173" s="1363"/>
      <c r="FG173" s="928"/>
      <c r="FH173" s="1351"/>
      <c r="FI173" s="1319"/>
      <c r="FJ173" s="1612"/>
      <c r="FK173" s="1605"/>
      <c r="FL173" s="928"/>
      <c r="FM173" s="928"/>
      <c r="FN173" s="928"/>
      <c r="FO173" s="928"/>
      <c r="FP173" s="928"/>
      <c r="FQ173" s="928"/>
    </row>
    <row r="174" spans="1:173" hidden="1">
      <c r="A174" s="1441" t="s">
        <v>151</v>
      </c>
      <c r="B174" s="928"/>
      <c r="C174" s="928"/>
      <c r="D174" s="928"/>
      <c r="E174" s="928"/>
      <c r="F174" s="928"/>
      <c r="G174" s="928"/>
      <c r="H174" s="928"/>
      <c r="I174" s="928"/>
      <c r="J174" s="928"/>
      <c r="K174" s="928"/>
      <c r="L174" s="928"/>
      <c r="M174" s="928"/>
      <c r="N174" s="928"/>
      <c r="O174" s="928"/>
      <c r="P174" s="928"/>
      <c r="Q174" s="928"/>
      <c r="R174" s="928"/>
      <c r="S174" s="928"/>
      <c r="T174" s="928"/>
      <c r="U174" s="928"/>
      <c r="V174" s="928"/>
      <c r="W174" s="928"/>
      <c r="X174" s="928"/>
      <c r="Y174" s="928"/>
      <c r="Z174" s="1254"/>
      <c r="AA174" s="928"/>
      <c r="AB174" s="928"/>
      <c r="AC174" s="928"/>
      <c r="AD174" s="928"/>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355"/>
      <c r="BF174" s="1254"/>
      <c r="BG174" s="1254"/>
      <c r="BH174" s="1254"/>
      <c r="BI174" s="1389"/>
      <c r="BJ174" s="1355"/>
      <c r="BK174" s="1254"/>
      <c r="BL174" s="1254"/>
      <c r="BM174" s="1254"/>
      <c r="BN174" s="1389"/>
      <c r="BO174" s="1355"/>
      <c r="BP174" s="1254"/>
      <c r="BQ174" s="1254"/>
      <c r="BR174" s="1254"/>
      <c r="BS174" s="1389"/>
      <c r="BT174" s="1355"/>
      <c r="BU174" s="1254"/>
      <c r="BV174" s="1254"/>
      <c r="BW174" s="1254"/>
      <c r="BX174" s="1389"/>
      <c r="BY174" s="1254"/>
      <c r="BZ174" s="928"/>
      <c r="CA174" s="928"/>
      <c r="CB174" s="928"/>
      <c r="CC174" s="928"/>
      <c r="CD174" s="928"/>
      <c r="CE174" s="928"/>
      <c r="CF174" s="928"/>
      <c r="CG174" s="928"/>
      <c r="CH174" s="928"/>
      <c r="CI174" s="928"/>
      <c r="CJ174" s="928"/>
      <c r="CK174" s="928"/>
      <c r="CL174" s="928"/>
      <c r="CM174" s="928"/>
      <c r="CN174" s="928"/>
      <c r="CO174" s="928"/>
      <c r="CP174" s="928"/>
      <c r="CQ174" s="928"/>
      <c r="CR174" s="928"/>
      <c r="CS174" s="928"/>
      <c r="CT174" s="928"/>
      <c r="CU174" s="928"/>
      <c r="CV174" s="928"/>
      <c r="CW174" s="928"/>
      <c r="CX174" s="928"/>
      <c r="CY174" s="928"/>
      <c r="CZ174" s="928"/>
      <c r="DA174" s="928"/>
      <c r="DB174" s="928"/>
      <c r="DC174" s="928"/>
      <c r="DD174" s="928"/>
      <c r="DE174" s="928"/>
      <c r="DF174" s="928"/>
      <c r="DG174" s="928"/>
      <c r="DH174" s="928"/>
      <c r="DI174" s="928"/>
      <c r="DJ174" s="928"/>
      <c r="DK174" s="928"/>
      <c r="DL174" s="928"/>
      <c r="DM174" s="928"/>
      <c r="DN174" s="928"/>
      <c r="DO174" s="928"/>
      <c r="DP174" s="928"/>
      <c r="DQ174" s="928"/>
      <c r="DR174" s="928"/>
      <c r="DS174" s="928"/>
      <c r="DT174" s="928"/>
      <c r="DU174" s="928"/>
      <c r="DV174" s="928"/>
      <c r="DW174" s="928"/>
      <c r="DX174" s="928"/>
      <c r="DY174" s="1338"/>
      <c r="DZ174" s="928"/>
      <c r="EA174" s="928"/>
      <c r="EB174" s="928"/>
      <c r="EC174" s="1337"/>
      <c r="ED174" s="1338"/>
      <c r="EE174" s="928"/>
      <c r="EF174" s="928"/>
      <c r="EG174" s="928"/>
      <c r="EH174" s="1337"/>
      <c r="EI174" s="928"/>
      <c r="EJ174" s="928"/>
      <c r="EK174" s="928"/>
      <c r="EL174" s="928"/>
      <c r="EM174" s="1337"/>
      <c r="EN174" s="928"/>
      <c r="EO174" s="928"/>
      <c r="EP174" s="928"/>
      <c r="EQ174" s="928"/>
      <c r="ER174" s="928"/>
      <c r="ES174" s="928"/>
      <c r="ET174" s="928"/>
      <c r="EU174" s="928"/>
      <c r="EV174" s="928"/>
      <c r="EW174" s="928"/>
      <c r="EX174" s="928"/>
      <c r="EY174" s="928"/>
      <c r="EZ174" s="928"/>
      <c r="FA174" s="928"/>
      <c r="FB174" s="928"/>
      <c r="FC174" s="928"/>
      <c r="FD174" s="928"/>
      <c r="FE174" s="928"/>
      <c r="FF174" s="1363"/>
      <c r="FG174" s="928"/>
      <c r="FH174" s="1351"/>
      <c r="FI174" s="1319"/>
      <c r="FJ174" s="1612"/>
      <c r="FK174" s="1605"/>
      <c r="FL174" s="928"/>
      <c r="FM174" s="928"/>
      <c r="FN174" s="928"/>
      <c r="FO174" s="928"/>
      <c r="FP174" s="928"/>
      <c r="FQ174" s="928"/>
    </row>
    <row r="175" spans="1:173" hidden="1">
      <c r="A175" s="1441" t="s">
        <v>152</v>
      </c>
      <c r="B175" s="928"/>
      <c r="C175" s="928"/>
      <c r="D175" s="928"/>
      <c r="E175" s="928"/>
      <c r="F175" s="928"/>
      <c r="G175" s="928"/>
      <c r="H175" s="928"/>
      <c r="I175" s="928"/>
      <c r="J175" s="928"/>
      <c r="K175" s="928"/>
      <c r="L175" s="928"/>
      <c r="M175" s="928"/>
      <c r="N175" s="928"/>
      <c r="O175" s="928"/>
      <c r="P175" s="928"/>
      <c r="Q175" s="928"/>
      <c r="R175" s="928"/>
      <c r="S175" s="928"/>
      <c r="T175" s="928"/>
      <c r="U175" s="928"/>
      <c r="V175" s="928"/>
      <c r="W175" s="928"/>
      <c r="X175" s="928"/>
      <c r="Y175" s="928"/>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355"/>
      <c r="BF175" s="1254"/>
      <c r="BG175" s="1254"/>
      <c r="BH175" s="1254"/>
      <c r="BI175" s="1389"/>
      <c r="BJ175" s="1355"/>
      <c r="BK175" s="1254"/>
      <c r="BL175" s="1254"/>
      <c r="BM175" s="1254"/>
      <c r="BN175" s="1389"/>
      <c r="BO175" s="1355"/>
      <c r="BP175" s="1254"/>
      <c r="BQ175" s="1254"/>
      <c r="BR175" s="1254"/>
      <c r="BS175" s="1389"/>
      <c r="BT175" s="1355"/>
      <c r="BU175" s="1254"/>
      <c r="BV175" s="1254"/>
      <c r="BW175" s="1254"/>
      <c r="BX175" s="1389"/>
      <c r="BY175" s="1254"/>
      <c r="BZ175" s="928"/>
      <c r="CA175" s="928"/>
      <c r="CB175" s="928"/>
      <c r="CC175" s="928"/>
      <c r="CD175" s="928"/>
      <c r="CE175" s="928"/>
      <c r="CF175" s="928"/>
      <c r="CG175" s="928"/>
      <c r="CH175" s="928"/>
      <c r="CI175" s="928"/>
      <c r="CJ175" s="928"/>
      <c r="CK175" s="928"/>
      <c r="CL175" s="928"/>
      <c r="CM175" s="928"/>
      <c r="CN175" s="928"/>
      <c r="CO175" s="928"/>
      <c r="CP175" s="928"/>
      <c r="CQ175" s="928"/>
      <c r="CR175" s="928"/>
      <c r="CS175" s="928"/>
      <c r="CT175" s="928"/>
      <c r="CU175" s="928"/>
      <c r="CV175" s="928"/>
      <c r="CW175" s="928"/>
      <c r="CX175" s="928"/>
      <c r="CY175" s="928"/>
      <c r="CZ175" s="928"/>
      <c r="DA175" s="928"/>
      <c r="DB175" s="928"/>
      <c r="DC175" s="928"/>
      <c r="DD175" s="928"/>
      <c r="DE175" s="928"/>
      <c r="DF175" s="928"/>
      <c r="DG175" s="928"/>
      <c r="DH175" s="928"/>
      <c r="DI175" s="928"/>
      <c r="DJ175" s="928"/>
      <c r="DK175" s="928"/>
      <c r="DL175" s="928"/>
      <c r="DM175" s="928"/>
      <c r="DN175" s="928"/>
      <c r="DO175" s="928"/>
      <c r="DP175" s="928"/>
      <c r="DQ175" s="928"/>
      <c r="DR175" s="928"/>
      <c r="DS175" s="928"/>
      <c r="DT175" s="928"/>
      <c r="DU175" s="928"/>
      <c r="DV175" s="928"/>
      <c r="DW175" s="928"/>
      <c r="DX175" s="928"/>
      <c r="DY175" s="1338"/>
      <c r="DZ175" s="928"/>
      <c r="EA175" s="928"/>
      <c r="EB175" s="928"/>
      <c r="EC175" s="1337"/>
      <c r="ED175" s="1338"/>
      <c r="EE175" s="928"/>
      <c r="EF175" s="928"/>
      <c r="EG175" s="928"/>
      <c r="EH175" s="1337"/>
      <c r="EI175" s="928"/>
      <c r="EJ175" s="928"/>
      <c r="EK175" s="928"/>
      <c r="EL175" s="928"/>
      <c r="EM175" s="1337"/>
      <c r="EN175" s="928"/>
      <c r="EO175" s="928"/>
      <c r="EP175" s="928"/>
      <c r="EQ175" s="928"/>
      <c r="ER175" s="928"/>
      <c r="ES175" s="928"/>
      <c r="ET175" s="928"/>
      <c r="EU175" s="928"/>
      <c r="EV175" s="928"/>
      <c r="EW175" s="928"/>
      <c r="EX175" s="928"/>
      <c r="EY175" s="928"/>
      <c r="EZ175" s="928"/>
      <c r="FA175" s="928"/>
      <c r="FB175" s="928"/>
      <c r="FC175" s="928"/>
      <c r="FD175" s="928"/>
      <c r="FE175" s="928"/>
      <c r="FF175" s="1363"/>
      <c r="FG175" s="928"/>
      <c r="FH175" s="1351"/>
      <c r="FI175" s="1319"/>
      <c r="FJ175" s="1612"/>
      <c r="FK175" s="1605"/>
      <c r="FL175" s="928"/>
      <c r="FM175" s="928"/>
      <c r="FN175" s="928"/>
      <c r="FO175" s="928"/>
      <c r="FP175" s="928"/>
      <c r="FQ175" s="928"/>
    </row>
    <row r="176" spans="1:173" hidden="1">
      <c r="A176" s="1441" t="s">
        <v>153</v>
      </c>
      <c r="B176" s="928"/>
      <c r="C176" s="928"/>
      <c r="D176" s="928"/>
      <c r="E176" s="928"/>
      <c r="F176" s="928"/>
      <c r="G176" s="928"/>
      <c r="H176" s="928"/>
      <c r="I176" s="928"/>
      <c r="J176" s="928"/>
      <c r="K176" s="928"/>
      <c r="L176" s="928"/>
      <c r="M176" s="928"/>
      <c r="N176" s="928"/>
      <c r="O176" s="928"/>
      <c r="P176" s="928"/>
      <c r="Q176" s="928"/>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355"/>
      <c r="BF176" s="1254"/>
      <c r="BG176" s="1254"/>
      <c r="BH176" s="1254"/>
      <c r="BI176" s="1389"/>
      <c r="BJ176" s="1355"/>
      <c r="BK176" s="1254"/>
      <c r="BL176" s="1254"/>
      <c r="BM176" s="1254"/>
      <c r="BN176" s="1389"/>
      <c r="BO176" s="1355"/>
      <c r="BP176" s="1254"/>
      <c r="BQ176" s="1254"/>
      <c r="BR176" s="1254"/>
      <c r="BS176" s="1389"/>
      <c r="BT176" s="1355"/>
      <c r="BU176" s="1254"/>
      <c r="BV176" s="1254"/>
      <c r="BW176" s="1254"/>
      <c r="BX176" s="1389"/>
      <c r="BY176" s="1254"/>
      <c r="BZ176" s="928"/>
      <c r="CA176" s="928"/>
      <c r="CB176" s="928"/>
      <c r="CC176" s="928"/>
      <c r="CD176" s="928"/>
      <c r="CE176" s="928"/>
      <c r="CF176" s="928"/>
      <c r="CG176" s="928"/>
      <c r="CH176" s="928"/>
      <c r="CI176" s="928"/>
      <c r="CJ176" s="928"/>
      <c r="CK176" s="928"/>
      <c r="CL176" s="928"/>
      <c r="CM176" s="928"/>
      <c r="CN176" s="928"/>
      <c r="CO176" s="928"/>
      <c r="CP176" s="928"/>
      <c r="CQ176" s="928"/>
      <c r="CR176" s="928"/>
      <c r="CS176" s="928"/>
      <c r="CT176" s="928"/>
      <c r="CU176" s="928"/>
      <c r="CV176" s="928"/>
      <c r="CW176" s="928"/>
      <c r="CX176" s="928"/>
      <c r="CY176" s="928"/>
      <c r="CZ176" s="928"/>
      <c r="DA176" s="928"/>
      <c r="DB176" s="928"/>
      <c r="DC176" s="928"/>
      <c r="DD176" s="928"/>
      <c r="DE176" s="928"/>
      <c r="DF176" s="928"/>
      <c r="DG176" s="928"/>
      <c r="DH176" s="928"/>
      <c r="DI176" s="928"/>
      <c r="DJ176" s="928"/>
      <c r="DK176" s="928"/>
      <c r="DL176" s="928"/>
      <c r="DM176" s="928"/>
      <c r="DN176" s="928"/>
      <c r="DO176" s="928"/>
      <c r="DP176" s="928"/>
      <c r="DQ176" s="928"/>
      <c r="DR176" s="928"/>
      <c r="DS176" s="928"/>
      <c r="DT176" s="928"/>
      <c r="DU176" s="928"/>
      <c r="DV176" s="928"/>
      <c r="DW176" s="928"/>
      <c r="DX176" s="928"/>
      <c r="DY176" s="1338"/>
      <c r="DZ176" s="928"/>
      <c r="EA176" s="928"/>
      <c r="EB176" s="928"/>
      <c r="EC176" s="1337"/>
      <c r="ED176" s="1338"/>
      <c r="EE176" s="928"/>
      <c r="EF176" s="928"/>
      <c r="EG176" s="928"/>
      <c r="EH176" s="1337"/>
      <c r="EI176" s="928"/>
      <c r="EJ176" s="928"/>
      <c r="EK176" s="928"/>
      <c r="EL176" s="928"/>
      <c r="EM176" s="1337"/>
      <c r="EN176" s="928"/>
      <c r="EO176" s="928"/>
      <c r="EP176" s="928"/>
      <c r="EQ176" s="928"/>
      <c r="ER176" s="928"/>
      <c r="ES176" s="928"/>
      <c r="ET176" s="928"/>
      <c r="EU176" s="928"/>
      <c r="EV176" s="928"/>
      <c r="EW176" s="928"/>
      <c r="EX176" s="928"/>
      <c r="EY176" s="928"/>
      <c r="EZ176" s="928"/>
      <c r="FA176" s="928"/>
      <c r="FB176" s="928"/>
      <c r="FC176" s="928"/>
      <c r="FD176" s="928"/>
      <c r="FE176" s="928"/>
      <c r="FF176" s="1363"/>
      <c r="FG176" s="928"/>
      <c r="FH176" s="1351"/>
      <c r="FI176" s="1319"/>
      <c r="FJ176" s="1612"/>
      <c r="FK176" s="1605"/>
      <c r="FL176" s="928"/>
      <c r="FM176" s="928"/>
      <c r="FN176" s="928"/>
      <c r="FO176" s="928"/>
      <c r="FP176" s="928"/>
      <c r="FQ176" s="928"/>
    </row>
    <row r="177" spans="1:173">
      <c r="A177" s="928"/>
      <c r="B177" s="928"/>
      <c r="C177" s="928"/>
      <c r="D177" s="928"/>
      <c r="E177" s="928"/>
      <c r="F177" s="928"/>
      <c r="G177" s="928"/>
      <c r="H177" s="928"/>
      <c r="I177" s="928"/>
      <c r="J177" s="928"/>
      <c r="K177" s="928"/>
      <c r="L177" s="928"/>
      <c r="M177" s="928"/>
      <c r="N177" s="928"/>
      <c r="O177" s="928"/>
      <c r="P177" s="928"/>
      <c r="Q177" s="928"/>
      <c r="R177" s="928"/>
      <c r="S177" s="928"/>
      <c r="T177" s="928"/>
      <c r="U177" s="928"/>
      <c r="V177" s="928"/>
      <c r="W177" s="928"/>
      <c r="X177" s="928"/>
      <c r="Y177" s="928"/>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355"/>
      <c r="BF177" s="1254"/>
      <c r="BG177" s="1254"/>
      <c r="BH177" s="1254"/>
      <c r="BI177" s="1389"/>
      <c r="BJ177" s="1355"/>
      <c r="BK177" s="1254"/>
      <c r="BL177" s="1254"/>
      <c r="BM177" s="1254"/>
      <c r="BN177" s="1389"/>
      <c r="BO177" s="1355"/>
      <c r="BP177" s="1254"/>
      <c r="BQ177" s="1254"/>
      <c r="BR177" s="1254"/>
      <c r="BS177" s="1389"/>
      <c r="BT177" s="1355"/>
      <c r="BU177" s="1254"/>
      <c r="BV177" s="1254"/>
      <c r="BW177" s="1254"/>
      <c r="BX177" s="1389"/>
      <c r="BY177" s="1254"/>
      <c r="BZ177" s="928"/>
      <c r="CA177" s="928"/>
      <c r="CB177" s="928"/>
      <c r="CC177" s="928"/>
      <c r="CD177" s="928"/>
      <c r="CE177" s="928"/>
      <c r="CF177" s="928"/>
      <c r="CG177" s="928"/>
      <c r="CH177" s="928"/>
      <c r="CI177" s="928"/>
      <c r="CJ177" s="928"/>
      <c r="CK177" s="928"/>
      <c r="CL177" s="928"/>
      <c r="CM177" s="928"/>
      <c r="CN177" s="928"/>
      <c r="CO177" s="928"/>
      <c r="CP177" s="928"/>
      <c r="CQ177" s="928"/>
      <c r="CR177" s="928"/>
      <c r="CS177" s="928"/>
      <c r="CT177" s="928"/>
      <c r="CU177" s="928"/>
      <c r="CV177" s="928"/>
      <c r="CW177" s="928"/>
      <c r="CX177" s="928"/>
      <c r="CY177" s="928"/>
      <c r="CZ177" s="928"/>
      <c r="DA177" s="928"/>
      <c r="DB177" s="928"/>
      <c r="DC177" s="928"/>
      <c r="DD177" s="928"/>
      <c r="DE177" s="928"/>
      <c r="DF177" s="928"/>
      <c r="DG177" s="928"/>
      <c r="DH177" s="928"/>
      <c r="DI177" s="928"/>
      <c r="DJ177" s="928"/>
      <c r="DK177" s="928"/>
      <c r="DL177" s="928"/>
      <c r="DM177" s="928"/>
      <c r="DN177" s="928"/>
      <c r="DO177" s="928"/>
      <c r="DP177" s="928"/>
      <c r="DQ177" s="928"/>
      <c r="DR177" s="928"/>
      <c r="DS177" s="928"/>
      <c r="DT177" s="928"/>
      <c r="DU177" s="928"/>
      <c r="DV177" s="928"/>
      <c r="DW177" s="928"/>
      <c r="DX177" s="928"/>
      <c r="DY177" s="1338"/>
      <c r="DZ177" s="928"/>
      <c r="EA177" s="928"/>
      <c r="EB177" s="928"/>
      <c r="EC177" s="1337"/>
      <c r="ED177" s="1338"/>
      <c r="EE177" s="928"/>
      <c r="EF177" s="928"/>
      <c r="EG177" s="928"/>
      <c r="EH177" s="1337"/>
      <c r="EI177" s="928"/>
      <c r="EJ177" s="928"/>
      <c r="EK177" s="928"/>
      <c r="EL177" s="928"/>
      <c r="EM177" s="1337"/>
      <c r="EN177" s="928"/>
      <c r="EO177" s="928"/>
      <c r="EP177" s="928"/>
      <c r="EQ177" s="928"/>
      <c r="ER177" s="928"/>
      <c r="ES177" s="928"/>
      <c r="ET177" s="928"/>
      <c r="EU177" s="928"/>
      <c r="EV177" s="928"/>
      <c r="EW177" s="928"/>
      <c r="EX177" s="928"/>
      <c r="EY177" s="928"/>
      <c r="EZ177" s="928"/>
      <c r="FA177" s="928"/>
      <c r="FB177" s="928"/>
      <c r="FC177" s="928"/>
      <c r="FD177" s="928"/>
      <c r="FE177" s="928"/>
      <c r="FF177" s="1363"/>
      <c r="FG177" s="928"/>
      <c r="FH177" s="1351"/>
      <c r="FI177" s="1319"/>
      <c r="FJ177" s="1612"/>
      <c r="FK177" s="1605"/>
      <c r="FL177" s="928"/>
      <c r="FM177" s="928"/>
      <c r="FN177" s="928"/>
      <c r="FO177" s="928"/>
      <c r="FP177" s="928"/>
      <c r="FQ177" s="928"/>
    </row>
    <row r="178" spans="1:173">
      <c r="A178" s="1446"/>
      <c r="B178" s="1476" t="str">
        <f t="shared" ref="B178:T178" si="298">B4</f>
        <v>1Q</v>
      </c>
      <c r="C178" s="1476" t="str">
        <f t="shared" si="298"/>
        <v>2Q</v>
      </c>
      <c r="D178" s="1476" t="str">
        <f t="shared" si="298"/>
        <v>3Q</v>
      </c>
      <c r="E178" s="1476" t="str">
        <f t="shared" si="298"/>
        <v>4Q</v>
      </c>
      <c r="F178" s="1476" t="str">
        <f t="shared" si="298"/>
        <v>FY</v>
      </c>
      <c r="G178" s="1476" t="str">
        <f t="shared" si="298"/>
        <v>1Q</v>
      </c>
      <c r="H178" s="1476" t="str">
        <f t="shared" si="298"/>
        <v>2Q</v>
      </c>
      <c r="I178" s="1476" t="str">
        <f t="shared" si="298"/>
        <v>3Q</v>
      </c>
      <c r="J178" s="1476" t="str">
        <f t="shared" si="298"/>
        <v>4Q</v>
      </c>
      <c r="K178" s="1476" t="str">
        <f t="shared" si="298"/>
        <v>FY</v>
      </c>
      <c r="L178" s="1476" t="str">
        <f t="shared" si="298"/>
        <v>1Q</v>
      </c>
      <c r="M178" s="1476" t="str">
        <f t="shared" si="298"/>
        <v>2Q</v>
      </c>
      <c r="N178" s="1476" t="str">
        <f t="shared" si="298"/>
        <v>3Q</v>
      </c>
      <c r="O178" s="1476" t="str">
        <f t="shared" si="298"/>
        <v>4Q</v>
      </c>
      <c r="P178" s="1476" t="str">
        <f t="shared" si="298"/>
        <v>FY</v>
      </c>
      <c r="Q178" s="1476" t="str">
        <f t="shared" si="298"/>
        <v>1Q</v>
      </c>
      <c r="R178" s="1476" t="str">
        <f t="shared" si="298"/>
        <v>2Q</v>
      </c>
      <c r="S178" s="1476" t="str">
        <f t="shared" si="298"/>
        <v>3Q</v>
      </c>
      <c r="T178" s="1476" t="str">
        <f t="shared" si="298"/>
        <v>4Q</v>
      </c>
      <c r="U178" s="1476"/>
      <c r="V178" s="1476" t="str">
        <f>V4</f>
        <v>1Q</v>
      </c>
      <c r="W178" s="1476" t="str">
        <f>W4</f>
        <v>2Q</v>
      </c>
      <c r="X178" s="1476" t="str">
        <f>X4</f>
        <v>3Q</v>
      </c>
      <c r="Y178" s="1476" t="str">
        <f>Y4</f>
        <v>4Q</v>
      </c>
      <c r="Z178" s="1447"/>
      <c r="AA178" s="1476" t="str">
        <f>AA4</f>
        <v>1Q</v>
      </c>
      <c r="AB178" s="1476" t="str">
        <f>AB4</f>
        <v>2Q</v>
      </c>
      <c r="AC178" s="1476" t="str">
        <f>AC4</f>
        <v>3Q</v>
      </c>
      <c r="AD178" s="1476" t="str">
        <f>AD4</f>
        <v>4Q</v>
      </c>
      <c r="AE178" s="1447"/>
      <c r="AF178" s="1476" t="str">
        <f>AF4</f>
        <v>1Q</v>
      </c>
      <c r="AG178" s="1476" t="str">
        <f>AG4</f>
        <v>2Q</v>
      </c>
      <c r="AH178" s="1476" t="str">
        <f>AH4</f>
        <v>3Q</v>
      </c>
      <c r="AI178" s="1476" t="str">
        <f>AI4</f>
        <v>4Q</v>
      </c>
      <c r="AJ178" s="1447"/>
      <c r="AK178" s="1476" t="str">
        <f>AK4</f>
        <v>1Q</v>
      </c>
      <c r="AL178" s="1476" t="str">
        <f>AL4</f>
        <v>2Q</v>
      </c>
      <c r="AM178" s="1476" t="str">
        <f>AM4</f>
        <v>3Q</v>
      </c>
      <c r="AN178" s="1476" t="str">
        <f>AN4</f>
        <v>4Q</v>
      </c>
      <c r="AO178" s="1447"/>
      <c r="AP178" s="1476" t="str">
        <f>AP4</f>
        <v>1Q</v>
      </c>
      <c r="AQ178" s="1476" t="str">
        <f>AQ4</f>
        <v>2Q</v>
      </c>
      <c r="AR178" s="1476" t="str">
        <f>AR4</f>
        <v>3Q</v>
      </c>
      <c r="AS178" s="1476" t="str">
        <f>AS4</f>
        <v>4Q</v>
      </c>
      <c r="AT178" s="1447"/>
      <c r="AU178" s="1476" t="str">
        <f>AU4</f>
        <v>1Q</v>
      </c>
      <c r="AV178" s="1476" t="str">
        <f>AV4</f>
        <v>2Q</v>
      </c>
      <c r="AW178" s="1476" t="str">
        <f>AW4</f>
        <v>3Q</v>
      </c>
      <c r="AX178" s="1476" t="str">
        <f>AX4</f>
        <v>4Q</v>
      </c>
      <c r="AY178" s="1447"/>
      <c r="AZ178" s="1476" t="str">
        <f>AZ4</f>
        <v>1Q</v>
      </c>
      <c r="BA178" s="1476" t="str">
        <f>BA4</f>
        <v>2Q</v>
      </c>
      <c r="BB178" s="1476" t="str">
        <f>BB4</f>
        <v>3Q</v>
      </c>
      <c r="BC178" s="1476" t="str">
        <f>BC4</f>
        <v>4Q</v>
      </c>
      <c r="BD178" s="1447"/>
      <c r="BE178" s="1521" t="str">
        <f>BE4</f>
        <v>1Q</v>
      </c>
      <c r="BF178" s="1476" t="str">
        <f>BF4</f>
        <v>2Q</v>
      </c>
      <c r="BG178" s="1476" t="s">
        <v>122</v>
      </c>
      <c r="BH178" s="1476" t="str">
        <f>BH4</f>
        <v>4Q</v>
      </c>
      <c r="BI178" s="1508"/>
      <c r="BJ178" s="1521" t="str">
        <f>BJ4</f>
        <v>1Q</v>
      </c>
      <c r="BK178" s="1476" t="str">
        <f>BK4</f>
        <v>2Q</v>
      </c>
      <c r="BL178" s="1476" t="str">
        <f>BL4</f>
        <v>3Q</v>
      </c>
      <c r="BM178" s="1476" t="str">
        <f>BM4</f>
        <v>4Q</v>
      </c>
      <c r="BN178" s="1508"/>
      <c r="BO178" s="1521" t="str">
        <f>BO4</f>
        <v>1Q</v>
      </c>
      <c r="BP178" s="1476" t="str">
        <f>BP4</f>
        <v>2Q</v>
      </c>
      <c r="BQ178" s="1476" t="str">
        <f>BQ4</f>
        <v>3Q</v>
      </c>
      <c r="BR178" s="1476" t="str">
        <f>BR4</f>
        <v>4Q</v>
      </c>
      <c r="BS178" s="1508"/>
      <c r="BT178" s="1521" t="str">
        <f>BT4</f>
        <v>1Q</v>
      </c>
      <c r="BU178" s="1476" t="str">
        <f>BU4</f>
        <v>2Q</v>
      </c>
      <c r="BV178" s="1476" t="str">
        <f>BV4</f>
        <v>3Q</v>
      </c>
      <c r="BW178" s="1476" t="str">
        <f>BW4</f>
        <v>4Q</v>
      </c>
      <c r="BX178" s="1508"/>
      <c r="BY178" s="1254"/>
      <c r="BZ178" s="928"/>
      <c r="CA178" s="928"/>
      <c r="CB178" s="928"/>
      <c r="CC178" s="928"/>
      <c r="CD178" s="928"/>
      <c r="CE178" s="928"/>
      <c r="CF178" s="928"/>
      <c r="CG178" s="928"/>
      <c r="CH178" s="928"/>
      <c r="CI178" s="928"/>
      <c r="CJ178" s="928"/>
      <c r="CK178" s="928"/>
      <c r="CL178" s="928"/>
      <c r="CM178" s="928"/>
      <c r="CN178" s="928"/>
      <c r="CO178" s="928"/>
      <c r="CP178" s="928"/>
      <c r="CQ178" s="928"/>
      <c r="CR178" s="928"/>
      <c r="CS178" s="928"/>
      <c r="CT178" s="928"/>
      <c r="CU178" s="928"/>
      <c r="CV178" s="928"/>
      <c r="CW178" s="928"/>
      <c r="CX178" s="928"/>
      <c r="CY178" s="928"/>
      <c r="CZ178" s="928"/>
      <c r="DA178" s="928"/>
      <c r="DB178" s="928"/>
      <c r="DC178" s="928"/>
      <c r="DD178" s="928"/>
      <c r="DE178" s="928"/>
      <c r="DF178" s="928"/>
      <c r="DG178" s="928"/>
      <c r="DH178" s="928"/>
      <c r="DI178" s="928"/>
      <c r="DJ178" s="928"/>
      <c r="DK178" s="928"/>
      <c r="DL178" s="928"/>
      <c r="DM178" s="928"/>
      <c r="DN178" s="928"/>
      <c r="DO178" s="928"/>
      <c r="DP178" s="928"/>
      <c r="DQ178" s="928"/>
      <c r="DR178" s="928"/>
      <c r="DS178" s="928"/>
      <c r="DT178" s="928"/>
      <c r="DU178" s="928"/>
      <c r="DV178" s="928"/>
      <c r="DW178" s="928"/>
      <c r="DX178" s="928"/>
      <c r="DY178" s="1338"/>
      <c r="DZ178" s="928"/>
      <c r="EA178" s="928"/>
      <c r="EB178" s="928"/>
      <c r="EC178" s="1337"/>
      <c r="ED178" s="1338"/>
      <c r="EE178" s="928"/>
      <c r="EF178" s="928"/>
      <c r="EG178" s="928"/>
      <c r="EH178" s="1337"/>
      <c r="EI178" s="928"/>
      <c r="EJ178" s="928"/>
      <c r="EK178" s="928"/>
      <c r="EL178" s="928"/>
      <c r="EM178" s="1337"/>
      <c r="EN178" s="928"/>
      <c r="EO178" s="928"/>
      <c r="EP178" s="928"/>
      <c r="EQ178" s="928"/>
      <c r="ER178" s="928"/>
      <c r="ES178" s="928"/>
      <c r="ET178" s="928"/>
      <c r="EU178" s="928"/>
      <c r="EV178" s="928"/>
      <c r="EW178" s="928"/>
      <c r="EX178" s="928"/>
      <c r="EY178" s="928"/>
      <c r="EZ178" s="928"/>
      <c r="FA178" s="928"/>
      <c r="FB178" s="928"/>
      <c r="FC178" s="928"/>
      <c r="FD178" s="928"/>
      <c r="FE178" s="928"/>
      <c r="FF178" s="1478" t="s">
        <v>7361</v>
      </c>
      <c r="FG178" s="928"/>
      <c r="FH178" s="1479" t="s">
        <v>6006</v>
      </c>
      <c r="FI178" s="1319"/>
      <c r="FJ178" s="1629" t="s">
        <v>120</v>
      </c>
      <c r="FK178" s="1605"/>
      <c r="FL178" s="928"/>
      <c r="FM178" s="928"/>
      <c r="FN178" s="928"/>
      <c r="FO178" s="928"/>
      <c r="FP178" s="928"/>
      <c r="FQ178" s="928"/>
    </row>
    <row r="179" spans="1:173">
      <c r="A179" s="1480" t="s">
        <v>145</v>
      </c>
      <c r="B179" s="928"/>
      <c r="C179" s="928"/>
      <c r="D179" s="928"/>
      <c r="E179" s="928"/>
      <c r="F179" s="928"/>
      <c r="G179" s="928"/>
      <c r="H179" s="928"/>
      <c r="I179" s="928"/>
      <c r="J179" s="928"/>
      <c r="K179" s="928"/>
      <c r="L179" s="928"/>
      <c r="M179" s="928"/>
      <c r="N179" s="928"/>
      <c r="O179" s="928"/>
      <c r="P179" s="928"/>
      <c r="Q179" s="928"/>
      <c r="R179" s="928"/>
      <c r="S179" s="928"/>
      <c r="T179" s="928"/>
      <c r="U179" s="928"/>
      <c r="V179" s="928"/>
      <c r="W179" s="928"/>
      <c r="X179" s="928"/>
      <c r="Y179" s="928"/>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355"/>
      <c r="BF179" s="1254"/>
      <c r="BG179" s="1254"/>
      <c r="BH179" s="1254"/>
      <c r="BI179" s="1389"/>
      <c r="BJ179" s="1355"/>
      <c r="BK179" s="1254"/>
      <c r="BL179" s="1254"/>
      <c r="BM179" s="1254"/>
      <c r="BN179" s="1389"/>
      <c r="BO179" s="1355"/>
      <c r="BP179" s="1254"/>
      <c r="BQ179" s="1254"/>
      <c r="BR179" s="1254"/>
      <c r="BS179" s="1389"/>
      <c r="BT179" s="1355"/>
      <c r="BU179" s="1254"/>
      <c r="BV179" s="1254"/>
      <c r="BW179" s="1254"/>
      <c r="BX179" s="1389"/>
      <c r="BY179" s="1254"/>
      <c r="BZ179" s="928"/>
      <c r="CA179" s="928"/>
      <c r="CB179" s="928"/>
      <c r="CC179" s="928"/>
      <c r="CD179" s="928"/>
      <c r="CE179" s="928"/>
      <c r="CF179" s="928"/>
      <c r="CG179" s="928"/>
      <c r="CH179" s="928"/>
      <c r="CI179" s="928"/>
      <c r="CJ179" s="928"/>
      <c r="CK179" s="928"/>
      <c r="CL179" s="928"/>
      <c r="CM179" s="928"/>
      <c r="CN179" s="928"/>
      <c r="CO179" s="928"/>
      <c r="CP179" s="928"/>
      <c r="CQ179" s="928"/>
      <c r="CR179" s="928"/>
      <c r="CS179" s="928"/>
      <c r="CT179" s="928"/>
      <c r="CU179" s="928"/>
      <c r="CV179" s="928"/>
      <c r="CW179" s="928"/>
      <c r="CX179" s="928"/>
      <c r="CY179" s="928"/>
      <c r="CZ179" s="928"/>
      <c r="DA179" s="928"/>
      <c r="DB179" s="928"/>
      <c r="DC179" s="928"/>
      <c r="DD179" s="928"/>
      <c r="DE179" s="928"/>
      <c r="DF179" s="928"/>
      <c r="DG179" s="928"/>
      <c r="DH179" s="928"/>
      <c r="DI179" s="928"/>
      <c r="DJ179" s="928"/>
      <c r="DK179" s="928"/>
      <c r="DL179" s="928"/>
      <c r="DM179" s="928"/>
      <c r="DN179" s="928"/>
      <c r="DO179" s="928"/>
      <c r="DP179" s="928"/>
      <c r="DQ179" s="928"/>
      <c r="DR179" s="928"/>
      <c r="DS179" s="928"/>
      <c r="DT179" s="928"/>
      <c r="DU179" s="928"/>
      <c r="DV179" s="928"/>
      <c r="DW179" s="928"/>
      <c r="DX179" s="928"/>
      <c r="DY179" s="1338"/>
      <c r="DZ179" s="928"/>
      <c r="EA179" s="928"/>
      <c r="EB179" s="928"/>
      <c r="EC179" s="1337"/>
      <c r="ED179" s="1338"/>
      <c r="EE179" s="928"/>
      <c r="EF179" s="928"/>
      <c r="EG179" s="928"/>
      <c r="EH179" s="1337"/>
      <c r="EI179" s="928"/>
      <c r="EJ179" s="928"/>
      <c r="EK179" s="928"/>
      <c r="EL179" s="928"/>
      <c r="EM179" s="1337"/>
      <c r="EN179" s="928"/>
      <c r="EO179" s="928"/>
      <c r="EP179" s="928"/>
      <c r="EQ179" s="928"/>
      <c r="ER179" s="928"/>
      <c r="ES179" s="928"/>
      <c r="ET179" s="928"/>
      <c r="EU179" s="928"/>
      <c r="EV179" s="928"/>
      <c r="EW179" s="928"/>
      <c r="EX179" s="928"/>
      <c r="EY179" s="928"/>
      <c r="EZ179" s="928"/>
      <c r="FA179" s="928"/>
      <c r="FB179" s="928"/>
      <c r="FC179" s="928"/>
      <c r="FD179" s="928"/>
      <c r="FE179" s="928"/>
      <c r="FF179" s="1363"/>
      <c r="FG179" s="928"/>
      <c r="FH179" s="1351"/>
      <c r="FI179" s="1319"/>
      <c r="FJ179" s="1612"/>
      <c r="FK179" s="1605"/>
      <c r="FL179" s="928"/>
      <c r="FM179" s="928"/>
      <c r="FN179" s="928"/>
      <c r="FO179" s="928"/>
      <c r="FP179" s="928"/>
      <c r="FQ179" s="928"/>
    </row>
    <row r="180" spans="1:173">
      <c r="A180" s="928" t="s">
        <v>646</v>
      </c>
      <c r="B180" s="928"/>
      <c r="C180" s="928"/>
      <c r="D180" s="928"/>
      <c r="E180" s="928"/>
      <c r="F180" s="928"/>
      <c r="G180" s="1435">
        <v>12.061984375000002</v>
      </c>
      <c r="H180" s="1435">
        <v>11.721963076923075</v>
      </c>
      <c r="I180" s="1435">
        <v>12.328425757575765</v>
      </c>
      <c r="J180" s="1435">
        <v>13.646186153846156</v>
      </c>
      <c r="K180" s="1435"/>
      <c r="L180" s="1435">
        <v>12.979218461538462</v>
      </c>
      <c r="M180" s="1435">
        <v>13.53778</v>
      </c>
      <c r="N180" s="1435">
        <v>13.164943076923075</v>
      </c>
      <c r="O180" s="1435">
        <v>12.94324242424242</v>
      </c>
      <c r="P180" s="928"/>
      <c r="Q180" s="1435">
        <v>12.640770312500003</v>
      </c>
      <c r="R180" s="1435">
        <v>12.475727692307697</v>
      </c>
      <c r="S180" s="1435">
        <v>12.913087878787879</v>
      </c>
      <c r="T180" s="1435">
        <v>13</v>
      </c>
      <c r="U180" s="1435"/>
      <c r="V180" s="1435">
        <v>13.23</v>
      </c>
      <c r="W180" s="1435">
        <v>13</v>
      </c>
      <c r="X180" s="1435">
        <v>13.119150000000001</v>
      </c>
      <c r="Y180" s="1435">
        <v>13.9</v>
      </c>
      <c r="Z180" s="1254"/>
      <c r="AA180" s="1435">
        <v>14.9</v>
      </c>
      <c r="AB180" s="1435">
        <v>15.32</v>
      </c>
      <c r="AC180" s="1435">
        <v>16.440000000000001</v>
      </c>
      <c r="AD180" s="1435">
        <v>16.489999999999998</v>
      </c>
      <c r="AE180" s="1254"/>
      <c r="AF180" s="1435">
        <v>18.031743076923085</v>
      </c>
      <c r="AG180" s="1435">
        <v>17.8</v>
      </c>
      <c r="AH180" s="1440">
        <v>18.760000000000002</v>
      </c>
      <c r="AI180" s="1440">
        <v>19.850000000000001</v>
      </c>
      <c r="AJ180" s="1254"/>
      <c r="AK180" s="1440">
        <v>20.3</v>
      </c>
      <c r="AL180" s="1440">
        <v>18.55</v>
      </c>
      <c r="AM180" s="1440">
        <v>17.818892307692316</v>
      </c>
      <c r="AN180" s="1440">
        <v>18.989999999999998</v>
      </c>
      <c r="AO180" s="1254"/>
      <c r="AP180" s="1440">
        <v>18.732804615384612</v>
      </c>
      <c r="AQ180" s="1440">
        <v>19.420000000000002</v>
      </c>
      <c r="AR180" s="1440">
        <v>18.940000000000001</v>
      </c>
      <c r="AS180" s="1440">
        <v>19.899999999999999</v>
      </c>
      <c r="AT180" s="1254"/>
      <c r="AU180" s="1440">
        <v>19.200492187500004</v>
      </c>
      <c r="AV180" s="1440">
        <v>19.11</v>
      </c>
      <c r="AW180" s="1440">
        <v>19.399999999999999</v>
      </c>
      <c r="AX180" s="1440">
        <v>19.25</v>
      </c>
      <c r="AY180" s="1254"/>
      <c r="AZ180" s="1440">
        <v>20.000129230769225</v>
      </c>
      <c r="BA180" s="1440">
        <v>23.316533846153849</v>
      </c>
      <c r="BB180" s="1440">
        <v>22.082651515151515</v>
      </c>
      <c r="BC180" s="1440">
        <v>20.534918181818181</v>
      </c>
      <c r="BD180" s="1254"/>
      <c r="BE180" s="1522">
        <v>20.340296875000007</v>
      </c>
      <c r="BF180" s="1440">
        <v>20.020470769230773</v>
      </c>
      <c r="BG180" s="1440">
        <v>20.033242424242431</v>
      </c>
      <c r="BH180" s="1440">
        <v>20.748074242424238</v>
      </c>
      <c r="BI180" s="1389"/>
      <c r="BJ180" s="1522">
        <v>20.502218461538451</v>
      </c>
      <c r="BK180" s="1440">
        <v>20.040347692307687</v>
      </c>
      <c r="BL180" s="1440">
        <v>20.233415151515153</v>
      </c>
      <c r="BM180" s="1440">
        <v>19.5932</v>
      </c>
      <c r="BN180" s="1389"/>
      <c r="BO180" s="1522">
        <v>18.66</v>
      </c>
      <c r="BP180" s="1440">
        <v>17.670000000000002</v>
      </c>
      <c r="BQ180" s="1440">
        <v>17.07</v>
      </c>
      <c r="BR180" s="1440">
        <v>17.55</v>
      </c>
      <c r="BS180" s="1389"/>
      <c r="BT180" s="1440">
        <v>16.97</v>
      </c>
      <c r="BU180" s="1536">
        <v>17</v>
      </c>
      <c r="BV180" s="1536">
        <v>17</v>
      </c>
      <c r="BW180" s="1536">
        <f>4*Master!W92-Interims!BT180-Interims!BU180-Interims!BV180</f>
        <v>17.174000000000007</v>
      </c>
      <c r="BX180" s="1389"/>
      <c r="BY180" s="1254"/>
      <c r="BZ180" s="928"/>
      <c r="CA180" s="1254">
        <f>L180/G180-1</f>
        <v>7.6043382085583255E-2</v>
      </c>
      <c r="CB180" s="1254">
        <f>M180/H180-1</f>
        <v>0.15490723790554406</v>
      </c>
      <c r="CC180" s="1254">
        <f>N180/I180-1</f>
        <v>6.7852727979748284E-2</v>
      </c>
      <c r="CD180" s="1254">
        <f>O180/J180-1</f>
        <v>-5.1512101746143291E-2</v>
      </c>
      <c r="CE180" s="928"/>
      <c r="CF180" s="1254">
        <f>Q180/L180-1</f>
        <v>-2.6076157824247215E-2</v>
      </c>
      <c r="CG180" s="1254">
        <f>R180/M180-1</f>
        <v>-7.8450994748939906E-2</v>
      </c>
      <c r="CH180" s="1254">
        <f>S180/N180-1</f>
        <v>-1.913074721733321E-2</v>
      </c>
      <c r="CI180" s="1254">
        <f>T180/O180-1</f>
        <v>4.3851126245826322E-3</v>
      </c>
      <c r="CJ180" s="928"/>
      <c r="CK180" s="928"/>
      <c r="CL180" s="928"/>
      <c r="CM180" s="928"/>
      <c r="CN180" s="928"/>
      <c r="CO180" s="928"/>
      <c r="CP180" s="1254">
        <f>AA180/V180-1</f>
        <v>0.12622826908541196</v>
      </c>
      <c r="CQ180" s="1254"/>
      <c r="CR180" s="1254"/>
      <c r="CS180" s="1254"/>
      <c r="CT180" s="928"/>
      <c r="CU180" s="1254"/>
      <c r="CV180" s="1254"/>
      <c r="CW180" s="1254"/>
      <c r="CX180" s="1254"/>
      <c r="CY180" s="928"/>
      <c r="CZ180" s="928"/>
      <c r="DA180" s="928"/>
      <c r="DB180" s="928"/>
      <c r="DC180" s="928"/>
      <c r="DD180" s="928"/>
      <c r="DE180" s="928"/>
      <c r="DF180" s="928"/>
      <c r="DG180" s="928"/>
      <c r="DH180" s="928"/>
      <c r="DI180" s="928"/>
      <c r="DJ180" s="928"/>
      <c r="DK180" s="928"/>
      <c r="DL180" s="928"/>
      <c r="DM180" s="928"/>
      <c r="DN180" s="928"/>
      <c r="DO180" s="928"/>
      <c r="DP180" s="928"/>
      <c r="DQ180" s="928"/>
      <c r="DR180" s="928"/>
      <c r="DS180" s="928"/>
      <c r="DT180" s="928"/>
      <c r="DU180" s="928"/>
      <c r="DV180" s="928"/>
      <c r="DW180" s="928"/>
      <c r="DX180" s="928"/>
      <c r="DY180" s="1338"/>
      <c r="DZ180" s="928"/>
      <c r="EA180" s="928"/>
      <c r="EB180" s="928"/>
      <c r="EC180" s="1337"/>
      <c r="ED180" s="1338"/>
      <c r="EE180" s="928"/>
      <c r="EF180" s="928"/>
      <c r="EG180" s="928"/>
      <c r="EH180" s="1337"/>
      <c r="EI180" s="928"/>
      <c r="EJ180" s="928"/>
      <c r="EK180" s="928"/>
      <c r="EL180" s="928"/>
      <c r="EM180" s="1337"/>
      <c r="EN180" s="928"/>
      <c r="EO180" s="928"/>
      <c r="EP180" s="928"/>
      <c r="EQ180" s="928"/>
      <c r="ER180" s="928"/>
      <c r="ES180" s="928"/>
      <c r="ET180" s="928"/>
      <c r="EU180" s="928"/>
      <c r="EV180" s="928"/>
      <c r="EW180" s="928"/>
      <c r="EX180" s="928"/>
      <c r="EY180" s="928"/>
      <c r="EZ180" s="928"/>
      <c r="FA180" s="928"/>
      <c r="FB180" s="928"/>
      <c r="FC180" s="928"/>
      <c r="FD180" s="928"/>
      <c r="FE180" s="928"/>
      <c r="FF180" s="1436">
        <v>17.04</v>
      </c>
      <c r="FG180" s="928"/>
      <c r="FH180" s="1481">
        <v>17.55</v>
      </c>
      <c r="FI180" s="1319"/>
      <c r="FJ180" s="1630">
        <v>16.97</v>
      </c>
      <c r="FK180" s="1605"/>
      <c r="FL180" s="928"/>
      <c r="FM180" s="928"/>
      <c r="FN180" s="928"/>
      <c r="FO180" s="928"/>
      <c r="FP180" s="928"/>
      <c r="FQ180" s="928"/>
    </row>
    <row r="181" spans="1:173">
      <c r="A181" s="928" t="s">
        <v>656</v>
      </c>
      <c r="B181" s="928"/>
      <c r="C181" s="928"/>
      <c r="D181" s="928"/>
      <c r="E181" s="928"/>
      <c r="F181" s="928"/>
      <c r="G181" s="1435"/>
      <c r="H181" s="1435"/>
      <c r="I181" s="1435"/>
      <c r="J181" s="1435"/>
      <c r="K181" s="1435"/>
      <c r="L181" s="1435"/>
      <c r="M181" s="1435"/>
      <c r="N181" s="1435"/>
      <c r="O181" s="1435"/>
      <c r="P181" s="928"/>
      <c r="Q181" s="928"/>
      <c r="R181" s="928"/>
      <c r="S181" s="928"/>
      <c r="T181" s="928"/>
      <c r="U181" s="928"/>
      <c r="V181" s="928"/>
      <c r="W181" s="928"/>
      <c r="X181" s="928"/>
      <c r="Y181" s="928"/>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355"/>
      <c r="BF181" s="1254"/>
      <c r="BG181" s="1254"/>
      <c r="BH181" s="1254"/>
      <c r="BI181" s="1389"/>
      <c r="BJ181" s="1355"/>
      <c r="BK181" s="1254"/>
      <c r="BL181" s="1254"/>
      <c r="BM181" s="1254"/>
      <c r="BN181" s="1389"/>
      <c r="BO181" s="1355"/>
      <c r="BP181" s="1254"/>
      <c r="BQ181" s="1254"/>
      <c r="BR181" s="1254"/>
      <c r="BS181" s="1389"/>
      <c r="BT181" s="1355"/>
      <c r="BU181" s="1254"/>
      <c r="BV181" s="1254"/>
      <c r="BW181" s="1254"/>
      <c r="BX181" s="1389"/>
      <c r="BY181" s="1254"/>
      <c r="BZ181" s="928"/>
      <c r="CA181" s="928"/>
      <c r="CB181" s="928"/>
      <c r="CC181" s="928"/>
      <c r="CD181" s="928"/>
      <c r="CE181" s="928"/>
      <c r="CF181" s="928"/>
      <c r="CG181" s="928"/>
      <c r="CH181" s="928"/>
      <c r="CI181" s="928"/>
      <c r="CJ181" s="928"/>
      <c r="CK181" s="928"/>
      <c r="CL181" s="928"/>
      <c r="CM181" s="928"/>
      <c r="CN181" s="928"/>
      <c r="CO181" s="928"/>
      <c r="CP181" s="928"/>
      <c r="CQ181" s="928"/>
      <c r="CR181" s="928"/>
      <c r="CS181" s="928"/>
      <c r="CT181" s="928"/>
      <c r="CU181" s="928"/>
      <c r="CV181" s="928"/>
      <c r="CW181" s="928"/>
      <c r="CX181" s="928"/>
      <c r="CY181" s="928"/>
      <c r="CZ181" s="928"/>
      <c r="DA181" s="928"/>
      <c r="DB181" s="928"/>
      <c r="DC181" s="928"/>
      <c r="DD181" s="928"/>
      <c r="DE181" s="928"/>
      <c r="DF181" s="928"/>
      <c r="DG181" s="928"/>
      <c r="DH181" s="928"/>
      <c r="DI181" s="928"/>
      <c r="DJ181" s="928"/>
      <c r="DK181" s="928"/>
      <c r="DL181" s="928"/>
      <c r="DM181" s="928"/>
      <c r="DN181" s="928"/>
      <c r="DO181" s="928"/>
      <c r="DP181" s="928"/>
      <c r="DQ181" s="928"/>
      <c r="DR181" s="928"/>
      <c r="DS181" s="928"/>
      <c r="DT181" s="928"/>
      <c r="DU181" s="928"/>
      <c r="DV181" s="928"/>
      <c r="DW181" s="928"/>
      <c r="DX181" s="928"/>
      <c r="DY181" s="1338"/>
      <c r="DZ181" s="928"/>
      <c r="EA181" s="928"/>
      <c r="EB181" s="928"/>
      <c r="EC181" s="1337"/>
      <c r="ED181" s="1338"/>
      <c r="EE181" s="928"/>
      <c r="EF181" s="928"/>
      <c r="EG181" s="928"/>
      <c r="EH181" s="1337"/>
      <c r="EI181" s="928"/>
      <c r="EJ181" s="928"/>
      <c r="EK181" s="928"/>
      <c r="EL181" s="928"/>
      <c r="EM181" s="1337"/>
      <c r="EN181" s="928"/>
      <c r="EO181" s="928"/>
      <c r="EP181" s="928"/>
      <c r="EQ181" s="928"/>
      <c r="ER181" s="928"/>
      <c r="ES181" s="928"/>
      <c r="ET181" s="928"/>
      <c r="EU181" s="928"/>
      <c r="EV181" s="928"/>
      <c r="EW181" s="928"/>
      <c r="EX181" s="928"/>
      <c r="EY181" s="928"/>
      <c r="EZ181" s="928"/>
      <c r="FA181" s="928"/>
      <c r="FB181" s="928"/>
      <c r="FC181" s="928"/>
      <c r="FD181" s="928"/>
      <c r="FE181" s="928"/>
      <c r="FF181" s="1363"/>
      <c r="FG181" s="928"/>
      <c r="FH181" s="1351"/>
      <c r="FI181" s="1319"/>
      <c r="FJ181" s="1612"/>
      <c r="FK181" s="1605"/>
      <c r="FL181" s="928"/>
      <c r="FM181" s="928"/>
      <c r="FN181" s="928"/>
      <c r="FO181" s="928"/>
      <c r="FP181" s="928"/>
      <c r="FQ181" s="928"/>
    </row>
    <row r="182" spans="1:173">
      <c r="A182" s="1414" t="str">
        <f>A9</f>
        <v>Network Subscription Revenue</v>
      </c>
      <c r="B182" s="928"/>
      <c r="C182" s="928"/>
      <c r="D182" s="928"/>
      <c r="E182" s="928"/>
      <c r="F182" s="928"/>
      <c r="G182" s="1435">
        <f>G9/G$180</f>
        <v>50.273651593915275</v>
      </c>
      <c r="H182" s="1435">
        <f>H9/H$180</f>
        <v>52.312056946093051</v>
      </c>
      <c r="I182" s="1435">
        <f>I9/I$180</f>
        <v>54.556843933353797</v>
      </c>
      <c r="J182" s="1435">
        <f>J9/J$180</f>
        <v>51.193790860247113</v>
      </c>
      <c r="K182" s="1435"/>
      <c r="L182" s="1435">
        <f>L9/L$180</f>
        <v>57.222243558104481</v>
      </c>
      <c r="M182" s="1435">
        <f>M9/M$180</f>
        <v>59.492767647280424</v>
      </c>
      <c r="N182" s="1435">
        <f>N9/N$180</f>
        <v>62.415765506830333</v>
      </c>
      <c r="O182" s="1435">
        <f>O9/O$180</f>
        <v>63.307166252660231</v>
      </c>
      <c r="P182" s="928"/>
      <c r="Q182" s="1413">
        <f>Q9/Q$180</f>
        <v>68.89611775785518</v>
      </c>
      <c r="R182" s="1413">
        <f>R9/R$180</f>
        <v>70.673232194995734</v>
      </c>
      <c r="S182" s="1034">
        <f>S9/S$180</f>
        <v>67.551619580697903</v>
      </c>
      <c r="T182" s="1413">
        <f>T9/T$180</f>
        <v>49.284615384615371</v>
      </c>
      <c r="U182" s="1413"/>
      <c r="V182" s="1413">
        <f>V9/V$180</f>
        <v>52.010582010582013</v>
      </c>
      <c r="W182" s="1413">
        <f>W9/W$180</f>
        <v>51.692307692307693</v>
      </c>
      <c r="X182" s="1413">
        <f>X9/X$180</f>
        <v>54.767267696458987</v>
      </c>
      <c r="Y182" s="1413">
        <f>Y9/Y$180</f>
        <v>55.812949640287783</v>
      </c>
      <c r="Z182" s="1254"/>
      <c r="AA182" s="1413">
        <f>AA9/AA$180</f>
        <v>55.154362416107375</v>
      </c>
      <c r="AB182" s="1413">
        <f>AB9/AB$180</f>
        <v>55.750652741514358</v>
      </c>
      <c r="AC182" s="1413">
        <f>AC9/AC$180</f>
        <v>56.873479318734788</v>
      </c>
      <c r="AD182" s="1413">
        <f>AD9/AD$180</f>
        <v>59.702850212249885</v>
      </c>
      <c r="AE182" s="1254"/>
      <c r="AF182" s="1413">
        <f>AF9/AF$180</f>
        <v>59.777914725254149</v>
      </c>
      <c r="AG182" s="1413">
        <f>AG9/AG$180</f>
        <v>64.623595505617971</v>
      </c>
      <c r="AH182" s="1413">
        <f>AH9/AH$180</f>
        <v>60.010660980810229</v>
      </c>
      <c r="AI182" s="1413">
        <f>AI9/AI$180</f>
        <v>52.659949622166266</v>
      </c>
      <c r="AJ182" s="1254"/>
      <c r="AK182" s="1413">
        <f>AK9/AK$180</f>
        <v>51.34482758620689</v>
      </c>
      <c r="AL182" s="1413">
        <f>AL9/AL$180</f>
        <v>50.733153638814017</v>
      </c>
      <c r="AM182" s="1413">
        <f>AM9/AM$180</f>
        <v>52.174960370496976</v>
      </c>
      <c r="AN182" s="1413">
        <f>AN9/AN$180</f>
        <v>60.300157977883096</v>
      </c>
      <c r="AO182" s="1254"/>
      <c r="AP182" s="1413">
        <f>AP9/AP$180</f>
        <v>62.943057604500147</v>
      </c>
      <c r="AQ182" s="1413">
        <f>AQ9/AQ$180</f>
        <v>61.833161688980425</v>
      </c>
      <c r="AR182" s="1413">
        <f>AR9/AR$180</f>
        <v>62.449841605068634</v>
      </c>
      <c r="AS182" s="1413">
        <f>AS9/AS$180</f>
        <v>62.894472361809079</v>
      </c>
      <c r="AT182" s="1254"/>
      <c r="AU182" s="1413">
        <f>AU9/AU$180</f>
        <v>63.451498435709034</v>
      </c>
      <c r="AV182" s="1413">
        <f>AV9/AV$180</f>
        <v>63.108320251177396</v>
      </c>
      <c r="AW182" s="1413">
        <f>AW9/AW$180</f>
        <v>63.860824742268051</v>
      </c>
      <c r="AX182" s="1413">
        <f>AX9/AX$180</f>
        <v>69.090909090909093</v>
      </c>
      <c r="AY182" s="1254"/>
      <c r="AZ182" s="1413">
        <f>AZ9/AZ$180</f>
        <v>66.604569632011618</v>
      </c>
      <c r="BA182" s="1413">
        <f>BA9/BA$180</f>
        <v>60.07325142073168</v>
      </c>
      <c r="BB182" s="1413">
        <f>BB9/BB$180</f>
        <v>60.305258138330174</v>
      </c>
      <c r="BC182" s="1413">
        <f>BC9/BC$180</f>
        <v>68.259341848319579</v>
      </c>
      <c r="BD182" s="1254"/>
      <c r="BE182" s="1499">
        <f>BE9/BE$180</f>
        <v>66.115062541337636</v>
      </c>
      <c r="BF182" s="1413">
        <f>BF9/BF$180</f>
        <v>66.382055413128668</v>
      </c>
      <c r="BG182" s="1413">
        <f>BG9/BG$180</f>
        <v>66.085158456323342</v>
      </c>
      <c r="BH182" s="1413">
        <f>BH9/BH$180</f>
        <v>67.114662485287994</v>
      </c>
      <c r="BI182" s="1389"/>
      <c r="BJ182" s="1499">
        <f>BJ9/BJ$180</f>
        <v>0</v>
      </c>
      <c r="BK182" s="1413">
        <f>BK9/BK$180</f>
        <v>0</v>
      </c>
      <c r="BL182" s="1413">
        <f>BL9/BL$180</f>
        <v>0</v>
      </c>
      <c r="BM182" s="1413">
        <f>BM9/BM$180</f>
        <v>0</v>
      </c>
      <c r="BN182" s="1389"/>
      <c r="BO182" s="1499">
        <f>BO9/BO$180</f>
        <v>0</v>
      </c>
      <c r="BP182" s="1413">
        <f>BP9/BP$180</f>
        <v>0</v>
      </c>
      <c r="BQ182" s="1413">
        <f>BQ9/BQ$180</f>
        <v>0</v>
      </c>
      <c r="BR182" s="1413">
        <f>BR9/BR$180</f>
        <v>0</v>
      </c>
      <c r="BS182" s="1389"/>
      <c r="BT182" s="1499">
        <f>BT9/BT$180</f>
        <v>0</v>
      </c>
      <c r="BU182" s="1413">
        <f>BU9/BU$180</f>
        <v>0</v>
      </c>
      <c r="BV182" s="1413">
        <f>BV9/BV$180</f>
        <v>0</v>
      </c>
      <c r="BW182" s="1413">
        <f>BW9/BW$180</f>
        <v>0</v>
      </c>
      <c r="BX182" s="1389"/>
      <c r="BY182" s="1254"/>
      <c r="BZ182" s="928"/>
      <c r="CA182" s="1254">
        <f>L182/G182-1</f>
        <v>0.13821538209152506</v>
      </c>
      <c r="CB182" s="1254">
        <f>M182/H182-1</f>
        <v>0.13726683904987724</v>
      </c>
      <c r="CC182" s="1254">
        <f>N182/I182-1</f>
        <v>0.14405015039134095</v>
      </c>
      <c r="CD182" s="1254">
        <f>O182/J182-1</f>
        <v>0.23661805833994931</v>
      </c>
      <c r="CE182" s="928"/>
      <c r="CF182" s="1254">
        <f>Q182/L182-1</f>
        <v>0.20400937596752633</v>
      </c>
      <c r="CG182" s="1254">
        <f>R182/M182-1</f>
        <v>0.1879298104603544</v>
      </c>
      <c r="CH182" s="1254">
        <f>S182/N182-1</f>
        <v>8.2284564359072609E-2</v>
      </c>
      <c r="CI182" s="1254">
        <f>T182/O182-1</f>
        <v>-0.22150021392650188</v>
      </c>
      <c r="CJ182" s="928"/>
      <c r="CK182" s="1254">
        <f>V182/Q182-1</f>
        <v>-0.24508689744492851</v>
      </c>
      <c r="CL182" s="1254">
        <f>W182/R182-1</f>
        <v>-0.26857303554926493</v>
      </c>
      <c r="CM182" s="1254">
        <f>X182/S182-1</f>
        <v>-0.18925307732950192</v>
      </c>
      <c r="CN182" s="1254">
        <f>Y182/T182-1</f>
        <v>0.1324619093549888</v>
      </c>
      <c r="CO182" s="928"/>
      <c r="CP182" s="1254">
        <f>AA182/V182-1</f>
        <v>6.0445014918036E-2</v>
      </c>
      <c r="CQ182" s="1254">
        <f>AB182/W182-1</f>
        <v>7.8509651249533796E-2</v>
      </c>
      <c r="CR182" s="1254">
        <f>AC182/X182-1</f>
        <v>3.845748949809269E-2</v>
      </c>
      <c r="CS182" s="1254"/>
      <c r="CT182" s="928"/>
      <c r="CU182" s="1254"/>
      <c r="CV182" s="1254"/>
      <c r="CW182" s="1254"/>
      <c r="CX182" s="1254"/>
      <c r="CY182" s="928"/>
      <c r="CZ182" s="1316">
        <f>AK182/AF182-1</f>
        <v>-0.14107362523110167</v>
      </c>
      <c r="DA182" s="1316">
        <f>AL182/AG182-1</f>
        <v>-0.21494381050952827</v>
      </c>
      <c r="DB182" s="1316">
        <f>AM182/AH182-1</f>
        <v>-0.13057180977924732</v>
      </c>
      <c r="DC182" s="1316">
        <f>AN182/AI182-1</f>
        <v>0.14508575132591517</v>
      </c>
      <c r="DD182" s="928"/>
      <c r="DE182" s="1316">
        <f>AP182/AK182-1</f>
        <v>0.22588896610510711</v>
      </c>
      <c r="DF182" s="1316">
        <f>AQ182/AL182-1</f>
        <v>0.21879199801358706</v>
      </c>
      <c r="DG182" s="1316">
        <f>AR182/AM182-1</f>
        <v>0.19693127051001502</v>
      </c>
      <c r="DH182" s="1316">
        <f>AS182/AN182-1</f>
        <v>4.3023343071133091E-2</v>
      </c>
      <c r="DI182" s="928"/>
      <c r="DJ182" s="1316">
        <f>AU182/AP182-1</f>
        <v>8.0777904753794871E-3</v>
      </c>
      <c r="DK182" s="1316"/>
      <c r="DL182" s="1316"/>
      <c r="DM182" s="1316"/>
      <c r="DN182" s="928"/>
      <c r="DO182" s="928"/>
      <c r="DP182" s="928"/>
      <c r="DQ182" s="928"/>
      <c r="DR182" s="928"/>
      <c r="DS182" s="928"/>
      <c r="DT182" s="928"/>
      <c r="DU182" s="928"/>
      <c r="DV182" s="928"/>
      <c r="DW182" s="928"/>
      <c r="DX182" s="928"/>
      <c r="DY182" s="1338"/>
      <c r="DZ182" s="928"/>
      <c r="EA182" s="928"/>
      <c r="EB182" s="928"/>
      <c r="EC182" s="1337"/>
      <c r="ED182" s="1338"/>
      <c r="EE182" s="928"/>
      <c r="EF182" s="928"/>
      <c r="EG182" s="928"/>
      <c r="EH182" s="1337"/>
      <c r="EI182" s="928"/>
      <c r="EJ182" s="928"/>
      <c r="EK182" s="928"/>
      <c r="EL182" s="928"/>
      <c r="EM182" s="1337"/>
      <c r="EN182" s="928"/>
      <c r="EO182" s="928"/>
      <c r="EP182" s="928"/>
      <c r="EQ182" s="928"/>
      <c r="ER182" s="928"/>
      <c r="ES182" s="928"/>
      <c r="ET182" s="928"/>
      <c r="EU182" s="928"/>
      <c r="EV182" s="928"/>
      <c r="EW182" s="928"/>
      <c r="EX182" s="928"/>
      <c r="EY182" s="928"/>
      <c r="EZ182" s="928"/>
      <c r="FA182" s="928"/>
      <c r="FB182" s="928"/>
      <c r="FC182" s="928"/>
      <c r="FD182" s="928"/>
      <c r="FE182" s="928"/>
      <c r="FF182" s="1429">
        <v>0</v>
      </c>
      <c r="FG182" s="928"/>
      <c r="FH182" s="1425">
        <v>0</v>
      </c>
      <c r="FI182" s="1319"/>
      <c r="FJ182" s="1621">
        <v>0</v>
      </c>
      <c r="FK182" s="1605"/>
      <c r="FL182" s="928"/>
      <c r="FM182" s="928"/>
      <c r="FN182" s="928"/>
      <c r="FO182" s="928"/>
      <c r="FP182" s="928"/>
      <c r="FQ182" s="928"/>
    </row>
    <row r="183" spans="1:173">
      <c r="A183" s="1482" t="s">
        <v>1493</v>
      </c>
      <c r="B183" s="928"/>
      <c r="C183" s="928"/>
      <c r="D183" s="928"/>
      <c r="E183" s="928"/>
      <c r="F183" s="928"/>
      <c r="G183" s="1435">
        <f>G182/(1.96*3*90%+1.7*3*10%)</f>
        <v>8.6648830737530638</v>
      </c>
      <c r="H183" s="1435">
        <f>H182/(1.96*3*90%+1.7*3*10%)</f>
        <v>9.0162111248005949</v>
      </c>
      <c r="I183" s="1435">
        <f>I182/(1.96*3*90%+1.7*3*10%)</f>
        <v>9.4031099505952778</v>
      </c>
      <c r="J183" s="1435">
        <f>J182/(1.96*3*90%+1.7*3*10%)</f>
        <v>8.8234730886327331</v>
      </c>
      <c r="K183" s="1435"/>
      <c r="L183" s="1435">
        <f>L182/(1.96*3*90%+1.7*3*10%)</f>
        <v>9.8625031985702325</v>
      </c>
      <c r="M183" s="1435">
        <f>M182/(1.96*3*90%+1.7*3*10%)</f>
        <v>10.253837926108313</v>
      </c>
      <c r="N183" s="1435">
        <f>N182/(1.96*3*90%+1.7*3*10%)</f>
        <v>10.757629353124843</v>
      </c>
      <c r="O183" s="1435">
        <f>O182/(1.96*3*90%+1.7*3*10%)</f>
        <v>10.911266158679807</v>
      </c>
      <c r="P183" s="928"/>
      <c r="Q183" s="1435">
        <f>Q182/(1.96*3*90%+1.7*3*10%)</f>
        <v>11.874546321588276</v>
      </c>
      <c r="R183" s="1435">
        <f>R182/(1.96*3*90%+1.7*3*10%)</f>
        <v>12.18083974405304</v>
      </c>
      <c r="S183" s="1435">
        <f>(S182+4)/(1.96*3*90%+1.7*3*10%)</f>
        <v>12.332233640244382</v>
      </c>
      <c r="T183" s="1435">
        <f>T182/(1.35*3)</f>
        <v>12.169040835707497</v>
      </c>
      <c r="U183" s="1435"/>
      <c r="V183" s="1435">
        <f>V182/(1.35*3)</f>
        <v>12.84211901495852</v>
      </c>
      <c r="W183" s="1435">
        <f>W182/(1.35*3)</f>
        <v>12.763532763532762</v>
      </c>
      <c r="X183" s="1435"/>
      <c r="Y183" s="1435"/>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413">
        <f>AZ9-(AZ182*AZ180)</f>
        <v>0</v>
      </c>
      <c r="BA183" s="1413">
        <f>BA9-(BA182*BA180)</f>
        <v>0</v>
      </c>
      <c r="BB183" s="1413">
        <f>BB9-(BB182*BB180)</f>
        <v>0</v>
      </c>
      <c r="BC183" s="1413">
        <f>BC9-(BC182*BC180)</f>
        <v>0</v>
      </c>
      <c r="BD183" s="1254"/>
      <c r="BE183" s="1355"/>
      <c r="BF183" s="1254"/>
      <c r="BG183" s="1254"/>
      <c r="BH183" s="1254"/>
      <c r="BI183" s="1389"/>
      <c r="BJ183" s="1355"/>
      <c r="BK183" s="1254"/>
      <c r="BL183" s="1254"/>
      <c r="BM183" s="1254"/>
      <c r="BN183" s="1389"/>
      <c r="BO183" s="1355"/>
      <c r="BP183" s="1254"/>
      <c r="BQ183" s="1254"/>
      <c r="BR183" s="1254"/>
      <c r="BS183" s="1389"/>
      <c r="BT183" s="1355"/>
      <c r="BU183" s="1254"/>
      <c r="BV183" s="1254"/>
      <c r="BW183" s="1254"/>
      <c r="BX183" s="1389"/>
      <c r="BY183" s="1254"/>
      <c r="BZ183" s="928"/>
      <c r="CA183" s="1254"/>
      <c r="CB183" s="1254"/>
      <c r="CC183" s="1254"/>
      <c r="CD183" s="1254"/>
      <c r="CE183" s="928"/>
      <c r="CF183" s="1254"/>
      <c r="CG183" s="1254"/>
      <c r="CH183" s="1254"/>
      <c r="CI183" s="1254"/>
      <c r="CJ183" s="928"/>
      <c r="CK183" s="928"/>
      <c r="CL183" s="928"/>
      <c r="CM183" s="928"/>
      <c r="CN183" s="928"/>
      <c r="CO183" s="928"/>
      <c r="CP183" s="928"/>
      <c r="CQ183" s="928"/>
      <c r="CR183" s="928"/>
      <c r="CS183" s="928"/>
      <c r="CT183" s="928"/>
      <c r="CU183" s="928"/>
      <c r="CV183" s="928"/>
      <c r="CW183" s="928"/>
      <c r="CX183" s="928"/>
      <c r="CY183" s="928"/>
      <c r="CZ183" s="928"/>
      <c r="DA183" s="928"/>
      <c r="DB183" s="928"/>
      <c r="DC183" s="928"/>
      <c r="DD183" s="928"/>
      <c r="DE183" s="928"/>
      <c r="DF183" s="928"/>
      <c r="DG183" s="928"/>
      <c r="DH183" s="928"/>
      <c r="DI183" s="928"/>
      <c r="DJ183" s="928"/>
      <c r="DK183" s="928"/>
      <c r="DL183" s="928"/>
      <c r="DM183" s="928"/>
      <c r="DN183" s="928"/>
      <c r="DO183" s="928"/>
      <c r="DP183" s="928"/>
      <c r="DQ183" s="928"/>
      <c r="DR183" s="928"/>
      <c r="DS183" s="928"/>
      <c r="DT183" s="928"/>
      <c r="DU183" s="928"/>
      <c r="DV183" s="928"/>
      <c r="DW183" s="928"/>
      <c r="DX183" s="928"/>
      <c r="DY183" s="1338"/>
      <c r="DZ183" s="928"/>
      <c r="EA183" s="928"/>
      <c r="EB183" s="928"/>
      <c r="EC183" s="1337"/>
      <c r="ED183" s="1338"/>
      <c r="EE183" s="928"/>
      <c r="EF183" s="928"/>
      <c r="EG183" s="928"/>
      <c r="EH183" s="1337"/>
      <c r="EI183" s="928"/>
      <c r="EJ183" s="928"/>
      <c r="EK183" s="928"/>
      <c r="EL183" s="928"/>
      <c r="EM183" s="1337"/>
      <c r="EN183" s="928"/>
      <c r="EO183" s="928"/>
      <c r="EP183" s="928"/>
      <c r="EQ183" s="928"/>
      <c r="ER183" s="928"/>
      <c r="ES183" s="928"/>
      <c r="ET183" s="928"/>
      <c r="EU183" s="928"/>
      <c r="EV183" s="928"/>
      <c r="EW183" s="928"/>
      <c r="EX183" s="928"/>
      <c r="EY183" s="928"/>
      <c r="EZ183" s="928"/>
      <c r="FA183" s="928"/>
      <c r="FB183" s="928"/>
      <c r="FC183" s="928"/>
      <c r="FD183" s="928"/>
      <c r="FE183" s="928"/>
      <c r="FF183" s="1363"/>
      <c r="FG183" s="928"/>
      <c r="FH183" s="1351"/>
      <c r="FI183" s="1319"/>
      <c r="FJ183" s="1612"/>
      <c r="FK183" s="1605"/>
      <c r="FL183" s="928"/>
      <c r="FM183" s="928"/>
      <c r="FN183" s="928"/>
      <c r="FO183" s="928"/>
      <c r="FP183" s="928"/>
      <c r="FQ183" s="928"/>
    </row>
    <row r="184" spans="1:173">
      <c r="A184" s="1414"/>
      <c r="B184" s="928"/>
      <c r="C184" s="928"/>
      <c r="D184" s="928"/>
      <c r="E184" s="928"/>
      <c r="F184" s="928"/>
      <c r="G184" s="1435"/>
      <c r="H184" s="1435"/>
      <c r="I184" s="1435"/>
      <c r="J184" s="1435"/>
      <c r="K184" s="1435"/>
      <c r="L184" s="1435"/>
      <c r="M184" s="1435"/>
      <c r="N184" s="1435"/>
      <c r="O184" s="1435"/>
      <c r="P184" s="928"/>
      <c r="Q184" s="1413"/>
      <c r="R184" s="1413"/>
      <c r="S184" s="1413"/>
      <c r="T184" s="1413"/>
      <c r="U184" s="1413"/>
      <c r="V184" s="1413"/>
      <c r="W184" s="1413"/>
      <c r="X184" s="1413"/>
      <c r="Y184" s="1413"/>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355"/>
      <c r="BF184" s="1254"/>
      <c r="BG184" s="1254"/>
      <c r="BH184" s="1254"/>
      <c r="BI184" s="1389"/>
      <c r="BJ184" s="1355"/>
      <c r="BK184" s="1254"/>
      <c r="BL184" s="1254"/>
      <c r="BM184" s="1254"/>
      <c r="BN184" s="1389"/>
      <c r="BO184" s="1355"/>
      <c r="BP184" s="1254"/>
      <c r="BQ184" s="1254"/>
      <c r="BR184" s="1254"/>
      <c r="BS184" s="1389"/>
      <c r="BT184" s="1355"/>
      <c r="BU184" s="1254"/>
      <c r="BV184" s="1254"/>
      <c r="BW184" s="1254"/>
      <c r="BX184" s="1389"/>
      <c r="BY184" s="1254"/>
      <c r="BZ184" s="928"/>
      <c r="CA184" s="1254"/>
      <c r="CB184" s="1254"/>
      <c r="CC184" s="1254"/>
      <c r="CD184" s="1254"/>
      <c r="CE184" s="928"/>
      <c r="CF184" s="1254"/>
      <c r="CG184" s="1254"/>
      <c r="CH184" s="1254"/>
      <c r="CI184" s="1254"/>
      <c r="CJ184" s="928"/>
      <c r="CK184" s="928"/>
      <c r="CL184" s="928"/>
      <c r="CM184" s="928"/>
      <c r="CN184" s="928"/>
      <c r="CO184" s="928"/>
      <c r="CP184" s="928"/>
      <c r="CQ184" s="928"/>
      <c r="CR184" s="928"/>
      <c r="CS184" s="928"/>
      <c r="CT184" s="928"/>
      <c r="CU184" s="928"/>
      <c r="CV184" s="928"/>
      <c r="CW184" s="928"/>
      <c r="CX184" s="928"/>
      <c r="CY184" s="928"/>
      <c r="CZ184" s="928"/>
      <c r="DA184" s="928"/>
      <c r="DB184" s="928"/>
      <c r="DC184" s="928"/>
      <c r="DD184" s="928"/>
      <c r="DE184" s="928"/>
      <c r="DF184" s="928"/>
      <c r="DG184" s="928"/>
      <c r="DH184" s="928"/>
      <c r="DI184" s="928"/>
      <c r="DJ184" s="928"/>
      <c r="DK184" s="928"/>
      <c r="DL184" s="928"/>
      <c r="DM184" s="928"/>
      <c r="DN184" s="928"/>
      <c r="DO184" s="928"/>
      <c r="DP184" s="928"/>
      <c r="DQ184" s="928"/>
      <c r="DR184" s="928"/>
      <c r="DS184" s="928"/>
      <c r="DT184" s="928"/>
      <c r="DU184" s="928"/>
      <c r="DV184" s="928"/>
      <c r="DW184" s="928"/>
      <c r="DX184" s="928"/>
      <c r="DY184" s="1338"/>
      <c r="DZ184" s="928"/>
      <c r="EA184" s="928"/>
      <c r="EB184" s="928"/>
      <c r="EC184" s="1337"/>
      <c r="ED184" s="1338"/>
      <c r="EE184" s="928"/>
      <c r="EF184" s="928"/>
      <c r="EG184" s="928"/>
      <c r="EH184" s="1337"/>
      <c r="EI184" s="928"/>
      <c r="EJ184" s="928"/>
      <c r="EK184" s="928"/>
      <c r="EL184" s="928"/>
      <c r="EM184" s="1337"/>
      <c r="EN184" s="928"/>
      <c r="EO184" s="928"/>
      <c r="EP184" s="928"/>
      <c r="EQ184" s="928"/>
      <c r="ER184" s="928"/>
      <c r="ES184" s="928"/>
      <c r="ET184" s="928"/>
      <c r="EU184" s="928"/>
      <c r="EV184" s="928"/>
      <c r="EW184" s="928"/>
      <c r="EX184" s="928"/>
      <c r="EY184" s="928"/>
      <c r="EZ184" s="928"/>
      <c r="FA184" s="928"/>
      <c r="FB184" s="928"/>
      <c r="FC184" s="928"/>
      <c r="FD184" s="928"/>
      <c r="FE184" s="928"/>
      <c r="FF184" s="1363"/>
      <c r="FG184" s="928"/>
      <c r="FH184" s="1351"/>
      <c r="FI184" s="1319"/>
      <c r="FJ184" s="1612"/>
      <c r="FK184" s="1605"/>
      <c r="FL184" s="928"/>
      <c r="FM184" s="928"/>
      <c r="FN184" s="928"/>
      <c r="FO184" s="928"/>
      <c r="FP184" s="928"/>
      <c r="FQ184" s="928"/>
    </row>
    <row r="185" spans="1:173">
      <c r="A185" s="1414" t="str">
        <f>A10</f>
        <v>Licensing and Syndication</v>
      </c>
      <c r="B185" s="928"/>
      <c r="C185" s="928"/>
      <c r="D185" s="928"/>
      <c r="E185" s="928"/>
      <c r="F185" s="928"/>
      <c r="G185" s="1435">
        <f>G10/G$180</f>
        <v>79.481117716171795</v>
      </c>
      <c r="H185" s="1435">
        <f>H10/H$180</f>
        <v>91.221921872891869</v>
      </c>
      <c r="I185" s="1435">
        <f>I10/I$180</f>
        <v>102.63273064060742</v>
      </c>
      <c r="J185" s="1435">
        <f>J10/J$180</f>
        <v>116.91178634188125</v>
      </c>
      <c r="K185" s="1435"/>
      <c r="L185" s="1435">
        <f>L10/L$180</f>
        <v>92.016326217105401</v>
      </c>
      <c r="M185" s="1435">
        <f>M10/M$180</f>
        <v>108.81400052298086</v>
      </c>
      <c r="N185" s="1435">
        <f>N10/N$180</f>
        <v>106.98109302643282</v>
      </c>
      <c r="O185" s="1435">
        <f>O10/O$180</f>
        <v>130.03696792757194</v>
      </c>
      <c r="P185" s="928"/>
      <c r="Q185" s="1413">
        <f>Q10/Q$180</f>
        <v>100.42900619313026</v>
      </c>
      <c r="R185" s="1413">
        <f>R10/R$180</f>
        <v>116.11346734452853</v>
      </c>
      <c r="S185" s="1413">
        <f>S10/S$180</f>
        <v>115.77401269419164</v>
      </c>
      <c r="T185" s="1413">
        <f>T10/T$180</f>
        <v>113.56923076923077</v>
      </c>
      <c r="U185" s="1413"/>
      <c r="V185" s="1413">
        <f>V10/V$180</f>
        <v>105.90325018896446</v>
      </c>
      <c r="W185" s="1413">
        <f>W10/W$180</f>
        <v>137.45941153846155</v>
      </c>
      <c r="X185" s="1413">
        <f>X10/X$180</f>
        <v>124.92635955835553</v>
      </c>
      <c r="Y185" s="1413">
        <f>Y10/Y$180</f>
        <v>123.81294964028774</v>
      </c>
      <c r="Z185" s="1413">
        <f>Z186+Z187</f>
        <v>491.96093163035312</v>
      </c>
      <c r="AA185" s="1413">
        <f>AA10/AA$180</f>
        <v>105.7248322147651</v>
      </c>
      <c r="AB185" s="1413">
        <f>AB10/AB$180</f>
        <v>119.47780678851176</v>
      </c>
      <c r="AC185" s="1413">
        <f>AC10/AC$180</f>
        <v>134.4890510948905</v>
      </c>
      <c r="AD185" s="1413">
        <f>AD10/AD$180</f>
        <v>126.81625227410547</v>
      </c>
      <c r="AE185" s="1254"/>
      <c r="AF185" s="1413">
        <f>AF10/AF$180</f>
        <v>109.24068691511793</v>
      </c>
      <c r="AG185" s="1413">
        <f>AG10/AG$180</f>
        <v>128.74719101123594</v>
      </c>
      <c r="AH185" s="1413">
        <f>AH10/AH$180</f>
        <v>114.74413646055436</v>
      </c>
      <c r="AI185" s="1413">
        <f>AI10/AI$180</f>
        <v>133.50629722921917</v>
      </c>
      <c r="AJ185" s="1254"/>
      <c r="AK185" s="1413">
        <f>AK10/AK$180</f>
        <v>104.44334975369456</v>
      </c>
      <c r="AL185" s="1413">
        <f>AL10/AL$180</f>
        <v>124.43126684636117</v>
      </c>
      <c r="AM185" s="1413">
        <f>AM10/AM$180</f>
        <v>120.74263443812438</v>
      </c>
      <c r="AN185" s="1413">
        <f>AN10/AN$180</f>
        <v>139.03106898367562</v>
      </c>
      <c r="AO185" s="1254"/>
      <c r="AP185" s="1413">
        <f>AP10/AP$180</f>
        <v>130.65849189447422</v>
      </c>
      <c r="AQ185" s="1413">
        <f>AQ10/AQ$180</f>
        <v>143.2183316168898</v>
      </c>
      <c r="AR185" s="1413">
        <f>AR10/AR$180</f>
        <v>130.20063357972543</v>
      </c>
      <c r="AS185" s="1413">
        <f>AS10/AS$180</f>
        <v>142.01005025125625</v>
      </c>
      <c r="AT185" s="1254"/>
      <c r="AU185" s="1413">
        <f>AU10/AU$180</f>
        <v>118.99174134126604</v>
      </c>
      <c r="AV185" s="1413">
        <f>AV10/AV$180</f>
        <v>129.44531658817374</v>
      </c>
      <c r="AW185" s="1413">
        <f>AW10/AW$180</f>
        <v>135.74742268041237</v>
      </c>
      <c r="AX185" s="1413">
        <f>AX10/AX$180</f>
        <v>167.06493506493507</v>
      </c>
      <c r="AY185" s="1254"/>
      <c r="AZ185" s="1413">
        <f>AZ10/AZ$180</f>
        <v>138.01910818422408</v>
      </c>
      <c r="BA185" s="1413">
        <f>BA10/BA$180</f>
        <v>103.69036907253728</v>
      </c>
      <c r="BB185" s="1413">
        <f>BB10/BB$180</f>
        <v>114.90015129112049</v>
      </c>
      <c r="BC185" s="1413">
        <f>BC10/BC$180</f>
        <v>150.06633933065677</v>
      </c>
      <c r="BD185" s="1254"/>
      <c r="BE185" s="1499">
        <f>BE10/BE$180</f>
        <v>132.5644368206892</v>
      </c>
      <c r="BF185" s="1413">
        <f>BF10/BF$180</f>
        <v>133.21365070490157</v>
      </c>
      <c r="BG185" s="1413">
        <f>BG10/BG$180</f>
        <v>147.85924002075333</v>
      </c>
      <c r="BH185" s="1413">
        <f>BH10/BH$180</f>
        <v>147.65707719204903</v>
      </c>
      <c r="BI185" s="1389"/>
      <c r="BJ185" s="1499">
        <f>BJ10/BJ$180</f>
        <v>0</v>
      </c>
      <c r="BK185" s="1413">
        <f>BK10/BK$180</f>
        <v>0</v>
      </c>
      <c r="BL185" s="1413">
        <f>BL10/BL$180</f>
        <v>0</v>
      </c>
      <c r="BM185" s="1413">
        <f>BM10/BM$180</f>
        <v>0</v>
      </c>
      <c r="BN185" s="1389"/>
      <c r="BO185" s="1499">
        <f>BO10/BO$180</f>
        <v>0</v>
      </c>
      <c r="BP185" s="1413">
        <f>BP10/BP$180</f>
        <v>0</v>
      </c>
      <c r="BQ185" s="1413">
        <f>BQ10/BQ$180</f>
        <v>0</v>
      </c>
      <c r="BR185" s="1413">
        <f>BR10/BR$180</f>
        <v>0</v>
      </c>
      <c r="BS185" s="1389"/>
      <c r="BT185" s="1499">
        <f>BT10/BT$180</f>
        <v>0</v>
      </c>
      <c r="BU185" s="1413">
        <f>BU10/BU$180</f>
        <v>0</v>
      </c>
      <c r="BV185" s="1413">
        <f>BV10/BV$180</f>
        <v>0</v>
      </c>
      <c r="BW185" s="1413">
        <f>BW10/BW$180</f>
        <v>0</v>
      </c>
      <c r="BX185" s="1389"/>
      <c r="BY185" s="1254"/>
      <c r="BZ185" s="928"/>
      <c r="CA185" s="1254">
        <f t="shared" ref="CA185:CD187" si="299">L185/G185-1</f>
        <v>0.15771303752542853</v>
      </c>
      <c r="CB185" s="1254">
        <f t="shared" si="299"/>
        <v>0.19284924378815105</v>
      </c>
      <c r="CC185" s="1254">
        <f t="shared" si="299"/>
        <v>4.2368183704009743E-2</v>
      </c>
      <c r="CD185" s="1254">
        <f t="shared" si="299"/>
        <v>0.11226568335299536</v>
      </c>
      <c r="CE185" s="928"/>
      <c r="CF185" s="1254">
        <f t="shared" ref="CF185:CI187" si="300">Q185/L185-1</f>
        <v>9.1425949305733001E-2</v>
      </c>
      <c r="CG185" s="1254">
        <f t="shared" si="300"/>
        <v>6.7082055493457027E-2</v>
      </c>
      <c r="CH185" s="1254">
        <f t="shared" si="300"/>
        <v>8.2191342591594996E-2</v>
      </c>
      <c r="CI185" s="1254">
        <f t="shared" si="300"/>
        <v>-0.1266388890850898</v>
      </c>
      <c r="CJ185" s="928"/>
      <c r="CK185" s="1254">
        <f t="shared" ref="CK185:CN187" si="301">V185/Q185-1</f>
        <v>5.4508594711242475E-2</v>
      </c>
      <c r="CL185" s="1254">
        <f t="shared" si="301"/>
        <v>0.18383693711079996</v>
      </c>
      <c r="CM185" s="1254">
        <f t="shared" si="301"/>
        <v>7.9053551407422651E-2</v>
      </c>
      <c r="CN185" s="1254">
        <f t="shared" si="301"/>
        <v>9.019801227563029E-2</v>
      </c>
      <c r="CO185" s="928"/>
      <c r="CP185" s="1254">
        <f t="shared" ref="CP185:CS187" si="302">AA185/V185-1</f>
        <v>-1.6847261427860305E-3</v>
      </c>
      <c r="CQ185" s="1254">
        <f t="shared" si="302"/>
        <v>-0.13081392207850739</v>
      </c>
      <c r="CR185" s="1254">
        <f t="shared" si="302"/>
        <v>7.6546627712048565E-2</v>
      </c>
      <c r="CS185" s="1254">
        <f t="shared" si="302"/>
        <v>2.4256773160991507E-2</v>
      </c>
      <c r="CT185" s="928"/>
      <c r="CU185" s="1316">
        <f t="shared" ref="CU185:CX187" si="303">AF185/AA185-1</f>
        <v>3.32547673682837E-2</v>
      </c>
      <c r="CV185" s="1316">
        <f t="shared" si="303"/>
        <v>7.7582477213797185E-2</v>
      </c>
      <c r="CW185" s="1316">
        <f t="shared" si="303"/>
        <v>-0.14681429063251294</v>
      </c>
      <c r="CX185" s="1316">
        <f t="shared" si="303"/>
        <v>5.2753845308829872E-2</v>
      </c>
      <c r="CY185" s="928"/>
      <c r="CZ185" s="1316">
        <f t="shared" ref="CZ185:DC187" si="304">AK185/AF185-1</f>
        <v>-4.3915296552016314E-2</v>
      </c>
      <c r="DA185" s="1316">
        <f t="shared" si="304"/>
        <v>-3.3522472459209696E-2</v>
      </c>
      <c r="DB185" s="1316">
        <f t="shared" si="304"/>
        <v>5.2277163457778331E-2</v>
      </c>
      <c r="DC185" s="1316">
        <f t="shared" si="304"/>
        <v>4.1382106081265135E-2</v>
      </c>
      <c r="DD185" s="928"/>
      <c r="DE185" s="928"/>
      <c r="DF185" s="928"/>
      <c r="DG185" s="928"/>
      <c r="DH185" s="928"/>
      <c r="DI185" s="928"/>
      <c r="DJ185" s="928"/>
      <c r="DK185" s="928"/>
      <c r="DL185" s="928"/>
      <c r="DM185" s="928"/>
      <c r="DN185" s="928"/>
      <c r="DO185" s="928"/>
      <c r="DP185" s="928"/>
      <c r="DQ185" s="928"/>
      <c r="DR185" s="928"/>
      <c r="DS185" s="928"/>
      <c r="DT185" s="928"/>
      <c r="DU185" s="928"/>
      <c r="DV185" s="928"/>
      <c r="DW185" s="928"/>
      <c r="DX185" s="928"/>
      <c r="DY185" s="1338"/>
      <c r="DZ185" s="928"/>
      <c r="EA185" s="928"/>
      <c r="EB185" s="928"/>
      <c r="EC185" s="1337"/>
      <c r="ED185" s="1338"/>
      <c r="EE185" s="928"/>
      <c r="EF185" s="928"/>
      <c r="EG185" s="928"/>
      <c r="EH185" s="1337"/>
      <c r="EI185" s="928"/>
      <c r="EJ185" s="928"/>
      <c r="EK185" s="928"/>
      <c r="EL185" s="928"/>
      <c r="EM185" s="1337"/>
      <c r="EN185" s="928"/>
      <c r="EO185" s="928"/>
      <c r="EP185" s="928"/>
      <c r="EQ185" s="928"/>
      <c r="ER185" s="928"/>
      <c r="ES185" s="928"/>
      <c r="ET185" s="928"/>
      <c r="EU185" s="928"/>
      <c r="EV185" s="928"/>
      <c r="EW185" s="928"/>
      <c r="EX185" s="928"/>
      <c r="EY185" s="928"/>
      <c r="EZ185" s="928"/>
      <c r="FA185" s="928"/>
      <c r="FB185" s="928"/>
      <c r="FC185" s="928"/>
      <c r="FD185" s="928"/>
      <c r="FE185" s="928"/>
      <c r="FF185" s="1429">
        <v>0</v>
      </c>
      <c r="FG185" s="928"/>
      <c r="FH185" s="1425">
        <v>0</v>
      </c>
      <c r="FI185" s="1319"/>
      <c r="FJ185" s="1621">
        <v>0</v>
      </c>
      <c r="FK185" s="1605"/>
      <c r="FL185" s="928"/>
      <c r="FM185" s="928"/>
      <c r="FN185" s="928"/>
      <c r="FO185" s="928"/>
      <c r="FP185" s="928"/>
      <c r="FQ185" s="928"/>
    </row>
    <row r="186" spans="1:173">
      <c r="A186" s="1482" t="s">
        <v>1099</v>
      </c>
      <c r="B186" s="928"/>
      <c r="C186" s="928"/>
      <c r="D186" s="928"/>
      <c r="E186" s="928"/>
      <c r="F186" s="928"/>
      <c r="G186" s="1435">
        <v>46.5</v>
      </c>
      <c r="H186" s="1435">
        <v>60.2</v>
      </c>
      <c r="I186" s="1435">
        <v>58.2</v>
      </c>
      <c r="J186" s="1435">
        <f>224.9-G186-H186-I186</f>
        <v>60</v>
      </c>
      <c r="K186" s="1435"/>
      <c r="L186" s="1435">
        <v>53.5</v>
      </c>
      <c r="M186" s="1435">
        <v>64.2</v>
      </c>
      <c r="N186" s="1435">
        <v>62</v>
      </c>
      <c r="O186" s="1435">
        <f>247.6-L186-M186-N186</f>
        <v>67.899999999999977</v>
      </c>
      <c r="P186" s="928"/>
      <c r="Q186" s="1435">
        <v>57.3</v>
      </c>
      <c r="R186" s="1435">
        <v>70.5</v>
      </c>
      <c r="S186" s="1435">
        <v>71.400000000000006</v>
      </c>
      <c r="T186" s="1435">
        <v>74</v>
      </c>
      <c r="U186" s="1435">
        <f>Univision!F143</f>
        <v>273.2</v>
      </c>
      <c r="V186" s="1435">
        <v>64.3</v>
      </c>
      <c r="W186" s="1439">
        <f>84</f>
        <v>84</v>
      </c>
      <c r="X186" s="1439">
        <f>87.4</f>
        <v>87.4</v>
      </c>
      <c r="Y186" s="1435">
        <f>313.7-V186-W186-X186</f>
        <v>77.999999999999972</v>
      </c>
      <c r="Z186" s="1435">
        <f>Univision!G143</f>
        <v>313.7</v>
      </c>
      <c r="AA186" s="1435">
        <v>65.599999999999994</v>
      </c>
      <c r="AB186" s="1435">
        <v>75</v>
      </c>
      <c r="AC186" s="1435">
        <v>89.6</v>
      </c>
      <c r="AD186" s="1435">
        <v>80.900000000000006</v>
      </c>
      <c r="AE186" s="1435">
        <f>Univision!H143</f>
        <v>311.5</v>
      </c>
      <c r="AF186" s="1435">
        <v>70.7</v>
      </c>
      <c r="AG186" s="1435">
        <v>83.3</v>
      </c>
      <c r="AH186" s="1435">
        <v>80.900000000000006</v>
      </c>
      <c r="AI186" s="1435">
        <v>90.4</v>
      </c>
      <c r="AJ186" s="1435">
        <f>Univision!I143</f>
        <v>324.60000000000002</v>
      </c>
      <c r="AK186" s="1435">
        <v>72.599999999999994</v>
      </c>
      <c r="AL186" s="1435">
        <v>81.900000000000006</v>
      </c>
      <c r="AM186" s="1435">
        <v>80.599999999999994</v>
      </c>
      <c r="AN186" s="1435">
        <v>78.8</v>
      </c>
      <c r="AO186" s="1435">
        <f>Univision!J143</f>
        <v>313.89999999999998</v>
      </c>
      <c r="AP186" s="1435">
        <v>95.5</v>
      </c>
      <c r="AQ186" s="1435">
        <v>102.6</v>
      </c>
      <c r="AR186" s="1435">
        <v>97.6</v>
      </c>
      <c r="AS186" s="1435">
        <v>88</v>
      </c>
      <c r="AT186" s="1435">
        <f>Univision!K143</f>
        <v>383.6</v>
      </c>
      <c r="AU186" s="1435">
        <v>88</v>
      </c>
      <c r="AV186" s="1435">
        <v>99.6</v>
      </c>
      <c r="AW186" s="1435">
        <v>100.2</v>
      </c>
      <c r="AX186" s="1435">
        <v>101.3</v>
      </c>
      <c r="AY186" s="1435"/>
      <c r="AZ186" s="1435">
        <v>97.6</v>
      </c>
      <c r="BA186" s="1435">
        <v>79.7</v>
      </c>
      <c r="BB186" s="1435">
        <v>92.1</v>
      </c>
      <c r="BC186" s="1435">
        <f>BD186-AZ186-BA186-BB186</f>
        <v>87.790438868008067</v>
      </c>
      <c r="BD186" s="1435">
        <f>Univision!M143</f>
        <v>357.19043886800802</v>
      </c>
      <c r="BE186" s="1505">
        <v>96.5</v>
      </c>
      <c r="BF186" s="1435">
        <v>100.6</v>
      </c>
      <c r="BG186" s="1435">
        <v>110.7</v>
      </c>
      <c r="BH186" s="1435">
        <v>110</v>
      </c>
      <c r="BI186" s="1506">
        <f>Univision!N143</f>
        <v>406.00549372650903</v>
      </c>
      <c r="BJ186" s="1505"/>
      <c r="BK186" s="1435"/>
      <c r="BL186" s="1435"/>
      <c r="BM186" s="1435"/>
      <c r="BN186" s="1506">
        <f>Univision!O143</f>
        <v>471.90581778548534</v>
      </c>
      <c r="BO186" s="1505"/>
      <c r="BP186" s="1435"/>
      <c r="BQ186" s="1435"/>
      <c r="BR186" s="1534"/>
      <c r="BS186" s="1506">
        <f>Univision!P143</f>
        <v>497.16760867475961</v>
      </c>
      <c r="BT186" s="1505"/>
      <c r="BU186" s="1435"/>
      <c r="BV186" s="1435"/>
      <c r="BW186" s="1534"/>
      <c r="BX186" s="1506">
        <f>Univision!Q143</f>
        <v>513.08253693500251</v>
      </c>
      <c r="BY186" s="1435"/>
      <c r="BZ186" s="928"/>
      <c r="CA186" s="1254">
        <f t="shared" si="299"/>
        <v>0.15053763440860224</v>
      </c>
      <c r="CB186" s="1254">
        <f t="shared" si="299"/>
        <v>6.6445182724252483E-2</v>
      </c>
      <c r="CC186" s="1254">
        <f t="shared" si="299"/>
        <v>6.5292096219931262E-2</v>
      </c>
      <c r="CD186" s="1254">
        <f t="shared" si="299"/>
        <v>0.13166666666666638</v>
      </c>
      <c r="CE186" s="928"/>
      <c r="CF186" s="1254">
        <f t="shared" si="300"/>
        <v>7.1028037383177534E-2</v>
      </c>
      <c r="CG186" s="1254">
        <f t="shared" si="300"/>
        <v>9.8130841121495171E-2</v>
      </c>
      <c r="CH186" s="1254">
        <f t="shared" si="300"/>
        <v>0.15161290322580645</v>
      </c>
      <c r="CI186" s="1254">
        <f t="shared" si="300"/>
        <v>8.9837997054492247E-2</v>
      </c>
      <c r="CJ186" s="928"/>
      <c r="CK186" s="1254">
        <f t="shared" si="301"/>
        <v>0.12216404886561949</v>
      </c>
      <c r="CL186" s="1254">
        <f t="shared" si="301"/>
        <v>0.1914893617021276</v>
      </c>
      <c r="CM186" s="1254">
        <f t="shared" si="301"/>
        <v>0.22408963585434183</v>
      </c>
      <c r="CN186" s="1254">
        <f t="shared" si="301"/>
        <v>5.4054054054053724E-2</v>
      </c>
      <c r="CO186" s="928"/>
      <c r="CP186" s="1254">
        <f t="shared" si="302"/>
        <v>2.0217729393467998E-2</v>
      </c>
      <c r="CQ186" s="1254">
        <f t="shared" si="302"/>
        <v>-0.1071428571428571</v>
      </c>
      <c r="CR186" s="1254">
        <f t="shared" si="302"/>
        <v>2.5171624713958618E-2</v>
      </c>
      <c r="CS186" s="1254">
        <f t="shared" si="302"/>
        <v>3.7179487179487714E-2</v>
      </c>
      <c r="CT186" s="928"/>
      <c r="CU186" s="1316">
        <f t="shared" si="303"/>
        <v>7.7743902439024515E-2</v>
      </c>
      <c r="CV186" s="1316">
        <f t="shared" si="303"/>
        <v>0.11066666666666669</v>
      </c>
      <c r="CW186" s="1316">
        <f t="shared" si="303"/>
        <v>-9.7098214285714191E-2</v>
      </c>
      <c r="CX186" s="1316">
        <f t="shared" si="303"/>
        <v>0.11742892459826937</v>
      </c>
      <c r="CY186" s="928"/>
      <c r="CZ186" s="1316">
        <f t="shared" si="304"/>
        <v>2.6874115983026803E-2</v>
      </c>
      <c r="DA186" s="1316">
        <f t="shared" si="304"/>
        <v>-1.6806722689075571E-2</v>
      </c>
      <c r="DB186" s="1316">
        <f t="shared" si="304"/>
        <v>-3.7082818294191799E-3</v>
      </c>
      <c r="DC186" s="1316">
        <f t="shared" si="304"/>
        <v>-0.12831858407079655</v>
      </c>
      <c r="DD186" s="928"/>
      <c r="DE186" s="1316">
        <f>AP186/AK186-1</f>
        <v>0.31542699724517909</v>
      </c>
      <c r="DF186" s="1316">
        <f>AQ186/AL186-1</f>
        <v>0.25274725274725252</v>
      </c>
      <c r="DG186" s="1316">
        <f>AR186/AM186-1</f>
        <v>0.2109181141439207</v>
      </c>
      <c r="DH186" s="1316">
        <f>AS186/AN186-1</f>
        <v>0.11675126903553301</v>
      </c>
      <c r="DI186" s="928"/>
      <c r="DJ186" s="1316">
        <f>AU186/AP186-1</f>
        <v>-7.8534031413612593E-2</v>
      </c>
      <c r="DK186" s="1316">
        <f>AV186/AQ186-1</f>
        <v>-2.9239766081871399E-2</v>
      </c>
      <c r="DL186" s="1316"/>
      <c r="DM186" s="1316"/>
      <c r="DN186" s="928"/>
      <c r="DO186" s="1316">
        <f>AZ186/AU186-1</f>
        <v>0.10909090909090913</v>
      </c>
      <c r="DP186" s="1316">
        <f>BA186/AV186-1</f>
        <v>-0.19979919678714853</v>
      </c>
      <c r="DQ186" s="1316">
        <f>BB186/AW186-1</f>
        <v>-8.0838323353293551E-2</v>
      </c>
      <c r="DR186" s="1316">
        <f>BC186/AX186-1</f>
        <v>-0.13336190653496471</v>
      </c>
      <c r="DS186" s="928"/>
      <c r="DT186" s="1254">
        <f>BE186/AZ186-1</f>
        <v>-1.1270491803278659E-2</v>
      </c>
      <c r="DU186" s="1254">
        <f>BF186/BA186-1</f>
        <v>0.26223337515683798</v>
      </c>
      <c r="DV186" s="1254">
        <f>BG186/BB186-1</f>
        <v>0.2019543973941369</v>
      </c>
      <c r="DW186" s="1254">
        <f>BH186/BC186-1</f>
        <v>0.25298382623856974</v>
      </c>
      <c r="DX186" s="928"/>
      <c r="DY186" s="1338"/>
      <c r="DZ186" s="928"/>
      <c r="EA186" s="928"/>
      <c r="EB186" s="928"/>
      <c r="EC186" s="1337"/>
      <c r="ED186" s="1338"/>
      <c r="EE186" s="928"/>
      <c r="EF186" s="928"/>
      <c r="EG186" s="928"/>
      <c r="EH186" s="1337"/>
      <c r="EI186" s="928"/>
      <c r="EJ186" s="928"/>
      <c r="EK186" s="928"/>
      <c r="EL186" s="928"/>
      <c r="EM186" s="1337"/>
      <c r="EN186" s="928"/>
      <c r="EO186" s="928"/>
      <c r="EP186" s="928"/>
      <c r="EQ186" s="928"/>
      <c r="ER186" s="928"/>
      <c r="ES186" s="928"/>
      <c r="ET186" s="928"/>
      <c r="EU186" s="928"/>
      <c r="EV186" s="928"/>
      <c r="EW186" s="928"/>
      <c r="EX186" s="928"/>
      <c r="EY186" s="928"/>
      <c r="EZ186" s="928"/>
      <c r="FA186" s="928"/>
      <c r="FB186" s="928"/>
      <c r="FC186" s="928"/>
      <c r="FD186" s="928"/>
      <c r="FE186" s="928"/>
      <c r="FF186" s="1436"/>
      <c r="FG186" s="928"/>
      <c r="FH186" s="1483"/>
      <c r="FI186" s="1319"/>
      <c r="FJ186" s="1631"/>
      <c r="FK186" s="1605"/>
      <c r="FL186" s="928"/>
      <c r="FM186" s="928"/>
      <c r="FN186" s="928"/>
      <c r="FO186" s="928"/>
      <c r="FP186" s="928"/>
      <c r="FQ186" s="928"/>
    </row>
    <row r="187" spans="1:173">
      <c r="A187" s="1482" t="s">
        <v>1100</v>
      </c>
      <c r="B187" s="928"/>
      <c r="C187" s="928"/>
      <c r="D187" s="928"/>
      <c r="E187" s="928"/>
      <c r="F187" s="928"/>
      <c r="G187" s="1435">
        <f>G185-G186</f>
        <v>32.981117716171795</v>
      </c>
      <c r="H187" s="1435">
        <f>H185-H186</f>
        <v>31.021921872891866</v>
      </c>
      <c r="I187" s="1435">
        <f>I185-I186</f>
        <v>44.432730640607417</v>
      </c>
      <c r="J187" s="1435">
        <f>J185-J186</f>
        <v>56.911786341881253</v>
      </c>
      <c r="K187" s="1435"/>
      <c r="L187" s="1435">
        <f>L185-L186</f>
        <v>38.516326217105401</v>
      </c>
      <c r="M187" s="1435">
        <f>M185-M186</f>
        <v>44.614000522980859</v>
      </c>
      <c r="N187" s="1435">
        <f>N185-N186</f>
        <v>44.981093026432816</v>
      </c>
      <c r="O187" s="1435">
        <f>O185-O186</f>
        <v>62.136967927571959</v>
      </c>
      <c r="P187" s="928"/>
      <c r="Q187" s="1435">
        <f>Q185-Q186</f>
        <v>43.129006193130266</v>
      </c>
      <c r="R187" s="1435">
        <f>R185-R186</f>
        <v>45.61346734452853</v>
      </c>
      <c r="S187" s="1435">
        <f>S185-S186</f>
        <v>44.374012694191634</v>
      </c>
      <c r="T187" s="1435">
        <f>T185-T186</f>
        <v>39.569230769230771</v>
      </c>
      <c r="U187" s="1435"/>
      <c r="V187" s="1435">
        <f>V185-V186</f>
        <v>41.603250188964466</v>
      </c>
      <c r="W187" s="1435">
        <f>W185-W186</f>
        <v>53.459411538461552</v>
      </c>
      <c r="X187" s="1435">
        <f>X185-X186</f>
        <v>37.526359558355523</v>
      </c>
      <c r="Y187" s="1435">
        <f>Y185-Y186</f>
        <v>45.812949640287769</v>
      </c>
      <c r="Z187" s="1435">
        <f>Content!H59</f>
        <v>178.26093163035313</v>
      </c>
      <c r="AA187" s="1435">
        <f>AA185-AA186</f>
        <v>40.124832214765107</v>
      </c>
      <c r="AB187" s="1435">
        <f>AB185-AB186</f>
        <v>44.477806788511757</v>
      </c>
      <c r="AC187" s="1435">
        <f>AC185-AC186</f>
        <v>44.889051094890505</v>
      </c>
      <c r="AD187" s="1435">
        <f>AD185-AD186</f>
        <v>45.91625227410546</v>
      </c>
      <c r="AE187" s="1435">
        <f>Content!I59</f>
        <v>174.1899810964083</v>
      </c>
      <c r="AF187" s="1435">
        <f>AF185-AF186</f>
        <v>38.540686915117931</v>
      </c>
      <c r="AG187" s="1435">
        <f>AG185-AG186</f>
        <v>45.447191011235944</v>
      </c>
      <c r="AH187" s="1435">
        <f>AH185-AH186</f>
        <v>33.844136460554353</v>
      </c>
      <c r="AI187" s="1435">
        <f>AI185-AI186</f>
        <v>43.106297229219166</v>
      </c>
      <c r="AJ187" s="1435">
        <f>Content!J59</f>
        <v>156.25941644562334</v>
      </c>
      <c r="AK187" s="1435">
        <f>AK185-AK186</f>
        <v>31.843349753694568</v>
      </c>
      <c r="AL187" s="1435">
        <f>AL185-AL186</f>
        <v>42.531266846361163</v>
      </c>
      <c r="AM187" s="1435">
        <f>AM185-AM186</f>
        <v>40.142634438124389</v>
      </c>
      <c r="AN187" s="1435">
        <f>AN185-AN186</f>
        <v>60.231068983675627</v>
      </c>
      <c r="AO187" s="1435">
        <f>Content!K59</f>
        <v>173.93068783068787</v>
      </c>
      <c r="AP187" s="1435">
        <f>AP185-AP186</f>
        <v>35.158491894474224</v>
      </c>
      <c r="AQ187" s="1435">
        <f>AQ185-AQ186</f>
        <v>40.618331616889805</v>
      </c>
      <c r="AR187" s="1435">
        <f>AR185-AR186</f>
        <v>32.600633579725439</v>
      </c>
      <c r="AS187" s="1435">
        <f>AS185-AS186</f>
        <v>54.010050251256246</v>
      </c>
      <c r="AT187" s="1435">
        <f>Content!L59</f>
        <v>162.94545454545448</v>
      </c>
      <c r="AU187" s="1435">
        <f>AU185-AU186</f>
        <v>30.991741341266035</v>
      </c>
      <c r="AV187" s="1435">
        <f>AV185-AV186</f>
        <v>29.845316588173745</v>
      </c>
      <c r="AW187" s="1435">
        <f>AW185-AW186</f>
        <v>35.547422680412367</v>
      </c>
      <c r="AX187" s="1435">
        <f>AX185-AX186</f>
        <v>65.764935064935074</v>
      </c>
      <c r="AY187" s="1435"/>
      <c r="AZ187" s="1435">
        <f>AZ185-AZ186</f>
        <v>40.419108184224086</v>
      </c>
      <c r="BA187" s="1435">
        <f>BA185-BA186</f>
        <v>23.990369072537277</v>
      </c>
      <c r="BB187" s="1435">
        <f>BB185-BB186</f>
        <v>22.8001512911205</v>
      </c>
      <c r="BC187" s="1435">
        <f>BC185-BC186</f>
        <v>62.275900462648707</v>
      </c>
      <c r="BD187" s="1435"/>
      <c r="BE187" s="1505">
        <f>BE185-BE186</f>
        <v>36.064436820689195</v>
      </c>
      <c r="BF187" s="1435">
        <f>BF185-BF186</f>
        <v>32.613650704901573</v>
      </c>
      <c r="BG187" s="1435">
        <f>BG185-BG186</f>
        <v>37.15924002075333</v>
      </c>
      <c r="BH187" s="1435">
        <f>BH185-BH186</f>
        <v>37.65707719204903</v>
      </c>
      <c r="BI187" s="1506"/>
      <c r="BJ187" s="1505">
        <f>BJ185-BJ186</f>
        <v>0</v>
      </c>
      <c r="BK187" s="1435">
        <f>BK185-BK186</f>
        <v>0</v>
      </c>
      <c r="BL187" s="1435">
        <f>BL185-BL186</f>
        <v>0</v>
      </c>
      <c r="BM187" s="1435">
        <f>BM185-BM186</f>
        <v>0</v>
      </c>
      <c r="BN187" s="1506"/>
      <c r="BO187" s="1505">
        <f>BO185-BO186</f>
        <v>0</v>
      </c>
      <c r="BP187" s="1435">
        <f>BP185-BP186</f>
        <v>0</v>
      </c>
      <c r="BQ187" s="1435">
        <f>BQ185-BQ186</f>
        <v>0</v>
      </c>
      <c r="BR187" s="1435">
        <f>BR185-BR186</f>
        <v>0</v>
      </c>
      <c r="BS187" s="1506"/>
      <c r="BT187" s="1505">
        <f>BT185-BT186</f>
        <v>0</v>
      </c>
      <c r="BU187" s="1435">
        <f>BU185-BU186</f>
        <v>0</v>
      </c>
      <c r="BV187" s="1435">
        <f>BV185-BV186</f>
        <v>0</v>
      </c>
      <c r="BW187" s="1435">
        <f>BW185-BW186</f>
        <v>0</v>
      </c>
      <c r="BX187" s="1506"/>
      <c r="BY187" s="1435"/>
      <c r="BZ187" s="928"/>
      <c r="CA187" s="1254">
        <f t="shared" si="299"/>
        <v>0.16782962143879976</v>
      </c>
      <c r="CB187" s="1254">
        <f t="shared" si="299"/>
        <v>0.43814431310157698</v>
      </c>
      <c r="CC187" s="1254">
        <f t="shared" si="299"/>
        <v>1.2341406389375642E-2</v>
      </c>
      <c r="CD187" s="1254">
        <f t="shared" si="299"/>
        <v>9.1811941278769904E-2</v>
      </c>
      <c r="CE187" s="928"/>
      <c r="CF187" s="1254">
        <f t="shared" si="300"/>
        <v>0.11975908475861696</v>
      </c>
      <c r="CG187" s="1254">
        <f t="shared" si="300"/>
        <v>2.2402537540493483E-2</v>
      </c>
      <c r="CH187" s="1254">
        <f t="shared" si="300"/>
        <v>-1.3496344606042321E-2</v>
      </c>
      <c r="CI187" s="1254">
        <f t="shared" si="300"/>
        <v>-0.36319340822433721</v>
      </c>
      <c r="CJ187" s="928"/>
      <c r="CK187" s="1254">
        <f t="shared" si="301"/>
        <v>-3.537656298718117E-2</v>
      </c>
      <c r="CL187" s="1254">
        <f t="shared" si="301"/>
        <v>0.17200937904305502</v>
      </c>
      <c r="CM187" s="1254">
        <f t="shared" si="301"/>
        <v>-0.15431674351894797</v>
      </c>
      <c r="CN187" s="1254">
        <f t="shared" si="301"/>
        <v>0.15779227317990085</v>
      </c>
      <c r="CO187" s="928"/>
      <c r="CP187" s="1254">
        <f t="shared" si="302"/>
        <v>-3.5536117189986283E-2</v>
      </c>
      <c r="CQ187" s="1254">
        <f t="shared" si="302"/>
        <v>-0.16800792398337472</v>
      </c>
      <c r="CR187" s="1254">
        <f t="shared" si="302"/>
        <v>0.19620052739423333</v>
      </c>
      <c r="CS187" s="1254">
        <f t="shared" si="302"/>
        <v>2.2548784705809233E-3</v>
      </c>
      <c r="CT187" s="928"/>
      <c r="CU187" s="1254">
        <f t="shared" si="303"/>
        <v>-3.9480421778916308E-2</v>
      </c>
      <c r="CV187" s="1254">
        <f t="shared" si="303"/>
        <v>2.1794784696411051E-2</v>
      </c>
      <c r="CW187" s="1254">
        <f t="shared" si="303"/>
        <v>-0.24604918938893183</v>
      </c>
      <c r="CX187" s="1254">
        <f t="shared" si="303"/>
        <v>-6.1197395382178721E-2</v>
      </c>
      <c r="CY187" s="928"/>
      <c r="CZ187" s="1316">
        <f t="shared" si="304"/>
        <v>-0.17377316538684395</v>
      </c>
      <c r="DA187" s="1316">
        <f t="shared" si="304"/>
        <v>-6.4160712686376464E-2</v>
      </c>
      <c r="DB187" s="1316">
        <f t="shared" si="304"/>
        <v>0.18610307829573358</v>
      </c>
      <c r="DC187" s="1316">
        <f t="shared" si="304"/>
        <v>0.39726844696019503</v>
      </c>
      <c r="DD187" s="928"/>
      <c r="DE187" s="928"/>
      <c r="DF187" s="928"/>
      <c r="DG187" s="928"/>
      <c r="DH187" s="928"/>
      <c r="DI187" s="928"/>
      <c r="DJ187" s="928"/>
      <c r="DK187" s="928"/>
      <c r="DL187" s="928"/>
      <c r="DM187" s="928"/>
      <c r="DN187" s="928"/>
      <c r="DO187" s="928"/>
      <c r="DP187" s="928"/>
      <c r="DQ187" s="928"/>
      <c r="DR187" s="928"/>
      <c r="DS187" s="928"/>
      <c r="DT187" s="928"/>
      <c r="DU187" s="928"/>
      <c r="DV187" s="928"/>
      <c r="DW187" s="928"/>
      <c r="DX187" s="928"/>
      <c r="DY187" s="1338"/>
      <c r="DZ187" s="928"/>
      <c r="EA187" s="928"/>
      <c r="EB187" s="928"/>
      <c r="EC187" s="1337"/>
      <c r="ED187" s="1338"/>
      <c r="EE187" s="928"/>
      <c r="EF187" s="928"/>
      <c r="EG187" s="928"/>
      <c r="EH187" s="1337"/>
      <c r="EI187" s="928"/>
      <c r="EJ187" s="928"/>
      <c r="EK187" s="928"/>
      <c r="EL187" s="928"/>
      <c r="EM187" s="1337"/>
      <c r="EN187" s="928"/>
      <c r="EO187" s="928"/>
      <c r="EP187" s="928"/>
      <c r="EQ187" s="928"/>
      <c r="ER187" s="928"/>
      <c r="ES187" s="928"/>
      <c r="ET187" s="928"/>
      <c r="EU187" s="928"/>
      <c r="EV187" s="928"/>
      <c r="EW187" s="928"/>
      <c r="EX187" s="928"/>
      <c r="EY187" s="928"/>
      <c r="EZ187" s="928"/>
      <c r="FA187" s="928"/>
      <c r="FB187" s="928"/>
      <c r="FC187" s="928"/>
      <c r="FD187" s="928"/>
      <c r="FE187" s="928"/>
      <c r="FF187" s="1436">
        <v>0</v>
      </c>
      <c r="FG187" s="928"/>
      <c r="FH187" s="1437">
        <v>0</v>
      </c>
      <c r="FI187" s="1319"/>
      <c r="FJ187" s="1631">
        <v>0</v>
      </c>
      <c r="FK187" s="1605"/>
      <c r="FL187" s="928"/>
      <c r="FM187" s="928"/>
      <c r="FN187" s="928"/>
      <c r="FO187" s="928"/>
      <c r="FP187" s="928"/>
      <c r="FQ187" s="928"/>
    </row>
    <row r="188" spans="1:173">
      <c r="A188" s="1414" t="s">
        <v>851</v>
      </c>
      <c r="B188" s="928"/>
      <c r="C188" s="928"/>
      <c r="D188" s="928"/>
      <c r="E188" s="928"/>
      <c r="F188" s="928"/>
      <c r="G188" s="1435"/>
      <c r="H188" s="1435"/>
      <c r="I188" s="1435"/>
      <c r="J188" s="1435"/>
      <c r="K188" s="1435"/>
      <c r="L188" s="1413">
        <f>L8+L182*G180+L185*G180</f>
        <v>6333.2132967759298</v>
      </c>
      <c r="M188" s="1413">
        <f>M8+M182*H180+M185*H180</f>
        <v>7539.7857220880542</v>
      </c>
      <c r="N188" s="1413">
        <f>N8+N182*I180+N185*I180</f>
        <v>8208.0965939938997</v>
      </c>
      <c r="O188" s="1413">
        <f>O8+O182/2*J180+O182/2*O180+O185*J180</f>
        <v>10332.359358999513</v>
      </c>
      <c r="P188" s="1413"/>
      <c r="Q188" s="1413">
        <f>Q8+(Q182*L180*0.35+Q182*Q180*0.65)+Q186*L180+(Q187*L180*0.5+Q187*Q180*0.5)</f>
        <v>6382.952762333749</v>
      </c>
      <c r="R188" s="1413">
        <f>R8+(R182*M180*0.35+R182*R180*0.65)+R186*M180+(R187*M180*0.5+R187*R180*0.5)</f>
        <v>8367.0671660905282</v>
      </c>
      <c r="S188" s="1413">
        <f>S8+(S182*N180*0.35+S182*S180*0.65)+S186*N180+(S187*N180*0.5+S187*S180*0.5)</f>
        <v>8823.5250033132761</v>
      </c>
      <c r="T188" s="1413">
        <f>T8+(T182*O180*0.35+T182*T180*0.65)+T186*O180+(T187*O180*0.5+T187*T180*0.5)</f>
        <v>10430.497966235431</v>
      </c>
      <c r="U188" s="1413"/>
      <c r="V188" s="1413">
        <f>V8+(V182*Q180*0.35+V182*V180*0.65)+V186*Q180+(V187*Q180*0.5+V187*V180*0.5)</f>
        <v>6580.9294333951602</v>
      </c>
      <c r="W188" s="1413">
        <f>W8+(W182*R180*0.35+W182*W180*0.65)+W186*R180+(W187*R180*0.5+W187*W180*0.5)</f>
        <v>8656.1345357209502</v>
      </c>
      <c r="X188" s="1413">
        <f>X8+(X182*S180*0.35+X182*X180*0.65)+X186*S180+(X187*S180*0.5+X187*X180*0.5)</f>
        <v>8347.0015292059961</v>
      </c>
      <c r="Y188" s="1413">
        <f>Y8+(Y182*T180*0.35+Y182*Y180*0.65)+Y186*T180+(Y187*T180*0.5+Y187*Y180*0.5)</f>
        <v>11021.403093525179</v>
      </c>
      <c r="Z188" s="1254"/>
      <c r="AA188" s="1413">
        <f>AA8+(AA182*V180*0.35+AA182*AA180*0.65)+AA186*V180+(AA187*V180*0.5+AA187*AA180*0.5)</f>
        <v>6845.7060402684565</v>
      </c>
      <c r="AB188" s="1413">
        <f>AB8+(AB182*W180*0.35+AB182*AB180*0.65)+AB186*W180+(AB187*W180*0.5+AB187*AB180*0.5)</f>
        <v>7652.1362140992169</v>
      </c>
      <c r="AC188" s="1413">
        <f>AC8+(AC182*X180*0.35+AC182*AC180*0.65)+AC186*X180+(AC187*X180*0.5+AC187*AC180*0.5)</f>
        <v>8187.8130345072996</v>
      </c>
      <c r="AD188" s="1413">
        <f>AD8+(AD182*Y180*0.35+AD182*AD180*0.65)+AD186*Y180+(AD187*Y180*0.5+AD187*AD180*0.5)</f>
        <v>10439.48681958763</v>
      </c>
      <c r="AE188" s="1254"/>
      <c r="AF188" s="1413">
        <f>AF8+(AF182*AA180*0.35+AF182*AF180*0.65)+AF186*AA180+(AF187*AA180*0.5+AF187*AF180*0.5)</f>
        <v>7179.1128250405982</v>
      </c>
      <c r="AG188" s="1413">
        <f>AG8+(AG182*AB180*0.35+AG182*AG180*0.65)+AG186*AB180+(AG187*AB180*0.5+AG187*AG180*0.5)</f>
        <v>8473.9682022471916</v>
      </c>
      <c r="AH188" s="1413">
        <f>AH8+(AH182*AC180*0.35+AH182*AH180*0.65)+AH186*AC180+(AH187*AC180*0.5+AH187*AH180*0.5)</f>
        <v>8400.4241449893379</v>
      </c>
      <c r="AI188" s="1413">
        <f>AI8+(AI182*AD180*0.35+AI182*AI180*0.65)+AI186*AD180+(AI187*AD180*0.5+AI187*AI180*0.5)</f>
        <v>11253.109319899246</v>
      </c>
      <c r="AJ188" s="1254"/>
      <c r="AK188" s="1413">
        <f>AK8+(AK182*AF180*0.35+AK182*AK180*0.65)+AK186*AF180+(AK187*AF180*0.5+AK187*AK180*0.5)</f>
        <v>7049.1479568954155</v>
      </c>
      <c r="AL188" s="1413">
        <f>AL8+(AL182*AG180*0.35+AL182*AL180*0.65)+AL186*AG180+(AL187*AG180*0.5+AL187*AL180*0.5)</f>
        <v>7985.2083221024268</v>
      </c>
      <c r="AM188" s="1413">
        <f>AM8+(AM182*AH180*0.35+AM182*AM180*0.65)+AM186*AH180+(AM187*AH180*0.5+AM187*AM180*0.5)</f>
        <v>8136.9283408222909</v>
      </c>
      <c r="AN188" s="1413">
        <f>AN8+(AN182*AI180*0.35+AN182*AN180*0.65)+AN186*AI180+(AN187*AI180*0.5+AN187*AN180*0.5)</f>
        <v>10717.617707214324</v>
      </c>
      <c r="AO188" s="1254"/>
      <c r="AP188" s="1413">
        <f>AP8+(AP182*AJ180*0.35+AP182*AP180*0.65)+AP186*AJ180+(AP187*AJ180*0.5+AP187*AP180*0.5)</f>
        <v>5368.4235796153844</v>
      </c>
      <c r="AQ188" s="1413">
        <f>AQ8+(AQ182*AK180*0.35+AQ182*AQ180*0.65)+AQ186*AK180+(AQ187*AK180*0.5+AQ187*AQ180*0.5)</f>
        <v>9375.1046797116378</v>
      </c>
      <c r="AR188" s="1413">
        <f>AR8+(AR182*AL180*0.35+AR182*AR180*0.65)+AR186*AL180+(AR187*AL180*0.5+AR187*AR180*0.5)</f>
        <v>8647.0544730728616</v>
      </c>
      <c r="AS188" s="1413">
        <f>AS8+(AS182*AM180*0.35+AS182*AS180*0.65)+AS186*AM180+(AS187*AM180*0.5+AS187*AS180*0.5)</f>
        <v>10357.650597974491</v>
      </c>
      <c r="AT188" s="1254"/>
      <c r="AU188" s="1254"/>
      <c r="AV188" s="1254"/>
      <c r="AW188" s="1254"/>
      <c r="AX188" s="1254"/>
      <c r="AY188" s="1254"/>
      <c r="AZ188" s="1254"/>
      <c r="BA188" s="1254"/>
      <c r="BB188" s="1254"/>
      <c r="BC188" s="1254"/>
      <c r="BD188" s="1254"/>
      <c r="BE188" s="1355"/>
      <c r="BF188" s="1254"/>
      <c r="BG188" s="1254"/>
      <c r="BH188" s="1254"/>
      <c r="BI188" s="1389"/>
      <c r="BJ188" s="1355"/>
      <c r="BK188" s="1254"/>
      <c r="BL188" s="1254"/>
      <c r="BM188" s="1254"/>
      <c r="BN188" s="1389"/>
      <c r="BO188" s="1355"/>
      <c r="BP188" s="1254"/>
      <c r="BQ188" s="1254"/>
      <c r="BR188" s="1254"/>
      <c r="BS188" s="1389"/>
      <c r="BT188" s="1355"/>
      <c r="BU188" s="1254"/>
      <c r="BV188" s="1254"/>
      <c r="BW188" s="1254"/>
      <c r="BX188" s="1389"/>
      <c r="BY188" s="1254"/>
      <c r="BZ188" s="928"/>
      <c r="CA188" s="1254"/>
      <c r="CB188" s="1254"/>
      <c r="CC188" s="1254"/>
      <c r="CD188" s="1254"/>
      <c r="CE188" s="928"/>
      <c r="CF188" s="928"/>
      <c r="CG188" s="928"/>
      <c r="CH188" s="928"/>
      <c r="CI188" s="928"/>
      <c r="CJ188" s="928"/>
      <c r="CK188" s="928"/>
      <c r="CL188" s="928"/>
      <c r="CM188" s="928"/>
      <c r="CN188" s="928"/>
      <c r="CO188" s="928"/>
      <c r="CP188" s="928"/>
      <c r="CQ188" s="928"/>
      <c r="CR188" s="928"/>
      <c r="CS188" s="928"/>
      <c r="CT188" s="928"/>
      <c r="CU188" s="928"/>
      <c r="CV188" s="928"/>
      <c r="CW188" s="928"/>
      <c r="CX188" s="928"/>
      <c r="CY188" s="928"/>
      <c r="CZ188" s="928"/>
      <c r="DA188" s="928"/>
      <c r="DB188" s="928"/>
      <c r="DC188" s="928"/>
      <c r="DD188" s="928"/>
      <c r="DE188" s="928"/>
      <c r="DF188" s="928"/>
      <c r="DG188" s="928"/>
      <c r="DH188" s="1316">
        <f>(AS186+10)/AN186-1</f>
        <v>0.24365482233502544</v>
      </c>
      <c r="DI188" s="928"/>
      <c r="DJ188" s="928"/>
      <c r="DK188" s="928"/>
      <c r="DL188" s="928"/>
      <c r="DM188" s="928"/>
      <c r="DN188" s="928"/>
      <c r="DO188" s="928"/>
      <c r="DP188" s="928"/>
      <c r="DQ188" s="928"/>
      <c r="DR188" s="928"/>
      <c r="DS188" s="928"/>
      <c r="DT188" s="928"/>
      <c r="DU188" s="928"/>
      <c r="DV188" s="928"/>
      <c r="DW188" s="928"/>
      <c r="DX188" s="928"/>
      <c r="DY188" s="1338"/>
      <c r="DZ188" s="928"/>
      <c r="EA188" s="928"/>
      <c r="EB188" s="928"/>
      <c r="EC188" s="1337"/>
      <c r="ED188" s="1338"/>
      <c r="EE188" s="928"/>
      <c r="EF188" s="928"/>
      <c r="EG188" s="928"/>
      <c r="EH188" s="1337"/>
      <c r="EI188" s="928"/>
      <c r="EJ188" s="928"/>
      <c r="EK188" s="928"/>
      <c r="EL188" s="928"/>
      <c r="EM188" s="1337"/>
      <c r="EN188" s="928"/>
      <c r="EO188" s="928"/>
      <c r="EP188" s="928"/>
      <c r="EQ188" s="928"/>
      <c r="ER188" s="928"/>
      <c r="ES188" s="928"/>
      <c r="ET188" s="928"/>
      <c r="EU188" s="928"/>
      <c r="EV188" s="928"/>
      <c r="EW188" s="928"/>
      <c r="EX188" s="928"/>
      <c r="EY188" s="928"/>
      <c r="EZ188" s="928"/>
      <c r="FA188" s="928"/>
      <c r="FB188" s="928"/>
      <c r="FC188" s="928"/>
      <c r="FD188" s="928"/>
      <c r="FE188" s="928"/>
      <c r="FF188" s="1363"/>
      <c r="FG188" s="928"/>
      <c r="FH188" s="1351"/>
      <c r="FI188" s="1319"/>
      <c r="FJ188" s="1612"/>
      <c r="FK188" s="1605"/>
      <c r="FL188" s="928"/>
      <c r="FM188" s="928"/>
      <c r="FN188" s="928"/>
      <c r="FO188" s="928"/>
      <c r="FP188" s="928"/>
      <c r="FQ188" s="928"/>
    </row>
    <row r="189" spans="1:173">
      <c r="A189" s="1414" t="s">
        <v>181</v>
      </c>
      <c r="B189" s="928"/>
      <c r="C189" s="928"/>
      <c r="D189" s="928"/>
      <c r="E189" s="928"/>
      <c r="F189" s="928"/>
      <c r="G189" s="1435"/>
      <c r="H189" s="1435"/>
      <c r="I189" s="1435"/>
      <c r="J189" s="1435"/>
      <c r="K189" s="1435"/>
      <c r="L189" s="1316">
        <f>L188/G7-1</f>
        <v>0.11177271952531043</v>
      </c>
      <c r="M189" s="1316">
        <f>M188/H7-1</f>
        <v>3.9511625501579273E-2</v>
      </c>
      <c r="N189" s="1316">
        <f>N188/I7-1</f>
        <v>2.6358470232941134E-2</v>
      </c>
      <c r="O189" s="1316">
        <f>O188/J7-1</f>
        <v>6.0969683424672239E-2</v>
      </c>
      <c r="P189" s="928"/>
      <c r="Q189" s="1316">
        <f>Q188/L7-1</f>
        <v>-1.3469225771819859E-2</v>
      </c>
      <c r="R189" s="1316">
        <f>R188/M7-1</f>
        <v>6.6493380336315466E-2</v>
      </c>
      <c r="S189" s="1316">
        <f>S188/N7-1</f>
        <v>5.6734892250506208E-2</v>
      </c>
      <c r="T189" s="1316">
        <f>T188/O7-1</f>
        <v>2.0726507895860502E-2</v>
      </c>
      <c r="U189" s="1316"/>
      <c r="V189" s="1316">
        <f>V188/Q7-1</f>
        <v>3.6693357497662227E-2</v>
      </c>
      <c r="W189" s="1316">
        <f>W188/R7-1</f>
        <v>5.0285079015366829E-2</v>
      </c>
      <c r="X189" s="1316">
        <f>X188/S7-1</f>
        <v>-5.0829937547646531E-2</v>
      </c>
      <c r="Y189" s="1316">
        <f>Y188/T7-1</f>
        <v>5.6013633826956344E-2</v>
      </c>
      <c r="Z189" s="1254"/>
      <c r="AA189" s="1316">
        <f>AA188/V7-1</f>
        <v>3.0700418601652624E-2</v>
      </c>
      <c r="AB189" s="1316">
        <f>AB188/W7-1</f>
        <v>-0.12283085527630844</v>
      </c>
      <c r="AC189" s="1316">
        <f>AC188/X7-1</f>
        <v>-2.2097029011781899E-2</v>
      </c>
      <c r="AD189" s="1316">
        <f>AD188/Y7-1</f>
        <v>-6.2023862101059257E-2</v>
      </c>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355"/>
      <c r="BF189" s="1254"/>
      <c r="BG189" s="1254"/>
      <c r="BH189" s="1254"/>
      <c r="BI189" s="1389"/>
      <c r="BJ189" s="1355"/>
      <c r="BK189" s="1254"/>
      <c r="BL189" s="1254"/>
      <c r="BM189" s="1254"/>
      <c r="BN189" s="1389"/>
      <c r="BO189" s="1355"/>
      <c r="BP189" s="1254"/>
      <c r="BQ189" s="1254"/>
      <c r="BR189" s="1254"/>
      <c r="BS189" s="1389"/>
      <c r="BT189" s="1355"/>
      <c r="BU189" s="1254"/>
      <c r="BV189" s="1254"/>
      <c r="BW189" s="1254"/>
      <c r="BX189" s="1389"/>
      <c r="BY189" s="1254"/>
      <c r="BZ189" s="928"/>
      <c r="CA189" s="1254"/>
      <c r="CB189" s="1254"/>
      <c r="CC189" s="1254"/>
      <c r="CD189" s="1254"/>
      <c r="CE189" s="928"/>
      <c r="CF189" s="928"/>
      <c r="CG189" s="928"/>
      <c r="CH189" s="928"/>
      <c r="CI189" s="928"/>
      <c r="CJ189" s="928"/>
      <c r="CK189" s="928"/>
      <c r="CL189" s="928"/>
      <c r="CM189" s="928"/>
      <c r="CN189" s="928"/>
      <c r="CO189" s="928"/>
      <c r="CP189" s="928"/>
      <c r="CQ189" s="928"/>
      <c r="CR189" s="928"/>
      <c r="CS189" s="928"/>
      <c r="CT189" s="928"/>
      <c r="CU189" s="928"/>
      <c r="CV189" s="928"/>
      <c r="CW189" s="928"/>
      <c r="CX189" s="928"/>
      <c r="CY189" s="928"/>
      <c r="CZ189" s="928"/>
      <c r="DA189" s="928"/>
      <c r="DB189" s="928"/>
      <c r="DC189" s="928"/>
      <c r="DD189" s="928"/>
      <c r="DE189" s="1316">
        <f>DE186-36%</f>
        <v>-4.4573002754820901E-2</v>
      </c>
      <c r="DF189" s="1316">
        <f>DF186-36%</f>
        <v>-0.10725274725274747</v>
      </c>
      <c r="DG189" s="1316">
        <f>DG186-36%</f>
        <v>-0.14908188585607929</v>
      </c>
      <c r="DH189" s="1362">
        <f>DH188-36%</f>
        <v>-0.11634517766497454</v>
      </c>
      <c r="DI189" s="928"/>
      <c r="DJ189" s="928"/>
      <c r="DK189" s="928"/>
      <c r="DL189" s="928"/>
      <c r="DM189" s="928"/>
      <c r="DN189" s="928"/>
      <c r="DO189" s="928"/>
      <c r="DP189" s="928"/>
      <c r="DQ189" s="928"/>
      <c r="DR189" s="928"/>
      <c r="DS189" s="928"/>
      <c r="DT189" s="928"/>
      <c r="DU189" s="928"/>
      <c r="DV189" s="928"/>
      <c r="DW189" s="928"/>
      <c r="DX189" s="928"/>
      <c r="DY189" s="1338"/>
      <c r="DZ189" s="928"/>
      <c r="EA189" s="928"/>
      <c r="EB189" s="928"/>
      <c r="EC189" s="1337"/>
      <c r="ED189" s="1338"/>
      <c r="EE189" s="928"/>
      <c r="EF189" s="928"/>
      <c r="EG189" s="928"/>
      <c r="EH189" s="1337"/>
      <c r="EI189" s="928"/>
      <c r="EJ189" s="928"/>
      <c r="EK189" s="928"/>
      <c r="EL189" s="928"/>
      <c r="EM189" s="1337"/>
      <c r="EN189" s="928"/>
      <c r="EO189" s="928"/>
      <c r="EP189" s="928"/>
      <c r="EQ189" s="928"/>
      <c r="ER189" s="928"/>
      <c r="ES189" s="928"/>
      <c r="ET189" s="928"/>
      <c r="EU189" s="928"/>
      <c r="EV189" s="928"/>
      <c r="EW189" s="928"/>
      <c r="EX189" s="928"/>
      <c r="EY189" s="928"/>
      <c r="EZ189" s="928"/>
      <c r="FA189" s="928"/>
      <c r="FB189" s="928"/>
      <c r="FC189" s="928"/>
      <c r="FD189" s="928"/>
      <c r="FE189" s="928"/>
      <c r="FF189" s="1363"/>
      <c r="FG189" s="928"/>
      <c r="FH189" s="1351"/>
      <c r="FI189" s="1319"/>
      <c r="FJ189" s="1612"/>
      <c r="FK189" s="1605"/>
      <c r="FL189" s="928"/>
      <c r="FM189" s="928"/>
      <c r="FN189" s="928"/>
      <c r="FO189" s="928"/>
      <c r="FP189" s="928"/>
      <c r="FQ189" s="928"/>
    </row>
    <row r="190" spans="1:173">
      <c r="A190" s="1414" t="s">
        <v>1084</v>
      </c>
      <c r="B190" s="928"/>
      <c r="C190" s="928"/>
      <c r="D190" s="928"/>
      <c r="E190" s="928"/>
      <c r="F190" s="928"/>
      <c r="G190" s="1435"/>
      <c r="H190" s="1435"/>
      <c r="I190" s="1435"/>
      <c r="J190" s="1435"/>
      <c r="K190" s="1435"/>
      <c r="L190" s="1316">
        <f>(L18-L7+L188)/G18-1</f>
        <v>0.13789154949967664</v>
      </c>
      <c r="M190" s="1316">
        <f>(M18-M7+M188)/H18-1</f>
        <v>0.10263893387334511</v>
      </c>
      <c r="N190" s="1316">
        <f>(N18-N7+N188)/I18-1</f>
        <v>7.8447495473667583E-2</v>
      </c>
      <c r="O190" s="1316">
        <f>(O18-O7+O188)/J18-1</f>
        <v>8.820236263643455E-2</v>
      </c>
      <c r="P190" s="928"/>
      <c r="Q190" s="1316">
        <f>(Q18-Q7+Q188)/L18-1</f>
        <v>2.6242875205108485E-2</v>
      </c>
      <c r="R190" s="1316">
        <f>(R18-R7+R188)/M18-1</f>
        <v>7.1036350292074113E-2</v>
      </c>
      <c r="S190" s="1316">
        <f>(S18-S7+S188)/N18-1</f>
        <v>8.2680397713569276E-2</v>
      </c>
      <c r="T190" s="1316">
        <f>(T18-T7+T188)/O18-1</f>
        <v>8.3233445306830411E-2</v>
      </c>
      <c r="U190" s="1316"/>
      <c r="V190" s="1316">
        <f>(V18-V7+V188)/Q18-1</f>
        <v>8.6583852042937171E-2</v>
      </c>
      <c r="W190" s="1316">
        <f>(W18-W7+W188)/R18-1</f>
        <v>7.3625347260208862E-2</v>
      </c>
      <c r="X190" s="1316">
        <f>(X18-X7+X188)/S18-1</f>
        <v>4.9128423832202728E-2</v>
      </c>
      <c r="Y190" s="1316">
        <f>(Y18-Y7+Y188)/T18-1</f>
        <v>0.11501352656998298</v>
      </c>
      <c r="Z190" s="1254"/>
      <c r="AA190" s="1316">
        <f>(AA18-AA7+AA188)/V18-1</f>
        <v>0.16308827938244264</v>
      </c>
      <c r="AB190" s="1316">
        <f>(AB18-AB7+AB188)/W18-1</f>
        <v>6.4347624576032825E-2</v>
      </c>
      <c r="AC190" s="1316">
        <f>(AC18-AC7+AC188)/X18-1</f>
        <v>0.10692580314290434</v>
      </c>
      <c r="AD190" s="1316">
        <f>(AD18-AD7+AD188)/Y18-1</f>
        <v>2.5223003829435431E-2</v>
      </c>
      <c r="AE190" s="1254"/>
      <c r="AF190" s="1316">
        <f>(AF18-AF7+AF188)/AA18-1</f>
        <v>7.725877040799789E-2</v>
      </c>
      <c r="AG190" s="1316"/>
      <c r="AH190" s="1435">
        <f>AH186/Univision!H130</f>
        <v>679.26112510495386</v>
      </c>
      <c r="AI190" s="1435"/>
      <c r="AJ190" s="1254"/>
      <c r="AK190" s="1254"/>
      <c r="AL190" s="1254"/>
      <c r="AM190" s="1254"/>
      <c r="AN190" s="1254"/>
      <c r="AO190" s="1254"/>
      <c r="AP190" s="1254"/>
      <c r="AQ190" s="1254"/>
      <c r="AR190" s="1254"/>
      <c r="AS190" s="1254"/>
      <c r="AT190" s="1254"/>
      <c r="AU190" s="1435">
        <f>AU186*AU180</f>
        <v>1689.6433125000003</v>
      </c>
      <c r="AV190" s="1435">
        <f>AV186*AV180</f>
        <v>1903.3559999999998</v>
      </c>
      <c r="AW190" s="1435">
        <f>AW186*AW180</f>
        <v>1943.8799999999999</v>
      </c>
      <c r="AX190" s="1435">
        <f>AX186*AX180</f>
        <v>1950.0249999999999</v>
      </c>
      <c r="AY190" s="1254"/>
      <c r="AZ190" s="1254"/>
      <c r="BA190" s="1254"/>
      <c r="BB190" s="1254"/>
      <c r="BC190" s="1254"/>
      <c r="BD190" s="1254"/>
      <c r="BE190" s="1355"/>
      <c r="BF190" s="1254"/>
      <c r="BG190" s="1254"/>
      <c r="BH190" s="1254"/>
      <c r="BI190" s="1389"/>
      <c r="BJ190" s="1355"/>
      <c r="BK190" s="1254"/>
      <c r="BL190" s="1254"/>
      <c r="BM190" s="1254"/>
      <c r="BN190" s="1389"/>
      <c r="BO190" s="1355"/>
      <c r="BP190" s="1254"/>
      <c r="BQ190" s="1254"/>
      <c r="BR190" s="1254"/>
      <c r="BS190" s="1389"/>
      <c r="BT190" s="1355"/>
      <c r="BU190" s="1254"/>
      <c r="BV190" s="1254"/>
      <c r="BW190" s="1254"/>
      <c r="BX190" s="1389"/>
      <c r="BY190" s="1254"/>
      <c r="BZ190" s="1254"/>
      <c r="CA190" s="1254"/>
      <c r="CB190" s="1254"/>
      <c r="CC190" s="1254"/>
      <c r="CD190" s="1254"/>
      <c r="CE190" s="928"/>
      <c r="CF190" s="928"/>
      <c r="CG190" s="928"/>
      <c r="CH190" s="928"/>
      <c r="CI190" s="928"/>
      <c r="CJ190" s="928"/>
      <c r="CK190" s="928"/>
      <c r="CL190" s="928"/>
      <c r="CM190" s="928"/>
      <c r="CN190" s="928"/>
      <c r="CO190" s="928"/>
      <c r="CP190" s="928"/>
      <c r="CQ190" s="928"/>
      <c r="CR190" s="928"/>
      <c r="CS190" s="928"/>
      <c r="CT190" s="928"/>
      <c r="CU190" s="928"/>
      <c r="CV190" s="928"/>
      <c r="CW190" s="928"/>
      <c r="CX190" s="928"/>
      <c r="CY190" s="928"/>
      <c r="CZ190" s="928"/>
      <c r="DA190" s="928"/>
      <c r="DB190" s="928"/>
      <c r="DC190" s="928"/>
      <c r="DD190" s="928"/>
      <c r="DE190" s="928"/>
      <c r="DF190" s="928"/>
      <c r="DG190" s="928"/>
      <c r="DH190" s="928"/>
      <c r="DI190" s="928"/>
      <c r="DJ190" s="928"/>
      <c r="DK190" s="928"/>
      <c r="DL190" s="928"/>
      <c r="DM190" s="928"/>
      <c r="DN190" s="928"/>
      <c r="DO190" s="928"/>
      <c r="DP190" s="928"/>
      <c r="DQ190" s="928"/>
      <c r="DR190" s="928"/>
      <c r="DS190" s="928"/>
      <c r="DT190" s="928"/>
      <c r="DU190" s="928"/>
      <c r="DV190" s="928"/>
      <c r="DW190" s="928"/>
      <c r="DX190" s="928"/>
      <c r="DY190" s="1338"/>
      <c r="DZ190" s="928"/>
      <c r="EA190" s="928"/>
      <c r="EB190" s="928"/>
      <c r="EC190" s="1337"/>
      <c r="ED190" s="1338"/>
      <c r="EE190" s="928"/>
      <c r="EF190" s="928"/>
      <c r="EG190" s="928"/>
      <c r="EH190" s="1337"/>
      <c r="EI190" s="928"/>
      <c r="EJ190" s="928"/>
      <c r="EK190" s="928"/>
      <c r="EL190" s="928"/>
      <c r="EM190" s="1337"/>
      <c r="EN190" s="928"/>
      <c r="EO190" s="928"/>
      <c r="EP190" s="928"/>
      <c r="EQ190" s="928"/>
      <c r="ER190" s="928"/>
      <c r="ES190" s="928"/>
      <c r="ET190" s="928"/>
      <c r="EU190" s="928"/>
      <c r="EV190" s="928"/>
      <c r="EW190" s="928"/>
      <c r="EX190" s="928"/>
      <c r="EY190" s="928"/>
      <c r="EZ190" s="928"/>
      <c r="FA190" s="928"/>
      <c r="FB190" s="928"/>
      <c r="FC190" s="928"/>
      <c r="FD190" s="928"/>
      <c r="FE190" s="928"/>
      <c r="FF190" s="1363"/>
      <c r="FG190" s="928"/>
      <c r="FH190" s="1351"/>
      <c r="FI190" s="1319"/>
      <c r="FJ190" s="1612"/>
      <c r="FK190" s="1605"/>
      <c r="FL190" s="928"/>
      <c r="FM190" s="928"/>
      <c r="FN190" s="928"/>
      <c r="FO190" s="928"/>
      <c r="FP190" s="928"/>
      <c r="FQ190" s="928"/>
    </row>
    <row r="191" spans="1:173">
      <c r="A191" s="1414"/>
      <c r="B191" s="928"/>
      <c r="C191" s="928"/>
      <c r="D191" s="928"/>
      <c r="E191" s="928"/>
      <c r="F191" s="928"/>
      <c r="G191" s="1435"/>
      <c r="H191" s="1435"/>
      <c r="I191" s="1435"/>
      <c r="J191" s="1435"/>
      <c r="K191" s="1435"/>
      <c r="L191" s="1316"/>
      <c r="M191" s="1316"/>
      <c r="N191" s="1316"/>
      <c r="O191" s="1316"/>
      <c r="P191" s="928"/>
      <c r="Q191" s="928"/>
      <c r="R191" s="928"/>
      <c r="S191" s="928"/>
      <c r="T191" s="928"/>
      <c r="U191" s="928"/>
      <c r="V191" s="928"/>
      <c r="W191" s="928"/>
      <c r="X191" s="928"/>
      <c r="Y191" s="928"/>
      <c r="Z191" s="1254"/>
      <c r="AA191" s="1254"/>
      <c r="AB191" s="1254"/>
      <c r="AC191" s="1254"/>
      <c r="AD191" s="1413">
        <f>SUM(AA187:AD187)</f>
        <v>175.40794237227283</v>
      </c>
      <c r="AE191" s="1413">
        <f>AD191-20</f>
        <v>155.40794237227283</v>
      </c>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f>SUM(AU190:AX190)/SUM(AU7:AX7)</f>
        <v>0.21354060125553326</v>
      </c>
      <c r="AY191" s="1254"/>
      <c r="AZ191" s="1254"/>
      <c r="BA191" s="1254"/>
      <c r="BB191" s="1254"/>
      <c r="BC191" s="1254"/>
      <c r="BD191" s="1254"/>
      <c r="BE191" s="1355"/>
      <c r="BF191" s="1254"/>
      <c r="BG191" s="1254"/>
      <c r="BH191" s="1254"/>
      <c r="BI191" s="1389"/>
      <c r="BJ191" s="1355"/>
      <c r="BK191" s="1254"/>
      <c r="BL191" s="1254"/>
      <c r="BM191" s="1254"/>
      <c r="BN191" s="1389"/>
      <c r="BO191" s="1355"/>
      <c r="BP191" s="1254"/>
      <c r="BQ191" s="1254"/>
      <c r="BR191" s="1254"/>
      <c r="BS191" s="1389"/>
      <c r="BT191" s="1355"/>
      <c r="BU191" s="1254"/>
      <c r="BV191" s="1254"/>
      <c r="BW191" s="1254"/>
      <c r="BX191" s="1389"/>
      <c r="BY191" s="1254"/>
      <c r="BZ191" s="1254"/>
      <c r="CA191" s="1254"/>
      <c r="CB191" s="1254"/>
      <c r="CC191" s="1254"/>
      <c r="CD191" s="1254"/>
      <c r="CE191" s="928"/>
      <c r="CF191" s="928"/>
      <c r="CG191" s="928"/>
      <c r="CH191" s="928"/>
      <c r="CI191" s="928"/>
      <c r="CJ191" s="928"/>
      <c r="CK191" s="928"/>
      <c r="CL191" s="928"/>
      <c r="CM191" s="928"/>
      <c r="CN191" s="928"/>
      <c r="CO191" s="928"/>
      <c r="CP191" s="928"/>
      <c r="CQ191" s="928"/>
      <c r="CR191" s="928"/>
      <c r="CS191" s="928"/>
      <c r="CT191" s="928"/>
      <c r="CU191" s="928"/>
      <c r="CV191" s="928"/>
      <c r="CW191" s="928"/>
      <c r="CX191" s="928"/>
      <c r="CY191" s="928"/>
      <c r="CZ191" s="928"/>
      <c r="DA191" s="928"/>
      <c r="DB191" s="928"/>
      <c r="DC191" s="928"/>
      <c r="DD191" s="928"/>
      <c r="DE191" s="928"/>
      <c r="DF191" s="928"/>
      <c r="DG191" s="928"/>
      <c r="DH191" s="928"/>
      <c r="DI191" s="928"/>
      <c r="DJ191" s="928"/>
      <c r="DK191" s="928"/>
      <c r="DL191" s="928"/>
      <c r="DM191" s="928"/>
      <c r="DN191" s="928"/>
      <c r="DO191" s="928"/>
      <c r="DP191" s="928"/>
      <c r="DQ191" s="928"/>
      <c r="DR191" s="928"/>
      <c r="DS191" s="928"/>
      <c r="DT191" s="928"/>
      <c r="DU191" s="928"/>
      <c r="DV191" s="928"/>
      <c r="DW191" s="928"/>
      <c r="DX191" s="928"/>
      <c r="DY191" s="1338"/>
      <c r="DZ191" s="928"/>
      <c r="EA191" s="928"/>
      <c r="EB191" s="928"/>
      <c r="EC191" s="1337"/>
      <c r="ED191" s="1338"/>
      <c r="EE191" s="928"/>
      <c r="EF191" s="928"/>
      <c r="EG191" s="928"/>
      <c r="EH191" s="1337"/>
      <c r="EI191" s="928"/>
      <c r="EJ191" s="928"/>
      <c r="EK191" s="928"/>
      <c r="EL191" s="928"/>
      <c r="EM191" s="1337"/>
      <c r="EN191" s="928"/>
      <c r="EO191" s="928"/>
      <c r="EP191" s="928"/>
      <c r="EQ191" s="928"/>
      <c r="ER191" s="928"/>
      <c r="ES191" s="928"/>
      <c r="ET191" s="928"/>
      <c r="EU191" s="928"/>
      <c r="EV191" s="928"/>
      <c r="EW191" s="928"/>
      <c r="EX191" s="928"/>
      <c r="EY191" s="928"/>
      <c r="EZ191" s="928"/>
      <c r="FA191" s="928"/>
      <c r="FB191" s="928"/>
      <c r="FC191" s="928"/>
      <c r="FD191" s="928"/>
      <c r="FE191" s="928"/>
      <c r="FF191" s="1363"/>
      <c r="FG191" s="928"/>
      <c r="FH191" s="1351"/>
      <c r="FI191" s="1319"/>
      <c r="FJ191" s="1612"/>
      <c r="FK191" s="1605"/>
      <c r="FL191" s="928"/>
      <c r="FM191" s="928"/>
      <c r="FN191" s="928"/>
      <c r="FO191" s="928"/>
      <c r="FP191" s="928"/>
      <c r="FQ191" s="928"/>
    </row>
    <row r="192" spans="1:173" hidden="1">
      <c r="A192" s="1414" t="s">
        <v>1198</v>
      </c>
      <c r="B192" s="928"/>
      <c r="C192" s="928"/>
      <c r="D192" s="928"/>
      <c r="E192" s="928"/>
      <c r="F192" s="928"/>
      <c r="G192" s="1435">
        <f>0.119*Univision!G215*0.9</f>
        <v>51.60078</v>
      </c>
      <c r="H192" s="1435">
        <f>0.119*Univision!H215*0.9</f>
        <v>63.231840000000012</v>
      </c>
      <c r="I192" s="1435">
        <f>0.119*Univision!I215*0.9</f>
        <v>62.61066000000001</v>
      </c>
      <c r="J192" s="1435">
        <f>0.119*Univision!J215*0.9</f>
        <v>66.048569999999984</v>
      </c>
      <c r="K192" s="1435"/>
      <c r="L192" s="1435">
        <f>0.119*Univision!K215*0.865</f>
        <v>54.390853999999997</v>
      </c>
      <c r="M192" s="1435">
        <f>0.119*Univision!L215*0.865</f>
        <v>63.099155000000017</v>
      </c>
      <c r="N192" s="1435">
        <f>0.119*Univision!M215*0.865</f>
        <v>64.735821499999986</v>
      </c>
      <c r="O192" s="1435">
        <f>0.119*Univision!N215*0.865</f>
        <v>69.141439500000004</v>
      </c>
      <c r="P192" s="928"/>
      <c r="Q192" s="1435">
        <f>0.119*Univision!O215*0.865</f>
        <v>57.849469999999997</v>
      </c>
      <c r="R192" s="1435">
        <f>0.119*Univision!P215*0.865</f>
        <v>69.635527499999995</v>
      </c>
      <c r="S192" s="1435">
        <f>0.119*Univision!Q215*0.865</f>
        <v>71.3236615</v>
      </c>
      <c r="T192" s="1435">
        <f>0.119*Univision!R215*0.865</f>
        <v>71.663346999999987</v>
      </c>
      <c r="U192" s="1435"/>
      <c r="V192" s="1435">
        <f>0.119*Univision!S215*0.865</f>
        <v>63.932928499999989</v>
      </c>
      <c r="W192" s="1435">
        <f>0.119*Univision!AH215*0.865</f>
        <v>77.7673925</v>
      </c>
      <c r="X192" s="1435"/>
      <c r="Y192" s="1435"/>
      <c r="Z192" s="1254"/>
      <c r="AA192" s="1254"/>
      <c r="AB192" s="1254"/>
      <c r="AC192" s="1254"/>
      <c r="AD192" s="928"/>
      <c r="AE192" s="1254">
        <f>AE191/4</f>
        <v>38.851985593068207</v>
      </c>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f>SUM(AU190:AX190)/SUM(AU23:AX23)</f>
        <v>0.58250700717347825</v>
      </c>
      <c r="AY192" s="1254"/>
      <c r="AZ192" s="1254"/>
      <c r="BA192" s="1254"/>
      <c r="BB192" s="1254"/>
      <c r="BC192" s="1254"/>
      <c r="BD192" s="1254"/>
      <c r="BE192" s="1355"/>
      <c r="BF192" s="1254"/>
      <c r="BG192" s="1254"/>
      <c r="BH192" s="1254"/>
      <c r="BI192" s="1389"/>
      <c r="BJ192" s="1355"/>
      <c r="BK192" s="1254"/>
      <c r="BL192" s="1254"/>
      <c r="BM192" s="1254"/>
      <c r="BN192" s="1389"/>
      <c r="BO192" s="1355"/>
      <c r="BP192" s="1254"/>
      <c r="BQ192" s="1254"/>
      <c r="BR192" s="1254"/>
      <c r="BS192" s="1389"/>
      <c r="BT192" s="1355"/>
      <c r="BU192" s="1254"/>
      <c r="BV192" s="1254"/>
      <c r="BW192" s="1254"/>
      <c r="BX192" s="1389"/>
      <c r="BY192" s="1254"/>
      <c r="BZ192" s="1254"/>
      <c r="CA192" s="1254">
        <f>L192/G192-1</f>
        <v>5.4070384207370426E-2</v>
      </c>
      <c r="CB192" s="1254">
        <f>M192/H192-1</f>
        <v>-2.0983890394459248E-3</v>
      </c>
      <c r="CC192" s="1254">
        <f>N192/I192-1</f>
        <v>3.3942486790587756E-2</v>
      </c>
      <c r="CD192" s="1254">
        <f>O192/J192-1</f>
        <v>4.6827198529809433E-2</v>
      </c>
      <c r="CE192" s="928"/>
      <c r="CF192" s="928"/>
      <c r="CG192" s="928"/>
      <c r="CH192" s="928"/>
      <c r="CI192" s="928"/>
      <c r="CJ192" s="928"/>
      <c r="CK192" s="928"/>
      <c r="CL192" s="928"/>
      <c r="CM192" s="928"/>
      <c r="CN192" s="928"/>
      <c r="CO192" s="928"/>
      <c r="CP192" s="928"/>
      <c r="CQ192" s="928"/>
      <c r="CR192" s="928"/>
      <c r="CS192" s="928"/>
      <c r="CT192" s="928"/>
      <c r="CU192" s="928"/>
      <c r="CV192" s="928"/>
      <c r="CW192" s="928"/>
      <c r="CX192" s="928"/>
      <c r="CY192" s="928"/>
      <c r="CZ192" s="928"/>
      <c r="DA192" s="928"/>
      <c r="DB192" s="928"/>
      <c r="DC192" s="928"/>
      <c r="DD192" s="928"/>
      <c r="DE192" s="928"/>
      <c r="DF192" s="928"/>
      <c r="DG192" s="928"/>
      <c r="DH192" s="928"/>
      <c r="DI192" s="928"/>
      <c r="DJ192" s="928"/>
      <c r="DK192" s="928"/>
      <c r="DL192" s="928"/>
      <c r="DM192" s="928"/>
      <c r="DN192" s="928"/>
      <c r="DO192" s="928"/>
      <c r="DP192" s="928"/>
      <c r="DQ192" s="928"/>
      <c r="DR192" s="928"/>
      <c r="DS192" s="928"/>
      <c r="DT192" s="928"/>
      <c r="DU192" s="928"/>
      <c r="DV192" s="928"/>
      <c r="DW192" s="928"/>
      <c r="DX192" s="928"/>
      <c r="DY192" s="1338"/>
      <c r="DZ192" s="928"/>
      <c r="EA192" s="928"/>
      <c r="EB192" s="928"/>
      <c r="EC192" s="1337"/>
      <c r="ED192" s="1338"/>
      <c r="EE192" s="928"/>
      <c r="EF192" s="928"/>
      <c r="EG192" s="928"/>
      <c r="EH192" s="1337"/>
      <c r="EI192" s="928"/>
      <c r="EJ192" s="928"/>
      <c r="EK192" s="928"/>
      <c r="EL192" s="928"/>
      <c r="EM192" s="1337"/>
      <c r="EN192" s="928"/>
      <c r="EO192" s="928"/>
      <c r="EP192" s="928"/>
      <c r="EQ192" s="928"/>
      <c r="ER192" s="928"/>
      <c r="ES192" s="928"/>
      <c r="ET192" s="928"/>
      <c r="EU192" s="928"/>
      <c r="EV192" s="928"/>
      <c r="EW192" s="928"/>
      <c r="EX192" s="928"/>
      <c r="EY192" s="928"/>
      <c r="EZ192" s="928"/>
      <c r="FA192" s="928"/>
      <c r="FB192" s="928"/>
      <c r="FC192" s="928"/>
      <c r="FD192" s="928"/>
      <c r="FE192" s="928"/>
      <c r="FF192" s="1363"/>
      <c r="FG192" s="928"/>
      <c r="FH192" s="1351"/>
      <c r="FI192" s="1319"/>
      <c r="FJ192" s="1612"/>
      <c r="FK192" s="1605"/>
      <c r="FL192" s="928"/>
      <c r="FM192" s="928"/>
      <c r="FN192" s="928"/>
      <c r="FO192" s="928"/>
      <c r="FP192" s="928"/>
      <c r="FQ192" s="928"/>
    </row>
    <row r="193" spans="1:173" hidden="1">
      <c r="A193" s="928"/>
      <c r="B193" s="928"/>
      <c r="C193" s="928"/>
      <c r="D193" s="928"/>
      <c r="E193" s="928"/>
      <c r="F193" s="928"/>
      <c r="G193" s="928"/>
      <c r="H193" s="928"/>
      <c r="I193" s="928"/>
      <c r="J193" s="928"/>
      <c r="K193" s="928"/>
      <c r="L193" s="928"/>
      <c r="M193" s="928"/>
      <c r="N193" s="928"/>
      <c r="O193" s="928"/>
      <c r="P193" s="928"/>
      <c r="Q193" s="928"/>
      <c r="R193" s="928"/>
      <c r="S193" s="928"/>
      <c r="T193" s="928"/>
      <c r="U193" s="928"/>
      <c r="V193" s="928"/>
      <c r="W193" s="928"/>
      <c r="X193" s="928"/>
      <c r="Y193" s="928"/>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355"/>
      <c r="BF193" s="1254"/>
      <c r="BG193" s="1254"/>
      <c r="BH193" s="1254"/>
      <c r="BI193" s="1389"/>
      <c r="BJ193" s="1355"/>
      <c r="BK193" s="1254"/>
      <c r="BL193" s="1254"/>
      <c r="BM193" s="1254"/>
      <c r="BN193" s="1389"/>
      <c r="BO193" s="1355"/>
      <c r="BP193" s="1254"/>
      <c r="BQ193" s="1254"/>
      <c r="BR193" s="1254"/>
      <c r="BS193" s="1389"/>
      <c r="BT193" s="1355"/>
      <c r="BU193" s="1254"/>
      <c r="BV193" s="1254"/>
      <c r="BW193" s="1254"/>
      <c r="BX193" s="1389"/>
      <c r="BY193" s="1254"/>
      <c r="BZ193" s="1254"/>
      <c r="CA193" s="928"/>
      <c r="CB193" s="928"/>
      <c r="CC193" s="928"/>
      <c r="CD193" s="928"/>
      <c r="CE193" s="928"/>
      <c r="CF193" s="928"/>
      <c r="CG193" s="928"/>
      <c r="CH193" s="928"/>
      <c r="CI193" s="928"/>
      <c r="CJ193" s="928"/>
      <c r="CK193" s="928"/>
      <c r="CL193" s="928"/>
      <c r="CM193" s="928"/>
      <c r="CN193" s="928"/>
      <c r="CO193" s="928"/>
      <c r="CP193" s="928"/>
      <c r="CQ193" s="928"/>
      <c r="CR193" s="928"/>
      <c r="CS193" s="928"/>
      <c r="CT193" s="928"/>
      <c r="CU193" s="928"/>
      <c r="CV193" s="928"/>
      <c r="CW193" s="928"/>
      <c r="CX193" s="928"/>
      <c r="CY193" s="928"/>
      <c r="CZ193" s="928"/>
      <c r="DA193" s="928"/>
      <c r="DB193" s="928"/>
      <c r="DC193" s="928"/>
      <c r="DD193" s="928"/>
      <c r="DE193" s="928"/>
      <c r="DF193" s="928"/>
      <c r="DG193" s="928"/>
      <c r="DH193" s="928"/>
      <c r="DI193" s="928"/>
      <c r="DJ193" s="928"/>
      <c r="DK193" s="928"/>
      <c r="DL193" s="928"/>
      <c r="DM193" s="928"/>
      <c r="DN193" s="928"/>
      <c r="DO193" s="928"/>
      <c r="DP193" s="928"/>
      <c r="DQ193" s="928"/>
      <c r="DR193" s="928"/>
      <c r="DS193" s="928"/>
      <c r="DT193" s="928"/>
      <c r="DU193" s="928"/>
      <c r="DV193" s="928"/>
      <c r="DW193" s="928"/>
      <c r="DX193" s="928"/>
      <c r="DY193" s="1338"/>
      <c r="DZ193" s="928"/>
      <c r="EA193" s="928"/>
      <c r="EB193" s="928"/>
      <c r="EC193" s="1337"/>
      <c r="ED193" s="1338"/>
      <c r="EE193" s="928"/>
      <c r="EF193" s="928"/>
      <c r="EG193" s="928"/>
      <c r="EH193" s="1337"/>
      <c r="EI193" s="928"/>
      <c r="EJ193" s="928"/>
      <c r="EK193" s="928"/>
      <c r="EL193" s="928"/>
      <c r="EM193" s="1337"/>
      <c r="EN193" s="928"/>
      <c r="EO193" s="928"/>
      <c r="EP193" s="928"/>
      <c r="EQ193" s="928"/>
      <c r="ER193" s="928"/>
      <c r="ES193" s="928"/>
      <c r="ET193" s="928"/>
      <c r="EU193" s="928"/>
      <c r="EV193" s="928"/>
      <c r="EW193" s="928"/>
      <c r="EX193" s="928"/>
      <c r="EY193" s="928"/>
      <c r="EZ193" s="928"/>
      <c r="FA193" s="928"/>
      <c r="FB193" s="928"/>
      <c r="FC193" s="928"/>
      <c r="FD193" s="928"/>
      <c r="FE193" s="928"/>
      <c r="FF193" s="1363"/>
      <c r="FG193" s="928"/>
      <c r="FH193" s="1351"/>
      <c r="FI193" s="1319"/>
      <c r="FJ193" s="1612"/>
      <c r="FK193" s="1605"/>
      <c r="FL193" s="928"/>
      <c r="FM193" s="928"/>
      <c r="FN193" s="928"/>
      <c r="FO193" s="928"/>
      <c r="FP193" s="928"/>
      <c r="FQ193" s="928"/>
    </row>
    <row r="194" spans="1:173" hidden="1">
      <c r="A194" s="928" t="s">
        <v>1424</v>
      </c>
      <c r="B194" s="928"/>
      <c r="C194" s="928"/>
      <c r="D194" s="928"/>
      <c r="E194" s="928"/>
      <c r="F194" s="928"/>
      <c r="G194" s="928"/>
      <c r="H194" s="1435">
        <f>H182-G182</f>
        <v>2.0384053521777759</v>
      </c>
      <c r="I194" s="1435">
        <f>I182-H182</f>
        <v>2.2447869872607455</v>
      </c>
      <c r="J194" s="1435">
        <f>J182-I182</f>
        <v>-3.3630530731066841</v>
      </c>
      <c r="K194" s="928"/>
      <c r="L194" s="1435">
        <f>L182-J182</f>
        <v>6.028452697857368</v>
      </c>
      <c r="M194" s="1435">
        <f>M182-L182</f>
        <v>2.2705240891759431</v>
      </c>
      <c r="N194" s="1435">
        <f>N182-M182</f>
        <v>2.9229978595499091</v>
      </c>
      <c r="O194" s="1435">
        <f>O182-N182</f>
        <v>0.89140074582989826</v>
      </c>
      <c r="P194" s="928"/>
      <c r="Q194" s="1435">
        <f>Q182-O182</f>
        <v>5.5889515051949488</v>
      </c>
      <c r="R194" s="1435">
        <f>R182-Q182</f>
        <v>1.7771144371405541</v>
      </c>
      <c r="S194" s="1435">
        <f>S182-R182</f>
        <v>-3.1216126142978311</v>
      </c>
      <c r="T194" s="1435"/>
      <c r="U194" s="1435"/>
      <c r="V194" s="1435"/>
      <c r="W194" s="1435"/>
      <c r="X194" s="1435"/>
      <c r="Y194" s="1435"/>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355"/>
      <c r="BF194" s="1254"/>
      <c r="BG194" s="1254"/>
      <c r="BH194" s="1254"/>
      <c r="BI194" s="1389"/>
      <c r="BJ194" s="1355"/>
      <c r="BK194" s="1254"/>
      <c r="BL194" s="1254"/>
      <c r="BM194" s="1254"/>
      <c r="BN194" s="1389"/>
      <c r="BO194" s="1355"/>
      <c r="BP194" s="1254"/>
      <c r="BQ194" s="1254"/>
      <c r="BR194" s="1254"/>
      <c r="BS194" s="1389"/>
      <c r="BT194" s="1355"/>
      <c r="BU194" s="1254"/>
      <c r="BV194" s="1254"/>
      <c r="BW194" s="1254"/>
      <c r="BX194" s="1389"/>
      <c r="BY194" s="1254"/>
      <c r="BZ194" s="1254"/>
      <c r="CA194" s="928"/>
      <c r="CB194" s="928"/>
      <c r="CC194" s="928"/>
      <c r="CD194" s="928"/>
      <c r="CE194" s="928"/>
      <c r="CF194" s="928"/>
      <c r="CG194" s="928"/>
      <c r="CH194" s="928"/>
      <c r="CI194" s="928"/>
      <c r="CJ194" s="928"/>
      <c r="CK194" s="928"/>
      <c r="CL194" s="928"/>
      <c r="CM194" s="928"/>
      <c r="CN194" s="928"/>
      <c r="CO194" s="928"/>
      <c r="CP194" s="928"/>
      <c r="CQ194" s="928"/>
      <c r="CR194" s="928"/>
      <c r="CS194" s="928"/>
      <c r="CT194" s="928"/>
      <c r="CU194" s="928"/>
      <c r="CV194" s="928"/>
      <c r="CW194" s="928"/>
      <c r="CX194" s="928"/>
      <c r="CY194" s="928"/>
      <c r="CZ194" s="928"/>
      <c r="DA194" s="928"/>
      <c r="DB194" s="928"/>
      <c r="DC194" s="928"/>
      <c r="DD194" s="928"/>
      <c r="DE194" s="928"/>
      <c r="DF194" s="928"/>
      <c r="DG194" s="928"/>
      <c r="DH194" s="928"/>
      <c r="DI194" s="928"/>
      <c r="DJ194" s="928"/>
      <c r="DK194" s="928"/>
      <c r="DL194" s="928"/>
      <c r="DM194" s="928"/>
      <c r="DN194" s="928"/>
      <c r="DO194" s="928"/>
      <c r="DP194" s="928"/>
      <c r="DQ194" s="928"/>
      <c r="DR194" s="928"/>
      <c r="DS194" s="928"/>
      <c r="DT194" s="928"/>
      <c r="DU194" s="928"/>
      <c r="DV194" s="928"/>
      <c r="DW194" s="928"/>
      <c r="DX194" s="928"/>
      <c r="DY194" s="1338"/>
      <c r="DZ194" s="928"/>
      <c r="EA194" s="928"/>
      <c r="EB194" s="928"/>
      <c r="EC194" s="1337"/>
      <c r="ED194" s="1338"/>
      <c r="EE194" s="928"/>
      <c r="EF194" s="928"/>
      <c r="EG194" s="928"/>
      <c r="EH194" s="1337"/>
      <c r="EI194" s="928"/>
      <c r="EJ194" s="928"/>
      <c r="EK194" s="928"/>
      <c r="EL194" s="928"/>
      <c r="EM194" s="1337"/>
      <c r="EN194" s="928"/>
      <c r="EO194" s="928"/>
      <c r="EP194" s="928"/>
      <c r="EQ194" s="928"/>
      <c r="ER194" s="928"/>
      <c r="ES194" s="928"/>
      <c r="ET194" s="928"/>
      <c r="EU194" s="928"/>
      <c r="EV194" s="928"/>
      <c r="EW194" s="928"/>
      <c r="EX194" s="928"/>
      <c r="EY194" s="928"/>
      <c r="EZ194" s="928"/>
      <c r="FA194" s="928"/>
      <c r="FB194" s="928"/>
      <c r="FC194" s="928"/>
      <c r="FD194" s="928"/>
      <c r="FE194" s="928"/>
      <c r="FF194" s="1363"/>
      <c r="FG194" s="928"/>
      <c r="FH194" s="1351"/>
      <c r="FI194" s="1319"/>
      <c r="FJ194" s="1612"/>
      <c r="FK194" s="1605"/>
      <c r="FL194" s="928"/>
      <c r="FM194" s="928"/>
      <c r="FN194" s="928"/>
      <c r="FO194" s="928"/>
      <c r="FP194" s="928"/>
      <c r="FQ194" s="928"/>
    </row>
    <row r="195" spans="1:173" hidden="1">
      <c r="A195" s="928" t="s">
        <v>1423</v>
      </c>
      <c r="B195" s="928"/>
      <c r="C195" s="928"/>
      <c r="D195" s="928"/>
      <c r="E195" s="928"/>
      <c r="F195" s="928"/>
      <c r="G195" s="928"/>
      <c r="H195" s="1435"/>
      <c r="I195" s="1435"/>
      <c r="J195" s="1435"/>
      <c r="K195" s="928"/>
      <c r="L195" s="1435"/>
      <c r="M195" s="1435"/>
      <c r="N195" s="1435"/>
      <c r="O195" s="1435"/>
      <c r="P195" s="928"/>
      <c r="Q195" s="1435"/>
      <c r="R195" s="1435"/>
      <c r="S195" s="1435">
        <v>2</v>
      </c>
      <c r="T195" s="1435"/>
      <c r="U195" s="1435"/>
      <c r="V195" s="1435"/>
      <c r="W195" s="1435"/>
      <c r="X195" s="1435"/>
      <c r="Y195" s="1435"/>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355"/>
      <c r="BF195" s="1254"/>
      <c r="BG195" s="1254"/>
      <c r="BH195" s="1254"/>
      <c r="BI195" s="1389"/>
      <c r="BJ195" s="1355"/>
      <c r="BK195" s="1254"/>
      <c r="BL195" s="1254"/>
      <c r="BM195" s="1254"/>
      <c r="BN195" s="1389"/>
      <c r="BO195" s="1355"/>
      <c r="BP195" s="1254"/>
      <c r="BQ195" s="1254"/>
      <c r="BR195" s="1254"/>
      <c r="BS195" s="1389"/>
      <c r="BT195" s="1355"/>
      <c r="BU195" s="1254"/>
      <c r="BV195" s="1254"/>
      <c r="BW195" s="1254"/>
      <c r="BX195" s="1389"/>
      <c r="BY195" s="1254"/>
      <c r="BZ195" s="1254"/>
      <c r="CA195" s="928"/>
      <c r="CB195" s="928"/>
      <c r="CC195" s="928"/>
      <c r="CD195" s="928"/>
      <c r="CE195" s="928"/>
      <c r="CF195" s="928"/>
      <c r="CG195" s="928"/>
      <c r="CH195" s="928"/>
      <c r="CI195" s="928"/>
      <c r="CJ195" s="928"/>
      <c r="CK195" s="928"/>
      <c r="CL195" s="928"/>
      <c r="CM195" s="928"/>
      <c r="CN195" s="928"/>
      <c r="CO195" s="928"/>
      <c r="CP195" s="928"/>
      <c r="CQ195" s="928"/>
      <c r="CR195" s="928"/>
      <c r="CS195" s="928"/>
      <c r="CT195" s="928"/>
      <c r="CU195" s="928"/>
      <c r="CV195" s="928"/>
      <c r="CW195" s="928"/>
      <c r="CX195" s="928"/>
      <c r="CY195" s="928"/>
      <c r="CZ195" s="928"/>
      <c r="DA195" s="928"/>
      <c r="DB195" s="928"/>
      <c r="DC195" s="928"/>
      <c r="DD195" s="928"/>
      <c r="DE195" s="928"/>
      <c r="DF195" s="928"/>
      <c r="DG195" s="928"/>
      <c r="DH195" s="928"/>
      <c r="DI195" s="928"/>
      <c r="DJ195" s="928"/>
      <c r="DK195" s="928"/>
      <c r="DL195" s="928"/>
      <c r="DM195" s="928"/>
      <c r="DN195" s="928"/>
      <c r="DO195" s="928"/>
      <c r="DP195" s="928"/>
      <c r="DQ195" s="928"/>
      <c r="DR195" s="928"/>
      <c r="DS195" s="928"/>
      <c r="DT195" s="928"/>
      <c r="DU195" s="928"/>
      <c r="DV195" s="928"/>
      <c r="DW195" s="928"/>
      <c r="DX195" s="928"/>
      <c r="DY195" s="1338"/>
      <c r="DZ195" s="928"/>
      <c r="EA195" s="928"/>
      <c r="EB195" s="928"/>
      <c r="EC195" s="1337"/>
      <c r="ED195" s="1338"/>
      <c r="EE195" s="928"/>
      <c r="EF195" s="928"/>
      <c r="EG195" s="928"/>
      <c r="EH195" s="1337"/>
      <c r="EI195" s="928"/>
      <c r="EJ195" s="928"/>
      <c r="EK195" s="928"/>
      <c r="EL195" s="928"/>
      <c r="EM195" s="1337"/>
      <c r="EN195" s="928"/>
      <c r="EO195" s="928"/>
      <c r="EP195" s="928"/>
      <c r="EQ195" s="928"/>
      <c r="ER195" s="928"/>
      <c r="ES195" s="928"/>
      <c r="ET195" s="928"/>
      <c r="EU195" s="928"/>
      <c r="EV195" s="928"/>
      <c r="EW195" s="928"/>
      <c r="EX195" s="928"/>
      <c r="EY195" s="928"/>
      <c r="EZ195" s="928"/>
      <c r="FA195" s="928"/>
      <c r="FB195" s="928"/>
      <c r="FC195" s="928"/>
      <c r="FD195" s="928"/>
      <c r="FE195" s="928"/>
      <c r="FF195" s="1363"/>
      <c r="FG195" s="928"/>
      <c r="FH195" s="1351"/>
      <c r="FI195" s="1319"/>
      <c r="FJ195" s="1612"/>
      <c r="FK195" s="1605"/>
      <c r="FL195" s="928"/>
      <c r="FM195" s="928"/>
      <c r="FN195" s="928"/>
      <c r="FO195" s="928"/>
      <c r="FP195" s="928"/>
      <c r="FQ195" s="928"/>
    </row>
    <row r="196" spans="1:173" hidden="1">
      <c r="A196" s="928" t="s">
        <v>1425</v>
      </c>
      <c r="B196" s="928"/>
      <c r="C196" s="928"/>
      <c r="D196" s="928"/>
      <c r="E196" s="928"/>
      <c r="F196" s="928"/>
      <c r="G196" s="928"/>
      <c r="H196" s="928"/>
      <c r="I196" s="928"/>
      <c r="J196" s="928"/>
      <c r="K196" s="928"/>
      <c r="L196" s="928"/>
      <c r="M196" s="928"/>
      <c r="N196" s="928"/>
      <c r="O196" s="928"/>
      <c r="P196" s="928"/>
      <c r="Q196" s="928"/>
      <c r="R196" s="928"/>
      <c r="S196" s="1435">
        <f>R182+S195</f>
        <v>72.673232194995734</v>
      </c>
      <c r="T196" s="1435"/>
      <c r="U196" s="1435"/>
      <c r="V196" s="1435"/>
      <c r="W196" s="1435"/>
      <c r="X196" s="1435"/>
      <c r="Y196" s="1435"/>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355"/>
      <c r="BF196" s="1254"/>
      <c r="BG196" s="1254"/>
      <c r="BH196" s="1254"/>
      <c r="BI196" s="1389"/>
      <c r="BJ196" s="1355"/>
      <c r="BK196" s="1254"/>
      <c r="BL196" s="1254"/>
      <c r="BM196" s="1254"/>
      <c r="BN196" s="1389"/>
      <c r="BO196" s="1355"/>
      <c r="BP196" s="1254"/>
      <c r="BQ196" s="1254"/>
      <c r="BR196" s="1254"/>
      <c r="BS196" s="1389"/>
      <c r="BT196" s="1355"/>
      <c r="BU196" s="1254"/>
      <c r="BV196" s="1254"/>
      <c r="BW196" s="1254"/>
      <c r="BX196" s="1389"/>
      <c r="BY196" s="1254"/>
      <c r="BZ196" s="1254"/>
      <c r="CA196" s="928"/>
      <c r="CB196" s="928"/>
      <c r="CC196" s="928"/>
      <c r="CD196" s="928"/>
      <c r="CE196" s="928"/>
      <c r="CF196" s="928"/>
      <c r="CG196" s="928"/>
      <c r="CH196" s="928"/>
      <c r="CI196" s="928"/>
      <c r="CJ196" s="928"/>
      <c r="CK196" s="928"/>
      <c r="CL196" s="928"/>
      <c r="CM196" s="928"/>
      <c r="CN196" s="928"/>
      <c r="CO196" s="928"/>
      <c r="CP196" s="928"/>
      <c r="CQ196" s="928"/>
      <c r="CR196" s="928"/>
      <c r="CS196" s="928"/>
      <c r="CT196" s="928"/>
      <c r="CU196" s="928"/>
      <c r="CV196" s="928"/>
      <c r="CW196" s="928"/>
      <c r="CX196" s="928"/>
      <c r="CY196" s="928"/>
      <c r="CZ196" s="928"/>
      <c r="DA196" s="928"/>
      <c r="DB196" s="928"/>
      <c r="DC196" s="928"/>
      <c r="DD196" s="928"/>
      <c r="DE196" s="928"/>
      <c r="DF196" s="928"/>
      <c r="DG196" s="928"/>
      <c r="DH196" s="928"/>
      <c r="DI196" s="928"/>
      <c r="DJ196" s="928"/>
      <c r="DK196" s="928"/>
      <c r="DL196" s="928"/>
      <c r="DM196" s="928"/>
      <c r="DN196" s="928"/>
      <c r="DO196" s="928"/>
      <c r="DP196" s="928"/>
      <c r="DQ196" s="928"/>
      <c r="DR196" s="928"/>
      <c r="DS196" s="928"/>
      <c r="DT196" s="928"/>
      <c r="DU196" s="928"/>
      <c r="DV196" s="928"/>
      <c r="DW196" s="928"/>
      <c r="DX196" s="928"/>
      <c r="DY196" s="1338"/>
      <c r="DZ196" s="928"/>
      <c r="EA196" s="928"/>
      <c r="EB196" s="928"/>
      <c r="EC196" s="1337"/>
      <c r="ED196" s="1338"/>
      <c r="EE196" s="928"/>
      <c r="EF196" s="928"/>
      <c r="EG196" s="928"/>
      <c r="EH196" s="1337"/>
      <c r="EI196" s="928"/>
      <c r="EJ196" s="928"/>
      <c r="EK196" s="928"/>
      <c r="EL196" s="928"/>
      <c r="EM196" s="1337"/>
      <c r="EN196" s="928"/>
      <c r="EO196" s="928"/>
      <c r="EP196" s="928"/>
      <c r="EQ196" s="928"/>
      <c r="ER196" s="928"/>
      <c r="ES196" s="928"/>
      <c r="ET196" s="928"/>
      <c r="EU196" s="928"/>
      <c r="EV196" s="928"/>
      <c r="EW196" s="928"/>
      <c r="EX196" s="928"/>
      <c r="EY196" s="928"/>
      <c r="EZ196" s="928"/>
      <c r="FA196" s="928"/>
      <c r="FB196" s="928"/>
      <c r="FC196" s="928"/>
      <c r="FD196" s="928"/>
      <c r="FE196" s="928"/>
      <c r="FF196" s="1363"/>
      <c r="FG196" s="928"/>
      <c r="FH196" s="1351"/>
      <c r="FI196" s="1319"/>
      <c r="FJ196" s="1612"/>
      <c r="FK196" s="1605"/>
      <c r="FL196" s="928"/>
      <c r="FM196" s="928"/>
      <c r="FN196" s="928"/>
      <c r="FO196" s="928"/>
      <c r="FP196" s="928"/>
      <c r="FQ196" s="928"/>
    </row>
    <row r="197" spans="1:173" hidden="1">
      <c r="A197" s="928" t="s">
        <v>1426</v>
      </c>
      <c r="B197" s="928"/>
      <c r="C197" s="928"/>
      <c r="D197" s="928"/>
      <c r="E197" s="928"/>
      <c r="F197" s="928"/>
      <c r="G197" s="928"/>
      <c r="H197" s="928"/>
      <c r="I197" s="928"/>
      <c r="J197" s="928"/>
      <c r="K197" s="928"/>
      <c r="L197" s="928"/>
      <c r="M197" s="928"/>
      <c r="N197" s="928"/>
      <c r="O197" s="928"/>
      <c r="P197" s="928"/>
      <c r="Q197" s="928"/>
      <c r="R197" s="928"/>
      <c r="S197" s="1435">
        <f>S196-S182</f>
        <v>5.1216126142978311</v>
      </c>
      <c r="T197" s="1435"/>
      <c r="U197" s="1435"/>
      <c r="V197" s="1435"/>
      <c r="W197" s="1435"/>
      <c r="X197" s="1435"/>
      <c r="Y197" s="1435"/>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355"/>
      <c r="BF197" s="1254"/>
      <c r="BG197" s="1254"/>
      <c r="BH197" s="1254"/>
      <c r="BI197" s="1389"/>
      <c r="BJ197" s="1355"/>
      <c r="BK197" s="1254"/>
      <c r="BL197" s="1254"/>
      <c r="BM197" s="1254"/>
      <c r="BN197" s="1389"/>
      <c r="BO197" s="1355"/>
      <c r="BP197" s="1254"/>
      <c r="BQ197" s="1254"/>
      <c r="BR197" s="1254"/>
      <c r="BS197" s="1389"/>
      <c r="BT197" s="1355"/>
      <c r="BU197" s="1254"/>
      <c r="BV197" s="1254"/>
      <c r="BW197" s="1254"/>
      <c r="BX197" s="1389"/>
      <c r="BY197" s="1254"/>
      <c r="BZ197" s="1254"/>
      <c r="CA197" s="928"/>
      <c r="CB197" s="928"/>
      <c r="CC197" s="928"/>
      <c r="CD197" s="928"/>
      <c r="CE197" s="928"/>
      <c r="CF197" s="928"/>
      <c r="CG197" s="928"/>
      <c r="CH197" s="928"/>
      <c r="CI197" s="928"/>
      <c r="CJ197" s="928"/>
      <c r="CK197" s="928"/>
      <c r="CL197" s="928"/>
      <c r="CM197" s="928"/>
      <c r="CN197" s="928"/>
      <c r="CO197" s="928"/>
      <c r="CP197" s="928"/>
      <c r="CQ197" s="928"/>
      <c r="CR197" s="928"/>
      <c r="CS197" s="928"/>
      <c r="CT197" s="928"/>
      <c r="CU197" s="928"/>
      <c r="CV197" s="928"/>
      <c r="CW197" s="928"/>
      <c r="CX197" s="928"/>
      <c r="CY197" s="928"/>
      <c r="CZ197" s="928"/>
      <c r="DA197" s="928"/>
      <c r="DB197" s="928"/>
      <c r="DC197" s="928"/>
      <c r="DD197" s="928"/>
      <c r="DE197" s="928"/>
      <c r="DF197" s="928"/>
      <c r="DG197" s="928"/>
      <c r="DH197" s="928"/>
      <c r="DI197" s="928"/>
      <c r="DJ197" s="928"/>
      <c r="DK197" s="928"/>
      <c r="DL197" s="928"/>
      <c r="DM197" s="928"/>
      <c r="DN197" s="928"/>
      <c r="DO197" s="928"/>
      <c r="DP197" s="928"/>
      <c r="DQ197" s="928"/>
      <c r="DR197" s="928"/>
      <c r="DS197" s="928"/>
      <c r="DT197" s="928"/>
      <c r="DU197" s="928"/>
      <c r="DV197" s="928"/>
      <c r="DW197" s="928"/>
      <c r="DX197" s="928"/>
      <c r="DY197" s="1338"/>
      <c r="DZ197" s="928"/>
      <c r="EA197" s="928"/>
      <c r="EB197" s="928"/>
      <c r="EC197" s="1337"/>
      <c r="ED197" s="1338"/>
      <c r="EE197" s="928"/>
      <c r="EF197" s="928"/>
      <c r="EG197" s="928"/>
      <c r="EH197" s="1337"/>
      <c r="EI197" s="928"/>
      <c r="EJ197" s="928"/>
      <c r="EK197" s="928"/>
      <c r="EL197" s="928"/>
      <c r="EM197" s="1337"/>
      <c r="EN197" s="928"/>
      <c r="EO197" s="928"/>
      <c r="EP197" s="928"/>
      <c r="EQ197" s="928"/>
      <c r="ER197" s="928"/>
      <c r="ES197" s="928"/>
      <c r="ET197" s="928"/>
      <c r="EU197" s="928"/>
      <c r="EV197" s="928"/>
      <c r="EW197" s="928"/>
      <c r="EX197" s="928"/>
      <c r="EY197" s="928"/>
      <c r="EZ197" s="928"/>
      <c r="FA197" s="928"/>
      <c r="FB197" s="928"/>
      <c r="FC197" s="928"/>
      <c r="FD197" s="928"/>
      <c r="FE197" s="928"/>
      <c r="FF197" s="1363"/>
      <c r="FG197" s="928"/>
      <c r="FH197" s="1351"/>
      <c r="FI197" s="1319"/>
      <c r="FJ197" s="1612"/>
      <c r="FK197" s="1605"/>
      <c r="FL197" s="928"/>
      <c r="FM197" s="928"/>
      <c r="FN197" s="928"/>
      <c r="FO197" s="928"/>
      <c r="FP197" s="928"/>
      <c r="FQ197" s="928"/>
    </row>
    <row r="198" spans="1:173" hidden="1">
      <c r="A198" s="928" t="s">
        <v>1427</v>
      </c>
      <c r="B198" s="928"/>
      <c r="C198" s="928"/>
      <c r="D198" s="928"/>
      <c r="E198" s="928"/>
      <c r="F198" s="928"/>
      <c r="G198" s="928"/>
      <c r="H198" s="928"/>
      <c r="I198" s="928"/>
      <c r="J198" s="928"/>
      <c r="K198" s="928"/>
      <c r="L198" s="928"/>
      <c r="M198" s="928"/>
      <c r="N198" s="928"/>
      <c r="O198" s="928"/>
      <c r="P198" s="928"/>
      <c r="Q198" s="928"/>
      <c r="R198" s="928"/>
      <c r="S198" s="1435">
        <f>S197/(15/90)</f>
        <v>30.729675685786987</v>
      </c>
      <c r="T198" s="1435"/>
      <c r="U198" s="1435"/>
      <c r="V198" s="1435"/>
      <c r="W198" s="1435"/>
      <c r="X198" s="1435"/>
      <c r="Y198" s="1435"/>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355"/>
      <c r="BF198" s="1254"/>
      <c r="BG198" s="1254"/>
      <c r="BH198" s="1254"/>
      <c r="BI198" s="1389"/>
      <c r="BJ198" s="1355"/>
      <c r="BK198" s="1254"/>
      <c r="BL198" s="1254"/>
      <c r="BM198" s="1254"/>
      <c r="BN198" s="1389"/>
      <c r="BO198" s="1355"/>
      <c r="BP198" s="1254"/>
      <c r="BQ198" s="1254"/>
      <c r="BR198" s="1254"/>
      <c r="BS198" s="1389"/>
      <c r="BT198" s="1355"/>
      <c r="BU198" s="1254"/>
      <c r="BV198" s="1254"/>
      <c r="BW198" s="1254"/>
      <c r="BX198" s="1389"/>
      <c r="BY198" s="1254"/>
      <c r="BZ198" s="1254"/>
      <c r="CA198" s="928"/>
      <c r="CB198" s="928"/>
      <c r="CC198" s="928"/>
      <c r="CD198" s="928"/>
      <c r="CE198" s="928"/>
      <c r="CF198" s="928"/>
      <c r="CG198" s="928"/>
      <c r="CH198" s="928"/>
      <c r="CI198" s="928"/>
      <c r="CJ198" s="928"/>
      <c r="CK198" s="928"/>
      <c r="CL198" s="928"/>
      <c r="CM198" s="928"/>
      <c r="CN198" s="928"/>
      <c r="CO198" s="928"/>
      <c r="CP198" s="928"/>
      <c r="CQ198" s="928"/>
      <c r="CR198" s="928"/>
      <c r="CS198" s="928"/>
      <c r="CT198" s="928"/>
      <c r="CU198" s="928"/>
      <c r="CV198" s="928"/>
      <c r="CW198" s="928"/>
      <c r="CX198" s="928"/>
      <c r="CY198" s="928"/>
      <c r="CZ198" s="928"/>
      <c r="DA198" s="928"/>
      <c r="DB198" s="928"/>
      <c r="DC198" s="928"/>
      <c r="DD198" s="928"/>
      <c r="DE198" s="928"/>
      <c r="DF198" s="928"/>
      <c r="DG198" s="928"/>
      <c r="DH198" s="928"/>
      <c r="DI198" s="928"/>
      <c r="DJ198" s="928"/>
      <c r="DK198" s="928"/>
      <c r="DL198" s="928"/>
      <c r="DM198" s="928"/>
      <c r="DN198" s="928"/>
      <c r="DO198" s="928"/>
      <c r="DP198" s="928"/>
      <c r="DQ198" s="928"/>
      <c r="DR198" s="928"/>
      <c r="DS198" s="928"/>
      <c r="DT198" s="928"/>
      <c r="DU198" s="928"/>
      <c r="DV198" s="928"/>
      <c r="DW198" s="928"/>
      <c r="DX198" s="928"/>
      <c r="DY198" s="1338"/>
      <c r="DZ198" s="928"/>
      <c r="EA198" s="928"/>
      <c r="EB198" s="928"/>
      <c r="EC198" s="1337"/>
      <c r="ED198" s="1338"/>
      <c r="EE198" s="928"/>
      <c r="EF198" s="928"/>
      <c r="EG198" s="928"/>
      <c r="EH198" s="1337"/>
      <c r="EI198" s="928"/>
      <c r="EJ198" s="928"/>
      <c r="EK198" s="928"/>
      <c r="EL198" s="928"/>
      <c r="EM198" s="1337"/>
      <c r="EN198" s="928"/>
      <c r="EO198" s="928"/>
      <c r="EP198" s="928"/>
      <c r="EQ198" s="928"/>
      <c r="ER198" s="928"/>
      <c r="ES198" s="928"/>
      <c r="ET198" s="928"/>
      <c r="EU198" s="928"/>
      <c r="EV198" s="928"/>
      <c r="EW198" s="928"/>
      <c r="EX198" s="928"/>
      <c r="EY198" s="928"/>
      <c r="EZ198" s="928"/>
      <c r="FA198" s="928"/>
      <c r="FB198" s="928"/>
      <c r="FC198" s="928"/>
      <c r="FD198" s="928"/>
      <c r="FE198" s="928"/>
      <c r="FF198" s="1363"/>
      <c r="FG198" s="928"/>
      <c r="FH198" s="1351"/>
      <c r="FI198" s="1319"/>
      <c r="FJ198" s="1612"/>
      <c r="FK198" s="1605"/>
      <c r="FL198" s="928"/>
      <c r="FM198" s="928"/>
      <c r="FN198" s="928"/>
      <c r="FO198" s="928"/>
      <c r="FP198" s="928"/>
      <c r="FQ198" s="928"/>
    </row>
    <row r="199" spans="1:173" hidden="1">
      <c r="A199" s="928" t="s">
        <v>1428</v>
      </c>
      <c r="B199" s="928"/>
      <c r="C199" s="928"/>
      <c r="D199" s="928"/>
      <c r="E199" s="928"/>
      <c r="F199" s="928"/>
      <c r="G199" s="928"/>
      <c r="H199" s="928"/>
      <c r="I199" s="928"/>
      <c r="J199" s="928"/>
      <c r="K199" s="928"/>
      <c r="L199" s="928"/>
      <c r="M199" s="928"/>
      <c r="N199" s="928"/>
      <c r="O199" s="928"/>
      <c r="P199" s="928"/>
      <c r="Q199" s="928"/>
      <c r="R199" s="928"/>
      <c r="S199" s="1435"/>
      <c r="T199" s="1435"/>
      <c r="U199" s="1435"/>
      <c r="V199" s="1435"/>
      <c r="W199" s="1435"/>
      <c r="X199" s="1435"/>
      <c r="Y199" s="1435"/>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355"/>
      <c r="BF199" s="1254"/>
      <c r="BG199" s="1254"/>
      <c r="BH199" s="1254"/>
      <c r="BI199" s="1389"/>
      <c r="BJ199" s="1355"/>
      <c r="BK199" s="1254"/>
      <c r="BL199" s="1254"/>
      <c r="BM199" s="1254"/>
      <c r="BN199" s="1389"/>
      <c r="BO199" s="1355"/>
      <c r="BP199" s="1254"/>
      <c r="BQ199" s="1254"/>
      <c r="BR199" s="1254"/>
      <c r="BS199" s="1389"/>
      <c r="BT199" s="1355"/>
      <c r="BU199" s="1254"/>
      <c r="BV199" s="1254"/>
      <c r="BW199" s="1254"/>
      <c r="BX199" s="1389"/>
      <c r="BY199" s="1254"/>
      <c r="BZ199" s="1254"/>
      <c r="CA199" s="928"/>
      <c r="CB199" s="928"/>
      <c r="CC199" s="928"/>
      <c r="CD199" s="928"/>
      <c r="CE199" s="928"/>
      <c r="CF199" s="928"/>
      <c r="CG199" s="928"/>
      <c r="CH199" s="928"/>
      <c r="CI199" s="928"/>
      <c r="CJ199" s="928"/>
      <c r="CK199" s="928"/>
      <c r="CL199" s="928"/>
      <c r="CM199" s="928"/>
      <c r="CN199" s="928"/>
      <c r="CO199" s="928"/>
      <c r="CP199" s="928"/>
      <c r="CQ199" s="928"/>
      <c r="CR199" s="928"/>
      <c r="CS199" s="928"/>
      <c r="CT199" s="928"/>
      <c r="CU199" s="928"/>
      <c r="CV199" s="928"/>
      <c r="CW199" s="928"/>
      <c r="CX199" s="928"/>
      <c r="CY199" s="928"/>
      <c r="CZ199" s="928"/>
      <c r="DA199" s="928"/>
      <c r="DB199" s="928"/>
      <c r="DC199" s="928"/>
      <c r="DD199" s="928"/>
      <c r="DE199" s="928"/>
      <c r="DF199" s="928"/>
      <c r="DG199" s="928"/>
      <c r="DH199" s="928"/>
      <c r="DI199" s="928"/>
      <c r="DJ199" s="928"/>
      <c r="DK199" s="928"/>
      <c r="DL199" s="928"/>
      <c r="DM199" s="928"/>
      <c r="DN199" s="928"/>
      <c r="DO199" s="928"/>
      <c r="DP199" s="928"/>
      <c r="DQ199" s="928"/>
      <c r="DR199" s="928"/>
      <c r="DS199" s="928"/>
      <c r="DT199" s="928"/>
      <c r="DU199" s="928"/>
      <c r="DV199" s="928"/>
      <c r="DW199" s="928"/>
      <c r="DX199" s="928"/>
      <c r="DY199" s="1338"/>
      <c r="DZ199" s="928"/>
      <c r="EA199" s="928"/>
      <c r="EB199" s="928"/>
      <c r="EC199" s="1337"/>
      <c r="ED199" s="1338"/>
      <c r="EE199" s="928"/>
      <c r="EF199" s="928"/>
      <c r="EG199" s="928"/>
      <c r="EH199" s="1337"/>
      <c r="EI199" s="928"/>
      <c r="EJ199" s="928"/>
      <c r="EK199" s="928"/>
      <c r="EL199" s="928"/>
      <c r="EM199" s="1337"/>
      <c r="EN199" s="928"/>
      <c r="EO199" s="928"/>
      <c r="EP199" s="928"/>
      <c r="EQ199" s="928"/>
      <c r="ER199" s="928"/>
      <c r="ES199" s="928"/>
      <c r="ET199" s="928"/>
      <c r="EU199" s="928"/>
      <c r="EV199" s="928"/>
      <c r="EW199" s="928"/>
      <c r="EX199" s="928"/>
      <c r="EY199" s="928"/>
      <c r="EZ199" s="928"/>
      <c r="FA199" s="928"/>
      <c r="FB199" s="928"/>
      <c r="FC199" s="928"/>
      <c r="FD199" s="928"/>
      <c r="FE199" s="928"/>
      <c r="FF199" s="1363"/>
      <c r="FG199" s="928"/>
      <c r="FH199" s="1351"/>
      <c r="FI199" s="1319"/>
      <c r="FJ199" s="1612"/>
      <c r="FK199" s="1605"/>
      <c r="FL199" s="928"/>
      <c r="FM199" s="928"/>
      <c r="FN199" s="928"/>
      <c r="FO199" s="928"/>
      <c r="FP199" s="928"/>
      <c r="FQ199" s="928"/>
    </row>
    <row r="200" spans="1:173" hidden="1">
      <c r="A200" s="928"/>
      <c r="B200" s="928"/>
      <c r="C200" s="928"/>
      <c r="D200" s="928"/>
      <c r="E200" s="928"/>
      <c r="F200" s="928"/>
      <c r="G200" s="928"/>
      <c r="H200" s="928"/>
      <c r="I200" s="928"/>
      <c r="J200" s="928"/>
      <c r="K200" s="928"/>
      <c r="L200" s="928"/>
      <c r="M200" s="928"/>
      <c r="N200" s="928"/>
      <c r="O200" s="928"/>
      <c r="P200" s="928"/>
      <c r="Q200" s="928"/>
      <c r="R200" s="928"/>
      <c r="S200" s="928"/>
      <c r="T200" s="928"/>
      <c r="U200" s="928"/>
      <c r="V200" s="928"/>
      <c r="W200" s="928"/>
      <c r="X200" s="928"/>
      <c r="Y200" s="928"/>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355"/>
      <c r="BF200" s="1254"/>
      <c r="BG200" s="1254"/>
      <c r="BH200" s="1254"/>
      <c r="BI200" s="1389"/>
      <c r="BJ200" s="1355"/>
      <c r="BK200" s="1254"/>
      <c r="BL200" s="1254"/>
      <c r="BM200" s="1254"/>
      <c r="BN200" s="1389"/>
      <c r="BO200" s="1355"/>
      <c r="BP200" s="1254"/>
      <c r="BQ200" s="1254"/>
      <c r="BR200" s="1254"/>
      <c r="BS200" s="1389"/>
      <c r="BT200" s="1355"/>
      <c r="BU200" s="1254"/>
      <c r="BV200" s="1254"/>
      <c r="BW200" s="1254"/>
      <c r="BX200" s="1389"/>
      <c r="BY200" s="1254"/>
      <c r="BZ200" s="1254"/>
      <c r="CA200" s="928"/>
      <c r="CB200" s="928"/>
      <c r="CC200" s="928"/>
      <c r="CD200" s="928"/>
      <c r="CE200" s="928"/>
      <c r="CF200" s="928"/>
      <c r="CG200" s="928"/>
      <c r="CH200" s="928"/>
      <c r="CI200" s="928"/>
      <c r="CJ200" s="928"/>
      <c r="CK200" s="928"/>
      <c r="CL200" s="928"/>
      <c r="CM200" s="928"/>
      <c r="CN200" s="928"/>
      <c r="CO200" s="928"/>
      <c r="CP200" s="928"/>
      <c r="CQ200" s="928"/>
      <c r="CR200" s="928"/>
      <c r="CS200" s="928"/>
      <c r="CT200" s="928"/>
      <c r="CU200" s="928"/>
      <c r="CV200" s="928"/>
      <c r="CW200" s="928"/>
      <c r="CX200" s="928"/>
      <c r="CY200" s="928"/>
      <c r="CZ200" s="928"/>
      <c r="DA200" s="928"/>
      <c r="DB200" s="928"/>
      <c r="DC200" s="928"/>
      <c r="DD200" s="928"/>
      <c r="DE200" s="928"/>
      <c r="DF200" s="928"/>
      <c r="DG200" s="928"/>
      <c r="DH200" s="928"/>
      <c r="DI200" s="928"/>
      <c r="DJ200" s="928"/>
      <c r="DK200" s="928"/>
      <c r="DL200" s="928"/>
      <c r="DM200" s="928"/>
      <c r="DN200" s="928"/>
      <c r="DO200" s="928"/>
      <c r="DP200" s="928"/>
      <c r="DQ200" s="928"/>
      <c r="DR200" s="928"/>
      <c r="DS200" s="928"/>
      <c r="DT200" s="928"/>
      <c r="DU200" s="928"/>
      <c r="DV200" s="928"/>
      <c r="DW200" s="928"/>
      <c r="DX200" s="928"/>
      <c r="DY200" s="1338"/>
      <c r="DZ200" s="928"/>
      <c r="EA200" s="928"/>
      <c r="EB200" s="928"/>
      <c r="EC200" s="1337"/>
      <c r="ED200" s="1338"/>
      <c r="EE200" s="928"/>
      <c r="EF200" s="928"/>
      <c r="EG200" s="928"/>
      <c r="EH200" s="1337"/>
      <c r="EI200" s="928"/>
      <c r="EJ200" s="928"/>
      <c r="EK200" s="928"/>
      <c r="EL200" s="928"/>
      <c r="EM200" s="1337"/>
      <c r="EN200" s="928"/>
      <c r="EO200" s="928"/>
      <c r="EP200" s="928"/>
      <c r="EQ200" s="928"/>
      <c r="ER200" s="928"/>
      <c r="ES200" s="928"/>
      <c r="ET200" s="928"/>
      <c r="EU200" s="928"/>
      <c r="EV200" s="928"/>
      <c r="EW200" s="928"/>
      <c r="EX200" s="928"/>
      <c r="EY200" s="928"/>
      <c r="EZ200" s="928"/>
      <c r="FA200" s="928"/>
      <c r="FB200" s="928"/>
      <c r="FC200" s="928"/>
      <c r="FD200" s="928"/>
      <c r="FE200" s="928"/>
      <c r="FF200" s="1363"/>
      <c r="FG200" s="928"/>
      <c r="FH200" s="1351"/>
      <c r="FI200" s="1319"/>
      <c r="FJ200" s="1612"/>
      <c r="FK200" s="1605"/>
      <c r="FL200" s="928"/>
      <c r="FM200" s="928"/>
      <c r="FN200" s="928"/>
      <c r="FO200" s="928"/>
      <c r="FP200" s="928"/>
      <c r="FQ200" s="928"/>
    </row>
    <row r="201" spans="1:173" hidden="1">
      <c r="A201" s="1480" t="str">
        <f>A14</f>
        <v>Cable and Telecom</v>
      </c>
      <c r="B201" s="928"/>
      <c r="C201" s="928"/>
      <c r="D201" s="928"/>
      <c r="E201" s="928"/>
      <c r="F201" s="928"/>
      <c r="G201" s="928"/>
      <c r="H201" s="928"/>
      <c r="I201" s="928"/>
      <c r="J201" s="928"/>
      <c r="K201" s="928"/>
      <c r="L201" s="928"/>
      <c r="M201" s="928"/>
      <c r="N201" s="928"/>
      <c r="O201" s="928"/>
      <c r="P201" s="928"/>
      <c r="Q201" s="928"/>
      <c r="R201" s="928"/>
      <c r="S201" s="928"/>
      <c r="T201" s="928"/>
      <c r="U201" s="928"/>
      <c r="V201" s="928"/>
      <c r="W201" s="928"/>
      <c r="X201" s="928"/>
      <c r="Y201" s="928"/>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355"/>
      <c r="BF201" s="1254"/>
      <c r="BG201" s="1254"/>
      <c r="BH201" s="1254"/>
      <c r="BI201" s="1389"/>
      <c r="BJ201" s="1355"/>
      <c r="BK201" s="1254"/>
      <c r="BL201" s="1254"/>
      <c r="BM201" s="1254"/>
      <c r="BN201" s="1389"/>
      <c r="BO201" s="1355"/>
      <c r="BP201" s="1254"/>
      <c r="BQ201" s="1254"/>
      <c r="BR201" s="1254"/>
      <c r="BS201" s="1389"/>
      <c r="BT201" s="1355"/>
      <c r="BU201" s="1254"/>
      <c r="BV201" s="1254"/>
      <c r="BW201" s="1254"/>
      <c r="BX201" s="1389"/>
      <c r="BY201" s="1254"/>
      <c r="BZ201" s="1254"/>
      <c r="CA201" s="928"/>
      <c r="CB201" s="928"/>
      <c r="CC201" s="928"/>
      <c r="CD201" s="928"/>
      <c r="CE201" s="928"/>
      <c r="CF201" s="928"/>
      <c r="CG201" s="928"/>
      <c r="CH201" s="928"/>
      <c r="CI201" s="928"/>
      <c r="CJ201" s="928"/>
      <c r="CK201" s="928"/>
      <c r="CL201" s="928"/>
      <c r="CM201" s="928"/>
      <c r="CN201" s="928"/>
      <c r="CO201" s="928"/>
      <c r="CP201" s="928"/>
      <c r="CQ201" s="928"/>
      <c r="CR201" s="928"/>
      <c r="CS201" s="928"/>
      <c r="CT201" s="928"/>
      <c r="CU201" s="928"/>
      <c r="CV201" s="928"/>
      <c r="CW201" s="928"/>
      <c r="CX201" s="928"/>
      <c r="CY201" s="928"/>
      <c r="CZ201" s="928"/>
      <c r="DA201" s="928"/>
      <c r="DB201" s="928"/>
      <c r="DC201" s="928"/>
      <c r="DD201" s="928"/>
      <c r="DE201" s="928"/>
      <c r="DF201" s="928"/>
      <c r="DG201" s="928"/>
      <c r="DH201" s="928"/>
      <c r="DI201" s="928"/>
      <c r="DJ201" s="928"/>
      <c r="DK201" s="928"/>
      <c r="DL201" s="928"/>
      <c r="DM201" s="928"/>
      <c r="DN201" s="928"/>
      <c r="DO201" s="928"/>
      <c r="DP201" s="928"/>
      <c r="DQ201" s="928"/>
      <c r="DR201" s="928"/>
      <c r="DS201" s="928"/>
      <c r="DT201" s="928"/>
      <c r="DU201" s="928"/>
      <c r="DV201" s="928"/>
      <c r="DW201" s="928"/>
      <c r="DX201" s="928"/>
      <c r="DY201" s="1338"/>
      <c r="DZ201" s="928"/>
      <c r="EA201" s="928"/>
      <c r="EB201" s="928"/>
      <c r="EC201" s="1337"/>
      <c r="ED201" s="1338"/>
      <c r="EE201" s="928"/>
      <c r="EF201" s="928"/>
      <c r="EG201" s="928"/>
      <c r="EH201" s="1337"/>
      <c r="EI201" s="928"/>
      <c r="EJ201" s="928"/>
      <c r="EK201" s="928"/>
      <c r="EL201" s="928"/>
      <c r="EM201" s="1337"/>
      <c r="EN201" s="928"/>
      <c r="EO201" s="928"/>
      <c r="EP201" s="928"/>
      <c r="EQ201" s="928"/>
      <c r="ER201" s="928"/>
      <c r="ES201" s="928"/>
      <c r="ET201" s="928"/>
      <c r="EU201" s="928"/>
      <c r="EV201" s="928"/>
      <c r="EW201" s="928"/>
      <c r="EX201" s="928"/>
      <c r="EY201" s="928"/>
      <c r="EZ201" s="928"/>
      <c r="FA201" s="928"/>
      <c r="FB201" s="928"/>
      <c r="FC201" s="928"/>
      <c r="FD201" s="928"/>
      <c r="FE201" s="928"/>
      <c r="FF201" s="1363"/>
      <c r="FG201" s="928"/>
      <c r="FH201" s="1351"/>
      <c r="FI201" s="1319"/>
      <c r="FJ201" s="1612"/>
      <c r="FK201" s="1605"/>
      <c r="FL201" s="928"/>
      <c r="FM201" s="928"/>
      <c r="FN201" s="928"/>
      <c r="FO201" s="928"/>
      <c r="FP201" s="928"/>
      <c r="FQ201" s="928"/>
    </row>
    <row r="202" spans="1:173" hidden="1">
      <c r="A202" s="1385"/>
      <c r="B202" s="928"/>
      <c r="C202" s="928"/>
      <c r="D202" s="928"/>
      <c r="E202" s="928"/>
      <c r="F202" s="928"/>
      <c r="G202" s="928"/>
      <c r="H202" s="928"/>
      <c r="I202" s="928"/>
      <c r="J202" s="928"/>
      <c r="K202" s="928"/>
      <c r="L202" s="928"/>
      <c r="M202" s="928"/>
      <c r="N202" s="928"/>
      <c r="O202" s="928"/>
      <c r="P202" s="928"/>
      <c r="Q202" s="928"/>
      <c r="R202" s="928"/>
      <c r="S202" s="928"/>
      <c r="T202" s="928"/>
      <c r="U202" s="928"/>
      <c r="V202" s="928"/>
      <c r="W202" s="928"/>
      <c r="X202" s="928"/>
      <c r="Y202" s="928"/>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355"/>
      <c r="BF202" s="1254"/>
      <c r="BG202" s="1254"/>
      <c r="BH202" s="1254"/>
      <c r="BI202" s="1389"/>
      <c r="BJ202" s="1355"/>
      <c r="BK202" s="1254"/>
      <c r="BL202" s="1254"/>
      <c r="BM202" s="1254"/>
      <c r="BN202" s="1389"/>
      <c r="BO202" s="1355"/>
      <c r="BP202" s="1254"/>
      <c r="BQ202" s="1254"/>
      <c r="BR202" s="1254"/>
      <c r="BS202" s="1389"/>
      <c r="BT202" s="1355"/>
      <c r="BU202" s="1254"/>
      <c r="BV202" s="1254"/>
      <c r="BW202" s="1254"/>
      <c r="BX202" s="1389"/>
      <c r="BY202" s="1254"/>
      <c r="BZ202" s="1254"/>
      <c r="CA202" s="928"/>
      <c r="CB202" s="928"/>
      <c r="CC202" s="928"/>
      <c r="CD202" s="928"/>
      <c r="CE202" s="928"/>
      <c r="CF202" s="928"/>
      <c r="CG202" s="928"/>
      <c r="CH202" s="928"/>
      <c r="CI202" s="928"/>
      <c r="CJ202" s="928"/>
      <c r="CK202" s="928"/>
      <c r="CL202" s="928"/>
      <c r="CM202" s="928"/>
      <c r="CN202" s="928"/>
      <c r="CO202" s="928"/>
      <c r="CP202" s="928"/>
      <c r="CQ202" s="928"/>
      <c r="CR202" s="928"/>
      <c r="CS202" s="928"/>
      <c r="CT202" s="928"/>
      <c r="CU202" s="928"/>
      <c r="CV202" s="928"/>
      <c r="CW202" s="928"/>
      <c r="CX202" s="928"/>
      <c r="CY202" s="928"/>
      <c r="CZ202" s="928"/>
      <c r="DA202" s="928"/>
      <c r="DB202" s="928"/>
      <c r="DC202" s="928"/>
      <c r="DD202" s="928"/>
      <c r="DE202" s="928"/>
      <c r="DF202" s="928"/>
      <c r="DG202" s="928"/>
      <c r="DH202" s="928"/>
      <c r="DI202" s="928"/>
      <c r="DJ202" s="928"/>
      <c r="DK202" s="928"/>
      <c r="DL202" s="928"/>
      <c r="DM202" s="928"/>
      <c r="DN202" s="928"/>
      <c r="DO202" s="928"/>
      <c r="DP202" s="928"/>
      <c r="DQ202" s="928"/>
      <c r="DR202" s="928"/>
      <c r="DS202" s="928"/>
      <c r="DT202" s="928"/>
      <c r="DU202" s="928"/>
      <c r="DV202" s="928"/>
      <c r="DW202" s="928"/>
      <c r="DX202" s="928"/>
      <c r="DY202" s="1338"/>
      <c r="DZ202" s="928"/>
      <c r="EA202" s="928"/>
      <c r="EB202" s="928"/>
      <c r="EC202" s="1337"/>
      <c r="ED202" s="1338"/>
      <c r="EE202" s="928"/>
      <c r="EF202" s="928"/>
      <c r="EG202" s="928"/>
      <c r="EH202" s="1337"/>
      <c r="EI202" s="928"/>
      <c r="EJ202" s="928"/>
      <c r="EK202" s="928"/>
      <c r="EL202" s="928"/>
      <c r="EM202" s="1337"/>
      <c r="EN202" s="928"/>
      <c r="EO202" s="928"/>
      <c r="EP202" s="928"/>
      <c r="EQ202" s="928"/>
      <c r="ER202" s="928"/>
      <c r="ES202" s="928"/>
      <c r="ET202" s="928"/>
      <c r="EU202" s="928"/>
      <c r="EV202" s="928"/>
      <c r="EW202" s="928"/>
      <c r="EX202" s="928"/>
      <c r="EY202" s="928"/>
      <c r="EZ202" s="928"/>
      <c r="FA202" s="928"/>
      <c r="FB202" s="928"/>
      <c r="FC202" s="928"/>
      <c r="FD202" s="928"/>
      <c r="FE202" s="928"/>
      <c r="FF202" s="1363"/>
      <c r="FG202" s="928"/>
      <c r="FH202" s="1351"/>
      <c r="FI202" s="1319"/>
      <c r="FJ202" s="1612"/>
      <c r="FK202" s="1605"/>
      <c r="FL202" s="928"/>
      <c r="FM202" s="928"/>
      <c r="FN202" s="928"/>
      <c r="FO202" s="928"/>
      <c r="FP202" s="928"/>
      <c r="FQ202" s="928"/>
    </row>
    <row r="203" spans="1:173" hidden="1">
      <c r="A203" s="1385" t="s">
        <v>91</v>
      </c>
      <c r="B203" s="928"/>
      <c r="C203" s="928"/>
      <c r="D203" s="928"/>
      <c r="E203" s="928"/>
      <c r="F203" s="928"/>
      <c r="G203" s="928"/>
      <c r="H203" s="928"/>
      <c r="I203" s="928"/>
      <c r="J203" s="928"/>
      <c r="K203" s="928"/>
      <c r="L203" s="928"/>
      <c r="M203" s="928"/>
      <c r="N203" s="928"/>
      <c r="O203" s="928"/>
      <c r="P203" s="928"/>
      <c r="Q203" s="928"/>
      <c r="R203" s="928"/>
      <c r="S203" s="928"/>
      <c r="T203" s="928"/>
      <c r="U203" s="928"/>
      <c r="V203" s="928"/>
      <c r="W203" s="928"/>
      <c r="X203" s="928"/>
      <c r="Y203" s="928"/>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355"/>
      <c r="BF203" s="1254"/>
      <c r="BG203" s="1254"/>
      <c r="BH203" s="1254"/>
      <c r="BI203" s="1389"/>
      <c r="BJ203" s="1355"/>
      <c r="BK203" s="1254"/>
      <c r="BL203" s="1254"/>
      <c r="BM203" s="1254"/>
      <c r="BN203" s="1389"/>
      <c r="BO203" s="1355"/>
      <c r="BP203" s="1254"/>
      <c r="BQ203" s="1254"/>
      <c r="BR203" s="1254"/>
      <c r="BS203" s="1389"/>
      <c r="BT203" s="1355"/>
      <c r="BU203" s="1254"/>
      <c r="BV203" s="1254"/>
      <c r="BW203" s="1254"/>
      <c r="BX203" s="1389"/>
      <c r="BY203" s="1254"/>
      <c r="BZ203" s="1254"/>
      <c r="CA203" s="928"/>
      <c r="CB203" s="928"/>
      <c r="CC203" s="928"/>
      <c r="CD203" s="928"/>
      <c r="CE203" s="928"/>
      <c r="CF203" s="928"/>
      <c r="CG203" s="928"/>
      <c r="CH203" s="928"/>
      <c r="CI203" s="928"/>
      <c r="CJ203" s="928"/>
      <c r="CK203" s="928"/>
      <c r="CL203" s="928"/>
      <c r="CM203" s="928"/>
      <c r="CN203" s="928"/>
      <c r="CO203" s="928"/>
      <c r="CP203" s="928"/>
      <c r="CQ203" s="928"/>
      <c r="CR203" s="928"/>
      <c r="CS203" s="928"/>
      <c r="CT203" s="928"/>
      <c r="CU203" s="928"/>
      <c r="CV203" s="928"/>
      <c r="CW203" s="928"/>
      <c r="CX203" s="928"/>
      <c r="CY203" s="928"/>
      <c r="CZ203" s="928"/>
      <c r="DA203" s="928"/>
      <c r="DB203" s="928"/>
      <c r="DC203" s="928"/>
      <c r="DD203" s="928"/>
      <c r="DE203" s="928"/>
      <c r="DF203" s="928"/>
      <c r="DG203" s="928"/>
      <c r="DH203" s="928"/>
      <c r="DI203" s="928"/>
      <c r="DJ203" s="928"/>
      <c r="DK203" s="928"/>
      <c r="DL203" s="928"/>
      <c r="DM203" s="928"/>
      <c r="DN203" s="928"/>
      <c r="DO203" s="928"/>
      <c r="DP203" s="928"/>
      <c r="DQ203" s="928"/>
      <c r="DR203" s="928"/>
      <c r="DS203" s="928"/>
      <c r="DT203" s="928"/>
      <c r="DU203" s="928"/>
      <c r="DV203" s="928"/>
      <c r="DW203" s="928"/>
      <c r="DX203" s="928"/>
      <c r="DY203" s="1338"/>
      <c r="DZ203" s="928"/>
      <c r="EA203" s="928"/>
      <c r="EB203" s="928"/>
      <c r="EC203" s="1337"/>
      <c r="ED203" s="1338"/>
      <c r="EE203" s="928"/>
      <c r="EF203" s="928"/>
      <c r="EG203" s="928"/>
      <c r="EH203" s="1337"/>
      <c r="EI203" s="928"/>
      <c r="EJ203" s="928"/>
      <c r="EK203" s="928"/>
      <c r="EL203" s="928"/>
      <c r="EM203" s="1337"/>
      <c r="EN203" s="928"/>
      <c r="EO203" s="928"/>
      <c r="EP203" s="928"/>
      <c r="EQ203" s="928"/>
      <c r="ER203" s="928"/>
      <c r="ES203" s="928"/>
      <c r="ET203" s="928"/>
      <c r="EU203" s="928"/>
      <c r="EV203" s="928"/>
      <c r="EW203" s="928"/>
      <c r="EX203" s="928"/>
      <c r="EY203" s="928"/>
      <c r="EZ203" s="928"/>
      <c r="FA203" s="928"/>
      <c r="FB203" s="928"/>
      <c r="FC203" s="928"/>
      <c r="FD203" s="928"/>
      <c r="FE203" s="928"/>
      <c r="FF203" s="1363"/>
      <c r="FG203" s="928"/>
      <c r="FH203" s="1351"/>
      <c r="FI203" s="1319"/>
      <c r="FJ203" s="1612"/>
      <c r="FK203" s="1605"/>
      <c r="FL203" s="928"/>
      <c r="FM203" s="928"/>
      <c r="FN203" s="928"/>
      <c r="FO203" s="928"/>
      <c r="FP203" s="928"/>
      <c r="FQ203" s="928"/>
    </row>
    <row r="204" spans="1:173" hidden="1">
      <c r="A204" s="1344" t="s">
        <v>610</v>
      </c>
      <c r="B204" s="928"/>
      <c r="C204" s="928"/>
      <c r="D204" s="928"/>
      <c r="E204" s="928"/>
      <c r="F204" s="928"/>
      <c r="G204" s="928"/>
      <c r="H204" s="928"/>
      <c r="I204" s="928"/>
      <c r="J204" s="928">
        <v>2400</v>
      </c>
      <c r="K204" s="928"/>
      <c r="L204" s="928"/>
      <c r="M204" s="928"/>
      <c r="N204" s="928"/>
      <c r="O204" s="928"/>
      <c r="P204" s="928"/>
      <c r="Q204" s="928"/>
      <c r="R204" s="928"/>
      <c r="S204" s="928"/>
      <c r="T204" s="928"/>
      <c r="U204" s="928"/>
      <c r="V204" s="928"/>
      <c r="W204" s="928"/>
      <c r="X204" s="928"/>
      <c r="Y204" s="928"/>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355"/>
      <c r="BF204" s="1254"/>
      <c r="BG204" s="1254"/>
      <c r="BH204" s="1254"/>
      <c r="BI204" s="1389"/>
      <c r="BJ204" s="1355"/>
      <c r="BK204" s="1254"/>
      <c r="BL204" s="1254"/>
      <c r="BM204" s="1254"/>
      <c r="BN204" s="1389"/>
      <c r="BO204" s="1355"/>
      <c r="BP204" s="1254"/>
      <c r="BQ204" s="1254"/>
      <c r="BR204" s="1254"/>
      <c r="BS204" s="1389"/>
      <c r="BT204" s="1355"/>
      <c r="BU204" s="1254"/>
      <c r="BV204" s="1254"/>
      <c r="BW204" s="1254"/>
      <c r="BX204" s="1389"/>
      <c r="BY204" s="1254"/>
      <c r="BZ204" s="1254"/>
      <c r="CA204" s="928"/>
      <c r="CB204" s="928"/>
      <c r="CC204" s="928"/>
      <c r="CD204" s="928"/>
      <c r="CE204" s="928"/>
      <c r="CF204" s="928"/>
      <c r="CG204" s="928"/>
      <c r="CH204" s="928"/>
      <c r="CI204" s="928"/>
      <c r="CJ204" s="928"/>
      <c r="CK204" s="928"/>
      <c r="CL204" s="928"/>
      <c r="CM204" s="928"/>
      <c r="CN204" s="928"/>
      <c r="CO204" s="928"/>
      <c r="CP204" s="928"/>
      <c r="CQ204" s="928"/>
      <c r="CR204" s="928"/>
      <c r="CS204" s="928"/>
      <c r="CT204" s="928"/>
      <c r="CU204" s="928"/>
      <c r="CV204" s="928"/>
      <c r="CW204" s="928"/>
      <c r="CX204" s="928"/>
      <c r="CY204" s="928"/>
      <c r="CZ204" s="928"/>
      <c r="DA204" s="928"/>
      <c r="DB204" s="928"/>
      <c r="DC204" s="928"/>
      <c r="DD204" s="928"/>
      <c r="DE204" s="928"/>
      <c r="DF204" s="928"/>
      <c r="DG204" s="928"/>
      <c r="DH204" s="928"/>
      <c r="DI204" s="928"/>
      <c r="DJ204" s="928"/>
      <c r="DK204" s="928"/>
      <c r="DL204" s="928"/>
      <c r="DM204" s="928"/>
      <c r="DN204" s="928"/>
      <c r="DO204" s="928"/>
      <c r="DP204" s="928"/>
      <c r="DQ204" s="928"/>
      <c r="DR204" s="928"/>
      <c r="DS204" s="928"/>
      <c r="DT204" s="928"/>
      <c r="DU204" s="928"/>
      <c r="DV204" s="928"/>
      <c r="DW204" s="928"/>
      <c r="DX204" s="928"/>
      <c r="DY204" s="1338"/>
      <c r="DZ204" s="928"/>
      <c r="EA204" s="928"/>
      <c r="EB204" s="928"/>
      <c r="EC204" s="1337"/>
      <c r="ED204" s="1338"/>
      <c r="EE204" s="928"/>
      <c r="EF204" s="928"/>
      <c r="EG204" s="928"/>
      <c r="EH204" s="1337"/>
      <c r="EI204" s="928"/>
      <c r="EJ204" s="928"/>
      <c r="EK204" s="928"/>
      <c r="EL204" s="928"/>
      <c r="EM204" s="1337"/>
      <c r="EN204" s="928"/>
      <c r="EO204" s="928"/>
      <c r="EP204" s="928"/>
      <c r="EQ204" s="928"/>
      <c r="ER204" s="928"/>
      <c r="ES204" s="928"/>
      <c r="ET204" s="928"/>
      <c r="EU204" s="928"/>
      <c r="EV204" s="928"/>
      <c r="EW204" s="928"/>
      <c r="EX204" s="928"/>
      <c r="EY204" s="928"/>
      <c r="EZ204" s="928"/>
      <c r="FA204" s="928"/>
      <c r="FB204" s="928"/>
      <c r="FC204" s="928"/>
      <c r="FD204" s="928"/>
      <c r="FE204" s="928"/>
      <c r="FF204" s="1363"/>
      <c r="FG204" s="928"/>
      <c r="FH204" s="1351"/>
      <c r="FI204" s="1319"/>
      <c r="FJ204" s="1612"/>
      <c r="FK204" s="1605"/>
      <c r="FL204" s="928"/>
      <c r="FM204" s="928"/>
      <c r="FN204" s="928"/>
      <c r="FO204" s="928"/>
      <c r="FP204" s="928"/>
      <c r="FQ204" s="928"/>
    </row>
    <row r="205" spans="1:173" hidden="1">
      <c r="A205" s="1344" t="s">
        <v>74</v>
      </c>
      <c r="B205" s="928">
        <v>636</v>
      </c>
      <c r="C205" s="928">
        <v>654</v>
      </c>
      <c r="D205" s="928">
        <v>662</v>
      </c>
      <c r="E205" s="928">
        <v>669</v>
      </c>
      <c r="F205" s="928"/>
      <c r="G205" s="928">
        <v>680</v>
      </c>
      <c r="H205" s="928">
        <v>695</v>
      </c>
      <c r="I205" s="928">
        <v>705</v>
      </c>
      <c r="J205" s="928">
        <v>727</v>
      </c>
      <c r="K205" s="928"/>
      <c r="L205" s="928">
        <v>741</v>
      </c>
      <c r="M205" s="928">
        <v>754</v>
      </c>
      <c r="N205" s="1413">
        <v>774.01499999999999</v>
      </c>
      <c r="O205" s="928">
        <v>787</v>
      </c>
      <c r="P205" s="928"/>
      <c r="Q205" s="1413">
        <v>802.5</v>
      </c>
      <c r="R205" s="1413">
        <v>820.9</v>
      </c>
      <c r="S205" s="1413">
        <v>847.66</v>
      </c>
      <c r="T205" s="1413">
        <v>868</v>
      </c>
      <c r="U205" s="1413"/>
      <c r="V205" s="1413">
        <v>863.64099999999996</v>
      </c>
      <c r="W205" s="1413">
        <v>883.47799999999995</v>
      </c>
      <c r="X205" s="1413">
        <v>883.1</v>
      </c>
      <c r="Y205" s="1413"/>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355"/>
      <c r="BF205" s="1254"/>
      <c r="BG205" s="1254"/>
      <c r="BH205" s="1254"/>
      <c r="BI205" s="1389"/>
      <c r="BJ205" s="1355"/>
      <c r="BK205" s="1254"/>
      <c r="BL205" s="1254"/>
      <c r="BM205" s="1254"/>
      <c r="BN205" s="1389"/>
      <c r="BO205" s="1355"/>
      <c r="BP205" s="1254"/>
      <c r="BQ205" s="1254"/>
      <c r="BR205" s="1254"/>
      <c r="BS205" s="1389"/>
      <c r="BT205" s="1355"/>
      <c r="BU205" s="1254"/>
      <c r="BV205" s="1254"/>
      <c r="BW205" s="1254"/>
      <c r="BX205" s="1389"/>
      <c r="BY205" s="1254"/>
      <c r="BZ205" s="1254"/>
      <c r="CA205" s="928"/>
      <c r="CB205" s="928"/>
      <c r="CC205" s="928"/>
      <c r="CD205" s="928"/>
      <c r="CE205" s="928"/>
      <c r="CF205" s="928"/>
      <c r="CG205" s="928"/>
      <c r="CH205" s="928"/>
      <c r="CI205" s="928"/>
      <c r="CJ205" s="928"/>
      <c r="CK205" s="928"/>
      <c r="CL205" s="928"/>
      <c r="CM205" s="928"/>
      <c r="CN205" s="928"/>
      <c r="CO205" s="928"/>
      <c r="CP205" s="928"/>
      <c r="CQ205" s="928"/>
      <c r="CR205" s="928"/>
      <c r="CS205" s="928"/>
      <c r="CT205" s="928"/>
      <c r="CU205" s="928"/>
      <c r="CV205" s="928"/>
      <c r="CW205" s="928"/>
      <c r="CX205" s="928"/>
      <c r="CY205" s="928"/>
      <c r="CZ205" s="928"/>
      <c r="DA205" s="928"/>
      <c r="DB205" s="928"/>
      <c r="DC205" s="928"/>
      <c r="DD205" s="928"/>
      <c r="DE205" s="928"/>
      <c r="DF205" s="928"/>
      <c r="DG205" s="928"/>
      <c r="DH205" s="928"/>
      <c r="DI205" s="928"/>
      <c r="DJ205" s="928"/>
      <c r="DK205" s="928"/>
      <c r="DL205" s="928"/>
      <c r="DM205" s="928"/>
      <c r="DN205" s="928"/>
      <c r="DO205" s="928"/>
      <c r="DP205" s="928"/>
      <c r="DQ205" s="928"/>
      <c r="DR205" s="928"/>
      <c r="DS205" s="928"/>
      <c r="DT205" s="928"/>
      <c r="DU205" s="928"/>
      <c r="DV205" s="928"/>
      <c r="DW205" s="928"/>
      <c r="DX205" s="928"/>
      <c r="DY205" s="1338"/>
      <c r="DZ205" s="928"/>
      <c r="EA205" s="928"/>
      <c r="EB205" s="928"/>
      <c r="EC205" s="1337"/>
      <c r="ED205" s="1338"/>
      <c r="EE205" s="928"/>
      <c r="EF205" s="928"/>
      <c r="EG205" s="928"/>
      <c r="EH205" s="1337"/>
      <c r="EI205" s="928"/>
      <c r="EJ205" s="928"/>
      <c r="EK205" s="928"/>
      <c r="EL205" s="928"/>
      <c r="EM205" s="1337"/>
      <c r="EN205" s="928"/>
      <c r="EO205" s="928"/>
      <c r="EP205" s="928"/>
      <c r="EQ205" s="928"/>
      <c r="ER205" s="928"/>
      <c r="ES205" s="928"/>
      <c r="ET205" s="928"/>
      <c r="EU205" s="928"/>
      <c r="EV205" s="928"/>
      <c r="EW205" s="928"/>
      <c r="EX205" s="928"/>
      <c r="EY205" s="928"/>
      <c r="EZ205" s="928"/>
      <c r="FA205" s="928"/>
      <c r="FB205" s="928"/>
      <c r="FC205" s="928"/>
      <c r="FD205" s="928"/>
      <c r="FE205" s="928"/>
      <c r="FF205" s="1363"/>
      <c r="FG205" s="928"/>
      <c r="FH205" s="1351"/>
      <c r="FI205" s="1319"/>
      <c r="FJ205" s="1612"/>
      <c r="FK205" s="1605"/>
      <c r="FL205" s="928"/>
      <c r="FM205" s="928"/>
      <c r="FN205" s="928"/>
      <c r="FO205" s="928"/>
      <c r="FP205" s="928"/>
      <c r="FQ205" s="928"/>
    </row>
    <row r="206" spans="1:173" hidden="1">
      <c r="A206" s="1344" t="s">
        <v>611</v>
      </c>
      <c r="B206" s="928">
        <v>262</v>
      </c>
      <c r="C206" s="928">
        <v>277</v>
      </c>
      <c r="D206" s="928">
        <v>290</v>
      </c>
      <c r="E206" s="928">
        <v>299</v>
      </c>
      <c r="F206" s="928"/>
      <c r="G206" s="928">
        <v>311</v>
      </c>
      <c r="H206" s="928">
        <v>329</v>
      </c>
      <c r="I206" s="928">
        <v>368</v>
      </c>
      <c r="J206" s="928">
        <v>408</v>
      </c>
      <c r="K206" s="928"/>
      <c r="L206" s="928">
        <v>436</v>
      </c>
      <c r="M206" s="928">
        <v>455</v>
      </c>
      <c r="N206" s="1413">
        <v>488.42200000000003</v>
      </c>
      <c r="O206" s="928">
        <v>509</v>
      </c>
      <c r="P206" s="928"/>
      <c r="Q206" s="1413">
        <v>542.4</v>
      </c>
      <c r="R206" s="1413">
        <v>580.9</v>
      </c>
      <c r="S206" s="1413">
        <v>627.29999999999995</v>
      </c>
      <c r="T206" s="1413">
        <v>666</v>
      </c>
      <c r="U206" s="1413"/>
      <c r="V206" s="1413">
        <v>684.96500000000003</v>
      </c>
      <c r="W206" s="1413">
        <v>717.64300000000003</v>
      </c>
      <c r="X206" s="1413">
        <v>739</v>
      </c>
      <c r="Y206" s="1413"/>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355"/>
      <c r="BF206" s="1254"/>
      <c r="BG206" s="1254"/>
      <c r="BH206" s="1254"/>
      <c r="BI206" s="1389"/>
      <c r="BJ206" s="1355"/>
      <c r="BK206" s="1254"/>
      <c r="BL206" s="1254"/>
      <c r="BM206" s="1254"/>
      <c r="BN206" s="1389"/>
      <c r="BO206" s="1355"/>
      <c r="BP206" s="1254"/>
      <c r="BQ206" s="1254"/>
      <c r="BR206" s="1254"/>
      <c r="BS206" s="1389"/>
      <c r="BT206" s="1355"/>
      <c r="BU206" s="1254"/>
      <c r="BV206" s="1254"/>
      <c r="BW206" s="1254"/>
      <c r="BX206" s="1389"/>
      <c r="BY206" s="1254"/>
      <c r="BZ206" s="1254"/>
      <c r="CA206" s="928"/>
      <c r="CB206" s="928"/>
      <c r="CC206" s="928"/>
      <c r="CD206" s="928"/>
      <c r="CE206" s="928"/>
      <c r="CF206" s="928"/>
      <c r="CG206" s="928"/>
      <c r="CH206" s="928"/>
      <c r="CI206" s="928"/>
      <c r="CJ206" s="928"/>
      <c r="CK206" s="928"/>
      <c r="CL206" s="928"/>
      <c r="CM206" s="928"/>
      <c r="CN206" s="928"/>
      <c r="CO206" s="928"/>
      <c r="CP206" s="928"/>
      <c r="CQ206" s="928"/>
      <c r="CR206" s="928"/>
      <c r="CS206" s="928"/>
      <c r="CT206" s="928"/>
      <c r="CU206" s="928"/>
      <c r="CV206" s="928"/>
      <c r="CW206" s="928"/>
      <c r="CX206" s="928"/>
      <c r="CY206" s="928"/>
      <c r="CZ206" s="928"/>
      <c r="DA206" s="928"/>
      <c r="DB206" s="928"/>
      <c r="DC206" s="928"/>
      <c r="DD206" s="928"/>
      <c r="DE206" s="928"/>
      <c r="DF206" s="928"/>
      <c r="DG206" s="928"/>
      <c r="DH206" s="928"/>
      <c r="DI206" s="928"/>
      <c r="DJ206" s="928"/>
      <c r="DK206" s="928"/>
      <c r="DL206" s="928"/>
      <c r="DM206" s="928"/>
      <c r="DN206" s="928"/>
      <c r="DO206" s="928"/>
      <c r="DP206" s="928"/>
      <c r="DQ206" s="928"/>
      <c r="DR206" s="928"/>
      <c r="DS206" s="928"/>
      <c r="DT206" s="928"/>
      <c r="DU206" s="928"/>
      <c r="DV206" s="928"/>
      <c r="DW206" s="928"/>
      <c r="DX206" s="928"/>
      <c r="DY206" s="1338"/>
      <c r="DZ206" s="928"/>
      <c r="EA206" s="928"/>
      <c r="EB206" s="928"/>
      <c r="EC206" s="1337"/>
      <c r="ED206" s="1338"/>
      <c r="EE206" s="928"/>
      <c r="EF206" s="928"/>
      <c r="EG206" s="928"/>
      <c r="EH206" s="1337"/>
      <c r="EI206" s="928"/>
      <c r="EJ206" s="928"/>
      <c r="EK206" s="928"/>
      <c r="EL206" s="928"/>
      <c r="EM206" s="1337"/>
      <c r="EN206" s="928"/>
      <c r="EO206" s="928"/>
      <c r="EP206" s="928"/>
      <c r="EQ206" s="928"/>
      <c r="ER206" s="928"/>
      <c r="ES206" s="928"/>
      <c r="ET206" s="928"/>
      <c r="EU206" s="928"/>
      <c r="EV206" s="928"/>
      <c r="EW206" s="928"/>
      <c r="EX206" s="928"/>
      <c r="EY206" s="928"/>
      <c r="EZ206" s="928"/>
      <c r="FA206" s="928"/>
      <c r="FB206" s="928"/>
      <c r="FC206" s="928"/>
      <c r="FD206" s="928"/>
      <c r="FE206" s="928"/>
      <c r="FF206" s="1363"/>
      <c r="FG206" s="928"/>
      <c r="FH206" s="1351"/>
      <c r="FI206" s="1319"/>
      <c r="FJ206" s="1612"/>
      <c r="FK206" s="1605"/>
      <c r="FL206" s="928"/>
      <c r="FM206" s="928"/>
      <c r="FN206" s="928"/>
      <c r="FO206" s="928"/>
      <c r="FP206" s="928"/>
      <c r="FQ206" s="928"/>
    </row>
    <row r="207" spans="1:173" hidden="1">
      <c r="A207" s="1484" t="s">
        <v>612</v>
      </c>
      <c r="B207" s="1446">
        <v>151</v>
      </c>
      <c r="C207" s="1446">
        <v>166</v>
      </c>
      <c r="D207" s="1446">
        <v>181</v>
      </c>
      <c r="E207" s="1446">
        <v>190</v>
      </c>
      <c r="F207" s="1446"/>
      <c r="G207" s="1446">
        <v>200</v>
      </c>
      <c r="H207" s="1446">
        <v>219</v>
      </c>
      <c r="I207" s="1446">
        <v>232</v>
      </c>
      <c r="J207" s="1446">
        <v>251</v>
      </c>
      <c r="K207" s="1446"/>
      <c r="L207" s="1446">
        <v>268</v>
      </c>
      <c r="M207" s="1446">
        <v>282</v>
      </c>
      <c r="N207" s="1035">
        <v>303.19</v>
      </c>
      <c r="O207" s="1446">
        <v>319</v>
      </c>
      <c r="P207" s="928"/>
      <c r="Q207" s="1035">
        <v>337.6</v>
      </c>
      <c r="R207" s="1035">
        <v>359.5</v>
      </c>
      <c r="S207" s="1035">
        <v>392.7</v>
      </c>
      <c r="T207" s="1035">
        <v>415</v>
      </c>
      <c r="U207" s="1413"/>
      <c r="V207" s="1035">
        <v>419.27199999999999</v>
      </c>
      <c r="W207" s="1035">
        <v>436.47300000000001</v>
      </c>
      <c r="X207" s="1035">
        <v>439</v>
      </c>
      <c r="Y207" s="1413"/>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355"/>
      <c r="BF207" s="1254"/>
      <c r="BG207" s="1254"/>
      <c r="BH207" s="1254"/>
      <c r="BI207" s="1389"/>
      <c r="BJ207" s="1355"/>
      <c r="BK207" s="1254"/>
      <c r="BL207" s="1254"/>
      <c r="BM207" s="1254"/>
      <c r="BN207" s="1389"/>
      <c r="BO207" s="1355"/>
      <c r="BP207" s="1254"/>
      <c r="BQ207" s="1254"/>
      <c r="BR207" s="1254"/>
      <c r="BS207" s="1389"/>
      <c r="BT207" s="1355"/>
      <c r="BU207" s="1254"/>
      <c r="BV207" s="1254"/>
      <c r="BW207" s="1254"/>
      <c r="BX207" s="1389"/>
      <c r="BY207" s="1254"/>
      <c r="BZ207" s="1254"/>
      <c r="CA207" s="928"/>
      <c r="CB207" s="928"/>
      <c r="CC207" s="928"/>
      <c r="CD207" s="928"/>
      <c r="CE207" s="928"/>
      <c r="CF207" s="928"/>
      <c r="CG207" s="928"/>
      <c r="CH207" s="928"/>
      <c r="CI207" s="928"/>
      <c r="CJ207" s="928"/>
      <c r="CK207" s="928"/>
      <c r="CL207" s="928"/>
      <c r="CM207" s="928"/>
      <c r="CN207" s="928"/>
      <c r="CO207" s="928"/>
      <c r="CP207" s="928"/>
      <c r="CQ207" s="928"/>
      <c r="CR207" s="928"/>
      <c r="CS207" s="928"/>
      <c r="CT207" s="928"/>
      <c r="CU207" s="928"/>
      <c r="CV207" s="928"/>
      <c r="CW207" s="928"/>
      <c r="CX207" s="928"/>
      <c r="CY207" s="928"/>
      <c r="CZ207" s="928"/>
      <c r="DA207" s="928"/>
      <c r="DB207" s="928"/>
      <c r="DC207" s="928"/>
      <c r="DD207" s="928"/>
      <c r="DE207" s="928"/>
      <c r="DF207" s="928"/>
      <c r="DG207" s="928"/>
      <c r="DH207" s="928"/>
      <c r="DI207" s="928"/>
      <c r="DJ207" s="928"/>
      <c r="DK207" s="928"/>
      <c r="DL207" s="928"/>
      <c r="DM207" s="928"/>
      <c r="DN207" s="928"/>
      <c r="DO207" s="928"/>
      <c r="DP207" s="928"/>
      <c r="DQ207" s="928"/>
      <c r="DR207" s="928"/>
      <c r="DS207" s="928"/>
      <c r="DT207" s="928"/>
      <c r="DU207" s="928"/>
      <c r="DV207" s="928"/>
      <c r="DW207" s="928"/>
      <c r="DX207" s="928"/>
      <c r="DY207" s="1338"/>
      <c r="DZ207" s="928"/>
      <c r="EA207" s="928"/>
      <c r="EB207" s="928"/>
      <c r="EC207" s="1337"/>
      <c r="ED207" s="1338"/>
      <c r="EE207" s="928"/>
      <c r="EF207" s="928"/>
      <c r="EG207" s="928"/>
      <c r="EH207" s="1337"/>
      <c r="EI207" s="928"/>
      <c r="EJ207" s="928"/>
      <c r="EK207" s="928"/>
      <c r="EL207" s="928"/>
      <c r="EM207" s="1337"/>
      <c r="EN207" s="928"/>
      <c r="EO207" s="928"/>
      <c r="EP207" s="928"/>
      <c r="EQ207" s="928"/>
      <c r="ER207" s="928"/>
      <c r="ES207" s="928"/>
      <c r="ET207" s="928"/>
      <c r="EU207" s="928"/>
      <c r="EV207" s="928"/>
      <c r="EW207" s="928"/>
      <c r="EX207" s="928"/>
      <c r="EY207" s="928"/>
      <c r="EZ207" s="928"/>
      <c r="FA207" s="928"/>
      <c r="FB207" s="928"/>
      <c r="FC207" s="928"/>
      <c r="FD207" s="928"/>
      <c r="FE207" s="928"/>
      <c r="FF207" s="1363"/>
      <c r="FG207" s="928"/>
      <c r="FH207" s="1351"/>
      <c r="FI207" s="1319"/>
      <c r="FJ207" s="1612"/>
      <c r="FK207" s="1605"/>
      <c r="FL207" s="928"/>
      <c r="FM207" s="928"/>
      <c r="FN207" s="928"/>
      <c r="FO207" s="928"/>
      <c r="FP207" s="928"/>
      <c r="FQ207" s="928"/>
    </row>
    <row r="208" spans="1:173" hidden="1">
      <c r="A208" s="1344" t="s">
        <v>98</v>
      </c>
      <c r="B208" s="928">
        <f>SUM(B205:B207)</f>
        <v>1049</v>
      </c>
      <c r="C208" s="928">
        <f>SUM(C205:C207)</f>
        <v>1097</v>
      </c>
      <c r="D208" s="928">
        <f>SUM(D205:D207)</f>
        <v>1133</v>
      </c>
      <c r="E208" s="928">
        <f>SUM(E205:E207)</f>
        <v>1158</v>
      </c>
      <c r="F208" s="928"/>
      <c r="G208" s="928">
        <f>SUM(G205:G207)</f>
        <v>1191</v>
      </c>
      <c r="H208" s="928">
        <f>SUM(H205:H207)</f>
        <v>1243</v>
      </c>
      <c r="I208" s="928">
        <f>SUM(I205:I207)</f>
        <v>1305</v>
      </c>
      <c r="J208" s="928">
        <f>SUM(J205:J207)</f>
        <v>1386</v>
      </c>
      <c r="K208" s="928"/>
      <c r="L208" s="928">
        <f>SUM(L205:L207)</f>
        <v>1445</v>
      </c>
      <c r="M208" s="928">
        <f>SUM(M205:M207)</f>
        <v>1491</v>
      </c>
      <c r="N208" s="928">
        <f>SUM(N205:N207)</f>
        <v>1565.627</v>
      </c>
      <c r="O208" s="928">
        <f>SUM(O205:O207)</f>
        <v>1615</v>
      </c>
      <c r="P208" s="928"/>
      <c r="Q208" s="1413">
        <f>SUM(Q205:Q207)</f>
        <v>1682.5</v>
      </c>
      <c r="R208" s="1413">
        <f>SUM(R205:R207)</f>
        <v>1761.3</v>
      </c>
      <c r="S208" s="1413">
        <f>SUM(S205:S207)</f>
        <v>1867.66</v>
      </c>
      <c r="T208" s="1413">
        <f>SUM(T205:T207)</f>
        <v>1949</v>
      </c>
      <c r="U208" s="1413"/>
      <c r="V208" s="1413">
        <f>SUM(V205:V207)</f>
        <v>1967.8779999999999</v>
      </c>
      <c r="W208" s="1413">
        <f>SUM(W205:W207)</f>
        <v>2037.5940000000001</v>
      </c>
      <c r="X208" s="1413">
        <f>SUM(X205:X207)</f>
        <v>2061.1</v>
      </c>
      <c r="Y208" s="1413"/>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355"/>
      <c r="BF208" s="1254"/>
      <c r="BG208" s="1254"/>
      <c r="BH208" s="1254"/>
      <c r="BI208" s="1389"/>
      <c r="BJ208" s="1355"/>
      <c r="BK208" s="1254"/>
      <c r="BL208" s="1254"/>
      <c r="BM208" s="1254"/>
      <c r="BN208" s="1389"/>
      <c r="BO208" s="1355"/>
      <c r="BP208" s="1254"/>
      <c r="BQ208" s="1254"/>
      <c r="BR208" s="1254"/>
      <c r="BS208" s="1389"/>
      <c r="BT208" s="1355"/>
      <c r="BU208" s="1254"/>
      <c r="BV208" s="1254"/>
      <c r="BW208" s="1254"/>
      <c r="BX208" s="1389"/>
      <c r="BY208" s="1254"/>
      <c r="BZ208" s="1254"/>
      <c r="CA208" s="928"/>
      <c r="CB208" s="928"/>
      <c r="CC208" s="928"/>
      <c r="CD208" s="928"/>
      <c r="CE208" s="928"/>
      <c r="CF208" s="928"/>
      <c r="CG208" s="928"/>
      <c r="CH208" s="928"/>
      <c r="CI208" s="928"/>
      <c r="CJ208" s="928"/>
      <c r="CK208" s="928"/>
      <c r="CL208" s="928"/>
      <c r="CM208" s="928"/>
      <c r="CN208" s="928"/>
      <c r="CO208" s="928"/>
      <c r="CP208" s="928"/>
      <c r="CQ208" s="928"/>
      <c r="CR208" s="928"/>
      <c r="CS208" s="928"/>
      <c r="CT208" s="928"/>
      <c r="CU208" s="928"/>
      <c r="CV208" s="928"/>
      <c r="CW208" s="928"/>
      <c r="CX208" s="928"/>
      <c r="CY208" s="928"/>
      <c r="CZ208" s="928"/>
      <c r="DA208" s="928"/>
      <c r="DB208" s="928"/>
      <c r="DC208" s="928"/>
      <c r="DD208" s="928"/>
      <c r="DE208" s="928"/>
      <c r="DF208" s="928"/>
      <c r="DG208" s="928"/>
      <c r="DH208" s="928"/>
      <c r="DI208" s="928"/>
      <c r="DJ208" s="928"/>
      <c r="DK208" s="928"/>
      <c r="DL208" s="928"/>
      <c r="DM208" s="928"/>
      <c r="DN208" s="928"/>
      <c r="DO208" s="928"/>
      <c r="DP208" s="928"/>
      <c r="DQ208" s="928"/>
      <c r="DR208" s="928"/>
      <c r="DS208" s="928"/>
      <c r="DT208" s="928"/>
      <c r="DU208" s="928"/>
      <c r="DV208" s="928"/>
      <c r="DW208" s="928"/>
      <c r="DX208" s="928"/>
      <c r="DY208" s="1338"/>
      <c r="DZ208" s="928"/>
      <c r="EA208" s="928"/>
      <c r="EB208" s="928"/>
      <c r="EC208" s="1337"/>
      <c r="ED208" s="1338"/>
      <c r="EE208" s="928"/>
      <c r="EF208" s="928"/>
      <c r="EG208" s="928"/>
      <c r="EH208" s="1337"/>
      <c r="EI208" s="928"/>
      <c r="EJ208" s="928"/>
      <c r="EK208" s="928"/>
      <c r="EL208" s="928"/>
      <c r="EM208" s="1337"/>
      <c r="EN208" s="928"/>
      <c r="EO208" s="928"/>
      <c r="EP208" s="928"/>
      <c r="EQ208" s="928"/>
      <c r="ER208" s="928"/>
      <c r="ES208" s="928"/>
      <c r="ET208" s="928"/>
      <c r="EU208" s="928"/>
      <c r="EV208" s="928"/>
      <c r="EW208" s="928"/>
      <c r="EX208" s="928"/>
      <c r="EY208" s="928"/>
      <c r="EZ208" s="928"/>
      <c r="FA208" s="928"/>
      <c r="FB208" s="928"/>
      <c r="FC208" s="928"/>
      <c r="FD208" s="928"/>
      <c r="FE208" s="928"/>
      <c r="FF208" s="1363"/>
      <c r="FG208" s="928"/>
      <c r="FH208" s="1351"/>
      <c r="FI208" s="1319"/>
      <c r="FJ208" s="1612"/>
      <c r="FK208" s="1605"/>
      <c r="FL208" s="928"/>
      <c r="FM208" s="928"/>
      <c r="FN208" s="928"/>
      <c r="FO208" s="928"/>
      <c r="FP208" s="928"/>
      <c r="FQ208" s="928"/>
    </row>
    <row r="209" spans="1:173" hidden="1">
      <c r="A209" s="1344"/>
      <c r="B209" s="928"/>
      <c r="C209" s="928"/>
      <c r="D209" s="928"/>
      <c r="E209" s="928"/>
      <c r="F209" s="928"/>
      <c r="G209" s="928"/>
      <c r="H209" s="928"/>
      <c r="I209" s="928"/>
      <c r="J209" s="928"/>
      <c r="K209" s="928"/>
      <c r="L209" s="928"/>
      <c r="M209" s="928"/>
      <c r="N209" s="928"/>
      <c r="O209" s="928"/>
      <c r="P209" s="928"/>
      <c r="Q209" s="928"/>
      <c r="R209" s="928"/>
      <c r="S209" s="928"/>
      <c r="T209" s="928"/>
      <c r="U209" s="928"/>
      <c r="V209" s="928"/>
      <c r="W209" s="928"/>
      <c r="X209" s="928"/>
      <c r="Y209" s="928"/>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355"/>
      <c r="BF209" s="1254"/>
      <c r="BG209" s="1254"/>
      <c r="BH209" s="1254"/>
      <c r="BI209" s="1389"/>
      <c r="BJ209" s="1355"/>
      <c r="BK209" s="1254"/>
      <c r="BL209" s="1254"/>
      <c r="BM209" s="1254"/>
      <c r="BN209" s="1389"/>
      <c r="BO209" s="1355"/>
      <c r="BP209" s="1254"/>
      <c r="BQ209" s="1254"/>
      <c r="BR209" s="1254"/>
      <c r="BS209" s="1389"/>
      <c r="BT209" s="1355"/>
      <c r="BU209" s="1254"/>
      <c r="BV209" s="1254"/>
      <c r="BW209" s="1254"/>
      <c r="BX209" s="1389"/>
      <c r="BY209" s="1254"/>
      <c r="BZ209" s="1254"/>
      <c r="CA209" s="928"/>
      <c r="CB209" s="928"/>
      <c r="CC209" s="928"/>
      <c r="CD209" s="928"/>
      <c r="CE209" s="928"/>
      <c r="CF209" s="928"/>
      <c r="CG209" s="928"/>
      <c r="CH209" s="928"/>
      <c r="CI209" s="928"/>
      <c r="CJ209" s="928"/>
      <c r="CK209" s="928"/>
      <c r="CL209" s="928"/>
      <c r="CM209" s="928"/>
      <c r="CN209" s="928"/>
      <c r="CO209" s="928"/>
      <c r="CP209" s="928"/>
      <c r="CQ209" s="928"/>
      <c r="CR209" s="928"/>
      <c r="CS209" s="928"/>
      <c r="CT209" s="928"/>
      <c r="CU209" s="928"/>
      <c r="CV209" s="928"/>
      <c r="CW209" s="928"/>
      <c r="CX209" s="928"/>
      <c r="CY209" s="928"/>
      <c r="CZ209" s="928"/>
      <c r="DA209" s="928"/>
      <c r="DB209" s="928"/>
      <c r="DC209" s="928"/>
      <c r="DD209" s="928"/>
      <c r="DE209" s="928"/>
      <c r="DF209" s="928"/>
      <c r="DG209" s="928"/>
      <c r="DH209" s="928"/>
      <c r="DI209" s="928"/>
      <c r="DJ209" s="928"/>
      <c r="DK209" s="928"/>
      <c r="DL209" s="928"/>
      <c r="DM209" s="928"/>
      <c r="DN209" s="928"/>
      <c r="DO209" s="928"/>
      <c r="DP209" s="928"/>
      <c r="DQ209" s="928"/>
      <c r="DR209" s="928"/>
      <c r="DS209" s="928"/>
      <c r="DT209" s="928"/>
      <c r="DU209" s="928"/>
      <c r="DV209" s="928"/>
      <c r="DW209" s="928"/>
      <c r="DX209" s="928"/>
      <c r="DY209" s="1338"/>
      <c r="DZ209" s="928"/>
      <c r="EA209" s="928"/>
      <c r="EB209" s="928"/>
      <c r="EC209" s="1337"/>
      <c r="ED209" s="1338"/>
      <c r="EE209" s="928"/>
      <c r="EF209" s="928"/>
      <c r="EG209" s="928"/>
      <c r="EH209" s="1337"/>
      <c r="EI209" s="928"/>
      <c r="EJ209" s="928"/>
      <c r="EK209" s="928"/>
      <c r="EL209" s="928"/>
      <c r="EM209" s="1337"/>
      <c r="EN209" s="928"/>
      <c r="EO209" s="928"/>
      <c r="EP209" s="928"/>
      <c r="EQ209" s="928"/>
      <c r="ER209" s="928"/>
      <c r="ES209" s="928"/>
      <c r="ET209" s="928"/>
      <c r="EU209" s="928"/>
      <c r="EV209" s="928"/>
      <c r="EW209" s="928"/>
      <c r="EX209" s="928"/>
      <c r="EY209" s="928"/>
      <c r="EZ209" s="928"/>
      <c r="FA209" s="928"/>
      <c r="FB209" s="928"/>
      <c r="FC209" s="928"/>
      <c r="FD209" s="928"/>
      <c r="FE209" s="928"/>
      <c r="FF209" s="1363"/>
      <c r="FG209" s="928"/>
      <c r="FH209" s="1351"/>
      <c r="FI209" s="1319"/>
      <c r="FJ209" s="1612"/>
      <c r="FK209" s="1605"/>
      <c r="FL209" s="928"/>
      <c r="FM209" s="928"/>
      <c r="FN209" s="928"/>
      <c r="FO209" s="928"/>
      <c r="FP209" s="928"/>
      <c r="FQ209" s="928"/>
    </row>
    <row r="210" spans="1:173" hidden="1">
      <c r="A210" s="1385" t="s">
        <v>90</v>
      </c>
      <c r="B210" s="928"/>
      <c r="C210" s="928"/>
      <c r="D210" s="928"/>
      <c r="E210" s="928"/>
      <c r="F210" s="928"/>
      <c r="G210" s="928"/>
      <c r="H210" s="928"/>
      <c r="I210" s="928"/>
      <c r="J210" s="928"/>
      <c r="K210" s="928"/>
      <c r="L210" s="928"/>
      <c r="M210" s="928"/>
      <c r="N210" s="1413"/>
      <c r="O210" s="928"/>
      <c r="P210" s="928"/>
      <c r="Q210" s="928"/>
      <c r="R210" s="928"/>
      <c r="S210" s="928"/>
      <c r="T210" s="928"/>
      <c r="U210" s="928"/>
      <c r="V210" s="928"/>
      <c r="W210" s="928"/>
      <c r="X210" s="928"/>
      <c r="Y210" s="928"/>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355"/>
      <c r="BF210" s="1254"/>
      <c r="BG210" s="1254"/>
      <c r="BH210" s="1254"/>
      <c r="BI210" s="1389"/>
      <c r="BJ210" s="1355"/>
      <c r="BK210" s="1254"/>
      <c r="BL210" s="1254"/>
      <c r="BM210" s="1254"/>
      <c r="BN210" s="1389"/>
      <c r="BO210" s="1355"/>
      <c r="BP210" s="1254"/>
      <c r="BQ210" s="1254"/>
      <c r="BR210" s="1254"/>
      <c r="BS210" s="1389"/>
      <c r="BT210" s="1355"/>
      <c r="BU210" s="1254"/>
      <c r="BV210" s="1254"/>
      <c r="BW210" s="1254"/>
      <c r="BX210" s="1389"/>
      <c r="BY210" s="1254"/>
      <c r="BZ210" s="1254"/>
      <c r="CA210" s="928"/>
      <c r="CB210" s="928"/>
      <c r="CC210" s="928"/>
      <c r="CD210" s="928"/>
      <c r="CE210" s="928"/>
      <c r="CF210" s="928"/>
      <c r="CG210" s="928"/>
      <c r="CH210" s="928"/>
      <c r="CI210" s="928"/>
      <c r="CJ210" s="928"/>
      <c r="CK210" s="928"/>
      <c r="CL210" s="928"/>
      <c r="CM210" s="928"/>
      <c r="CN210" s="928"/>
      <c r="CO210" s="928"/>
      <c r="CP210" s="928"/>
      <c r="CQ210" s="928"/>
      <c r="CR210" s="928"/>
      <c r="CS210" s="928"/>
      <c r="CT210" s="928"/>
      <c r="CU210" s="928"/>
      <c r="CV210" s="928"/>
      <c r="CW210" s="928"/>
      <c r="CX210" s="928"/>
      <c r="CY210" s="928"/>
      <c r="CZ210" s="928"/>
      <c r="DA210" s="928"/>
      <c r="DB210" s="928"/>
      <c r="DC210" s="928"/>
      <c r="DD210" s="928"/>
      <c r="DE210" s="928"/>
      <c r="DF210" s="928"/>
      <c r="DG210" s="928"/>
      <c r="DH210" s="928"/>
      <c r="DI210" s="928"/>
      <c r="DJ210" s="928"/>
      <c r="DK210" s="928"/>
      <c r="DL210" s="928"/>
      <c r="DM210" s="928"/>
      <c r="DN210" s="928"/>
      <c r="DO210" s="928"/>
      <c r="DP210" s="928"/>
      <c r="DQ210" s="928"/>
      <c r="DR210" s="928"/>
      <c r="DS210" s="928"/>
      <c r="DT210" s="928"/>
      <c r="DU210" s="928"/>
      <c r="DV210" s="928"/>
      <c r="DW210" s="928"/>
      <c r="DX210" s="928"/>
      <c r="DY210" s="1338"/>
      <c r="DZ210" s="928"/>
      <c r="EA210" s="928"/>
      <c r="EB210" s="928"/>
      <c r="EC210" s="1337"/>
      <c r="ED210" s="1338"/>
      <c r="EE210" s="928"/>
      <c r="EF210" s="928"/>
      <c r="EG210" s="928"/>
      <c r="EH210" s="1337"/>
      <c r="EI210" s="928"/>
      <c r="EJ210" s="928"/>
      <c r="EK210" s="928"/>
      <c r="EL210" s="928"/>
      <c r="EM210" s="1337"/>
      <c r="EN210" s="928"/>
      <c r="EO210" s="928"/>
      <c r="EP210" s="928"/>
      <c r="EQ210" s="928"/>
      <c r="ER210" s="928"/>
      <c r="ES210" s="928"/>
      <c r="ET210" s="928"/>
      <c r="EU210" s="928"/>
      <c r="EV210" s="928"/>
      <c r="EW210" s="928"/>
      <c r="EX210" s="928"/>
      <c r="EY210" s="928"/>
      <c r="EZ210" s="928"/>
      <c r="FA210" s="928"/>
      <c r="FB210" s="928"/>
      <c r="FC210" s="928"/>
      <c r="FD210" s="928"/>
      <c r="FE210" s="928"/>
      <c r="FF210" s="1363"/>
      <c r="FG210" s="928"/>
      <c r="FH210" s="1351"/>
      <c r="FI210" s="1319"/>
      <c r="FJ210" s="1612"/>
      <c r="FK210" s="1605"/>
      <c r="FL210" s="928"/>
      <c r="FM210" s="928"/>
      <c r="FN210" s="928"/>
      <c r="FO210" s="928"/>
      <c r="FP210" s="928"/>
      <c r="FQ210" s="928"/>
    </row>
    <row r="211" spans="1:173" hidden="1">
      <c r="A211" s="1344" t="s">
        <v>610</v>
      </c>
      <c r="B211" s="928"/>
      <c r="C211" s="928"/>
      <c r="D211" s="928"/>
      <c r="E211" s="928"/>
      <c r="F211" s="928"/>
      <c r="G211" s="928"/>
      <c r="H211" s="928"/>
      <c r="I211" s="928"/>
      <c r="J211" s="928">
        <v>3000</v>
      </c>
      <c r="K211" s="928"/>
      <c r="L211" s="928"/>
      <c r="M211" s="928"/>
      <c r="N211" s="1413"/>
      <c r="O211" s="928"/>
      <c r="P211" s="928"/>
      <c r="Q211" s="928"/>
      <c r="R211" s="928"/>
      <c r="S211" s="928"/>
      <c r="T211" s="928"/>
      <c r="U211" s="928"/>
      <c r="V211" s="928"/>
      <c r="W211" s="928"/>
      <c r="X211" s="928"/>
      <c r="Y211" s="928"/>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355"/>
      <c r="BF211" s="1254"/>
      <c r="BG211" s="1254"/>
      <c r="BH211" s="1254"/>
      <c r="BI211" s="1389"/>
      <c r="BJ211" s="1355"/>
      <c r="BK211" s="1254"/>
      <c r="BL211" s="1254"/>
      <c r="BM211" s="1254"/>
      <c r="BN211" s="1389"/>
      <c r="BO211" s="1355"/>
      <c r="BP211" s="1254"/>
      <c r="BQ211" s="1254"/>
      <c r="BR211" s="1254"/>
      <c r="BS211" s="1389"/>
      <c r="BT211" s="1355"/>
      <c r="BU211" s="1254"/>
      <c r="BV211" s="1254"/>
      <c r="BW211" s="1254"/>
      <c r="BX211" s="1389"/>
      <c r="BY211" s="1254"/>
      <c r="BZ211" s="1254"/>
      <c r="CA211" s="928"/>
      <c r="CB211" s="928"/>
      <c r="CC211" s="928"/>
      <c r="CD211" s="928"/>
      <c r="CE211" s="928"/>
      <c r="CF211" s="928"/>
      <c r="CG211" s="928"/>
      <c r="CH211" s="928"/>
      <c r="CI211" s="928"/>
      <c r="CJ211" s="928"/>
      <c r="CK211" s="928"/>
      <c r="CL211" s="928"/>
      <c r="CM211" s="928"/>
      <c r="CN211" s="928"/>
      <c r="CO211" s="928"/>
      <c r="CP211" s="928"/>
      <c r="CQ211" s="928"/>
      <c r="CR211" s="928"/>
      <c r="CS211" s="928"/>
      <c r="CT211" s="928"/>
      <c r="CU211" s="928"/>
      <c r="CV211" s="928"/>
      <c r="CW211" s="928"/>
      <c r="CX211" s="928"/>
      <c r="CY211" s="928"/>
      <c r="CZ211" s="928"/>
      <c r="DA211" s="928"/>
      <c r="DB211" s="928"/>
      <c r="DC211" s="928"/>
      <c r="DD211" s="928"/>
      <c r="DE211" s="928"/>
      <c r="DF211" s="928"/>
      <c r="DG211" s="928"/>
      <c r="DH211" s="928"/>
      <c r="DI211" s="928"/>
      <c r="DJ211" s="928"/>
      <c r="DK211" s="928"/>
      <c r="DL211" s="928"/>
      <c r="DM211" s="928"/>
      <c r="DN211" s="928"/>
      <c r="DO211" s="928"/>
      <c r="DP211" s="928"/>
      <c r="DQ211" s="928"/>
      <c r="DR211" s="928"/>
      <c r="DS211" s="928"/>
      <c r="DT211" s="928"/>
      <c r="DU211" s="928"/>
      <c r="DV211" s="928"/>
      <c r="DW211" s="928"/>
      <c r="DX211" s="928"/>
      <c r="DY211" s="1338"/>
      <c r="DZ211" s="928"/>
      <c r="EA211" s="928"/>
      <c r="EB211" s="928"/>
      <c r="EC211" s="1337"/>
      <c r="ED211" s="1338"/>
      <c r="EE211" s="928"/>
      <c r="EF211" s="928"/>
      <c r="EG211" s="928"/>
      <c r="EH211" s="1337"/>
      <c r="EI211" s="928"/>
      <c r="EJ211" s="928"/>
      <c r="EK211" s="928"/>
      <c r="EL211" s="928"/>
      <c r="EM211" s="1337"/>
      <c r="EN211" s="928"/>
      <c r="EO211" s="928"/>
      <c r="EP211" s="928"/>
      <c r="EQ211" s="928"/>
      <c r="ER211" s="928"/>
      <c r="ES211" s="928"/>
      <c r="ET211" s="928"/>
      <c r="EU211" s="928"/>
      <c r="EV211" s="928"/>
      <c r="EW211" s="928"/>
      <c r="EX211" s="928"/>
      <c r="EY211" s="928"/>
      <c r="EZ211" s="928"/>
      <c r="FA211" s="928"/>
      <c r="FB211" s="928"/>
      <c r="FC211" s="928"/>
      <c r="FD211" s="928"/>
      <c r="FE211" s="928"/>
      <c r="FF211" s="1363"/>
      <c r="FG211" s="928"/>
      <c r="FH211" s="1351"/>
      <c r="FI211" s="1319"/>
      <c r="FJ211" s="1612"/>
      <c r="FK211" s="1605"/>
      <c r="FL211" s="928"/>
      <c r="FM211" s="928"/>
      <c r="FN211" s="928"/>
      <c r="FO211" s="928"/>
      <c r="FP211" s="928"/>
      <c r="FQ211" s="928"/>
    </row>
    <row r="212" spans="1:173" hidden="1">
      <c r="A212" s="1344" t="s">
        <v>74</v>
      </c>
      <c r="B212" s="928">
        <v>935</v>
      </c>
      <c r="C212" s="928">
        <v>954</v>
      </c>
      <c r="D212" s="928">
        <v>964</v>
      </c>
      <c r="E212" s="928">
        <v>997</v>
      </c>
      <c r="F212" s="928"/>
      <c r="G212" s="928">
        <v>1019</v>
      </c>
      <c r="H212" s="928">
        <v>1027</v>
      </c>
      <c r="I212" s="928">
        <v>1050</v>
      </c>
      <c r="J212" s="928">
        <v>1085</v>
      </c>
      <c r="K212" s="928"/>
      <c r="L212" s="928">
        <v>1094</v>
      </c>
      <c r="M212" s="928">
        <v>1096</v>
      </c>
      <c r="N212" s="1413">
        <v>1108.432</v>
      </c>
      <c r="O212" s="928">
        <v>1147</v>
      </c>
      <c r="P212" s="928"/>
      <c r="Q212" s="1413">
        <v>1159.3</v>
      </c>
      <c r="R212" s="1413">
        <v>1171.7</v>
      </c>
      <c r="S212" s="1413">
        <v>1189.8</v>
      </c>
      <c r="T212" s="1413">
        <v>1185</v>
      </c>
      <c r="U212" s="1413"/>
      <c r="V212" s="1413">
        <v>1195.8009999999999</v>
      </c>
      <c r="W212" s="1413">
        <v>1212.79</v>
      </c>
      <c r="X212" s="1413">
        <v>1204</v>
      </c>
      <c r="Y212" s="1413"/>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355"/>
      <c r="BF212" s="1254"/>
      <c r="BG212" s="1254"/>
      <c r="BH212" s="1254"/>
      <c r="BI212" s="1389"/>
      <c r="BJ212" s="1355"/>
      <c r="BK212" s="1254"/>
      <c r="BL212" s="1254"/>
      <c r="BM212" s="1254"/>
      <c r="BN212" s="1389"/>
      <c r="BO212" s="1355"/>
      <c r="BP212" s="1254"/>
      <c r="BQ212" s="1254"/>
      <c r="BR212" s="1254"/>
      <c r="BS212" s="1389"/>
      <c r="BT212" s="1355"/>
      <c r="BU212" s="1254"/>
      <c r="BV212" s="1254"/>
      <c r="BW212" s="1254"/>
      <c r="BX212" s="1389"/>
      <c r="BY212" s="1254"/>
      <c r="BZ212" s="1254"/>
      <c r="CA212" s="928"/>
      <c r="CB212" s="928"/>
      <c r="CC212" s="928"/>
      <c r="CD212" s="928"/>
      <c r="CE212" s="928"/>
      <c r="CF212" s="928"/>
      <c r="CG212" s="928"/>
      <c r="CH212" s="928"/>
      <c r="CI212" s="928"/>
      <c r="CJ212" s="928"/>
      <c r="CK212" s="928"/>
      <c r="CL212" s="928"/>
      <c r="CM212" s="928"/>
      <c r="CN212" s="928"/>
      <c r="CO212" s="928"/>
      <c r="CP212" s="928"/>
      <c r="CQ212" s="928"/>
      <c r="CR212" s="928"/>
      <c r="CS212" s="928"/>
      <c r="CT212" s="928"/>
      <c r="CU212" s="928"/>
      <c r="CV212" s="928"/>
      <c r="CW212" s="928"/>
      <c r="CX212" s="928"/>
      <c r="CY212" s="928"/>
      <c r="CZ212" s="928"/>
      <c r="DA212" s="928"/>
      <c r="DB212" s="928"/>
      <c r="DC212" s="928"/>
      <c r="DD212" s="928"/>
      <c r="DE212" s="928"/>
      <c r="DF212" s="928"/>
      <c r="DG212" s="928"/>
      <c r="DH212" s="928"/>
      <c r="DI212" s="928"/>
      <c r="DJ212" s="928"/>
      <c r="DK212" s="928"/>
      <c r="DL212" s="928"/>
      <c r="DM212" s="928"/>
      <c r="DN212" s="928"/>
      <c r="DO212" s="928"/>
      <c r="DP212" s="928"/>
      <c r="DQ212" s="928"/>
      <c r="DR212" s="928"/>
      <c r="DS212" s="928"/>
      <c r="DT212" s="928"/>
      <c r="DU212" s="928"/>
      <c r="DV212" s="928"/>
      <c r="DW212" s="928"/>
      <c r="DX212" s="928"/>
      <c r="DY212" s="1338"/>
      <c r="DZ212" s="928"/>
      <c r="EA212" s="928"/>
      <c r="EB212" s="928"/>
      <c r="EC212" s="1337"/>
      <c r="ED212" s="1338"/>
      <c r="EE212" s="928"/>
      <c r="EF212" s="928"/>
      <c r="EG212" s="928"/>
      <c r="EH212" s="1337"/>
      <c r="EI212" s="928"/>
      <c r="EJ212" s="928"/>
      <c r="EK212" s="928"/>
      <c r="EL212" s="928"/>
      <c r="EM212" s="1337"/>
      <c r="EN212" s="928"/>
      <c r="EO212" s="928"/>
      <c r="EP212" s="928"/>
      <c r="EQ212" s="928"/>
      <c r="ER212" s="928"/>
      <c r="ES212" s="928"/>
      <c r="ET212" s="928"/>
      <c r="EU212" s="928"/>
      <c r="EV212" s="928"/>
      <c r="EW212" s="928"/>
      <c r="EX212" s="928"/>
      <c r="EY212" s="928"/>
      <c r="EZ212" s="928"/>
      <c r="FA212" s="928"/>
      <c r="FB212" s="928"/>
      <c r="FC212" s="928"/>
      <c r="FD212" s="928"/>
      <c r="FE212" s="928"/>
      <c r="FF212" s="1363"/>
      <c r="FG212" s="928"/>
      <c r="FH212" s="1351"/>
      <c r="FI212" s="1319"/>
      <c r="FJ212" s="1612"/>
      <c r="FK212" s="1605"/>
      <c r="FL212" s="928"/>
      <c r="FM212" s="928"/>
      <c r="FN212" s="928"/>
      <c r="FO212" s="928"/>
      <c r="FP212" s="928"/>
      <c r="FQ212" s="928"/>
    </row>
    <row r="213" spans="1:173" hidden="1">
      <c r="A213" s="1344" t="s">
        <v>611</v>
      </c>
      <c r="B213" s="928">
        <v>311</v>
      </c>
      <c r="C213" s="928">
        <v>325</v>
      </c>
      <c r="D213" s="928">
        <v>339</v>
      </c>
      <c r="E213" s="928">
        <v>360</v>
      </c>
      <c r="F213" s="928"/>
      <c r="G213" s="928">
        <v>384</v>
      </c>
      <c r="H213" s="928">
        <v>397</v>
      </c>
      <c r="I213" s="928">
        <v>425</v>
      </c>
      <c r="J213" s="928">
        <v>467</v>
      </c>
      <c r="K213" s="928"/>
      <c r="L213" s="928">
        <v>499</v>
      </c>
      <c r="M213" s="928">
        <v>510</v>
      </c>
      <c r="N213" s="1413">
        <v>538.16399999999999</v>
      </c>
      <c r="O213" s="928">
        <v>567</v>
      </c>
      <c r="P213" s="928"/>
      <c r="Q213" s="1413">
        <v>602</v>
      </c>
      <c r="R213" s="1413">
        <v>622.9</v>
      </c>
      <c r="S213" s="1413">
        <v>668.5</v>
      </c>
      <c r="T213" s="1413">
        <v>705</v>
      </c>
      <c r="U213" s="1413"/>
      <c r="V213" s="1413">
        <v>743.75300000000004</v>
      </c>
      <c r="W213" s="1413">
        <v>780.55399999999997</v>
      </c>
      <c r="X213" s="1413">
        <v>813</v>
      </c>
      <c r="Y213" s="1413"/>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355"/>
      <c r="BF213" s="1254"/>
      <c r="BG213" s="1254"/>
      <c r="BH213" s="1254"/>
      <c r="BI213" s="1389"/>
      <c r="BJ213" s="1355"/>
      <c r="BK213" s="1254"/>
      <c r="BL213" s="1254"/>
      <c r="BM213" s="1254"/>
      <c r="BN213" s="1389"/>
      <c r="BO213" s="1355"/>
      <c r="BP213" s="1254"/>
      <c r="BQ213" s="1254"/>
      <c r="BR213" s="1254"/>
      <c r="BS213" s="1389"/>
      <c r="BT213" s="1355"/>
      <c r="BU213" s="1254"/>
      <c r="BV213" s="1254"/>
      <c r="BW213" s="1254"/>
      <c r="BX213" s="1389"/>
      <c r="BY213" s="1254"/>
      <c r="BZ213" s="1254"/>
      <c r="CA213" s="928"/>
      <c r="CB213" s="928"/>
      <c r="CC213" s="928"/>
      <c r="CD213" s="928"/>
      <c r="CE213" s="928"/>
      <c r="CF213" s="928"/>
      <c r="CG213" s="928"/>
      <c r="CH213" s="928"/>
      <c r="CI213" s="928"/>
      <c r="CJ213" s="928"/>
      <c r="CK213" s="928"/>
      <c r="CL213" s="928"/>
      <c r="CM213" s="928"/>
      <c r="CN213" s="928"/>
      <c r="CO213" s="928"/>
      <c r="CP213" s="928"/>
      <c r="CQ213" s="928"/>
      <c r="CR213" s="928"/>
      <c r="CS213" s="928"/>
      <c r="CT213" s="928"/>
      <c r="CU213" s="928"/>
      <c r="CV213" s="928"/>
      <c r="CW213" s="928"/>
      <c r="CX213" s="928"/>
      <c r="CY213" s="928"/>
      <c r="CZ213" s="928"/>
      <c r="DA213" s="928"/>
      <c r="DB213" s="928"/>
      <c r="DC213" s="928"/>
      <c r="DD213" s="928"/>
      <c r="DE213" s="928"/>
      <c r="DF213" s="928"/>
      <c r="DG213" s="928"/>
      <c r="DH213" s="928"/>
      <c r="DI213" s="928"/>
      <c r="DJ213" s="928"/>
      <c r="DK213" s="928"/>
      <c r="DL213" s="928"/>
      <c r="DM213" s="928"/>
      <c r="DN213" s="928"/>
      <c r="DO213" s="928"/>
      <c r="DP213" s="928"/>
      <c r="DQ213" s="928"/>
      <c r="DR213" s="928"/>
      <c r="DS213" s="928"/>
      <c r="DT213" s="928"/>
      <c r="DU213" s="928"/>
      <c r="DV213" s="928"/>
      <c r="DW213" s="928"/>
      <c r="DX213" s="928"/>
      <c r="DY213" s="1338"/>
      <c r="DZ213" s="928"/>
      <c r="EA213" s="928"/>
      <c r="EB213" s="928"/>
      <c r="EC213" s="1337"/>
      <c r="ED213" s="1338"/>
      <c r="EE213" s="928"/>
      <c r="EF213" s="928"/>
      <c r="EG213" s="928"/>
      <c r="EH213" s="1337"/>
      <c r="EI213" s="928"/>
      <c r="EJ213" s="928"/>
      <c r="EK213" s="928"/>
      <c r="EL213" s="928"/>
      <c r="EM213" s="1337"/>
      <c r="EN213" s="928"/>
      <c r="EO213" s="928"/>
      <c r="EP213" s="928"/>
      <c r="EQ213" s="928"/>
      <c r="ER213" s="928"/>
      <c r="ES213" s="928"/>
      <c r="ET213" s="928"/>
      <c r="EU213" s="928"/>
      <c r="EV213" s="928"/>
      <c r="EW213" s="928"/>
      <c r="EX213" s="928"/>
      <c r="EY213" s="928"/>
      <c r="EZ213" s="928"/>
      <c r="FA213" s="928"/>
      <c r="FB213" s="928"/>
      <c r="FC213" s="928"/>
      <c r="FD213" s="928"/>
      <c r="FE213" s="928"/>
      <c r="FF213" s="1363"/>
      <c r="FG213" s="928"/>
      <c r="FH213" s="1351"/>
      <c r="FI213" s="1319"/>
      <c r="FJ213" s="1612"/>
      <c r="FK213" s="1605"/>
      <c r="FL213" s="928"/>
      <c r="FM213" s="928"/>
      <c r="FN213" s="928"/>
      <c r="FO213" s="928"/>
      <c r="FP213" s="928"/>
      <c r="FQ213" s="928"/>
    </row>
    <row r="214" spans="1:173" hidden="1">
      <c r="A214" s="1484" t="s">
        <v>612</v>
      </c>
      <c r="B214" s="1446">
        <v>165</v>
      </c>
      <c r="C214" s="1446">
        <v>180</v>
      </c>
      <c r="D214" s="1446">
        <v>188</v>
      </c>
      <c r="E214" s="1446">
        <v>205</v>
      </c>
      <c r="F214" s="1446"/>
      <c r="G214" s="1446">
        <v>219</v>
      </c>
      <c r="H214" s="1446">
        <v>232</v>
      </c>
      <c r="I214" s="1446">
        <v>249</v>
      </c>
      <c r="J214" s="1446">
        <v>266</v>
      </c>
      <c r="K214" s="1446"/>
      <c r="L214" s="1446">
        <v>279</v>
      </c>
      <c r="M214" s="1446">
        <v>283</v>
      </c>
      <c r="N214" s="1035">
        <v>292.10000000000002</v>
      </c>
      <c r="O214" s="1446">
        <v>302</v>
      </c>
      <c r="P214" s="928"/>
      <c r="Q214" s="1035">
        <v>313</v>
      </c>
      <c r="R214" s="1035">
        <v>315.89999999999998</v>
      </c>
      <c r="S214" s="1035">
        <v>334.4</v>
      </c>
      <c r="T214" s="1035">
        <v>348</v>
      </c>
      <c r="U214" s="1413"/>
      <c r="V214" s="1035">
        <v>362.89100000000002</v>
      </c>
      <c r="W214" s="1035">
        <v>386.45100000000002</v>
      </c>
      <c r="X214" s="1035">
        <v>403</v>
      </c>
      <c r="Y214" s="1413"/>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355"/>
      <c r="BF214" s="1254"/>
      <c r="BG214" s="1254"/>
      <c r="BH214" s="1254"/>
      <c r="BI214" s="1389"/>
      <c r="BJ214" s="1355"/>
      <c r="BK214" s="1254"/>
      <c r="BL214" s="1254"/>
      <c r="BM214" s="1254"/>
      <c r="BN214" s="1389"/>
      <c r="BO214" s="1355"/>
      <c r="BP214" s="1254"/>
      <c r="BQ214" s="1254"/>
      <c r="BR214" s="1254"/>
      <c r="BS214" s="1389"/>
      <c r="BT214" s="1355"/>
      <c r="BU214" s="1254"/>
      <c r="BV214" s="1254"/>
      <c r="BW214" s="1254"/>
      <c r="BX214" s="1389"/>
      <c r="BY214" s="1254"/>
      <c r="BZ214" s="1254"/>
      <c r="CA214" s="928"/>
      <c r="CB214" s="928"/>
      <c r="CC214" s="928"/>
      <c r="CD214" s="928"/>
      <c r="CE214" s="928"/>
      <c r="CF214" s="928"/>
      <c r="CG214" s="928"/>
      <c r="CH214" s="928"/>
      <c r="CI214" s="928"/>
      <c r="CJ214" s="928"/>
      <c r="CK214" s="928"/>
      <c r="CL214" s="928"/>
      <c r="CM214" s="928"/>
      <c r="CN214" s="928"/>
      <c r="CO214" s="928"/>
      <c r="CP214" s="928"/>
      <c r="CQ214" s="928"/>
      <c r="CR214" s="928"/>
      <c r="CS214" s="928"/>
      <c r="CT214" s="928"/>
      <c r="CU214" s="928"/>
      <c r="CV214" s="928"/>
      <c r="CW214" s="928"/>
      <c r="CX214" s="928"/>
      <c r="CY214" s="928"/>
      <c r="CZ214" s="928"/>
      <c r="DA214" s="928"/>
      <c r="DB214" s="928"/>
      <c r="DC214" s="928"/>
      <c r="DD214" s="928"/>
      <c r="DE214" s="928"/>
      <c r="DF214" s="928"/>
      <c r="DG214" s="928"/>
      <c r="DH214" s="928"/>
      <c r="DI214" s="928"/>
      <c r="DJ214" s="928"/>
      <c r="DK214" s="928"/>
      <c r="DL214" s="928"/>
      <c r="DM214" s="928"/>
      <c r="DN214" s="928"/>
      <c r="DO214" s="928"/>
      <c r="DP214" s="928"/>
      <c r="DQ214" s="928"/>
      <c r="DR214" s="928"/>
      <c r="DS214" s="928"/>
      <c r="DT214" s="928"/>
      <c r="DU214" s="928"/>
      <c r="DV214" s="928"/>
      <c r="DW214" s="928"/>
      <c r="DX214" s="928"/>
      <c r="DY214" s="1338"/>
      <c r="DZ214" s="928"/>
      <c r="EA214" s="928"/>
      <c r="EB214" s="928"/>
      <c r="EC214" s="1337"/>
      <c r="ED214" s="1338"/>
      <c r="EE214" s="928"/>
      <c r="EF214" s="928"/>
      <c r="EG214" s="928"/>
      <c r="EH214" s="1337"/>
      <c r="EI214" s="928"/>
      <c r="EJ214" s="928"/>
      <c r="EK214" s="928"/>
      <c r="EL214" s="928"/>
      <c r="EM214" s="1337"/>
      <c r="EN214" s="928"/>
      <c r="EO214" s="928"/>
      <c r="EP214" s="928"/>
      <c r="EQ214" s="928"/>
      <c r="ER214" s="928"/>
      <c r="ES214" s="928"/>
      <c r="ET214" s="928"/>
      <c r="EU214" s="928"/>
      <c r="EV214" s="928"/>
      <c r="EW214" s="928"/>
      <c r="EX214" s="928"/>
      <c r="EY214" s="928"/>
      <c r="EZ214" s="928"/>
      <c r="FA214" s="928"/>
      <c r="FB214" s="928"/>
      <c r="FC214" s="928"/>
      <c r="FD214" s="928"/>
      <c r="FE214" s="928"/>
      <c r="FF214" s="1363"/>
      <c r="FG214" s="928"/>
      <c r="FH214" s="1351"/>
      <c r="FI214" s="1319"/>
      <c r="FJ214" s="1612"/>
      <c r="FK214" s="1605"/>
      <c r="FL214" s="928"/>
      <c r="FM214" s="928"/>
      <c r="FN214" s="928"/>
      <c r="FO214" s="928"/>
      <c r="FP214" s="928"/>
      <c r="FQ214" s="928"/>
    </row>
    <row r="215" spans="1:173" hidden="1">
      <c r="A215" s="1344" t="s">
        <v>98</v>
      </c>
      <c r="B215" s="928">
        <f>SUM(B212:B214)</f>
        <v>1411</v>
      </c>
      <c r="C215" s="928">
        <f>SUM(C212:C214)</f>
        <v>1459</v>
      </c>
      <c r="D215" s="928">
        <f>SUM(D212:D214)</f>
        <v>1491</v>
      </c>
      <c r="E215" s="928">
        <f>SUM(E212:E214)</f>
        <v>1562</v>
      </c>
      <c r="F215" s="928"/>
      <c r="G215" s="928">
        <f>SUM(G212:G214)</f>
        <v>1622</v>
      </c>
      <c r="H215" s="928">
        <f>SUM(H212:H214)</f>
        <v>1656</v>
      </c>
      <c r="I215" s="928">
        <f>SUM(I212:I214)</f>
        <v>1724</v>
      </c>
      <c r="J215" s="928">
        <f>SUM(J212:J214)</f>
        <v>1818</v>
      </c>
      <c r="K215" s="928"/>
      <c r="L215" s="928">
        <f>SUM(L212:L214)</f>
        <v>1872</v>
      </c>
      <c r="M215" s="928">
        <f>SUM(M212:M214)</f>
        <v>1889</v>
      </c>
      <c r="N215" s="928">
        <f>SUM(N212:N214)</f>
        <v>1938.6959999999999</v>
      </c>
      <c r="O215" s="928">
        <f>SUM(O212:O214)</f>
        <v>2016</v>
      </c>
      <c r="P215" s="928"/>
      <c r="Q215" s="1413">
        <f>SUM(Q212:Q214)</f>
        <v>2074.3000000000002</v>
      </c>
      <c r="R215" s="1413">
        <f>SUM(R212:R214)</f>
        <v>2110.5</v>
      </c>
      <c r="S215" s="1413">
        <f>SUM(S212:S214)</f>
        <v>2192.6999999999998</v>
      </c>
      <c r="T215" s="1413">
        <f>SUM(T212:T214)</f>
        <v>2238</v>
      </c>
      <c r="U215" s="1413"/>
      <c r="V215" s="1413">
        <f>SUM(V212:V214)</f>
        <v>2302.4450000000002</v>
      </c>
      <c r="W215" s="1413">
        <f>SUM(W212:W214)</f>
        <v>2379.7950000000001</v>
      </c>
      <c r="X215" s="1413">
        <f>SUM(X212:X214)</f>
        <v>2420</v>
      </c>
      <c r="Y215" s="1413"/>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355"/>
      <c r="BF215" s="1254"/>
      <c r="BG215" s="1254"/>
      <c r="BH215" s="1254"/>
      <c r="BI215" s="1389"/>
      <c r="BJ215" s="1355"/>
      <c r="BK215" s="1254"/>
      <c r="BL215" s="1254"/>
      <c r="BM215" s="1254"/>
      <c r="BN215" s="1389"/>
      <c r="BO215" s="1355"/>
      <c r="BP215" s="1254"/>
      <c r="BQ215" s="1254"/>
      <c r="BR215" s="1254"/>
      <c r="BS215" s="1389"/>
      <c r="BT215" s="1355"/>
      <c r="BU215" s="1254"/>
      <c r="BV215" s="1254"/>
      <c r="BW215" s="1254"/>
      <c r="BX215" s="1389"/>
      <c r="BY215" s="1254"/>
      <c r="BZ215" s="1254"/>
      <c r="CA215" s="928"/>
      <c r="CB215" s="928"/>
      <c r="CC215" s="928"/>
      <c r="CD215" s="928"/>
      <c r="CE215" s="928"/>
      <c r="CF215" s="928"/>
      <c r="CG215" s="928"/>
      <c r="CH215" s="928"/>
      <c r="CI215" s="928"/>
      <c r="CJ215" s="928"/>
      <c r="CK215" s="928"/>
      <c r="CL215" s="928"/>
      <c r="CM215" s="928"/>
      <c r="CN215" s="928"/>
      <c r="CO215" s="928"/>
      <c r="CP215" s="928"/>
      <c r="CQ215" s="928"/>
      <c r="CR215" s="928"/>
      <c r="CS215" s="928"/>
      <c r="CT215" s="928"/>
      <c r="CU215" s="928"/>
      <c r="CV215" s="928"/>
      <c r="CW215" s="928"/>
      <c r="CX215" s="928"/>
      <c r="CY215" s="928"/>
      <c r="CZ215" s="928"/>
      <c r="DA215" s="928"/>
      <c r="DB215" s="928"/>
      <c r="DC215" s="928"/>
      <c r="DD215" s="928"/>
      <c r="DE215" s="928"/>
      <c r="DF215" s="928"/>
      <c r="DG215" s="928"/>
      <c r="DH215" s="928"/>
      <c r="DI215" s="928"/>
      <c r="DJ215" s="928"/>
      <c r="DK215" s="928"/>
      <c r="DL215" s="928"/>
      <c r="DM215" s="928"/>
      <c r="DN215" s="928"/>
      <c r="DO215" s="928"/>
      <c r="DP215" s="928"/>
      <c r="DQ215" s="928"/>
      <c r="DR215" s="928"/>
      <c r="DS215" s="928"/>
      <c r="DT215" s="928"/>
      <c r="DU215" s="928"/>
      <c r="DV215" s="928"/>
      <c r="DW215" s="928"/>
      <c r="DX215" s="928"/>
      <c r="DY215" s="1338"/>
      <c r="DZ215" s="928"/>
      <c r="EA215" s="928"/>
      <c r="EB215" s="928"/>
      <c r="EC215" s="1337"/>
      <c r="ED215" s="1338"/>
      <c r="EE215" s="928"/>
      <c r="EF215" s="928"/>
      <c r="EG215" s="928"/>
      <c r="EH215" s="1337"/>
      <c r="EI215" s="928"/>
      <c r="EJ215" s="928"/>
      <c r="EK215" s="928"/>
      <c r="EL215" s="928"/>
      <c r="EM215" s="1337"/>
      <c r="EN215" s="928"/>
      <c r="EO215" s="928"/>
      <c r="EP215" s="928"/>
      <c r="EQ215" s="928"/>
      <c r="ER215" s="928"/>
      <c r="ES215" s="928"/>
      <c r="ET215" s="928"/>
      <c r="EU215" s="928"/>
      <c r="EV215" s="928"/>
      <c r="EW215" s="928"/>
      <c r="EX215" s="928"/>
      <c r="EY215" s="928"/>
      <c r="EZ215" s="928"/>
      <c r="FA215" s="928"/>
      <c r="FB215" s="928"/>
      <c r="FC215" s="928"/>
      <c r="FD215" s="928"/>
      <c r="FE215" s="928"/>
      <c r="FF215" s="1363"/>
      <c r="FG215" s="928"/>
      <c r="FH215" s="1351"/>
      <c r="FI215" s="1319"/>
      <c r="FJ215" s="1612"/>
      <c r="FK215" s="1605"/>
      <c r="FL215" s="928"/>
      <c r="FM215" s="928"/>
      <c r="FN215" s="928"/>
      <c r="FO215" s="928"/>
      <c r="FP215" s="928"/>
      <c r="FQ215" s="928"/>
    </row>
    <row r="216" spans="1:173" hidden="1">
      <c r="A216" s="1344"/>
      <c r="B216" s="928"/>
      <c r="C216" s="928"/>
      <c r="D216" s="928"/>
      <c r="E216" s="928"/>
      <c r="F216" s="928"/>
      <c r="G216" s="928"/>
      <c r="H216" s="928"/>
      <c r="I216" s="928"/>
      <c r="J216" s="928"/>
      <c r="K216" s="928"/>
      <c r="L216" s="928"/>
      <c r="M216" s="928"/>
      <c r="N216" s="928"/>
      <c r="O216" s="928"/>
      <c r="P216" s="928"/>
      <c r="Q216" s="928"/>
      <c r="R216" s="928"/>
      <c r="S216" s="928"/>
      <c r="T216" s="928"/>
      <c r="U216" s="928"/>
      <c r="V216" s="928"/>
      <c r="W216" s="928"/>
      <c r="X216" s="928"/>
      <c r="Y216" s="928"/>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355"/>
      <c r="BF216" s="1254"/>
      <c r="BG216" s="1254"/>
      <c r="BH216" s="1254"/>
      <c r="BI216" s="1389"/>
      <c r="BJ216" s="1355"/>
      <c r="BK216" s="1254"/>
      <c r="BL216" s="1254"/>
      <c r="BM216" s="1254"/>
      <c r="BN216" s="1389"/>
      <c r="BO216" s="1355"/>
      <c r="BP216" s="1254"/>
      <c r="BQ216" s="1254"/>
      <c r="BR216" s="1254"/>
      <c r="BS216" s="1389"/>
      <c r="BT216" s="1355"/>
      <c r="BU216" s="1254"/>
      <c r="BV216" s="1254"/>
      <c r="BW216" s="1254"/>
      <c r="BX216" s="1389"/>
      <c r="BY216" s="1254"/>
      <c r="BZ216" s="1254"/>
      <c r="CA216" s="928"/>
      <c r="CB216" s="928"/>
      <c r="CC216" s="928"/>
      <c r="CD216" s="928"/>
      <c r="CE216" s="928"/>
      <c r="CF216" s="928"/>
      <c r="CG216" s="928"/>
      <c r="CH216" s="928"/>
      <c r="CI216" s="928"/>
      <c r="CJ216" s="928"/>
      <c r="CK216" s="928"/>
      <c r="CL216" s="928"/>
      <c r="CM216" s="928"/>
      <c r="CN216" s="928"/>
      <c r="CO216" s="928"/>
      <c r="CP216" s="928"/>
      <c r="CQ216" s="928"/>
      <c r="CR216" s="928"/>
      <c r="CS216" s="928"/>
      <c r="CT216" s="928"/>
      <c r="CU216" s="928"/>
      <c r="CV216" s="928"/>
      <c r="CW216" s="928"/>
      <c r="CX216" s="928"/>
      <c r="CY216" s="928"/>
      <c r="CZ216" s="928"/>
      <c r="DA216" s="928"/>
      <c r="DB216" s="928"/>
      <c r="DC216" s="928"/>
      <c r="DD216" s="928"/>
      <c r="DE216" s="928"/>
      <c r="DF216" s="928"/>
      <c r="DG216" s="928"/>
      <c r="DH216" s="928"/>
      <c r="DI216" s="928"/>
      <c r="DJ216" s="928"/>
      <c r="DK216" s="928"/>
      <c r="DL216" s="928"/>
      <c r="DM216" s="928"/>
      <c r="DN216" s="928"/>
      <c r="DO216" s="928"/>
      <c r="DP216" s="928"/>
      <c r="DQ216" s="928"/>
      <c r="DR216" s="928"/>
      <c r="DS216" s="928"/>
      <c r="DT216" s="928"/>
      <c r="DU216" s="928"/>
      <c r="DV216" s="928"/>
      <c r="DW216" s="928"/>
      <c r="DX216" s="928"/>
      <c r="DY216" s="1338"/>
      <c r="DZ216" s="928"/>
      <c r="EA216" s="928"/>
      <c r="EB216" s="928"/>
      <c r="EC216" s="1337"/>
      <c r="ED216" s="1338"/>
      <c r="EE216" s="928"/>
      <c r="EF216" s="928"/>
      <c r="EG216" s="928"/>
      <c r="EH216" s="1337"/>
      <c r="EI216" s="928"/>
      <c r="EJ216" s="928"/>
      <c r="EK216" s="928"/>
      <c r="EL216" s="928"/>
      <c r="EM216" s="1337"/>
      <c r="EN216" s="928"/>
      <c r="EO216" s="928"/>
      <c r="EP216" s="928"/>
      <c r="EQ216" s="928"/>
      <c r="ER216" s="928"/>
      <c r="ES216" s="928"/>
      <c r="ET216" s="928"/>
      <c r="EU216" s="928"/>
      <c r="EV216" s="928"/>
      <c r="EW216" s="928"/>
      <c r="EX216" s="928"/>
      <c r="EY216" s="928"/>
      <c r="EZ216" s="928"/>
      <c r="FA216" s="928"/>
      <c r="FB216" s="928"/>
      <c r="FC216" s="928"/>
      <c r="FD216" s="928"/>
      <c r="FE216" s="928"/>
      <c r="FF216" s="1363"/>
      <c r="FG216" s="928"/>
      <c r="FH216" s="1351"/>
      <c r="FI216" s="1319"/>
      <c r="FJ216" s="1612"/>
      <c r="FK216" s="1605"/>
      <c r="FL216" s="928"/>
      <c r="FM216" s="928"/>
      <c r="FN216" s="928"/>
      <c r="FO216" s="928"/>
      <c r="FP216" s="928"/>
      <c r="FQ216" s="928"/>
    </row>
    <row r="217" spans="1:173" hidden="1">
      <c r="A217" s="1385" t="s">
        <v>613</v>
      </c>
      <c r="B217" s="928"/>
      <c r="C217" s="928"/>
      <c r="D217" s="928"/>
      <c r="E217" s="928"/>
      <c r="F217" s="928"/>
      <c r="G217" s="928"/>
      <c r="H217" s="928"/>
      <c r="I217" s="928"/>
      <c r="J217" s="928"/>
      <c r="K217" s="928"/>
      <c r="L217" s="928"/>
      <c r="M217" s="928"/>
      <c r="N217" s="1413"/>
      <c r="O217" s="928"/>
      <c r="P217" s="928"/>
      <c r="Q217" s="928"/>
      <c r="R217" s="928"/>
      <c r="S217" s="928"/>
      <c r="T217" s="928"/>
      <c r="U217" s="928"/>
      <c r="V217" s="928"/>
      <c r="W217" s="928"/>
      <c r="X217" s="928"/>
      <c r="Y217" s="928"/>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355"/>
      <c r="BF217" s="1254"/>
      <c r="BG217" s="1254"/>
      <c r="BH217" s="1254"/>
      <c r="BI217" s="1389"/>
      <c r="BJ217" s="1355"/>
      <c r="BK217" s="1254"/>
      <c r="BL217" s="1254"/>
      <c r="BM217" s="1254"/>
      <c r="BN217" s="1389"/>
      <c r="BO217" s="1355"/>
      <c r="BP217" s="1254"/>
      <c r="BQ217" s="1254"/>
      <c r="BR217" s="1254"/>
      <c r="BS217" s="1389"/>
      <c r="BT217" s="1355"/>
      <c r="BU217" s="1254"/>
      <c r="BV217" s="1254"/>
      <c r="BW217" s="1254"/>
      <c r="BX217" s="1389"/>
      <c r="BY217" s="1254"/>
      <c r="BZ217" s="1254"/>
      <c r="CA217" s="928"/>
      <c r="CB217" s="928"/>
      <c r="CC217" s="928"/>
      <c r="CD217" s="928"/>
      <c r="CE217" s="928"/>
      <c r="CF217" s="928"/>
      <c r="CG217" s="928"/>
      <c r="CH217" s="928"/>
      <c r="CI217" s="928"/>
      <c r="CJ217" s="928"/>
      <c r="CK217" s="928"/>
      <c r="CL217" s="928"/>
      <c r="CM217" s="928"/>
      <c r="CN217" s="928"/>
      <c r="CO217" s="928"/>
      <c r="CP217" s="928"/>
      <c r="CQ217" s="928"/>
      <c r="CR217" s="928"/>
      <c r="CS217" s="928"/>
      <c r="CT217" s="928"/>
      <c r="CU217" s="928"/>
      <c r="CV217" s="928"/>
      <c r="CW217" s="928"/>
      <c r="CX217" s="928"/>
      <c r="CY217" s="928"/>
      <c r="CZ217" s="928"/>
      <c r="DA217" s="928"/>
      <c r="DB217" s="928"/>
      <c r="DC217" s="928"/>
      <c r="DD217" s="928"/>
      <c r="DE217" s="928"/>
      <c r="DF217" s="928"/>
      <c r="DG217" s="928"/>
      <c r="DH217" s="928"/>
      <c r="DI217" s="928"/>
      <c r="DJ217" s="928"/>
      <c r="DK217" s="928"/>
      <c r="DL217" s="928"/>
      <c r="DM217" s="928"/>
      <c r="DN217" s="928"/>
      <c r="DO217" s="928"/>
      <c r="DP217" s="928"/>
      <c r="DQ217" s="928"/>
      <c r="DR217" s="928"/>
      <c r="DS217" s="928"/>
      <c r="DT217" s="928"/>
      <c r="DU217" s="928"/>
      <c r="DV217" s="928"/>
      <c r="DW217" s="928"/>
      <c r="DX217" s="928"/>
      <c r="DY217" s="1338"/>
      <c r="DZ217" s="928"/>
      <c r="EA217" s="928"/>
      <c r="EB217" s="928"/>
      <c r="EC217" s="1337"/>
      <c r="ED217" s="1338"/>
      <c r="EE217" s="928"/>
      <c r="EF217" s="928"/>
      <c r="EG217" s="928"/>
      <c r="EH217" s="1337"/>
      <c r="EI217" s="928"/>
      <c r="EJ217" s="928"/>
      <c r="EK217" s="928"/>
      <c r="EL217" s="928"/>
      <c r="EM217" s="1337"/>
      <c r="EN217" s="928"/>
      <c r="EO217" s="928"/>
      <c r="EP217" s="928"/>
      <c r="EQ217" s="928"/>
      <c r="ER217" s="928"/>
      <c r="ES217" s="928"/>
      <c r="ET217" s="928"/>
      <c r="EU217" s="928"/>
      <c r="EV217" s="928"/>
      <c r="EW217" s="928"/>
      <c r="EX217" s="928"/>
      <c r="EY217" s="928"/>
      <c r="EZ217" s="928"/>
      <c r="FA217" s="928"/>
      <c r="FB217" s="928"/>
      <c r="FC217" s="928"/>
      <c r="FD217" s="928"/>
      <c r="FE217" s="928"/>
      <c r="FF217" s="1363"/>
      <c r="FG217" s="928"/>
      <c r="FH217" s="1351"/>
      <c r="FI217" s="1319"/>
      <c r="FJ217" s="1612"/>
      <c r="FK217" s="1605"/>
      <c r="FL217" s="928"/>
      <c r="FM217" s="928"/>
      <c r="FN217" s="928"/>
      <c r="FO217" s="928"/>
      <c r="FP217" s="928"/>
      <c r="FQ217" s="928"/>
    </row>
    <row r="218" spans="1:173" hidden="1">
      <c r="A218" s="1344" t="s">
        <v>610</v>
      </c>
      <c r="B218" s="928"/>
      <c r="C218" s="928"/>
      <c r="D218" s="928"/>
      <c r="E218" s="928"/>
      <c r="F218" s="928"/>
      <c r="G218" s="928"/>
      <c r="H218" s="928"/>
      <c r="I218" s="928"/>
      <c r="J218" s="928">
        <v>1600</v>
      </c>
      <c r="K218" s="928"/>
      <c r="L218" s="928"/>
      <c r="M218" s="928"/>
      <c r="N218" s="1413"/>
      <c r="O218" s="928"/>
      <c r="P218" s="928"/>
      <c r="Q218" s="928"/>
      <c r="R218" s="928"/>
      <c r="S218" s="928"/>
      <c r="T218" s="928"/>
      <c r="U218" s="928"/>
      <c r="V218" s="928"/>
      <c r="W218" s="928"/>
      <c r="X218" s="928"/>
      <c r="Y218" s="928"/>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355"/>
      <c r="BF218" s="1254"/>
      <c r="BG218" s="1254"/>
      <c r="BH218" s="1254"/>
      <c r="BI218" s="1389"/>
      <c r="BJ218" s="1355"/>
      <c r="BK218" s="1254"/>
      <c r="BL218" s="1254"/>
      <c r="BM218" s="1254"/>
      <c r="BN218" s="1389"/>
      <c r="BO218" s="1355"/>
      <c r="BP218" s="1254"/>
      <c r="BQ218" s="1254"/>
      <c r="BR218" s="1254"/>
      <c r="BS218" s="1389"/>
      <c r="BT218" s="1355"/>
      <c r="BU218" s="1254"/>
      <c r="BV218" s="1254"/>
      <c r="BW218" s="1254"/>
      <c r="BX218" s="1389"/>
      <c r="BY218" s="1254"/>
      <c r="BZ218" s="1254"/>
      <c r="CA218" s="928"/>
      <c r="CB218" s="928"/>
      <c r="CC218" s="928"/>
      <c r="CD218" s="928"/>
      <c r="CE218" s="928"/>
      <c r="CF218" s="928"/>
      <c r="CG218" s="928"/>
      <c r="CH218" s="928"/>
      <c r="CI218" s="928"/>
      <c r="CJ218" s="928"/>
      <c r="CK218" s="928"/>
      <c r="CL218" s="928"/>
      <c r="CM218" s="928"/>
      <c r="CN218" s="928"/>
      <c r="CO218" s="928"/>
      <c r="CP218" s="928"/>
      <c r="CQ218" s="928"/>
      <c r="CR218" s="928"/>
      <c r="CS218" s="928"/>
      <c r="CT218" s="928"/>
      <c r="CU218" s="928"/>
      <c r="CV218" s="928"/>
      <c r="CW218" s="928"/>
      <c r="CX218" s="928"/>
      <c r="CY218" s="928"/>
      <c r="CZ218" s="928"/>
      <c r="DA218" s="928"/>
      <c r="DB218" s="928"/>
      <c r="DC218" s="928"/>
      <c r="DD218" s="928"/>
      <c r="DE218" s="928"/>
      <c r="DF218" s="928"/>
      <c r="DG218" s="928"/>
      <c r="DH218" s="928"/>
      <c r="DI218" s="928"/>
      <c r="DJ218" s="928"/>
      <c r="DK218" s="928"/>
      <c r="DL218" s="928"/>
      <c r="DM218" s="928"/>
      <c r="DN218" s="928"/>
      <c r="DO218" s="928"/>
      <c r="DP218" s="928"/>
      <c r="DQ218" s="928"/>
      <c r="DR218" s="928"/>
      <c r="DS218" s="928"/>
      <c r="DT218" s="928"/>
      <c r="DU218" s="928"/>
      <c r="DV218" s="928"/>
      <c r="DW218" s="928"/>
      <c r="DX218" s="928"/>
      <c r="DY218" s="1338"/>
      <c r="DZ218" s="928"/>
      <c r="EA218" s="928"/>
      <c r="EB218" s="928"/>
      <c r="EC218" s="1337"/>
      <c r="ED218" s="1338"/>
      <c r="EE218" s="928"/>
      <c r="EF218" s="928"/>
      <c r="EG218" s="928"/>
      <c r="EH218" s="1337"/>
      <c r="EI218" s="928"/>
      <c r="EJ218" s="928"/>
      <c r="EK218" s="928"/>
      <c r="EL218" s="928"/>
      <c r="EM218" s="1337"/>
      <c r="EN218" s="928"/>
      <c r="EO218" s="928"/>
      <c r="EP218" s="928"/>
      <c r="EQ218" s="928"/>
      <c r="ER218" s="928"/>
      <c r="ES218" s="928"/>
      <c r="ET218" s="928"/>
      <c r="EU218" s="928"/>
      <c r="EV218" s="928"/>
      <c r="EW218" s="928"/>
      <c r="EX218" s="928"/>
      <c r="EY218" s="928"/>
      <c r="EZ218" s="928"/>
      <c r="FA218" s="928"/>
      <c r="FB218" s="928"/>
      <c r="FC218" s="928"/>
      <c r="FD218" s="928"/>
      <c r="FE218" s="928"/>
      <c r="FF218" s="1363"/>
      <c r="FG218" s="928"/>
      <c r="FH218" s="1351"/>
      <c r="FI218" s="1319"/>
      <c r="FJ218" s="1612"/>
      <c r="FK218" s="1605"/>
      <c r="FL218" s="928"/>
      <c r="FM218" s="928"/>
      <c r="FN218" s="928"/>
      <c r="FO218" s="928"/>
      <c r="FP218" s="928"/>
      <c r="FQ218" s="928"/>
    </row>
    <row r="219" spans="1:173" hidden="1">
      <c r="A219" s="1344" t="s">
        <v>74</v>
      </c>
      <c r="B219" s="928">
        <v>249</v>
      </c>
      <c r="C219" s="928">
        <v>293</v>
      </c>
      <c r="D219" s="928">
        <v>299</v>
      </c>
      <c r="E219" s="928">
        <v>302</v>
      </c>
      <c r="F219" s="928"/>
      <c r="G219" s="928">
        <v>310</v>
      </c>
      <c r="H219" s="928">
        <v>366</v>
      </c>
      <c r="I219" s="928">
        <v>367</v>
      </c>
      <c r="J219" s="928">
        <v>370</v>
      </c>
      <c r="K219" s="928"/>
      <c r="L219" s="928">
        <v>383</v>
      </c>
      <c r="M219" s="928">
        <v>383</v>
      </c>
      <c r="N219" s="1413">
        <v>381.18400000000003</v>
      </c>
      <c r="O219" s="928">
        <v>375</v>
      </c>
      <c r="P219" s="928"/>
      <c r="Q219" s="1413">
        <v>402</v>
      </c>
      <c r="R219" s="1413">
        <v>413.2</v>
      </c>
      <c r="S219" s="1413">
        <v>426.6</v>
      </c>
      <c r="T219" s="1413">
        <v>443</v>
      </c>
      <c r="U219" s="1413"/>
      <c r="V219" s="1413">
        <v>459.28800000000001</v>
      </c>
      <c r="W219" s="1413">
        <v>474.33100000000002</v>
      </c>
      <c r="X219" s="1413">
        <v>479</v>
      </c>
      <c r="Y219" s="1413"/>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355"/>
      <c r="BF219" s="1254"/>
      <c r="BG219" s="1254"/>
      <c r="BH219" s="1254"/>
      <c r="BI219" s="1389"/>
      <c r="BJ219" s="1355"/>
      <c r="BK219" s="1254"/>
      <c r="BL219" s="1254"/>
      <c r="BM219" s="1254"/>
      <c r="BN219" s="1389"/>
      <c r="BO219" s="1355"/>
      <c r="BP219" s="1254"/>
      <c r="BQ219" s="1254"/>
      <c r="BR219" s="1254"/>
      <c r="BS219" s="1389"/>
      <c r="BT219" s="1355"/>
      <c r="BU219" s="1254"/>
      <c r="BV219" s="1254"/>
      <c r="BW219" s="1254"/>
      <c r="BX219" s="1389"/>
      <c r="BY219" s="1254"/>
      <c r="BZ219" s="1254"/>
      <c r="CA219" s="928"/>
      <c r="CB219" s="928"/>
      <c r="CC219" s="928"/>
      <c r="CD219" s="928"/>
      <c r="CE219" s="928"/>
      <c r="CF219" s="928"/>
      <c r="CG219" s="928"/>
      <c r="CH219" s="928"/>
      <c r="CI219" s="928"/>
      <c r="CJ219" s="928"/>
      <c r="CK219" s="928"/>
      <c r="CL219" s="928"/>
      <c r="CM219" s="928"/>
      <c r="CN219" s="928"/>
      <c r="CO219" s="928"/>
      <c r="CP219" s="928"/>
      <c r="CQ219" s="928"/>
      <c r="CR219" s="928"/>
      <c r="CS219" s="928"/>
      <c r="CT219" s="928"/>
      <c r="CU219" s="928"/>
      <c r="CV219" s="928"/>
      <c r="CW219" s="928"/>
      <c r="CX219" s="928"/>
      <c r="CY219" s="928"/>
      <c r="CZ219" s="928"/>
      <c r="DA219" s="928"/>
      <c r="DB219" s="928"/>
      <c r="DC219" s="928"/>
      <c r="DD219" s="928"/>
      <c r="DE219" s="928"/>
      <c r="DF219" s="928"/>
      <c r="DG219" s="928"/>
      <c r="DH219" s="928"/>
      <c r="DI219" s="928"/>
      <c r="DJ219" s="928"/>
      <c r="DK219" s="928"/>
      <c r="DL219" s="928"/>
      <c r="DM219" s="928"/>
      <c r="DN219" s="928"/>
      <c r="DO219" s="928"/>
      <c r="DP219" s="928"/>
      <c r="DQ219" s="928"/>
      <c r="DR219" s="928"/>
      <c r="DS219" s="928"/>
      <c r="DT219" s="928"/>
      <c r="DU219" s="928"/>
      <c r="DV219" s="928"/>
      <c r="DW219" s="928"/>
      <c r="DX219" s="928"/>
      <c r="DY219" s="1338"/>
      <c r="DZ219" s="928"/>
      <c r="EA219" s="928"/>
      <c r="EB219" s="928"/>
      <c r="EC219" s="1337"/>
      <c r="ED219" s="1338"/>
      <c r="EE219" s="928"/>
      <c r="EF219" s="928"/>
      <c r="EG219" s="928"/>
      <c r="EH219" s="1337"/>
      <c r="EI219" s="928"/>
      <c r="EJ219" s="928"/>
      <c r="EK219" s="928"/>
      <c r="EL219" s="928"/>
      <c r="EM219" s="1337"/>
      <c r="EN219" s="928"/>
      <c r="EO219" s="928"/>
      <c r="EP219" s="928"/>
      <c r="EQ219" s="928"/>
      <c r="ER219" s="928"/>
      <c r="ES219" s="928"/>
      <c r="ET219" s="928"/>
      <c r="EU219" s="928"/>
      <c r="EV219" s="928"/>
      <c r="EW219" s="928"/>
      <c r="EX219" s="928"/>
      <c r="EY219" s="928"/>
      <c r="EZ219" s="928"/>
      <c r="FA219" s="928"/>
      <c r="FB219" s="928"/>
      <c r="FC219" s="928"/>
      <c r="FD219" s="928"/>
      <c r="FE219" s="928"/>
      <c r="FF219" s="1363"/>
      <c r="FG219" s="928"/>
      <c r="FH219" s="1351"/>
      <c r="FI219" s="1319"/>
      <c r="FJ219" s="1612"/>
      <c r="FK219" s="1605"/>
      <c r="FL219" s="928"/>
      <c r="FM219" s="928"/>
      <c r="FN219" s="928"/>
      <c r="FO219" s="928"/>
      <c r="FP219" s="928"/>
      <c r="FQ219" s="928"/>
    </row>
    <row r="220" spans="1:173" hidden="1">
      <c r="A220" s="1344" t="s">
        <v>611</v>
      </c>
      <c r="B220" s="928">
        <v>123</v>
      </c>
      <c r="C220" s="928">
        <v>136</v>
      </c>
      <c r="D220" s="928">
        <v>141</v>
      </c>
      <c r="E220" s="928">
        <v>147</v>
      </c>
      <c r="F220" s="928"/>
      <c r="G220" s="928">
        <v>158</v>
      </c>
      <c r="H220" s="928">
        <v>173</v>
      </c>
      <c r="I220" s="928">
        <v>182</v>
      </c>
      <c r="J220" s="928">
        <v>191</v>
      </c>
      <c r="K220" s="928"/>
      <c r="L220" s="928">
        <v>205</v>
      </c>
      <c r="M220" s="928">
        <v>211</v>
      </c>
      <c r="N220" s="1413">
        <v>222.791</v>
      </c>
      <c r="O220" s="928">
        <v>230</v>
      </c>
      <c r="P220" s="928"/>
      <c r="Q220" s="1413">
        <v>240</v>
      </c>
      <c r="R220" s="1413">
        <v>253</v>
      </c>
      <c r="S220" s="1413">
        <v>270.8</v>
      </c>
      <c r="T220" s="1413">
        <v>295</v>
      </c>
      <c r="U220" s="1413"/>
      <c r="V220" s="1413">
        <v>321.68</v>
      </c>
      <c r="W220" s="1413">
        <v>342.15100000000001</v>
      </c>
      <c r="X220" s="1413">
        <v>361</v>
      </c>
      <c r="Y220" s="1413"/>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355"/>
      <c r="BF220" s="1254"/>
      <c r="BG220" s="1254"/>
      <c r="BH220" s="1254"/>
      <c r="BI220" s="1389"/>
      <c r="BJ220" s="1355"/>
      <c r="BK220" s="1254"/>
      <c r="BL220" s="1254"/>
      <c r="BM220" s="1254"/>
      <c r="BN220" s="1389"/>
      <c r="BO220" s="1355"/>
      <c r="BP220" s="1254"/>
      <c r="BQ220" s="1254"/>
      <c r="BR220" s="1254"/>
      <c r="BS220" s="1389"/>
      <c r="BT220" s="1355"/>
      <c r="BU220" s="1254"/>
      <c r="BV220" s="1254"/>
      <c r="BW220" s="1254"/>
      <c r="BX220" s="1389"/>
      <c r="BY220" s="1254"/>
      <c r="BZ220" s="1254"/>
      <c r="CA220" s="928"/>
      <c r="CB220" s="928"/>
      <c r="CC220" s="928"/>
      <c r="CD220" s="928"/>
      <c r="CE220" s="928"/>
      <c r="CF220" s="928"/>
      <c r="CG220" s="928"/>
      <c r="CH220" s="928"/>
      <c r="CI220" s="928"/>
      <c r="CJ220" s="928"/>
      <c r="CK220" s="928"/>
      <c r="CL220" s="928"/>
      <c r="CM220" s="928"/>
      <c r="CN220" s="928"/>
      <c r="CO220" s="928"/>
      <c r="CP220" s="928"/>
      <c r="CQ220" s="928"/>
      <c r="CR220" s="928"/>
      <c r="CS220" s="928"/>
      <c r="CT220" s="928"/>
      <c r="CU220" s="928"/>
      <c r="CV220" s="928"/>
      <c r="CW220" s="928"/>
      <c r="CX220" s="928"/>
      <c r="CY220" s="928"/>
      <c r="CZ220" s="928"/>
      <c r="DA220" s="928"/>
      <c r="DB220" s="928"/>
      <c r="DC220" s="928"/>
      <c r="DD220" s="928"/>
      <c r="DE220" s="928"/>
      <c r="DF220" s="928"/>
      <c r="DG220" s="928"/>
      <c r="DH220" s="928"/>
      <c r="DI220" s="928"/>
      <c r="DJ220" s="928"/>
      <c r="DK220" s="928"/>
      <c r="DL220" s="928"/>
      <c r="DM220" s="928"/>
      <c r="DN220" s="928"/>
      <c r="DO220" s="928"/>
      <c r="DP220" s="928"/>
      <c r="DQ220" s="928"/>
      <c r="DR220" s="928"/>
      <c r="DS220" s="928"/>
      <c r="DT220" s="928"/>
      <c r="DU220" s="928"/>
      <c r="DV220" s="928"/>
      <c r="DW220" s="928"/>
      <c r="DX220" s="928"/>
      <c r="DY220" s="1338"/>
      <c r="DZ220" s="928"/>
      <c r="EA220" s="928"/>
      <c r="EB220" s="928"/>
      <c r="EC220" s="1337"/>
      <c r="ED220" s="1338"/>
      <c r="EE220" s="928"/>
      <c r="EF220" s="928"/>
      <c r="EG220" s="928"/>
      <c r="EH220" s="1337"/>
      <c r="EI220" s="928"/>
      <c r="EJ220" s="928"/>
      <c r="EK220" s="928"/>
      <c r="EL220" s="928"/>
      <c r="EM220" s="1337"/>
      <c r="EN220" s="928"/>
      <c r="EO220" s="928"/>
      <c r="EP220" s="928"/>
      <c r="EQ220" s="928"/>
      <c r="ER220" s="928"/>
      <c r="ES220" s="928"/>
      <c r="ET220" s="928"/>
      <c r="EU220" s="928"/>
      <c r="EV220" s="928"/>
      <c r="EW220" s="928"/>
      <c r="EX220" s="928"/>
      <c r="EY220" s="928"/>
      <c r="EZ220" s="928"/>
      <c r="FA220" s="928"/>
      <c r="FB220" s="928"/>
      <c r="FC220" s="928"/>
      <c r="FD220" s="928"/>
      <c r="FE220" s="928"/>
      <c r="FF220" s="1363"/>
      <c r="FG220" s="928"/>
      <c r="FH220" s="1351"/>
      <c r="FI220" s="1319"/>
      <c r="FJ220" s="1612"/>
      <c r="FK220" s="1605"/>
      <c r="FL220" s="928"/>
      <c r="FM220" s="928"/>
      <c r="FN220" s="928"/>
      <c r="FO220" s="928"/>
      <c r="FP220" s="928"/>
      <c r="FQ220" s="928"/>
    </row>
    <row r="221" spans="1:173" hidden="1">
      <c r="A221" s="1484" t="s">
        <v>612</v>
      </c>
      <c r="B221" s="1446">
        <v>86</v>
      </c>
      <c r="C221" s="1446">
        <v>95</v>
      </c>
      <c r="D221" s="1446">
        <v>101</v>
      </c>
      <c r="E221" s="1446">
        <v>106</v>
      </c>
      <c r="F221" s="1446"/>
      <c r="G221" s="1446">
        <v>116</v>
      </c>
      <c r="H221" s="1446">
        <v>126</v>
      </c>
      <c r="I221" s="1446">
        <v>129</v>
      </c>
      <c r="J221" s="1446">
        <v>132</v>
      </c>
      <c r="K221" s="1446"/>
      <c r="L221" s="1446">
        <v>136</v>
      </c>
      <c r="M221" s="1446">
        <v>134</v>
      </c>
      <c r="N221" s="1035">
        <v>134.69200000000001</v>
      </c>
      <c r="O221" s="1446">
        <v>133</v>
      </c>
      <c r="P221" s="928"/>
      <c r="Q221" s="1035">
        <v>134</v>
      </c>
      <c r="R221" s="1035">
        <v>137</v>
      </c>
      <c r="S221" s="1035">
        <v>144.6</v>
      </c>
      <c r="T221" s="1035">
        <v>153</v>
      </c>
      <c r="U221" s="1413"/>
      <c r="V221" s="1035">
        <v>160.71600000000001</v>
      </c>
      <c r="W221" s="1035">
        <v>167.86099999999999</v>
      </c>
      <c r="X221" s="1035">
        <v>173</v>
      </c>
      <c r="Y221" s="1413"/>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355"/>
      <c r="BF221" s="1254"/>
      <c r="BG221" s="1254"/>
      <c r="BH221" s="1254"/>
      <c r="BI221" s="1389"/>
      <c r="BJ221" s="1355"/>
      <c r="BK221" s="1254"/>
      <c r="BL221" s="1254"/>
      <c r="BM221" s="1254"/>
      <c r="BN221" s="1389"/>
      <c r="BO221" s="1355"/>
      <c r="BP221" s="1254"/>
      <c r="BQ221" s="1254"/>
      <c r="BR221" s="1254"/>
      <c r="BS221" s="1389"/>
      <c r="BT221" s="1355"/>
      <c r="BU221" s="1254"/>
      <c r="BV221" s="1254"/>
      <c r="BW221" s="1254"/>
      <c r="BX221" s="1389"/>
      <c r="BY221" s="1254"/>
      <c r="BZ221" s="1254"/>
      <c r="CA221" s="928"/>
      <c r="CB221" s="928"/>
      <c r="CC221" s="928"/>
      <c r="CD221" s="928"/>
      <c r="CE221" s="928"/>
      <c r="CF221" s="928"/>
      <c r="CG221" s="928"/>
      <c r="CH221" s="928"/>
      <c r="CI221" s="928"/>
      <c r="CJ221" s="928"/>
      <c r="CK221" s="928"/>
      <c r="CL221" s="928"/>
      <c r="CM221" s="928"/>
      <c r="CN221" s="928"/>
      <c r="CO221" s="928"/>
      <c r="CP221" s="928"/>
      <c r="CQ221" s="928"/>
      <c r="CR221" s="928"/>
      <c r="CS221" s="928"/>
      <c r="CT221" s="928"/>
      <c r="CU221" s="928"/>
      <c r="CV221" s="928"/>
      <c r="CW221" s="928"/>
      <c r="CX221" s="928"/>
      <c r="CY221" s="928"/>
      <c r="CZ221" s="928"/>
      <c r="DA221" s="928"/>
      <c r="DB221" s="928"/>
      <c r="DC221" s="928"/>
      <c r="DD221" s="928"/>
      <c r="DE221" s="928"/>
      <c r="DF221" s="928"/>
      <c r="DG221" s="928"/>
      <c r="DH221" s="928"/>
      <c r="DI221" s="928"/>
      <c r="DJ221" s="928"/>
      <c r="DK221" s="928"/>
      <c r="DL221" s="928"/>
      <c r="DM221" s="928"/>
      <c r="DN221" s="928"/>
      <c r="DO221" s="928"/>
      <c r="DP221" s="928"/>
      <c r="DQ221" s="928"/>
      <c r="DR221" s="928"/>
      <c r="DS221" s="928"/>
      <c r="DT221" s="928"/>
      <c r="DU221" s="928"/>
      <c r="DV221" s="928"/>
      <c r="DW221" s="928"/>
      <c r="DX221" s="928"/>
      <c r="DY221" s="1338"/>
      <c r="DZ221" s="928"/>
      <c r="EA221" s="928"/>
      <c r="EB221" s="928"/>
      <c r="EC221" s="1337"/>
      <c r="ED221" s="1338"/>
      <c r="EE221" s="928"/>
      <c r="EF221" s="928"/>
      <c r="EG221" s="928"/>
      <c r="EH221" s="1337"/>
      <c r="EI221" s="928"/>
      <c r="EJ221" s="928"/>
      <c r="EK221" s="928"/>
      <c r="EL221" s="928"/>
      <c r="EM221" s="1337"/>
      <c r="EN221" s="928"/>
      <c r="EO221" s="928"/>
      <c r="EP221" s="928"/>
      <c r="EQ221" s="928"/>
      <c r="ER221" s="928"/>
      <c r="ES221" s="928"/>
      <c r="ET221" s="928"/>
      <c r="EU221" s="928"/>
      <c r="EV221" s="928"/>
      <c r="EW221" s="928"/>
      <c r="EX221" s="928"/>
      <c r="EY221" s="928"/>
      <c r="EZ221" s="928"/>
      <c r="FA221" s="928"/>
      <c r="FB221" s="928"/>
      <c r="FC221" s="928"/>
      <c r="FD221" s="928"/>
      <c r="FE221" s="928"/>
      <c r="FF221" s="1363"/>
      <c r="FG221" s="928"/>
      <c r="FH221" s="1351"/>
      <c r="FI221" s="1319"/>
      <c r="FJ221" s="1612"/>
      <c r="FK221" s="1605"/>
      <c r="FL221" s="928"/>
      <c r="FM221" s="928"/>
      <c r="FN221" s="928"/>
      <c r="FO221" s="928"/>
      <c r="FP221" s="928"/>
      <c r="FQ221" s="928"/>
    </row>
    <row r="222" spans="1:173" hidden="1">
      <c r="A222" s="1344" t="s">
        <v>98</v>
      </c>
      <c r="B222" s="928">
        <f>SUM(B219:B221)</f>
        <v>458</v>
      </c>
      <c r="C222" s="928">
        <f>SUM(C219:C221)</f>
        <v>524</v>
      </c>
      <c r="D222" s="928">
        <f>SUM(D219:D221)</f>
        <v>541</v>
      </c>
      <c r="E222" s="928">
        <f>SUM(E219:E221)</f>
        <v>555</v>
      </c>
      <c r="F222" s="928"/>
      <c r="G222" s="928">
        <f>SUM(G219:G221)</f>
        <v>584</v>
      </c>
      <c r="H222" s="928">
        <f>SUM(H219:H221)</f>
        <v>665</v>
      </c>
      <c r="I222" s="928">
        <f>SUM(I219:I221)</f>
        <v>678</v>
      </c>
      <c r="J222" s="928">
        <f>SUM(J219:J221)</f>
        <v>693</v>
      </c>
      <c r="K222" s="928"/>
      <c r="L222" s="928">
        <f>SUM(L219:L221)</f>
        <v>724</v>
      </c>
      <c r="M222" s="928">
        <f>SUM(M219:M221)</f>
        <v>728</v>
      </c>
      <c r="N222" s="928">
        <f>SUM(N219:N221)</f>
        <v>738.66700000000003</v>
      </c>
      <c r="O222" s="928">
        <f>SUM(O219:O221)</f>
        <v>738</v>
      </c>
      <c r="P222" s="928"/>
      <c r="Q222" s="1413">
        <f>SUM(Q219:Q221)</f>
        <v>776</v>
      </c>
      <c r="R222" s="1413">
        <f>SUM(R219:R221)</f>
        <v>803.2</v>
      </c>
      <c r="S222" s="1413">
        <f>SUM(S219:S221)</f>
        <v>842.00000000000011</v>
      </c>
      <c r="T222" s="1413">
        <f>SUM(T219:T221)</f>
        <v>891</v>
      </c>
      <c r="U222" s="1413"/>
      <c r="V222" s="1413">
        <f>SUM(V219:V221)</f>
        <v>941.68400000000008</v>
      </c>
      <c r="W222" s="1413">
        <f>SUM(W219:W221)</f>
        <v>984.34299999999996</v>
      </c>
      <c r="X222" s="1413">
        <f>SUM(X219:X221)</f>
        <v>1013</v>
      </c>
      <c r="Y222" s="1413"/>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355"/>
      <c r="BF222" s="1254"/>
      <c r="BG222" s="1254"/>
      <c r="BH222" s="1254"/>
      <c r="BI222" s="1389"/>
      <c r="BJ222" s="1355"/>
      <c r="BK222" s="1254"/>
      <c r="BL222" s="1254"/>
      <c r="BM222" s="1254"/>
      <c r="BN222" s="1389"/>
      <c r="BO222" s="1355"/>
      <c r="BP222" s="1254"/>
      <c r="BQ222" s="1254"/>
      <c r="BR222" s="1254"/>
      <c r="BS222" s="1389"/>
      <c r="BT222" s="1355"/>
      <c r="BU222" s="1254"/>
      <c r="BV222" s="1254"/>
      <c r="BW222" s="1254"/>
      <c r="BX222" s="1389"/>
      <c r="BY222" s="1254"/>
      <c r="BZ222" s="1254"/>
      <c r="CA222" s="928"/>
      <c r="CB222" s="928"/>
      <c r="CC222" s="928"/>
      <c r="CD222" s="928"/>
      <c r="CE222" s="928"/>
      <c r="CF222" s="928"/>
      <c r="CG222" s="928"/>
      <c r="CH222" s="928"/>
      <c r="CI222" s="928"/>
      <c r="CJ222" s="928"/>
      <c r="CK222" s="928"/>
      <c r="CL222" s="928"/>
      <c r="CM222" s="928"/>
      <c r="CN222" s="928"/>
      <c r="CO222" s="928"/>
      <c r="CP222" s="928"/>
      <c r="CQ222" s="928"/>
      <c r="CR222" s="928"/>
      <c r="CS222" s="928"/>
      <c r="CT222" s="928"/>
      <c r="CU222" s="928"/>
      <c r="CV222" s="928"/>
      <c r="CW222" s="928"/>
      <c r="CX222" s="928"/>
      <c r="CY222" s="928"/>
      <c r="CZ222" s="928"/>
      <c r="DA222" s="928"/>
      <c r="DB222" s="928"/>
      <c r="DC222" s="928"/>
      <c r="DD222" s="928"/>
      <c r="DE222" s="928"/>
      <c r="DF222" s="928"/>
      <c r="DG222" s="928"/>
      <c r="DH222" s="928"/>
      <c r="DI222" s="928"/>
      <c r="DJ222" s="928"/>
      <c r="DK222" s="928"/>
      <c r="DL222" s="928"/>
      <c r="DM222" s="928"/>
      <c r="DN222" s="928"/>
      <c r="DO222" s="928"/>
      <c r="DP222" s="928"/>
      <c r="DQ222" s="928"/>
      <c r="DR222" s="928"/>
      <c r="DS222" s="928"/>
      <c r="DT222" s="928"/>
      <c r="DU222" s="928"/>
      <c r="DV222" s="928"/>
      <c r="DW222" s="928"/>
      <c r="DX222" s="928"/>
      <c r="DY222" s="1338"/>
      <c r="DZ222" s="928"/>
      <c r="EA222" s="928"/>
      <c r="EB222" s="928"/>
      <c r="EC222" s="1337"/>
      <c r="ED222" s="1338"/>
      <c r="EE222" s="928"/>
      <c r="EF222" s="928"/>
      <c r="EG222" s="928"/>
      <c r="EH222" s="1337"/>
      <c r="EI222" s="928"/>
      <c r="EJ222" s="928"/>
      <c r="EK222" s="928"/>
      <c r="EL222" s="928"/>
      <c r="EM222" s="1337"/>
      <c r="EN222" s="928"/>
      <c r="EO222" s="928"/>
      <c r="EP222" s="928"/>
      <c r="EQ222" s="928"/>
      <c r="ER222" s="928"/>
      <c r="ES222" s="928"/>
      <c r="ET222" s="928"/>
      <c r="EU222" s="928"/>
      <c r="EV222" s="928"/>
      <c r="EW222" s="928"/>
      <c r="EX222" s="928"/>
      <c r="EY222" s="928"/>
      <c r="EZ222" s="928"/>
      <c r="FA222" s="928"/>
      <c r="FB222" s="928"/>
      <c r="FC222" s="928"/>
      <c r="FD222" s="928"/>
      <c r="FE222" s="928"/>
      <c r="FF222" s="1363"/>
      <c r="FG222" s="928"/>
      <c r="FH222" s="1351"/>
      <c r="FI222" s="1319"/>
      <c r="FJ222" s="1612"/>
      <c r="FK222" s="1605"/>
      <c r="FL222" s="928"/>
      <c r="FM222" s="928"/>
      <c r="FN222" s="928"/>
      <c r="FO222" s="928"/>
      <c r="FP222" s="928"/>
      <c r="FQ222" s="928"/>
    </row>
    <row r="223" spans="1:173" hidden="1">
      <c r="A223" s="1344"/>
      <c r="B223" s="928"/>
      <c r="C223" s="928"/>
      <c r="D223" s="928"/>
      <c r="E223" s="928"/>
      <c r="F223" s="928"/>
      <c r="G223" s="928"/>
      <c r="H223" s="928"/>
      <c r="I223" s="928"/>
      <c r="J223" s="928"/>
      <c r="K223" s="928"/>
      <c r="L223" s="928"/>
      <c r="M223" s="928"/>
      <c r="N223" s="928"/>
      <c r="O223" s="928"/>
      <c r="P223" s="928"/>
      <c r="Q223" s="928"/>
      <c r="R223" s="928"/>
      <c r="S223" s="928"/>
      <c r="T223" s="928"/>
      <c r="U223" s="928"/>
      <c r="V223" s="928"/>
      <c r="W223" s="928"/>
      <c r="X223" s="928"/>
      <c r="Y223" s="928"/>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355"/>
      <c r="BF223" s="1254"/>
      <c r="BG223" s="1254"/>
      <c r="BH223" s="1254"/>
      <c r="BI223" s="1389"/>
      <c r="BJ223" s="1355"/>
      <c r="BK223" s="1254"/>
      <c r="BL223" s="1254"/>
      <c r="BM223" s="1254"/>
      <c r="BN223" s="1389"/>
      <c r="BO223" s="1355"/>
      <c r="BP223" s="1254"/>
      <c r="BQ223" s="1254"/>
      <c r="BR223" s="1254"/>
      <c r="BS223" s="1389"/>
      <c r="BT223" s="1355"/>
      <c r="BU223" s="1254"/>
      <c r="BV223" s="1254"/>
      <c r="BW223" s="1254"/>
      <c r="BX223" s="1389"/>
      <c r="BY223" s="1254"/>
      <c r="BZ223" s="1254"/>
      <c r="CA223" s="928"/>
      <c r="CB223" s="928"/>
      <c r="CC223" s="928"/>
      <c r="CD223" s="928"/>
      <c r="CE223" s="928"/>
      <c r="CF223" s="928"/>
      <c r="CG223" s="928"/>
      <c r="CH223" s="928"/>
      <c r="CI223" s="928"/>
      <c r="CJ223" s="928"/>
      <c r="CK223" s="928"/>
      <c r="CL223" s="928"/>
      <c r="CM223" s="928"/>
      <c r="CN223" s="928"/>
      <c r="CO223" s="928"/>
      <c r="CP223" s="928"/>
      <c r="CQ223" s="928"/>
      <c r="CR223" s="928"/>
      <c r="CS223" s="928"/>
      <c r="CT223" s="928"/>
      <c r="CU223" s="928"/>
      <c r="CV223" s="928"/>
      <c r="CW223" s="928"/>
      <c r="CX223" s="928"/>
      <c r="CY223" s="928"/>
      <c r="CZ223" s="928"/>
      <c r="DA223" s="928"/>
      <c r="DB223" s="928"/>
      <c r="DC223" s="928"/>
      <c r="DD223" s="928"/>
      <c r="DE223" s="928"/>
      <c r="DF223" s="928"/>
      <c r="DG223" s="928"/>
      <c r="DH223" s="928"/>
      <c r="DI223" s="928"/>
      <c r="DJ223" s="928"/>
      <c r="DK223" s="928"/>
      <c r="DL223" s="928"/>
      <c r="DM223" s="928"/>
      <c r="DN223" s="928"/>
      <c r="DO223" s="928"/>
      <c r="DP223" s="928"/>
      <c r="DQ223" s="928"/>
      <c r="DR223" s="928"/>
      <c r="DS223" s="928"/>
      <c r="DT223" s="928"/>
      <c r="DU223" s="928"/>
      <c r="DV223" s="928"/>
      <c r="DW223" s="928"/>
      <c r="DX223" s="928"/>
      <c r="DY223" s="1338"/>
      <c r="DZ223" s="928"/>
      <c r="EA223" s="928"/>
      <c r="EB223" s="928"/>
      <c r="EC223" s="1337"/>
      <c r="ED223" s="1338"/>
      <c r="EE223" s="928"/>
      <c r="EF223" s="928"/>
      <c r="EG223" s="928"/>
      <c r="EH223" s="1337"/>
      <c r="EI223" s="928"/>
      <c r="EJ223" s="928"/>
      <c r="EK223" s="928"/>
      <c r="EL223" s="928"/>
      <c r="EM223" s="1337"/>
      <c r="EN223" s="928"/>
      <c r="EO223" s="928"/>
      <c r="EP223" s="928"/>
      <c r="EQ223" s="928"/>
      <c r="ER223" s="928"/>
      <c r="ES223" s="928"/>
      <c r="ET223" s="928"/>
      <c r="EU223" s="928"/>
      <c r="EV223" s="928"/>
      <c r="EW223" s="928"/>
      <c r="EX223" s="928"/>
      <c r="EY223" s="928"/>
      <c r="EZ223" s="928"/>
      <c r="FA223" s="928"/>
      <c r="FB223" s="928"/>
      <c r="FC223" s="928"/>
      <c r="FD223" s="928"/>
      <c r="FE223" s="928"/>
      <c r="FF223" s="1363"/>
      <c r="FG223" s="928"/>
      <c r="FH223" s="1351"/>
      <c r="FI223" s="1319"/>
      <c r="FJ223" s="1612"/>
      <c r="FK223" s="1605"/>
      <c r="FL223" s="928"/>
      <c r="FM223" s="928"/>
      <c r="FN223" s="928"/>
      <c r="FO223" s="928"/>
      <c r="FP223" s="928"/>
      <c r="FQ223" s="928"/>
    </row>
    <row r="224" spans="1:173" hidden="1">
      <c r="A224" s="1385" t="s">
        <v>1510</v>
      </c>
      <c r="B224" s="928"/>
      <c r="C224" s="928"/>
      <c r="D224" s="928"/>
      <c r="E224" s="928"/>
      <c r="F224" s="928"/>
      <c r="G224" s="928"/>
      <c r="H224" s="928"/>
      <c r="I224" s="928"/>
      <c r="J224" s="928"/>
      <c r="K224" s="928"/>
      <c r="L224" s="928"/>
      <c r="M224" s="928"/>
      <c r="N224" s="928"/>
      <c r="O224" s="928"/>
      <c r="P224" s="928"/>
      <c r="Q224" s="928"/>
      <c r="R224" s="928"/>
      <c r="S224" s="928"/>
      <c r="T224" s="928"/>
      <c r="U224" s="928"/>
      <c r="V224" s="928"/>
      <c r="W224" s="928"/>
      <c r="X224" s="928"/>
      <c r="Y224" s="928"/>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355"/>
      <c r="BF224" s="1254"/>
      <c r="BG224" s="1254"/>
      <c r="BH224" s="1254"/>
      <c r="BI224" s="1389"/>
      <c r="BJ224" s="1355"/>
      <c r="BK224" s="1254"/>
      <c r="BL224" s="1254"/>
      <c r="BM224" s="1254"/>
      <c r="BN224" s="1389"/>
      <c r="BO224" s="1355"/>
      <c r="BP224" s="1254"/>
      <c r="BQ224" s="1254"/>
      <c r="BR224" s="1254"/>
      <c r="BS224" s="1389"/>
      <c r="BT224" s="1355"/>
      <c r="BU224" s="1254"/>
      <c r="BV224" s="1254"/>
      <c r="BW224" s="1254"/>
      <c r="BX224" s="1389"/>
      <c r="BY224" s="1254"/>
      <c r="BZ224" s="1254"/>
      <c r="CA224" s="928"/>
      <c r="CB224" s="928"/>
      <c r="CC224" s="928"/>
      <c r="CD224" s="928"/>
      <c r="CE224" s="928"/>
      <c r="CF224" s="928"/>
      <c r="CG224" s="928"/>
      <c r="CH224" s="928"/>
      <c r="CI224" s="928"/>
      <c r="CJ224" s="928"/>
      <c r="CK224" s="928"/>
      <c r="CL224" s="928"/>
      <c r="CM224" s="928"/>
      <c r="CN224" s="928"/>
      <c r="CO224" s="928"/>
      <c r="CP224" s="928"/>
      <c r="CQ224" s="928"/>
      <c r="CR224" s="928"/>
      <c r="CS224" s="928"/>
      <c r="CT224" s="928"/>
      <c r="CU224" s="928"/>
      <c r="CV224" s="928"/>
      <c r="CW224" s="928"/>
      <c r="CX224" s="928"/>
      <c r="CY224" s="928"/>
      <c r="CZ224" s="928"/>
      <c r="DA224" s="928"/>
      <c r="DB224" s="928"/>
      <c r="DC224" s="928"/>
      <c r="DD224" s="928"/>
      <c r="DE224" s="928"/>
      <c r="DF224" s="928"/>
      <c r="DG224" s="928"/>
      <c r="DH224" s="928"/>
      <c r="DI224" s="928"/>
      <c r="DJ224" s="928"/>
      <c r="DK224" s="928"/>
      <c r="DL224" s="928"/>
      <c r="DM224" s="928"/>
      <c r="DN224" s="928"/>
      <c r="DO224" s="928"/>
      <c r="DP224" s="928"/>
      <c r="DQ224" s="928"/>
      <c r="DR224" s="928"/>
      <c r="DS224" s="928"/>
      <c r="DT224" s="928"/>
      <c r="DU224" s="928"/>
      <c r="DV224" s="928"/>
      <c r="DW224" s="928"/>
      <c r="DX224" s="928"/>
      <c r="DY224" s="1338"/>
      <c r="DZ224" s="928"/>
      <c r="EA224" s="928"/>
      <c r="EB224" s="928"/>
      <c r="EC224" s="1337"/>
      <c r="ED224" s="1338"/>
      <c r="EE224" s="928"/>
      <c r="EF224" s="928"/>
      <c r="EG224" s="928"/>
      <c r="EH224" s="1337"/>
      <c r="EI224" s="928"/>
      <c r="EJ224" s="928"/>
      <c r="EK224" s="928"/>
      <c r="EL224" s="928"/>
      <c r="EM224" s="1337"/>
      <c r="EN224" s="928"/>
      <c r="EO224" s="928"/>
      <c r="EP224" s="928"/>
      <c r="EQ224" s="928"/>
      <c r="ER224" s="928"/>
      <c r="ES224" s="928"/>
      <c r="ET224" s="928"/>
      <c r="EU224" s="928"/>
      <c r="EV224" s="928"/>
      <c r="EW224" s="928"/>
      <c r="EX224" s="928"/>
      <c r="EY224" s="928"/>
      <c r="EZ224" s="928"/>
      <c r="FA224" s="928"/>
      <c r="FB224" s="928"/>
      <c r="FC224" s="928"/>
      <c r="FD224" s="928"/>
      <c r="FE224" s="928"/>
      <c r="FF224" s="1363"/>
      <c r="FG224" s="928"/>
      <c r="FH224" s="1351"/>
      <c r="FI224" s="1319"/>
      <c r="FJ224" s="1612"/>
      <c r="FK224" s="1605"/>
      <c r="FL224" s="928"/>
      <c r="FM224" s="928"/>
      <c r="FN224" s="928"/>
      <c r="FO224" s="928"/>
      <c r="FP224" s="928"/>
      <c r="FQ224" s="928"/>
    </row>
    <row r="225" spans="1:173" hidden="1">
      <c r="A225" s="1344" t="s">
        <v>610</v>
      </c>
      <c r="B225" s="928"/>
      <c r="C225" s="928"/>
      <c r="D225" s="928"/>
      <c r="E225" s="928"/>
      <c r="F225" s="928"/>
      <c r="G225" s="928"/>
      <c r="H225" s="928"/>
      <c r="I225" s="928"/>
      <c r="J225" s="928"/>
      <c r="K225" s="928"/>
      <c r="L225" s="928"/>
      <c r="M225" s="928"/>
      <c r="N225" s="928"/>
      <c r="O225" s="928"/>
      <c r="P225" s="928"/>
      <c r="Q225" s="928"/>
      <c r="R225" s="928"/>
      <c r="S225" s="928"/>
      <c r="T225" s="928"/>
      <c r="U225" s="928"/>
      <c r="V225" s="928"/>
      <c r="W225" s="928"/>
      <c r="X225" s="928"/>
      <c r="Y225" s="928"/>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355"/>
      <c r="BF225" s="1254"/>
      <c r="BG225" s="1254"/>
      <c r="BH225" s="1254"/>
      <c r="BI225" s="1389"/>
      <c r="BJ225" s="1355"/>
      <c r="BK225" s="1254"/>
      <c r="BL225" s="1254"/>
      <c r="BM225" s="1254"/>
      <c r="BN225" s="1389"/>
      <c r="BO225" s="1355"/>
      <c r="BP225" s="1254"/>
      <c r="BQ225" s="1254"/>
      <c r="BR225" s="1254"/>
      <c r="BS225" s="1389"/>
      <c r="BT225" s="1355"/>
      <c r="BU225" s="1254"/>
      <c r="BV225" s="1254"/>
      <c r="BW225" s="1254"/>
      <c r="BX225" s="1389"/>
      <c r="BY225" s="1254"/>
      <c r="BZ225" s="1254"/>
      <c r="CA225" s="928"/>
      <c r="CB225" s="928"/>
      <c r="CC225" s="928"/>
      <c r="CD225" s="928"/>
      <c r="CE225" s="928"/>
      <c r="CF225" s="928"/>
      <c r="CG225" s="928"/>
      <c r="CH225" s="928"/>
      <c r="CI225" s="928"/>
      <c r="CJ225" s="928"/>
      <c r="CK225" s="928"/>
      <c r="CL225" s="928"/>
      <c r="CM225" s="928"/>
      <c r="CN225" s="928"/>
      <c r="CO225" s="928"/>
      <c r="CP225" s="928"/>
      <c r="CQ225" s="928"/>
      <c r="CR225" s="928"/>
      <c r="CS225" s="928"/>
      <c r="CT225" s="928"/>
      <c r="CU225" s="928"/>
      <c r="CV225" s="928"/>
      <c r="CW225" s="928"/>
      <c r="CX225" s="928"/>
      <c r="CY225" s="928"/>
      <c r="CZ225" s="928"/>
      <c r="DA225" s="928"/>
      <c r="DB225" s="928"/>
      <c r="DC225" s="928"/>
      <c r="DD225" s="928"/>
      <c r="DE225" s="928"/>
      <c r="DF225" s="928"/>
      <c r="DG225" s="928"/>
      <c r="DH225" s="928"/>
      <c r="DI225" s="928"/>
      <c r="DJ225" s="928"/>
      <c r="DK225" s="928"/>
      <c r="DL225" s="928"/>
      <c r="DM225" s="928"/>
      <c r="DN225" s="928"/>
      <c r="DO225" s="928"/>
      <c r="DP225" s="928"/>
      <c r="DQ225" s="928"/>
      <c r="DR225" s="928"/>
      <c r="DS225" s="928"/>
      <c r="DT225" s="928"/>
      <c r="DU225" s="928"/>
      <c r="DV225" s="928"/>
      <c r="DW225" s="928"/>
      <c r="DX225" s="928"/>
      <c r="DY225" s="1338"/>
      <c r="DZ225" s="928"/>
      <c r="EA225" s="928"/>
      <c r="EB225" s="928"/>
      <c r="EC225" s="1337"/>
      <c r="ED225" s="1338"/>
      <c r="EE225" s="928"/>
      <c r="EF225" s="928"/>
      <c r="EG225" s="928"/>
      <c r="EH225" s="1337"/>
      <c r="EI225" s="928"/>
      <c r="EJ225" s="928"/>
      <c r="EK225" s="928"/>
      <c r="EL225" s="928"/>
      <c r="EM225" s="1337"/>
      <c r="EN225" s="928"/>
      <c r="EO225" s="928"/>
      <c r="EP225" s="928"/>
      <c r="EQ225" s="928"/>
      <c r="ER225" s="928"/>
      <c r="ES225" s="928"/>
      <c r="ET225" s="928"/>
      <c r="EU225" s="928"/>
      <c r="EV225" s="928"/>
      <c r="EW225" s="928"/>
      <c r="EX225" s="928"/>
      <c r="EY225" s="928"/>
      <c r="EZ225" s="928"/>
      <c r="FA225" s="928"/>
      <c r="FB225" s="928"/>
      <c r="FC225" s="928"/>
      <c r="FD225" s="928"/>
      <c r="FE225" s="928"/>
      <c r="FF225" s="1363"/>
      <c r="FG225" s="928"/>
      <c r="FH225" s="1351"/>
      <c r="FI225" s="1319"/>
      <c r="FJ225" s="1612"/>
      <c r="FK225" s="1605"/>
      <c r="FL225" s="928"/>
      <c r="FM225" s="928"/>
      <c r="FN225" s="928"/>
      <c r="FO225" s="928"/>
      <c r="FP225" s="928"/>
      <c r="FQ225" s="928"/>
    </row>
    <row r="226" spans="1:173" hidden="1">
      <c r="A226" s="1344" t="s">
        <v>74</v>
      </c>
      <c r="B226" s="928"/>
      <c r="C226" s="928"/>
      <c r="D226" s="928"/>
      <c r="E226" s="928"/>
      <c r="F226" s="928"/>
      <c r="G226" s="928"/>
      <c r="H226" s="928"/>
      <c r="I226" s="928"/>
      <c r="J226" s="928"/>
      <c r="K226" s="928"/>
      <c r="L226" s="928"/>
      <c r="M226" s="928"/>
      <c r="N226" s="928"/>
      <c r="O226" s="928"/>
      <c r="P226" s="928"/>
      <c r="Q226" s="928"/>
      <c r="R226" s="928"/>
      <c r="S226" s="928"/>
      <c r="T226" s="928"/>
      <c r="U226" s="928"/>
      <c r="V226" s="928"/>
      <c r="W226" s="928"/>
      <c r="X226" s="928">
        <v>745.995</v>
      </c>
      <c r="Y226" s="1254">
        <f>X226/X$229</f>
        <v>0.65900909456313861</v>
      </c>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355"/>
      <c r="BF226" s="1254"/>
      <c r="BG226" s="1254"/>
      <c r="BH226" s="1254"/>
      <c r="BI226" s="1389"/>
      <c r="BJ226" s="1355"/>
      <c r="BK226" s="1254"/>
      <c r="BL226" s="1254"/>
      <c r="BM226" s="1254"/>
      <c r="BN226" s="1389"/>
      <c r="BO226" s="1355"/>
      <c r="BP226" s="1254"/>
      <c r="BQ226" s="1254"/>
      <c r="BR226" s="1254"/>
      <c r="BS226" s="1389"/>
      <c r="BT226" s="1355"/>
      <c r="BU226" s="1254"/>
      <c r="BV226" s="1254"/>
      <c r="BW226" s="1254"/>
      <c r="BX226" s="1389"/>
      <c r="BY226" s="1254"/>
      <c r="BZ226" s="1254"/>
      <c r="CA226" s="928"/>
      <c r="CB226" s="928"/>
      <c r="CC226" s="928"/>
      <c r="CD226" s="928"/>
      <c r="CE226" s="928"/>
      <c r="CF226" s="928"/>
      <c r="CG226" s="928"/>
      <c r="CH226" s="928"/>
      <c r="CI226" s="928"/>
      <c r="CJ226" s="928"/>
      <c r="CK226" s="928"/>
      <c r="CL226" s="928"/>
      <c r="CM226" s="928"/>
      <c r="CN226" s="928"/>
      <c r="CO226" s="928"/>
      <c r="CP226" s="928"/>
      <c r="CQ226" s="928"/>
      <c r="CR226" s="928"/>
      <c r="CS226" s="928"/>
      <c r="CT226" s="928"/>
      <c r="CU226" s="928"/>
      <c r="CV226" s="928"/>
      <c r="CW226" s="928"/>
      <c r="CX226" s="928"/>
      <c r="CY226" s="928"/>
      <c r="CZ226" s="928"/>
      <c r="DA226" s="928"/>
      <c r="DB226" s="928"/>
      <c r="DC226" s="928"/>
      <c r="DD226" s="928"/>
      <c r="DE226" s="928"/>
      <c r="DF226" s="928"/>
      <c r="DG226" s="928"/>
      <c r="DH226" s="928"/>
      <c r="DI226" s="928"/>
      <c r="DJ226" s="928"/>
      <c r="DK226" s="928"/>
      <c r="DL226" s="928"/>
      <c r="DM226" s="928"/>
      <c r="DN226" s="928"/>
      <c r="DO226" s="928"/>
      <c r="DP226" s="928"/>
      <c r="DQ226" s="928"/>
      <c r="DR226" s="928"/>
      <c r="DS226" s="928"/>
      <c r="DT226" s="928"/>
      <c r="DU226" s="928"/>
      <c r="DV226" s="928"/>
      <c r="DW226" s="928"/>
      <c r="DX226" s="928"/>
      <c r="DY226" s="1338"/>
      <c r="DZ226" s="928"/>
      <c r="EA226" s="928"/>
      <c r="EB226" s="928"/>
      <c r="EC226" s="1337"/>
      <c r="ED226" s="1338"/>
      <c r="EE226" s="928"/>
      <c r="EF226" s="928"/>
      <c r="EG226" s="928"/>
      <c r="EH226" s="1337"/>
      <c r="EI226" s="928"/>
      <c r="EJ226" s="928"/>
      <c r="EK226" s="928"/>
      <c r="EL226" s="928"/>
      <c r="EM226" s="1337"/>
      <c r="EN226" s="928"/>
      <c r="EO226" s="928"/>
      <c r="EP226" s="928"/>
      <c r="EQ226" s="928"/>
      <c r="ER226" s="928"/>
      <c r="ES226" s="928"/>
      <c r="ET226" s="928"/>
      <c r="EU226" s="928"/>
      <c r="EV226" s="928"/>
      <c r="EW226" s="928"/>
      <c r="EX226" s="928"/>
      <c r="EY226" s="928"/>
      <c r="EZ226" s="928"/>
      <c r="FA226" s="928"/>
      <c r="FB226" s="928"/>
      <c r="FC226" s="928"/>
      <c r="FD226" s="928"/>
      <c r="FE226" s="928"/>
      <c r="FF226" s="1363"/>
      <c r="FG226" s="928"/>
      <c r="FH226" s="1351"/>
      <c r="FI226" s="1319"/>
      <c r="FJ226" s="1612"/>
      <c r="FK226" s="1605"/>
      <c r="FL226" s="928"/>
      <c r="FM226" s="928"/>
      <c r="FN226" s="928"/>
      <c r="FO226" s="928"/>
      <c r="FP226" s="928"/>
      <c r="FQ226" s="928"/>
    </row>
    <row r="227" spans="1:173" hidden="1">
      <c r="A227" s="1344" t="s">
        <v>611</v>
      </c>
      <c r="B227" s="928"/>
      <c r="C227" s="928"/>
      <c r="D227" s="928"/>
      <c r="E227" s="928"/>
      <c r="F227" s="928"/>
      <c r="G227" s="928"/>
      <c r="H227" s="928"/>
      <c r="I227" s="928"/>
      <c r="J227" s="928"/>
      <c r="K227" s="928"/>
      <c r="L227" s="928"/>
      <c r="M227" s="928"/>
      <c r="N227" s="928"/>
      <c r="O227" s="928"/>
      <c r="P227" s="928"/>
      <c r="Q227" s="928"/>
      <c r="R227" s="928"/>
      <c r="S227" s="928"/>
      <c r="T227" s="928"/>
      <c r="U227" s="928"/>
      <c r="V227" s="928"/>
      <c r="W227" s="928"/>
      <c r="X227" s="928">
        <v>253</v>
      </c>
      <c r="Y227" s="1254">
        <f>X227/X$229</f>
        <v>0.223499220402917</v>
      </c>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355"/>
      <c r="BF227" s="1254"/>
      <c r="BG227" s="1254"/>
      <c r="BH227" s="1254"/>
      <c r="BI227" s="1389"/>
      <c r="BJ227" s="1355"/>
      <c r="BK227" s="1254"/>
      <c r="BL227" s="1254"/>
      <c r="BM227" s="1254"/>
      <c r="BN227" s="1389"/>
      <c r="BO227" s="1355"/>
      <c r="BP227" s="1254"/>
      <c r="BQ227" s="1254"/>
      <c r="BR227" s="1254"/>
      <c r="BS227" s="1389"/>
      <c r="BT227" s="1355"/>
      <c r="BU227" s="1254"/>
      <c r="BV227" s="1254"/>
      <c r="BW227" s="1254"/>
      <c r="BX227" s="1389"/>
      <c r="BY227" s="1254"/>
      <c r="BZ227" s="1254"/>
      <c r="CA227" s="928"/>
      <c r="CB227" s="928"/>
      <c r="CC227" s="928"/>
      <c r="CD227" s="928"/>
      <c r="CE227" s="928"/>
      <c r="CF227" s="928"/>
      <c r="CG227" s="928"/>
      <c r="CH227" s="928"/>
      <c r="CI227" s="928"/>
      <c r="CJ227" s="928"/>
      <c r="CK227" s="928"/>
      <c r="CL227" s="928"/>
      <c r="CM227" s="928"/>
      <c r="CN227" s="928"/>
      <c r="CO227" s="928"/>
      <c r="CP227" s="928"/>
      <c r="CQ227" s="928"/>
      <c r="CR227" s="928"/>
      <c r="CS227" s="928"/>
      <c r="CT227" s="928"/>
      <c r="CU227" s="928"/>
      <c r="CV227" s="928"/>
      <c r="CW227" s="928"/>
      <c r="CX227" s="928"/>
      <c r="CY227" s="928"/>
      <c r="CZ227" s="928"/>
      <c r="DA227" s="928"/>
      <c r="DB227" s="928"/>
      <c r="DC227" s="928"/>
      <c r="DD227" s="928"/>
      <c r="DE227" s="928"/>
      <c r="DF227" s="928"/>
      <c r="DG227" s="928"/>
      <c r="DH227" s="928"/>
      <c r="DI227" s="928"/>
      <c r="DJ227" s="928"/>
      <c r="DK227" s="928"/>
      <c r="DL227" s="928"/>
      <c r="DM227" s="928"/>
      <c r="DN227" s="928"/>
      <c r="DO227" s="928"/>
      <c r="DP227" s="928"/>
      <c r="DQ227" s="928"/>
      <c r="DR227" s="928"/>
      <c r="DS227" s="928"/>
      <c r="DT227" s="928"/>
      <c r="DU227" s="928"/>
      <c r="DV227" s="928"/>
      <c r="DW227" s="928"/>
      <c r="DX227" s="928"/>
      <c r="DY227" s="1338"/>
      <c r="DZ227" s="928"/>
      <c r="EA227" s="928"/>
      <c r="EB227" s="928"/>
      <c r="EC227" s="1337"/>
      <c r="ED227" s="1338"/>
      <c r="EE227" s="928"/>
      <c r="EF227" s="928"/>
      <c r="EG227" s="928"/>
      <c r="EH227" s="1337"/>
      <c r="EI227" s="928"/>
      <c r="EJ227" s="928"/>
      <c r="EK227" s="928"/>
      <c r="EL227" s="928"/>
      <c r="EM227" s="1337"/>
      <c r="EN227" s="928"/>
      <c r="EO227" s="928"/>
      <c r="EP227" s="928"/>
      <c r="EQ227" s="928"/>
      <c r="ER227" s="928"/>
      <c r="ES227" s="928"/>
      <c r="ET227" s="928"/>
      <c r="EU227" s="928"/>
      <c r="EV227" s="928"/>
      <c r="EW227" s="928"/>
      <c r="EX227" s="928"/>
      <c r="EY227" s="928"/>
      <c r="EZ227" s="928"/>
      <c r="FA227" s="928"/>
      <c r="FB227" s="928"/>
      <c r="FC227" s="928"/>
      <c r="FD227" s="928"/>
      <c r="FE227" s="928"/>
      <c r="FF227" s="1363"/>
      <c r="FG227" s="928"/>
      <c r="FH227" s="1351"/>
      <c r="FI227" s="1319"/>
      <c r="FJ227" s="1612"/>
      <c r="FK227" s="1605"/>
      <c r="FL227" s="928"/>
      <c r="FM227" s="928"/>
      <c r="FN227" s="928"/>
      <c r="FO227" s="928"/>
      <c r="FP227" s="928"/>
      <c r="FQ227" s="928"/>
    </row>
    <row r="228" spans="1:173" hidden="1">
      <c r="A228" s="1484" t="s">
        <v>612</v>
      </c>
      <c r="B228" s="928"/>
      <c r="C228" s="928"/>
      <c r="D228" s="928"/>
      <c r="E228" s="928"/>
      <c r="F228" s="928"/>
      <c r="G228" s="928"/>
      <c r="H228" s="928"/>
      <c r="I228" s="928"/>
      <c r="J228" s="928"/>
      <c r="K228" s="928"/>
      <c r="L228" s="928"/>
      <c r="M228" s="928"/>
      <c r="N228" s="928"/>
      <c r="O228" s="928"/>
      <c r="P228" s="928"/>
      <c r="Q228" s="928"/>
      <c r="R228" s="928"/>
      <c r="S228" s="928"/>
      <c r="T228" s="928"/>
      <c r="U228" s="928"/>
      <c r="V228" s="928"/>
      <c r="W228" s="928"/>
      <c r="X228" s="1446">
        <v>133</v>
      </c>
      <c r="Y228" s="1254">
        <f>X228/X$229</f>
        <v>0.11749168503394451</v>
      </c>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355"/>
      <c r="BF228" s="1254"/>
      <c r="BG228" s="1254"/>
      <c r="BH228" s="1254"/>
      <c r="BI228" s="1389"/>
      <c r="BJ228" s="1355"/>
      <c r="BK228" s="1254"/>
      <c r="BL228" s="1254"/>
      <c r="BM228" s="1254"/>
      <c r="BN228" s="1389"/>
      <c r="BO228" s="1355"/>
      <c r="BP228" s="1254"/>
      <c r="BQ228" s="1254"/>
      <c r="BR228" s="1254"/>
      <c r="BS228" s="1389"/>
      <c r="BT228" s="1355"/>
      <c r="BU228" s="1254"/>
      <c r="BV228" s="1254"/>
      <c r="BW228" s="1254"/>
      <c r="BX228" s="1389"/>
      <c r="BY228" s="1254"/>
      <c r="BZ228" s="1254"/>
      <c r="CA228" s="928"/>
      <c r="CB228" s="928"/>
      <c r="CC228" s="928"/>
      <c r="CD228" s="928"/>
      <c r="CE228" s="928"/>
      <c r="CF228" s="928"/>
      <c r="CG228" s="928"/>
      <c r="CH228" s="928"/>
      <c r="CI228" s="928"/>
      <c r="CJ228" s="928"/>
      <c r="CK228" s="928"/>
      <c r="CL228" s="928"/>
      <c r="CM228" s="928"/>
      <c r="CN228" s="928"/>
      <c r="CO228" s="928"/>
      <c r="CP228" s="928"/>
      <c r="CQ228" s="928"/>
      <c r="CR228" s="928"/>
      <c r="CS228" s="928"/>
      <c r="CT228" s="928"/>
      <c r="CU228" s="928"/>
      <c r="CV228" s="928"/>
      <c r="CW228" s="928"/>
      <c r="CX228" s="928"/>
      <c r="CY228" s="928"/>
      <c r="CZ228" s="928"/>
      <c r="DA228" s="928"/>
      <c r="DB228" s="928"/>
      <c r="DC228" s="928"/>
      <c r="DD228" s="928"/>
      <c r="DE228" s="928"/>
      <c r="DF228" s="928"/>
      <c r="DG228" s="928"/>
      <c r="DH228" s="928"/>
      <c r="DI228" s="928"/>
      <c r="DJ228" s="928"/>
      <c r="DK228" s="928"/>
      <c r="DL228" s="928"/>
      <c r="DM228" s="928"/>
      <c r="DN228" s="928"/>
      <c r="DO228" s="928"/>
      <c r="DP228" s="928"/>
      <c r="DQ228" s="928"/>
      <c r="DR228" s="928"/>
      <c r="DS228" s="928"/>
      <c r="DT228" s="928"/>
      <c r="DU228" s="928"/>
      <c r="DV228" s="928"/>
      <c r="DW228" s="928"/>
      <c r="DX228" s="928"/>
      <c r="DY228" s="1338"/>
      <c r="DZ228" s="928"/>
      <c r="EA228" s="928"/>
      <c r="EB228" s="928"/>
      <c r="EC228" s="1337"/>
      <c r="ED228" s="1338"/>
      <c r="EE228" s="928"/>
      <c r="EF228" s="928"/>
      <c r="EG228" s="928"/>
      <c r="EH228" s="1337"/>
      <c r="EI228" s="928"/>
      <c r="EJ228" s="928"/>
      <c r="EK228" s="928"/>
      <c r="EL228" s="928"/>
      <c r="EM228" s="1337"/>
      <c r="EN228" s="928"/>
      <c r="EO228" s="928"/>
      <c r="EP228" s="928"/>
      <c r="EQ228" s="928"/>
      <c r="ER228" s="928"/>
      <c r="ES228" s="928"/>
      <c r="ET228" s="928"/>
      <c r="EU228" s="928"/>
      <c r="EV228" s="928"/>
      <c r="EW228" s="928"/>
      <c r="EX228" s="928"/>
      <c r="EY228" s="928"/>
      <c r="EZ228" s="928"/>
      <c r="FA228" s="928"/>
      <c r="FB228" s="928"/>
      <c r="FC228" s="928"/>
      <c r="FD228" s="928"/>
      <c r="FE228" s="928"/>
      <c r="FF228" s="1363"/>
      <c r="FG228" s="928"/>
      <c r="FH228" s="1351"/>
      <c r="FI228" s="1319"/>
      <c r="FJ228" s="1612"/>
      <c r="FK228" s="1605"/>
      <c r="FL228" s="928"/>
      <c r="FM228" s="928"/>
      <c r="FN228" s="928"/>
      <c r="FO228" s="928"/>
      <c r="FP228" s="928"/>
      <c r="FQ228" s="928"/>
    </row>
    <row r="229" spans="1:173" hidden="1">
      <c r="A229" s="1344" t="s">
        <v>98</v>
      </c>
      <c r="B229" s="928"/>
      <c r="C229" s="928"/>
      <c r="D229" s="928"/>
      <c r="E229" s="928"/>
      <c r="F229" s="928"/>
      <c r="G229" s="928"/>
      <c r="H229" s="928"/>
      <c r="I229" s="928"/>
      <c r="J229" s="928"/>
      <c r="K229" s="928"/>
      <c r="L229" s="928"/>
      <c r="M229" s="928"/>
      <c r="N229" s="928"/>
      <c r="O229" s="928"/>
      <c r="P229" s="928"/>
      <c r="Q229" s="928"/>
      <c r="R229" s="928"/>
      <c r="S229" s="928"/>
      <c r="T229" s="928"/>
      <c r="U229" s="928"/>
      <c r="V229" s="928"/>
      <c r="W229" s="928"/>
      <c r="X229" s="928">
        <f>SUM(X226:X228)</f>
        <v>1131.9949999999999</v>
      </c>
      <c r="Y229" s="928"/>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355"/>
      <c r="BF229" s="1254"/>
      <c r="BG229" s="1254"/>
      <c r="BH229" s="1254"/>
      <c r="BI229" s="1389"/>
      <c r="BJ229" s="1355"/>
      <c r="BK229" s="1254"/>
      <c r="BL229" s="1254"/>
      <c r="BM229" s="1254"/>
      <c r="BN229" s="1389"/>
      <c r="BO229" s="1355"/>
      <c r="BP229" s="1254"/>
      <c r="BQ229" s="1254"/>
      <c r="BR229" s="1254"/>
      <c r="BS229" s="1389"/>
      <c r="BT229" s="1355"/>
      <c r="BU229" s="1254"/>
      <c r="BV229" s="1254"/>
      <c r="BW229" s="1254"/>
      <c r="BX229" s="1389"/>
      <c r="BY229" s="1254"/>
      <c r="BZ229" s="1254"/>
      <c r="CA229" s="928"/>
      <c r="CB229" s="928"/>
      <c r="CC229" s="928"/>
      <c r="CD229" s="928"/>
      <c r="CE229" s="928"/>
      <c r="CF229" s="928"/>
      <c r="CG229" s="928"/>
      <c r="CH229" s="928"/>
      <c r="CI229" s="928"/>
      <c r="CJ229" s="928"/>
      <c r="CK229" s="928"/>
      <c r="CL229" s="928"/>
      <c r="CM229" s="928"/>
      <c r="CN229" s="928"/>
      <c r="CO229" s="928"/>
      <c r="CP229" s="928"/>
      <c r="CQ229" s="928"/>
      <c r="CR229" s="928"/>
      <c r="CS229" s="928"/>
      <c r="CT229" s="928"/>
      <c r="CU229" s="928"/>
      <c r="CV229" s="928"/>
      <c r="CW229" s="928"/>
      <c r="CX229" s="928"/>
      <c r="CY229" s="928"/>
      <c r="CZ229" s="928"/>
      <c r="DA229" s="928"/>
      <c r="DB229" s="928"/>
      <c r="DC229" s="928"/>
      <c r="DD229" s="928"/>
      <c r="DE229" s="928"/>
      <c r="DF229" s="928"/>
      <c r="DG229" s="928"/>
      <c r="DH229" s="928"/>
      <c r="DI229" s="928"/>
      <c r="DJ229" s="928"/>
      <c r="DK229" s="928"/>
      <c r="DL229" s="928"/>
      <c r="DM229" s="928"/>
      <c r="DN229" s="928"/>
      <c r="DO229" s="928"/>
      <c r="DP229" s="928"/>
      <c r="DQ229" s="928"/>
      <c r="DR229" s="928"/>
      <c r="DS229" s="928"/>
      <c r="DT229" s="928"/>
      <c r="DU229" s="928"/>
      <c r="DV229" s="928"/>
      <c r="DW229" s="928"/>
      <c r="DX229" s="928"/>
      <c r="DY229" s="1338"/>
      <c r="DZ229" s="928"/>
      <c r="EA229" s="928"/>
      <c r="EB229" s="928"/>
      <c r="EC229" s="1337"/>
      <c r="ED229" s="1338"/>
      <c r="EE229" s="928"/>
      <c r="EF229" s="928"/>
      <c r="EG229" s="928"/>
      <c r="EH229" s="1337"/>
      <c r="EI229" s="928"/>
      <c r="EJ229" s="928"/>
      <c r="EK229" s="928"/>
      <c r="EL229" s="928"/>
      <c r="EM229" s="1337"/>
      <c r="EN229" s="928"/>
      <c r="EO229" s="928"/>
      <c r="EP229" s="928"/>
      <c r="EQ229" s="928"/>
      <c r="ER229" s="928"/>
      <c r="ES229" s="928"/>
      <c r="ET229" s="928"/>
      <c r="EU229" s="928"/>
      <c r="EV229" s="928"/>
      <c r="EW229" s="928"/>
      <c r="EX229" s="928"/>
      <c r="EY229" s="928"/>
      <c r="EZ229" s="928"/>
      <c r="FA229" s="928"/>
      <c r="FB229" s="928"/>
      <c r="FC229" s="928"/>
      <c r="FD229" s="928"/>
      <c r="FE229" s="928"/>
      <c r="FF229" s="1363"/>
      <c r="FG229" s="928"/>
      <c r="FH229" s="1351"/>
      <c r="FI229" s="1319"/>
      <c r="FJ229" s="1612"/>
      <c r="FK229" s="1605"/>
      <c r="FL229" s="928"/>
      <c r="FM229" s="928"/>
      <c r="FN229" s="928"/>
      <c r="FO229" s="928"/>
      <c r="FP229" s="928"/>
      <c r="FQ229" s="928"/>
    </row>
    <row r="230" spans="1:173" hidden="1">
      <c r="A230" s="1385" t="s">
        <v>614</v>
      </c>
      <c r="B230" s="928"/>
      <c r="C230" s="928"/>
      <c r="D230" s="928"/>
      <c r="E230" s="928"/>
      <c r="F230" s="928"/>
      <c r="G230" s="928"/>
      <c r="H230" s="928"/>
      <c r="I230" s="928"/>
      <c r="J230" s="928"/>
      <c r="K230" s="928"/>
      <c r="L230" s="928"/>
      <c r="M230" s="928"/>
      <c r="N230" s="928"/>
      <c r="O230" s="928"/>
      <c r="P230" s="928"/>
      <c r="Q230" s="928"/>
      <c r="R230" s="928"/>
      <c r="S230" s="928"/>
      <c r="T230" s="928"/>
      <c r="U230" s="928"/>
      <c r="V230" s="928"/>
      <c r="W230" s="928"/>
      <c r="X230" s="928"/>
      <c r="Y230" s="928"/>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355"/>
      <c r="BF230" s="1254"/>
      <c r="BG230" s="1254"/>
      <c r="BH230" s="1254"/>
      <c r="BI230" s="1389"/>
      <c r="BJ230" s="1355"/>
      <c r="BK230" s="1254"/>
      <c r="BL230" s="1254"/>
      <c r="BM230" s="1254"/>
      <c r="BN230" s="1389"/>
      <c r="BO230" s="1355"/>
      <c r="BP230" s="1254"/>
      <c r="BQ230" s="1254"/>
      <c r="BR230" s="1254"/>
      <c r="BS230" s="1389"/>
      <c r="BT230" s="1355"/>
      <c r="BU230" s="1254"/>
      <c r="BV230" s="1254"/>
      <c r="BW230" s="1254"/>
      <c r="BX230" s="1389"/>
      <c r="BY230" s="1254"/>
      <c r="BZ230" s="1254"/>
      <c r="CA230" s="928"/>
      <c r="CB230" s="928"/>
      <c r="CC230" s="928"/>
      <c r="CD230" s="928"/>
      <c r="CE230" s="928"/>
      <c r="CF230" s="928"/>
      <c r="CG230" s="928"/>
      <c r="CH230" s="928"/>
      <c r="CI230" s="928"/>
      <c r="CJ230" s="928"/>
      <c r="CK230" s="928"/>
      <c r="CL230" s="928"/>
      <c r="CM230" s="928"/>
      <c r="CN230" s="928"/>
      <c r="CO230" s="928"/>
      <c r="CP230" s="928"/>
      <c r="CQ230" s="928"/>
      <c r="CR230" s="928"/>
      <c r="CS230" s="928"/>
      <c r="CT230" s="928"/>
      <c r="CU230" s="928"/>
      <c r="CV230" s="928"/>
      <c r="CW230" s="928"/>
      <c r="CX230" s="928"/>
      <c r="CY230" s="928"/>
      <c r="CZ230" s="928"/>
      <c r="DA230" s="928"/>
      <c r="DB230" s="928"/>
      <c r="DC230" s="928"/>
      <c r="DD230" s="928"/>
      <c r="DE230" s="928"/>
      <c r="DF230" s="928"/>
      <c r="DG230" s="928"/>
      <c r="DH230" s="928"/>
      <c r="DI230" s="928"/>
      <c r="DJ230" s="928"/>
      <c r="DK230" s="928"/>
      <c r="DL230" s="928"/>
      <c r="DM230" s="928"/>
      <c r="DN230" s="928"/>
      <c r="DO230" s="928"/>
      <c r="DP230" s="928"/>
      <c r="DQ230" s="928"/>
      <c r="DR230" s="928"/>
      <c r="DS230" s="928"/>
      <c r="DT230" s="928"/>
      <c r="DU230" s="928"/>
      <c r="DV230" s="928"/>
      <c r="DW230" s="928"/>
      <c r="DX230" s="928"/>
      <c r="DY230" s="1338"/>
      <c r="DZ230" s="928"/>
      <c r="EA230" s="928"/>
      <c r="EB230" s="928"/>
      <c r="EC230" s="1337"/>
      <c r="ED230" s="1338"/>
      <c r="EE230" s="928"/>
      <c r="EF230" s="928"/>
      <c r="EG230" s="928"/>
      <c r="EH230" s="1337"/>
      <c r="EI230" s="928"/>
      <c r="EJ230" s="928"/>
      <c r="EK230" s="928"/>
      <c r="EL230" s="928"/>
      <c r="EM230" s="1337"/>
      <c r="EN230" s="928"/>
      <c r="EO230" s="928"/>
      <c r="EP230" s="928"/>
      <c r="EQ230" s="928"/>
      <c r="ER230" s="928"/>
      <c r="ES230" s="928"/>
      <c r="ET230" s="928"/>
      <c r="EU230" s="928"/>
      <c r="EV230" s="928"/>
      <c r="EW230" s="928"/>
      <c r="EX230" s="928"/>
      <c r="EY230" s="928"/>
      <c r="EZ230" s="928"/>
      <c r="FA230" s="928"/>
      <c r="FB230" s="928"/>
      <c r="FC230" s="928"/>
      <c r="FD230" s="928"/>
      <c r="FE230" s="928"/>
      <c r="FF230" s="1363"/>
      <c r="FG230" s="928"/>
      <c r="FH230" s="1351"/>
      <c r="FI230" s="1319"/>
      <c r="FJ230" s="1612"/>
      <c r="FK230" s="1605"/>
      <c r="FL230" s="928"/>
      <c r="FM230" s="928"/>
      <c r="FN230" s="928"/>
      <c r="FO230" s="928"/>
      <c r="FP230" s="928"/>
      <c r="FQ230" s="928"/>
    </row>
    <row r="231" spans="1:173">
      <c r="B231" s="928"/>
      <c r="C231" s="928"/>
      <c r="D231" s="928"/>
      <c r="E231" s="928"/>
      <c r="F231" s="928"/>
      <c r="G231" s="928"/>
      <c r="H231" s="928"/>
      <c r="I231" s="928"/>
      <c r="J231" s="928"/>
      <c r="K231" s="928"/>
      <c r="L231" s="928"/>
      <c r="M231" s="928"/>
      <c r="N231" s="1413"/>
      <c r="O231" s="928"/>
      <c r="P231" s="928"/>
      <c r="Q231" s="928"/>
      <c r="R231" s="928"/>
      <c r="S231" s="928"/>
      <c r="T231" s="928"/>
      <c r="U231" s="928"/>
      <c r="V231" s="928"/>
      <c r="W231" s="928"/>
      <c r="X231" s="928"/>
      <c r="Y231" s="928"/>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355"/>
      <c r="BF231" s="1254"/>
      <c r="BG231" s="1254"/>
      <c r="BH231" s="1254"/>
      <c r="BI231" s="1389"/>
      <c r="BJ231" s="1355"/>
      <c r="BK231" s="1254"/>
      <c r="BL231" s="1254"/>
      <c r="BM231" s="1254"/>
      <c r="BN231" s="1389"/>
      <c r="BO231" s="1355"/>
      <c r="BP231" s="1254"/>
      <c r="BQ231" s="1254"/>
      <c r="BR231" s="1254"/>
      <c r="BS231" s="1389"/>
      <c r="BT231" s="1355"/>
      <c r="BU231" s="1254"/>
      <c r="BV231" s="1254"/>
      <c r="BW231" s="1254"/>
      <c r="BX231" s="1389"/>
      <c r="BY231" s="1254"/>
      <c r="BZ231" s="1254"/>
      <c r="CA231" s="928"/>
      <c r="CB231" s="928"/>
      <c r="CC231" s="928"/>
      <c r="CD231" s="928"/>
      <c r="CE231" s="928"/>
      <c r="CF231" s="928"/>
      <c r="CG231" s="928"/>
      <c r="CH231" s="928"/>
      <c r="CI231" s="928"/>
      <c r="CJ231" s="928"/>
      <c r="CK231" s="928"/>
      <c r="CL231" s="928"/>
      <c r="CM231" s="928"/>
      <c r="CN231" s="928"/>
      <c r="CO231" s="928"/>
      <c r="CP231" s="928"/>
      <c r="CQ231" s="928"/>
      <c r="CR231" s="928"/>
      <c r="CS231" s="928"/>
      <c r="CT231" s="928"/>
      <c r="CU231" s="928"/>
      <c r="CV231" s="928"/>
      <c r="CW231" s="928"/>
      <c r="CX231" s="928"/>
      <c r="CY231" s="928"/>
      <c r="CZ231" s="928"/>
      <c r="DA231" s="928"/>
      <c r="DB231" s="928"/>
      <c r="DC231" s="928"/>
      <c r="DD231" s="928"/>
      <c r="DE231" s="928"/>
      <c r="DF231" s="928"/>
      <c r="DG231" s="928"/>
      <c r="DH231" s="928"/>
      <c r="DI231" s="928"/>
      <c r="DJ231" s="928"/>
      <c r="DK231" s="928"/>
      <c r="DL231" s="928"/>
      <c r="DM231" s="928"/>
      <c r="DN231" s="928"/>
      <c r="DO231" s="928"/>
      <c r="DP231" s="928"/>
      <c r="DQ231" s="928"/>
      <c r="DR231" s="928"/>
      <c r="DS231" s="928"/>
      <c r="DT231" s="928"/>
      <c r="DU231" s="928"/>
      <c r="DV231" s="928"/>
      <c r="DW231" s="928"/>
      <c r="DX231" s="928"/>
      <c r="DY231" s="1338"/>
      <c r="DZ231" s="928"/>
      <c r="EA231" s="928"/>
      <c r="EB231" s="928"/>
      <c r="EC231" s="1337"/>
      <c r="ED231" s="1338"/>
      <c r="EE231" s="928"/>
      <c r="EF231" s="928"/>
      <c r="EG231" s="928"/>
      <c r="EH231" s="1337"/>
      <c r="EI231" s="928"/>
      <c r="EJ231" s="928"/>
      <c r="EK231" s="928"/>
      <c r="EL231" s="928"/>
      <c r="EM231" s="1337"/>
      <c r="EN231" s="928"/>
      <c r="EO231" s="928"/>
      <c r="EP231" s="928"/>
      <c r="EQ231" s="928"/>
      <c r="ER231" s="928"/>
      <c r="ES231" s="928"/>
      <c r="ET231" s="928"/>
      <c r="EU231" s="928"/>
      <c r="EV231" s="928"/>
      <c r="EW231" s="928"/>
      <c r="EX231" s="928"/>
      <c r="EY231" s="928"/>
      <c r="EZ231" s="928"/>
      <c r="FA231" s="928"/>
      <c r="FB231" s="928"/>
      <c r="FC231" s="928"/>
      <c r="FD231" s="928"/>
      <c r="FE231" s="928"/>
      <c r="FF231" s="1363"/>
      <c r="FG231" s="928"/>
      <c r="FH231" s="1351"/>
      <c r="FI231" s="1319"/>
      <c r="FJ231" s="1612"/>
      <c r="FK231" s="1605"/>
      <c r="FL231" s="928"/>
      <c r="FM231" s="928"/>
      <c r="FN231" s="928"/>
      <c r="FO231" s="928"/>
      <c r="FP231" s="928"/>
      <c r="FQ231" s="928"/>
    </row>
    <row r="232" spans="1:173">
      <c r="A232" s="1385"/>
      <c r="B232" s="928"/>
      <c r="C232" s="928"/>
      <c r="D232" s="928"/>
      <c r="E232" s="928"/>
      <c r="F232" s="928"/>
      <c r="G232" s="928"/>
      <c r="H232" s="928"/>
      <c r="I232" s="928"/>
      <c r="J232" s="928"/>
      <c r="K232" s="928"/>
      <c r="L232" s="928"/>
      <c r="M232" s="928"/>
      <c r="N232" s="1413"/>
      <c r="O232" s="928"/>
      <c r="P232" s="928"/>
      <c r="Q232" s="928"/>
      <c r="R232" s="928"/>
      <c r="S232" s="928"/>
      <c r="T232" s="928"/>
      <c r="U232" s="928"/>
      <c r="V232" s="928"/>
      <c r="W232" s="928"/>
      <c r="X232" s="928"/>
      <c r="Y232" s="928"/>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355"/>
      <c r="BF232" s="1254"/>
      <c r="BG232" s="1254"/>
      <c r="BH232" s="1254"/>
      <c r="BI232" s="1389"/>
      <c r="BJ232" s="1355"/>
      <c r="BK232" s="1254"/>
      <c r="BL232" s="1254"/>
      <c r="BM232" s="1254"/>
      <c r="BN232" s="1389"/>
      <c r="BO232" s="1355"/>
      <c r="BP232" s="1254"/>
      <c r="BQ232" s="1254"/>
      <c r="BR232" s="1254"/>
      <c r="BS232" s="1389"/>
      <c r="BT232" s="1355"/>
      <c r="BU232" s="1254"/>
      <c r="BV232" s="1254"/>
      <c r="BW232" s="1254"/>
      <c r="BX232" s="1389"/>
      <c r="BY232" s="1254"/>
      <c r="BZ232" s="1254"/>
      <c r="CA232" s="928"/>
      <c r="CB232" s="928"/>
      <c r="CC232" s="928"/>
      <c r="CD232" s="928"/>
      <c r="CE232" s="928"/>
      <c r="CF232" s="928"/>
      <c r="CG232" s="928"/>
      <c r="CH232" s="928"/>
      <c r="CI232" s="928"/>
      <c r="CJ232" s="928"/>
      <c r="CK232" s="928"/>
      <c r="CL232" s="928"/>
      <c r="CM232" s="928"/>
      <c r="CN232" s="928"/>
      <c r="CO232" s="928"/>
      <c r="CP232" s="928"/>
      <c r="CQ232" s="928"/>
      <c r="CR232" s="928"/>
      <c r="CS232" s="928"/>
      <c r="CT232" s="928"/>
      <c r="CU232" s="928"/>
      <c r="CV232" s="928"/>
      <c r="CW232" s="928"/>
      <c r="CX232" s="928"/>
      <c r="CY232" s="928"/>
      <c r="CZ232" s="928"/>
      <c r="DA232" s="928"/>
      <c r="DB232" s="928"/>
      <c r="DC232" s="928"/>
      <c r="DD232" s="928"/>
      <c r="DE232" s="928"/>
      <c r="DF232" s="928"/>
      <c r="DG232" s="928"/>
      <c r="DH232" s="928"/>
      <c r="DI232" s="928"/>
      <c r="DJ232" s="928"/>
      <c r="DK232" s="928"/>
      <c r="DL232" s="928"/>
      <c r="DM232" s="928"/>
      <c r="DN232" s="928"/>
      <c r="DO232" s="928"/>
      <c r="DP232" s="928"/>
      <c r="DQ232" s="928"/>
      <c r="DR232" s="928"/>
      <c r="DS232" s="928"/>
      <c r="DT232" s="928"/>
      <c r="DU232" s="928"/>
      <c r="DV232" s="928"/>
      <c r="DW232" s="928"/>
      <c r="DX232" s="928"/>
      <c r="DY232" s="1338"/>
      <c r="DZ232" s="928"/>
      <c r="EA232" s="928"/>
      <c r="EB232" s="928"/>
      <c r="EC232" s="1337"/>
      <c r="ED232" s="1338"/>
      <c r="EE232" s="928"/>
      <c r="EF232" s="928"/>
      <c r="EG232" s="928"/>
      <c r="EH232" s="1337"/>
      <c r="EI232" s="928"/>
      <c r="EJ232" s="928"/>
      <c r="EK232" s="928"/>
      <c r="EL232" s="928"/>
      <c r="EM232" s="1337"/>
      <c r="EN232" s="928"/>
      <c r="EO232" s="928"/>
      <c r="EP232" s="928"/>
      <c r="EQ232" s="928"/>
      <c r="ER232" s="928"/>
      <c r="ES232" s="928"/>
      <c r="ET232" s="928"/>
      <c r="EU232" s="928"/>
      <c r="EV232" s="928"/>
      <c r="EW232" s="928"/>
      <c r="EX232" s="928"/>
      <c r="EY232" s="928"/>
      <c r="EZ232" s="928"/>
      <c r="FA232" s="928"/>
      <c r="FB232" s="928"/>
      <c r="FC232" s="928"/>
      <c r="FD232" s="928"/>
      <c r="FE232" s="928"/>
      <c r="FF232" s="1363"/>
      <c r="FG232" s="928"/>
      <c r="FH232" s="1351"/>
      <c r="FI232" s="1319"/>
      <c r="FJ232" s="1612"/>
      <c r="FK232" s="1605"/>
      <c r="FL232" s="928"/>
      <c r="FM232" s="928"/>
      <c r="FN232" s="928"/>
      <c r="FO232" s="928"/>
      <c r="FP232" s="928"/>
      <c r="FQ232" s="928"/>
    </row>
    <row r="233" spans="1:173">
      <c r="A233" s="1344" t="str">
        <f>A218</f>
        <v>Homes passed</v>
      </c>
      <c r="B233" s="1393"/>
      <c r="C233" s="1393"/>
      <c r="D233" s="1393"/>
      <c r="E233" s="1393"/>
      <c r="F233" s="1393"/>
      <c r="G233" s="1393"/>
      <c r="H233" s="1393"/>
      <c r="I233" s="1393"/>
      <c r="J233" s="1393"/>
      <c r="K233" s="1393"/>
      <c r="L233" s="1393"/>
      <c r="M233" s="1393"/>
      <c r="N233" s="1426"/>
      <c r="O233" s="928"/>
      <c r="P233" s="928"/>
      <c r="Q233" s="928"/>
      <c r="R233" s="928"/>
      <c r="S233" s="928"/>
      <c r="T233" s="928"/>
      <c r="U233" s="928"/>
      <c r="V233" s="928"/>
      <c r="W233" s="928"/>
      <c r="X233" s="928"/>
      <c r="Y233" s="928"/>
      <c r="Z233" s="1254"/>
      <c r="AA233" s="1254"/>
      <c r="AB233" s="1254"/>
      <c r="AC233" s="1254"/>
      <c r="AD233" s="1254"/>
      <c r="AE233" s="1254"/>
      <c r="AF233" s="1254"/>
      <c r="AG233" s="1254"/>
      <c r="AH233" s="1254"/>
      <c r="AI233" s="1254"/>
      <c r="AJ233" s="1254"/>
      <c r="AK233" s="1254"/>
      <c r="AL233" s="1254"/>
      <c r="AM233" s="1254"/>
      <c r="AN233" s="1413"/>
      <c r="AO233" s="1413">
        <v>13800</v>
      </c>
      <c r="AP233" s="1254"/>
      <c r="AQ233" s="1254"/>
      <c r="AR233" s="1254"/>
      <c r="AS233" s="1254"/>
      <c r="AT233" s="1413">
        <v>14600</v>
      </c>
      <c r="AU233" s="1254"/>
      <c r="AV233" s="1254"/>
      <c r="AW233" s="1254"/>
      <c r="AX233" s="1254"/>
      <c r="AY233" s="1254"/>
      <c r="AZ233" s="1254"/>
      <c r="BA233" s="1254"/>
      <c r="BB233" s="1254"/>
      <c r="BC233" s="1254"/>
      <c r="BD233" s="1254"/>
      <c r="BE233" s="1355"/>
      <c r="BF233" s="1254"/>
      <c r="BG233" s="1254"/>
      <c r="BH233" s="1254"/>
      <c r="BI233" s="1389"/>
      <c r="BJ233" s="1355"/>
      <c r="BK233" s="1254"/>
      <c r="BL233" s="1254"/>
      <c r="BM233" s="1254"/>
      <c r="BN233" s="1389"/>
      <c r="BO233" s="1355"/>
      <c r="BP233" s="1254"/>
      <c r="BQ233" s="1254"/>
      <c r="BR233" s="1254"/>
      <c r="BS233" s="1389"/>
      <c r="BT233" s="1523">
        <v>19700</v>
      </c>
      <c r="BU233" s="1254"/>
      <c r="BV233" s="1254"/>
      <c r="BW233" s="1254"/>
      <c r="BX233" s="1389"/>
      <c r="BY233" s="1254"/>
      <c r="BZ233" s="1254"/>
      <c r="CA233" s="928"/>
      <c r="CB233" s="928"/>
      <c r="CC233" s="928"/>
      <c r="CD233" s="928"/>
      <c r="CE233" s="928"/>
      <c r="CF233" s="928"/>
      <c r="CG233" s="928"/>
      <c r="CH233" s="928"/>
      <c r="CI233" s="928"/>
      <c r="CJ233" s="928"/>
      <c r="CK233" s="928"/>
      <c r="CL233" s="928"/>
      <c r="CM233" s="928"/>
      <c r="CN233" s="928"/>
      <c r="CO233" s="928"/>
      <c r="CP233" s="928"/>
      <c r="CQ233" s="928"/>
      <c r="CR233" s="928"/>
      <c r="CS233" s="928"/>
      <c r="CT233" s="928"/>
      <c r="CU233" s="928"/>
      <c r="CV233" s="928"/>
      <c r="CW233" s="928"/>
      <c r="CX233" s="928"/>
      <c r="CY233" s="928"/>
      <c r="CZ233" s="928"/>
      <c r="DA233" s="928"/>
      <c r="DB233" s="928"/>
      <c r="DC233" s="928"/>
      <c r="DD233" s="928"/>
      <c r="DE233" s="928"/>
      <c r="DF233" s="928"/>
      <c r="DG233" s="928"/>
      <c r="DH233" s="928"/>
      <c r="DI233" s="928"/>
      <c r="DJ233" s="928"/>
      <c r="DK233" s="928"/>
      <c r="DL233" s="928"/>
      <c r="DM233" s="928"/>
      <c r="DN233" s="928"/>
      <c r="DO233" s="928"/>
      <c r="DP233" s="928"/>
      <c r="DQ233" s="928"/>
      <c r="DR233" s="928"/>
      <c r="DS233" s="928"/>
      <c r="DT233" s="928"/>
      <c r="DU233" s="928"/>
      <c r="DV233" s="928"/>
      <c r="DW233" s="928"/>
      <c r="DX233" s="928"/>
      <c r="DY233" s="1338"/>
      <c r="DZ233" s="928"/>
      <c r="EA233" s="928"/>
      <c r="EB233" s="928"/>
      <c r="EC233" s="1337"/>
      <c r="ED233" s="1338"/>
      <c r="EE233" s="928"/>
      <c r="EF233" s="928"/>
      <c r="EG233" s="928"/>
      <c r="EH233" s="1337"/>
      <c r="EI233" s="928"/>
      <c r="EJ233" s="928"/>
      <c r="EK233" s="928"/>
      <c r="EL233" s="928"/>
      <c r="EM233" s="1337"/>
      <c r="EN233" s="928"/>
      <c r="EO233" s="928"/>
      <c r="EP233" s="928"/>
      <c r="EQ233" s="928"/>
      <c r="ER233" s="928"/>
      <c r="ES233" s="928"/>
      <c r="ET233" s="928"/>
      <c r="EU233" s="928"/>
      <c r="EV233" s="928"/>
      <c r="EW233" s="928"/>
      <c r="EX233" s="928"/>
      <c r="EY233" s="928"/>
      <c r="EZ233" s="928"/>
      <c r="FA233" s="928"/>
      <c r="FB233" s="928"/>
      <c r="FC233" s="928"/>
      <c r="FD233" s="928"/>
      <c r="FE233" s="928"/>
      <c r="FF233" s="1363"/>
      <c r="FG233" s="928"/>
      <c r="FH233" s="1351"/>
      <c r="FI233" s="1319"/>
      <c r="FJ233" s="1612"/>
      <c r="FK233" s="1605"/>
      <c r="FL233" s="928"/>
      <c r="FM233" s="928"/>
      <c r="FN233" s="928"/>
      <c r="FO233" s="928"/>
      <c r="FP233" s="928"/>
      <c r="FQ233" s="928"/>
    </row>
    <row r="234" spans="1:173">
      <c r="A234" s="1344"/>
      <c r="B234" s="1393"/>
      <c r="C234" s="1393"/>
      <c r="D234" s="1393"/>
      <c r="E234" s="1393"/>
      <c r="F234" s="1393"/>
      <c r="G234" s="1393"/>
      <c r="H234" s="1393"/>
      <c r="I234" s="1393"/>
      <c r="J234" s="1393"/>
      <c r="K234" s="1393"/>
      <c r="L234" s="1393"/>
      <c r="M234" s="1393"/>
      <c r="N234" s="1426"/>
      <c r="O234" s="928"/>
      <c r="P234" s="928"/>
      <c r="Q234" s="928"/>
      <c r="R234" s="928"/>
      <c r="S234" s="928"/>
      <c r="T234" s="928"/>
      <c r="U234" s="928"/>
      <c r="V234" s="928"/>
      <c r="W234" s="928"/>
      <c r="X234" s="928"/>
      <c r="Y234" s="928"/>
      <c r="Z234" s="1254"/>
      <c r="AA234" s="1254"/>
      <c r="AB234" s="1254"/>
      <c r="AC234" s="1254"/>
      <c r="AD234" s="1254"/>
      <c r="AE234" s="1254"/>
      <c r="AF234" s="1254"/>
      <c r="AG234" s="1254"/>
      <c r="AH234" s="1254"/>
      <c r="AI234" s="1254"/>
      <c r="AJ234" s="1254"/>
      <c r="AK234" s="1254"/>
      <c r="AL234" s="1254"/>
      <c r="AM234" s="1254"/>
      <c r="AN234" s="1413"/>
      <c r="AO234" s="1413"/>
      <c r="AP234" s="1254"/>
      <c r="AQ234" s="1254"/>
      <c r="AR234" s="1254"/>
      <c r="AS234" s="1254"/>
      <c r="AT234" s="1413"/>
      <c r="AU234" s="1254"/>
      <c r="AV234" s="1254"/>
      <c r="AW234" s="1254"/>
      <c r="AX234" s="1254"/>
      <c r="AY234" s="1254"/>
      <c r="AZ234" s="1254"/>
      <c r="BA234" s="1254"/>
      <c r="BB234" s="1254"/>
      <c r="BC234" s="1254"/>
      <c r="BD234" s="1254"/>
      <c r="BE234" s="1355"/>
      <c r="BF234" s="1254"/>
      <c r="BG234" s="1254"/>
      <c r="BH234" s="1254"/>
      <c r="BI234" s="1389"/>
      <c r="BJ234" s="1355"/>
      <c r="BK234" s="1254"/>
      <c r="BL234" s="1254"/>
      <c r="BM234" s="1254"/>
      <c r="BN234" s="1389"/>
      <c r="BO234" s="1355"/>
      <c r="BP234" s="1254"/>
      <c r="BQ234" s="1254"/>
      <c r="BR234" s="1254"/>
      <c r="BS234" s="1389"/>
      <c r="BT234" s="1355"/>
      <c r="BU234" s="1254"/>
      <c r="BV234" s="1254"/>
      <c r="BW234" s="1254"/>
      <c r="BX234" s="1389"/>
      <c r="BY234" s="1254"/>
      <c r="BZ234" s="1254"/>
      <c r="CA234" s="928"/>
      <c r="CB234" s="928"/>
      <c r="CC234" s="928"/>
      <c r="CD234" s="928"/>
      <c r="CE234" s="928"/>
      <c r="CF234" s="928"/>
      <c r="CG234" s="928"/>
      <c r="CH234" s="928"/>
      <c r="CI234" s="928"/>
      <c r="CJ234" s="928"/>
      <c r="CK234" s="928"/>
      <c r="CL234" s="928"/>
      <c r="CM234" s="928"/>
      <c r="CN234" s="928"/>
      <c r="CO234" s="928"/>
      <c r="CP234" s="928"/>
      <c r="CQ234" s="928"/>
      <c r="CR234" s="928"/>
      <c r="CS234" s="928"/>
      <c r="CT234" s="928"/>
      <c r="CU234" s="928"/>
      <c r="CV234" s="928"/>
      <c r="CW234" s="928"/>
      <c r="CX234" s="928"/>
      <c r="CY234" s="928"/>
      <c r="CZ234" s="928"/>
      <c r="DA234" s="928"/>
      <c r="DB234" s="928"/>
      <c r="DC234" s="928"/>
      <c r="DD234" s="928"/>
      <c r="DE234" s="928"/>
      <c r="DF234" s="928"/>
      <c r="DG234" s="928"/>
      <c r="DH234" s="928"/>
      <c r="DI234" s="928"/>
      <c r="DJ234" s="928"/>
      <c r="DK234" s="928"/>
      <c r="DL234" s="928"/>
      <c r="DM234" s="928"/>
      <c r="DN234" s="928"/>
      <c r="DO234" s="928"/>
      <c r="DP234" s="928"/>
      <c r="DQ234" s="928"/>
      <c r="DR234" s="928"/>
      <c r="DS234" s="928"/>
      <c r="DT234" s="928"/>
      <c r="DU234" s="928"/>
      <c r="DV234" s="928"/>
      <c r="DW234" s="928"/>
      <c r="DX234" s="928"/>
      <c r="DY234" s="1338"/>
      <c r="DZ234" s="928"/>
      <c r="EA234" s="928"/>
      <c r="EB234" s="928"/>
      <c r="EC234" s="1337"/>
      <c r="ED234" s="1338"/>
      <c r="EE234" s="928"/>
      <c r="EF234" s="928"/>
      <c r="EG234" s="928"/>
      <c r="EH234" s="1337"/>
      <c r="EI234" s="928"/>
      <c r="EJ234" s="928"/>
      <c r="EK234" s="928"/>
      <c r="EL234" s="928"/>
      <c r="EM234" s="1337"/>
      <c r="EN234" s="928"/>
      <c r="EO234" s="928"/>
      <c r="EP234" s="928"/>
      <c r="EQ234" s="928"/>
      <c r="ER234" s="928"/>
      <c r="ES234" s="928"/>
      <c r="ET234" s="928"/>
      <c r="EU234" s="928"/>
      <c r="EV234" s="928"/>
      <c r="EW234" s="928"/>
      <c r="EX234" s="928"/>
      <c r="EY234" s="928"/>
      <c r="EZ234" s="928"/>
      <c r="FA234" s="928"/>
      <c r="FB234" s="928"/>
      <c r="FC234" s="928"/>
      <c r="FD234" s="928"/>
      <c r="FE234" s="928"/>
      <c r="FF234" s="1363"/>
      <c r="FG234" s="928"/>
      <c r="FH234" s="1351"/>
      <c r="FI234" s="1319"/>
      <c r="FJ234" s="1612"/>
      <c r="FK234" s="1605"/>
      <c r="FL234" s="928"/>
      <c r="FM234" s="928"/>
      <c r="FN234" s="928"/>
      <c r="FO234" s="928"/>
      <c r="FP234" s="928"/>
      <c r="FQ234" s="928"/>
    </row>
    <row r="235" spans="1:173">
      <c r="A235" s="1344" t="str">
        <f>A219</f>
        <v>TV</v>
      </c>
      <c r="B235" s="928">
        <f t="shared" ref="B235:E236" si="305">B205+B212+B219</f>
        <v>1820</v>
      </c>
      <c r="C235" s="928">
        <f t="shared" si="305"/>
        <v>1901</v>
      </c>
      <c r="D235" s="928">
        <f t="shared" si="305"/>
        <v>1925</v>
      </c>
      <c r="E235" s="928">
        <f t="shared" si="305"/>
        <v>1968</v>
      </c>
      <c r="F235" s="928"/>
      <c r="G235" s="928">
        <f t="shared" ref="G235:J236" si="306">G205+G212+G219</f>
        <v>2009</v>
      </c>
      <c r="H235" s="928">
        <f t="shared" si="306"/>
        <v>2088</v>
      </c>
      <c r="I235" s="928">
        <f t="shared" si="306"/>
        <v>2122</v>
      </c>
      <c r="J235" s="928">
        <f t="shared" si="306"/>
        <v>2182</v>
      </c>
      <c r="K235" s="928"/>
      <c r="L235" s="928">
        <f t="shared" ref="L235:O236" si="307">L205+L212+L219</f>
        <v>2218</v>
      </c>
      <c r="M235" s="928">
        <f t="shared" si="307"/>
        <v>2233</v>
      </c>
      <c r="N235" s="1413">
        <f t="shared" si="307"/>
        <v>2263.6310000000003</v>
      </c>
      <c r="O235" s="1413">
        <f t="shared" si="307"/>
        <v>2309</v>
      </c>
      <c r="P235" s="1413">
        <f>'SKY Mex'!I10</f>
        <v>3198.9539877300613</v>
      </c>
      <c r="Q235" s="1413">
        <f t="shared" ref="Q235:T236" si="308">Q205+Q212+Q219</f>
        <v>2363.8000000000002</v>
      </c>
      <c r="R235" s="1413">
        <f t="shared" si="308"/>
        <v>2405.7999999999997</v>
      </c>
      <c r="S235" s="1413">
        <f t="shared" si="308"/>
        <v>2464.06</v>
      </c>
      <c r="T235" s="1413">
        <f t="shared" si="308"/>
        <v>2496</v>
      </c>
      <c r="U235" s="1413"/>
      <c r="V235" s="1413">
        <f>V205+V212+V219</f>
        <v>2518.73</v>
      </c>
      <c r="W235" s="1413">
        <f>W205+W212+W219</f>
        <v>2570.5990000000002</v>
      </c>
      <c r="X235" s="1413">
        <f>X205+X212+X219+X226</f>
        <v>3312.0949999999998</v>
      </c>
      <c r="Y235" s="1413">
        <v>3356.732</v>
      </c>
      <c r="Z235" s="1254"/>
      <c r="AA235" s="1413">
        <v>3868</v>
      </c>
      <c r="AB235" s="1413">
        <v>3916.5120000000002</v>
      </c>
      <c r="AC235" s="1413">
        <v>3948.4</v>
      </c>
      <c r="AD235" s="1413">
        <v>4061.6550000000002</v>
      </c>
      <c r="AE235" s="1254"/>
      <c r="AF235" s="1413">
        <v>4153.3</v>
      </c>
      <c r="AG235" s="1413">
        <v>4219.8999999999996</v>
      </c>
      <c r="AH235" s="1465">
        <v>4240.3950000000004</v>
      </c>
      <c r="AI235" s="1465">
        <v>4205.8999999999996</v>
      </c>
      <c r="AJ235" s="1413">
        <f>AI235</f>
        <v>4205.8999999999996</v>
      </c>
      <c r="AK235" s="1465">
        <f>AJ235-67.624-71.341</f>
        <v>4066.9349999999999</v>
      </c>
      <c r="AL235" s="1465">
        <v>4092.4</v>
      </c>
      <c r="AM235" s="1465">
        <v>4123.3729999999996</v>
      </c>
      <c r="AN235" s="1465">
        <v>4185.1499999999996</v>
      </c>
      <c r="AO235" s="1413">
        <f>'SKY Mex'!N10</f>
        <v>4185</v>
      </c>
      <c r="AP235" s="1465">
        <v>4237.8</v>
      </c>
      <c r="AQ235" s="1465">
        <v>4315.8590000000004</v>
      </c>
      <c r="AR235" s="1465">
        <v>4281.125</v>
      </c>
      <c r="AS235" s="1465">
        <v>4384.2470000000003</v>
      </c>
      <c r="AT235" s="1413">
        <f>'SKY Mex'!O10</f>
        <v>4384</v>
      </c>
      <c r="AU235" s="1465">
        <v>4375.6000000000004</v>
      </c>
      <c r="AV235" s="1465">
        <v>4387.0069999999996</v>
      </c>
      <c r="AW235" s="1465">
        <v>4345</v>
      </c>
      <c r="AX235" s="1465">
        <v>4318.8630000000003</v>
      </c>
      <c r="AY235" s="1413"/>
      <c r="AZ235" s="1451">
        <v>4308.058</v>
      </c>
      <c r="BA235" s="1451">
        <v>4335.4780000000001</v>
      </c>
      <c r="BB235" s="1451">
        <v>4333.9080000000004</v>
      </c>
      <c r="BC235" s="1451">
        <v>4284.6819999999998</v>
      </c>
      <c r="BD235" s="1442">
        <f>'SKY Mex'!Q10</f>
        <v>4284.7</v>
      </c>
      <c r="BE235" s="1523">
        <v>4246.1009999999997</v>
      </c>
      <c r="BF235" s="1451">
        <v>4214.5959999999995</v>
      </c>
      <c r="BG235" s="1451">
        <v>4155.5290000000005</v>
      </c>
      <c r="BH235" s="1451">
        <v>4166.46</v>
      </c>
      <c r="BI235" s="1514">
        <f>'SKY Mex'!R10</f>
        <v>4166.46</v>
      </c>
      <c r="BJ235" s="1523">
        <v>4255.5010000000002</v>
      </c>
      <c r="BK235" s="1451">
        <v>4334.6480000000001</v>
      </c>
      <c r="BL235" s="1451">
        <v>4405.6949999999997</v>
      </c>
      <c r="BM235" s="1451">
        <v>4458.22</v>
      </c>
      <c r="BN235" s="1514">
        <f>'SKY Mex'!S10</f>
        <v>4458.22</v>
      </c>
      <c r="BO235" s="1523">
        <v>4489.09</v>
      </c>
      <c r="BP235" s="1451">
        <v>4442.8999999999996</v>
      </c>
      <c r="BQ235" s="1451">
        <v>4059.39</v>
      </c>
      <c r="BR235" s="1451">
        <v>4059.4940000000001</v>
      </c>
      <c r="BS235" s="1514">
        <f>'SKY Mex'!T10</f>
        <v>4059.4940000000001</v>
      </c>
      <c r="BT235" s="1523">
        <v>4062.248</v>
      </c>
      <c r="BU235" s="1537">
        <f>BT235+10</f>
        <v>4072.248</v>
      </c>
      <c r="BV235" s="1537">
        <f>BU235+15</f>
        <v>4087.248</v>
      </c>
      <c r="BW235" s="1442">
        <f>BX235</f>
        <v>4105</v>
      </c>
      <c r="BX235" s="1514">
        <f>'SKY Mex'!U10</f>
        <v>4105</v>
      </c>
      <c r="BY235" s="1413"/>
      <c r="BZ235" s="1254"/>
      <c r="CA235" s="928"/>
      <c r="CB235" s="928"/>
      <c r="CC235" s="928"/>
      <c r="CD235" s="928"/>
      <c r="CE235" s="928"/>
      <c r="CF235" s="928"/>
      <c r="CG235" s="928"/>
      <c r="CH235" s="928"/>
      <c r="CI235" s="928"/>
      <c r="CJ235" s="928"/>
      <c r="CK235" s="928"/>
      <c r="CL235" s="928"/>
      <c r="CM235" s="928"/>
      <c r="CN235" s="928"/>
      <c r="CO235" s="928"/>
      <c r="CP235" s="928"/>
      <c r="CQ235" s="928"/>
      <c r="CR235" s="928"/>
      <c r="CS235" s="928"/>
      <c r="CT235" s="928"/>
      <c r="CU235" s="928"/>
      <c r="CV235" s="928"/>
      <c r="CW235" s="928"/>
      <c r="CX235" s="1254">
        <f>AP235/AK235-1</f>
        <v>4.2013211423344687E-2</v>
      </c>
      <c r="CY235" s="928"/>
      <c r="CZ235" s="928"/>
      <c r="DA235" s="928"/>
      <c r="DB235" s="928"/>
      <c r="DC235" s="928"/>
      <c r="DD235" s="928"/>
      <c r="DE235" s="928"/>
      <c r="DF235" s="928"/>
      <c r="DG235" s="928"/>
      <c r="DH235" s="928"/>
      <c r="DI235" s="928"/>
      <c r="DJ235" s="928"/>
      <c r="DK235" s="1254">
        <f>BB235/AW235-1</f>
        <v>-2.5528193325661253E-3</v>
      </c>
      <c r="DL235" s="928"/>
      <c r="DM235" s="928"/>
      <c r="DN235" s="928"/>
      <c r="DO235" s="928"/>
      <c r="DP235" s="928"/>
      <c r="DQ235" s="928"/>
      <c r="DR235" s="928"/>
      <c r="DS235" s="928"/>
      <c r="DT235" s="928"/>
      <c r="DU235" s="928"/>
      <c r="DV235" s="928"/>
      <c r="DW235" s="928"/>
      <c r="DX235" s="928"/>
      <c r="DY235" s="1338"/>
      <c r="DZ235" s="928"/>
      <c r="EA235" s="928"/>
      <c r="EB235" s="928"/>
      <c r="EC235" s="1337"/>
      <c r="ED235" s="1338"/>
      <c r="EE235" s="928"/>
      <c r="EF235" s="928"/>
      <c r="EG235" s="928"/>
      <c r="EH235" s="1337"/>
      <c r="EI235" s="928"/>
      <c r="EJ235" s="928"/>
      <c r="EK235" s="928"/>
      <c r="EL235" s="928"/>
      <c r="EM235" s="1337"/>
      <c r="EN235" s="928"/>
      <c r="EO235" s="928"/>
      <c r="EP235" s="928"/>
      <c r="EQ235" s="928"/>
      <c r="ER235" s="928"/>
      <c r="ES235" s="928"/>
      <c r="ET235" s="928"/>
      <c r="EU235" s="928"/>
      <c r="EV235" s="928"/>
      <c r="EW235" s="928"/>
      <c r="EX235" s="928"/>
      <c r="EY235" s="928"/>
      <c r="EZ235" s="928"/>
      <c r="FA235" s="928"/>
      <c r="FB235" s="928"/>
      <c r="FC235" s="928"/>
      <c r="FD235" s="928"/>
      <c r="FE235" s="928"/>
      <c r="FF235" s="1452">
        <v>4352.8999999999996</v>
      </c>
      <c r="FG235" s="928"/>
      <c r="FH235" s="1453">
        <v>4030</v>
      </c>
      <c r="FI235" s="1319"/>
      <c r="FJ235" s="1618">
        <v>4064.4940000000001</v>
      </c>
      <c r="FK235" s="1605"/>
      <c r="FL235" s="928"/>
      <c r="FM235" s="928"/>
      <c r="FN235" s="928"/>
      <c r="FO235" s="928"/>
      <c r="FP235" s="928"/>
      <c r="FQ235" s="928"/>
    </row>
    <row r="236" spans="1:173">
      <c r="A236" s="1344" t="str">
        <f>A220</f>
        <v>Internet</v>
      </c>
      <c r="B236" s="928">
        <f t="shared" si="305"/>
        <v>696</v>
      </c>
      <c r="C236" s="928">
        <f t="shared" si="305"/>
        <v>738</v>
      </c>
      <c r="D236" s="928">
        <f t="shared" si="305"/>
        <v>770</v>
      </c>
      <c r="E236" s="928">
        <f t="shared" si="305"/>
        <v>806</v>
      </c>
      <c r="F236" s="928"/>
      <c r="G236" s="928">
        <f t="shared" si="306"/>
        <v>853</v>
      </c>
      <c r="H236" s="928">
        <f t="shared" si="306"/>
        <v>899</v>
      </c>
      <c r="I236" s="928">
        <f t="shared" si="306"/>
        <v>975</v>
      </c>
      <c r="J236" s="928">
        <f t="shared" si="306"/>
        <v>1066</v>
      </c>
      <c r="K236" s="928"/>
      <c r="L236" s="928">
        <f t="shared" si="307"/>
        <v>1140</v>
      </c>
      <c r="M236" s="928">
        <f t="shared" si="307"/>
        <v>1176</v>
      </c>
      <c r="N236" s="1413">
        <f t="shared" si="307"/>
        <v>1249.377</v>
      </c>
      <c r="O236" s="1413">
        <f t="shared" si="307"/>
        <v>1306</v>
      </c>
      <c r="P236" s="1413">
        <f>'Cable cos'!G106+'Cable cos'!G107+'Cable cos'!G108</f>
        <v>1306</v>
      </c>
      <c r="Q236" s="1413">
        <f t="shared" si="308"/>
        <v>1384.4</v>
      </c>
      <c r="R236" s="1413">
        <f t="shared" si="308"/>
        <v>1456.8</v>
      </c>
      <c r="S236" s="1413">
        <f t="shared" si="308"/>
        <v>1566.6</v>
      </c>
      <c r="T236" s="1413">
        <f t="shared" si="308"/>
        <v>1666</v>
      </c>
      <c r="U236" s="1413"/>
      <c r="V236" s="1413">
        <f>V206+V213+V220</f>
        <v>1750.3980000000001</v>
      </c>
      <c r="W236" s="1413">
        <f>W206+W213+W220</f>
        <v>1840.3480000000002</v>
      </c>
      <c r="X236" s="1413">
        <f>X206+X213+X220+X227</f>
        <v>2166</v>
      </c>
      <c r="Y236" s="1413">
        <v>2288.7089999999998</v>
      </c>
      <c r="Z236" s="1254"/>
      <c r="AA236" s="1413">
        <v>2603</v>
      </c>
      <c r="AB236" s="1413">
        <v>2748.4009999999998</v>
      </c>
      <c r="AC236" s="1413">
        <v>2900.8</v>
      </c>
      <c r="AD236" s="1413">
        <v>3066.6990000000001</v>
      </c>
      <c r="AE236" s="1254"/>
      <c r="AF236" s="1413">
        <v>3147.2860000000001</v>
      </c>
      <c r="AG236" s="1413">
        <v>3258.1</v>
      </c>
      <c r="AH236" s="1465">
        <v>3346.06</v>
      </c>
      <c r="AI236" s="1465">
        <v>3411.8</v>
      </c>
      <c r="AJ236" s="1413">
        <f>AI236</f>
        <v>3411.8</v>
      </c>
      <c r="AK236" s="1465">
        <f>AJ236+45.057-80.288</f>
        <v>3376.569</v>
      </c>
      <c r="AL236" s="1465">
        <v>3495.6</v>
      </c>
      <c r="AM236" s="1465">
        <v>3640.1320000000001</v>
      </c>
      <c r="AN236" s="1465">
        <v>3797.3359999999998</v>
      </c>
      <c r="AO236" s="1413">
        <f>'Cable cos'!L140</f>
        <v>3797</v>
      </c>
      <c r="AP236" s="1465">
        <v>3970.4</v>
      </c>
      <c r="AQ236" s="1465">
        <v>4106.5990000000002</v>
      </c>
      <c r="AR236" s="1465">
        <v>4168.2479999999996</v>
      </c>
      <c r="AS236" s="1465">
        <v>4479.0169999999998</v>
      </c>
      <c r="AT236" s="1413">
        <f>'Cable cos'!M140</f>
        <v>4479</v>
      </c>
      <c r="AU236" s="1465">
        <v>4567.5</v>
      </c>
      <c r="AV236" s="1465">
        <v>4640.2749999999996</v>
      </c>
      <c r="AW236" s="1465">
        <v>4659</v>
      </c>
      <c r="AX236" s="1465">
        <v>4696.0540000000001</v>
      </c>
      <c r="AY236" s="1413"/>
      <c r="AZ236" s="1451">
        <v>4817.1030000000001</v>
      </c>
      <c r="BA236" s="1451">
        <v>5069.277</v>
      </c>
      <c r="BB236" s="1451">
        <v>5303.2449999999999</v>
      </c>
      <c r="BC236" s="1451">
        <v>5430.8590000000004</v>
      </c>
      <c r="BD236" s="1442">
        <f>'Cable cos'!O140</f>
        <v>5430.8590000000004</v>
      </c>
      <c r="BE236" s="1523">
        <v>5534.8190000000004</v>
      </c>
      <c r="BF236" s="1451">
        <v>5566.1880000000001</v>
      </c>
      <c r="BG236" s="1451">
        <v>5590.7830000000004</v>
      </c>
      <c r="BH236" s="1451">
        <v>5649.1019999999999</v>
      </c>
      <c r="BI236" s="1514">
        <f>'Cable cos'!P140</f>
        <v>5649.1019999999999</v>
      </c>
      <c r="BJ236" s="1523">
        <v>5732.0259999999998</v>
      </c>
      <c r="BK236" s="1451">
        <v>5809.59</v>
      </c>
      <c r="BL236" s="1451">
        <v>5905.8239999999996</v>
      </c>
      <c r="BM236" s="1451">
        <v>5984.1509999999998</v>
      </c>
      <c r="BN236" s="1514">
        <f>'Cable cos'!Q140</f>
        <v>5984.1509999999998</v>
      </c>
      <c r="BO236" s="1523">
        <v>6068.8620000000001</v>
      </c>
      <c r="BP236" s="1451">
        <v>6031.0990000000002</v>
      </c>
      <c r="BQ236" s="1451">
        <v>5677.8360000000002</v>
      </c>
      <c r="BR236" s="1451">
        <v>5678.4309999999996</v>
      </c>
      <c r="BS236" s="1514">
        <f>'Cable cos'!R140</f>
        <v>5678.4309999999996</v>
      </c>
      <c r="BT236" s="1523">
        <v>5689.143</v>
      </c>
      <c r="BU236" s="1537">
        <f>BT236+20</f>
        <v>5709.143</v>
      </c>
      <c r="BV236" s="1537">
        <f>BU236+30</f>
        <v>5739.143</v>
      </c>
      <c r="BW236" s="1442">
        <f t="shared" ref="BW236:BW238" si="309">BX236</f>
        <v>5780.6295674905687</v>
      </c>
      <c r="BX236" s="1514">
        <f>'Cable cos'!S140</f>
        <v>5780.6295674905687</v>
      </c>
      <c r="BY236" s="1413"/>
      <c r="BZ236" s="1254"/>
      <c r="CA236" s="928"/>
      <c r="CB236" s="928"/>
      <c r="CC236" s="928"/>
      <c r="CD236" s="928"/>
      <c r="CE236" s="928"/>
      <c r="CF236" s="928"/>
      <c r="CG236" s="928"/>
      <c r="CH236" s="928"/>
      <c r="CI236" s="928"/>
      <c r="CJ236" s="928"/>
      <c r="CK236" s="928"/>
      <c r="CL236" s="928"/>
      <c r="CM236" s="928"/>
      <c r="CN236" s="928"/>
      <c r="CO236" s="928"/>
      <c r="CP236" s="928"/>
      <c r="CQ236" s="928"/>
      <c r="CR236" s="928"/>
      <c r="CS236" s="928"/>
      <c r="CT236" s="928"/>
      <c r="CU236" s="928"/>
      <c r="CV236" s="928"/>
      <c r="CW236" s="928"/>
      <c r="CX236" s="1254">
        <f>AP236/AK236-1</f>
        <v>0.17586816676928563</v>
      </c>
      <c r="CY236" s="928"/>
      <c r="CZ236" s="928"/>
      <c r="DA236" s="928"/>
      <c r="DB236" s="928"/>
      <c r="DC236" s="928"/>
      <c r="DD236" s="928"/>
      <c r="DE236" s="928"/>
      <c r="DF236" s="928"/>
      <c r="DG236" s="928"/>
      <c r="DH236" s="928"/>
      <c r="DI236" s="928"/>
      <c r="DJ236" s="928"/>
      <c r="DK236" s="1254">
        <f>BB236/AW236-1</f>
        <v>0.1382796737497316</v>
      </c>
      <c r="DL236" s="928"/>
      <c r="DM236" s="928"/>
      <c r="DN236" s="928"/>
      <c r="DO236" s="928"/>
      <c r="DP236" s="928"/>
      <c r="DQ236" s="928"/>
      <c r="DR236" s="928"/>
      <c r="DS236" s="928"/>
      <c r="DT236" s="928"/>
      <c r="DU236" s="928"/>
      <c r="DV236" s="928"/>
      <c r="DW236" s="928"/>
      <c r="DX236" s="928"/>
      <c r="DY236" s="1338"/>
      <c r="DZ236" s="928"/>
      <c r="EA236" s="928"/>
      <c r="EB236" s="928"/>
      <c r="EC236" s="1337"/>
      <c r="ED236" s="1338"/>
      <c r="EE236" s="928"/>
      <c r="EF236" s="928"/>
      <c r="EG236" s="928"/>
      <c r="EH236" s="1337"/>
      <c r="EI236" s="928"/>
      <c r="EJ236" s="928"/>
      <c r="EK236" s="928"/>
      <c r="EL236" s="928"/>
      <c r="EM236" s="1337"/>
      <c r="EN236" s="928"/>
      <c r="EO236" s="928"/>
      <c r="EP236" s="928"/>
      <c r="EQ236" s="928"/>
      <c r="ER236" s="928"/>
      <c r="ES236" s="928"/>
      <c r="ET236" s="928"/>
      <c r="EU236" s="928"/>
      <c r="EV236" s="928"/>
      <c r="EW236" s="928"/>
      <c r="EX236" s="928"/>
      <c r="EY236" s="928"/>
      <c r="EZ236" s="928"/>
      <c r="FA236" s="928"/>
      <c r="FB236" s="928"/>
      <c r="FC236" s="928"/>
      <c r="FD236" s="928"/>
      <c r="FE236" s="928"/>
      <c r="FF236" s="1452">
        <v>5911.0990000000002</v>
      </c>
      <c r="FG236" s="928"/>
      <c r="FH236" s="1453">
        <v>5656.4607124759996</v>
      </c>
      <c r="FI236" s="1319"/>
      <c r="FJ236" s="1618">
        <v>5693.4309999999996</v>
      </c>
      <c r="FK236" s="1605"/>
      <c r="FL236" s="928"/>
      <c r="FM236" s="928"/>
      <c r="FN236" s="928"/>
      <c r="FO236" s="928"/>
      <c r="FP236" s="928"/>
      <c r="FQ236" s="928"/>
    </row>
    <row r="237" spans="1:173">
      <c r="A237" s="1344" t="s">
        <v>1931</v>
      </c>
      <c r="B237" s="928"/>
      <c r="C237" s="928"/>
      <c r="D237" s="928"/>
      <c r="E237" s="928"/>
      <c r="F237" s="928"/>
      <c r="G237" s="928"/>
      <c r="H237" s="928"/>
      <c r="I237" s="928"/>
      <c r="J237" s="928"/>
      <c r="K237" s="928"/>
      <c r="L237" s="928"/>
      <c r="M237" s="928"/>
      <c r="N237" s="1413"/>
      <c r="O237" s="1413"/>
      <c r="P237" s="1413"/>
      <c r="Q237" s="1413"/>
      <c r="R237" s="1413"/>
      <c r="S237" s="1413"/>
      <c r="T237" s="1413"/>
      <c r="U237" s="1413"/>
      <c r="V237" s="1413"/>
      <c r="W237" s="1413"/>
      <c r="X237" s="1413"/>
      <c r="Y237" s="1413"/>
      <c r="Z237" s="1254"/>
      <c r="AA237" s="1413"/>
      <c r="AB237" s="1413"/>
      <c r="AC237" s="1413"/>
      <c r="AD237" s="1413"/>
      <c r="AE237" s="1254"/>
      <c r="AF237" s="1413"/>
      <c r="AG237" s="1413"/>
      <c r="AH237" s="1465"/>
      <c r="AI237" s="1465"/>
      <c r="AJ237" s="1413"/>
      <c r="AK237" s="1465"/>
      <c r="AL237" s="1465"/>
      <c r="AM237" s="1465"/>
      <c r="AN237" s="1465"/>
      <c r="AO237" s="1413"/>
      <c r="AP237" s="1465"/>
      <c r="AQ237" s="1465"/>
      <c r="AR237" s="1465"/>
      <c r="AS237" s="1465"/>
      <c r="AT237" s="1413"/>
      <c r="AU237" s="1465"/>
      <c r="AV237" s="1465"/>
      <c r="AW237" s="1465"/>
      <c r="AX237" s="1465"/>
      <c r="AY237" s="1413"/>
      <c r="AZ237" s="1451"/>
      <c r="BA237" s="1451">
        <v>0</v>
      </c>
      <c r="BB237" s="1451">
        <v>40.113999999999997</v>
      </c>
      <c r="BC237" s="1451">
        <v>75.515000000000001</v>
      </c>
      <c r="BD237" s="1442">
        <f>BC237</f>
        <v>75.515000000000001</v>
      </c>
      <c r="BE237" s="1523">
        <v>93.573999999999998</v>
      </c>
      <c r="BF237" s="1451">
        <v>120.777</v>
      </c>
      <c r="BG237" s="1451">
        <v>138.97900000000001</v>
      </c>
      <c r="BH237" s="1451">
        <v>156.05099999999999</v>
      </c>
      <c r="BI237" s="1514">
        <f>Mobile!L8</f>
        <v>156.05099999999999</v>
      </c>
      <c r="BJ237" s="1523">
        <v>172.97800000000001</v>
      </c>
      <c r="BK237" s="1451">
        <v>194.35400000000001</v>
      </c>
      <c r="BL237" s="1451">
        <v>213.52699999999999</v>
      </c>
      <c r="BM237" s="1451">
        <v>240.20699999999999</v>
      </c>
      <c r="BN237" s="1514">
        <f>Mobile!M8</f>
        <v>240</v>
      </c>
      <c r="BO237" s="1523">
        <v>264.31299999999999</v>
      </c>
      <c r="BP237" s="1451">
        <v>285.39800000000002</v>
      </c>
      <c r="BQ237" s="1451">
        <v>299.29199999999997</v>
      </c>
      <c r="BR237" s="1451">
        <v>307.80700000000002</v>
      </c>
      <c r="BS237" s="1514">
        <f>Mobile!N8</f>
        <v>308</v>
      </c>
      <c r="BT237" s="1523">
        <v>317.92399999999998</v>
      </c>
      <c r="BU237" s="1537">
        <f>BT237+10</f>
        <v>327.92399999999998</v>
      </c>
      <c r="BV237" s="1537">
        <f>BU237+10</f>
        <v>337.92399999999998</v>
      </c>
      <c r="BW237" s="1442">
        <f t="shared" si="309"/>
        <v>349.31373624800636</v>
      </c>
      <c r="BX237" s="1514">
        <f>Mobile!O8</f>
        <v>349.31373624800636</v>
      </c>
      <c r="BY237" s="1413"/>
      <c r="BZ237" s="1254"/>
      <c r="CA237" s="928"/>
      <c r="CB237" s="928"/>
      <c r="CC237" s="928"/>
      <c r="CD237" s="928"/>
      <c r="CE237" s="928"/>
      <c r="CF237" s="928"/>
      <c r="CG237" s="928"/>
      <c r="CH237" s="928"/>
      <c r="CI237" s="928"/>
      <c r="CJ237" s="928"/>
      <c r="CK237" s="928"/>
      <c r="CL237" s="928"/>
      <c r="CM237" s="928"/>
      <c r="CN237" s="928"/>
      <c r="CO237" s="928"/>
      <c r="CP237" s="928"/>
      <c r="CQ237" s="928"/>
      <c r="CR237" s="928"/>
      <c r="CS237" s="928"/>
      <c r="CT237" s="928"/>
      <c r="CU237" s="928"/>
      <c r="CV237" s="928"/>
      <c r="CW237" s="928"/>
      <c r="CX237" s="1254"/>
      <c r="CY237" s="928"/>
      <c r="CZ237" s="928"/>
      <c r="DA237" s="928"/>
      <c r="DB237" s="928"/>
      <c r="DC237" s="928"/>
      <c r="DD237" s="928"/>
      <c r="DE237" s="928"/>
      <c r="DF237" s="928"/>
      <c r="DG237" s="928"/>
      <c r="DH237" s="928"/>
      <c r="DI237" s="928"/>
      <c r="DJ237" s="928"/>
      <c r="DK237" s="1254"/>
      <c r="DL237" s="928"/>
      <c r="DM237" s="928"/>
      <c r="DN237" s="928"/>
      <c r="DO237" s="928"/>
      <c r="DP237" s="928"/>
      <c r="DQ237" s="928"/>
      <c r="DR237" s="928"/>
      <c r="DS237" s="928"/>
      <c r="DT237" s="928"/>
      <c r="DU237" s="928"/>
      <c r="DV237" s="928"/>
      <c r="DW237" s="928"/>
      <c r="DX237" s="928"/>
      <c r="DY237" s="1338"/>
      <c r="DZ237" s="928"/>
      <c r="EA237" s="928"/>
      <c r="EB237" s="928"/>
      <c r="EC237" s="1337"/>
      <c r="ED237" s="1338"/>
      <c r="EE237" s="928"/>
      <c r="EF237" s="928"/>
      <c r="EG237" s="928"/>
      <c r="EH237" s="1337"/>
      <c r="EI237" s="928"/>
      <c r="EJ237" s="928"/>
      <c r="EK237" s="928"/>
      <c r="EL237" s="928"/>
      <c r="EM237" s="1337"/>
      <c r="EN237" s="928"/>
      <c r="EO237" s="928"/>
      <c r="EP237" s="928"/>
      <c r="EQ237" s="928"/>
      <c r="ER237" s="928"/>
      <c r="ES237" s="928"/>
      <c r="ET237" s="928"/>
      <c r="EU237" s="928"/>
      <c r="EV237" s="928"/>
      <c r="EW237" s="928"/>
      <c r="EX237" s="928"/>
      <c r="EY237" s="928"/>
      <c r="EZ237" s="928"/>
      <c r="FA237" s="928"/>
      <c r="FB237" s="928"/>
      <c r="FC237" s="928"/>
      <c r="FD237" s="928"/>
      <c r="FE237" s="928"/>
      <c r="FF237" s="1452">
        <v>305.39800000000002</v>
      </c>
      <c r="FG237" s="928"/>
      <c r="FH237" s="1453">
        <v>314.85608554949863</v>
      </c>
      <c r="FI237" s="1319"/>
      <c r="FJ237" s="1618">
        <v>317.80700000000002</v>
      </c>
      <c r="FK237" s="1605"/>
      <c r="FL237" s="928"/>
      <c r="FM237" s="928"/>
      <c r="FN237" s="928"/>
      <c r="FO237" s="928"/>
      <c r="FP237" s="928"/>
      <c r="FQ237" s="928"/>
    </row>
    <row r="238" spans="1:173">
      <c r="A238" s="1344" t="str">
        <f>A221</f>
        <v>Voice</v>
      </c>
      <c r="B238" s="928">
        <f>B207+B214+B221</f>
        <v>402</v>
      </c>
      <c r="C238" s="928">
        <f>C207+C214+C221</f>
        <v>441</v>
      </c>
      <c r="D238" s="928">
        <f>D207+D214+D221</f>
        <v>470</v>
      </c>
      <c r="E238" s="928">
        <f>E207+E214+E221</f>
        <v>501</v>
      </c>
      <c r="F238" s="928"/>
      <c r="G238" s="928">
        <f>G207+G214+G221</f>
        <v>535</v>
      </c>
      <c r="H238" s="928">
        <f>H207+H214+H221</f>
        <v>577</v>
      </c>
      <c r="I238" s="928">
        <f>I207+I214+I221</f>
        <v>610</v>
      </c>
      <c r="J238" s="928">
        <f>J207+J214+J221</f>
        <v>649</v>
      </c>
      <c r="K238" s="928"/>
      <c r="L238" s="928">
        <f>L207+L214+L221</f>
        <v>683</v>
      </c>
      <c r="M238" s="928">
        <f>M207+M214+M221</f>
        <v>699</v>
      </c>
      <c r="N238" s="1413">
        <f>N207+N214+N221</f>
        <v>729.98199999999997</v>
      </c>
      <c r="O238" s="1413">
        <f>O207+O214+O221</f>
        <v>754</v>
      </c>
      <c r="P238" s="1413">
        <f>'Cable cos'!G63+'Cable cos'!G64+'Cable cos'!G65</f>
        <v>754</v>
      </c>
      <c r="Q238" s="1413">
        <f>Q207+Q214+Q221</f>
        <v>784.6</v>
      </c>
      <c r="R238" s="1413">
        <f>R207+R214+R221</f>
        <v>812.4</v>
      </c>
      <c r="S238" s="1413">
        <f>S207+S214+S221</f>
        <v>871.69999999999993</v>
      </c>
      <c r="T238" s="1413">
        <f>T207+T214+T221</f>
        <v>916</v>
      </c>
      <c r="U238" s="1413"/>
      <c r="V238" s="1413">
        <f>V207+V214+V221</f>
        <v>942.87900000000002</v>
      </c>
      <c r="W238" s="1413">
        <f>W207+W214+W221</f>
        <v>990.78499999999997</v>
      </c>
      <c r="X238" s="1413">
        <f>X207+X214+X221+X228</f>
        <v>1148</v>
      </c>
      <c r="Y238" s="1413">
        <v>1228.182</v>
      </c>
      <c r="Z238" s="1254"/>
      <c r="AA238" s="1413">
        <v>1448</v>
      </c>
      <c r="AB238" s="1413">
        <v>1595.761</v>
      </c>
      <c r="AC238" s="1413">
        <v>1750.2</v>
      </c>
      <c r="AD238" s="1413">
        <v>1891.0260000000001</v>
      </c>
      <c r="AE238" s="1254"/>
      <c r="AF238" s="1413">
        <v>1968.59</v>
      </c>
      <c r="AG238" s="1413">
        <v>2051.4</v>
      </c>
      <c r="AH238" s="1465">
        <v>2092.2930000000001</v>
      </c>
      <c r="AI238" s="1465">
        <v>2113.1999999999998</v>
      </c>
      <c r="AJ238" s="1413">
        <f>AI238</f>
        <v>2113.1999999999998</v>
      </c>
      <c r="AK238" s="1465">
        <f>AJ238+2.848-55.071</f>
        <v>2060.9769999999999</v>
      </c>
      <c r="AL238" s="1465">
        <v>2075.8000000000002</v>
      </c>
      <c r="AM238" s="1465">
        <v>2099.0650000000001</v>
      </c>
      <c r="AN238" s="1465">
        <v>2121.9520000000002</v>
      </c>
      <c r="AO238" s="1413">
        <f>'Cable cos'!L97</f>
        <v>2121.9520000000002</v>
      </c>
      <c r="AP238" s="1465">
        <v>2158</v>
      </c>
      <c r="AQ238" s="1465">
        <v>2273.0729999999999</v>
      </c>
      <c r="AR238" s="1465">
        <v>2519.9720000000002</v>
      </c>
      <c r="AS238" s="1465">
        <v>2978.5079999999998</v>
      </c>
      <c r="AT238" s="1413">
        <f>'Cable cos'!M97</f>
        <v>2978.5079999999998</v>
      </c>
      <c r="AU238" s="1465">
        <v>3183.2</v>
      </c>
      <c r="AV238" s="1465">
        <v>3385.3870000000002</v>
      </c>
      <c r="AW238" s="1465">
        <v>3534</v>
      </c>
      <c r="AX238" s="1465">
        <v>3637.9920000000002</v>
      </c>
      <c r="AY238" s="1413"/>
      <c r="AZ238" s="1451">
        <v>3783.5189999999998</v>
      </c>
      <c r="BA238" s="1451">
        <v>3998.047</v>
      </c>
      <c r="BB238" s="1451">
        <v>4187.2640000000001</v>
      </c>
      <c r="BC238" s="1451">
        <v>4296.53</v>
      </c>
      <c r="BD238" s="1442">
        <f>'Cable cos'!O97</f>
        <v>4296.53</v>
      </c>
      <c r="BE238" s="1523">
        <v>4382.4049999999997</v>
      </c>
      <c r="BF238" s="1451">
        <v>4417.4380000000001</v>
      </c>
      <c r="BG238" s="1451">
        <v>4485.7380000000003</v>
      </c>
      <c r="BH238" s="1451">
        <v>4617.2650000000003</v>
      </c>
      <c r="BI238" s="1514">
        <f>'Cable cos'!P97</f>
        <v>4617.2650000000003</v>
      </c>
      <c r="BJ238" s="1523">
        <v>4764.5919999999996</v>
      </c>
      <c r="BK238" s="1451">
        <v>4911.7269999999999</v>
      </c>
      <c r="BL238" s="1451">
        <v>5064.0749999999998</v>
      </c>
      <c r="BM238" s="1451">
        <v>5233.7240000000002</v>
      </c>
      <c r="BN238" s="1514">
        <f>'Cable cos'!Q97</f>
        <v>5233.7240000000002</v>
      </c>
      <c r="BO238" s="1523">
        <v>5408.56</v>
      </c>
      <c r="BP238" s="1451">
        <v>5466.0339999999997</v>
      </c>
      <c r="BQ238" s="1451">
        <v>5350.7569999999996</v>
      </c>
      <c r="BR238" s="1451">
        <v>5351.1450000000004</v>
      </c>
      <c r="BS238" s="1514">
        <f>'Cable cos'!R97</f>
        <v>5351.1450000000004</v>
      </c>
      <c r="BT238" s="1523">
        <v>5355.45</v>
      </c>
      <c r="BU238" s="1537">
        <f>BT238+5</f>
        <v>5360.45</v>
      </c>
      <c r="BV238" s="1537">
        <f>BU238+7</f>
        <v>5367.45</v>
      </c>
      <c r="BW238" s="1442">
        <f t="shared" si="309"/>
        <v>5375.6501714999995</v>
      </c>
      <c r="BX238" s="1514">
        <f>'Cable cos'!S97</f>
        <v>5375.6501714999995</v>
      </c>
      <c r="BY238" s="1413"/>
      <c r="BZ238" s="1254"/>
      <c r="CA238" s="928"/>
      <c r="CB238" s="928"/>
      <c r="CC238" s="928"/>
      <c r="CD238" s="928"/>
      <c r="CE238" s="928"/>
      <c r="CF238" s="928"/>
      <c r="CG238" s="928"/>
      <c r="CH238" s="928"/>
      <c r="CI238" s="928"/>
      <c r="CJ238" s="928"/>
      <c r="CK238" s="928"/>
      <c r="CL238" s="928"/>
      <c r="CM238" s="928"/>
      <c r="CN238" s="928"/>
      <c r="CO238" s="928"/>
      <c r="CP238" s="928"/>
      <c r="CQ238" s="928"/>
      <c r="CR238" s="928"/>
      <c r="CS238" s="928"/>
      <c r="CT238" s="928"/>
      <c r="CU238" s="928"/>
      <c r="CV238" s="928"/>
      <c r="CW238" s="928"/>
      <c r="CX238" s="1254">
        <f>AP238/AK238-1</f>
        <v>4.7076216765155721E-2</v>
      </c>
      <c r="CY238" s="928"/>
      <c r="CZ238" s="928"/>
      <c r="DA238" s="928"/>
      <c r="DB238" s="928"/>
      <c r="DC238" s="928"/>
      <c r="DD238" s="928"/>
      <c r="DE238" s="928"/>
      <c r="DF238" s="928"/>
      <c r="DG238" s="928"/>
      <c r="DH238" s="928"/>
      <c r="DI238" s="928"/>
      <c r="DJ238" s="928"/>
      <c r="DK238" s="1254">
        <f>BB238/AW238-1</f>
        <v>0.18485116015846059</v>
      </c>
      <c r="DL238" s="928"/>
      <c r="DM238" s="928"/>
      <c r="DN238" s="928"/>
      <c r="DO238" s="928"/>
      <c r="DP238" s="928"/>
      <c r="DQ238" s="928"/>
      <c r="DR238" s="928"/>
      <c r="DS238" s="928"/>
      <c r="DT238" s="928"/>
      <c r="DU238" s="928"/>
      <c r="DV238" s="928"/>
      <c r="DW238" s="928"/>
      <c r="DX238" s="928"/>
      <c r="DY238" s="1338"/>
      <c r="DZ238" s="928"/>
      <c r="EA238" s="928"/>
      <c r="EB238" s="928"/>
      <c r="EC238" s="1337"/>
      <c r="ED238" s="1338"/>
      <c r="EE238" s="928"/>
      <c r="EF238" s="928"/>
      <c r="EG238" s="928"/>
      <c r="EH238" s="1337"/>
      <c r="EI238" s="928"/>
      <c r="EJ238" s="928"/>
      <c r="EK238" s="928"/>
      <c r="EL238" s="928"/>
      <c r="EM238" s="1337"/>
      <c r="EN238" s="928"/>
      <c r="EO238" s="928"/>
      <c r="EP238" s="928"/>
      <c r="EQ238" s="928"/>
      <c r="ER238" s="928"/>
      <c r="ES238" s="928"/>
      <c r="ET238" s="928"/>
      <c r="EU238" s="928"/>
      <c r="EV238" s="928"/>
      <c r="EW238" s="928"/>
      <c r="EX238" s="928"/>
      <c r="EY238" s="928"/>
      <c r="EZ238" s="928"/>
      <c r="FA238" s="928"/>
      <c r="FB238" s="928"/>
      <c r="FC238" s="928"/>
      <c r="FD238" s="928"/>
      <c r="FE238" s="928"/>
      <c r="FF238" s="1462">
        <v>5376.0339999999997</v>
      </c>
      <c r="FG238" s="928"/>
      <c r="FH238" s="1453">
        <v>5386.4369999999999</v>
      </c>
      <c r="FI238" s="1319"/>
      <c r="FJ238" s="1618">
        <v>5351.1450000000004</v>
      </c>
      <c r="FK238" s="1605"/>
      <c r="FL238" s="928"/>
      <c r="FM238" s="928"/>
      <c r="FN238" s="928"/>
      <c r="FO238" s="928"/>
      <c r="FP238" s="928"/>
      <c r="FQ238" s="928"/>
    </row>
    <row r="239" spans="1:173">
      <c r="A239" s="1485" t="s">
        <v>98</v>
      </c>
      <c r="B239" s="1406">
        <f>SUM(B235:B238)</f>
        <v>2918</v>
      </c>
      <c r="C239" s="1406">
        <f>SUM(C235:C238)</f>
        <v>3080</v>
      </c>
      <c r="D239" s="1406">
        <f>SUM(D235:D238)</f>
        <v>3165</v>
      </c>
      <c r="E239" s="1406">
        <f>SUM(E235:E238)</f>
        <v>3275</v>
      </c>
      <c r="F239" s="1406"/>
      <c r="G239" s="1406">
        <f>SUM(G235:G238)</f>
        <v>3397</v>
      </c>
      <c r="H239" s="1406">
        <f>SUM(H235:H238)</f>
        <v>3564</v>
      </c>
      <c r="I239" s="1406">
        <f>SUM(I235:I238)</f>
        <v>3707</v>
      </c>
      <c r="J239" s="1406">
        <f>SUM(J235:J238)</f>
        <v>3897</v>
      </c>
      <c r="K239" s="1406"/>
      <c r="L239" s="1406">
        <f t="shared" ref="L239:T239" si="310">SUM(L235:L238)</f>
        <v>4041</v>
      </c>
      <c r="M239" s="1406">
        <f t="shared" si="310"/>
        <v>4108</v>
      </c>
      <c r="N239" s="1406">
        <f t="shared" si="310"/>
        <v>4242.99</v>
      </c>
      <c r="O239" s="1406">
        <f t="shared" si="310"/>
        <v>4369</v>
      </c>
      <c r="P239" s="1406">
        <f t="shared" si="310"/>
        <v>5258.9539877300613</v>
      </c>
      <c r="Q239" s="1406">
        <f t="shared" si="310"/>
        <v>4532.8</v>
      </c>
      <c r="R239" s="1406">
        <f t="shared" si="310"/>
        <v>4674.9999999999991</v>
      </c>
      <c r="S239" s="1406">
        <f t="shared" si="310"/>
        <v>4902.3599999999997</v>
      </c>
      <c r="T239" s="1406">
        <f t="shared" si="310"/>
        <v>5078</v>
      </c>
      <c r="U239" s="1406"/>
      <c r="V239" s="1406">
        <f>SUM(V235:V238)</f>
        <v>5212.0070000000005</v>
      </c>
      <c r="W239" s="1428">
        <f>SUM(W235:W238)</f>
        <v>5401.732</v>
      </c>
      <c r="X239" s="1428">
        <f>SUM(X235:X238)</f>
        <v>6626.0949999999993</v>
      </c>
      <c r="Y239" s="1428">
        <f>SUM(Y235:Y238)</f>
        <v>6873.6229999999996</v>
      </c>
      <c r="Z239" s="1455"/>
      <c r="AA239" s="1428">
        <f>SUM(AA235:AA238)</f>
        <v>7919</v>
      </c>
      <c r="AB239" s="1428">
        <f>SUM(AB235:AB238)</f>
        <v>8260.6740000000009</v>
      </c>
      <c r="AC239" s="1428">
        <f>SUM(AC235:AC238)</f>
        <v>8599.4000000000015</v>
      </c>
      <c r="AD239" s="1428">
        <f>SUM(AD235:AD238)</f>
        <v>9019.380000000001</v>
      </c>
      <c r="AE239" s="1455"/>
      <c r="AF239" s="1428">
        <f>SUM(AF235:AF238)</f>
        <v>9269.1759999999995</v>
      </c>
      <c r="AG239" s="1428">
        <f>SUM(AG235:AG238)</f>
        <v>9529.4</v>
      </c>
      <c r="AH239" s="1428">
        <f>SUM(AH235:AH238)</f>
        <v>9678.7479999999996</v>
      </c>
      <c r="AI239" s="1428">
        <f>SUM(AI235:AI238)</f>
        <v>9730.9</v>
      </c>
      <c r="AJ239" s="1428">
        <f>AI239</f>
        <v>9730.9</v>
      </c>
      <c r="AK239" s="1428">
        <f t="shared" ref="AK239:AX239" si="311">SUM(AK235:AK238)</f>
        <v>9504.4809999999998</v>
      </c>
      <c r="AL239" s="1428">
        <f t="shared" si="311"/>
        <v>9663.7999999999993</v>
      </c>
      <c r="AM239" s="1428">
        <f t="shared" si="311"/>
        <v>9862.57</v>
      </c>
      <c r="AN239" s="1428">
        <f t="shared" si="311"/>
        <v>10104.437999999998</v>
      </c>
      <c r="AO239" s="1428">
        <f t="shared" si="311"/>
        <v>10103.952000000001</v>
      </c>
      <c r="AP239" s="1428">
        <f t="shared" si="311"/>
        <v>10366.200000000001</v>
      </c>
      <c r="AQ239" s="1428">
        <f t="shared" si="311"/>
        <v>10695.531000000001</v>
      </c>
      <c r="AR239" s="1428">
        <f t="shared" si="311"/>
        <v>10969.344999999999</v>
      </c>
      <c r="AS239" s="1428">
        <f t="shared" si="311"/>
        <v>11841.771999999999</v>
      </c>
      <c r="AT239" s="1428">
        <f t="shared" si="311"/>
        <v>11841.508</v>
      </c>
      <c r="AU239" s="1428">
        <f t="shared" si="311"/>
        <v>12126.3</v>
      </c>
      <c r="AV239" s="1428">
        <f t="shared" si="311"/>
        <v>12412.669</v>
      </c>
      <c r="AW239" s="1428">
        <f t="shared" si="311"/>
        <v>12538</v>
      </c>
      <c r="AX239" s="1428">
        <f t="shared" si="311"/>
        <v>12652.909000000001</v>
      </c>
      <c r="AY239" s="1428"/>
      <c r="AZ239" s="1456">
        <f t="shared" ref="AZ239:BJ239" si="312">SUM(AZ235:AZ238)</f>
        <v>12908.68</v>
      </c>
      <c r="BA239" s="1456">
        <f t="shared" si="312"/>
        <v>13402.802000000001</v>
      </c>
      <c r="BB239" s="1456">
        <f t="shared" si="312"/>
        <v>13864.530999999999</v>
      </c>
      <c r="BC239" s="1456">
        <f t="shared" si="312"/>
        <v>14087.585999999999</v>
      </c>
      <c r="BD239" s="1456">
        <f t="shared" si="312"/>
        <v>14087.603999999999</v>
      </c>
      <c r="BE239" s="1510">
        <f t="shared" si="312"/>
        <v>14256.899000000001</v>
      </c>
      <c r="BF239" s="1456">
        <f t="shared" si="312"/>
        <v>14318.999</v>
      </c>
      <c r="BG239" s="1456">
        <f t="shared" si="312"/>
        <v>14371.029000000002</v>
      </c>
      <c r="BH239" s="1456">
        <f t="shared" si="312"/>
        <v>14588.878000000001</v>
      </c>
      <c r="BI239" s="1524">
        <f t="shared" si="312"/>
        <v>14588.878000000001</v>
      </c>
      <c r="BJ239" s="1510">
        <f t="shared" si="312"/>
        <v>14925.096999999998</v>
      </c>
      <c r="BK239" s="1456">
        <f t="shared" ref="BK239:BL239" si="313">SUM(BK235:BK238)</f>
        <v>15250.319</v>
      </c>
      <c r="BL239" s="1456">
        <f t="shared" si="313"/>
        <v>15589.120999999999</v>
      </c>
      <c r="BM239" s="1456">
        <f t="shared" ref="BM239" si="314">SUM(BM235:BM238)</f>
        <v>15916.302</v>
      </c>
      <c r="BN239" s="1524">
        <f>SUM(BN235:BN238)</f>
        <v>15916.094999999999</v>
      </c>
      <c r="BO239" s="1510">
        <f t="shared" ref="BO239" si="315">SUM(BO235:BO238)</f>
        <v>16230.825000000001</v>
      </c>
      <c r="BP239" s="1456">
        <f t="shared" ref="BP239:BQ239" si="316">SUM(BP235:BP238)</f>
        <v>16225.430999999999</v>
      </c>
      <c r="BQ239" s="1456">
        <f t="shared" si="316"/>
        <v>15387.275</v>
      </c>
      <c r="BR239" s="1456">
        <f t="shared" ref="BR239" si="317">SUM(BR235:BR238)</f>
        <v>15396.877</v>
      </c>
      <c r="BS239" s="1524">
        <f t="shared" ref="BS239:BW239" si="318">SUM(BS235:BS238)</f>
        <v>15397.07</v>
      </c>
      <c r="BT239" s="1510">
        <f t="shared" si="318"/>
        <v>15424.764999999999</v>
      </c>
      <c r="BU239" s="1456">
        <f t="shared" si="318"/>
        <v>15469.764999999999</v>
      </c>
      <c r="BV239" s="1456">
        <f t="shared" si="318"/>
        <v>15531.764999999999</v>
      </c>
      <c r="BW239" s="1456">
        <f t="shared" si="318"/>
        <v>15610.593475238575</v>
      </c>
      <c r="BX239" s="1524">
        <f t="shared" ref="BX239" si="319">SUM(BX235:BX238)</f>
        <v>15610.593475238575</v>
      </c>
      <c r="BY239" s="1413"/>
      <c r="BZ239" s="1254"/>
      <c r="CA239" s="928"/>
      <c r="CB239" s="928"/>
      <c r="CC239" s="928"/>
      <c r="CD239" s="928"/>
      <c r="CE239" s="928"/>
      <c r="CF239" s="928"/>
      <c r="CG239" s="928"/>
      <c r="CH239" s="928"/>
      <c r="CI239" s="928"/>
      <c r="CJ239" s="928"/>
      <c r="CK239" s="928"/>
      <c r="CL239" s="928"/>
      <c r="CM239" s="928"/>
      <c r="CN239" s="928"/>
      <c r="CO239" s="928"/>
      <c r="CP239" s="928"/>
      <c r="CQ239" s="928"/>
      <c r="CR239" s="928"/>
      <c r="CS239" s="928"/>
      <c r="CT239" s="928"/>
      <c r="CU239" s="1254">
        <f>AF239/AA239-1</f>
        <v>0.17049829523929771</v>
      </c>
      <c r="CV239" s="1254">
        <f>AG239/AB239-1</f>
        <v>0.15358625700517892</v>
      </c>
      <c r="CW239" s="1254">
        <f>AH239/AC239-1</f>
        <v>0.1255143382096422</v>
      </c>
      <c r="CX239" s="1254">
        <f>AI239/AD239-1</f>
        <v>7.8887905820577364E-2</v>
      </c>
      <c r="CY239" s="928"/>
      <c r="CZ239" s="928"/>
      <c r="DA239" s="928"/>
      <c r="DB239" s="928"/>
      <c r="DC239" s="928"/>
      <c r="DD239" s="928"/>
      <c r="DE239" s="928"/>
      <c r="DF239" s="928"/>
      <c r="DG239" s="928"/>
      <c r="DH239" s="928"/>
      <c r="DI239" s="928"/>
      <c r="DJ239" s="928"/>
      <c r="DK239" s="928"/>
      <c r="DL239" s="928"/>
      <c r="DM239" s="928"/>
      <c r="DN239" s="928"/>
      <c r="DO239" s="928"/>
      <c r="DP239" s="928"/>
      <c r="DQ239" s="928"/>
      <c r="DR239" s="928"/>
      <c r="DS239" s="928"/>
      <c r="DT239" s="928"/>
      <c r="DU239" s="928"/>
      <c r="DV239" s="928"/>
      <c r="DW239" s="928"/>
      <c r="DX239" s="928"/>
      <c r="DY239" s="1338"/>
      <c r="DZ239" s="928"/>
      <c r="EA239" s="928"/>
      <c r="EB239" s="928"/>
      <c r="EC239" s="1337"/>
      <c r="ED239" s="1338"/>
      <c r="EE239" s="928"/>
      <c r="EF239" s="928"/>
      <c r="EG239" s="928"/>
      <c r="EH239" s="1337"/>
      <c r="EI239" s="928"/>
      <c r="EJ239" s="928"/>
      <c r="EK239" s="928"/>
      <c r="EL239" s="928"/>
      <c r="EM239" s="1337"/>
      <c r="EN239" s="928"/>
      <c r="EO239" s="928"/>
      <c r="EP239" s="928"/>
      <c r="EQ239" s="928"/>
      <c r="ER239" s="928"/>
      <c r="ES239" s="928"/>
      <c r="ET239" s="928"/>
      <c r="EU239" s="928"/>
      <c r="EV239" s="928"/>
      <c r="EW239" s="928"/>
      <c r="EX239" s="928"/>
      <c r="EY239" s="928"/>
      <c r="EZ239" s="928"/>
      <c r="FA239" s="928"/>
      <c r="FB239" s="928"/>
      <c r="FC239" s="928"/>
      <c r="FD239" s="928"/>
      <c r="FE239" s="928"/>
      <c r="FF239" s="1452">
        <v>15945.430999999999</v>
      </c>
      <c r="FG239" s="928"/>
      <c r="FH239" s="1453">
        <v>15387.753798025498</v>
      </c>
      <c r="FI239" s="1319"/>
      <c r="FJ239" s="1619">
        <v>15426.877</v>
      </c>
      <c r="FK239" s="1605"/>
      <c r="FL239" s="928"/>
      <c r="FM239" s="928"/>
      <c r="FN239" s="928"/>
      <c r="FO239" s="928"/>
      <c r="FP239" s="928"/>
      <c r="FQ239" s="928"/>
    </row>
    <row r="240" spans="1:173">
      <c r="A240" s="1344" t="s">
        <v>4219</v>
      </c>
      <c r="B240" s="928"/>
      <c r="C240" s="928"/>
      <c r="D240" s="928"/>
      <c r="E240" s="928"/>
      <c r="F240" s="928"/>
      <c r="G240" s="928"/>
      <c r="H240" s="928"/>
      <c r="I240" s="928"/>
      <c r="J240" s="928"/>
      <c r="K240" s="928"/>
      <c r="L240" s="928"/>
      <c r="M240" s="928"/>
      <c r="N240" s="928"/>
      <c r="O240" s="928"/>
      <c r="P240" s="928"/>
      <c r="Q240" s="928"/>
      <c r="R240" s="928"/>
      <c r="S240" s="928"/>
      <c r="T240" s="928"/>
      <c r="U240" s="928"/>
      <c r="V240" s="928"/>
      <c r="W240" s="1413"/>
      <c r="X240" s="1413"/>
      <c r="Y240" s="1413"/>
      <c r="Z240" s="1254"/>
      <c r="AA240" s="1413"/>
      <c r="AB240" s="1413"/>
      <c r="AC240" s="1413"/>
      <c r="AD240" s="1413"/>
      <c r="AE240" s="1254"/>
      <c r="AF240" s="1413"/>
      <c r="AG240" s="1413"/>
      <c r="AH240" s="1413"/>
      <c r="AI240" s="1413"/>
      <c r="AJ240" s="1413"/>
      <c r="AK240" s="1486">
        <v>1.9597569550596148</v>
      </c>
      <c r="AL240" s="1486">
        <v>2.0127633495145631</v>
      </c>
      <c r="AM240" s="1486">
        <v>2.0549305597126613</v>
      </c>
      <c r="AN240" s="1486">
        <v>2.0945239353891334</v>
      </c>
      <c r="AO240" s="1435">
        <f>AP240</f>
        <v>2.13</v>
      </c>
      <c r="AP240" s="1440">
        <v>2.13</v>
      </c>
      <c r="AQ240" s="1440">
        <v>2.1511903682719549</v>
      </c>
      <c r="AR240" s="1440">
        <v>2.1879551820728294</v>
      </c>
      <c r="AS240" s="1440">
        <v>2.2147141664347343</v>
      </c>
      <c r="AT240" s="1435">
        <f>AS240</f>
        <v>2.2147141664347343</v>
      </c>
      <c r="AU240" s="1439">
        <v>2.2467930842163972</v>
      </c>
      <c r="AV240" s="1439">
        <v>2.2693397683397682</v>
      </c>
      <c r="AW240" s="1439">
        <v>2.3085840463704113</v>
      </c>
      <c r="AX240" s="1439">
        <v>2.3299239250275634</v>
      </c>
      <c r="AY240" s="1413"/>
      <c r="AZ240" s="1439">
        <v>2.3394173839902122</v>
      </c>
      <c r="BA240" s="1439">
        <v>2.3626936687772631</v>
      </c>
      <c r="BB240" s="1439">
        <v>2.4086935569920094</v>
      </c>
      <c r="BC240" s="1439">
        <v>2.4283545605474637</v>
      </c>
      <c r="BD240" s="1413"/>
      <c r="BE240" s="1525">
        <v>2.445095011281023</v>
      </c>
      <c r="BF240" s="1439">
        <v>2.465008704302412</v>
      </c>
      <c r="BG240" s="1439">
        <v>2.4882280587441183</v>
      </c>
      <c r="BH240" s="1439">
        <v>2.5053489642664775</v>
      </c>
      <c r="BI240" s="1500"/>
      <c r="BJ240" s="1525">
        <v>2.5184280928451783</v>
      </c>
      <c r="BK240" s="1439">
        <v>2.5275155131264913</v>
      </c>
      <c r="BL240" s="1439">
        <v>2.5429534394010291</v>
      </c>
      <c r="BM240" s="1439">
        <v>2.5506487128064501</v>
      </c>
      <c r="BN240" s="1500"/>
      <c r="BO240" s="1525">
        <v>2.5607189427312771</v>
      </c>
      <c r="BP240" s="1439">
        <v>2.5703251324527243</v>
      </c>
      <c r="BQ240" s="1439">
        <v>2.5765884805495642</v>
      </c>
      <c r="BR240" s="1439">
        <v>2.5714000047717005</v>
      </c>
      <c r="BS240" s="1500"/>
      <c r="BT240" s="1525">
        <v>2.5653631581274032</v>
      </c>
      <c r="BU240" s="1536">
        <v>2.5703251324527243</v>
      </c>
      <c r="BV240" s="1536">
        <v>2.5765884805495642</v>
      </c>
      <c r="BW240" s="1536">
        <v>2.5714000047717005</v>
      </c>
      <c r="BX240" s="1500"/>
      <c r="BY240" s="1413"/>
      <c r="BZ240" s="1254"/>
      <c r="CA240" s="928"/>
      <c r="CB240" s="928"/>
      <c r="CC240" s="928"/>
      <c r="CD240" s="928"/>
      <c r="CE240" s="928"/>
      <c r="CF240" s="928"/>
      <c r="CG240" s="928"/>
      <c r="CH240" s="928"/>
      <c r="CI240" s="928"/>
      <c r="CJ240" s="928"/>
      <c r="CK240" s="928"/>
      <c r="CL240" s="928"/>
      <c r="CM240" s="928"/>
      <c r="CN240" s="928"/>
      <c r="CO240" s="928"/>
      <c r="CP240" s="928"/>
      <c r="CQ240" s="928"/>
      <c r="CR240" s="928"/>
      <c r="CS240" s="928"/>
      <c r="CT240" s="928"/>
      <c r="CU240" s="1254"/>
      <c r="CV240" s="1254"/>
      <c r="CW240" s="1254"/>
      <c r="CX240" s="1254"/>
      <c r="CY240" s="928"/>
      <c r="CZ240" s="928"/>
      <c r="DA240" s="928"/>
      <c r="DB240" s="928"/>
      <c r="DC240" s="928"/>
      <c r="DD240" s="928"/>
      <c r="DE240" s="928"/>
      <c r="DF240" s="928"/>
      <c r="DG240" s="928"/>
      <c r="DH240" s="928"/>
      <c r="DI240" s="928"/>
      <c r="DJ240" s="928"/>
      <c r="DK240" s="928"/>
      <c r="DL240" s="928"/>
      <c r="DM240" s="928"/>
      <c r="DN240" s="928"/>
      <c r="DO240" s="928"/>
      <c r="DP240" s="928"/>
      <c r="DQ240" s="928"/>
      <c r="DR240" s="928"/>
      <c r="DS240" s="928"/>
      <c r="DT240" s="928"/>
      <c r="DU240" s="928"/>
      <c r="DV240" s="928"/>
      <c r="DW240" s="928"/>
      <c r="DX240" s="928"/>
      <c r="DY240" s="1338"/>
      <c r="DZ240" s="928"/>
      <c r="EA240" s="928"/>
      <c r="EB240" s="928"/>
      <c r="EC240" s="1337"/>
      <c r="ED240" s="1338"/>
      <c r="EE240" s="928"/>
      <c r="EF240" s="928"/>
      <c r="EG240" s="928"/>
      <c r="EH240" s="1337"/>
      <c r="EI240" s="928"/>
      <c r="EJ240" s="928"/>
      <c r="EK240" s="928"/>
      <c r="EL240" s="928"/>
      <c r="EM240" s="1337"/>
      <c r="EN240" s="928"/>
      <c r="EO240" s="928"/>
      <c r="EP240" s="928"/>
      <c r="EQ240" s="928"/>
      <c r="ER240" s="928"/>
      <c r="ES240" s="928"/>
      <c r="ET240" s="928"/>
      <c r="EU240" s="928"/>
      <c r="EV240" s="928"/>
      <c r="EW240" s="928"/>
      <c r="EX240" s="928"/>
      <c r="EY240" s="928"/>
      <c r="EZ240" s="928"/>
      <c r="FA240" s="928"/>
      <c r="FB240" s="928"/>
      <c r="FC240" s="928"/>
      <c r="FD240" s="928"/>
      <c r="FE240" s="928"/>
      <c r="FF240" s="1436">
        <v>2.5703251324527243</v>
      </c>
      <c r="FG240" s="928"/>
      <c r="FH240" s="1487">
        <v>2.25</v>
      </c>
      <c r="FI240" s="1319"/>
      <c r="FJ240" s="1623">
        <v>2.5607189427312771</v>
      </c>
      <c r="FK240" s="1605"/>
      <c r="FL240" s="928"/>
      <c r="FM240" s="928"/>
      <c r="FN240" s="928"/>
      <c r="FO240" s="928"/>
      <c r="FP240" s="928"/>
      <c r="FQ240" s="928"/>
    </row>
    <row r="241" spans="1:173">
      <c r="A241" s="1344" t="s">
        <v>4218</v>
      </c>
      <c r="B241" s="928"/>
      <c r="C241" s="928"/>
      <c r="D241" s="928"/>
      <c r="E241" s="928"/>
      <c r="F241" s="928"/>
      <c r="G241" s="928"/>
      <c r="H241" s="928"/>
      <c r="I241" s="928"/>
      <c r="J241" s="928"/>
      <c r="K241" s="928"/>
      <c r="L241" s="928"/>
      <c r="M241" s="928"/>
      <c r="N241" s="928"/>
      <c r="O241" s="928"/>
      <c r="P241" s="928"/>
      <c r="Q241" s="928"/>
      <c r="R241" s="928"/>
      <c r="S241" s="928"/>
      <c r="T241" s="928"/>
      <c r="U241" s="928"/>
      <c r="V241" s="928"/>
      <c r="W241" s="1413"/>
      <c r="X241" s="1413"/>
      <c r="Y241" s="1413"/>
      <c r="Z241" s="1254"/>
      <c r="AA241" s="1413"/>
      <c r="AB241" s="1413"/>
      <c r="AC241" s="1413"/>
      <c r="AD241" s="1413"/>
      <c r="AE241" s="1254"/>
      <c r="AF241" s="1413"/>
      <c r="AG241" s="1413"/>
      <c r="AH241" s="1413"/>
      <c r="AI241" s="1413"/>
      <c r="AJ241" s="1413"/>
      <c r="AK241" s="1413">
        <f t="shared" ref="AK241:AX241" si="320">AK239/AK240</f>
        <v>4849.8263906969414</v>
      </c>
      <c r="AL241" s="1413">
        <f t="shared" si="320"/>
        <v>4801.2599207605344</v>
      </c>
      <c r="AM241" s="1413">
        <f t="shared" si="320"/>
        <v>4799.4663145109253</v>
      </c>
      <c r="AN241" s="1413">
        <f t="shared" si="320"/>
        <v>4824.2170114531227</v>
      </c>
      <c r="AO241" s="1413">
        <f t="shared" si="320"/>
        <v>4743.6394366197192</v>
      </c>
      <c r="AP241" s="1413">
        <f t="shared" si="320"/>
        <v>4866.7605633802823</v>
      </c>
      <c r="AQ241" s="1413">
        <f t="shared" si="320"/>
        <v>4971.9128338193941</v>
      </c>
      <c r="AR241" s="1413">
        <f t="shared" si="320"/>
        <v>5013.5144859813072</v>
      </c>
      <c r="AS241" s="1413">
        <f t="shared" si="320"/>
        <v>5346.8624436818336</v>
      </c>
      <c r="AT241" s="1413">
        <f t="shared" si="320"/>
        <v>5346.7432409404601</v>
      </c>
      <c r="AU241" s="1413">
        <f t="shared" si="320"/>
        <v>5397.1592155889284</v>
      </c>
      <c r="AV241" s="1413">
        <f t="shared" si="320"/>
        <v>5469.7269986508081</v>
      </c>
      <c r="AW241" s="1413">
        <f t="shared" si="320"/>
        <v>5431.034672405548</v>
      </c>
      <c r="AX241" s="1413">
        <f t="shared" si="320"/>
        <v>5430.6103577396052</v>
      </c>
      <c r="AY241" s="1413"/>
      <c r="AZ241" s="1442">
        <f>AZ239/AZ240</f>
        <v>5517.9037688359795</v>
      </c>
      <c r="BA241" s="1442">
        <f>BA239/BA240</f>
        <v>5672.6786790503384</v>
      </c>
      <c r="BB241" s="1442">
        <f>BB239/BB240</f>
        <v>5756.0377324685942</v>
      </c>
      <c r="BC241" s="1442">
        <f>BC239/BC240</f>
        <v>5801.288752835173</v>
      </c>
      <c r="BD241" s="1442"/>
      <c r="BE241" s="1509">
        <f>BE239/BE240</f>
        <v>5830.8159536633266</v>
      </c>
      <c r="BF241" s="1442">
        <f>BF239/BF240</f>
        <v>5808.9040314574549</v>
      </c>
      <c r="BG241" s="1442">
        <f>BG239/BG240</f>
        <v>5775.6076455682614</v>
      </c>
      <c r="BH241" s="1442">
        <f>BH239/BH240</f>
        <v>5823.0921951710507</v>
      </c>
      <c r="BI241" s="1514"/>
      <c r="BJ241" s="1509">
        <f>BJ239/BJ240</f>
        <v>5926.3542375507986</v>
      </c>
      <c r="BK241" s="1442">
        <f>BK239/BK240</f>
        <v>6033.7192475371312</v>
      </c>
      <c r="BL241" s="1442">
        <f>BL239/BL240</f>
        <v>6130.3210504994076</v>
      </c>
      <c r="BM241" s="1442">
        <f>BM239/BM240</f>
        <v>6240.0995950898587</v>
      </c>
      <c r="BN241" s="1514"/>
      <c r="BO241" s="1509">
        <f>BO239/BO240</f>
        <v>6338.3859622985847</v>
      </c>
      <c r="BP241" s="1442">
        <f>BP239/BP240</f>
        <v>6312.598665102315</v>
      </c>
      <c r="BQ241" s="1442">
        <f>BQ239/BQ240</f>
        <v>5971.956762268077</v>
      </c>
      <c r="BR241" s="1442">
        <f>BR239/BR240</f>
        <v>5987.7409082322056</v>
      </c>
      <c r="BS241" s="1514"/>
      <c r="BT241" s="1509">
        <f>BT239/BT240</f>
        <v>6012.7023151214844</v>
      </c>
      <c r="BU241" s="1442">
        <f>BU239/BU240</f>
        <v>6018.6023957358375</v>
      </c>
      <c r="BV241" s="1442">
        <f>BV239/BV240</f>
        <v>6028.0347898967584</v>
      </c>
      <c r="BW241" s="1442">
        <f>BW239/BW240</f>
        <v>6070.8537941472659</v>
      </c>
      <c r="BX241" s="1514"/>
      <c r="BY241" s="1413"/>
      <c r="BZ241" s="1254"/>
      <c r="CA241" s="928"/>
      <c r="CB241" s="928"/>
      <c r="CC241" s="928"/>
      <c r="CD241" s="928"/>
      <c r="CE241" s="928"/>
      <c r="CF241" s="928"/>
      <c r="CG241" s="928"/>
      <c r="CH241" s="928"/>
      <c r="CI241" s="928"/>
      <c r="CJ241" s="928"/>
      <c r="CK241" s="928"/>
      <c r="CL241" s="928"/>
      <c r="CM241" s="928"/>
      <c r="CN241" s="928"/>
      <c r="CO241" s="928"/>
      <c r="CP241" s="928"/>
      <c r="CQ241" s="928"/>
      <c r="CR241" s="928"/>
      <c r="CS241" s="928"/>
      <c r="CT241" s="928"/>
      <c r="CU241" s="1254"/>
      <c r="CV241" s="1254"/>
      <c r="CW241" s="1254"/>
      <c r="CX241" s="1254"/>
      <c r="CY241" s="928"/>
      <c r="CZ241" s="928"/>
      <c r="DA241" s="928"/>
      <c r="DB241" s="928"/>
      <c r="DC241" s="928"/>
      <c r="DD241" s="928"/>
      <c r="DE241" s="928"/>
      <c r="DF241" s="928"/>
      <c r="DG241" s="928"/>
      <c r="DH241" s="928"/>
      <c r="DI241" s="928"/>
      <c r="DJ241" s="928"/>
      <c r="DK241" s="928"/>
      <c r="DL241" s="928"/>
      <c r="DM241" s="928"/>
      <c r="DN241" s="928"/>
      <c r="DO241" s="928"/>
      <c r="DP241" s="928"/>
      <c r="DQ241" s="928"/>
      <c r="DR241" s="928"/>
      <c r="DS241" s="928"/>
      <c r="DT241" s="928"/>
      <c r="DU241" s="928"/>
      <c r="DV241" s="928"/>
      <c r="DW241" s="928"/>
      <c r="DX241" s="928"/>
      <c r="DY241" s="1338"/>
      <c r="DZ241" s="928"/>
      <c r="EA241" s="928"/>
      <c r="EB241" s="928"/>
      <c r="EC241" s="1337"/>
      <c r="ED241" s="1338"/>
      <c r="EE241" s="928"/>
      <c r="EF241" s="928"/>
      <c r="EG241" s="928"/>
      <c r="EH241" s="1337"/>
      <c r="EI241" s="928"/>
      <c r="EJ241" s="928"/>
      <c r="EK241" s="928"/>
      <c r="EL241" s="928"/>
      <c r="EM241" s="1337"/>
      <c r="EN241" s="928"/>
      <c r="EO241" s="928"/>
      <c r="EP241" s="928"/>
      <c r="EQ241" s="928"/>
      <c r="ER241" s="928"/>
      <c r="ES241" s="928"/>
      <c r="ET241" s="928"/>
      <c r="EU241" s="928"/>
      <c r="EV241" s="928"/>
      <c r="EW241" s="928"/>
      <c r="EX241" s="928"/>
      <c r="EY241" s="928"/>
      <c r="EZ241" s="928"/>
      <c r="FA241" s="928"/>
      <c r="FB241" s="928"/>
      <c r="FC241" s="928"/>
      <c r="FD241" s="928"/>
      <c r="FE241" s="928"/>
      <c r="FF241" s="1452">
        <v>6203.6630302813574</v>
      </c>
      <c r="FG241" s="928"/>
      <c r="FH241" s="1453">
        <v>6839.0016880113326</v>
      </c>
      <c r="FI241" s="1319"/>
      <c r="FJ241" s="1622">
        <v>6024.4319447044072</v>
      </c>
      <c r="FK241" s="1605"/>
      <c r="FL241" s="928"/>
      <c r="FM241" s="928"/>
      <c r="FN241" s="928"/>
      <c r="FO241" s="928"/>
      <c r="FP241" s="928"/>
      <c r="FQ241" s="928"/>
    </row>
    <row r="242" spans="1:173">
      <c r="A242" s="1344" t="s">
        <v>519</v>
      </c>
      <c r="B242" s="928"/>
      <c r="C242" s="928"/>
      <c r="D242" s="928"/>
      <c r="E242" s="928"/>
      <c r="F242" s="928"/>
      <c r="G242" s="928"/>
      <c r="H242" s="928"/>
      <c r="I242" s="928"/>
      <c r="J242" s="928"/>
      <c r="K242" s="928"/>
      <c r="L242" s="928"/>
      <c r="M242" s="928"/>
      <c r="N242" s="928"/>
      <c r="O242" s="928"/>
      <c r="P242" s="928"/>
      <c r="Q242" s="928"/>
      <c r="R242" s="928"/>
      <c r="S242" s="928"/>
      <c r="T242" s="928"/>
      <c r="U242" s="928"/>
      <c r="V242" s="928"/>
      <c r="W242" s="1413">
        <f>W239-V239</f>
        <v>189.72499999999945</v>
      </c>
      <c r="X242" s="1413">
        <f>X239-W239</f>
        <v>1224.3629999999994</v>
      </c>
      <c r="Y242" s="1413">
        <f>Y239-X239</f>
        <v>247.52800000000025</v>
      </c>
      <c r="Z242" s="1254"/>
      <c r="AA242" s="1413">
        <f>AA239-650</f>
        <v>7269</v>
      </c>
      <c r="AB242" s="1413"/>
      <c r="AC242" s="1413"/>
      <c r="AD242" s="1413"/>
      <c r="AE242" s="1254"/>
      <c r="AF242" s="1413"/>
      <c r="AG242" s="1413"/>
      <c r="AH242" s="1413"/>
      <c r="AI242" s="1413"/>
      <c r="AJ242" s="1254"/>
      <c r="AK242" s="1435"/>
      <c r="AL242" s="1435"/>
      <c r="AM242" s="1435"/>
      <c r="AN242" s="1435"/>
      <c r="AO242" s="1435"/>
      <c r="AP242" s="1435"/>
      <c r="AQ242" s="1435"/>
      <c r="AR242" s="1435"/>
      <c r="AS242" s="1435"/>
      <c r="AT242" s="1435"/>
      <c r="AU242" s="1435"/>
      <c r="AV242" s="1435"/>
      <c r="AW242" s="1435"/>
      <c r="AX242" s="1435"/>
      <c r="AY242" s="1254"/>
      <c r="AZ242" s="1254"/>
      <c r="BA242" s="1254"/>
      <c r="BB242" s="1254"/>
      <c r="BC242" s="1254"/>
      <c r="BD242" s="1254"/>
      <c r="BE242" s="1442">
        <f>BE241-BC241</f>
        <v>29.527200828153582</v>
      </c>
      <c r="BF242" s="1442">
        <f t="shared" ref="BF242" si="321">BF241-BE241</f>
        <v>-21.911922205871633</v>
      </c>
      <c r="BG242" s="1442">
        <f t="shared" ref="BG242" si="322">BG241-BF241</f>
        <v>-33.296385889193516</v>
      </c>
      <c r="BH242" s="1442">
        <f>BH241-BG241</f>
        <v>47.48454960278923</v>
      </c>
      <c r="BI242" s="1389"/>
      <c r="BJ242" s="1442">
        <f>BJ241-BH241</f>
        <v>103.26204237974798</v>
      </c>
      <c r="BK242" s="1442">
        <f t="shared" ref="BK242" si="323">BK241-BJ241</f>
        <v>107.36500998633255</v>
      </c>
      <c r="BL242" s="1442">
        <f t="shared" ref="BL242" si="324">BL241-BK241</f>
        <v>96.601802962276452</v>
      </c>
      <c r="BM242" s="1442">
        <f>BM241-BL241</f>
        <v>109.77854459045102</v>
      </c>
      <c r="BN242" s="1389"/>
      <c r="BO242" s="1442">
        <f>BO241-BM241</f>
        <v>98.286367208726006</v>
      </c>
      <c r="BP242" s="1442">
        <f t="shared" ref="BP242:BQ242" si="325">BP241-BO241</f>
        <v>-25.787297196269719</v>
      </c>
      <c r="BQ242" s="1442">
        <f t="shared" si="325"/>
        <v>-340.64190283423795</v>
      </c>
      <c r="BR242" s="1442">
        <f>BR241-BQ241</f>
        <v>15.784145964128584</v>
      </c>
      <c r="BS242" s="1389"/>
      <c r="BT242" s="1442">
        <f>BT241-BR241</f>
        <v>24.961406889278805</v>
      </c>
      <c r="BU242" s="1442">
        <f>BU241-BT241</f>
        <v>5.9000806143531008</v>
      </c>
      <c r="BV242" s="1442">
        <f t="shared" ref="BV242" si="326">BV241-BU241</f>
        <v>9.4323941609209214</v>
      </c>
      <c r="BW242" s="1442">
        <f>BW241-BV241</f>
        <v>42.819004250507533</v>
      </c>
      <c r="BX242" s="1389"/>
      <c r="BY242" s="1254"/>
      <c r="BZ242" s="1254"/>
      <c r="CA242" s="928"/>
      <c r="CB242" s="928"/>
      <c r="CC242" s="928"/>
      <c r="CD242" s="928"/>
      <c r="CE242" s="928"/>
      <c r="CF242" s="928"/>
      <c r="CG242" s="928"/>
      <c r="CH242" s="928"/>
      <c r="CI242" s="928"/>
      <c r="CJ242" s="928"/>
      <c r="CK242" s="928"/>
      <c r="CL242" s="928"/>
      <c r="CM242" s="928"/>
      <c r="CN242" s="928"/>
      <c r="CO242" s="928"/>
      <c r="CP242" s="928"/>
      <c r="CQ242" s="928"/>
      <c r="CR242" s="928"/>
      <c r="CS242" s="928"/>
      <c r="CT242" s="928"/>
      <c r="CU242" s="928"/>
      <c r="CV242" s="928"/>
      <c r="CW242" s="928"/>
      <c r="CX242" s="928"/>
      <c r="CY242" s="928"/>
      <c r="CZ242" s="928"/>
      <c r="DA242" s="928"/>
      <c r="DB242" s="928"/>
      <c r="DC242" s="928"/>
      <c r="DD242" s="928"/>
      <c r="DE242" s="928"/>
      <c r="DF242" s="928"/>
      <c r="DG242" s="928"/>
      <c r="DH242" s="928"/>
      <c r="DI242" s="928"/>
      <c r="DJ242" s="928"/>
      <c r="DK242" s="928"/>
      <c r="DL242" s="928"/>
      <c r="DM242" s="928"/>
      <c r="DN242" s="928"/>
      <c r="DO242" s="928"/>
      <c r="DP242" s="928"/>
      <c r="DQ242" s="928"/>
      <c r="DR242" s="928"/>
      <c r="DS242" s="928"/>
      <c r="DT242" s="928"/>
      <c r="DU242" s="928"/>
      <c r="DV242" s="928"/>
      <c r="DW242" s="928"/>
      <c r="DX242" s="928"/>
      <c r="DY242" s="1338"/>
      <c r="DZ242" s="928"/>
      <c r="EA242" s="928"/>
      <c r="EB242" s="928"/>
      <c r="EC242" s="1337"/>
      <c r="ED242" s="1338"/>
      <c r="EE242" s="928"/>
      <c r="EF242" s="928"/>
      <c r="EG242" s="928"/>
      <c r="EH242" s="1337"/>
      <c r="EI242" s="928"/>
      <c r="EJ242" s="928"/>
      <c r="EK242" s="928"/>
      <c r="EL242" s="928"/>
      <c r="EM242" s="1337"/>
      <c r="EN242" s="928"/>
      <c r="EO242" s="928"/>
      <c r="EP242" s="928"/>
      <c r="EQ242" s="928"/>
      <c r="ER242" s="928"/>
      <c r="ES242" s="928"/>
      <c r="ET242" s="928"/>
      <c r="EU242" s="928"/>
      <c r="EV242" s="928"/>
      <c r="EW242" s="928"/>
      <c r="EX242" s="928"/>
      <c r="EY242" s="928"/>
      <c r="EZ242" s="928"/>
      <c r="FA242" s="928"/>
      <c r="FB242" s="928"/>
      <c r="FC242" s="928"/>
      <c r="FD242" s="928"/>
      <c r="FE242" s="928"/>
      <c r="FF242" s="1363"/>
      <c r="FG242" s="928"/>
      <c r="FH242" s="1351"/>
      <c r="FI242" s="1319"/>
      <c r="FJ242" s="1622">
        <v>36.691036472201631</v>
      </c>
      <c r="FK242" s="1605"/>
      <c r="FL242" s="928"/>
      <c r="FM242" s="928"/>
      <c r="FN242" s="928"/>
      <c r="FO242" s="928"/>
      <c r="FP242" s="928"/>
      <c r="FQ242" s="928"/>
    </row>
    <row r="243" spans="1:173">
      <c r="A243" s="1344"/>
      <c r="B243" s="928"/>
      <c r="C243" s="928"/>
      <c r="D243" s="928"/>
      <c r="E243" s="928"/>
      <c r="F243" s="928"/>
      <c r="G243" s="928"/>
      <c r="H243" s="928"/>
      <c r="I243" s="928"/>
      <c r="J243" s="928"/>
      <c r="K243" s="928"/>
      <c r="L243" s="928"/>
      <c r="M243" s="928"/>
      <c r="N243" s="928"/>
      <c r="O243" s="928"/>
      <c r="P243" s="928"/>
      <c r="Q243" s="928"/>
      <c r="R243" s="928"/>
      <c r="S243" s="928"/>
      <c r="T243" s="928"/>
      <c r="U243" s="928"/>
      <c r="V243" s="928"/>
      <c r="W243" s="1413"/>
      <c r="X243" s="1413"/>
      <c r="Y243" s="1413"/>
      <c r="Z243" s="1254"/>
      <c r="AA243" s="1413"/>
      <c r="AB243" s="1413"/>
      <c r="AC243" s="1413"/>
      <c r="AD243" s="1413"/>
      <c r="AE243" s="1254"/>
      <c r="AF243" s="1413"/>
      <c r="AG243" s="1413"/>
      <c r="AH243" s="1413"/>
      <c r="AI243" s="1413"/>
      <c r="AJ243" s="1254"/>
      <c r="AK243" s="1435"/>
      <c r="AL243" s="1435"/>
      <c r="AM243" s="1435"/>
      <c r="AN243" s="1435"/>
      <c r="AO243" s="1435"/>
      <c r="AP243" s="1435"/>
      <c r="AQ243" s="1435"/>
      <c r="AR243" s="1435"/>
      <c r="AS243" s="1435"/>
      <c r="AT243" s="1435"/>
      <c r="AU243" s="1435"/>
      <c r="AV243" s="1435"/>
      <c r="AW243" s="1435"/>
      <c r="AX243" s="1435"/>
      <c r="AY243" s="1254"/>
      <c r="AZ243" s="1254"/>
      <c r="BA243" s="1254"/>
      <c r="BB243" s="1254"/>
      <c r="BC243" s="1254"/>
      <c r="BD243" s="1254"/>
      <c r="BE243" s="1442"/>
      <c r="BF243" s="1442"/>
      <c r="BG243" s="1442"/>
      <c r="BH243" s="1442"/>
      <c r="BI243" s="1389"/>
      <c r="BJ243" s="1442"/>
      <c r="BK243" s="1442"/>
      <c r="BL243" s="1442"/>
      <c r="BM243" s="1442"/>
      <c r="BN243" s="1389"/>
      <c r="BO243" s="1442"/>
      <c r="BP243" s="1442"/>
      <c r="BQ243" s="1442"/>
      <c r="BR243" s="1442"/>
      <c r="BS243" s="1389"/>
      <c r="BT243" s="1442"/>
      <c r="BU243" s="1442"/>
      <c r="BV243" s="1442"/>
      <c r="BW243" s="1442"/>
      <c r="BX243" s="1389"/>
      <c r="BY243" s="1254"/>
      <c r="BZ243" s="1254"/>
      <c r="CA243" s="928"/>
      <c r="CB243" s="928"/>
      <c r="CC243" s="928"/>
      <c r="CD243" s="928"/>
      <c r="CE243" s="928"/>
      <c r="CF243" s="928"/>
      <c r="CG243" s="928"/>
      <c r="CH243" s="928"/>
      <c r="CI243" s="928"/>
      <c r="CJ243" s="928"/>
      <c r="CK243" s="928"/>
      <c r="CL243" s="928"/>
      <c r="CM243" s="928"/>
      <c r="CN243" s="928"/>
      <c r="CO243" s="928"/>
      <c r="CP243" s="928"/>
      <c r="CQ243" s="928"/>
      <c r="CR243" s="928"/>
      <c r="CS243" s="928"/>
      <c r="CT243" s="928"/>
      <c r="CU243" s="928"/>
      <c r="CV243" s="928"/>
      <c r="CW243" s="928"/>
      <c r="CX243" s="928"/>
      <c r="CY243" s="928"/>
      <c r="CZ243" s="928"/>
      <c r="DA243" s="928"/>
      <c r="DB243" s="928"/>
      <c r="DC243" s="928"/>
      <c r="DD243" s="928"/>
      <c r="DE243" s="928"/>
      <c r="DF243" s="928"/>
      <c r="DG243" s="928"/>
      <c r="DH243" s="928"/>
      <c r="DI243" s="928"/>
      <c r="DJ243" s="928"/>
      <c r="DK243" s="928"/>
      <c r="DL243" s="928"/>
      <c r="DM243" s="928"/>
      <c r="DN243" s="928"/>
      <c r="DO243" s="928"/>
      <c r="DP243" s="928"/>
      <c r="DQ243" s="928"/>
      <c r="DR243" s="928"/>
      <c r="DS243" s="928"/>
      <c r="DT243" s="928"/>
      <c r="DU243" s="928"/>
      <c r="DV243" s="928"/>
      <c r="DW243" s="928"/>
      <c r="DX243" s="928"/>
      <c r="DY243" s="1338"/>
      <c r="DZ243" s="928"/>
      <c r="EA243" s="928"/>
      <c r="EB243" s="928"/>
      <c r="EC243" s="1337"/>
      <c r="ED243" s="1338"/>
      <c r="EE243" s="928"/>
      <c r="EF243" s="928"/>
      <c r="EG243" s="928"/>
      <c r="EH243" s="1337"/>
      <c r="EI243" s="928"/>
      <c r="EJ243" s="928"/>
      <c r="EK243" s="928"/>
      <c r="EL243" s="928"/>
      <c r="EM243" s="1337"/>
      <c r="EN243" s="928"/>
      <c r="EO243" s="928"/>
      <c r="EP243" s="928"/>
      <c r="EQ243" s="928"/>
      <c r="ER243" s="928"/>
      <c r="ES243" s="928"/>
      <c r="ET243" s="928"/>
      <c r="EU243" s="928"/>
      <c r="EV243" s="928"/>
      <c r="EW243" s="928"/>
      <c r="EX243" s="928"/>
      <c r="EY243" s="928"/>
      <c r="EZ243" s="928"/>
      <c r="FA243" s="928"/>
      <c r="FB243" s="928"/>
      <c r="FC243" s="928"/>
      <c r="FD243" s="928"/>
      <c r="FE243" s="928"/>
      <c r="FF243" s="1363"/>
      <c r="FG243" s="928"/>
      <c r="FH243" s="1351"/>
      <c r="FI243" s="1319"/>
      <c r="FJ243" s="1622"/>
      <c r="FK243" s="1605"/>
      <c r="FL243" s="928"/>
      <c r="FM243" s="928"/>
      <c r="FN243" s="928"/>
      <c r="FO243" s="928"/>
      <c r="FP243" s="928"/>
      <c r="FQ243" s="928"/>
    </row>
    <row r="244" spans="1:173">
      <c r="A244" s="1385" t="s">
        <v>661</v>
      </c>
      <c r="B244" s="928"/>
      <c r="C244" s="928"/>
      <c r="D244" s="928"/>
      <c r="E244" s="928"/>
      <c r="F244" s="928"/>
      <c r="G244" s="928"/>
      <c r="H244" s="928"/>
      <c r="I244" s="928"/>
      <c r="J244" s="928"/>
      <c r="K244" s="928"/>
      <c r="L244" s="928"/>
      <c r="M244" s="928"/>
      <c r="N244" s="928"/>
      <c r="O244" s="928"/>
      <c r="P244" s="928"/>
      <c r="Q244" s="928"/>
      <c r="R244" s="928"/>
      <c r="S244" s="928"/>
      <c r="T244" s="928"/>
      <c r="U244" s="928"/>
      <c r="V244" s="928"/>
      <c r="W244" s="928"/>
      <c r="X244" s="928"/>
      <c r="Y244" s="928"/>
      <c r="Z244" s="1254"/>
      <c r="AA244" s="928"/>
      <c r="AB244" s="928"/>
      <c r="AC244" s="928"/>
      <c r="AD244" s="928"/>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355"/>
      <c r="BF244" s="1254"/>
      <c r="BG244" s="1254"/>
      <c r="BH244" s="1254"/>
      <c r="BI244" s="1389"/>
      <c r="BJ244" s="1355"/>
      <c r="BK244" s="1254"/>
      <c r="BL244" s="1254"/>
      <c r="BM244" s="1254"/>
      <c r="BN244" s="1389"/>
      <c r="BO244" s="1355"/>
      <c r="BP244" s="1254"/>
      <c r="BQ244" s="1254"/>
      <c r="BR244" s="1254"/>
      <c r="BS244" s="1389"/>
      <c r="BT244" s="1355"/>
      <c r="BU244" s="1254"/>
      <c r="BV244" s="1254"/>
      <c r="BW244" s="1254"/>
      <c r="BX244" s="1389"/>
      <c r="BY244" s="1254"/>
      <c r="BZ244" s="1254"/>
      <c r="CA244" s="928"/>
      <c r="CB244" s="928"/>
      <c r="CC244" s="928"/>
      <c r="CD244" s="928"/>
      <c r="CE244" s="928"/>
      <c r="CF244" s="928"/>
      <c r="CG244" s="928"/>
      <c r="CH244" s="928"/>
      <c r="CI244" s="928"/>
      <c r="CJ244" s="928"/>
      <c r="CK244" s="928"/>
      <c r="CL244" s="928"/>
      <c r="CM244" s="928"/>
      <c r="CN244" s="928"/>
      <c r="CO244" s="928"/>
      <c r="CP244" s="928"/>
      <c r="CQ244" s="928"/>
      <c r="CR244" s="928"/>
      <c r="CS244" s="928"/>
      <c r="CT244" s="928"/>
      <c r="CU244" s="928"/>
      <c r="CV244" s="928"/>
      <c r="CW244" s="928"/>
      <c r="CX244" s="928"/>
      <c r="CY244" s="928"/>
      <c r="CZ244" s="928"/>
      <c r="DA244" s="928"/>
      <c r="DB244" s="928"/>
      <c r="DC244" s="928"/>
      <c r="DD244" s="928"/>
      <c r="DE244" s="928"/>
      <c r="DF244" s="928"/>
      <c r="DG244" s="928"/>
      <c r="DH244" s="928"/>
      <c r="DI244" s="928"/>
      <c r="DJ244" s="928"/>
      <c r="DK244" s="928"/>
      <c r="DL244" s="928"/>
      <c r="DM244" s="1414"/>
      <c r="DN244" s="928"/>
      <c r="DO244" s="928"/>
      <c r="DP244" s="928"/>
      <c r="DQ244" s="928"/>
      <c r="DR244" s="928"/>
      <c r="DS244" s="928"/>
      <c r="DT244" s="928"/>
      <c r="DU244" s="928"/>
      <c r="DV244" s="928"/>
      <c r="DW244" s="928"/>
      <c r="DX244" s="928"/>
      <c r="DY244" s="1338"/>
      <c r="DZ244" s="928"/>
      <c r="EA244" s="928"/>
      <c r="EB244" s="928"/>
      <c r="EC244" s="1337"/>
      <c r="ED244" s="1338"/>
      <c r="EE244" s="928"/>
      <c r="EF244" s="928"/>
      <c r="EG244" s="928"/>
      <c r="EH244" s="1337"/>
      <c r="EI244" s="928"/>
      <c r="EJ244" s="928"/>
      <c r="EK244" s="928"/>
      <c r="EL244" s="928"/>
      <c r="EM244" s="1337"/>
      <c r="EN244" s="928"/>
      <c r="EO244" s="928"/>
      <c r="EP244" s="928"/>
      <c r="EQ244" s="928"/>
      <c r="ER244" s="928"/>
      <c r="ES244" s="928"/>
      <c r="ET244" s="928"/>
      <c r="EU244" s="928"/>
      <c r="EV244" s="928"/>
      <c r="EW244" s="928"/>
      <c r="EX244" s="928"/>
      <c r="EY244" s="928"/>
      <c r="EZ244" s="928"/>
      <c r="FA244" s="928"/>
      <c r="FB244" s="928"/>
      <c r="FC244" s="928"/>
      <c r="FD244" s="928"/>
      <c r="FE244" s="928"/>
      <c r="FF244" s="1363"/>
      <c r="FG244" s="928"/>
      <c r="FH244" s="1351"/>
      <c r="FI244" s="1319"/>
      <c r="FJ244" s="1612"/>
      <c r="FK244" s="1605"/>
      <c r="FL244" s="928"/>
      <c r="FM244" s="928"/>
      <c r="FN244" s="928"/>
      <c r="FO244" s="928"/>
      <c r="FP244" s="928"/>
      <c r="FQ244" s="928"/>
    </row>
    <row r="245" spans="1:173">
      <c r="A245" s="1344" t="str">
        <f>A235</f>
        <v>TV</v>
      </c>
      <c r="B245" s="928"/>
      <c r="C245" s="928">
        <f t="shared" ref="C245:E246" si="327">C235-B235</f>
        <v>81</v>
      </c>
      <c r="D245" s="928">
        <f t="shared" si="327"/>
        <v>24</v>
      </c>
      <c r="E245" s="928">
        <f t="shared" si="327"/>
        <v>43</v>
      </c>
      <c r="F245" s="928"/>
      <c r="G245" s="928">
        <f>G235-E235</f>
        <v>41</v>
      </c>
      <c r="H245" s="928">
        <f t="shared" ref="H245:J246" si="328">H235-G235</f>
        <v>79</v>
      </c>
      <c r="I245" s="928">
        <f t="shared" si="328"/>
        <v>34</v>
      </c>
      <c r="J245" s="928">
        <f t="shared" si="328"/>
        <v>60</v>
      </c>
      <c r="K245" s="928"/>
      <c r="L245" s="928">
        <f>L235-J235</f>
        <v>36</v>
      </c>
      <c r="M245" s="928">
        <f t="shared" ref="M245:O246" si="329">M235-L235</f>
        <v>15</v>
      </c>
      <c r="N245" s="1413">
        <f t="shared" si="329"/>
        <v>30.631000000000313</v>
      </c>
      <c r="O245" s="1413">
        <f t="shared" si="329"/>
        <v>45.368999999999687</v>
      </c>
      <c r="P245" s="928"/>
      <c r="Q245" s="1413">
        <f>Q235-O235</f>
        <v>54.800000000000182</v>
      </c>
      <c r="R245" s="1413">
        <f t="shared" ref="R245:T246" si="330">R235-Q235</f>
        <v>41.999999999999545</v>
      </c>
      <c r="S245" s="1413">
        <f t="shared" si="330"/>
        <v>58.260000000000218</v>
      </c>
      <c r="T245" s="1413">
        <f t="shared" si="330"/>
        <v>31.940000000000055</v>
      </c>
      <c r="U245" s="1413"/>
      <c r="V245" s="1413">
        <f>V235-T235</f>
        <v>22.730000000000018</v>
      </c>
      <c r="W245" s="1413">
        <f>W235-V235</f>
        <v>51.869000000000142</v>
      </c>
      <c r="X245" s="1413">
        <f>X235-W235-X226</f>
        <v>-4.4990000000003647</v>
      </c>
      <c r="Y245" s="1413">
        <f>Y235-X235</f>
        <v>44.637000000000171</v>
      </c>
      <c r="Z245" s="1254"/>
      <c r="AA245" s="1254"/>
      <c r="AB245" s="1413">
        <f t="shared" ref="AB245:AD246" si="331">AB235-AA235</f>
        <v>48.512000000000171</v>
      </c>
      <c r="AC245" s="1413">
        <f t="shared" si="331"/>
        <v>31.88799999999992</v>
      </c>
      <c r="AD245" s="1413">
        <f t="shared" si="331"/>
        <v>113.25500000000011</v>
      </c>
      <c r="AE245" s="1254"/>
      <c r="AF245" s="1413">
        <f>AF235-AD235</f>
        <v>91.644999999999982</v>
      </c>
      <c r="AG245" s="1413">
        <f t="shared" ref="AG245:AI246" si="332">AG235-AF235</f>
        <v>66.599999999999454</v>
      </c>
      <c r="AH245" s="1413">
        <f t="shared" si="332"/>
        <v>20.4950000000008</v>
      </c>
      <c r="AI245" s="1413">
        <f t="shared" si="332"/>
        <v>-34.4950000000008</v>
      </c>
      <c r="AJ245" s="1254"/>
      <c r="AK245" s="1413">
        <v>-67.623999999999995</v>
      </c>
      <c r="AL245" s="1413">
        <f t="shared" ref="AL245:AN246" si="333">AL235-AK235</f>
        <v>25.465000000000146</v>
      </c>
      <c r="AM245" s="1413">
        <f t="shared" si="333"/>
        <v>30.972999999999502</v>
      </c>
      <c r="AN245" s="1413">
        <f t="shared" si="333"/>
        <v>61.777000000000044</v>
      </c>
      <c r="AO245" s="1254"/>
      <c r="AP245" s="1413">
        <f t="shared" ref="AP245:AS246" si="334">AP235-AO235</f>
        <v>52.800000000000182</v>
      </c>
      <c r="AQ245" s="1413">
        <f t="shared" si="334"/>
        <v>78.059000000000196</v>
      </c>
      <c r="AR245" s="1413">
        <f t="shared" si="334"/>
        <v>-34.734000000000378</v>
      </c>
      <c r="AS245" s="1413">
        <f t="shared" si="334"/>
        <v>103.1220000000003</v>
      </c>
      <c r="AT245" s="1254"/>
      <c r="AU245" s="1413">
        <f t="shared" ref="AU245:AX246" si="335">AU235-AT235</f>
        <v>-8.3999999999996362</v>
      </c>
      <c r="AV245" s="1413">
        <f t="shared" si="335"/>
        <v>11.406999999999243</v>
      </c>
      <c r="AW245" s="1413">
        <f t="shared" si="335"/>
        <v>-42.006999999999607</v>
      </c>
      <c r="AX245" s="1413">
        <f t="shared" si="335"/>
        <v>-26.136999999999716</v>
      </c>
      <c r="AY245" s="1254"/>
      <c r="AZ245" s="1413">
        <f>AZ235-AX235</f>
        <v>-10.805000000000291</v>
      </c>
      <c r="BA245" s="1413">
        <f t="shared" ref="BA245:BC246" si="336">BA235-AZ235</f>
        <v>27.420000000000073</v>
      </c>
      <c r="BB245" s="1413">
        <f t="shared" si="336"/>
        <v>-1.569999999999709</v>
      </c>
      <c r="BC245" s="1413">
        <f t="shared" si="336"/>
        <v>-49.226000000000568</v>
      </c>
      <c r="BD245" s="928"/>
      <c r="BE245" s="1499">
        <f t="shared" ref="BE245:BH248" si="337">BE235-BD235</f>
        <v>-38.59900000000016</v>
      </c>
      <c r="BF245" s="1413">
        <f t="shared" si="337"/>
        <v>-31.505000000000109</v>
      </c>
      <c r="BG245" s="1413">
        <f t="shared" si="337"/>
        <v>-59.066999999999098</v>
      </c>
      <c r="BH245" s="1413">
        <f t="shared" si="337"/>
        <v>10.930999999999585</v>
      </c>
      <c r="BI245" s="1337"/>
      <c r="BJ245" s="1499">
        <f t="shared" ref="BJ245:BM249" si="338">BJ235-BI235</f>
        <v>89.041000000000167</v>
      </c>
      <c r="BK245" s="1413">
        <f t="shared" si="338"/>
        <v>79.146999999999935</v>
      </c>
      <c r="BL245" s="1413">
        <f t="shared" si="338"/>
        <v>71.046999999999571</v>
      </c>
      <c r="BM245" s="1413">
        <f t="shared" si="338"/>
        <v>52.525000000000546</v>
      </c>
      <c r="BN245" s="1500">
        <f>SUM(BJ245:BM245)</f>
        <v>291.76000000000022</v>
      </c>
      <c r="BO245" s="1499">
        <f t="shared" ref="BO245:BR249" si="339">BO235-BN235</f>
        <v>30.869999999999891</v>
      </c>
      <c r="BP245" s="1413">
        <f t="shared" si="339"/>
        <v>-46.190000000000509</v>
      </c>
      <c r="BQ245" s="1413">
        <f t="shared" si="339"/>
        <v>-383.50999999999976</v>
      </c>
      <c r="BR245" s="1435">
        <f t="shared" si="339"/>
        <v>0.10400000000026921</v>
      </c>
      <c r="BS245" s="1500">
        <f>SUM(BO245:BR245)</f>
        <v>-398.72600000000011</v>
      </c>
      <c r="BT245" s="1499">
        <f t="shared" ref="BT245:BW249" si="340">BT235-BS235</f>
        <v>2.7539999999999054</v>
      </c>
      <c r="BU245" s="1413">
        <f>BU235-BT235</f>
        <v>10</v>
      </c>
      <c r="BV245" s="1413">
        <f t="shared" si="340"/>
        <v>15</v>
      </c>
      <c r="BW245" s="1413">
        <f t="shared" si="340"/>
        <v>17.751999999999953</v>
      </c>
      <c r="BX245" s="1500">
        <f>SUM(BT245:BW245)</f>
        <v>45.505999999999858</v>
      </c>
      <c r="BY245" s="1254"/>
      <c r="BZ245" s="1254"/>
      <c r="CA245" s="928"/>
      <c r="CB245" s="928"/>
      <c r="CC245" s="928"/>
      <c r="CD245" s="928"/>
      <c r="CE245" s="928"/>
      <c r="CF245" s="928"/>
      <c r="CG245" s="928"/>
      <c r="CH245" s="928"/>
      <c r="CI245" s="928"/>
      <c r="CJ245" s="928"/>
      <c r="CK245" s="928"/>
      <c r="CL245" s="928"/>
      <c r="CM245" s="928"/>
      <c r="CN245" s="928"/>
      <c r="CO245" s="928"/>
      <c r="CP245" s="928"/>
      <c r="CQ245" s="928"/>
      <c r="CR245" s="928"/>
      <c r="CS245" s="928"/>
      <c r="CT245" s="928"/>
      <c r="CU245" s="928"/>
      <c r="CV245" s="928"/>
      <c r="CW245" s="928"/>
      <c r="CX245" s="928"/>
      <c r="CY245" s="928"/>
      <c r="CZ245" s="928"/>
      <c r="DA245" s="928"/>
      <c r="DB245" s="928"/>
      <c r="DC245" s="928"/>
      <c r="DD245" s="928"/>
      <c r="DE245" s="928"/>
      <c r="DF245" s="928"/>
      <c r="DG245" s="928"/>
      <c r="DH245" s="928"/>
      <c r="DI245" s="928"/>
      <c r="DJ245" s="928"/>
      <c r="DK245" s="928"/>
      <c r="DL245" s="928"/>
      <c r="DM245" s="928"/>
      <c r="DN245" s="928"/>
      <c r="DO245" s="928"/>
      <c r="DP245" s="928"/>
      <c r="DQ245" s="928"/>
      <c r="DR245" s="928"/>
      <c r="DS245" s="928"/>
      <c r="DT245" s="928"/>
      <c r="DU245" s="928"/>
      <c r="DV245" s="928"/>
      <c r="DW245" s="928"/>
      <c r="DX245" s="928"/>
      <c r="DY245" s="1338"/>
      <c r="DZ245" s="928"/>
      <c r="EA245" s="928"/>
      <c r="EB245" s="928"/>
      <c r="EC245" s="1337"/>
      <c r="ED245" s="1338"/>
      <c r="EE245" s="928"/>
      <c r="EF245" s="928"/>
      <c r="EG245" s="928"/>
      <c r="EH245" s="1337"/>
      <c r="EI245" s="928"/>
      <c r="EJ245" s="928"/>
      <c r="EK245" s="928"/>
      <c r="EL245" s="928"/>
      <c r="EM245" s="1337"/>
      <c r="EN245" s="928"/>
      <c r="EO245" s="928"/>
      <c r="EP245" s="928"/>
      <c r="EQ245" s="928"/>
      <c r="ER245" s="928"/>
      <c r="ES245" s="928"/>
      <c r="ET245" s="928"/>
      <c r="EU245" s="928"/>
      <c r="EV245" s="928"/>
      <c r="EW245" s="928"/>
      <c r="EX245" s="928"/>
      <c r="EY245" s="928"/>
      <c r="EZ245" s="928"/>
      <c r="FA245" s="928"/>
      <c r="FB245" s="928"/>
      <c r="FC245" s="928"/>
      <c r="FD245" s="928"/>
      <c r="FE245" s="928"/>
      <c r="FF245" s="1429">
        <v>-90</v>
      </c>
      <c r="FG245" s="928"/>
      <c r="FH245" s="1425">
        <v>-29.389999999999873</v>
      </c>
      <c r="FI245" s="1319"/>
      <c r="FJ245" s="1621">
        <v>5</v>
      </c>
      <c r="FK245" s="1605"/>
      <c r="FL245" s="928"/>
      <c r="FM245" s="928"/>
      <c r="FN245" s="928"/>
      <c r="FO245" s="928"/>
      <c r="FP245" s="928"/>
      <c r="FQ245" s="928"/>
    </row>
    <row r="246" spans="1:173">
      <c r="A246" s="1344" t="str">
        <f>A236</f>
        <v>Internet</v>
      </c>
      <c r="B246" s="928"/>
      <c r="C246" s="928">
        <f t="shared" si="327"/>
        <v>42</v>
      </c>
      <c r="D246" s="928">
        <f t="shared" si="327"/>
        <v>32</v>
      </c>
      <c r="E246" s="928">
        <f t="shared" si="327"/>
        <v>36</v>
      </c>
      <c r="F246" s="928"/>
      <c r="G246" s="928">
        <f>G236-E236</f>
        <v>47</v>
      </c>
      <c r="H246" s="928">
        <f t="shared" si="328"/>
        <v>46</v>
      </c>
      <c r="I246" s="928">
        <f t="shared" si="328"/>
        <v>76</v>
      </c>
      <c r="J246" s="928">
        <f t="shared" si="328"/>
        <v>91</v>
      </c>
      <c r="K246" s="928"/>
      <c r="L246" s="928">
        <f>L236-J236</f>
        <v>74</v>
      </c>
      <c r="M246" s="928">
        <f t="shared" si="329"/>
        <v>36</v>
      </c>
      <c r="N246" s="1413">
        <f t="shared" si="329"/>
        <v>73.376999999999953</v>
      </c>
      <c r="O246" s="1413">
        <f t="shared" si="329"/>
        <v>56.623000000000047</v>
      </c>
      <c r="P246" s="928"/>
      <c r="Q246" s="1413">
        <f>Q236-O236</f>
        <v>78.400000000000091</v>
      </c>
      <c r="R246" s="1413">
        <f t="shared" si="330"/>
        <v>72.399999999999864</v>
      </c>
      <c r="S246" s="1413">
        <f t="shared" si="330"/>
        <v>109.79999999999995</v>
      </c>
      <c r="T246" s="1413">
        <f t="shared" si="330"/>
        <v>99.400000000000091</v>
      </c>
      <c r="U246" s="1413"/>
      <c r="V246" s="1413">
        <f>V236-T236</f>
        <v>84.398000000000138</v>
      </c>
      <c r="W246" s="1413">
        <f>W236-V236</f>
        <v>89.950000000000045</v>
      </c>
      <c r="X246" s="1413">
        <f>X236-W236-X227</f>
        <v>72.651999999999816</v>
      </c>
      <c r="Y246" s="1413">
        <f>Y236-X236</f>
        <v>122.70899999999983</v>
      </c>
      <c r="Z246" s="1254"/>
      <c r="AA246" s="1254"/>
      <c r="AB246" s="1413">
        <f t="shared" si="331"/>
        <v>145.40099999999984</v>
      </c>
      <c r="AC246" s="1413">
        <f t="shared" si="331"/>
        <v>152.39900000000034</v>
      </c>
      <c r="AD246" s="1413">
        <f t="shared" si="331"/>
        <v>165.89899999999989</v>
      </c>
      <c r="AE246" s="1254"/>
      <c r="AF246" s="1413">
        <f>AF236-AD236</f>
        <v>80.586999999999989</v>
      </c>
      <c r="AG246" s="1413">
        <f t="shared" si="332"/>
        <v>110.81399999999985</v>
      </c>
      <c r="AH246" s="1413">
        <f t="shared" si="332"/>
        <v>87.960000000000036</v>
      </c>
      <c r="AI246" s="1413">
        <f t="shared" si="332"/>
        <v>65.740000000000236</v>
      </c>
      <c r="AJ246" s="1254"/>
      <c r="AK246" s="1413">
        <v>45.057000000000002</v>
      </c>
      <c r="AL246" s="1413">
        <f t="shared" si="333"/>
        <v>119.03099999999995</v>
      </c>
      <c r="AM246" s="1413">
        <f t="shared" si="333"/>
        <v>144.53200000000015</v>
      </c>
      <c r="AN246" s="1413">
        <f t="shared" si="333"/>
        <v>157.20399999999972</v>
      </c>
      <c r="AO246" s="1254"/>
      <c r="AP246" s="1413">
        <f t="shared" si="334"/>
        <v>173.40000000000009</v>
      </c>
      <c r="AQ246" s="1413">
        <f t="shared" si="334"/>
        <v>136.19900000000007</v>
      </c>
      <c r="AR246" s="1413">
        <f t="shared" si="334"/>
        <v>61.648999999999432</v>
      </c>
      <c r="AS246" s="1413">
        <f t="shared" si="334"/>
        <v>310.76900000000023</v>
      </c>
      <c r="AT246" s="1254"/>
      <c r="AU246" s="1413">
        <f t="shared" si="335"/>
        <v>88.5</v>
      </c>
      <c r="AV246" s="1413">
        <f t="shared" si="335"/>
        <v>72.774999999999636</v>
      </c>
      <c r="AW246" s="1413">
        <f t="shared" si="335"/>
        <v>18.725000000000364</v>
      </c>
      <c r="AX246" s="1413">
        <f t="shared" si="335"/>
        <v>37.054000000000087</v>
      </c>
      <c r="AY246" s="1254"/>
      <c r="AZ246" s="1413">
        <f>AZ236-AX236</f>
        <v>121.04899999999998</v>
      </c>
      <c r="BA246" s="1413">
        <f t="shared" si="336"/>
        <v>252.17399999999998</v>
      </c>
      <c r="BB246" s="1413">
        <f t="shared" si="336"/>
        <v>233.96799999999985</v>
      </c>
      <c r="BC246" s="1413">
        <f t="shared" si="336"/>
        <v>127.61400000000049</v>
      </c>
      <c r="BD246" s="1254"/>
      <c r="BE246" s="1499">
        <f t="shared" si="337"/>
        <v>103.96000000000004</v>
      </c>
      <c r="BF246" s="1413">
        <f t="shared" si="337"/>
        <v>31.368999999999687</v>
      </c>
      <c r="BG246" s="1413">
        <f t="shared" si="337"/>
        <v>24.595000000000255</v>
      </c>
      <c r="BH246" s="1413">
        <f t="shared" si="337"/>
        <v>58.318999999999505</v>
      </c>
      <c r="BI246" s="1389"/>
      <c r="BJ246" s="1499">
        <f t="shared" si="338"/>
        <v>82.923999999999978</v>
      </c>
      <c r="BK246" s="1413">
        <f t="shared" si="338"/>
        <v>77.564000000000306</v>
      </c>
      <c r="BL246" s="1413">
        <f t="shared" si="338"/>
        <v>96.233999999999469</v>
      </c>
      <c r="BM246" s="1413">
        <f t="shared" si="338"/>
        <v>78.327000000000226</v>
      </c>
      <c r="BN246" s="1500">
        <f>SUM(BJ246:BM246)</f>
        <v>335.04899999999998</v>
      </c>
      <c r="BO246" s="1499">
        <f t="shared" si="339"/>
        <v>84.71100000000024</v>
      </c>
      <c r="BP246" s="1413">
        <f t="shared" si="339"/>
        <v>-37.76299999999992</v>
      </c>
      <c r="BQ246" s="1413">
        <f t="shared" si="339"/>
        <v>-353.26299999999992</v>
      </c>
      <c r="BR246" s="1435">
        <f t="shared" si="339"/>
        <v>0.59499999999934516</v>
      </c>
      <c r="BS246" s="1500">
        <f>SUM(BO246:BR246)</f>
        <v>-305.72000000000025</v>
      </c>
      <c r="BT246" s="1499">
        <f t="shared" si="340"/>
        <v>10.712000000000444</v>
      </c>
      <c r="BU246" s="1413">
        <f>BU236-BT236</f>
        <v>20</v>
      </c>
      <c r="BV246" s="1413">
        <f t="shared" si="340"/>
        <v>30</v>
      </c>
      <c r="BW246" s="1413">
        <f t="shared" si="340"/>
        <v>41.486567490568632</v>
      </c>
      <c r="BX246" s="1500">
        <f>SUM(BT246:BW246)</f>
        <v>102.19856749056908</v>
      </c>
      <c r="BY246" s="1254"/>
      <c r="BZ246" s="1254"/>
      <c r="CA246" s="928"/>
      <c r="CB246" s="928"/>
      <c r="CC246" s="928"/>
      <c r="CD246" s="928"/>
      <c r="CE246" s="928"/>
      <c r="CF246" s="928"/>
      <c r="CG246" s="928"/>
      <c r="CH246" s="928"/>
      <c r="CI246" s="928"/>
      <c r="CJ246" s="928"/>
      <c r="CK246" s="928"/>
      <c r="CL246" s="928"/>
      <c r="CM246" s="928"/>
      <c r="CN246" s="1316">
        <f>AVERAGE(CK258:CN258)</f>
        <v>0.15536569696244229</v>
      </c>
      <c r="CO246" s="928"/>
      <c r="CP246" s="928"/>
      <c r="CQ246" s="928"/>
      <c r="CR246" s="928"/>
      <c r="CS246" s="928"/>
      <c r="CT246" s="928"/>
      <c r="CU246" s="928"/>
      <c r="CV246" s="928"/>
      <c r="CW246" s="928"/>
      <c r="CX246" s="928"/>
      <c r="CY246" s="928"/>
      <c r="CZ246" s="928"/>
      <c r="DA246" s="928"/>
      <c r="DB246" s="928"/>
      <c r="DC246" s="928"/>
      <c r="DD246" s="928"/>
      <c r="DE246" s="928"/>
      <c r="DF246" s="928"/>
      <c r="DG246" s="928"/>
      <c r="DH246" s="928"/>
      <c r="DI246" s="928"/>
      <c r="DJ246" s="928"/>
      <c r="DK246" s="928"/>
      <c r="DL246" s="928"/>
      <c r="DM246" s="928"/>
      <c r="DN246" s="928"/>
      <c r="DO246" s="928"/>
      <c r="DP246" s="928"/>
      <c r="DQ246" s="928"/>
      <c r="DR246" s="928"/>
      <c r="DS246" s="928"/>
      <c r="DT246" s="928"/>
      <c r="DU246" s="928"/>
      <c r="DV246" s="928"/>
      <c r="DW246" s="928"/>
      <c r="DX246" s="928"/>
      <c r="DY246" s="1338"/>
      <c r="DZ246" s="928"/>
      <c r="EA246" s="928"/>
      <c r="EB246" s="928"/>
      <c r="EC246" s="1337"/>
      <c r="ED246" s="1338"/>
      <c r="EE246" s="928"/>
      <c r="EF246" s="928"/>
      <c r="EG246" s="928"/>
      <c r="EH246" s="1337"/>
      <c r="EI246" s="928"/>
      <c r="EJ246" s="928"/>
      <c r="EK246" s="928"/>
      <c r="EL246" s="928"/>
      <c r="EM246" s="1337"/>
      <c r="EN246" s="928"/>
      <c r="EO246" s="928"/>
      <c r="EP246" s="928"/>
      <c r="EQ246" s="928"/>
      <c r="ER246" s="928"/>
      <c r="ES246" s="928"/>
      <c r="ET246" s="928"/>
      <c r="EU246" s="928"/>
      <c r="EV246" s="928"/>
      <c r="EW246" s="928"/>
      <c r="EX246" s="928"/>
      <c r="EY246" s="928"/>
      <c r="EZ246" s="928"/>
      <c r="FA246" s="928"/>
      <c r="FB246" s="928"/>
      <c r="FC246" s="928"/>
      <c r="FD246" s="928"/>
      <c r="FE246" s="928"/>
      <c r="FF246" s="1429">
        <v>-120</v>
      </c>
      <c r="FG246" s="928"/>
      <c r="FH246" s="1425">
        <v>-21.375287524000669</v>
      </c>
      <c r="FI246" s="1319"/>
      <c r="FJ246" s="1621">
        <v>15</v>
      </c>
      <c r="FK246" s="1605"/>
      <c r="FL246" s="928"/>
      <c r="FM246" s="928"/>
      <c r="FN246" s="928"/>
      <c r="FO246" s="928"/>
      <c r="FP246" s="928"/>
      <c r="FQ246" s="928"/>
    </row>
    <row r="247" spans="1:173">
      <c r="A247" s="1344" t="str">
        <f>A237</f>
        <v>Mobile</v>
      </c>
      <c r="B247" s="928"/>
      <c r="C247" s="928"/>
      <c r="D247" s="928"/>
      <c r="E247" s="928"/>
      <c r="F247" s="928"/>
      <c r="G247" s="928"/>
      <c r="H247" s="928"/>
      <c r="I247" s="928"/>
      <c r="J247" s="928"/>
      <c r="K247" s="928"/>
      <c r="L247" s="928"/>
      <c r="M247" s="928"/>
      <c r="N247" s="1413"/>
      <c r="O247" s="1413"/>
      <c r="P247" s="928"/>
      <c r="Q247" s="1413"/>
      <c r="R247" s="1413"/>
      <c r="S247" s="1413"/>
      <c r="T247" s="1413"/>
      <c r="U247" s="1413"/>
      <c r="V247" s="1413"/>
      <c r="W247" s="1413"/>
      <c r="X247" s="1413"/>
      <c r="Y247" s="1413"/>
      <c r="Z247" s="1254"/>
      <c r="AA247" s="1254"/>
      <c r="AB247" s="1413"/>
      <c r="AC247" s="1413"/>
      <c r="AD247" s="1413"/>
      <c r="AE247" s="1254"/>
      <c r="AF247" s="1413"/>
      <c r="AG247" s="1413"/>
      <c r="AH247" s="1413"/>
      <c r="AI247" s="1413"/>
      <c r="AJ247" s="1254"/>
      <c r="AK247" s="1413"/>
      <c r="AL247" s="1413"/>
      <c r="AM247" s="1413"/>
      <c r="AN247" s="1413"/>
      <c r="AO247" s="1254"/>
      <c r="AP247" s="1413"/>
      <c r="AQ247" s="1413"/>
      <c r="AR247" s="1413"/>
      <c r="AS247" s="1413"/>
      <c r="AT247" s="1254"/>
      <c r="AU247" s="1413"/>
      <c r="AV247" s="1413"/>
      <c r="AW247" s="1413"/>
      <c r="AX247" s="1413"/>
      <c r="AY247" s="1254"/>
      <c r="AZ247" s="1413"/>
      <c r="BA247" s="1413"/>
      <c r="BB247" s="1413">
        <f t="shared" ref="BB247:BC249" si="341">BB237-BA237</f>
        <v>40.113999999999997</v>
      </c>
      <c r="BC247" s="1413">
        <f t="shared" si="341"/>
        <v>35.401000000000003</v>
      </c>
      <c r="BD247" s="1413"/>
      <c r="BE247" s="1499">
        <f t="shared" si="337"/>
        <v>18.058999999999997</v>
      </c>
      <c r="BF247" s="1413">
        <f t="shared" si="337"/>
        <v>27.203000000000003</v>
      </c>
      <c r="BG247" s="1413">
        <f t="shared" si="337"/>
        <v>18.202000000000012</v>
      </c>
      <c r="BH247" s="1413">
        <f t="shared" si="337"/>
        <v>17.071999999999974</v>
      </c>
      <c r="BI247" s="1389"/>
      <c r="BJ247" s="1499">
        <f t="shared" si="338"/>
        <v>16.927000000000021</v>
      </c>
      <c r="BK247" s="1413">
        <f t="shared" si="338"/>
        <v>21.376000000000005</v>
      </c>
      <c r="BL247" s="1413">
        <f t="shared" si="338"/>
        <v>19.172999999999973</v>
      </c>
      <c r="BM247" s="1413">
        <f t="shared" si="338"/>
        <v>26.680000000000007</v>
      </c>
      <c r="BN247" s="1500">
        <f>SUM(BJ247:BM247)</f>
        <v>84.156000000000006</v>
      </c>
      <c r="BO247" s="1499">
        <f t="shared" si="339"/>
        <v>24.312999999999988</v>
      </c>
      <c r="BP247" s="1413">
        <f t="shared" si="339"/>
        <v>21.085000000000036</v>
      </c>
      <c r="BQ247" s="1413">
        <f t="shared" si="339"/>
        <v>13.893999999999949</v>
      </c>
      <c r="BR247" s="1435">
        <f t="shared" si="339"/>
        <v>8.5150000000000432</v>
      </c>
      <c r="BS247" s="1500">
        <f>SUM(BO247:BR247)</f>
        <v>67.807000000000016</v>
      </c>
      <c r="BT247" s="1499">
        <f t="shared" si="340"/>
        <v>9.9239999999999782</v>
      </c>
      <c r="BU247" s="1413">
        <f>BU237-BT237</f>
        <v>10</v>
      </c>
      <c r="BV247" s="1413">
        <f t="shared" si="340"/>
        <v>10</v>
      </c>
      <c r="BW247" s="1413">
        <f t="shared" si="340"/>
        <v>11.389736248006386</v>
      </c>
      <c r="BX247" s="1500">
        <f>SUM(BT247:BW247)</f>
        <v>41.313736248006364</v>
      </c>
      <c r="BY247" s="1254"/>
      <c r="BZ247" s="928"/>
      <c r="CA247" s="928"/>
      <c r="CB247" s="928"/>
      <c r="CC247" s="928"/>
      <c r="CD247" s="928"/>
      <c r="CE247" s="928"/>
      <c r="CF247" s="928"/>
      <c r="CG247" s="928"/>
      <c r="CH247" s="928"/>
      <c r="CI247" s="928"/>
      <c r="CJ247" s="928"/>
      <c r="CK247" s="928"/>
      <c r="CL247" s="928"/>
      <c r="CM247" s="928"/>
      <c r="CN247" s="1316"/>
      <c r="CO247" s="928"/>
      <c r="CP247" s="928"/>
      <c r="CQ247" s="928"/>
      <c r="CR247" s="928"/>
      <c r="CS247" s="928"/>
      <c r="CT247" s="928"/>
      <c r="CU247" s="928"/>
      <c r="CV247" s="928"/>
      <c r="CW247" s="928"/>
      <c r="CX247" s="928"/>
      <c r="CY247" s="928"/>
      <c r="CZ247" s="928"/>
      <c r="DA247" s="928"/>
      <c r="DB247" s="928"/>
      <c r="DC247" s="928"/>
      <c r="DD247" s="928"/>
      <c r="DE247" s="928"/>
      <c r="DF247" s="928"/>
      <c r="DG247" s="928"/>
      <c r="DH247" s="928"/>
      <c r="DI247" s="928"/>
      <c r="DJ247" s="928"/>
      <c r="DK247" s="928"/>
      <c r="DL247" s="928"/>
      <c r="DM247" s="928"/>
      <c r="DN247" s="928"/>
      <c r="DO247" s="928"/>
      <c r="DP247" s="928"/>
      <c r="DQ247" s="928"/>
      <c r="DR247" s="928"/>
      <c r="DS247" s="928"/>
      <c r="DT247" s="928"/>
      <c r="DU247" s="928"/>
      <c r="DV247" s="928"/>
      <c r="DW247" s="928"/>
      <c r="DX247" s="928"/>
      <c r="DY247" s="1338"/>
      <c r="DZ247" s="928"/>
      <c r="EA247" s="928"/>
      <c r="EB247" s="928"/>
      <c r="EC247" s="1337"/>
      <c r="ED247" s="1338"/>
      <c r="EE247" s="928"/>
      <c r="EF247" s="928"/>
      <c r="EG247" s="928"/>
      <c r="EH247" s="1337"/>
      <c r="EI247" s="928"/>
      <c r="EJ247" s="928"/>
      <c r="EK247" s="928"/>
      <c r="EL247" s="928"/>
      <c r="EM247" s="1337"/>
      <c r="EN247" s="928"/>
      <c r="EO247" s="928"/>
      <c r="EP247" s="928"/>
      <c r="EQ247" s="928"/>
      <c r="ER247" s="928"/>
      <c r="ES247" s="928"/>
      <c r="ET247" s="928"/>
      <c r="EU247" s="928"/>
      <c r="EV247" s="928"/>
      <c r="EW247" s="928"/>
      <c r="EX247" s="928"/>
      <c r="EY247" s="928"/>
      <c r="EZ247" s="928"/>
      <c r="FA247" s="928"/>
      <c r="FB247" s="928"/>
      <c r="FC247" s="928"/>
      <c r="FD247" s="928"/>
      <c r="FE247" s="928"/>
      <c r="FF247" s="1429">
        <v>20</v>
      </c>
      <c r="FG247" s="928"/>
      <c r="FH247" s="1425">
        <v>15.564085549498657</v>
      </c>
      <c r="FI247" s="1319"/>
      <c r="FJ247" s="1621">
        <v>9.8070000000000164</v>
      </c>
      <c r="FK247" s="1605"/>
      <c r="FL247" s="928"/>
      <c r="FM247" s="928"/>
      <c r="FN247" s="928"/>
      <c r="FO247" s="928"/>
      <c r="FP247" s="928"/>
      <c r="FQ247" s="928"/>
    </row>
    <row r="248" spans="1:173">
      <c r="A248" s="1344" t="str">
        <f>A238</f>
        <v>Voice</v>
      </c>
      <c r="B248" s="928"/>
      <c r="C248" s="928">
        <f>C238-B238</f>
        <v>39</v>
      </c>
      <c r="D248" s="928">
        <f>D238-C238</f>
        <v>29</v>
      </c>
      <c r="E248" s="928">
        <f>E238-D238</f>
        <v>31</v>
      </c>
      <c r="F248" s="928"/>
      <c r="G248" s="928">
        <f>G238-E238</f>
        <v>34</v>
      </c>
      <c r="H248" s="928">
        <f>H238-G238</f>
        <v>42</v>
      </c>
      <c r="I248" s="928">
        <f>I238-H238</f>
        <v>33</v>
      </c>
      <c r="J248" s="928">
        <f>J238-I238</f>
        <v>39</v>
      </c>
      <c r="K248" s="928"/>
      <c r="L248" s="928">
        <f>L238-J238</f>
        <v>34</v>
      </c>
      <c r="M248" s="928">
        <f>M238-L238</f>
        <v>16</v>
      </c>
      <c r="N248" s="1413">
        <f>N238-M238</f>
        <v>30.981999999999971</v>
      </c>
      <c r="O248" s="1413">
        <f>O238-N238</f>
        <v>24.018000000000029</v>
      </c>
      <c r="P248" s="928"/>
      <c r="Q248" s="1413">
        <f>Q238-O238</f>
        <v>30.600000000000023</v>
      </c>
      <c r="R248" s="1413">
        <f t="shared" ref="R248:T249" si="342">R238-Q238</f>
        <v>27.799999999999955</v>
      </c>
      <c r="S248" s="1413">
        <f t="shared" si="342"/>
        <v>59.299999999999955</v>
      </c>
      <c r="T248" s="1413">
        <f t="shared" si="342"/>
        <v>44.300000000000068</v>
      </c>
      <c r="U248" s="1413"/>
      <c r="V248" s="1413">
        <f>V238-T238</f>
        <v>26.879000000000019</v>
      </c>
      <c r="W248" s="1413">
        <f>W238-V238</f>
        <v>47.905999999999949</v>
      </c>
      <c r="X248" s="1413">
        <f>X238-W238-X228</f>
        <v>24.215000000000032</v>
      </c>
      <c r="Y248" s="1413">
        <f>Y238-X238</f>
        <v>80.182000000000016</v>
      </c>
      <c r="Z248" s="1254"/>
      <c r="AA248" s="1254"/>
      <c r="AB248" s="1413">
        <f t="shared" ref="AB248:AD249" si="343">AB238-AA238</f>
        <v>147.76099999999997</v>
      </c>
      <c r="AC248" s="1413">
        <f t="shared" si="343"/>
        <v>154.43900000000008</v>
      </c>
      <c r="AD248" s="1413">
        <f t="shared" si="343"/>
        <v>140.82600000000002</v>
      </c>
      <c r="AE248" s="1254"/>
      <c r="AF248" s="1413">
        <f>AF238-AD238</f>
        <v>77.563999999999851</v>
      </c>
      <c r="AG248" s="1413">
        <f t="shared" ref="AG248:AI249" si="344">AG238-AF238</f>
        <v>82.810000000000173</v>
      </c>
      <c r="AH248" s="1413">
        <f t="shared" si="344"/>
        <v>40.893000000000029</v>
      </c>
      <c r="AI248" s="1413">
        <f t="shared" si="344"/>
        <v>20.906999999999698</v>
      </c>
      <c r="AJ248" s="1254"/>
      <c r="AK248" s="1413">
        <v>2.8479999999999999</v>
      </c>
      <c r="AL248" s="1413">
        <f t="shared" ref="AL248:AN249" si="345">AL238-AK238</f>
        <v>14.82300000000032</v>
      </c>
      <c r="AM248" s="1413">
        <f t="shared" si="345"/>
        <v>23.264999999999873</v>
      </c>
      <c r="AN248" s="1413">
        <f t="shared" si="345"/>
        <v>22.887000000000171</v>
      </c>
      <c r="AO248" s="1254"/>
      <c r="AP248" s="1413">
        <f t="shared" ref="AP248:AS249" si="346">AP238-AO238</f>
        <v>36.047999999999774</v>
      </c>
      <c r="AQ248" s="1413">
        <f t="shared" si="346"/>
        <v>115.07299999999987</v>
      </c>
      <c r="AR248" s="1413">
        <f t="shared" si="346"/>
        <v>246.89900000000034</v>
      </c>
      <c r="AS248" s="1413">
        <f t="shared" si="346"/>
        <v>458.5359999999996</v>
      </c>
      <c r="AT248" s="1254"/>
      <c r="AU248" s="1413">
        <f t="shared" ref="AU248:AX249" si="347">AU238-AT238</f>
        <v>204.69200000000001</v>
      </c>
      <c r="AV248" s="1413">
        <f t="shared" si="347"/>
        <v>202.18700000000035</v>
      </c>
      <c r="AW248" s="1413">
        <f t="shared" si="347"/>
        <v>148.61299999999983</v>
      </c>
      <c r="AX248" s="1413">
        <f t="shared" si="347"/>
        <v>103.99200000000019</v>
      </c>
      <c r="AY248" s="1254"/>
      <c r="AZ248" s="1413">
        <f>AZ238-AX238</f>
        <v>145.52699999999959</v>
      </c>
      <c r="BA248" s="1413">
        <f>BA238-AZ238</f>
        <v>214.52800000000025</v>
      </c>
      <c r="BB248" s="1413">
        <f t="shared" si="341"/>
        <v>189.2170000000001</v>
      </c>
      <c r="BC248" s="1413">
        <f t="shared" si="341"/>
        <v>109.26599999999962</v>
      </c>
      <c r="BD248" s="1254"/>
      <c r="BE248" s="1499">
        <f t="shared" si="337"/>
        <v>85.875</v>
      </c>
      <c r="BF248" s="1413">
        <f t="shared" si="337"/>
        <v>35.033000000000357</v>
      </c>
      <c r="BG248" s="1413">
        <f t="shared" si="337"/>
        <v>68.300000000000182</v>
      </c>
      <c r="BH248" s="1413">
        <f t="shared" si="337"/>
        <v>131.52700000000004</v>
      </c>
      <c r="BI248" s="1389"/>
      <c r="BJ248" s="1499">
        <f t="shared" si="338"/>
        <v>147.32699999999932</v>
      </c>
      <c r="BK248" s="1413">
        <f t="shared" si="338"/>
        <v>147.13500000000022</v>
      </c>
      <c r="BL248" s="1413">
        <f t="shared" si="338"/>
        <v>152.34799999999996</v>
      </c>
      <c r="BM248" s="1413">
        <f t="shared" si="338"/>
        <v>169.64900000000034</v>
      </c>
      <c r="BN248" s="1500">
        <f>SUM(BJ248:BM248)</f>
        <v>616.45899999999983</v>
      </c>
      <c r="BO248" s="1499">
        <f t="shared" si="339"/>
        <v>174.83600000000024</v>
      </c>
      <c r="BP248" s="1413">
        <f t="shared" si="339"/>
        <v>57.473999999999251</v>
      </c>
      <c r="BQ248" s="1413">
        <f t="shared" si="339"/>
        <v>-115.27700000000004</v>
      </c>
      <c r="BR248" s="1435">
        <f t="shared" si="339"/>
        <v>0.38800000000082946</v>
      </c>
      <c r="BS248" s="1500">
        <f>SUM(BO248:BR248)</f>
        <v>117.42100000000028</v>
      </c>
      <c r="BT248" s="1499">
        <f t="shared" si="340"/>
        <v>4.3049999999993815</v>
      </c>
      <c r="BU248" s="1413">
        <f>BU238-BT238</f>
        <v>5</v>
      </c>
      <c r="BV248" s="1413">
        <f t="shared" si="340"/>
        <v>7</v>
      </c>
      <c r="BW248" s="1413">
        <f t="shared" si="340"/>
        <v>8.2001714999996693</v>
      </c>
      <c r="BX248" s="1500">
        <f>SUM(BT248:BW248)</f>
        <v>24.505171499999051</v>
      </c>
      <c r="BY248" s="1254"/>
      <c r="BZ248" s="1254"/>
      <c r="CA248" s="928"/>
      <c r="CB248" s="928"/>
      <c r="CC248" s="928"/>
      <c r="CD248" s="928"/>
      <c r="CE248" s="928"/>
      <c r="CF248" s="928"/>
      <c r="CG248" s="928"/>
      <c r="CH248" s="928"/>
      <c r="CI248" s="928"/>
      <c r="CJ248" s="928"/>
      <c r="CK248" s="928"/>
      <c r="CL248" s="928"/>
      <c r="CM248" s="928"/>
      <c r="CN248" s="1316">
        <f>AVERAGE(CK259:CN259)</f>
        <v>0.11323097759327105</v>
      </c>
      <c r="CO248" s="928"/>
      <c r="CP248" s="928"/>
      <c r="CQ248" s="928"/>
      <c r="CR248" s="928"/>
      <c r="CS248" s="928"/>
      <c r="CT248" s="928"/>
      <c r="CU248" s="928"/>
      <c r="CV248" s="928"/>
      <c r="CW248" s="928"/>
      <c r="CX248" s="928"/>
      <c r="CY248" s="928"/>
      <c r="CZ248" s="928"/>
      <c r="DA248" s="928"/>
      <c r="DB248" s="928"/>
      <c r="DC248" s="928"/>
      <c r="DD248" s="928"/>
      <c r="DE248" s="928"/>
      <c r="DF248" s="928"/>
      <c r="DG248" s="928"/>
      <c r="DH248" s="928"/>
      <c r="DI248" s="928"/>
      <c r="DJ248" s="928"/>
      <c r="DK248" s="928"/>
      <c r="DL248" s="928"/>
      <c r="DM248" s="928"/>
      <c r="DN248" s="928"/>
      <c r="DO248" s="928"/>
      <c r="DP248" s="928"/>
      <c r="DQ248" s="928"/>
      <c r="DR248" s="928"/>
      <c r="DS248" s="928"/>
      <c r="DT248" s="928"/>
      <c r="DU248" s="928"/>
      <c r="DV248" s="928"/>
      <c r="DW248" s="928"/>
      <c r="DX248" s="928"/>
      <c r="DY248" s="1338"/>
      <c r="DZ248" s="928"/>
      <c r="EA248" s="928"/>
      <c r="EB248" s="928"/>
      <c r="EC248" s="1337"/>
      <c r="ED248" s="1338"/>
      <c r="EE248" s="928"/>
      <c r="EF248" s="928"/>
      <c r="EG248" s="928"/>
      <c r="EH248" s="1337"/>
      <c r="EI248" s="928"/>
      <c r="EJ248" s="928"/>
      <c r="EK248" s="928"/>
      <c r="EL248" s="928"/>
      <c r="EM248" s="1337"/>
      <c r="EN248" s="928"/>
      <c r="EO248" s="928"/>
      <c r="EP248" s="928"/>
      <c r="EQ248" s="928"/>
      <c r="ER248" s="928"/>
      <c r="ES248" s="928"/>
      <c r="ET248" s="928"/>
      <c r="EU248" s="928"/>
      <c r="EV248" s="928"/>
      <c r="EW248" s="928"/>
      <c r="EX248" s="928"/>
      <c r="EY248" s="928"/>
      <c r="EZ248" s="928"/>
      <c r="FA248" s="928"/>
      <c r="FB248" s="928"/>
      <c r="FC248" s="928"/>
      <c r="FD248" s="928"/>
      <c r="FE248" s="928"/>
      <c r="FF248" s="1467">
        <v>-90</v>
      </c>
      <c r="FG248" s="928"/>
      <c r="FH248" s="1425">
        <v>35.680000000000291</v>
      </c>
      <c r="FI248" s="1319"/>
      <c r="FJ248" s="1621">
        <v>0</v>
      </c>
      <c r="FK248" s="1605"/>
      <c r="FL248" s="928"/>
      <c r="FM248" s="928"/>
      <c r="FN248" s="928"/>
      <c r="FO248" s="928"/>
      <c r="FP248" s="928"/>
      <c r="FQ248" s="928"/>
    </row>
    <row r="249" spans="1:173">
      <c r="A249" s="1485" t="s">
        <v>662</v>
      </c>
      <c r="B249" s="1406"/>
      <c r="C249" s="1406">
        <f>SUM(C245:C248)</f>
        <v>162</v>
      </c>
      <c r="D249" s="1406">
        <f>SUM(D245:D248)</f>
        <v>85</v>
      </c>
      <c r="E249" s="1406">
        <f>SUM(E245:E248)</f>
        <v>110</v>
      </c>
      <c r="F249" s="1406"/>
      <c r="G249" s="1406">
        <f>SUM(G245:G248)</f>
        <v>122</v>
      </c>
      <c r="H249" s="1406">
        <f>SUM(H245:H248)</f>
        <v>167</v>
      </c>
      <c r="I249" s="1406">
        <f>SUM(I245:I248)</f>
        <v>143</v>
      </c>
      <c r="J249" s="1406">
        <f>SUM(J245:J248)</f>
        <v>190</v>
      </c>
      <c r="K249" s="1406"/>
      <c r="L249" s="1406">
        <f>SUM(L245:L248)</f>
        <v>144</v>
      </c>
      <c r="M249" s="1406">
        <f>SUM(M245:M248)</f>
        <v>67</v>
      </c>
      <c r="N249" s="1428">
        <f>SUM(N245:N248)</f>
        <v>134.99000000000024</v>
      </c>
      <c r="O249" s="1428">
        <f>SUM(O245:O248)</f>
        <v>126.00999999999976</v>
      </c>
      <c r="P249" s="1406"/>
      <c r="Q249" s="1428">
        <f>SUM(Q245:Q248)</f>
        <v>163.8000000000003</v>
      </c>
      <c r="R249" s="1428">
        <f t="shared" si="342"/>
        <v>142.19999999999891</v>
      </c>
      <c r="S249" s="1428">
        <f t="shared" si="342"/>
        <v>227.36000000000058</v>
      </c>
      <c r="T249" s="1428">
        <f t="shared" si="342"/>
        <v>175.64000000000033</v>
      </c>
      <c r="U249" s="1428"/>
      <c r="V249" s="1428">
        <f>V239-T239</f>
        <v>134.00700000000052</v>
      </c>
      <c r="W249" s="1428">
        <f>W239-V239</f>
        <v>189.72499999999945</v>
      </c>
      <c r="X249" s="1428">
        <f>SUM(X245:X248)</f>
        <v>92.367999999999483</v>
      </c>
      <c r="Y249" s="1428">
        <f>Y239-X239</f>
        <v>247.52800000000025</v>
      </c>
      <c r="Z249" s="1455"/>
      <c r="AA249" s="1428">
        <f>AA242-Y239</f>
        <v>395.37700000000041</v>
      </c>
      <c r="AB249" s="1428">
        <f t="shared" si="343"/>
        <v>341.67400000000089</v>
      </c>
      <c r="AC249" s="1428">
        <f t="shared" si="343"/>
        <v>338.72600000000057</v>
      </c>
      <c r="AD249" s="1428">
        <f t="shared" si="343"/>
        <v>419.97999999999956</v>
      </c>
      <c r="AE249" s="1455"/>
      <c r="AF249" s="1428">
        <f>AF239-AD239</f>
        <v>249.79599999999846</v>
      </c>
      <c r="AG249" s="1428">
        <f t="shared" si="344"/>
        <v>260.22400000000016</v>
      </c>
      <c r="AH249" s="1428">
        <f t="shared" si="344"/>
        <v>149.34799999999996</v>
      </c>
      <c r="AI249" s="1428">
        <f t="shared" si="344"/>
        <v>52.152000000000044</v>
      </c>
      <c r="AJ249" s="1455"/>
      <c r="AK249" s="1428">
        <f>SUM(AK245:AK248)</f>
        <v>-19.718999999999994</v>
      </c>
      <c r="AL249" s="1428">
        <f t="shared" si="345"/>
        <v>159.31899999999951</v>
      </c>
      <c r="AM249" s="1428">
        <f t="shared" si="345"/>
        <v>198.77000000000044</v>
      </c>
      <c r="AN249" s="1428">
        <f t="shared" si="345"/>
        <v>241.86799999999857</v>
      </c>
      <c r="AO249" s="1455"/>
      <c r="AP249" s="1428">
        <f t="shared" si="346"/>
        <v>262.24799999999959</v>
      </c>
      <c r="AQ249" s="1428">
        <f t="shared" si="346"/>
        <v>329.33100000000013</v>
      </c>
      <c r="AR249" s="1428">
        <f t="shared" si="346"/>
        <v>273.81399999999849</v>
      </c>
      <c r="AS249" s="1428">
        <f t="shared" si="346"/>
        <v>872.42699999999968</v>
      </c>
      <c r="AT249" s="1455"/>
      <c r="AU249" s="1428">
        <f t="shared" si="347"/>
        <v>284.79199999999946</v>
      </c>
      <c r="AV249" s="1428">
        <f t="shared" si="347"/>
        <v>286.3690000000006</v>
      </c>
      <c r="AW249" s="1428">
        <f t="shared" si="347"/>
        <v>125.33100000000013</v>
      </c>
      <c r="AX249" s="1428">
        <f t="shared" si="347"/>
        <v>114.90900000000147</v>
      </c>
      <c r="AY249" s="1455"/>
      <c r="AZ249" s="1428">
        <f>AZ239-AX239</f>
        <v>255.77099999999882</v>
      </c>
      <c r="BA249" s="1428">
        <f>BA239-AZ239</f>
        <v>494.12200000000121</v>
      </c>
      <c r="BB249" s="1428">
        <f t="shared" si="341"/>
        <v>461.72899999999754</v>
      </c>
      <c r="BC249" s="1428">
        <f t="shared" si="341"/>
        <v>223.05500000000029</v>
      </c>
      <c r="BD249" s="1455"/>
      <c r="BE249" s="1501">
        <f>BE239-BC239</f>
        <v>169.31300000000192</v>
      </c>
      <c r="BF249" s="1428">
        <f>BF239-BE239</f>
        <v>62.099999999998545</v>
      </c>
      <c r="BG249" s="1428">
        <f>BG239-BF239</f>
        <v>52.030000000002474</v>
      </c>
      <c r="BH249" s="1428">
        <f>BH239-BG239</f>
        <v>217.84899999999834</v>
      </c>
      <c r="BI249" s="1511"/>
      <c r="BJ249" s="1501">
        <f t="shared" si="338"/>
        <v>336.21899999999732</v>
      </c>
      <c r="BK249" s="1428">
        <f t="shared" si="338"/>
        <v>325.22200000000157</v>
      </c>
      <c r="BL249" s="1428">
        <f t="shared" si="338"/>
        <v>338.80199999999968</v>
      </c>
      <c r="BM249" s="1428">
        <f t="shared" si="338"/>
        <v>327.18100000000049</v>
      </c>
      <c r="BN249" s="1502"/>
      <c r="BO249" s="1501">
        <f t="shared" si="339"/>
        <v>314.73000000000138</v>
      </c>
      <c r="BP249" s="1428">
        <f t="shared" si="339"/>
        <v>-5.3940000000020518</v>
      </c>
      <c r="BQ249" s="1428">
        <f t="shared" si="339"/>
        <v>-838.15599999999904</v>
      </c>
      <c r="BR249" s="1488">
        <f t="shared" si="339"/>
        <v>9.6020000000007713</v>
      </c>
      <c r="BS249" s="1502"/>
      <c r="BT249" s="1501">
        <f t="shared" si="340"/>
        <v>27.694999999999709</v>
      </c>
      <c r="BU249" s="1428">
        <f>BU239-BT239</f>
        <v>45</v>
      </c>
      <c r="BV249" s="1428">
        <f t="shared" si="340"/>
        <v>62</v>
      </c>
      <c r="BW249" s="1428">
        <f t="shared" si="340"/>
        <v>78.828475238575265</v>
      </c>
      <c r="BX249" s="1502"/>
      <c r="BY249" s="1254"/>
      <c r="BZ249" s="1254"/>
      <c r="CA249" s="928"/>
      <c r="CB249" s="928"/>
      <c r="CC249" s="928"/>
      <c r="CD249" s="928"/>
      <c r="CE249" s="928"/>
      <c r="CF249" s="928"/>
      <c r="CG249" s="928"/>
      <c r="CH249" s="928"/>
      <c r="CI249" s="928"/>
      <c r="CJ249" s="928"/>
      <c r="CK249" s="928"/>
      <c r="CL249" s="928"/>
      <c r="CM249" s="928"/>
      <c r="CN249" s="1316">
        <f>AVERAGE(CK260:CN260)</f>
        <v>0.17901380912792209</v>
      </c>
      <c r="CO249" s="928"/>
      <c r="CP249" s="928"/>
      <c r="CQ249" s="928"/>
      <c r="CR249" s="928"/>
      <c r="CS249" s="928"/>
      <c r="CT249" s="928"/>
      <c r="CU249" s="928"/>
      <c r="CV249" s="928"/>
      <c r="CW249" s="928"/>
      <c r="CX249" s="928"/>
      <c r="CY249" s="928"/>
      <c r="CZ249" s="928"/>
      <c r="DA249" s="928"/>
      <c r="DB249" s="928"/>
      <c r="DC249" s="928"/>
      <c r="DD249" s="928"/>
      <c r="DE249" s="928"/>
      <c r="DF249" s="928"/>
      <c r="DG249" s="928"/>
      <c r="DH249" s="928"/>
      <c r="DI249" s="928"/>
      <c r="DJ249" s="928"/>
      <c r="DK249" s="928"/>
      <c r="DL249" s="928"/>
      <c r="DM249" s="928"/>
      <c r="DN249" s="928"/>
      <c r="DO249" s="928"/>
      <c r="DP249" s="928"/>
      <c r="DQ249" s="928"/>
      <c r="DR249" s="928"/>
      <c r="DS249" s="928"/>
      <c r="DT249" s="928"/>
      <c r="DU249" s="928"/>
      <c r="DV249" s="928"/>
      <c r="DW249" s="928"/>
      <c r="DX249" s="928"/>
      <c r="DY249" s="1338"/>
      <c r="DZ249" s="928"/>
      <c r="EA249" s="928"/>
      <c r="EB249" s="928"/>
      <c r="EC249" s="1337"/>
      <c r="ED249" s="1338"/>
      <c r="EE249" s="928"/>
      <c r="EF249" s="928"/>
      <c r="EG249" s="928"/>
      <c r="EH249" s="1337"/>
      <c r="EI249" s="928"/>
      <c r="EJ249" s="928"/>
      <c r="EK249" s="928"/>
      <c r="EL249" s="928"/>
      <c r="EM249" s="1337"/>
      <c r="EN249" s="928"/>
      <c r="EO249" s="928"/>
      <c r="EP249" s="928"/>
      <c r="EQ249" s="928"/>
      <c r="ER249" s="928"/>
      <c r="ES249" s="928"/>
      <c r="ET249" s="928"/>
      <c r="EU249" s="928"/>
      <c r="EV249" s="928"/>
      <c r="EW249" s="928"/>
      <c r="EX249" s="928"/>
      <c r="EY249" s="928"/>
      <c r="EZ249" s="928"/>
      <c r="FA249" s="928"/>
      <c r="FB249" s="928"/>
      <c r="FC249" s="928"/>
      <c r="FD249" s="928"/>
      <c r="FE249" s="928"/>
      <c r="FF249" s="1429">
        <v>-280</v>
      </c>
      <c r="FG249" s="928"/>
      <c r="FH249" s="1425">
        <v>0.47879802549869055</v>
      </c>
      <c r="FI249" s="1319"/>
      <c r="FJ249" s="1632">
        <v>29.807000000000698</v>
      </c>
      <c r="FK249" s="1605"/>
      <c r="FL249" s="928"/>
      <c r="FM249" s="928"/>
      <c r="FN249" s="928"/>
      <c r="FO249" s="928"/>
      <c r="FP249" s="928"/>
      <c r="FQ249" s="928"/>
    </row>
    <row r="250" spans="1:173">
      <c r="A250" s="1344" t="s">
        <v>7360</v>
      </c>
      <c r="B250" s="928"/>
      <c r="C250" s="928"/>
      <c r="D250" s="928"/>
      <c r="E250" s="928"/>
      <c r="F250" s="928"/>
      <c r="G250" s="928"/>
      <c r="H250" s="928"/>
      <c r="I250" s="928"/>
      <c r="J250" s="928"/>
      <c r="K250" s="928"/>
      <c r="L250" s="928"/>
      <c r="M250" s="928"/>
      <c r="N250" s="928"/>
      <c r="O250" s="928"/>
      <c r="P250" s="928"/>
      <c r="Q250" s="928"/>
      <c r="R250" s="928"/>
      <c r="S250" s="928"/>
      <c r="T250" s="928"/>
      <c r="U250" s="928"/>
      <c r="V250" s="928"/>
      <c r="W250" s="928"/>
      <c r="X250" s="928"/>
      <c r="Y250" s="928"/>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413">
        <f t="shared" ref="AZ250:BC250" si="348">AZ245+AZ246+AZ248</f>
        <v>255.77099999999928</v>
      </c>
      <c r="BA250" s="1413">
        <f t="shared" si="348"/>
        <v>494.1220000000003</v>
      </c>
      <c r="BB250" s="1413">
        <f t="shared" si="348"/>
        <v>421.61500000000024</v>
      </c>
      <c r="BC250" s="1413">
        <f t="shared" si="348"/>
        <v>187.65399999999954</v>
      </c>
      <c r="BD250" s="1254"/>
      <c r="BE250" s="1499">
        <f t="shared" ref="BE250:BH250" si="349">BE245+BE246+BE248</f>
        <v>151.23599999999988</v>
      </c>
      <c r="BF250" s="1413">
        <f t="shared" si="349"/>
        <v>34.896999999999935</v>
      </c>
      <c r="BG250" s="1413">
        <f t="shared" si="349"/>
        <v>33.828000000001339</v>
      </c>
      <c r="BH250" s="1413">
        <f t="shared" si="349"/>
        <v>200.77699999999913</v>
      </c>
      <c r="BI250" s="1389"/>
      <c r="BJ250" s="1499">
        <f>BJ245+BJ246+BJ248</f>
        <v>319.29199999999946</v>
      </c>
      <c r="BK250" s="1413">
        <f>BK245+BK246+BK248</f>
        <v>303.84600000000046</v>
      </c>
      <c r="BL250" s="1413">
        <f>BL245+BL246+BL248</f>
        <v>319.628999999999</v>
      </c>
      <c r="BM250" s="1413">
        <f>BM245+BM246+BM248</f>
        <v>300.50100000000111</v>
      </c>
      <c r="BN250" s="1500"/>
      <c r="BO250" s="1499">
        <f>BO245+BO246+BO248</f>
        <v>290.41700000000037</v>
      </c>
      <c r="BP250" s="1413">
        <f>BP245+BP246+BP248</f>
        <v>-26.479000000001179</v>
      </c>
      <c r="BQ250" s="1413">
        <f>BQ245+BQ246+BQ248</f>
        <v>-852.04999999999973</v>
      </c>
      <c r="BR250" s="1435">
        <f>BR245+BR246+BR248</f>
        <v>1.0870000000004438</v>
      </c>
      <c r="BS250" s="1500"/>
      <c r="BT250" s="1499">
        <f>BT245+BT246+BT248</f>
        <v>17.770999999999731</v>
      </c>
      <c r="BU250" s="1413">
        <f>BU245+BU246+BU248</f>
        <v>35</v>
      </c>
      <c r="BV250" s="1413">
        <f>BV245+BV246+BV248</f>
        <v>52</v>
      </c>
      <c r="BW250" s="1413">
        <f>BW245+BW246+BW248</f>
        <v>67.438738990568254</v>
      </c>
      <c r="BX250" s="1500"/>
      <c r="BY250" s="1254"/>
      <c r="BZ250" s="1254"/>
      <c r="CA250" s="928"/>
      <c r="CB250" s="928"/>
      <c r="CC250" s="928"/>
      <c r="CD250" s="928"/>
      <c r="CE250" s="928"/>
      <c r="CF250" s="928"/>
      <c r="CG250" s="928"/>
      <c r="CH250" s="928"/>
      <c r="CI250" s="928"/>
      <c r="CJ250" s="928"/>
      <c r="CK250" s="928"/>
      <c r="CL250" s="928"/>
      <c r="CM250" s="928"/>
      <c r="CN250" s="1316">
        <f>AVERAGE(CK261:CN261)</f>
        <v>0.14039823483109415</v>
      </c>
      <c r="CO250" s="928"/>
      <c r="CP250" s="928"/>
      <c r="CQ250" s="928"/>
      <c r="CR250" s="928"/>
      <c r="CS250" s="928"/>
      <c r="CT250" s="928"/>
      <c r="CU250" s="928"/>
      <c r="CV250" s="928"/>
      <c r="CW250" s="928"/>
      <c r="CX250" s="928"/>
      <c r="CY250" s="928"/>
      <c r="CZ250" s="928"/>
      <c r="DA250" s="928"/>
      <c r="DB250" s="928"/>
      <c r="DC250" s="928"/>
      <c r="DD250" s="928"/>
      <c r="DE250" s="928"/>
      <c r="DF250" s="928"/>
      <c r="DG250" s="928"/>
      <c r="DH250" s="928"/>
      <c r="DI250" s="928"/>
      <c r="DJ250" s="928"/>
      <c r="DK250" s="928"/>
      <c r="DL250" s="928"/>
      <c r="DM250" s="928"/>
      <c r="DN250" s="928"/>
      <c r="DO250" s="928"/>
      <c r="DP250" s="928"/>
      <c r="DQ250" s="928"/>
      <c r="DR250" s="928"/>
      <c r="DS250" s="928"/>
      <c r="DT250" s="928"/>
      <c r="DU250" s="928"/>
      <c r="DV250" s="928"/>
      <c r="DW250" s="928"/>
      <c r="DX250" s="928"/>
      <c r="DY250" s="1338"/>
      <c r="DZ250" s="928"/>
      <c r="EA250" s="928"/>
      <c r="EB250" s="928"/>
      <c r="EC250" s="1337"/>
      <c r="ED250" s="1338"/>
      <c r="EE250" s="928"/>
      <c r="EF250" s="928"/>
      <c r="EG250" s="928"/>
      <c r="EH250" s="1337"/>
      <c r="EI250" s="928"/>
      <c r="EJ250" s="928"/>
      <c r="EK250" s="928"/>
      <c r="EL250" s="928"/>
      <c r="EM250" s="1337"/>
      <c r="EN250" s="928"/>
      <c r="EO250" s="928"/>
      <c r="EP250" s="928"/>
      <c r="EQ250" s="928"/>
      <c r="ER250" s="928"/>
      <c r="ES250" s="928"/>
      <c r="ET250" s="928"/>
      <c r="EU250" s="928"/>
      <c r="EV250" s="928"/>
      <c r="EW250" s="928"/>
      <c r="EX250" s="928"/>
      <c r="EY250" s="928"/>
      <c r="EZ250" s="928"/>
      <c r="FA250" s="928"/>
      <c r="FB250" s="928"/>
      <c r="FC250" s="928"/>
      <c r="FD250" s="928"/>
      <c r="FE250" s="928"/>
      <c r="FF250" s="1429">
        <v>-300</v>
      </c>
      <c r="FG250" s="928"/>
      <c r="FH250" s="1425">
        <v>-15.08528752400025</v>
      </c>
      <c r="FI250" s="1319"/>
      <c r="FJ250" s="1621">
        <v>20</v>
      </c>
      <c r="FK250" s="1605"/>
      <c r="FL250" s="928"/>
      <c r="FM250" s="928"/>
      <c r="FN250" s="928"/>
      <c r="FO250" s="928"/>
      <c r="FP250" s="928"/>
      <c r="FQ250" s="928"/>
    </row>
    <row r="251" spans="1:173">
      <c r="A251" s="1385"/>
      <c r="B251" s="928"/>
      <c r="C251" s="928"/>
      <c r="D251" s="928"/>
      <c r="E251" s="928"/>
      <c r="F251" s="928"/>
      <c r="G251" s="928"/>
      <c r="H251" s="928"/>
      <c r="I251" s="928"/>
      <c r="J251" s="928"/>
      <c r="K251" s="928"/>
      <c r="L251" s="928"/>
      <c r="M251" s="928"/>
      <c r="N251" s="928"/>
      <c r="O251" s="928"/>
      <c r="P251" s="928"/>
      <c r="Q251" s="928"/>
      <c r="R251" s="928"/>
      <c r="S251" s="928"/>
      <c r="T251" s="928"/>
      <c r="U251" s="928"/>
      <c r="V251" s="928"/>
      <c r="W251" s="928"/>
      <c r="X251" s="928"/>
      <c r="Y251" s="928"/>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355"/>
      <c r="BF251" s="1254"/>
      <c r="BG251" s="1254"/>
      <c r="BH251" s="1254"/>
      <c r="BI251" s="1389"/>
      <c r="BJ251" s="1499"/>
      <c r="BK251" s="1413"/>
      <c r="BL251" s="1413"/>
      <c r="BM251" s="1413"/>
      <c r="BN251" s="1500"/>
      <c r="BO251" s="1499"/>
      <c r="BP251" s="1413"/>
      <c r="BQ251" s="1413"/>
      <c r="BR251" s="1413"/>
      <c r="BS251" s="1500"/>
      <c r="BT251" s="1499"/>
      <c r="BU251" s="1413"/>
      <c r="BV251" s="1413"/>
      <c r="BW251" s="1413"/>
      <c r="BX251" s="1500"/>
      <c r="BY251" s="1254"/>
      <c r="BZ251" s="1254"/>
      <c r="CA251" s="928"/>
      <c r="CB251" s="928"/>
      <c r="CC251" s="928"/>
      <c r="CD251" s="928"/>
      <c r="CE251" s="928"/>
      <c r="CF251" s="928"/>
      <c r="CG251" s="928"/>
      <c r="CH251" s="928"/>
      <c r="CI251" s="928"/>
      <c r="CJ251" s="928"/>
      <c r="CK251" s="928"/>
      <c r="CL251" s="928"/>
      <c r="CM251" s="928"/>
      <c r="CN251" s="1316"/>
      <c r="CO251" s="928"/>
      <c r="CP251" s="928"/>
      <c r="CQ251" s="928"/>
      <c r="CR251" s="928"/>
      <c r="CS251" s="928"/>
      <c r="CT251" s="928"/>
      <c r="CU251" s="928"/>
      <c r="CV251" s="928"/>
      <c r="CW251" s="928"/>
      <c r="CX251" s="928"/>
      <c r="CY251" s="928"/>
      <c r="CZ251" s="928"/>
      <c r="DA251" s="928"/>
      <c r="DB251" s="928"/>
      <c r="DC251" s="928"/>
      <c r="DD251" s="928"/>
      <c r="DE251" s="928"/>
      <c r="DF251" s="928"/>
      <c r="DG251" s="928"/>
      <c r="DH251" s="928"/>
      <c r="DI251" s="928"/>
      <c r="DJ251" s="928"/>
      <c r="DK251" s="928"/>
      <c r="DL251" s="928"/>
      <c r="DM251" s="928"/>
      <c r="DN251" s="928"/>
      <c r="DO251" s="928"/>
      <c r="DP251" s="928"/>
      <c r="DQ251" s="928"/>
      <c r="DR251" s="928"/>
      <c r="DS251" s="928"/>
      <c r="DT251" s="928"/>
      <c r="DU251" s="928"/>
      <c r="DV251" s="928"/>
      <c r="DW251" s="928"/>
      <c r="DX251" s="928"/>
      <c r="DY251" s="1338"/>
      <c r="DZ251" s="928"/>
      <c r="EA251" s="928"/>
      <c r="EB251" s="928"/>
      <c r="EC251" s="1337"/>
      <c r="ED251" s="1338"/>
      <c r="EE251" s="928"/>
      <c r="EF251" s="928"/>
      <c r="EG251" s="928"/>
      <c r="EH251" s="1337"/>
      <c r="EI251" s="928"/>
      <c r="EJ251" s="928"/>
      <c r="EK251" s="928"/>
      <c r="EL251" s="928"/>
      <c r="EM251" s="1337"/>
      <c r="EN251" s="928"/>
      <c r="EO251" s="928"/>
      <c r="EP251" s="928"/>
      <c r="EQ251" s="928"/>
      <c r="ER251" s="928"/>
      <c r="ES251" s="928"/>
      <c r="ET251" s="928"/>
      <c r="EU251" s="928"/>
      <c r="EV251" s="928"/>
      <c r="EW251" s="928"/>
      <c r="EX251" s="928"/>
      <c r="EY251" s="928"/>
      <c r="EZ251" s="928"/>
      <c r="FA251" s="928"/>
      <c r="FB251" s="928"/>
      <c r="FC251" s="928"/>
      <c r="FD251" s="928"/>
      <c r="FE251" s="928"/>
      <c r="FF251" s="1429"/>
      <c r="FG251" s="928"/>
      <c r="FH251" s="1425"/>
      <c r="FI251" s="1319"/>
      <c r="FJ251" s="1621"/>
      <c r="FK251" s="1605"/>
      <c r="FL251" s="928"/>
      <c r="FM251" s="928"/>
      <c r="FN251" s="928"/>
      <c r="FO251" s="928"/>
      <c r="FP251" s="928"/>
      <c r="FQ251" s="928"/>
    </row>
    <row r="252" spans="1:173">
      <c r="A252" s="1385"/>
      <c r="B252" s="928"/>
      <c r="C252" s="928"/>
      <c r="D252" s="928"/>
      <c r="E252" s="928"/>
      <c r="F252" s="928"/>
      <c r="G252" s="928"/>
      <c r="H252" s="928"/>
      <c r="I252" s="928"/>
      <c r="J252" s="928"/>
      <c r="K252" s="928"/>
      <c r="L252" s="928"/>
      <c r="M252" s="928"/>
      <c r="N252" s="928"/>
      <c r="O252" s="928"/>
      <c r="P252" s="928"/>
      <c r="Q252" s="928"/>
      <c r="R252" s="928"/>
      <c r="S252" s="928"/>
      <c r="T252" s="928"/>
      <c r="U252" s="928"/>
      <c r="V252" s="928"/>
      <c r="W252" s="928"/>
      <c r="X252" s="928"/>
      <c r="Y252" s="928"/>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355"/>
      <c r="BF252" s="1254"/>
      <c r="BG252" s="1254"/>
      <c r="BH252" s="1254"/>
      <c r="BI252" s="1389"/>
      <c r="BJ252" s="1643">
        <f>BJ111</f>
        <v>10820.6</v>
      </c>
      <c r="BK252" s="1643">
        <f>BK111</f>
        <v>10965.6</v>
      </c>
      <c r="BL252" s="1643">
        <f>BL111</f>
        <v>11034</v>
      </c>
      <c r="BM252" s="1643">
        <f>BM111</f>
        <v>11138.2</v>
      </c>
      <c r="BN252" s="1500"/>
      <c r="BO252" s="1643">
        <f>BO111</f>
        <v>11255.2</v>
      </c>
      <c r="BP252" s="1643">
        <f>BP111</f>
        <v>11438.8</v>
      </c>
      <c r="BQ252" s="1643">
        <f>BQ111</f>
        <v>11230.5</v>
      </c>
      <c r="BR252" s="1643">
        <f>BR111</f>
        <v>11108.7</v>
      </c>
      <c r="BS252" s="1500"/>
      <c r="BT252" s="1643">
        <f>BT111</f>
        <v>10844.4</v>
      </c>
      <c r="BU252" s="1643">
        <f>BU111</f>
        <v>11100</v>
      </c>
      <c r="BV252" s="1643">
        <f>BV111</f>
        <v>11250</v>
      </c>
      <c r="BW252" s="1643">
        <f>BW111</f>
        <v>11300</v>
      </c>
      <c r="BX252" s="1500"/>
      <c r="BY252" s="1254"/>
      <c r="BZ252" s="1254"/>
      <c r="CA252" s="928"/>
      <c r="CB252" s="928"/>
      <c r="CC252" s="928"/>
      <c r="CD252" s="928"/>
      <c r="CE252" s="928"/>
      <c r="CF252" s="928"/>
      <c r="CG252" s="928"/>
      <c r="CH252" s="928"/>
      <c r="CI252" s="928"/>
      <c r="CJ252" s="928"/>
      <c r="CK252" s="928"/>
      <c r="CL252" s="928"/>
      <c r="CM252" s="928"/>
      <c r="CN252" s="1316"/>
      <c r="CO252" s="928"/>
      <c r="CP252" s="928"/>
      <c r="CQ252" s="928"/>
      <c r="CR252" s="928"/>
      <c r="CS252" s="928"/>
      <c r="CT252" s="928"/>
      <c r="CU252" s="928"/>
      <c r="CV252" s="928"/>
      <c r="CW252" s="928"/>
      <c r="CX252" s="928"/>
      <c r="CY252" s="928"/>
      <c r="CZ252" s="928"/>
      <c r="DA252" s="928"/>
      <c r="DB252" s="928"/>
      <c r="DC252" s="928"/>
      <c r="DD252" s="928"/>
      <c r="DE252" s="928"/>
      <c r="DF252" s="928"/>
      <c r="DG252" s="928"/>
      <c r="DH252" s="928"/>
      <c r="DI252" s="928"/>
      <c r="DJ252" s="928"/>
      <c r="DK252" s="928"/>
      <c r="DL252" s="928"/>
      <c r="DM252" s="928"/>
      <c r="DN252" s="928"/>
      <c r="DO252" s="928"/>
      <c r="DP252" s="928"/>
      <c r="DQ252" s="928"/>
      <c r="DR252" s="928"/>
      <c r="DS252" s="928"/>
      <c r="DT252" s="928"/>
      <c r="DU252" s="928"/>
      <c r="DV252" s="928"/>
      <c r="DW252" s="928"/>
      <c r="DX252" s="928"/>
      <c r="DY252" s="1338"/>
      <c r="DZ252" s="928"/>
      <c r="EA252" s="928"/>
      <c r="EB252" s="928"/>
      <c r="EC252" s="1337"/>
      <c r="ED252" s="1338"/>
      <c r="EE252" s="928"/>
      <c r="EF252" s="928"/>
      <c r="EG252" s="928"/>
      <c r="EH252" s="1337"/>
      <c r="EI252" s="928"/>
      <c r="EJ252" s="928"/>
      <c r="EK252" s="928"/>
      <c r="EL252" s="928"/>
      <c r="EM252" s="1337"/>
      <c r="EN252" s="928"/>
      <c r="EO252" s="928"/>
      <c r="EP252" s="928"/>
      <c r="EQ252" s="928"/>
      <c r="ER252" s="928"/>
      <c r="ES252" s="928"/>
      <c r="ET252" s="928"/>
      <c r="EU252" s="928"/>
      <c r="EV252" s="928"/>
      <c r="EW252" s="928"/>
      <c r="EX252" s="928"/>
      <c r="EY252" s="928"/>
      <c r="EZ252" s="928"/>
      <c r="FA252" s="928"/>
      <c r="FB252" s="928"/>
      <c r="FC252" s="928"/>
      <c r="FD252" s="928"/>
      <c r="FE252" s="928"/>
      <c r="FF252" s="1429"/>
      <c r="FG252" s="928"/>
      <c r="FH252" s="1425"/>
      <c r="FI252" s="1319"/>
      <c r="FJ252" s="1621"/>
      <c r="FK252" s="1605"/>
      <c r="FL252" s="928"/>
      <c r="FM252" s="928"/>
      <c r="FN252" s="928"/>
      <c r="FO252" s="928"/>
      <c r="FP252" s="928"/>
      <c r="FQ252" s="928"/>
    </row>
    <row r="253" spans="1:173">
      <c r="A253" s="1385"/>
      <c r="B253" s="928"/>
      <c r="C253" s="928"/>
      <c r="D253" s="928"/>
      <c r="E253" s="928"/>
      <c r="F253" s="928"/>
      <c r="G253" s="928"/>
      <c r="H253" s="928"/>
      <c r="I253" s="928"/>
      <c r="J253" s="928"/>
      <c r="K253" s="928"/>
      <c r="L253" s="928"/>
      <c r="M253" s="928"/>
      <c r="N253" s="928"/>
      <c r="O253" s="928"/>
      <c r="P253" s="928"/>
      <c r="Q253" s="928"/>
      <c r="R253" s="928"/>
      <c r="S253" s="928"/>
      <c r="T253" s="928"/>
      <c r="U253" s="928"/>
      <c r="V253" s="928"/>
      <c r="W253" s="928"/>
      <c r="X253" s="928"/>
      <c r="Y253" s="928"/>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355"/>
      <c r="BF253" s="1254"/>
      <c r="BG253" s="1254"/>
      <c r="BH253" s="1254"/>
      <c r="BI253" s="1389"/>
      <c r="BJ253" s="1442">
        <f>AVERAGE(BJ241,BH241)</f>
        <v>5874.7232163609242</v>
      </c>
      <c r="BK253" s="1442">
        <f>AVERAGE(BK241,BJ241)</f>
        <v>5980.0367425439654</v>
      </c>
      <c r="BL253" s="1442">
        <f>AVERAGE(BL241,BK241)</f>
        <v>6082.0201490182699</v>
      </c>
      <c r="BM253" s="1442">
        <f>AVERAGE(BM241,BL241)</f>
        <v>6185.2103227946336</v>
      </c>
      <c r="BN253" s="1500"/>
      <c r="BO253" s="1442">
        <f>AVERAGE(BO241,BM241)</f>
        <v>6289.2427786942217</v>
      </c>
      <c r="BP253" s="1442">
        <f>AVERAGE(BP241,BO241)</f>
        <v>6325.4923137004498</v>
      </c>
      <c r="BQ253" s="1442">
        <f>AVERAGE(BQ241,BP241)</f>
        <v>6142.2777136851964</v>
      </c>
      <c r="BR253" s="1442">
        <f>AVERAGE(BR241,BQ241)</f>
        <v>5979.8488352501408</v>
      </c>
      <c r="BS253" s="1500"/>
      <c r="BT253" s="1442">
        <f>AVERAGE(BT241,BR241)</f>
        <v>6000.221611676845</v>
      </c>
      <c r="BU253" s="1442">
        <f>AVERAGE(BU241,BT241)</f>
        <v>6015.6523554286614</v>
      </c>
      <c r="BV253" s="1442">
        <f>AVERAGE(BV241,BU241)</f>
        <v>6023.3185928162984</v>
      </c>
      <c r="BW253" s="1442">
        <f>AVERAGE(BW241,BV241)</f>
        <v>6049.4442920220117</v>
      </c>
      <c r="BX253" s="1500"/>
      <c r="BY253" s="1254"/>
      <c r="BZ253" s="1254"/>
      <c r="CA253" s="928"/>
      <c r="CB253" s="928"/>
      <c r="CC253" s="928"/>
      <c r="CD253" s="928"/>
      <c r="CE253" s="928"/>
      <c r="CF253" s="928"/>
      <c r="CG253" s="928"/>
      <c r="CH253" s="928"/>
      <c r="CI253" s="928"/>
      <c r="CJ253" s="928"/>
      <c r="CK253" s="928"/>
      <c r="CL253" s="928"/>
      <c r="CM253" s="928"/>
      <c r="CN253" s="1316"/>
      <c r="CO253" s="928"/>
      <c r="CP253" s="928"/>
      <c r="CQ253" s="928"/>
      <c r="CR253" s="928"/>
      <c r="CS253" s="928"/>
      <c r="CT253" s="928"/>
      <c r="CU253" s="928"/>
      <c r="CV253" s="928"/>
      <c r="CW253" s="928"/>
      <c r="CX253" s="928"/>
      <c r="CY253" s="928"/>
      <c r="CZ253" s="928"/>
      <c r="DA253" s="928"/>
      <c r="DB253" s="928"/>
      <c r="DC253" s="928"/>
      <c r="DD253" s="928"/>
      <c r="DE253" s="928"/>
      <c r="DF253" s="928"/>
      <c r="DG253" s="928"/>
      <c r="DH253" s="928"/>
      <c r="DI253" s="928"/>
      <c r="DJ253" s="928"/>
      <c r="DK253" s="928"/>
      <c r="DL253" s="928"/>
      <c r="DM253" s="928"/>
      <c r="DN253" s="928"/>
      <c r="DO253" s="928"/>
      <c r="DP253" s="928"/>
      <c r="DQ253" s="928"/>
      <c r="DR253" s="928"/>
      <c r="DS253" s="928"/>
      <c r="DT253" s="928"/>
      <c r="DU253" s="928"/>
      <c r="DV253" s="928"/>
      <c r="DW253" s="928"/>
      <c r="DX253" s="928"/>
      <c r="DY253" s="1338"/>
      <c r="DZ253" s="928"/>
      <c r="EA253" s="928"/>
      <c r="EB253" s="928"/>
      <c r="EC253" s="1337"/>
      <c r="ED253" s="1338"/>
      <c r="EE253" s="928"/>
      <c r="EF253" s="928"/>
      <c r="EG253" s="928"/>
      <c r="EH253" s="1337"/>
      <c r="EI253" s="928"/>
      <c r="EJ253" s="928"/>
      <c r="EK253" s="928"/>
      <c r="EL253" s="928"/>
      <c r="EM253" s="1337"/>
      <c r="EN253" s="928"/>
      <c r="EO253" s="928"/>
      <c r="EP253" s="928"/>
      <c r="EQ253" s="928"/>
      <c r="ER253" s="928"/>
      <c r="ES253" s="928"/>
      <c r="ET253" s="928"/>
      <c r="EU253" s="928"/>
      <c r="EV253" s="928"/>
      <c r="EW253" s="928"/>
      <c r="EX253" s="928"/>
      <c r="EY253" s="928"/>
      <c r="EZ253" s="928"/>
      <c r="FA253" s="928"/>
      <c r="FB253" s="928"/>
      <c r="FC253" s="928"/>
      <c r="FD253" s="928"/>
      <c r="FE253" s="928"/>
      <c r="FF253" s="1429"/>
      <c r="FG253" s="928"/>
      <c r="FH253" s="1425"/>
      <c r="FI253" s="1319"/>
      <c r="FJ253" s="1621"/>
      <c r="FK253" s="1605"/>
      <c r="FL253" s="928"/>
      <c r="FM253" s="928"/>
      <c r="FN253" s="928"/>
      <c r="FO253" s="928"/>
      <c r="FP253" s="928"/>
      <c r="FQ253" s="928"/>
    </row>
    <row r="254" spans="1:173">
      <c r="A254" s="1385"/>
      <c r="B254" s="928"/>
      <c r="C254" s="928"/>
      <c r="D254" s="928"/>
      <c r="E254" s="928"/>
      <c r="F254" s="928"/>
      <c r="G254" s="928"/>
      <c r="H254" s="928"/>
      <c r="I254" s="928"/>
      <c r="J254" s="928"/>
      <c r="K254" s="928"/>
      <c r="L254" s="928"/>
      <c r="M254" s="928"/>
      <c r="N254" s="928"/>
      <c r="O254" s="928"/>
      <c r="P254" s="928"/>
      <c r="Q254" s="928"/>
      <c r="R254" s="928"/>
      <c r="S254" s="928"/>
      <c r="T254" s="928"/>
      <c r="U254" s="928"/>
      <c r="V254" s="928"/>
      <c r="W254" s="928"/>
      <c r="X254" s="928"/>
      <c r="Y254" s="928"/>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355"/>
      <c r="BF254" s="1254"/>
      <c r="BG254" s="1254"/>
      <c r="BH254" s="1254"/>
      <c r="BI254" s="1389"/>
      <c r="BJ254" s="1442">
        <f>BJ252/BJ253/3*1000</f>
        <v>613.96367689658177</v>
      </c>
      <c r="BK254" s="1442">
        <f>BK252/BK253/3*1000</f>
        <v>611.23370262856326</v>
      </c>
      <c r="BL254" s="1442">
        <f>BL252/BL253/3*1000</f>
        <v>604.7332810289497</v>
      </c>
      <c r="BM254" s="1442">
        <f>BM252/BM253/3*1000</f>
        <v>600.25983589444502</v>
      </c>
      <c r="BN254" s="1500"/>
      <c r="BO254" s="1442">
        <f>BO252/BO253/3*1000</f>
        <v>596.53180284960661</v>
      </c>
      <c r="BP254" s="1442">
        <f>BP252/BP253/3*1000</f>
        <v>602.78839088537995</v>
      </c>
      <c r="BQ254" s="1442">
        <f>BQ252/BQ253/3*1000</f>
        <v>609.46446489375739</v>
      </c>
      <c r="BR254" s="1442">
        <f>BR252/BR253/3*1000</f>
        <v>619.22969995028404</v>
      </c>
      <c r="BS254" s="1500"/>
      <c r="BT254" s="1442">
        <f>BT252/BT253/3*1000</f>
        <v>602.44441521382305</v>
      </c>
      <c r="BU254" s="1442">
        <f>BU252/BU253/3*1000</f>
        <v>615.06213813386933</v>
      </c>
      <c r="BV254" s="1442">
        <f>BV252/BV253/3*1000</f>
        <v>622.58038358994179</v>
      </c>
      <c r="BW254" s="1442">
        <f>BW252/BW253/3*1000</f>
        <v>622.646723374928</v>
      </c>
      <c r="BX254" s="1500"/>
      <c r="BY254" s="1254"/>
      <c r="BZ254" s="1254"/>
      <c r="CA254" s="928"/>
      <c r="CB254" s="928"/>
      <c r="CC254" s="928"/>
      <c r="CD254" s="928"/>
      <c r="CE254" s="928"/>
      <c r="CF254" s="928"/>
      <c r="CG254" s="928"/>
      <c r="CH254" s="928"/>
      <c r="CI254" s="928"/>
      <c r="CJ254" s="928"/>
      <c r="CK254" s="928"/>
      <c r="CL254" s="928"/>
      <c r="CM254" s="928"/>
      <c r="CN254" s="1316"/>
      <c r="CO254" s="928"/>
      <c r="CP254" s="928"/>
      <c r="CQ254" s="928"/>
      <c r="CR254" s="928"/>
      <c r="CS254" s="928"/>
      <c r="CT254" s="928"/>
      <c r="CU254" s="928"/>
      <c r="CV254" s="928"/>
      <c r="CW254" s="928"/>
      <c r="CX254" s="928"/>
      <c r="CY254" s="928"/>
      <c r="CZ254" s="928"/>
      <c r="DA254" s="928"/>
      <c r="DB254" s="928"/>
      <c r="DC254" s="928"/>
      <c r="DD254" s="928"/>
      <c r="DE254" s="928"/>
      <c r="DF254" s="928"/>
      <c r="DG254" s="928"/>
      <c r="DH254" s="928"/>
      <c r="DI254" s="928"/>
      <c r="DJ254" s="928"/>
      <c r="DK254" s="928"/>
      <c r="DL254" s="928"/>
      <c r="DM254" s="928"/>
      <c r="DN254" s="928"/>
      <c r="DO254" s="928"/>
      <c r="DP254" s="928"/>
      <c r="DQ254" s="928"/>
      <c r="DR254" s="928"/>
      <c r="DS254" s="928"/>
      <c r="DT254" s="928"/>
      <c r="DU254" s="928"/>
      <c r="DV254" s="928"/>
      <c r="DW254" s="928"/>
      <c r="DX254" s="928"/>
      <c r="DY254" s="1338"/>
      <c r="DZ254" s="928"/>
      <c r="EA254" s="928"/>
      <c r="EB254" s="928"/>
      <c r="EC254" s="1337"/>
      <c r="ED254" s="1338"/>
      <c r="EE254" s="928"/>
      <c r="EF254" s="928"/>
      <c r="EG254" s="928"/>
      <c r="EH254" s="1337"/>
      <c r="EI254" s="928"/>
      <c r="EJ254" s="928"/>
      <c r="EK254" s="928"/>
      <c r="EL254" s="928"/>
      <c r="EM254" s="1337"/>
      <c r="EN254" s="928"/>
      <c r="EO254" s="928"/>
      <c r="EP254" s="928"/>
      <c r="EQ254" s="928"/>
      <c r="ER254" s="928"/>
      <c r="ES254" s="928"/>
      <c r="ET254" s="928"/>
      <c r="EU254" s="928"/>
      <c r="EV254" s="928"/>
      <c r="EW254" s="928"/>
      <c r="EX254" s="928"/>
      <c r="EY254" s="928"/>
      <c r="EZ254" s="928"/>
      <c r="FA254" s="928"/>
      <c r="FB254" s="928"/>
      <c r="FC254" s="928"/>
      <c r="FD254" s="928"/>
      <c r="FE254" s="928"/>
      <c r="FF254" s="1429"/>
      <c r="FG254" s="928"/>
      <c r="FH254" s="1425"/>
      <c r="FI254" s="1319"/>
      <c r="FJ254" s="1621"/>
      <c r="FK254" s="1605"/>
      <c r="FL254" s="928"/>
      <c r="FM254" s="928"/>
      <c r="FN254" s="928"/>
      <c r="FO254" s="928"/>
      <c r="FP254" s="928"/>
      <c r="FQ254" s="928"/>
    </row>
    <row r="255" spans="1:173">
      <c r="A255" s="1385"/>
      <c r="B255" s="928"/>
      <c r="C255" s="928"/>
      <c r="D255" s="928"/>
      <c r="E255" s="928"/>
      <c r="F255" s="928"/>
      <c r="G255" s="928"/>
      <c r="H255" s="928"/>
      <c r="I255" s="928"/>
      <c r="J255" s="928"/>
      <c r="K255" s="928"/>
      <c r="L255" s="928"/>
      <c r="M255" s="928"/>
      <c r="N255" s="928"/>
      <c r="O255" s="928"/>
      <c r="P255" s="928"/>
      <c r="Q255" s="928"/>
      <c r="R255" s="928"/>
      <c r="S255" s="928"/>
      <c r="T255" s="928"/>
      <c r="U255" s="928"/>
      <c r="V255" s="928"/>
      <c r="W255" s="928"/>
      <c r="X255" s="928"/>
      <c r="Y255" s="928"/>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355"/>
      <c r="BF255" s="1254"/>
      <c r="BG255" s="1254"/>
      <c r="BH255" s="1254"/>
      <c r="BI255" s="1389"/>
      <c r="BJ255" s="1499"/>
      <c r="BK255" s="1413"/>
      <c r="BL255" s="1413"/>
      <c r="BM255" s="1413"/>
      <c r="BN255" s="1500"/>
      <c r="BO255" s="1499"/>
      <c r="BP255" s="1413"/>
      <c r="BQ255" s="1413"/>
      <c r="BR255" s="1413"/>
      <c r="BS255" s="1500"/>
      <c r="BT255" s="1499"/>
      <c r="BU255" s="1413"/>
      <c r="BV255" s="1413"/>
      <c r="BW255" s="1413"/>
      <c r="BX255" s="1500"/>
      <c r="BY255" s="1254"/>
      <c r="BZ255" s="1254"/>
      <c r="CA255" s="928"/>
      <c r="CB255" s="928"/>
      <c r="CC255" s="928"/>
      <c r="CD255" s="928"/>
      <c r="CE255" s="928"/>
      <c r="CF255" s="928"/>
      <c r="CG255" s="928"/>
      <c r="CH255" s="928"/>
      <c r="CI255" s="928"/>
      <c r="CJ255" s="928"/>
      <c r="CK255" s="928"/>
      <c r="CL255" s="928"/>
      <c r="CM255" s="928"/>
      <c r="CN255" s="1316"/>
      <c r="CO255" s="928"/>
      <c r="CP255" s="928"/>
      <c r="CQ255" s="928"/>
      <c r="CR255" s="928"/>
      <c r="CS255" s="928"/>
      <c r="CT255" s="928"/>
      <c r="CU255" s="928"/>
      <c r="CV255" s="928"/>
      <c r="CW255" s="928"/>
      <c r="CX255" s="928"/>
      <c r="CY255" s="928"/>
      <c r="CZ255" s="928"/>
      <c r="DA255" s="928"/>
      <c r="DB255" s="928"/>
      <c r="DC255" s="928"/>
      <c r="DD255" s="928"/>
      <c r="DE255" s="928"/>
      <c r="DF255" s="928"/>
      <c r="DG255" s="928"/>
      <c r="DH255" s="928"/>
      <c r="DI255" s="928"/>
      <c r="DJ255" s="928"/>
      <c r="DK255" s="928"/>
      <c r="DL255" s="928"/>
      <c r="DM255" s="928"/>
      <c r="DN255" s="928"/>
      <c r="DO255" s="928"/>
      <c r="DP255" s="928"/>
      <c r="DQ255" s="928"/>
      <c r="DR255" s="928"/>
      <c r="DS255" s="928"/>
      <c r="DT255" s="928"/>
      <c r="DU255" s="928"/>
      <c r="DV255" s="928"/>
      <c r="DW255" s="928"/>
      <c r="DX255" s="928"/>
      <c r="DY255" s="1338"/>
      <c r="DZ255" s="928"/>
      <c r="EA255" s="928"/>
      <c r="EB255" s="928"/>
      <c r="EC255" s="1337"/>
      <c r="ED255" s="1338"/>
      <c r="EE255" s="928"/>
      <c r="EF255" s="928"/>
      <c r="EG255" s="928"/>
      <c r="EH255" s="1337"/>
      <c r="EI255" s="928"/>
      <c r="EJ255" s="928"/>
      <c r="EK255" s="928"/>
      <c r="EL255" s="928"/>
      <c r="EM255" s="1337"/>
      <c r="EN255" s="928"/>
      <c r="EO255" s="928"/>
      <c r="EP255" s="928"/>
      <c r="EQ255" s="928"/>
      <c r="ER255" s="928"/>
      <c r="ES255" s="928"/>
      <c r="ET255" s="928"/>
      <c r="EU255" s="928"/>
      <c r="EV255" s="928"/>
      <c r="EW255" s="928"/>
      <c r="EX255" s="928"/>
      <c r="EY255" s="928"/>
      <c r="EZ255" s="928"/>
      <c r="FA255" s="928"/>
      <c r="FB255" s="928"/>
      <c r="FC255" s="928"/>
      <c r="FD255" s="928"/>
      <c r="FE255" s="928"/>
      <c r="FF255" s="1429"/>
      <c r="FG255" s="928"/>
      <c r="FH255" s="1425"/>
      <c r="FI255" s="1319"/>
      <c r="FJ255" s="1621"/>
      <c r="FK255" s="1605"/>
      <c r="FL255" s="928"/>
      <c r="FM255" s="928"/>
      <c r="FN255" s="928"/>
      <c r="FO255" s="928"/>
      <c r="FP255" s="928"/>
      <c r="FQ255" s="928"/>
    </row>
    <row r="256" spans="1:173">
      <c r="A256" s="1385"/>
      <c r="B256" s="928"/>
      <c r="C256" s="928"/>
      <c r="D256" s="928"/>
      <c r="E256" s="928"/>
      <c r="F256" s="928"/>
      <c r="G256" s="928"/>
      <c r="H256" s="928"/>
      <c r="I256" s="928"/>
      <c r="J256" s="928"/>
      <c r="K256" s="928"/>
      <c r="L256" s="928"/>
      <c r="M256" s="928"/>
      <c r="N256" s="928"/>
      <c r="O256" s="928"/>
      <c r="P256" s="928"/>
      <c r="Q256" s="928"/>
      <c r="R256" s="928"/>
      <c r="S256" s="928"/>
      <c r="T256" s="928"/>
      <c r="U256" s="928"/>
      <c r="V256" s="928"/>
      <c r="W256" s="928"/>
      <c r="X256" s="928"/>
      <c r="Y256" s="928"/>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355"/>
      <c r="BF256" s="1254"/>
      <c r="BG256" s="1254"/>
      <c r="BH256" s="1254"/>
      <c r="BI256" s="1389"/>
      <c r="BJ256" s="1499"/>
      <c r="BK256" s="1413"/>
      <c r="BL256" s="1413"/>
      <c r="BM256" s="1413"/>
      <c r="BN256" s="1500"/>
      <c r="BO256" s="1499"/>
      <c r="BP256" s="1413"/>
      <c r="BQ256" s="1413"/>
      <c r="BR256" s="1413"/>
      <c r="BS256" s="1500"/>
      <c r="BT256" s="1499"/>
      <c r="BU256" s="1413"/>
      <c r="BV256" s="1413"/>
      <c r="BW256" s="1413"/>
      <c r="BX256" s="1500"/>
      <c r="BY256" s="1254"/>
      <c r="BZ256" s="1254"/>
      <c r="CA256" s="928"/>
      <c r="CB256" s="928"/>
      <c r="CC256" s="928"/>
      <c r="CD256" s="928"/>
      <c r="CE256" s="928"/>
      <c r="CF256" s="928"/>
      <c r="CG256" s="928"/>
      <c r="CH256" s="928"/>
      <c r="CI256" s="928"/>
      <c r="CJ256" s="928"/>
      <c r="CK256" s="928"/>
      <c r="CL256" s="928"/>
      <c r="CM256" s="928"/>
      <c r="CN256" s="1316"/>
      <c r="CO256" s="928"/>
      <c r="CP256" s="928"/>
      <c r="CQ256" s="928"/>
      <c r="CR256" s="928"/>
      <c r="CS256" s="928"/>
      <c r="CT256" s="928"/>
      <c r="CU256" s="928"/>
      <c r="CV256" s="928"/>
      <c r="CW256" s="928"/>
      <c r="CX256" s="928"/>
      <c r="CY256" s="928"/>
      <c r="CZ256" s="928"/>
      <c r="DA256" s="928"/>
      <c r="DB256" s="928"/>
      <c r="DC256" s="928"/>
      <c r="DD256" s="928"/>
      <c r="DE256" s="928"/>
      <c r="DF256" s="928"/>
      <c r="DG256" s="928"/>
      <c r="DH256" s="928"/>
      <c r="DI256" s="928"/>
      <c r="DJ256" s="928"/>
      <c r="DK256" s="928"/>
      <c r="DL256" s="928"/>
      <c r="DM256" s="928"/>
      <c r="DN256" s="928"/>
      <c r="DO256" s="928"/>
      <c r="DP256" s="928"/>
      <c r="DQ256" s="928"/>
      <c r="DR256" s="928"/>
      <c r="DS256" s="928"/>
      <c r="DT256" s="928"/>
      <c r="DU256" s="928"/>
      <c r="DV256" s="928"/>
      <c r="DW256" s="928"/>
      <c r="DX256" s="928"/>
      <c r="DY256" s="1338"/>
      <c r="DZ256" s="928"/>
      <c r="EA256" s="928"/>
      <c r="EB256" s="928"/>
      <c r="EC256" s="1337"/>
      <c r="ED256" s="1338"/>
      <c r="EE256" s="928"/>
      <c r="EF256" s="928"/>
      <c r="EG256" s="928"/>
      <c r="EH256" s="1337"/>
      <c r="EI256" s="928"/>
      <c r="EJ256" s="928"/>
      <c r="EK256" s="928"/>
      <c r="EL256" s="928"/>
      <c r="EM256" s="1337"/>
      <c r="EN256" s="928"/>
      <c r="EO256" s="928"/>
      <c r="EP256" s="928"/>
      <c r="EQ256" s="928"/>
      <c r="ER256" s="928"/>
      <c r="ES256" s="928"/>
      <c r="ET256" s="928"/>
      <c r="EU256" s="928"/>
      <c r="EV256" s="928"/>
      <c r="EW256" s="928"/>
      <c r="EX256" s="928"/>
      <c r="EY256" s="928"/>
      <c r="EZ256" s="928"/>
      <c r="FA256" s="928"/>
      <c r="FB256" s="928"/>
      <c r="FC256" s="928"/>
      <c r="FD256" s="928"/>
      <c r="FE256" s="928"/>
      <c r="FF256" s="1429"/>
      <c r="FG256" s="928"/>
      <c r="FH256" s="1425"/>
      <c r="FI256" s="1319"/>
      <c r="FJ256" s="1621"/>
      <c r="FK256" s="1605"/>
      <c r="FL256" s="928"/>
      <c r="FM256" s="928"/>
      <c r="FN256" s="928"/>
      <c r="FO256" s="928"/>
      <c r="FP256" s="928"/>
      <c r="FQ256" s="928"/>
    </row>
    <row r="257" spans="1:173">
      <c r="A257" s="1489" t="s">
        <v>157</v>
      </c>
      <c r="B257" s="1476"/>
      <c r="C257" s="1476"/>
      <c r="D257" s="1476"/>
      <c r="E257" s="1476"/>
      <c r="F257" s="1476"/>
      <c r="G257" s="1476" t="str">
        <f t="shared" ref="G257:T257" si="350">G4</f>
        <v>1Q</v>
      </c>
      <c r="H257" s="1476" t="str">
        <f t="shared" si="350"/>
        <v>2Q</v>
      </c>
      <c r="I257" s="1476" t="str">
        <f t="shared" si="350"/>
        <v>3Q</v>
      </c>
      <c r="J257" s="1476" t="str">
        <f t="shared" si="350"/>
        <v>4Q</v>
      </c>
      <c r="K257" s="1476" t="str">
        <f t="shared" si="350"/>
        <v>FY</v>
      </c>
      <c r="L257" s="1476" t="str">
        <f t="shared" si="350"/>
        <v>1Q</v>
      </c>
      <c r="M257" s="1476" t="str">
        <f t="shared" si="350"/>
        <v>2Q</v>
      </c>
      <c r="N257" s="1476" t="str">
        <f t="shared" si="350"/>
        <v>3Q</v>
      </c>
      <c r="O257" s="1476" t="str">
        <f t="shared" si="350"/>
        <v>4Q</v>
      </c>
      <c r="P257" s="1476" t="str">
        <f t="shared" si="350"/>
        <v>FY</v>
      </c>
      <c r="Q257" s="1476" t="str">
        <f t="shared" si="350"/>
        <v>1Q</v>
      </c>
      <c r="R257" s="1476" t="str">
        <f t="shared" si="350"/>
        <v>2Q</v>
      </c>
      <c r="S257" s="1476" t="str">
        <f t="shared" si="350"/>
        <v>3Q</v>
      </c>
      <c r="T257" s="1476" t="str">
        <f t="shared" si="350"/>
        <v>4Q</v>
      </c>
      <c r="U257" s="1476" t="s">
        <v>1209</v>
      </c>
      <c r="V257" s="1476" t="str">
        <f>V4</f>
        <v>1Q</v>
      </c>
      <c r="W257" s="1476" t="str">
        <f>W4</f>
        <v>2Q</v>
      </c>
      <c r="X257" s="1476" t="str">
        <f>X4</f>
        <v>3Q</v>
      </c>
      <c r="Y257" s="1476" t="str">
        <f>Y4</f>
        <v>4Q</v>
      </c>
      <c r="Z257" s="1476" t="s">
        <v>1557</v>
      </c>
      <c r="AA257" s="1476" t="str">
        <f t="shared" ref="AA257:AI257" si="351">AA4</f>
        <v>1Q</v>
      </c>
      <c r="AB257" s="1476" t="str">
        <f t="shared" si="351"/>
        <v>2Q</v>
      </c>
      <c r="AC257" s="1476" t="str">
        <f t="shared" si="351"/>
        <v>3Q</v>
      </c>
      <c r="AD257" s="1476" t="str">
        <f t="shared" si="351"/>
        <v>4Q</v>
      </c>
      <c r="AE257" s="1476" t="str">
        <f t="shared" si="351"/>
        <v>FY</v>
      </c>
      <c r="AF257" s="1476" t="str">
        <f t="shared" si="351"/>
        <v>1Q</v>
      </c>
      <c r="AG257" s="1476" t="str">
        <f t="shared" si="351"/>
        <v>2Q</v>
      </c>
      <c r="AH257" s="1476" t="str">
        <f t="shared" si="351"/>
        <v>3Q</v>
      </c>
      <c r="AI257" s="1476" t="str">
        <f t="shared" si="351"/>
        <v>4Q</v>
      </c>
      <c r="AJ257" s="1476"/>
      <c r="AK257" s="1476" t="str">
        <f>AK4</f>
        <v>1Q</v>
      </c>
      <c r="AL257" s="1476" t="str">
        <f>AL4</f>
        <v>2Q</v>
      </c>
      <c r="AM257" s="1476" t="str">
        <f>AM4</f>
        <v>3Q</v>
      </c>
      <c r="AN257" s="1476" t="str">
        <f>AN4</f>
        <v>4Q</v>
      </c>
      <c r="AO257" s="1476"/>
      <c r="AP257" s="1476" t="str">
        <f>AP4</f>
        <v>1Q</v>
      </c>
      <c r="AQ257" s="1476" t="str">
        <f>AQ4</f>
        <v>2Q</v>
      </c>
      <c r="AR257" s="1476" t="str">
        <f>AR4</f>
        <v>3Q</v>
      </c>
      <c r="AS257" s="1476" t="str">
        <f>AS4</f>
        <v>4Q</v>
      </c>
      <c r="AT257" s="1476"/>
      <c r="AU257" s="1476" t="str">
        <f>AU4</f>
        <v>1Q</v>
      </c>
      <c r="AV257" s="1476" t="str">
        <f>AV4</f>
        <v>2Q</v>
      </c>
      <c r="AW257" s="1476" t="str">
        <f>AW4</f>
        <v>3Q</v>
      </c>
      <c r="AX257" s="1476" t="str">
        <f>AX4</f>
        <v>4Q</v>
      </c>
      <c r="AY257" s="1476"/>
      <c r="AZ257" s="1476" t="str">
        <f>AZ4</f>
        <v>1Q</v>
      </c>
      <c r="BA257" s="1476" t="str">
        <f>BA4</f>
        <v>2Q</v>
      </c>
      <c r="BB257" s="1476" t="str">
        <f>BB4</f>
        <v>3Q</v>
      </c>
      <c r="BC257" s="1476" t="str">
        <f>BC4</f>
        <v>4Q</v>
      </c>
      <c r="BD257" s="1476"/>
      <c r="BE257" s="1521" t="str">
        <f>BE4</f>
        <v>1Q</v>
      </c>
      <c r="BF257" s="1476" t="str">
        <f>BF4</f>
        <v>2Q</v>
      </c>
      <c r="BG257" s="1476" t="str">
        <f>BG4</f>
        <v>3Q</v>
      </c>
      <c r="BH257" s="1476" t="str">
        <f>BH4</f>
        <v>4Q</v>
      </c>
      <c r="BI257" s="1526"/>
      <c r="BJ257" s="1521" t="str">
        <f>BJ4</f>
        <v>1Q</v>
      </c>
      <c r="BK257" s="1476" t="str">
        <f>BK4</f>
        <v>2Q</v>
      </c>
      <c r="BL257" s="1476" t="str">
        <f>BL4</f>
        <v>3Q</v>
      </c>
      <c r="BM257" s="1476" t="str">
        <f>BM4</f>
        <v>4Q</v>
      </c>
      <c r="BN257" s="1526"/>
      <c r="BO257" s="1521" t="str">
        <f>BO4</f>
        <v>1Q</v>
      </c>
      <c r="BP257" s="1476" t="str">
        <f>BP4</f>
        <v>2Q</v>
      </c>
      <c r="BQ257" s="1476" t="str">
        <f>BQ4</f>
        <v>3Q</v>
      </c>
      <c r="BR257" s="1476" t="str">
        <f>BR4</f>
        <v>4Q</v>
      </c>
      <c r="BS257" s="1526"/>
      <c r="BT257" s="1521" t="str">
        <f>BT4</f>
        <v>1Q</v>
      </c>
      <c r="BU257" s="1476" t="str">
        <f>BU4</f>
        <v>2Q</v>
      </c>
      <c r="BV257" s="1476" t="str">
        <f>BV4</f>
        <v>3Q</v>
      </c>
      <c r="BW257" s="1476" t="str">
        <f>BW4</f>
        <v>4Q</v>
      </c>
      <c r="BX257" s="1526"/>
      <c r="BY257" s="1477"/>
      <c r="BZ257" s="1477"/>
      <c r="CA257" s="1476" t="str">
        <f>CA4</f>
        <v>1Q</v>
      </c>
      <c r="CB257" s="1476" t="str">
        <f>CB4</f>
        <v>2Q</v>
      </c>
      <c r="CC257" s="1476" t="str">
        <f>CC4</f>
        <v>3Q</v>
      </c>
      <c r="CD257" s="1476" t="str">
        <f>CD4</f>
        <v>4Q</v>
      </c>
      <c r="CE257" s="1476"/>
      <c r="CF257" s="1476" t="str">
        <f>CF4</f>
        <v>1Q</v>
      </c>
      <c r="CG257" s="1476" t="str">
        <f>CG4</f>
        <v>2Q</v>
      </c>
      <c r="CH257" s="1476" t="str">
        <f>CH4</f>
        <v>3Q</v>
      </c>
      <c r="CI257" s="1476" t="str">
        <f>CI4</f>
        <v>4Q</v>
      </c>
      <c r="CJ257" s="928"/>
      <c r="CK257" s="1476" t="str">
        <f>CK4</f>
        <v>1Q</v>
      </c>
      <c r="CL257" s="1476" t="str">
        <f>CL4</f>
        <v>2Q</v>
      </c>
      <c r="CM257" s="1476" t="str">
        <f>CM4</f>
        <v>3Q</v>
      </c>
      <c r="CN257" s="1476"/>
      <c r="CO257" s="928"/>
      <c r="CP257" s="928"/>
      <c r="CQ257" s="928"/>
      <c r="CR257" s="928"/>
      <c r="CS257" s="928"/>
      <c r="CT257" s="928"/>
      <c r="CU257" s="928"/>
      <c r="CV257" s="928">
        <v>4713</v>
      </c>
      <c r="CW257" s="928">
        <v>5753</v>
      </c>
      <c r="CX257" s="928"/>
      <c r="CY257" s="928"/>
      <c r="CZ257" s="928"/>
      <c r="DA257" s="928"/>
      <c r="DB257" s="928"/>
      <c r="DC257" s="928"/>
      <c r="DD257" s="928"/>
      <c r="DE257" s="928"/>
      <c r="DF257" s="928"/>
      <c r="DG257" s="928"/>
      <c r="DH257" s="928"/>
      <c r="DI257" s="928"/>
      <c r="DJ257" s="928"/>
      <c r="DK257" s="928"/>
      <c r="DL257" s="928"/>
      <c r="DM257" s="928"/>
      <c r="DN257" s="928"/>
      <c r="DO257" s="928"/>
      <c r="DP257" s="928"/>
      <c r="DQ257" s="928"/>
      <c r="DR257" s="928"/>
      <c r="DS257" s="928"/>
      <c r="DT257" s="928"/>
      <c r="DU257" s="928"/>
      <c r="DV257" s="928"/>
      <c r="DW257" s="928"/>
      <c r="DX257" s="928"/>
      <c r="DY257" s="1338"/>
      <c r="DZ257" s="928"/>
      <c r="EA257" s="928"/>
      <c r="EB257" s="928"/>
      <c r="EC257" s="1337"/>
      <c r="ED257" s="1338"/>
      <c r="EE257" s="928"/>
      <c r="EF257" s="928"/>
      <c r="EG257" s="928"/>
      <c r="EH257" s="1337"/>
      <c r="EI257" s="928"/>
      <c r="EJ257" s="928"/>
      <c r="EK257" s="928"/>
      <c r="EL257" s="928"/>
      <c r="EM257" s="1337"/>
      <c r="EN257" s="928"/>
      <c r="EO257" s="928"/>
      <c r="EP257" s="928"/>
      <c r="EQ257" s="928"/>
      <c r="ER257" s="928"/>
      <c r="ES257" s="928"/>
      <c r="ET257" s="928"/>
      <c r="EU257" s="928"/>
      <c r="EV257" s="928"/>
      <c r="EW257" s="928"/>
      <c r="EX257" s="928"/>
      <c r="EY257" s="928"/>
      <c r="EZ257" s="928"/>
      <c r="FA257" s="928"/>
      <c r="FB257" s="928"/>
      <c r="FC257" s="928"/>
      <c r="FD257" s="928"/>
      <c r="FE257" s="928"/>
      <c r="FF257" s="1478" t="s">
        <v>7361</v>
      </c>
      <c r="FG257" s="928"/>
      <c r="FH257" s="1479" t="s">
        <v>6006</v>
      </c>
      <c r="FI257" s="1319"/>
      <c r="FJ257" s="1629" t="s">
        <v>120</v>
      </c>
      <c r="FK257" s="1605"/>
      <c r="FL257" s="928"/>
      <c r="FM257" s="928"/>
      <c r="FN257" s="928"/>
      <c r="FO257" s="928"/>
      <c r="FP257" s="928"/>
      <c r="FQ257" s="928"/>
    </row>
    <row r="258" spans="1:173">
      <c r="A258" s="1344" t="s">
        <v>91</v>
      </c>
      <c r="B258" s="1413"/>
      <c r="C258" s="1413"/>
      <c r="D258" s="1413"/>
      <c r="E258" s="1413"/>
      <c r="F258" s="1413"/>
      <c r="G258" s="1413">
        <f t="shared" ref="G258:I261" si="352">L258/(1+CA258)</f>
        <v>1048.7291849255039</v>
      </c>
      <c r="H258" s="1413">
        <f t="shared" si="352"/>
        <v>1079.1993037423847</v>
      </c>
      <c r="I258" s="1413">
        <f t="shared" si="352"/>
        <v>1106.5630397236616</v>
      </c>
      <c r="J258" s="1413">
        <f>K258-G258-H258-I258</f>
        <v>1156.9084716084492</v>
      </c>
      <c r="K258" s="928">
        <v>4391.3999999999996</v>
      </c>
      <c r="L258" s="1413">
        <v>1196.5999999999999</v>
      </c>
      <c r="M258" s="1413">
        <v>1240</v>
      </c>
      <c r="N258" s="1413">
        <v>1281.4000000000001</v>
      </c>
      <c r="O258" s="1413">
        <f>5041.1-L258-M258-N258</f>
        <v>1323.1000000000004</v>
      </c>
      <c r="P258" s="1413">
        <f>SUM(L258:O258)</f>
        <v>5041.1000000000004</v>
      </c>
      <c r="Q258" s="1413">
        <v>1326.3</v>
      </c>
      <c r="R258" s="1413">
        <v>1375.1</v>
      </c>
      <c r="S258" s="1413">
        <v>1411.2</v>
      </c>
      <c r="T258" s="1413">
        <f>5678.1-Q258-R258-S258</f>
        <v>1565.5000000000002</v>
      </c>
      <c r="U258" s="1413">
        <f>SUM(Q258:T258)</f>
        <v>5678.0999999999995</v>
      </c>
      <c r="V258" s="1413">
        <v>1557.4</v>
      </c>
      <c r="W258" s="1413">
        <v>1596.6</v>
      </c>
      <c r="X258" s="1413">
        <v>1613.1</v>
      </c>
      <c r="Y258" s="1413"/>
      <c r="Z258" s="1442">
        <f>'Cable cos'!I168</f>
        <v>6558.2054999999991</v>
      </c>
      <c r="AA258" s="1442"/>
      <c r="AB258" s="1442"/>
      <c r="AC258" s="1442"/>
      <c r="AD258" s="1442"/>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355"/>
      <c r="BF258" s="1254"/>
      <c r="BG258" s="1254"/>
      <c r="BH258" s="1254"/>
      <c r="BI258" s="1389"/>
      <c r="BJ258" s="1355"/>
      <c r="BK258" s="1254"/>
      <c r="BL258" s="1254"/>
      <c r="BM258" s="1254"/>
      <c r="BN258" s="1389"/>
      <c r="BO258" s="1355"/>
      <c r="BP258" s="1254"/>
      <c r="BQ258" s="1254"/>
      <c r="BR258" s="1254"/>
      <c r="BS258" s="1389"/>
      <c r="BT258" s="1355"/>
      <c r="BU258" s="1254"/>
      <c r="BV258" s="1254"/>
      <c r="BW258" s="1254"/>
      <c r="BX258" s="1389"/>
      <c r="BY258" s="1254"/>
      <c r="BZ258" s="1254"/>
      <c r="CA258" s="1316">
        <v>0.14099999999999999</v>
      </c>
      <c r="CB258" s="1316">
        <v>0.14899999999999999</v>
      </c>
      <c r="CC258" s="1316">
        <v>0.158</v>
      </c>
      <c r="CD258" s="1316">
        <f>O258/J258-1</f>
        <v>0.14365140585451441</v>
      </c>
      <c r="CE258" s="1316"/>
      <c r="CF258" s="1316">
        <f t="shared" ref="CF258:CI261" si="353">Q258/L258-1</f>
        <v>0.10839043957880667</v>
      </c>
      <c r="CG258" s="1316">
        <f t="shared" si="353"/>
        <v>0.10895161290322575</v>
      </c>
      <c r="CH258" s="1316">
        <f t="shared" si="353"/>
        <v>0.10129545809271101</v>
      </c>
      <c r="CI258" s="1316">
        <f t="shared" si="353"/>
        <v>0.18320610687022887</v>
      </c>
      <c r="CJ258" s="928"/>
      <c r="CK258" s="1316">
        <f t="shared" ref="CK258:CM261" si="354">V258/Q258-1</f>
        <v>0.17424413782703763</v>
      </c>
      <c r="CL258" s="1316">
        <f t="shared" si="354"/>
        <v>0.16107919424041883</v>
      </c>
      <c r="CM258" s="1316">
        <f t="shared" si="354"/>
        <v>0.14306972789115635</v>
      </c>
      <c r="CN258" s="1316">
        <f>CM258</f>
        <v>0.14306972789115635</v>
      </c>
      <c r="CO258" s="928"/>
      <c r="CP258" s="928"/>
      <c r="CQ258" s="928"/>
      <c r="CR258" s="928"/>
      <c r="CS258" s="928"/>
      <c r="CT258" s="928"/>
      <c r="CU258" s="928"/>
      <c r="CV258" s="928"/>
      <c r="CW258" s="928"/>
      <c r="CX258" s="928"/>
      <c r="CY258" s="928"/>
      <c r="CZ258" s="928"/>
      <c r="DA258" s="928"/>
      <c r="DB258" s="928"/>
      <c r="DC258" s="928"/>
      <c r="DD258" s="928"/>
      <c r="DE258" s="928"/>
      <c r="DF258" s="928"/>
      <c r="DG258" s="928"/>
      <c r="DH258" s="928"/>
      <c r="DI258" s="928"/>
      <c r="DJ258" s="928"/>
      <c r="DK258" s="928"/>
      <c r="DL258" s="928"/>
      <c r="DM258" s="928"/>
      <c r="DN258" s="928"/>
      <c r="DO258" s="928"/>
      <c r="DP258" s="928"/>
      <c r="DQ258" s="928"/>
      <c r="DR258" s="928"/>
      <c r="DS258" s="928"/>
      <c r="DT258" s="928"/>
      <c r="DU258" s="928"/>
      <c r="DV258" s="928"/>
      <c r="DW258" s="928"/>
      <c r="DX258" s="928"/>
      <c r="DY258" s="1338"/>
      <c r="DZ258" s="928"/>
      <c r="EA258" s="928"/>
      <c r="EB258" s="928"/>
      <c r="EC258" s="1337"/>
      <c r="ED258" s="1338"/>
      <c r="EE258" s="928"/>
      <c r="EF258" s="928"/>
      <c r="EG258" s="928"/>
      <c r="EH258" s="1337"/>
      <c r="EI258" s="928"/>
      <c r="EJ258" s="928"/>
      <c r="EK258" s="928"/>
      <c r="EL258" s="928"/>
      <c r="EM258" s="1337"/>
      <c r="EN258" s="928"/>
      <c r="EO258" s="928"/>
      <c r="EP258" s="928"/>
      <c r="EQ258" s="928"/>
      <c r="ER258" s="928"/>
      <c r="ES258" s="928"/>
      <c r="ET258" s="928"/>
      <c r="EU258" s="928"/>
      <c r="EV258" s="928"/>
      <c r="EW258" s="928"/>
      <c r="EX258" s="928"/>
      <c r="EY258" s="928"/>
      <c r="EZ258" s="928"/>
      <c r="FA258" s="928"/>
      <c r="FB258" s="928"/>
      <c r="FC258" s="928"/>
      <c r="FD258" s="928"/>
      <c r="FE258" s="928"/>
      <c r="FF258" s="1254"/>
      <c r="FG258" s="928"/>
      <c r="FH258" s="1351"/>
      <c r="FI258" s="1319"/>
      <c r="FJ258" s="1612"/>
      <c r="FK258" s="1605"/>
      <c r="FL258" s="928"/>
      <c r="FM258" s="928"/>
      <c r="FN258" s="928"/>
      <c r="FO258" s="928"/>
      <c r="FP258" s="928"/>
      <c r="FQ258" s="928"/>
    </row>
    <row r="259" spans="1:173">
      <c r="A259" s="1344" t="s">
        <v>90</v>
      </c>
      <c r="B259" s="1413"/>
      <c r="C259" s="1413"/>
      <c r="D259" s="1413"/>
      <c r="E259" s="1413"/>
      <c r="F259" s="1413"/>
      <c r="G259" s="1413">
        <f t="shared" si="352"/>
        <v>1104.8020219039595</v>
      </c>
      <c r="H259" s="1413">
        <f t="shared" si="352"/>
        <v>1136.7521367521367</v>
      </c>
      <c r="I259" s="1413">
        <f t="shared" si="352"/>
        <v>1165.1122625215892</v>
      </c>
      <c r="J259" s="1413">
        <f>K259-G259-H259-I259</f>
        <v>1319.5335788223144</v>
      </c>
      <c r="K259" s="928">
        <v>4726.2</v>
      </c>
      <c r="L259" s="1413">
        <v>1311.4</v>
      </c>
      <c r="M259" s="1413">
        <v>1330</v>
      </c>
      <c r="N259" s="1413">
        <v>1349.2</v>
      </c>
      <c r="O259" s="1413">
        <f>5439.7-L259-M259-N259</f>
        <v>1449.0999999999992</v>
      </c>
      <c r="P259" s="1413">
        <f>SUM(L259:O259)</f>
        <v>5439.7</v>
      </c>
      <c r="Q259" s="1413">
        <v>1444.9</v>
      </c>
      <c r="R259" s="1413">
        <v>1506.5</v>
      </c>
      <c r="S259" s="1413">
        <v>1569.4</v>
      </c>
      <c r="T259" s="1413">
        <f>6139.5-Q259-R259-S259</f>
        <v>1618.7000000000003</v>
      </c>
      <c r="U259" s="1413">
        <f>SUM(Q259:T259)</f>
        <v>6139.5</v>
      </c>
      <c r="V259" s="1413">
        <v>1650.7</v>
      </c>
      <c r="W259" s="1413">
        <v>1683.4</v>
      </c>
      <c r="X259" s="1413">
        <v>1720.9</v>
      </c>
      <c r="Y259" s="1413"/>
      <c r="Z259" s="1442">
        <f>'Cable cos'!I170</f>
        <v>6814.8450000000003</v>
      </c>
      <c r="AA259" s="1442"/>
      <c r="AB259" s="1442"/>
      <c r="AC259" s="1442"/>
      <c r="AD259" s="1442"/>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355"/>
      <c r="BF259" s="1254"/>
      <c r="BG259" s="1254"/>
      <c r="BH259" s="1254"/>
      <c r="BI259" s="1389"/>
      <c r="BJ259" s="1355"/>
      <c r="BK259" s="1254"/>
      <c r="BL259" s="1254"/>
      <c r="BM259" s="1254"/>
      <c r="BN259" s="1389"/>
      <c r="BO259" s="1355"/>
      <c r="BP259" s="1254"/>
      <c r="BQ259" s="1254"/>
      <c r="BR259" s="1254"/>
      <c r="BS259" s="1389"/>
      <c r="BT259" s="1355"/>
      <c r="BU259" s="1254"/>
      <c r="BV259" s="1254"/>
      <c r="BW259" s="1254"/>
      <c r="BX259" s="1389"/>
      <c r="BY259" s="1254"/>
      <c r="BZ259" s="1254"/>
      <c r="CA259" s="1316">
        <v>0.187</v>
      </c>
      <c r="CB259" s="1316">
        <v>0.17</v>
      </c>
      <c r="CC259" s="1316">
        <v>0.158</v>
      </c>
      <c r="CD259" s="1316">
        <f>O259/J259-1</f>
        <v>9.8191075435399622E-2</v>
      </c>
      <c r="CE259" s="1316"/>
      <c r="CF259" s="1316">
        <f t="shared" si="353"/>
        <v>0.10179960347719996</v>
      </c>
      <c r="CG259" s="1316">
        <f t="shared" si="353"/>
        <v>0.13270676691729322</v>
      </c>
      <c r="CH259" s="1316">
        <f t="shared" si="353"/>
        <v>0.16320782686036162</v>
      </c>
      <c r="CI259" s="1316">
        <f t="shared" si="353"/>
        <v>0.11703816161755642</v>
      </c>
      <c r="CJ259" s="928"/>
      <c r="CK259" s="1316">
        <f t="shared" si="354"/>
        <v>0.1424320022146861</v>
      </c>
      <c r="CL259" s="1316">
        <f t="shared" si="354"/>
        <v>0.11742449385994025</v>
      </c>
      <c r="CM259" s="1316">
        <f t="shared" si="354"/>
        <v>9.6533707149228931E-2</v>
      </c>
      <c r="CN259" s="1316">
        <f>CM259</f>
        <v>9.6533707149228931E-2</v>
      </c>
      <c r="CO259" s="928"/>
      <c r="CP259" s="928"/>
      <c r="CQ259" s="928"/>
      <c r="CR259" s="928"/>
      <c r="CS259" s="928"/>
      <c r="CT259" s="928"/>
      <c r="CU259" s="928"/>
      <c r="CV259" s="928"/>
      <c r="CW259" s="928"/>
      <c r="CX259" s="928"/>
      <c r="CY259" s="928"/>
      <c r="CZ259" s="928"/>
      <c r="DA259" s="928"/>
      <c r="DB259" s="928"/>
      <c r="DC259" s="928"/>
      <c r="DD259" s="928"/>
      <c r="DE259" s="928"/>
      <c r="DF259" s="928"/>
      <c r="DG259" s="928"/>
      <c r="DH259" s="928"/>
      <c r="DI259" s="928"/>
      <c r="DJ259" s="928"/>
      <c r="DK259" s="928"/>
      <c r="DL259" s="928"/>
      <c r="DM259" s="928"/>
      <c r="DN259" s="928"/>
      <c r="DO259" s="928"/>
      <c r="DP259" s="928"/>
      <c r="DQ259" s="928"/>
      <c r="DR259" s="928"/>
      <c r="DS259" s="928"/>
      <c r="DT259" s="928"/>
      <c r="DU259" s="928"/>
      <c r="DV259" s="928"/>
      <c r="DW259" s="928"/>
      <c r="DX259" s="928"/>
      <c r="DY259" s="1338"/>
      <c r="DZ259" s="928"/>
      <c r="EA259" s="928"/>
      <c r="EB259" s="928"/>
      <c r="EC259" s="1337"/>
      <c r="ED259" s="1338"/>
      <c r="EE259" s="928"/>
      <c r="EF259" s="928"/>
      <c r="EG259" s="928"/>
      <c r="EH259" s="1337"/>
      <c r="EI259" s="928"/>
      <c r="EJ259" s="928"/>
      <c r="EK259" s="928"/>
      <c r="EL259" s="928"/>
      <c r="EM259" s="1337"/>
      <c r="EN259" s="928"/>
      <c r="EO259" s="928"/>
      <c r="EP259" s="928"/>
      <c r="EQ259" s="928"/>
      <c r="ER259" s="928"/>
      <c r="ES259" s="928"/>
      <c r="ET259" s="928"/>
      <c r="EU259" s="928"/>
      <c r="EV259" s="928"/>
      <c r="EW259" s="928"/>
      <c r="EX259" s="928"/>
      <c r="EY259" s="928"/>
      <c r="EZ259" s="928"/>
      <c r="FA259" s="928"/>
      <c r="FB259" s="928"/>
      <c r="FC259" s="928"/>
      <c r="FD259" s="928"/>
      <c r="FE259" s="928"/>
      <c r="FF259" s="1254"/>
      <c r="FG259" s="928"/>
      <c r="FH259" s="1351"/>
      <c r="FI259" s="1319"/>
      <c r="FJ259" s="1612"/>
      <c r="FK259" s="1605"/>
      <c r="FL259" s="928"/>
      <c r="FM259" s="928"/>
      <c r="FN259" s="928"/>
      <c r="FO259" s="928"/>
      <c r="FP259" s="928"/>
      <c r="FQ259" s="928"/>
    </row>
    <row r="260" spans="1:173">
      <c r="A260" s="1344" t="s">
        <v>155</v>
      </c>
      <c r="B260" s="1413"/>
      <c r="C260" s="1413"/>
      <c r="D260" s="1413"/>
      <c r="E260" s="1413"/>
      <c r="F260" s="1413"/>
      <c r="G260" s="1413">
        <f t="shared" si="352"/>
        <v>502.45346869712353</v>
      </c>
      <c r="H260" s="1413">
        <f t="shared" si="352"/>
        <v>517.77231777231782</v>
      </c>
      <c r="I260" s="1413">
        <f t="shared" si="352"/>
        <v>558.31809872029237</v>
      </c>
      <c r="J260" s="1413">
        <f>K260-G260-H260-I260</f>
        <v>594.1561148102661</v>
      </c>
      <c r="K260" s="928">
        <v>2172.6999999999998</v>
      </c>
      <c r="L260" s="1413">
        <v>593.9</v>
      </c>
      <c r="M260" s="1413">
        <v>632.20000000000005</v>
      </c>
      <c r="N260" s="1413">
        <v>610.79999999999995</v>
      </c>
      <c r="O260" s="1413">
        <f>2474.6-L260-M260-N260</f>
        <v>637.69999999999982</v>
      </c>
      <c r="P260" s="1413">
        <f>SUM(L260:O260)</f>
        <v>2474.5999999999995</v>
      </c>
      <c r="Q260" s="1413">
        <v>639.5</v>
      </c>
      <c r="R260" s="1413">
        <v>668</v>
      </c>
      <c r="S260" s="1413">
        <v>683.6</v>
      </c>
      <c r="T260" s="1413">
        <f>2713.2-Q260-R260-S260</f>
        <v>722.0999999999998</v>
      </c>
      <c r="U260" s="1413">
        <f>SUM(Q260:T260)</f>
        <v>2713.2</v>
      </c>
      <c r="V260" s="1413">
        <v>736.5</v>
      </c>
      <c r="W260" s="1413">
        <v>779.6</v>
      </c>
      <c r="X260" s="1413">
        <v>819.4</v>
      </c>
      <c r="Y260" s="1413"/>
      <c r="Z260" s="1442">
        <f>'Cable cos'!I172</f>
        <v>3201.5759999999996</v>
      </c>
      <c r="AA260" s="1442"/>
      <c r="AB260" s="1442"/>
      <c r="AC260" s="1442"/>
      <c r="AD260" s="1442"/>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355"/>
      <c r="BF260" s="1254"/>
      <c r="BG260" s="1254"/>
      <c r="BH260" s="1254"/>
      <c r="BI260" s="1389"/>
      <c r="BJ260" s="1355"/>
      <c r="BK260" s="1254"/>
      <c r="BL260" s="1254"/>
      <c r="BM260" s="1254"/>
      <c r="BN260" s="1389"/>
      <c r="BO260" s="1355"/>
      <c r="BP260" s="1254"/>
      <c r="BQ260" s="1254"/>
      <c r="BR260" s="1254"/>
      <c r="BS260" s="1389"/>
      <c r="BT260" s="1355"/>
      <c r="BU260" s="1254"/>
      <c r="BV260" s="1254"/>
      <c r="BW260" s="1254"/>
      <c r="BX260" s="1389"/>
      <c r="BY260" s="1254"/>
      <c r="BZ260" s="1254"/>
      <c r="CA260" s="1316">
        <v>0.182</v>
      </c>
      <c r="CB260" s="1316">
        <v>0.221</v>
      </c>
      <c r="CC260" s="1316">
        <v>9.4E-2</v>
      </c>
      <c r="CD260" s="1316">
        <f>O260/J260-1</f>
        <v>7.328694278209813E-2</v>
      </c>
      <c r="CE260" s="1316"/>
      <c r="CF260" s="1316">
        <f t="shared" si="353"/>
        <v>7.6780602795083475E-2</v>
      </c>
      <c r="CG260" s="1316">
        <f t="shared" si="353"/>
        <v>5.6627649478013131E-2</v>
      </c>
      <c r="CH260" s="1316">
        <f t="shared" si="353"/>
        <v>0.1191879502292077</v>
      </c>
      <c r="CI260" s="1316">
        <f t="shared" si="353"/>
        <v>0.13235063509487222</v>
      </c>
      <c r="CJ260" s="928"/>
      <c r="CK260" s="1316">
        <f t="shared" si="354"/>
        <v>0.15168100078186075</v>
      </c>
      <c r="CL260" s="1316">
        <f t="shared" si="354"/>
        <v>0.16706586826347314</v>
      </c>
      <c r="CM260" s="1316">
        <f t="shared" si="354"/>
        <v>0.19865418373317723</v>
      </c>
      <c r="CN260" s="1316">
        <f>CM260</f>
        <v>0.19865418373317723</v>
      </c>
      <c r="CO260" s="928"/>
      <c r="CP260" s="928"/>
      <c r="CQ260" s="928"/>
      <c r="CR260" s="928"/>
      <c r="CS260" s="928"/>
      <c r="CT260" s="928"/>
      <c r="CU260" s="928"/>
      <c r="CV260" s="928"/>
      <c r="CW260" s="928"/>
      <c r="CX260" s="928"/>
      <c r="CY260" s="928"/>
      <c r="CZ260" s="928"/>
      <c r="DA260" s="928"/>
      <c r="DB260" s="928"/>
      <c r="DC260" s="928"/>
      <c r="DD260" s="928"/>
      <c r="DE260" s="928"/>
      <c r="DF260" s="928"/>
      <c r="DG260" s="928"/>
      <c r="DH260" s="928"/>
      <c r="DI260" s="928"/>
      <c r="DJ260" s="928"/>
      <c r="DK260" s="928"/>
      <c r="DL260" s="928"/>
      <c r="DM260" s="928"/>
      <c r="DN260" s="928"/>
      <c r="DO260" s="928"/>
      <c r="DP260" s="928"/>
      <c r="DQ260" s="928"/>
      <c r="DR260" s="928"/>
      <c r="DS260" s="928"/>
      <c r="DT260" s="928"/>
      <c r="DU260" s="928"/>
      <c r="DV260" s="928"/>
      <c r="DW260" s="928"/>
      <c r="DX260" s="928"/>
      <c r="DY260" s="1338"/>
      <c r="DZ260" s="928"/>
      <c r="EA260" s="928"/>
      <c r="EB260" s="928"/>
      <c r="EC260" s="1337"/>
      <c r="ED260" s="1338"/>
      <c r="EE260" s="928"/>
      <c r="EF260" s="928"/>
      <c r="EG260" s="928"/>
      <c r="EH260" s="1337"/>
      <c r="EI260" s="928"/>
      <c r="EJ260" s="928"/>
      <c r="EK260" s="928"/>
      <c r="EL260" s="928"/>
      <c r="EM260" s="1337"/>
      <c r="EN260" s="928"/>
      <c r="EO260" s="928"/>
      <c r="EP260" s="928"/>
      <c r="EQ260" s="928"/>
      <c r="ER260" s="928"/>
      <c r="ES260" s="928"/>
      <c r="ET260" s="928"/>
      <c r="EU260" s="928"/>
      <c r="EV260" s="928"/>
      <c r="EW260" s="928"/>
      <c r="EX260" s="928"/>
      <c r="EY260" s="928"/>
      <c r="EZ260" s="928"/>
      <c r="FA260" s="928"/>
      <c r="FB260" s="928"/>
      <c r="FC260" s="928"/>
      <c r="FD260" s="928"/>
      <c r="FE260" s="928"/>
      <c r="FF260" s="1254"/>
      <c r="FG260" s="928"/>
      <c r="FH260" s="1351"/>
      <c r="FI260" s="1319"/>
      <c r="FJ260" s="1612"/>
      <c r="FK260" s="1605"/>
      <c r="FL260" s="928"/>
      <c r="FM260" s="928"/>
      <c r="FN260" s="928"/>
      <c r="FO260" s="928"/>
      <c r="FP260" s="928"/>
      <c r="FQ260" s="928"/>
    </row>
    <row r="261" spans="1:173">
      <c r="A261" s="1206" t="s">
        <v>110</v>
      </c>
      <c r="B261" s="1413"/>
      <c r="C261" s="1413"/>
      <c r="D261" s="1413"/>
      <c r="E261" s="1413"/>
      <c r="F261" s="1413"/>
      <c r="G261" s="1413">
        <f t="shared" si="352"/>
        <v>650.55038103302275</v>
      </c>
      <c r="H261" s="1413">
        <f t="shared" si="352"/>
        <v>669.44444444444457</v>
      </c>
      <c r="I261" s="1413">
        <f t="shared" si="352"/>
        <v>693.4682612695492</v>
      </c>
      <c r="J261" s="1413">
        <f>K261-G261-H261-I261</f>
        <v>713.53691325298337</v>
      </c>
      <c r="K261" s="928">
        <v>2727</v>
      </c>
      <c r="L261" s="1413">
        <v>768.3</v>
      </c>
      <c r="M261" s="1413">
        <v>771.2</v>
      </c>
      <c r="N261" s="1413">
        <v>753.8</v>
      </c>
      <c r="O261" s="1413">
        <f>3039.8-L261-M261-N261</f>
        <v>746.5</v>
      </c>
      <c r="P261" s="1413">
        <f>SUM(L261:O261)</f>
        <v>3039.8</v>
      </c>
      <c r="Q261" s="928">
        <v>672</v>
      </c>
      <c r="R261" s="1413">
        <v>744.8</v>
      </c>
      <c r="S261" s="1413">
        <v>820.1</v>
      </c>
      <c r="T261" s="1413">
        <f>3051.4-Q261-R261-S261</f>
        <v>814.50000000000011</v>
      </c>
      <c r="U261" s="1413">
        <f>SUM(Q261:T261)</f>
        <v>3051.4</v>
      </c>
      <c r="V261" s="1413">
        <v>765.8</v>
      </c>
      <c r="W261" s="1413">
        <v>835.7</v>
      </c>
      <c r="X261" s="1413">
        <v>943.1</v>
      </c>
      <c r="Y261" s="1413"/>
      <c r="Z261" s="1442">
        <f>'Cable cos'!I174</f>
        <v>3442.8734999999988</v>
      </c>
      <c r="AA261" s="1442"/>
      <c r="AB261" s="1442"/>
      <c r="AC261" s="1442"/>
      <c r="AD261" s="1442"/>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355"/>
      <c r="BF261" s="1254"/>
      <c r="BG261" s="1254"/>
      <c r="BH261" s="1254"/>
      <c r="BI261" s="1389"/>
      <c r="BJ261" s="1355"/>
      <c r="BK261" s="1254"/>
      <c r="BL261" s="1254"/>
      <c r="BM261" s="1254"/>
      <c r="BN261" s="1389"/>
      <c r="BO261" s="1355"/>
      <c r="BP261" s="1254"/>
      <c r="BQ261" s="1254"/>
      <c r="BR261" s="1254"/>
      <c r="BS261" s="1389"/>
      <c r="BT261" s="1355"/>
      <c r="BU261" s="1254"/>
      <c r="BV261" s="1254"/>
      <c r="BW261" s="1254"/>
      <c r="BX261" s="1389"/>
      <c r="BY261" s="1254"/>
      <c r="BZ261" s="1254"/>
      <c r="CA261" s="1490">
        <v>0.18099999999999999</v>
      </c>
      <c r="CB261" s="1490">
        <v>0.152</v>
      </c>
      <c r="CC261" s="1490">
        <v>8.6999999999999994E-2</v>
      </c>
      <c r="CD261" s="1490">
        <f>O261/J261-1</f>
        <v>4.6196750490089311E-2</v>
      </c>
      <c r="CE261" s="1490"/>
      <c r="CF261" s="1490">
        <f t="shared" si="353"/>
        <v>-0.12534166341272934</v>
      </c>
      <c r="CG261" s="1490">
        <f t="shared" si="353"/>
        <v>-3.4232365145228316E-2</v>
      </c>
      <c r="CH261" s="1490">
        <f t="shared" si="353"/>
        <v>8.795436455293193E-2</v>
      </c>
      <c r="CI261" s="1490">
        <f t="shared" si="353"/>
        <v>9.1091761553918404E-2</v>
      </c>
      <c r="CJ261" s="928"/>
      <c r="CK261" s="1490">
        <f t="shared" si="354"/>
        <v>0.13958333333333317</v>
      </c>
      <c r="CL261" s="1490">
        <f t="shared" si="354"/>
        <v>0.12204618689581115</v>
      </c>
      <c r="CM261" s="1490">
        <f t="shared" si="354"/>
        <v>0.14998170954761614</v>
      </c>
      <c r="CN261" s="1316">
        <f>CM261</f>
        <v>0.14998170954761614</v>
      </c>
      <c r="CO261" s="928"/>
      <c r="CP261" s="928"/>
      <c r="CQ261" s="928"/>
      <c r="CR261" s="928"/>
      <c r="CS261" s="928"/>
      <c r="CT261" s="928"/>
      <c r="CU261" s="928"/>
      <c r="CV261" s="928"/>
      <c r="CW261" s="928"/>
      <c r="CX261" s="928"/>
      <c r="CY261" s="928"/>
      <c r="CZ261" s="928"/>
      <c r="DA261" s="928"/>
      <c r="DB261" s="928"/>
      <c r="DC261" s="928"/>
      <c r="DD261" s="928"/>
      <c r="DE261" s="928"/>
      <c r="DF261" s="928"/>
      <c r="DG261" s="928"/>
      <c r="DH261" s="928"/>
      <c r="DI261" s="928"/>
      <c r="DJ261" s="928"/>
      <c r="DK261" s="928"/>
      <c r="DL261" s="928"/>
      <c r="DM261" s="928"/>
      <c r="DN261" s="928"/>
      <c r="DO261" s="928"/>
      <c r="DP261" s="928"/>
      <c r="DQ261" s="928"/>
      <c r="DR261" s="928"/>
      <c r="DS261" s="928"/>
      <c r="DT261" s="928"/>
      <c r="DU261" s="928"/>
      <c r="DV261" s="928"/>
      <c r="DW261" s="928"/>
      <c r="DX261" s="928"/>
      <c r="DY261" s="1338"/>
      <c r="DZ261" s="928"/>
      <c r="EA261" s="928"/>
      <c r="EB261" s="928"/>
      <c r="EC261" s="1337"/>
      <c r="ED261" s="1338"/>
      <c r="EE261" s="928"/>
      <c r="EF261" s="928"/>
      <c r="EG261" s="928"/>
      <c r="EH261" s="1337"/>
      <c r="EI261" s="928"/>
      <c r="EJ261" s="928"/>
      <c r="EK261" s="928"/>
      <c r="EL261" s="928"/>
      <c r="EM261" s="1337"/>
      <c r="EN261" s="928"/>
      <c r="EO261" s="928"/>
      <c r="EP261" s="928"/>
      <c r="EQ261" s="928"/>
      <c r="ER261" s="928"/>
      <c r="ES261" s="928"/>
      <c r="ET261" s="928"/>
      <c r="EU261" s="928"/>
      <c r="EV261" s="928"/>
      <c r="EW261" s="928"/>
      <c r="EX261" s="928"/>
      <c r="EY261" s="928"/>
      <c r="EZ261" s="928"/>
      <c r="FA261" s="928"/>
      <c r="FB261" s="928"/>
      <c r="FC261" s="928"/>
      <c r="FD261" s="928"/>
      <c r="FE261" s="928"/>
      <c r="FF261" s="1254"/>
      <c r="FG261" s="928"/>
      <c r="FH261" s="1351"/>
      <c r="FI261" s="1319"/>
      <c r="FJ261" s="1612"/>
      <c r="FK261" s="1605"/>
      <c r="FL261" s="928"/>
      <c r="FM261" s="928"/>
      <c r="FN261" s="928"/>
      <c r="FO261" s="928"/>
      <c r="FP261" s="928"/>
      <c r="FQ261" s="928"/>
    </row>
    <row r="262" spans="1:173">
      <c r="A262" s="1484" t="s">
        <v>1510</v>
      </c>
      <c r="B262" s="1035"/>
      <c r="C262" s="1035"/>
      <c r="D262" s="1035"/>
      <c r="E262" s="1035"/>
      <c r="F262" s="1035"/>
      <c r="G262" s="1035"/>
      <c r="H262" s="1035"/>
      <c r="I262" s="1035"/>
      <c r="J262" s="1035"/>
      <c r="K262" s="1446"/>
      <c r="L262" s="1035"/>
      <c r="M262" s="1035"/>
      <c r="N262" s="1035"/>
      <c r="O262" s="1035"/>
      <c r="P262" s="1035"/>
      <c r="Q262" s="1446"/>
      <c r="R262" s="1035"/>
      <c r="S262" s="1035"/>
      <c r="T262" s="1035"/>
      <c r="U262" s="1035"/>
      <c r="V262" s="1035"/>
      <c r="W262" s="1035"/>
      <c r="X262" s="1035">
        <v>329.7</v>
      </c>
      <c r="Y262" s="1035">
        <v>1040</v>
      </c>
      <c r="Z262" s="1491">
        <f>'Cable cos'!I176</f>
        <v>1369.7</v>
      </c>
      <c r="AA262" s="1491"/>
      <c r="AB262" s="1491"/>
      <c r="AC262" s="1491"/>
      <c r="AD262" s="1491"/>
      <c r="AE262" s="1447"/>
      <c r="AF262" s="1447"/>
      <c r="AG262" s="1447"/>
      <c r="AH262" s="1447"/>
      <c r="AI262" s="1447"/>
      <c r="AJ262" s="1254"/>
      <c r="AK262" s="1447"/>
      <c r="AL262" s="1447"/>
      <c r="AM262" s="1447"/>
      <c r="AN262" s="1447"/>
      <c r="AO262" s="1254"/>
      <c r="AP262" s="1447"/>
      <c r="AQ262" s="1447"/>
      <c r="AR262" s="1447"/>
      <c r="AS262" s="1447"/>
      <c r="AT262" s="1254"/>
      <c r="AU262" s="1447"/>
      <c r="AV262" s="1447"/>
      <c r="AW262" s="1447"/>
      <c r="AX262" s="1447"/>
      <c r="AY262" s="1254"/>
      <c r="AZ262" s="1447"/>
      <c r="BA262" s="1447"/>
      <c r="BB262" s="1447"/>
      <c r="BC262" s="1254"/>
      <c r="BD262" s="1254"/>
      <c r="BE262" s="1355"/>
      <c r="BF262" s="1254"/>
      <c r="BG262" s="1254"/>
      <c r="BH262" s="1254"/>
      <c r="BI262" s="1389"/>
      <c r="BJ262" s="1355"/>
      <c r="BK262" s="1254"/>
      <c r="BL262" s="1254"/>
      <c r="BM262" s="1254"/>
      <c r="BN262" s="1389"/>
      <c r="BO262" s="1355"/>
      <c r="BP262" s="1254"/>
      <c r="BQ262" s="1254"/>
      <c r="BR262" s="1254"/>
      <c r="BS262" s="1389"/>
      <c r="BT262" s="1355"/>
      <c r="BU262" s="1254"/>
      <c r="BV262" s="1254"/>
      <c r="BW262" s="1254"/>
      <c r="BX262" s="1389"/>
      <c r="BY262" s="1254"/>
      <c r="BZ262" s="1254"/>
      <c r="CA262" s="1316"/>
      <c r="CB262" s="1316"/>
      <c r="CC262" s="1316"/>
      <c r="CD262" s="1316"/>
      <c r="CE262" s="1316"/>
      <c r="CF262" s="1316"/>
      <c r="CG262" s="1316"/>
      <c r="CH262" s="1316"/>
      <c r="CI262" s="1316"/>
      <c r="CJ262" s="928"/>
      <c r="CK262" s="1316"/>
      <c r="CL262" s="1316"/>
      <c r="CM262" s="1316"/>
      <c r="CN262" s="1316"/>
      <c r="CO262" s="928"/>
      <c r="CP262" s="928"/>
      <c r="CQ262" s="928"/>
      <c r="CR262" s="928"/>
      <c r="CS262" s="928"/>
      <c r="CT262" s="928"/>
      <c r="CU262" s="928"/>
      <c r="CV262" s="928"/>
      <c r="CW262" s="928"/>
      <c r="CX262" s="928"/>
      <c r="CY262" s="928"/>
      <c r="CZ262" s="928"/>
      <c r="DA262" s="928"/>
      <c r="DB262" s="928"/>
      <c r="DC262" s="928"/>
      <c r="DD262" s="928"/>
      <c r="DE262" s="928"/>
      <c r="DF262" s="928"/>
      <c r="DG262" s="928"/>
      <c r="DH262" s="928"/>
      <c r="DI262" s="928"/>
      <c r="DJ262" s="928"/>
      <c r="DK262" s="928"/>
      <c r="DL262" s="928"/>
      <c r="DM262" s="928"/>
      <c r="DN262" s="928"/>
      <c r="DO262" s="928"/>
      <c r="DP262" s="928"/>
      <c r="DQ262" s="928"/>
      <c r="DR262" s="928"/>
      <c r="DS262" s="928"/>
      <c r="DT262" s="928"/>
      <c r="DU262" s="928"/>
      <c r="DV262" s="928"/>
      <c r="DW262" s="928"/>
      <c r="DX262" s="928"/>
      <c r="DY262" s="1338"/>
      <c r="DZ262" s="928"/>
      <c r="EA262" s="928"/>
      <c r="EB262" s="928"/>
      <c r="EC262" s="1337"/>
      <c r="ED262" s="1338"/>
      <c r="EE262" s="928"/>
      <c r="EF262" s="928"/>
      <c r="EG262" s="928"/>
      <c r="EH262" s="1337"/>
      <c r="EI262" s="928"/>
      <c r="EJ262" s="928"/>
      <c r="EK262" s="928"/>
      <c r="EL262" s="928"/>
      <c r="EM262" s="1337"/>
      <c r="EN262" s="928"/>
      <c r="EO262" s="928"/>
      <c r="EP262" s="928"/>
      <c r="EQ262" s="928"/>
      <c r="ER262" s="928"/>
      <c r="ES262" s="928"/>
      <c r="ET262" s="928"/>
      <c r="EU262" s="928"/>
      <c r="EV262" s="928"/>
      <c r="EW262" s="928"/>
      <c r="EX262" s="928"/>
      <c r="EY262" s="928"/>
      <c r="EZ262" s="928"/>
      <c r="FA262" s="928"/>
      <c r="FB262" s="928"/>
      <c r="FC262" s="928"/>
      <c r="FD262" s="928"/>
      <c r="FE262" s="928"/>
      <c r="FF262" s="1254"/>
      <c r="FG262" s="928"/>
      <c r="FH262" s="1351"/>
      <c r="FI262" s="1319"/>
      <c r="FJ262" s="1612"/>
      <c r="FK262" s="1605"/>
      <c r="FL262" s="928"/>
      <c r="FM262" s="928"/>
      <c r="FN262" s="928"/>
      <c r="FO262" s="928"/>
      <c r="FP262" s="928"/>
      <c r="FQ262" s="928"/>
    </row>
    <row r="263" spans="1:173">
      <c r="A263" s="1344"/>
      <c r="B263" s="1413"/>
      <c r="C263" s="1413"/>
      <c r="D263" s="1413"/>
      <c r="E263" s="1413"/>
      <c r="F263" s="1413"/>
      <c r="G263" s="1413"/>
      <c r="H263" s="1413"/>
      <c r="I263" s="1413"/>
      <c r="J263" s="1413"/>
      <c r="K263" s="928"/>
      <c r="L263" s="1413"/>
      <c r="M263" s="1413"/>
      <c r="N263" s="1413"/>
      <c r="O263" s="1413"/>
      <c r="P263" s="1413"/>
      <c r="Q263" s="928"/>
      <c r="R263" s="1413"/>
      <c r="S263" s="1413"/>
      <c r="T263" s="1413"/>
      <c r="U263" s="1413"/>
      <c r="V263" s="1413"/>
      <c r="W263" s="1413"/>
      <c r="X263" s="1413"/>
      <c r="Y263" s="1413"/>
      <c r="Z263" s="1442"/>
      <c r="AA263" s="1442"/>
      <c r="AB263" s="1442"/>
      <c r="AC263" s="1442"/>
      <c r="AD263" s="1442"/>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355"/>
      <c r="BF263" s="1254"/>
      <c r="BG263" s="1254"/>
      <c r="BH263" s="1254"/>
      <c r="BI263" s="1389"/>
      <c r="BJ263" s="1355"/>
      <c r="BK263" s="1254"/>
      <c r="BL263" s="1254"/>
      <c r="BM263" s="1254"/>
      <c r="BN263" s="1389"/>
      <c r="BO263" s="1355"/>
      <c r="BP263" s="1254"/>
      <c r="BQ263" s="1254"/>
      <c r="BR263" s="1254"/>
      <c r="BS263" s="1389"/>
      <c r="BT263" s="1355"/>
      <c r="BU263" s="1254"/>
      <c r="BV263" s="1254"/>
      <c r="BW263" s="1254"/>
      <c r="BX263" s="1389"/>
      <c r="BY263" s="1254"/>
      <c r="BZ263" s="1254"/>
      <c r="CA263" s="1316"/>
      <c r="CB263" s="1316"/>
      <c r="CC263" s="1316"/>
      <c r="CD263" s="1316"/>
      <c r="CE263" s="1316"/>
      <c r="CF263" s="1316"/>
      <c r="CG263" s="1316"/>
      <c r="CH263" s="1316"/>
      <c r="CI263" s="1316"/>
      <c r="CJ263" s="928"/>
      <c r="CK263" s="1316"/>
      <c r="CL263" s="1316"/>
      <c r="CM263" s="1316"/>
      <c r="CN263" s="1316"/>
      <c r="CO263" s="928"/>
      <c r="CP263" s="928"/>
      <c r="CQ263" s="928"/>
      <c r="CR263" s="928"/>
      <c r="CS263" s="928"/>
      <c r="CT263" s="928"/>
      <c r="CU263" s="928"/>
      <c r="CV263" s="928"/>
      <c r="CW263" s="928"/>
      <c r="CX263" s="928"/>
      <c r="CY263" s="928"/>
      <c r="CZ263" s="928"/>
      <c r="DA263" s="928"/>
      <c r="DB263" s="928"/>
      <c r="DC263" s="928"/>
      <c r="DD263" s="928"/>
      <c r="DE263" s="928"/>
      <c r="DF263" s="928"/>
      <c r="DG263" s="928"/>
      <c r="DH263" s="928"/>
      <c r="DI263" s="928"/>
      <c r="DJ263" s="928"/>
      <c r="DK263" s="928"/>
      <c r="DL263" s="928"/>
      <c r="DM263" s="928"/>
      <c r="DN263" s="928"/>
      <c r="DO263" s="928"/>
      <c r="DP263" s="928"/>
      <c r="DQ263" s="928"/>
      <c r="DR263" s="928"/>
      <c r="DS263" s="928"/>
      <c r="DT263" s="928"/>
      <c r="DU263" s="928"/>
      <c r="DV263" s="928"/>
      <c r="DW263" s="928"/>
      <c r="DX263" s="928"/>
      <c r="DY263" s="1338"/>
      <c r="DZ263" s="928"/>
      <c r="EA263" s="928"/>
      <c r="EB263" s="928"/>
      <c r="EC263" s="1337"/>
      <c r="ED263" s="1338"/>
      <c r="EE263" s="928"/>
      <c r="EF263" s="928"/>
      <c r="EG263" s="928"/>
      <c r="EH263" s="1337"/>
      <c r="EI263" s="928"/>
      <c r="EJ263" s="928"/>
      <c r="EK263" s="928"/>
      <c r="EL263" s="928"/>
      <c r="EM263" s="1337"/>
      <c r="EN263" s="928"/>
      <c r="EO263" s="928"/>
      <c r="EP263" s="928"/>
      <c r="EQ263" s="928"/>
      <c r="ER263" s="928"/>
      <c r="ES263" s="928"/>
      <c r="ET263" s="928"/>
      <c r="EU263" s="928"/>
      <c r="EV263" s="928"/>
      <c r="EW263" s="928"/>
      <c r="EX263" s="928"/>
      <c r="EY263" s="928"/>
      <c r="EZ263" s="928"/>
      <c r="FA263" s="928"/>
      <c r="FB263" s="928"/>
      <c r="FC263" s="928"/>
      <c r="FD263" s="928"/>
      <c r="FE263" s="928"/>
      <c r="FF263" s="1254"/>
      <c r="FG263" s="928"/>
      <c r="FH263" s="1351"/>
      <c r="FI263" s="1319"/>
      <c r="FJ263" s="1612"/>
      <c r="FK263" s="1605"/>
      <c r="FL263" s="928"/>
      <c r="FM263" s="928"/>
      <c r="FN263" s="928"/>
      <c r="FO263" s="928"/>
      <c r="FP263" s="928"/>
      <c r="FQ263" s="928"/>
    </row>
    <row r="264" spans="1:173">
      <c r="A264" s="1344" t="s">
        <v>156</v>
      </c>
      <c r="B264" s="1413"/>
      <c r="C264" s="1413"/>
      <c r="D264" s="1413"/>
      <c r="E264" s="1413"/>
      <c r="F264" s="1413"/>
      <c r="G264" s="1413">
        <f t="shared" ref="G264:W264" si="355">SUM(G258:G261)</f>
        <v>3306.53505655961</v>
      </c>
      <c r="H264" s="1413">
        <f t="shared" si="355"/>
        <v>3403.1682027112838</v>
      </c>
      <c r="I264" s="1413">
        <f t="shared" si="355"/>
        <v>3523.4616622350923</v>
      </c>
      <c r="J264" s="1413">
        <f t="shared" si="355"/>
        <v>3784.1350784940132</v>
      </c>
      <c r="K264" s="928">
        <f t="shared" si="355"/>
        <v>14017.3</v>
      </c>
      <c r="L264" s="1413">
        <f t="shared" si="355"/>
        <v>3870.2</v>
      </c>
      <c r="M264" s="1413">
        <f t="shared" si="355"/>
        <v>3973.3999999999996</v>
      </c>
      <c r="N264" s="1413">
        <f t="shared" si="355"/>
        <v>3995.2000000000007</v>
      </c>
      <c r="O264" s="1413">
        <f t="shared" si="355"/>
        <v>4156.3999999999996</v>
      </c>
      <c r="P264" s="1413">
        <f t="shared" si="355"/>
        <v>15995.199999999997</v>
      </c>
      <c r="Q264" s="1413">
        <f t="shared" si="355"/>
        <v>4082.7</v>
      </c>
      <c r="R264" s="1413">
        <f t="shared" si="355"/>
        <v>4294.3999999999996</v>
      </c>
      <c r="S264" s="1413">
        <f t="shared" si="355"/>
        <v>4484.3</v>
      </c>
      <c r="T264" s="1413">
        <f t="shared" si="355"/>
        <v>4720.8000000000011</v>
      </c>
      <c r="U264" s="1413">
        <f t="shared" si="355"/>
        <v>17582.2</v>
      </c>
      <c r="V264" s="1413">
        <f t="shared" si="355"/>
        <v>4710.4000000000005</v>
      </c>
      <c r="W264" s="1413">
        <f t="shared" si="355"/>
        <v>4895.3</v>
      </c>
      <c r="X264" s="1413">
        <f>SUM(X258:X262)</f>
        <v>5426.2</v>
      </c>
      <c r="Y264" s="1413">
        <f>Y14</f>
        <v>6227.8</v>
      </c>
      <c r="Z264" s="1413">
        <f>SUM(Z258:Z262)</f>
        <v>21387.199999999997</v>
      </c>
      <c r="AA264" s="1413">
        <f>AA14</f>
        <v>6714.5</v>
      </c>
      <c r="AB264" s="1413">
        <f>AB14</f>
        <v>6909.7</v>
      </c>
      <c r="AC264" s="1413">
        <f>AC14</f>
        <v>7294</v>
      </c>
      <c r="AD264" s="1413">
        <f>AD14</f>
        <v>7570.0999999999985</v>
      </c>
      <c r="AE264" s="1413"/>
      <c r="AF264" s="1413">
        <f>AF14</f>
        <v>7621.1</v>
      </c>
      <c r="AG264" s="1413">
        <f>AG14</f>
        <v>7802.1</v>
      </c>
      <c r="AH264" s="1413">
        <f>AH14</f>
        <v>8155.2</v>
      </c>
      <c r="AI264" s="1413">
        <f>AI14</f>
        <v>8313.2000000000007</v>
      </c>
      <c r="AJ264" s="1254"/>
      <c r="AK264" s="1413">
        <f>AK14</f>
        <v>8096.3</v>
      </c>
      <c r="AL264" s="1413">
        <f>AL14</f>
        <v>8036.7</v>
      </c>
      <c r="AM264" s="1413">
        <f>AM14</f>
        <v>8322.5</v>
      </c>
      <c r="AN264" s="1413">
        <f>AN14</f>
        <v>8592.9</v>
      </c>
      <c r="AO264" s="1254"/>
      <c r="AP264" s="1413">
        <f>AP14</f>
        <v>8669.7000000000007</v>
      </c>
      <c r="AQ264" s="1413">
        <f>AQ14</f>
        <v>8825.7000000000007</v>
      </c>
      <c r="AR264" s="1413">
        <f>AR14</f>
        <v>9219.9</v>
      </c>
      <c r="AS264" s="1413">
        <f>AS14</f>
        <v>9517.7000000000007</v>
      </c>
      <c r="AT264" s="1254"/>
      <c r="AU264" s="1413">
        <f>AU14</f>
        <v>9898.1</v>
      </c>
      <c r="AV264" s="1413">
        <f>AV14</f>
        <v>10215.700000000001</v>
      </c>
      <c r="AW264" s="1413">
        <f>AW14</f>
        <v>10572.1</v>
      </c>
      <c r="AX264" s="1413">
        <f>AX14</f>
        <v>11016.1</v>
      </c>
      <c r="AY264" s="1254"/>
      <c r="AZ264" s="1413">
        <f>AZ14</f>
        <v>10824.7</v>
      </c>
      <c r="BA264" s="1413">
        <f>BA14</f>
        <v>11308.8</v>
      </c>
      <c r="BB264" s="1413">
        <f>BB14</f>
        <v>11407.9</v>
      </c>
      <c r="BC264" s="1254"/>
      <c r="BD264" s="1254"/>
      <c r="BE264" s="1355"/>
      <c r="BF264" s="1254"/>
      <c r="BG264" s="1254"/>
      <c r="BH264" s="1254"/>
      <c r="BI264" s="1389"/>
      <c r="BJ264" s="1355"/>
      <c r="BK264" s="1254"/>
      <c r="BL264" s="1254"/>
      <c r="BM264" s="1254"/>
      <c r="BN264" s="1389"/>
      <c r="BO264" s="1355"/>
      <c r="BP264" s="1254"/>
      <c r="BQ264" s="1254"/>
      <c r="BR264" s="1254"/>
      <c r="BS264" s="1389"/>
      <c r="BT264" s="1355"/>
      <c r="BU264" s="1254"/>
      <c r="BV264" s="1254"/>
      <c r="BW264" s="1254"/>
      <c r="BX264" s="1389"/>
      <c r="BY264" s="1254"/>
      <c r="BZ264" s="1254"/>
      <c r="CA264" s="1316">
        <f>L264/G264-1</f>
        <v>0.17046997349148718</v>
      </c>
      <c r="CB264" s="1316">
        <f>M264/H264-1</f>
        <v>0.16755909885218601</v>
      </c>
      <c r="CC264" s="1316">
        <f>N264/I264-1</f>
        <v>0.13388490722662305</v>
      </c>
      <c r="CD264" s="1316">
        <f>O264/J264-1</f>
        <v>9.8375167319380674E-2</v>
      </c>
      <c r="CE264" s="1316"/>
      <c r="CF264" s="1316">
        <f>Q264/L264-1</f>
        <v>5.4906723166761484E-2</v>
      </c>
      <c r="CG264" s="1316">
        <f>R264/M264-1</f>
        <v>8.0787235113504829E-2</v>
      </c>
      <c r="CH264" s="1316">
        <f>S264/N264-1</f>
        <v>0.1224219062875449</v>
      </c>
      <c r="CI264" s="1316">
        <f>T264/O264-1</f>
        <v>0.13579058800885413</v>
      </c>
      <c r="CJ264" s="928"/>
      <c r="CK264" s="1316">
        <f>V264/Q264-1</f>
        <v>0.15374629534376782</v>
      </c>
      <c r="CL264" s="1316">
        <f>W264/R264-1</f>
        <v>0.13992641579731768</v>
      </c>
      <c r="CM264" s="1316">
        <f>(X264-X262)/S264-1</f>
        <v>0.13652075017282517</v>
      </c>
      <c r="CN264" s="1316"/>
      <c r="CO264" s="928"/>
      <c r="CP264" s="928"/>
      <c r="CQ264" s="928"/>
      <c r="CR264" s="928"/>
      <c r="CS264" s="928"/>
      <c r="CT264" s="928"/>
      <c r="CU264" s="928"/>
      <c r="CV264" s="928"/>
      <c r="CW264" s="928"/>
      <c r="CX264" s="928"/>
      <c r="CY264" s="928"/>
      <c r="CZ264" s="928"/>
      <c r="DA264" s="928"/>
      <c r="DB264" s="928"/>
      <c r="DC264" s="928"/>
      <c r="DD264" s="928"/>
      <c r="DE264" s="928"/>
      <c r="DF264" s="928"/>
      <c r="DG264" s="928"/>
      <c r="DH264" s="928"/>
      <c r="DI264" s="928"/>
      <c r="DJ264" s="928"/>
      <c r="DK264" s="928"/>
      <c r="DL264" s="928"/>
      <c r="DM264" s="928"/>
      <c r="DN264" s="928"/>
      <c r="DO264" s="928"/>
      <c r="DP264" s="928"/>
      <c r="DQ264" s="928"/>
      <c r="DR264" s="928"/>
      <c r="DS264" s="928"/>
      <c r="DT264" s="928"/>
      <c r="DU264" s="928"/>
      <c r="DV264" s="928"/>
      <c r="DW264" s="928"/>
      <c r="DX264" s="928"/>
      <c r="DY264" s="1338"/>
      <c r="DZ264" s="928"/>
      <c r="EA264" s="928"/>
      <c r="EB264" s="928"/>
      <c r="EC264" s="1337"/>
      <c r="ED264" s="1338"/>
      <c r="EE264" s="928"/>
      <c r="EF264" s="928"/>
      <c r="EG264" s="928"/>
      <c r="EH264" s="1337"/>
      <c r="EI264" s="928"/>
      <c r="EJ264" s="928"/>
      <c r="EK264" s="928"/>
      <c r="EL264" s="928"/>
      <c r="EM264" s="1337"/>
      <c r="EN264" s="928"/>
      <c r="EO264" s="928"/>
      <c r="EP264" s="928"/>
      <c r="EQ264" s="928"/>
      <c r="ER264" s="928"/>
      <c r="ES264" s="928"/>
      <c r="ET264" s="928"/>
      <c r="EU264" s="928"/>
      <c r="EV264" s="928"/>
      <c r="EW264" s="928"/>
      <c r="EX264" s="928"/>
      <c r="EY264" s="928"/>
      <c r="EZ264" s="928"/>
      <c r="FA264" s="928"/>
      <c r="FB264" s="928"/>
      <c r="FC264" s="928"/>
      <c r="FD264" s="928"/>
      <c r="FE264" s="928"/>
      <c r="FF264" s="1254"/>
      <c r="FG264" s="928"/>
      <c r="FH264" s="1351"/>
      <c r="FI264" s="1319"/>
      <c r="FJ264" s="1612"/>
      <c r="FK264" s="1605"/>
      <c r="FL264" s="928"/>
      <c r="FM264" s="928"/>
      <c r="FN264" s="928"/>
      <c r="FO264" s="928"/>
      <c r="FP264" s="928"/>
      <c r="FQ264" s="928"/>
    </row>
    <row r="265" spans="1:173">
      <c r="A265" s="1206" t="s">
        <v>1244</v>
      </c>
      <c r="B265" s="1413"/>
      <c r="C265" s="1413"/>
      <c r="D265" s="1413"/>
      <c r="E265" s="1413"/>
      <c r="F265" s="1413"/>
      <c r="G265" s="1413">
        <f t="shared" ref="G265:X265" si="356">G264-G14</f>
        <v>76.835056559610166</v>
      </c>
      <c r="H265" s="1413">
        <f t="shared" si="356"/>
        <v>70.468202711283993</v>
      </c>
      <c r="I265" s="1413">
        <f t="shared" si="356"/>
        <v>128.66166223509208</v>
      </c>
      <c r="J265" s="1413">
        <f t="shared" si="356"/>
        <v>105.9350784940134</v>
      </c>
      <c r="K265" s="1413">
        <f t="shared" si="356"/>
        <v>381.89999999999782</v>
      </c>
      <c r="L265" s="1413">
        <f t="shared" si="356"/>
        <v>99.099999999999909</v>
      </c>
      <c r="M265" s="1413">
        <f t="shared" si="356"/>
        <v>101.69999999999982</v>
      </c>
      <c r="N265" s="1413">
        <f t="shared" si="356"/>
        <v>104.60000000000082</v>
      </c>
      <c r="O265" s="1413">
        <f t="shared" si="356"/>
        <v>119.39999999999964</v>
      </c>
      <c r="P265" s="1413">
        <f t="shared" si="356"/>
        <v>424.79999999999745</v>
      </c>
      <c r="Q265" s="1413">
        <f t="shared" si="356"/>
        <v>106.19999999999982</v>
      </c>
      <c r="R265" s="1413">
        <f t="shared" si="356"/>
        <v>106</v>
      </c>
      <c r="S265" s="1413">
        <f t="shared" si="356"/>
        <v>109.80000000000018</v>
      </c>
      <c r="T265" s="1413">
        <f t="shared" si="356"/>
        <v>121.40000000000146</v>
      </c>
      <c r="U265" s="1413">
        <f t="shared" si="356"/>
        <v>443.40000000000146</v>
      </c>
      <c r="V265" s="1413">
        <f t="shared" si="356"/>
        <v>109.80000000000018</v>
      </c>
      <c r="W265" s="1413">
        <f t="shared" si="356"/>
        <v>91.600000000000364</v>
      </c>
      <c r="X265" s="1413">
        <f t="shared" si="356"/>
        <v>121.09999999999945</v>
      </c>
      <c r="Y265" s="1413"/>
      <c r="Z265" s="1413">
        <f>-'Cable cos'!I184</f>
        <v>450</v>
      </c>
      <c r="AA265" s="1413"/>
      <c r="AB265" s="1413"/>
      <c r="AC265" s="1413"/>
      <c r="AD265" s="1413"/>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355"/>
      <c r="BF265" s="1254"/>
      <c r="BG265" s="1254"/>
      <c r="BH265" s="1254"/>
      <c r="BI265" s="1389"/>
      <c r="BJ265" s="1355"/>
      <c r="BK265" s="1254"/>
      <c r="BL265" s="1254"/>
      <c r="BM265" s="1254"/>
      <c r="BN265" s="1389"/>
      <c r="BO265" s="1355"/>
      <c r="BP265" s="1254"/>
      <c r="BQ265" s="1254"/>
      <c r="BR265" s="1254"/>
      <c r="BS265" s="1389"/>
      <c r="BT265" s="1355"/>
      <c r="BU265" s="1254"/>
      <c r="BV265" s="1254"/>
      <c r="BW265" s="1254"/>
      <c r="BX265" s="1389"/>
      <c r="BY265" s="1254"/>
      <c r="BZ265" s="1254"/>
      <c r="CA265" s="1316"/>
      <c r="CB265" s="1316"/>
      <c r="CC265" s="1316"/>
      <c r="CD265" s="1316"/>
      <c r="CE265" s="1316"/>
      <c r="CF265" s="1316"/>
      <c r="CG265" s="1316"/>
      <c r="CH265" s="1316"/>
      <c r="CI265" s="1316"/>
      <c r="CJ265" s="928"/>
      <c r="CK265" s="1316"/>
      <c r="CL265" s="1316"/>
      <c r="CM265" s="1316"/>
      <c r="CN265" s="1316"/>
      <c r="CO265" s="928"/>
      <c r="CP265" s="928"/>
      <c r="CQ265" s="928"/>
      <c r="CR265" s="928"/>
      <c r="CS265" s="928"/>
      <c r="CT265" s="928"/>
      <c r="CU265" s="928"/>
      <c r="CV265" s="928"/>
      <c r="CW265" s="928"/>
      <c r="CX265" s="928"/>
      <c r="CY265" s="928"/>
      <c r="CZ265" s="928"/>
      <c r="DA265" s="928"/>
      <c r="DB265" s="928"/>
      <c r="DC265" s="928"/>
      <c r="DD265" s="928"/>
      <c r="DE265" s="928"/>
      <c r="DF265" s="928"/>
      <c r="DG265" s="928"/>
      <c r="DH265" s="928"/>
      <c r="DI265" s="928"/>
      <c r="DJ265" s="928"/>
      <c r="DK265" s="928"/>
      <c r="DL265" s="928"/>
      <c r="DM265" s="928"/>
      <c r="DN265" s="928"/>
      <c r="DO265" s="928"/>
      <c r="DP265" s="928"/>
      <c r="DQ265" s="928"/>
      <c r="DR265" s="928"/>
      <c r="DS265" s="928"/>
      <c r="DT265" s="928"/>
      <c r="DU265" s="928"/>
      <c r="DV265" s="928"/>
      <c r="DW265" s="928"/>
      <c r="DX265" s="928"/>
      <c r="DY265" s="1338"/>
      <c r="DZ265" s="928"/>
      <c r="EA265" s="928"/>
      <c r="EB265" s="928"/>
      <c r="EC265" s="1337"/>
      <c r="ED265" s="1338"/>
      <c r="EE265" s="928"/>
      <c r="EF265" s="928"/>
      <c r="EG265" s="928"/>
      <c r="EH265" s="1337"/>
      <c r="EI265" s="928"/>
      <c r="EJ265" s="928"/>
      <c r="EK265" s="928"/>
      <c r="EL265" s="928"/>
      <c r="EM265" s="1337"/>
      <c r="EN265" s="928"/>
      <c r="EO265" s="928"/>
      <c r="EP265" s="928"/>
      <c r="EQ265" s="928"/>
      <c r="ER265" s="928"/>
      <c r="ES265" s="928"/>
      <c r="ET265" s="928"/>
      <c r="EU265" s="928"/>
      <c r="EV265" s="928"/>
      <c r="EW265" s="928"/>
      <c r="EX265" s="928"/>
      <c r="EY265" s="928"/>
      <c r="EZ265" s="928"/>
      <c r="FA265" s="928"/>
      <c r="FB265" s="928"/>
      <c r="FC265" s="928"/>
      <c r="FD265" s="928"/>
      <c r="FE265" s="928"/>
      <c r="FF265" s="1254"/>
      <c r="FG265" s="928"/>
      <c r="FH265" s="1351"/>
      <c r="FI265" s="1319"/>
      <c r="FJ265" s="1612"/>
      <c r="FK265" s="1605"/>
      <c r="FL265" s="928"/>
      <c r="FM265" s="928"/>
      <c r="FN265" s="928"/>
      <c r="FO265" s="928"/>
      <c r="FP265" s="928"/>
      <c r="FQ265" s="928"/>
    </row>
    <row r="266" spans="1:173">
      <c r="A266" s="1206"/>
      <c r="B266" s="1413"/>
      <c r="C266" s="1413"/>
      <c r="D266" s="1413"/>
      <c r="E266" s="1413"/>
      <c r="F266" s="1413"/>
      <c r="G266" s="1413"/>
      <c r="H266" s="1413"/>
      <c r="I266" s="1413"/>
      <c r="J266" s="1413"/>
      <c r="K266" s="1413"/>
      <c r="L266" s="1413"/>
      <c r="M266" s="1413"/>
      <c r="N266" s="1413"/>
      <c r="O266" s="1413"/>
      <c r="P266" s="1413"/>
      <c r="Q266" s="1413">
        <f t="shared" ref="Q266:X266" si="357">Q264-Q265</f>
        <v>3976.5</v>
      </c>
      <c r="R266" s="1413">
        <f t="shared" si="357"/>
        <v>4188.3999999999996</v>
      </c>
      <c r="S266" s="1413">
        <f t="shared" si="357"/>
        <v>4374.5</v>
      </c>
      <c r="T266" s="1413">
        <f t="shared" si="357"/>
        <v>4599.3999999999996</v>
      </c>
      <c r="U266" s="1413">
        <f t="shared" si="357"/>
        <v>17138.8</v>
      </c>
      <c r="V266" s="1413">
        <f t="shared" si="357"/>
        <v>4600.6000000000004</v>
      </c>
      <c r="W266" s="1413">
        <f t="shared" si="357"/>
        <v>4803.7</v>
      </c>
      <c r="X266" s="1413">
        <f t="shared" si="357"/>
        <v>5305.1</v>
      </c>
      <c r="Y266" s="1413">
        <f>Y14</f>
        <v>6227.8</v>
      </c>
      <c r="Z266" s="1413">
        <f>Z264-Z265</f>
        <v>20937.199999999997</v>
      </c>
      <c r="AA266" s="1413"/>
      <c r="AB266" s="1413"/>
      <c r="AC266" s="1413"/>
      <c r="AD266" s="1413"/>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355"/>
      <c r="BF266" s="1254"/>
      <c r="BG266" s="1254"/>
      <c r="BH266" s="1254"/>
      <c r="BI266" s="1389"/>
      <c r="BJ266" s="1355"/>
      <c r="BK266" s="1254"/>
      <c r="BL266" s="1254"/>
      <c r="BM266" s="1254"/>
      <c r="BN266" s="1389"/>
      <c r="BO266" s="1355"/>
      <c r="BP266" s="1254"/>
      <c r="BS266" s="1389"/>
      <c r="BT266" s="1355"/>
      <c r="BU266" s="1254"/>
      <c r="BV266" s="1254"/>
      <c r="BW266" s="1254"/>
      <c r="BX266" s="1389"/>
      <c r="BY266" s="1254"/>
      <c r="BZ266" s="1254"/>
      <c r="CA266" s="1316"/>
      <c r="CB266" s="1316"/>
      <c r="CC266" s="1316"/>
      <c r="CD266" s="1316"/>
      <c r="CE266" s="1316"/>
      <c r="CF266" s="1316"/>
      <c r="CG266" s="1316"/>
      <c r="CH266" s="1316"/>
      <c r="CI266" s="1316"/>
      <c r="CJ266" s="928"/>
      <c r="CK266" s="1316"/>
      <c r="CL266" s="1316"/>
      <c r="CM266" s="1316"/>
      <c r="CN266" s="1316"/>
      <c r="CO266" s="928"/>
      <c r="CP266" s="928"/>
      <c r="CQ266" s="928"/>
      <c r="CR266" s="928"/>
      <c r="CS266" s="928"/>
      <c r="CT266" s="928"/>
      <c r="CU266" s="928"/>
      <c r="CV266" s="928"/>
      <c r="CW266" s="928"/>
      <c r="CX266" s="928"/>
      <c r="CY266" s="928"/>
      <c r="CZ266" s="928"/>
      <c r="DA266" s="928"/>
      <c r="DB266" s="928"/>
      <c r="DC266" s="928"/>
      <c r="DD266" s="928"/>
      <c r="DE266" s="928"/>
      <c r="DF266" s="928"/>
      <c r="DG266" s="928"/>
      <c r="DH266" s="928"/>
      <c r="DI266" s="928"/>
      <c r="DJ266" s="928"/>
      <c r="DK266" s="928"/>
      <c r="DL266" s="928"/>
      <c r="DM266" s="928"/>
      <c r="DN266" s="928"/>
      <c r="DO266" s="928"/>
      <c r="DP266" s="928"/>
      <c r="DQ266" s="928"/>
      <c r="DR266" s="928"/>
      <c r="DS266" s="928"/>
      <c r="DT266" s="928"/>
      <c r="DU266" s="928"/>
      <c r="DV266" s="928"/>
      <c r="DW266" s="928"/>
      <c r="DX266" s="928"/>
      <c r="DY266" s="1338"/>
      <c r="DZ266" s="928"/>
      <c r="EA266" s="928"/>
      <c r="EB266" s="928"/>
      <c r="EC266" s="1337"/>
      <c r="ED266" s="1338"/>
      <c r="EE266" s="928"/>
      <c r="EF266" s="928"/>
      <c r="EG266" s="928"/>
      <c r="EH266" s="1337"/>
      <c r="EI266" s="928"/>
      <c r="EJ266" s="928"/>
      <c r="EK266" s="928"/>
      <c r="EL266" s="928"/>
      <c r="EM266" s="1337"/>
      <c r="EN266" s="928"/>
      <c r="EO266" s="928"/>
      <c r="EP266" s="928"/>
      <c r="EQ266" s="928"/>
      <c r="ER266" s="928"/>
      <c r="ES266" s="928"/>
      <c r="ET266" s="928"/>
      <c r="EU266" s="928"/>
      <c r="EV266" s="928"/>
      <c r="EW266" s="928"/>
      <c r="EX266" s="928"/>
      <c r="EY266" s="928"/>
      <c r="EZ266" s="928"/>
      <c r="FA266" s="928"/>
      <c r="FB266" s="928"/>
      <c r="FC266" s="928"/>
      <c r="FD266" s="928"/>
      <c r="FE266" s="928"/>
      <c r="FF266" s="1254"/>
      <c r="FG266" s="928"/>
      <c r="FH266" s="1351"/>
      <c r="FI266" s="1319"/>
      <c r="FJ266" s="1612"/>
      <c r="FK266" s="1605"/>
      <c r="FL266" s="928"/>
      <c r="FM266" s="928"/>
      <c r="FN266" s="928"/>
      <c r="FO266" s="928"/>
      <c r="FP266" s="928"/>
      <c r="FQ266" s="928"/>
    </row>
    <row r="267" spans="1:173">
      <c r="A267" s="928"/>
      <c r="B267" s="928"/>
      <c r="C267" s="928"/>
      <c r="D267" s="928"/>
      <c r="E267" s="928"/>
      <c r="F267" s="928"/>
      <c r="G267" s="1413">
        <f>(G264-G261)</f>
        <v>2655.9846755265871</v>
      </c>
      <c r="H267" s="1413">
        <f>(H264-H261)</f>
        <v>2733.7237582668395</v>
      </c>
      <c r="I267" s="1413">
        <f>(I264-I261)</f>
        <v>2829.9934009655431</v>
      </c>
      <c r="J267" s="1413">
        <f>(J264-J261)</f>
        <v>3070.5981652410301</v>
      </c>
      <c r="K267" s="928"/>
      <c r="L267" s="1413">
        <f>(L264-L261)</f>
        <v>3101.8999999999996</v>
      </c>
      <c r="M267" s="1413">
        <f>(M264-M261)</f>
        <v>3202.2</v>
      </c>
      <c r="N267" s="1413">
        <f>(N264-N261)</f>
        <v>3241.4000000000005</v>
      </c>
      <c r="O267" s="1413">
        <f>(O264-O261)</f>
        <v>3409.8999999999996</v>
      </c>
      <c r="P267" s="928"/>
      <c r="Q267" s="1413">
        <f t="shared" ref="Q267:X267" si="358">(Q264-Q261)</f>
        <v>3410.7</v>
      </c>
      <c r="R267" s="1413">
        <f t="shared" si="358"/>
        <v>3549.5999999999995</v>
      </c>
      <c r="S267" s="1413">
        <f t="shared" si="358"/>
        <v>3664.2000000000003</v>
      </c>
      <c r="T267" s="1413">
        <f t="shared" si="358"/>
        <v>3906.3000000000011</v>
      </c>
      <c r="U267" s="1413">
        <f t="shared" si="358"/>
        <v>14530.800000000001</v>
      </c>
      <c r="V267" s="1413">
        <f t="shared" si="358"/>
        <v>3944.6000000000004</v>
      </c>
      <c r="W267" s="1413">
        <f t="shared" si="358"/>
        <v>4059.6000000000004</v>
      </c>
      <c r="X267" s="1413">
        <f t="shared" si="358"/>
        <v>4483.0999999999995</v>
      </c>
      <c r="Y267" s="1413"/>
      <c r="Z267" s="1413">
        <f>(Z264-Z261)</f>
        <v>17944.326499999999</v>
      </c>
      <c r="AA267" s="1413"/>
      <c r="AB267" s="1413"/>
      <c r="AC267" s="1413"/>
      <c r="AD267" s="1413"/>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355"/>
      <c r="BF267" s="1254"/>
      <c r="BG267" s="1254"/>
      <c r="BH267" s="1254"/>
      <c r="BI267" s="1389"/>
      <c r="BJ267" s="1355"/>
      <c r="BK267" s="1254"/>
      <c r="BL267" s="1254"/>
      <c r="BM267" s="1254"/>
      <c r="BN267" s="1389"/>
      <c r="BO267" s="1355"/>
      <c r="BP267" s="1254"/>
      <c r="BS267" s="1389"/>
      <c r="BT267" s="1355"/>
      <c r="BU267" s="1254"/>
      <c r="BV267" s="1254"/>
      <c r="BW267" s="1254"/>
      <c r="BX267" s="1389"/>
      <c r="BY267" s="1254"/>
      <c r="BZ267" s="1254"/>
      <c r="CA267" s="1316">
        <v>0.182</v>
      </c>
      <c r="CB267" s="1316">
        <v>0.221</v>
      </c>
      <c r="CC267" s="1316">
        <v>9.4E-2</v>
      </c>
      <c r="CD267" s="1316">
        <f>O267/J267-1</f>
        <v>0.11050024018116211</v>
      </c>
      <c r="CE267" s="928"/>
      <c r="CF267" s="1316">
        <f>Q267/L267-1</f>
        <v>9.9551887552790319E-2</v>
      </c>
      <c r="CG267" s="1316">
        <f>R267/M267-1</f>
        <v>0.10848791455874074</v>
      </c>
      <c r="CH267" s="1316">
        <f>S267/N267-1</f>
        <v>0.13043746529277467</v>
      </c>
      <c r="CI267" s="1316">
        <f>T267/O267-1</f>
        <v>0.14557611660166025</v>
      </c>
      <c r="CJ267" s="928"/>
      <c r="CK267" s="1316">
        <f>V267/Q267-1</f>
        <v>0.15653678130589044</v>
      </c>
      <c r="CL267" s="1316">
        <f>W267/R267-1</f>
        <v>0.14367816091954055</v>
      </c>
      <c r="CM267" s="1316">
        <f>X267/S267-1</f>
        <v>0.22348670924076175</v>
      </c>
      <c r="CN267" s="1316"/>
      <c r="CO267" s="928"/>
      <c r="CP267" s="928"/>
      <c r="CQ267" s="928"/>
      <c r="CR267" s="928"/>
      <c r="CS267" s="928"/>
      <c r="CT267" s="928"/>
      <c r="CU267" s="928"/>
      <c r="CV267" s="928"/>
      <c r="CW267" s="928"/>
      <c r="CX267" s="928"/>
      <c r="CY267" s="928"/>
      <c r="CZ267" s="928"/>
      <c r="DA267" s="928"/>
      <c r="DB267" s="928"/>
      <c r="DC267" s="928"/>
      <c r="DD267" s="928"/>
      <c r="DE267" s="928"/>
      <c r="DF267" s="928"/>
      <c r="DG267" s="928"/>
      <c r="DH267" s="928"/>
      <c r="DI267" s="928"/>
      <c r="DJ267" s="928"/>
      <c r="DK267" s="928"/>
      <c r="DL267" s="928"/>
      <c r="DM267" s="928"/>
      <c r="DN267" s="928"/>
      <c r="DO267" s="928"/>
      <c r="DP267" s="928"/>
      <c r="DQ267" s="928"/>
      <c r="DR267" s="928"/>
      <c r="DS267" s="928"/>
      <c r="DT267" s="928"/>
      <c r="DU267" s="928"/>
      <c r="DV267" s="928"/>
      <c r="DW267" s="928"/>
      <c r="DX267" s="928"/>
      <c r="DY267" s="1338"/>
      <c r="DZ267" s="928"/>
      <c r="EA267" s="928"/>
      <c r="EB267" s="928"/>
      <c r="EC267" s="1337"/>
      <c r="ED267" s="1338"/>
      <c r="EE267" s="928"/>
      <c r="EF267" s="928"/>
      <c r="EG267" s="928"/>
      <c r="EH267" s="1337"/>
      <c r="EI267" s="928"/>
      <c r="EJ267" s="928"/>
      <c r="EK267" s="928"/>
      <c r="EL267" s="928"/>
      <c r="EM267" s="1337"/>
      <c r="EN267" s="928"/>
      <c r="EO267" s="928"/>
      <c r="EP267" s="928"/>
      <c r="EQ267" s="928"/>
      <c r="ER267" s="928"/>
      <c r="ES267" s="928"/>
      <c r="ET267" s="928"/>
      <c r="EU267" s="928"/>
      <c r="EV267" s="928"/>
      <c r="EW267" s="928"/>
      <c r="EX267" s="928"/>
      <c r="EY267" s="928"/>
      <c r="EZ267" s="928"/>
      <c r="FA267" s="928"/>
      <c r="FB267" s="928"/>
      <c r="FC267" s="928"/>
      <c r="FD267" s="928"/>
      <c r="FE267" s="928"/>
      <c r="FF267" s="1254"/>
      <c r="FG267" s="928"/>
      <c r="FH267" s="1351"/>
      <c r="FI267" s="1319"/>
      <c r="FJ267" s="1612"/>
      <c r="FK267" s="1605"/>
      <c r="FL267" s="928"/>
      <c r="FM267" s="928"/>
      <c r="FN267" s="928"/>
      <c r="FO267" s="928"/>
      <c r="FP267" s="928"/>
      <c r="FQ267" s="928"/>
    </row>
    <row r="268" spans="1:173">
      <c r="A268" s="928"/>
      <c r="B268" s="928"/>
      <c r="C268" s="928"/>
      <c r="D268" s="928"/>
      <c r="E268" s="928"/>
      <c r="F268" s="928"/>
      <c r="G268" s="1413"/>
      <c r="H268" s="1413"/>
      <c r="I268" s="1413"/>
      <c r="J268" s="1413"/>
      <c r="K268" s="928"/>
      <c r="L268" s="1413"/>
      <c r="M268" s="1413"/>
      <c r="N268" s="1413"/>
      <c r="O268" s="1413"/>
      <c r="P268" s="928"/>
      <c r="Q268" s="1413"/>
      <c r="R268" s="1413"/>
      <c r="S268" s="1413"/>
      <c r="T268" s="1413"/>
      <c r="U268" s="1413"/>
      <c r="V268" s="1413"/>
      <c r="W268" s="1413"/>
      <c r="X268" s="1413"/>
      <c r="Y268" s="1413"/>
      <c r="Z268" s="1413"/>
      <c r="AA268" s="1413"/>
      <c r="AB268" s="1413"/>
      <c r="AC268" s="1413"/>
      <c r="AD268" s="1413"/>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355"/>
      <c r="BF268" s="1254"/>
      <c r="BG268" s="1254"/>
      <c r="BH268" s="1254"/>
      <c r="BI268" s="1389"/>
      <c r="BJ268" s="1355"/>
      <c r="BK268" s="1254"/>
      <c r="BL268" s="1254"/>
      <c r="BM268" s="1254"/>
      <c r="BN268" s="1389"/>
      <c r="BO268" s="1355"/>
      <c r="BP268" s="1254"/>
      <c r="BS268" s="1389"/>
      <c r="BT268" s="1355"/>
      <c r="BU268" s="1254"/>
      <c r="BV268" s="1254"/>
      <c r="BW268" s="1254"/>
      <c r="BX268" s="1389"/>
      <c r="BY268" s="1254"/>
      <c r="BZ268" s="1254"/>
      <c r="CA268" s="1316"/>
      <c r="CB268" s="1316"/>
      <c r="CC268" s="1316"/>
      <c r="CD268" s="1316"/>
      <c r="CE268" s="928"/>
      <c r="CF268" s="1316"/>
      <c r="CG268" s="1316"/>
      <c r="CH268" s="1316"/>
      <c r="CI268" s="1316"/>
      <c r="CJ268" s="928"/>
      <c r="CK268" s="1316"/>
      <c r="CL268" s="1316"/>
      <c r="CM268" s="1316"/>
      <c r="CN268" s="1316"/>
      <c r="CO268" s="928"/>
      <c r="CP268" s="928"/>
      <c r="CQ268" s="928"/>
      <c r="CR268" s="928"/>
      <c r="CS268" s="928"/>
      <c r="CT268" s="928"/>
      <c r="CU268" s="928"/>
      <c r="CV268" s="928"/>
      <c r="CW268" s="928"/>
      <c r="CX268" s="928"/>
      <c r="CY268" s="928"/>
      <c r="CZ268" s="928"/>
      <c r="DA268" s="928"/>
      <c r="DB268" s="928"/>
      <c r="DC268" s="928"/>
      <c r="DD268" s="928"/>
      <c r="DE268" s="928"/>
      <c r="DF268" s="928"/>
      <c r="DG268" s="928"/>
      <c r="DH268" s="928"/>
      <c r="DI268" s="928"/>
      <c r="DJ268" s="928"/>
      <c r="DK268" s="928"/>
      <c r="DL268" s="928"/>
      <c r="DM268" s="928"/>
      <c r="DN268" s="928"/>
      <c r="DO268" s="928"/>
      <c r="DP268" s="928"/>
      <c r="DQ268" s="928"/>
      <c r="DR268" s="928"/>
      <c r="DS268" s="928"/>
      <c r="DT268" s="928"/>
      <c r="DU268" s="928"/>
      <c r="DV268" s="928"/>
      <c r="DW268" s="928"/>
      <c r="DX268" s="928"/>
      <c r="DY268" s="1338"/>
      <c r="DZ268" s="928"/>
      <c r="EA268" s="928"/>
      <c r="EB268" s="928"/>
      <c r="EC268" s="1337"/>
      <c r="ED268" s="1338"/>
      <c r="EE268" s="928"/>
      <c r="EF268" s="928"/>
      <c r="EG268" s="928"/>
      <c r="EH268" s="1337"/>
      <c r="EI268" s="928"/>
      <c r="EJ268" s="928"/>
      <c r="EK268" s="928"/>
      <c r="EL268" s="928"/>
      <c r="EM268" s="1337"/>
      <c r="EN268" s="928"/>
      <c r="EO268" s="928"/>
      <c r="EP268" s="928"/>
      <c r="EQ268" s="928"/>
      <c r="ER268" s="928"/>
      <c r="ES268" s="928"/>
      <c r="ET268" s="928"/>
      <c r="EU268" s="928"/>
      <c r="EV268" s="928"/>
      <c r="EW268" s="928"/>
      <c r="EX268" s="928"/>
      <c r="EY268" s="928"/>
      <c r="EZ268" s="928"/>
      <c r="FA268" s="928"/>
      <c r="FB268" s="928"/>
      <c r="FC268" s="928"/>
      <c r="FD268" s="928"/>
      <c r="FE268" s="928"/>
      <c r="FF268" s="1254"/>
      <c r="FG268" s="928"/>
      <c r="FH268" s="1351"/>
      <c r="FI268" s="1319"/>
      <c r="FJ268" s="1612"/>
      <c r="FK268" s="1605"/>
      <c r="FL268" s="928"/>
      <c r="FM268" s="928"/>
      <c r="FN268" s="928"/>
      <c r="FO268" s="928"/>
      <c r="FP268" s="928"/>
      <c r="FQ268" s="928"/>
    </row>
    <row r="269" spans="1:173">
      <c r="A269" s="1492" t="s">
        <v>91</v>
      </c>
      <c r="B269" s="928"/>
      <c r="C269" s="928"/>
      <c r="D269" s="928"/>
      <c r="E269" s="928"/>
      <c r="F269" s="928"/>
      <c r="G269" s="1413"/>
      <c r="H269" s="1413"/>
      <c r="I269" s="1413"/>
      <c r="J269" s="1413"/>
      <c r="K269" s="928"/>
      <c r="L269" s="1413"/>
      <c r="M269" s="1413"/>
      <c r="N269" s="1413"/>
      <c r="O269" s="1413"/>
      <c r="P269" s="928"/>
      <c r="Q269" s="1413"/>
      <c r="R269" s="1413"/>
      <c r="S269" s="1413"/>
      <c r="T269" s="1413"/>
      <c r="U269" s="1413"/>
      <c r="V269" s="1413"/>
      <c r="W269" s="1413"/>
      <c r="X269" s="1413"/>
      <c r="Y269" s="1413"/>
      <c r="Z269" s="1413"/>
      <c r="AA269" s="1413"/>
      <c r="AB269" s="1413"/>
      <c r="AC269" s="1413"/>
      <c r="AD269" s="1413"/>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355"/>
      <c r="BF269" s="1254"/>
      <c r="BG269" s="1254"/>
      <c r="BH269" s="1254"/>
      <c r="BI269" s="1389"/>
      <c r="BJ269" s="1355"/>
      <c r="BK269" s="1254"/>
      <c r="BL269" s="1254"/>
      <c r="BM269" s="1254"/>
      <c r="BN269" s="1389"/>
      <c r="BO269" s="1355"/>
      <c r="BP269" s="1254"/>
      <c r="BQ269" s="1254"/>
      <c r="BR269" s="1254"/>
      <c r="BS269" s="1389"/>
      <c r="BT269" s="1355"/>
      <c r="BU269" s="1254"/>
      <c r="BV269" s="1254"/>
      <c r="BW269" s="1254"/>
      <c r="BX269" s="1389"/>
      <c r="BY269" s="1254"/>
      <c r="BZ269" s="1254"/>
      <c r="CA269" s="1316"/>
      <c r="CB269" s="1316"/>
      <c r="CC269" s="1316"/>
      <c r="CD269" s="1316"/>
      <c r="CE269" s="928"/>
      <c r="CF269" s="1316"/>
      <c r="CG269" s="1316"/>
      <c r="CH269" s="1316"/>
      <c r="CI269" s="1316"/>
      <c r="CJ269" s="928"/>
      <c r="CK269" s="1316"/>
      <c r="CL269" s="1316"/>
      <c r="CM269" s="1316"/>
      <c r="CN269" s="1316"/>
      <c r="CO269" s="928"/>
      <c r="CP269" s="928"/>
      <c r="CQ269" s="928"/>
      <c r="CR269" s="928"/>
      <c r="CS269" s="928"/>
      <c r="CT269" s="928"/>
      <c r="CU269" s="928"/>
      <c r="CV269" s="928"/>
      <c r="CW269" s="928"/>
      <c r="CX269" s="928"/>
      <c r="CY269" s="928"/>
      <c r="CZ269" s="928"/>
      <c r="DA269" s="928"/>
      <c r="DB269" s="928"/>
      <c r="DC269" s="928"/>
      <c r="DD269" s="928"/>
      <c r="DE269" s="928"/>
      <c r="DF269" s="928"/>
      <c r="DG269" s="928"/>
      <c r="DH269" s="928"/>
      <c r="DI269" s="928"/>
      <c r="DJ269" s="928"/>
      <c r="DK269" s="928"/>
      <c r="DL269" s="928"/>
      <c r="DM269" s="928"/>
      <c r="DN269" s="928"/>
      <c r="DO269" s="928"/>
      <c r="DP269" s="928"/>
      <c r="DQ269" s="928"/>
      <c r="DR269" s="928"/>
      <c r="DS269" s="928"/>
      <c r="DT269" s="928"/>
      <c r="DU269" s="928"/>
      <c r="DV269" s="928"/>
      <c r="DW269" s="928"/>
      <c r="DX269" s="928"/>
      <c r="DY269" s="1338"/>
      <c r="DZ269" s="928"/>
      <c r="EA269" s="928"/>
      <c r="EB269" s="928"/>
      <c r="EC269" s="1337"/>
      <c r="ED269" s="1338"/>
      <c r="EE269" s="928"/>
      <c r="EF269" s="928"/>
      <c r="EG269" s="928"/>
      <c r="EH269" s="1337"/>
      <c r="EI269" s="928"/>
      <c r="EJ269" s="928"/>
      <c r="EK269" s="928"/>
      <c r="EL269" s="928"/>
      <c r="EM269" s="1337"/>
      <c r="EN269" s="928"/>
      <c r="EO269" s="928"/>
      <c r="EP269" s="928"/>
      <c r="EQ269" s="928"/>
      <c r="ER269" s="928"/>
      <c r="ES269" s="928"/>
      <c r="ET269" s="928"/>
      <c r="EU269" s="928"/>
      <c r="EV269" s="928"/>
      <c r="EW269" s="928"/>
      <c r="EX269" s="928"/>
      <c r="EY269" s="928"/>
      <c r="EZ269" s="928"/>
      <c r="FA269" s="928"/>
      <c r="FB269" s="928"/>
      <c r="FC269" s="928"/>
      <c r="FD269" s="928"/>
      <c r="FE269" s="928"/>
      <c r="FF269" s="1254"/>
      <c r="FG269" s="928"/>
      <c r="FH269" s="1351"/>
      <c r="FI269" s="1319"/>
      <c r="FJ269" s="1612"/>
      <c r="FK269" s="1605"/>
      <c r="FL269" s="928"/>
      <c r="FM269" s="928"/>
      <c r="FN269" s="928"/>
      <c r="FO269" s="928"/>
      <c r="FP269" s="928"/>
      <c r="FQ269" s="928"/>
    </row>
    <row r="270" spans="1:173">
      <c r="A270" s="928" t="s">
        <v>200</v>
      </c>
      <c r="B270" s="928"/>
      <c r="C270" s="928"/>
      <c r="D270" s="928"/>
      <c r="E270" s="928"/>
      <c r="F270" s="928"/>
      <c r="G270" s="1413"/>
      <c r="H270" s="1413"/>
      <c r="I270" s="1413"/>
      <c r="J270" s="1413"/>
      <c r="K270" s="928"/>
      <c r="L270" s="1413"/>
      <c r="M270" s="1413"/>
      <c r="N270" s="1413"/>
      <c r="O270" s="1413"/>
      <c r="P270" s="928"/>
      <c r="Q270" s="1413"/>
      <c r="R270" s="1413"/>
      <c r="S270" s="1413"/>
      <c r="T270" s="1413"/>
      <c r="U270" s="1413"/>
      <c r="V270" s="1413"/>
      <c r="W270" s="1413"/>
      <c r="X270" s="1413">
        <v>2513</v>
      </c>
      <c r="Y270" s="1413">
        <v>2579</v>
      </c>
      <c r="Z270" s="1413"/>
      <c r="AA270" s="1413">
        <v>2578.3000000000002</v>
      </c>
      <c r="AB270" s="1413">
        <v>2659</v>
      </c>
      <c r="AC270" s="1413">
        <v>2864</v>
      </c>
      <c r="AD270" s="1413">
        <v>2963</v>
      </c>
      <c r="AE270" s="1254"/>
      <c r="AF270" s="1413">
        <v>2927.8</v>
      </c>
      <c r="AG270" s="1413">
        <v>3037</v>
      </c>
      <c r="AH270" s="1413">
        <v>3153</v>
      </c>
      <c r="AI270" s="1413"/>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355"/>
      <c r="BF270" s="1254"/>
      <c r="BG270" s="1254"/>
      <c r="BH270" s="1254"/>
      <c r="BI270" s="1389"/>
      <c r="BJ270" s="1355"/>
      <c r="BK270" s="1254"/>
      <c r="BL270" s="1254"/>
      <c r="BM270" s="1254"/>
      <c r="BN270" s="1389"/>
      <c r="BO270" s="1355"/>
      <c r="BP270" s="1254"/>
      <c r="BQ270" s="1254"/>
      <c r="BR270" s="1254"/>
      <c r="BS270" s="1389"/>
      <c r="BT270" s="1355"/>
      <c r="BU270" s="1254"/>
      <c r="BV270" s="1254"/>
      <c r="BW270" s="1254"/>
      <c r="BX270" s="1389"/>
      <c r="BY270" s="1254"/>
      <c r="BZ270" s="1254"/>
      <c r="CA270" s="1316"/>
      <c r="CB270" s="1316"/>
      <c r="CC270" s="1316"/>
      <c r="CD270" s="1316"/>
      <c r="CE270" s="928"/>
      <c r="CF270" s="1316"/>
      <c r="CG270" s="1316"/>
      <c r="CH270" s="1316"/>
      <c r="CI270" s="1316"/>
      <c r="CJ270" s="928"/>
      <c r="CK270" s="1316"/>
      <c r="CL270" s="1316"/>
      <c r="CM270" s="1316"/>
      <c r="CN270" s="1316"/>
      <c r="CO270" s="928"/>
      <c r="CP270" s="928"/>
      <c r="CQ270" s="928"/>
      <c r="CR270" s="928"/>
      <c r="CS270" s="928"/>
      <c r="CT270" s="928"/>
      <c r="CU270" s="928"/>
      <c r="CV270" s="928"/>
      <c r="CW270" s="928"/>
      <c r="CX270" s="928"/>
      <c r="CY270" s="928"/>
      <c r="CZ270" s="928"/>
      <c r="DA270" s="928"/>
      <c r="DB270" s="928"/>
      <c r="DC270" s="928"/>
      <c r="DD270" s="928"/>
      <c r="DE270" s="928"/>
      <c r="DF270" s="928"/>
      <c r="DG270" s="928"/>
      <c r="DH270" s="928"/>
      <c r="DI270" s="928"/>
      <c r="DJ270" s="928"/>
      <c r="DK270" s="928"/>
      <c r="DL270" s="928"/>
      <c r="DM270" s="928"/>
      <c r="DN270" s="928"/>
      <c r="DO270" s="928"/>
      <c r="DP270" s="928"/>
      <c r="DQ270" s="928"/>
      <c r="DR270" s="928"/>
      <c r="DS270" s="928"/>
      <c r="DT270" s="928"/>
      <c r="DU270" s="928"/>
      <c r="DV270" s="928"/>
      <c r="DW270" s="928"/>
      <c r="DX270" s="928"/>
      <c r="DY270" s="1338"/>
      <c r="DZ270" s="928"/>
      <c r="EA270" s="928"/>
      <c r="EB270" s="928"/>
      <c r="EC270" s="1337"/>
      <c r="ED270" s="1338"/>
      <c r="EE270" s="928"/>
      <c r="EF270" s="928"/>
      <c r="EG270" s="928"/>
      <c r="EH270" s="1337"/>
      <c r="EI270" s="928"/>
      <c r="EJ270" s="928"/>
      <c r="EK270" s="928"/>
      <c r="EL270" s="928"/>
      <c r="EM270" s="1337"/>
      <c r="EN270" s="928"/>
      <c r="EO270" s="928"/>
      <c r="EP270" s="928"/>
      <c r="EQ270" s="928"/>
      <c r="ER270" s="928"/>
      <c r="ES270" s="928"/>
      <c r="ET270" s="928"/>
      <c r="EU270" s="928"/>
      <c r="EV270" s="928"/>
      <c r="EW270" s="928"/>
      <c r="EX270" s="928"/>
      <c r="EY270" s="928"/>
      <c r="EZ270" s="928"/>
      <c r="FA270" s="928"/>
      <c r="FB270" s="928"/>
      <c r="FC270" s="928"/>
      <c r="FD270" s="928"/>
      <c r="FE270" s="928"/>
      <c r="FF270" s="1254"/>
      <c r="FG270" s="928"/>
      <c r="FH270" s="1351"/>
      <c r="FI270" s="1319"/>
      <c r="FJ270" s="1612"/>
      <c r="FK270" s="1605"/>
      <c r="FL270" s="928"/>
      <c r="FM270" s="928"/>
      <c r="FN270" s="928"/>
      <c r="FO270" s="928"/>
      <c r="FP270" s="928"/>
      <c r="FQ270" s="928"/>
    </row>
    <row r="271" spans="1:173">
      <c r="A271" s="928"/>
      <c r="B271" s="928"/>
      <c r="C271" s="928"/>
      <c r="D271" s="928"/>
      <c r="E271" s="928"/>
      <c r="F271" s="928"/>
      <c r="G271" s="1413"/>
      <c r="H271" s="1413"/>
      <c r="I271" s="1413"/>
      <c r="J271" s="1413"/>
      <c r="K271" s="928"/>
      <c r="L271" s="1413"/>
      <c r="M271" s="1413"/>
      <c r="N271" s="1413"/>
      <c r="O271" s="1413"/>
      <c r="P271" s="928"/>
      <c r="Q271" s="1413"/>
      <c r="R271" s="1413"/>
      <c r="S271" s="1413"/>
      <c r="T271" s="1413"/>
      <c r="U271" s="1413"/>
      <c r="V271" s="1413"/>
      <c r="W271" s="1413"/>
      <c r="X271" s="1413"/>
      <c r="Y271" s="1413"/>
      <c r="Z271" s="1413"/>
      <c r="AA271" s="1413"/>
      <c r="AB271" s="1413"/>
      <c r="AC271" s="1316">
        <f>AC270/X270-1</f>
        <v>0.13967369677676089</v>
      </c>
      <c r="AD271" s="1316">
        <f>AD270/Y270-1</f>
        <v>0.14889492051182618</v>
      </c>
      <c r="AE271" s="1254"/>
      <c r="AF271" s="1316">
        <f>AF270/AA270-1</f>
        <v>0.13555443509289056</v>
      </c>
      <c r="AG271" s="1316">
        <f>AG270/AB270-1</f>
        <v>0.14215870628055649</v>
      </c>
      <c r="AH271" s="1316">
        <f>AH270/AC270-1</f>
        <v>0.10090782122905018</v>
      </c>
      <c r="AI271" s="1316"/>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355"/>
      <c r="BF271" s="1254"/>
      <c r="BG271" s="1254"/>
      <c r="BH271" s="1254"/>
      <c r="BI271" s="1389"/>
      <c r="BJ271" s="1355"/>
      <c r="BK271" s="1254"/>
      <c r="BL271" s="1254"/>
      <c r="BM271" s="1254"/>
      <c r="BN271" s="1389"/>
      <c r="BO271" s="1355"/>
      <c r="BP271" s="1254"/>
      <c r="BQ271" s="1254"/>
      <c r="BR271" s="1254"/>
      <c r="BS271" s="1389"/>
      <c r="BT271" s="1355"/>
      <c r="BU271" s="1254"/>
      <c r="BV271" s="1254"/>
      <c r="BW271" s="1254"/>
      <c r="BX271" s="1389"/>
      <c r="BY271" s="1254"/>
      <c r="BZ271" s="1254"/>
      <c r="CA271" s="1316"/>
      <c r="CB271" s="1316"/>
      <c r="CC271" s="1316"/>
      <c r="CD271" s="1316"/>
      <c r="CE271" s="928"/>
      <c r="CF271" s="1316"/>
      <c r="CG271" s="1316"/>
      <c r="CH271" s="1316"/>
      <c r="CI271" s="1316"/>
      <c r="CJ271" s="928"/>
      <c r="CK271" s="1316"/>
      <c r="CL271" s="1316"/>
      <c r="CM271" s="1316"/>
      <c r="CN271" s="1316"/>
      <c r="CO271" s="928"/>
      <c r="CP271" s="928"/>
      <c r="CQ271" s="928"/>
      <c r="CR271" s="928"/>
      <c r="CS271" s="928"/>
      <c r="CT271" s="928"/>
      <c r="CU271" s="928"/>
      <c r="CV271" s="928"/>
      <c r="CW271" s="928"/>
      <c r="CX271" s="928"/>
      <c r="CY271" s="928"/>
      <c r="CZ271" s="928"/>
      <c r="DA271" s="928"/>
      <c r="DB271" s="928"/>
      <c r="DC271" s="928"/>
      <c r="DD271" s="928"/>
      <c r="DE271" s="928"/>
      <c r="DF271" s="928"/>
      <c r="DG271" s="928"/>
      <c r="DH271" s="928"/>
      <c r="DI271" s="928"/>
      <c r="DJ271" s="928"/>
      <c r="DK271" s="928"/>
      <c r="DL271" s="928"/>
      <c r="DM271" s="928"/>
      <c r="DN271" s="928"/>
      <c r="DO271" s="928"/>
      <c r="DP271" s="928"/>
      <c r="DQ271" s="928"/>
      <c r="DR271" s="928"/>
      <c r="DS271" s="928"/>
      <c r="DT271" s="928"/>
      <c r="DU271" s="928"/>
      <c r="DV271" s="928"/>
      <c r="DW271" s="928"/>
      <c r="DX271" s="928"/>
      <c r="DY271" s="1338"/>
      <c r="DZ271" s="928"/>
      <c r="EA271" s="928"/>
      <c r="EB271" s="928"/>
      <c r="EC271" s="1337"/>
      <c r="ED271" s="1338"/>
      <c r="EE271" s="928"/>
      <c r="EF271" s="928"/>
      <c r="EG271" s="928"/>
      <c r="EH271" s="1337"/>
      <c r="EI271" s="928"/>
      <c r="EJ271" s="928"/>
      <c r="EK271" s="928"/>
      <c r="EL271" s="928"/>
      <c r="EM271" s="1337"/>
      <c r="EN271" s="928"/>
      <c r="EO271" s="928"/>
      <c r="EP271" s="928"/>
      <c r="EQ271" s="928"/>
      <c r="ER271" s="928"/>
      <c r="ES271" s="928"/>
      <c r="ET271" s="928"/>
      <c r="EU271" s="928"/>
      <c r="EV271" s="928"/>
      <c r="EW271" s="928"/>
      <c r="EX271" s="928"/>
      <c r="EY271" s="928"/>
      <c r="EZ271" s="928"/>
      <c r="FA271" s="928"/>
      <c r="FB271" s="928"/>
      <c r="FC271" s="928"/>
      <c r="FD271" s="928"/>
      <c r="FE271" s="928"/>
      <c r="FF271" s="1254"/>
      <c r="FG271" s="928"/>
      <c r="FH271" s="1351"/>
      <c r="FI271" s="1319"/>
      <c r="FJ271" s="1612"/>
      <c r="FK271" s="1605"/>
      <c r="FL271" s="928"/>
      <c r="FM271" s="928"/>
      <c r="FN271" s="928"/>
      <c r="FO271" s="928"/>
      <c r="FP271" s="928"/>
      <c r="FQ271" s="928"/>
    </row>
    <row r="272" spans="1:173">
      <c r="A272" s="928" t="s">
        <v>57</v>
      </c>
      <c r="B272" s="928"/>
      <c r="C272" s="928"/>
      <c r="D272" s="928"/>
      <c r="E272" s="928"/>
      <c r="F272" s="928"/>
      <c r="G272" s="1413"/>
      <c r="H272" s="1413"/>
      <c r="I272" s="1413"/>
      <c r="J272" s="1413"/>
      <c r="K272" s="928"/>
      <c r="L272" s="1413"/>
      <c r="M272" s="1413"/>
      <c r="N272" s="1413"/>
      <c r="O272" s="1413"/>
      <c r="P272" s="928"/>
      <c r="Q272" s="1413"/>
      <c r="R272" s="1413"/>
      <c r="S272" s="1413"/>
      <c r="T272" s="1413"/>
      <c r="U272" s="1413"/>
      <c r="V272" s="1413"/>
      <c r="W272" s="1413"/>
      <c r="X272" s="1413">
        <v>997</v>
      </c>
      <c r="Y272" s="1413">
        <v>686</v>
      </c>
      <c r="Z272" s="1413"/>
      <c r="AA272" s="1413">
        <v>1027.8</v>
      </c>
      <c r="AB272" s="1413">
        <v>1050</v>
      </c>
      <c r="AC272" s="1413">
        <v>1174</v>
      </c>
      <c r="AD272" s="1413">
        <v>1189</v>
      </c>
      <c r="AE272" s="1254"/>
      <c r="AF272" s="1413">
        <v>1207.2</v>
      </c>
      <c r="AG272" s="1413">
        <v>1286</v>
      </c>
      <c r="AH272" s="1413">
        <v>1323</v>
      </c>
      <c r="AI272" s="1413"/>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355"/>
      <c r="BF272" s="1254"/>
      <c r="BG272" s="1254"/>
      <c r="BH272" s="1254"/>
      <c r="BI272" s="1389"/>
      <c r="BJ272" s="1355"/>
      <c r="BK272" s="1254"/>
      <c r="BL272" s="1254"/>
      <c r="BM272" s="1254"/>
      <c r="BN272" s="1389"/>
      <c r="BO272" s="1355"/>
      <c r="BP272" s="1254"/>
      <c r="BQ272" s="1254"/>
      <c r="BR272" s="1254"/>
      <c r="BS272" s="1389"/>
      <c r="BT272" s="1355"/>
      <c r="BU272" s="1254"/>
      <c r="BV272" s="1254"/>
      <c r="BW272" s="1254"/>
      <c r="BX272" s="1389"/>
      <c r="BY272" s="1254"/>
      <c r="BZ272" s="1254"/>
      <c r="CA272" s="1316"/>
      <c r="CB272" s="1316"/>
      <c r="CC272" s="1316"/>
      <c r="CD272" s="1316"/>
      <c r="CE272" s="928"/>
      <c r="CF272" s="1316"/>
      <c r="CG272" s="1316"/>
      <c r="CH272" s="1316"/>
      <c r="CI272" s="1316"/>
      <c r="CJ272" s="928"/>
      <c r="CK272" s="1316"/>
      <c r="CL272" s="1316"/>
      <c r="CM272" s="1316"/>
      <c r="CN272" s="1316"/>
      <c r="CO272" s="928"/>
      <c r="CP272" s="928"/>
      <c r="CQ272" s="928"/>
      <c r="CR272" s="928"/>
      <c r="CS272" s="928"/>
      <c r="CT272" s="928"/>
      <c r="CU272" s="928"/>
      <c r="CV272" s="928"/>
      <c r="CW272" s="928"/>
      <c r="CX272" s="928"/>
      <c r="CY272" s="928"/>
      <c r="CZ272" s="928"/>
      <c r="DA272" s="928"/>
      <c r="DB272" s="928"/>
      <c r="DC272" s="928"/>
      <c r="DD272" s="928"/>
      <c r="DE272" s="928"/>
      <c r="DF272" s="928"/>
      <c r="DG272" s="928"/>
      <c r="DH272" s="928"/>
      <c r="DI272" s="928"/>
      <c r="DJ272" s="928"/>
      <c r="DK272" s="928"/>
      <c r="DL272" s="928"/>
      <c r="DM272" s="928"/>
      <c r="DN272" s="928"/>
      <c r="DO272" s="928"/>
      <c r="DP272" s="928"/>
      <c r="DQ272" s="928"/>
      <c r="DR272" s="928"/>
      <c r="DS272" s="928"/>
      <c r="DT272" s="928"/>
      <c r="DU272" s="928"/>
      <c r="DV272" s="928"/>
      <c r="DW272" s="928"/>
      <c r="DX272" s="928"/>
      <c r="DY272" s="1338"/>
      <c r="DZ272" s="928"/>
      <c r="EA272" s="928"/>
      <c r="EB272" s="928"/>
      <c r="EC272" s="1337"/>
      <c r="ED272" s="1338"/>
      <c r="EE272" s="928"/>
      <c r="EF272" s="928"/>
      <c r="EG272" s="928"/>
      <c r="EH272" s="1337"/>
      <c r="EI272" s="928"/>
      <c r="EJ272" s="928"/>
      <c r="EK272" s="928"/>
      <c r="EL272" s="928"/>
      <c r="EM272" s="1337"/>
      <c r="EN272" s="928"/>
      <c r="EO272" s="928"/>
      <c r="EP272" s="928"/>
      <c r="EQ272" s="928"/>
      <c r="ER272" s="928"/>
      <c r="ES272" s="928"/>
      <c r="ET272" s="928"/>
      <c r="EU272" s="928"/>
      <c r="EV272" s="928"/>
      <c r="EW272" s="928"/>
      <c r="EX272" s="928"/>
      <c r="EY272" s="928"/>
      <c r="EZ272" s="928"/>
      <c r="FA272" s="928"/>
      <c r="FB272" s="928"/>
      <c r="FC272" s="928"/>
      <c r="FD272" s="928"/>
      <c r="FE272" s="928"/>
      <c r="FF272" s="1254"/>
      <c r="FG272" s="928"/>
      <c r="FH272" s="1351"/>
      <c r="FI272" s="1319"/>
      <c r="FJ272" s="1612"/>
      <c r="FK272" s="1605"/>
      <c r="FL272" s="928"/>
      <c r="FM272" s="928"/>
      <c r="FN272" s="928"/>
      <c r="FO272" s="928"/>
      <c r="FP272" s="928"/>
      <c r="FQ272" s="928"/>
    </row>
    <row r="273" spans="1:173">
      <c r="A273" s="928" t="s">
        <v>2617</v>
      </c>
      <c r="B273" s="928"/>
      <c r="C273" s="928"/>
      <c r="D273" s="928"/>
      <c r="E273" s="928"/>
      <c r="F273" s="928"/>
      <c r="G273" s="1413"/>
      <c r="H273" s="1413"/>
      <c r="I273" s="1413"/>
      <c r="J273" s="1413"/>
      <c r="K273" s="928"/>
      <c r="L273" s="1413"/>
      <c r="M273" s="1413"/>
      <c r="N273" s="1413"/>
      <c r="O273" s="1413"/>
      <c r="P273" s="928"/>
      <c r="Q273" s="1413"/>
      <c r="R273" s="1413"/>
      <c r="S273" s="1413"/>
      <c r="T273" s="1413"/>
      <c r="U273" s="1413"/>
      <c r="V273" s="1413"/>
      <c r="W273" s="1413"/>
      <c r="X273" s="1316">
        <f>X272/X270</f>
        <v>0.39673696776760842</v>
      </c>
      <c r="Y273" s="1316">
        <f>Y272/Y270</f>
        <v>0.26599457153935635</v>
      </c>
      <c r="Z273" s="1413"/>
      <c r="AA273" s="1316">
        <f>AA272/AA270</f>
        <v>0.39863475933754794</v>
      </c>
      <c r="AB273" s="1316">
        <f>AB272/AB270</f>
        <v>0.39488529522376831</v>
      </c>
      <c r="AC273" s="1316">
        <f>AC272/AC270</f>
        <v>0.40991620111731841</v>
      </c>
      <c r="AD273" s="1316">
        <f>AD272/AD270</f>
        <v>0.40128248396895039</v>
      </c>
      <c r="AE273" s="1254"/>
      <c r="AF273" s="1316">
        <f>AF272/AF270</f>
        <v>0.41232324612336907</v>
      </c>
      <c r="AG273" s="1316">
        <f>AG272/AG270</f>
        <v>0.4234441883437603</v>
      </c>
      <c r="AH273" s="1316">
        <f>AH272/AH270</f>
        <v>0.41960038058991439</v>
      </c>
      <c r="AI273" s="1316"/>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355"/>
      <c r="BF273" s="1254"/>
      <c r="BG273" s="1254"/>
      <c r="BH273" s="1254"/>
      <c r="BI273" s="1389"/>
      <c r="BJ273" s="1355"/>
      <c r="BK273" s="1254"/>
      <c r="BL273" s="1254"/>
      <c r="BM273" s="1254"/>
      <c r="BN273" s="1389"/>
      <c r="BO273" s="1355"/>
      <c r="BP273" s="1254"/>
      <c r="BQ273" s="1254"/>
      <c r="BR273" s="1254"/>
      <c r="BS273" s="1389"/>
      <c r="BT273" s="1355"/>
      <c r="BU273" s="1254"/>
      <c r="BV273" s="1254"/>
      <c r="BW273" s="1254"/>
      <c r="BX273" s="1389"/>
      <c r="BY273" s="1254"/>
      <c r="BZ273" s="1254"/>
      <c r="CA273" s="1316"/>
      <c r="CB273" s="1316"/>
      <c r="CC273" s="1316"/>
      <c r="CD273" s="1316"/>
      <c r="CE273" s="928"/>
      <c r="CF273" s="1316"/>
      <c r="CG273" s="1316"/>
      <c r="CH273" s="1316"/>
      <c r="CI273" s="1316"/>
      <c r="CJ273" s="928"/>
      <c r="CK273" s="1316"/>
      <c r="CL273" s="1316"/>
      <c r="CM273" s="1316"/>
      <c r="CN273" s="1316"/>
      <c r="CO273" s="928"/>
      <c r="CP273" s="928"/>
      <c r="CQ273" s="928"/>
      <c r="CR273" s="928"/>
      <c r="CS273" s="928"/>
      <c r="CT273" s="928"/>
      <c r="CU273" s="928"/>
      <c r="CV273" s="928"/>
      <c r="CW273" s="928"/>
      <c r="CX273" s="928"/>
      <c r="CY273" s="928"/>
      <c r="CZ273" s="928"/>
      <c r="DA273" s="928"/>
      <c r="DB273" s="928"/>
      <c r="DC273" s="928"/>
      <c r="DD273" s="928"/>
      <c r="DE273" s="928"/>
      <c r="DF273" s="928"/>
      <c r="DG273" s="928"/>
      <c r="DH273" s="928"/>
      <c r="DI273" s="928"/>
      <c r="DJ273" s="928"/>
      <c r="DK273" s="928"/>
      <c r="DL273" s="928"/>
      <c r="DM273" s="928"/>
      <c r="DN273" s="928"/>
      <c r="DO273" s="928"/>
      <c r="DP273" s="928"/>
      <c r="DQ273" s="928"/>
      <c r="DR273" s="928"/>
      <c r="DS273" s="928"/>
      <c r="DT273" s="928"/>
      <c r="DU273" s="928"/>
      <c r="DV273" s="928"/>
      <c r="DW273" s="928"/>
      <c r="DX273" s="928"/>
      <c r="DY273" s="1338"/>
      <c r="DZ273" s="928"/>
      <c r="EA273" s="928"/>
      <c r="EB273" s="928"/>
      <c r="EC273" s="1337"/>
      <c r="ED273" s="1338"/>
      <c r="EE273" s="928"/>
      <c r="EF273" s="928"/>
      <c r="EG273" s="928"/>
      <c r="EH273" s="1337"/>
      <c r="EI273" s="928"/>
      <c r="EJ273" s="928"/>
      <c r="EK273" s="928"/>
      <c r="EL273" s="928"/>
      <c r="EM273" s="1337"/>
      <c r="EN273" s="928"/>
      <c r="EO273" s="928"/>
      <c r="EP273" s="928"/>
      <c r="EQ273" s="928"/>
      <c r="ER273" s="928"/>
      <c r="ES273" s="928"/>
      <c r="ET273" s="928"/>
      <c r="EU273" s="928"/>
      <c r="EV273" s="928"/>
      <c r="EW273" s="928"/>
      <c r="EX273" s="928"/>
      <c r="EY273" s="928"/>
      <c r="EZ273" s="928"/>
      <c r="FA273" s="928"/>
      <c r="FB273" s="928"/>
      <c r="FC273" s="928"/>
      <c r="FD273" s="928"/>
      <c r="FE273" s="928"/>
      <c r="FF273" s="1254"/>
      <c r="FG273" s="928"/>
      <c r="FH273" s="1351"/>
      <c r="FI273" s="1319"/>
      <c r="FJ273" s="1612"/>
      <c r="FK273" s="1605"/>
      <c r="FL273" s="928"/>
      <c r="FM273" s="928"/>
      <c r="FN273" s="928"/>
      <c r="FO273" s="928"/>
      <c r="FP273" s="928"/>
      <c r="FQ273" s="928"/>
    </row>
    <row r="274" spans="1:173">
      <c r="A274" s="928"/>
      <c r="B274" s="928"/>
      <c r="C274" s="928"/>
      <c r="D274" s="928"/>
      <c r="E274" s="928"/>
      <c r="F274" s="928"/>
      <c r="G274" s="1413"/>
      <c r="H274" s="1413"/>
      <c r="I274" s="1413"/>
      <c r="J274" s="1413"/>
      <c r="K274" s="928"/>
      <c r="L274" s="1413"/>
      <c r="M274" s="1413"/>
      <c r="N274" s="1413"/>
      <c r="O274" s="1413"/>
      <c r="P274" s="928"/>
      <c r="Q274" s="1413"/>
      <c r="R274" s="1413"/>
      <c r="S274" s="1413"/>
      <c r="T274" s="1413"/>
      <c r="U274" s="1413"/>
      <c r="V274" s="1413"/>
      <c r="W274" s="1413"/>
      <c r="X274" s="1413"/>
      <c r="Y274" s="1413"/>
      <c r="Z274" s="1413"/>
      <c r="AA274" s="1413"/>
      <c r="AB274" s="1413"/>
      <c r="AC274" s="1413"/>
      <c r="AD274" s="1413"/>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355"/>
      <c r="BF274" s="1254"/>
      <c r="BG274" s="1254"/>
      <c r="BH274" s="1254"/>
      <c r="BI274" s="1389"/>
      <c r="BJ274" s="1355"/>
      <c r="BK274" s="1254"/>
      <c r="BL274" s="1254"/>
      <c r="BM274" s="1254"/>
      <c r="BN274" s="1389"/>
      <c r="BO274" s="1355"/>
      <c r="BP274" s="1254"/>
      <c r="BQ274" s="1254"/>
      <c r="BR274" s="1254"/>
      <c r="BS274" s="1389"/>
      <c r="BT274" s="1355"/>
      <c r="BU274" s="1254"/>
      <c r="BV274" s="1254"/>
      <c r="BW274" s="1254"/>
      <c r="BX274" s="1389"/>
      <c r="BY274" s="1254"/>
      <c r="BZ274" s="1254"/>
      <c r="CA274" s="1316"/>
      <c r="CB274" s="1316"/>
      <c r="CC274" s="1316"/>
      <c r="CD274" s="1316"/>
      <c r="CE274" s="928"/>
      <c r="CF274" s="1316"/>
      <c r="CG274" s="1316"/>
      <c r="CH274" s="1316"/>
      <c r="CI274" s="1316"/>
      <c r="CJ274" s="928"/>
      <c r="CK274" s="1316"/>
      <c r="CL274" s="1316"/>
      <c r="CM274" s="1316"/>
      <c r="CN274" s="1316"/>
      <c r="CO274" s="928"/>
      <c r="CP274" s="928"/>
      <c r="CQ274" s="928"/>
      <c r="CR274" s="928"/>
      <c r="CS274" s="928"/>
      <c r="CT274" s="928"/>
      <c r="CU274" s="928"/>
      <c r="CV274" s="928"/>
      <c r="CW274" s="928"/>
      <c r="CX274" s="928"/>
      <c r="CY274" s="928"/>
      <c r="CZ274" s="928"/>
      <c r="DA274" s="928"/>
      <c r="DB274" s="928"/>
      <c r="DC274" s="928"/>
      <c r="DD274" s="928"/>
      <c r="DE274" s="928"/>
      <c r="DF274" s="928"/>
      <c r="DG274" s="928"/>
      <c r="DH274" s="928"/>
      <c r="DI274" s="928"/>
      <c r="DJ274" s="928"/>
      <c r="DK274" s="928"/>
      <c r="DL274" s="928"/>
      <c r="DM274" s="928"/>
      <c r="DN274" s="928"/>
      <c r="DO274" s="928"/>
      <c r="DP274" s="928"/>
      <c r="DQ274" s="928"/>
      <c r="DR274" s="928"/>
      <c r="DS274" s="928"/>
      <c r="DT274" s="928"/>
      <c r="DU274" s="928"/>
      <c r="DV274" s="928"/>
      <c r="DW274" s="928"/>
      <c r="DX274" s="928"/>
      <c r="DY274" s="1338"/>
      <c r="DZ274" s="928"/>
      <c r="EA274" s="928"/>
      <c r="EB274" s="928"/>
      <c r="EC274" s="1337"/>
      <c r="ED274" s="1338"/>
      <c r="EE274" s="928"/>
      <c r="EF274" s="928"/>
      <c r="EG274" s="928"/>
      <c r="EH274" s="1337"/>
      <c r="EI274" s="928"/>
      <c r="EJ274" s="928"/>
      <c r="EK274" s="928"/>
      <c r="EL274" s="928"/>
      <c r="EM274" s="1337"/>
      <c r="EN274" s="928"/>
      <c r="EO274" s="928"/>
      <c r="EP274" s="928"/>
      <c r="EQ274" s="928"/>
      <c r="ER274" s="928"/>
      <c r="ES274" s="928"/>
      <c r="ET274" s="928"/>
      <c r="EU274" s="928"/>
      <c r="EV274" s="928"/>
      <c r="EW274" s="928"/>
      <c r="EX274" s="928"/>
      <c r="EY274" s="928"/>
      <c r="EZ274" s="928"/>
      <c r="FA274" s="928"/>
      <c r="FB274" s="928"/>
      <c r="FC274" s="928"/>
      <c r="FD274" s="928"/>
      <c r="FE274" s="928"/>
      <c r="FF274" s="1254"/>
      <c r="FG274" s="928"/>
      <c r="FH274" s="1351"/>
      <c r="FI274" s="1319"/>
      <c r="FJ274" s="1612"/>
      <c r="FK274" s="1605"/>
      <c r="FL274" s="928"/>
      <c r="FM274" s="928"/>
      <c r="FN274" s="928"/>
      <c r="FO274" s="928"/>
      <c r="FP274" s="928"/>
      <c r="FQ274" s="928"/>
    </row>
    <row r="275" spans="1:173">
      <c r="A275" s="928" t="s">
        <v>74</v>
      </c>
      <c r="B275" s="928"/>
      <c r="C275" s="928"/>
      <c r="D275" s="928"/>
      <c r="E275" s="928"/>
      <c r="F275" s="928"/>
      <c r="G275" s="1413"/>
      <c r="H275" s="1413"/>
      <c r="I275" s="1413"/>
      <c r="J275" s="1413"/>
      <c r="K275" s="928"/>
      <c r="L275" s="1413"/>
      <c r="M275" s="1413"/>
      <c r="N275" s="1413"/>
      <c r="O275" s="1413"/>
      <c r="P275" s="928"/>
      <c r="Q275" s="1413"/>
      <c r="R275" s="1413"/>
      <c r="S275" s="1413"/>
      <c r="T275" s="1413"/>
      <c r="U275" s="1413"/>
      <c r="V275" s="1413"/>
      <c r="W275" s="1413"/>
      <c r="X275" s="1413">
        <v>883.16399999999999</v>
      </c>
      <c r="Y275" s="1413">
        <f>Z275</f>
        <v>890.32299999999998</v>
      </c>
      <c r="Z275" s="1413">
        <v>890.32299999999998</v>
      </c>
      <c r="AA275" s="1413">
        <v>904.06600000000003</v>
      </c>
      <c r="AB275" s="1413">
        <v>921.48199999999997</v>
      </c>
      <c r="AC275" s="1413">
        <v>932.87</v>
      </c>
      <c r="AD275" s="1413">
        <f>AE275</f>
        <v>975.601</v>
      </c>
      <c r="AE275" s="1413">
        <v>975.601</v>
      </c>
      <c r="AF275" s="1413">
        <v>1004.371</v>
      </c>
      <c r="AG275" s="1413">
        <v>1015.364</v>
      </c>
      <c r="AH275" s="1413">
        <v>1028.2249999999999</v>
      </c>
      <c r="AI275" s="1413"/>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355"/>
      <c r="BF275" s="1254"/>
      <c r="BG275" s="1254"/>
      <c r="BH275" s="1254"/>
      <c r="BI275" s="1389"/>
      <c r="BJ275" s="1355"/>
      <c r="BK275" s="1254"/>
      <c r="BL275" s="1254"/>
      <c r="BM275" s="1254"/>
      <c r="BN275" s="1389"/>
      <c r="BO275" s="1355"/>
      <c r="BP275" s="1254"/>
      <c r="BQ275" s="1254"/>
      <c r="BR275" s="1254"/>
      <c r="BS275" s="1389"/>
      <c r="BT275" s="1355"/>
      <c r="BU275" s="1254"/>
      <c r="BV275" s="1254"/>
      <c r="BW275" s="1254"/>
      <c r="BX275" s="1389"/>
      <c r="BY275" s="1254"/>
      <c r="BZ275" s="1254"/>
      <c r="CA275" s="1316"/>
      <c r="CB275" s="1316"/>
      <c r="CC275" s="1316"/>
      <c r="CD275" s="1316"/>
      <c r="CE275" s="928"/>
      <c r="CF275" s="1316"/>
      <c r="CG275" s="1316"/>
      <c r="CH275" s="1316"/>
      <c r="CI275" s="1316"/>
      <c r="CJ275" s="928"/>
      <c r="CK275" s="1316"/>
      <c r="CL275" s="1316"/>
      <c r="CM275" s="1316"/>
      <c r="CN275" s="1316"/>
      <c r="CO275" s="928"/>
      <c r="CP275" s="928"/>
      <c r="CQ275" s="928"/>
      <c r="CR275" s="928"/>
      <c r="CS275" s="928"/>
      <c r="CT275" s="928"/>
      <c r="CU275" s="928"/>
      <c r="CV275" s="928"/>
      <c r="CW275" s="928"/>
      <c r="CX275" s="928"/>
      <c r="CY275" s="928"/>
      <c r="CZ275" s="928"/>
      <c r="DA275" s="928"/>
      <c r="DB275" s="928"/>
      <c r="DC275" s="928"/>
      <c r="DD275" s="928"/>
      <c r="DE275" s="928"/>
      <c r="DF275" s="928"/>
      <c r="DG275" s="928"/>
      <c r="DH275" s="928"/>
      <c r="DI275" s="928"/>
      <c r="DJ275" s="928"/>
      <c r="DK275" s="928"/>
      <c r="DL275" s="928"/>
      <c r="DM275" s="928"/>
      <c r="DN275" s="928"/>
      <c r="DO275" s="928"/>
      <c r="DP275" s="928"/>
      <c r="DQ275" s="928"/>
      <c r="DR275" s="928"/>
      <c r="DS275" s="928"/>
      <c r="DT275" s="928"/>
      <c r="DU275" s="928"/>
      <c r="DV275" s="928"/>
      <c r="DW275" s="928"/>
      <c r="DX275" s="928"/>
      <c r="DY275" s="1338"/>
      <c r="DZ275" s="928"/>
      <c r="EA275" s="928"/>
      <c r="EB275" s="928"/>
      <c r="EC275" s="1337"/>
      <c r="ED275" s="1338"/>
      <c r="EE275" s="928"/>
      <c r="EF275" s="928"/>
      <c r="EG275" s="928"/>
      <c r="EH275" s="1337"/>
      <c r="EI275" s="928"/>
      <c r="EJ275" s="928"/>
      <c r="EK275" s="928"/>
      <c r="EL275" s="928"/>
      <c r="EM275" s="1337"/>
      <c r="EN275" s="928"/>
      <c r="EO275" s="928"/>
      <c r="EP275" s="928"/>
      <c r="EQ275" s="928"/>
      <c r="ER275" s="928"/>
      <c r="ES275" s="928"/>
      <c r="ET275" s="928"/>
      <c r="EU275" s="928"/>
      <c r="EV275" s="928"/>
      <c r="EW275" s="928"/>
      <c r="EX275" s="928"/>
      <c r="EY275" s="928"/>
      <c r="EZ275" s="928"/>
      <c r="FA275" s="928"/>
      <c r="FB275" s="928"/>
      <c r="FC275" s="928"/>
      <c r="FD275" s="928"/>
      <c r="FE275" s="928"/>
      <c r="FF275" s="1254"/>
      <c r="FG275" s="928"/>
      <c r="FH275" s="1351"/>
      <c r="FI275" s="1319"/>
      <c r="FJ275" s="1612"/>
      <c r="FK275" s="1605"/>
      <c r="FL275" s="928"/>
      <c r="FM275" s="928"/>
      <c r="FN275" s="928"/>
      <c r="FO275" s="928"/>
      <c r="FP275" s="928"/>
      <c r="FQ275" s="928"/>
    </row>
    <row r="276" spans="1:173">
      <c r="A276" s="928" t="s">
        <v>756</v>
      </c>
      <c r="B276" s="928"/>
      <c r="C276" s="928"/>
      <c r="D276" s="928"/>
      <c r="E276" s="928"/>
      <c r="F276" s="928"/>
      <c r="G276" s="1413"/>
      <c r="H276" s="1413"/>
      <c r="I276" s="1413"/>
      <c r="J276" s="1413"/>
      <c r="K276" s="928"/>
      <c r="L276" s="1413"/>
      <c r="M276" s="1413"/>
      <c r="N276" s="1413"/>
      <c r="O276" s="1413"/>
      <c r="P276" s="928"/>
      <c r="Q276" s="1413"/>
      <c r="R276" s="1413"/>
      <c r="S276" s="1413"/>
      <c r="T276" s="1413"/>
      <c r="U276" s="1413"/>
      <c r="V276" s="1413"/>
      <c r="W276" s="1413"/>
      <c r="X276" s="1413">
        <v>739.06500000000005</v>
      </c>
      <c r="Y276" s="1413">
        <f>Z276</f>
        <v>778.15700000000004</v>
      </c>
      <c r="Z276" s="1413">
        <v>778.15700000000004</v>
      </c>
      <c r="AA276" s="1413">
        <v>828.15899999999999</v>
      </c>
      <c r="AB276" s="1413">
        <v>875.18100000000004</v>
      </c>
      <c r="AC276" s="1413">
        <v>921.13800000000003</v>
      </c>
      <c r="AD276" s="1413">
        <f>AE276</f>
        <v>967.553</v>
      </c>
      <c r="AE276" s="1413">
        <v>967.553</v>
      </c>
      <c r="AF276" s="1413">
        <v>991.69</v>
      </c>
      <c r="AG276" s="1413">
        <v>1019.174</v>
      </c>
      <c r="AH276" s="1413">
        <v>1053.5</v>
      </c>
      <c r="AI276" s="1413"/>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355"/>
      <c r="BF276" s="1254"/>
      <c r="BG276" s="1254"/>
      <c r="BH276" s="1254"/>
      <c r="BI276" s="1389"/>
      <c r="BJ276" s="1355"/>
      <c r="BK276" s="1254"/>
      <c r="BL276" s="1254"/>
      <c r="BM276" s="1254"/>
      <c r="BN276" s="1389"/>
      <c r="BO276" s="1355"/>
      <c r="BP276" s="1254"/>
      <c r="BQ276" s="1254"/>
      <c r="BR276" s="1254"/>
      <c r="BS276" s="1389"/>
      <c r="BT276" s="1355"/>
      <c r="BU276" s="1254"/>
      <c r="BV276" s="1254"/>
      <c r="BW276" s="1254"/>
      <c r="BX276" s="1389"/>
      <c r="BY276" s="1254"/>
      <c r="BZ276" s="1254"/>
      <c r="CA276" s="1316"/>
      <c r="CB276" s="1316"/>
      <c r="CC276" s="1316"/>
      <c r="CD276" s="1316"/>
      <c r="CE276" s="928"/>
      <c r="CF276" s="1316"/>
      <c r="CG276" s="1316"/>
      <c r="CH276" s="1316"/>
      <c r="CI276" s="1316"/>
      <c r="CJ276" s="928"/>
      <c r="CK276" s="1316"/>
      <c r="CL276" s="1316"/>
      <c r="CM276" s="1316"/>
      <c r="CN276" s="1316"/>
      <c r="CO276" s="928"/>
      <c r="CP276" s="928"/>
      <c r="CQ276" s="928"/>
      <c r="CR276" s="928"/>
      <c r="CS276" s="928"/>
      <c r="CT276" s="928"/>
      <c r="CU276" s="928"/>
      <c r="CV276" s="928"/>
      <c r="CW276" s="928"/>
      <c r="CX276" s="928"/>
      <c r="CY276" s="928"/>
      <c r="CZ276" s="928"/>
      <c r="DA276" s="928"/>
      <c r="DB276" s="928"/>
      <c r="DC276" s="928"/>
      <c r="DD276" s="928"/>
      <c r="DE276" s="928"/>
      <c r="DF276" s="928"/>
      <c r="DG276" s="928"/>
      <c r="DH276" s="928"/>
      <c r="DI276" s="928"/>
      <c r="DJ276" s="928"/>
      <c r="DK276" s="928"/>
      <c r="DL276" s="928"/>
      <c r="DM276" s="928"/>
      <c r="DN276" s="928"/>
      <c r="DO276" s="928"/>
      <c r="DP276" s="928"/>
      <c r="DQ276" s="928"/>
      <c r="DR276" s="928"/>
      <c r="DS276" s="928"/>
      <c r="DT276" s="928"/>
      <c r="DU276" s="928"/>
      <c r="DV276" s="928"/>
      <c r="DW276" s="928"/>
      <c r="DX276" s="928"/>
      <c r="DY276" s="1338"/>
      <c r="DZ276" s="928"/>
      <c r="EA276" s="928"/>
      <c r="EB276" s="928"/>
      <c r="EC276" s="1337"/>
      <c r="ED276" s="1338"/>
      <c r="EE276" s="928"/>
      <c r="EF276" s="928"/>
      <c r="EG276" s="928"/>
      <c r="EH276" s="1337"/>
      <c r="EI276" s="928"/>
      <c r="EJ276" s="928"/>
      <c r="EK276" s="928"/>
      <c r="EL276" s="928"/>
      <c r="EM276" s="1337"/>
      <c r="EN276" s="928"/>
      <c r="EO276" s="928"/>
      <c r="EP276" s="928"/>
      <c r="EQ276" s="928"/>
      <c r="ER276" s="928"/>
      <c r="ES276" s="928"/>
      <c r="ET276" s="928"/>
      <c r="EU276" s="928"/>
      <c r="EV276" s="928"/>
      <c r="EW276" s="928"/>
      <c r="EX276" s="928"/>
      <c r="EY276" s="928"/>
      <c r="EZ276" s="928"/>
      <c r="FA276" s="928"/>
      <c r="FB276" s="928"/>
      <c r="FC276" s="928"/>
      <c r="FD276" s="928"/>
      <c r="FE276" s="928"/>
      <c r="FF276" s="1254"/>
      <c r="FG276" s="928"/>
      <c r="FH276" s="1351"/>
      <c r="FI276" s="1319"/>
      <c r="FJ276" s="1612"/>
      <c r="FK276" s="1605"/>
      <c r="FL276" s="928"/>
      <c r="FM276" s="928"/>
      <c r="FN276" s="928"/>
      <c r="FO276" s="928"/>
      <c r="FP276" s="928"/>
      <c r="FQ276" s="928"/>
    </row>
    <row r="277" spans="1:173">
      <c r="A277" s="1446" t="s">
        <v>612</v>
      </c>
      <c r="B277" s="1446"/>
      <c r="C277" s="1446"/>
      <c r="D277" s="1446"/>
      <c r="E277" s="1446"/>
      <c r="F277" s="1446"/>
      <c r="G277" s="1035"/>
      <c r="H277" s="1035"/>
      <c r="I277" s="1035"/>
      <c r="J277" s="1035"/>
      <c r="K277" s="1446"/>
      <c r="L277" s="1035"/>
      <c r="M277" s="1035"/>
      <c r="N277" s="1035"/>
      <c r="O277" s="1035"/>
      <c r="P277" s="1446"/>
      <c r="Q277" s="1035"/>
      <c r="R277" s="1035"/>
      <c r="S277" s="1035"/>
      <c r="T277" s="1035"/>
      <c r="U277" s="1035"/>
      <c r="V277" s="1035"/>
      <c r="W277" s="1035"/>
      <c r="X277" s="1035">
        <v>438.50700000000001</v>
      </c>
      <c r="Y277" s="1035">
        <f>Z277</f>
        <v>479.17099999999999</v>
      </c>
      <c r="Z277" s="1035">
        <v>479.17099999999999</v>
      </c>
      <c r="AA277" s="1035">
        <v>543.125</v>
      </c>
      <c r="AB277" s="1035">
        <v>596.28599999999994</v>
      </c>
      <c r="AC277" s="1035">
        <v>647.37400000000002</v>
      </c>
      <c r="AD277" s="1035">
        <f>AE277</f>
        <v>696.00400000000002</v>
      </c>
      <c r="AE277" s="1035">
        <v>696.00400000000002</v>
      </c>
      <c r="AF277" s="1035">
        <v>720.31700000000001</v>
      </c>
      <c r="AG277" s="1035">
        <v>743.11800000000005</v>
      </c>
      <c r="AH277" s="1035">
        <v>765.4</v>
      </c>
      <c r="AI277" s="1413"/>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355"/>
      <c r="BF277" s="1254"/>
      <c r="BG277" s="1254"/>
      <c r="BH277" s="1254"/>
      <c r="BI277" s="1389"/>
      <c r="BJ277" s="1355"/>
      <c r="BK277" s="1254"/>
      <c r="BL277" s="1254"/>
      <c r="BM277" s="1254"/>
      <c r="BN277" s="1389"/>
      <c r="BO277" s="1355"/>
      <c r="BP277" s="1254"/>
      <c r="BQ277" s="1254"/>
      <c r="BR277" s="1254"/>
      <c r="BS277" s="1389"/>
      <c r="BT277" s="1355"/>
      <c r="BU277" s="1254"/>
      <c r="BV277" s="1254"/>
      <c r="BW277" s="1254"/>
      <c r="BX277" s="1389"/>
      <c r="BY277" s="1254"/>
      <c r="BZ277" s="1254"/>
      <c r="CA277" s="1316"/>
      <c r="CB277" s="1316"/>
      <c r="CC277" s="1316"/>
      <c r="CD277" s="1316"/>
      <c r="CE277" s="928"/>
      <c r="CF277" s="1316"/>
      <c r="CG277" s="1316"/>
      <c r="CH277" s="1316"/>
      <c r="CI277" s="1316"/>
      <c r="CJ277" s="928"/>
      <c r="CK277" s="1316"/>
      <c r="CL277" s="1316"/>
      <c r="CM277" s="1316"/>
      <c r="CN277" s="1316"/>
      <c r="CO277" s="928"/>
      <c r="CP277" s="928"/>
      <c r="CQ277" s="928"/>
      <c r="CR277" s="928"/>
      <c r="CS277" s="928"/>
      <c r="CT277" s="928"/>
      <c r="CU277" s="928"/>
      <c r="CV277" s="928"/>
      <c r="CW277" s="928"/>
      <c r="CX277" s="928"/>
      <c r="CY277" s="928"/>
      <c r="CZ277" s="928"/>
      <c r="DA277" s="928"/>
      <c r="DB277" s="928"/>
      <c r="DC277" s="928"/>
      <c r="DD277" s="928"/>
      <c r="DE277" s="928"/>
      <c r="DF277" s="928"/>
      <c r="DG277" s="928"/>
      <c r="DH277" s="928"/>
      <c r="DI277" s="928"/>
      <c r="DJ277" s="928"/>
      <c r="DK277" s="928"/>
      <c r="DL277" s="928"/>
      <c r="DM277" s="928"/>
      <c r="DN277" s="928"/>
      <c r="DO277" s="928"/>
      <c r="DP277" s="928"/>
      <c r="DQ277" s="928"/>
      <c r="DR277" s="928"/>
      <c r="DS277" s="928"/>
      <c r="DT277" s="928"/>
      <c r="DU277" s="928"/>
      <c r="DV277" s="928"/>
      <c r="DW277" s="928"/>
      <c r="DX277" s="928"/>
      <c r="DY277" s="1338"/>
      <c r="DZ277" s="928"/>
      <c r="EA277" s="928"/>
      <c r="EB277" s="928"/>
      <c r="EC277" s="1337"/>
      <c r="ED277" s="1338"/>
      <c r="EE277" s="928"/>
      <c r="EF277" s="928"/>
      <c r="EG277" s="928"/>
      <c r="EH277" s="1337"/>
      <c r="EI277" s="928"/>
      <c r="EJ277" s="928"/>
      <c r="EK277" s="928"/>
      <c r="EL277" s="928"/>
      <c r="EM277" s="1337"/>
      <c r="EN277" s="928"/>
      <c r="EO277" s="928"/>
      <c r="EP277" s="928"/>
      <c r="EQ277" s="928"/>
      <c r="ER277" s="928"/>
      <c r="ES277" s="928"/>
      <c r="ET277" s="928"/>
      <c r="EU277" s="928"/>
      <c r="EV277" s="928"/>
      <c r="EW277" s="928"/>
      <c r="EX277" s="928"/>
      <c r="EY277" s="928"/>
      <c r="EZ277" s="928"/>
      <c r="FA277" s="928"/>
      <c r="FB277" s="928"/>
      <c r="FC277" s="928"/>
      <c r="FD277" s="928"/>
      <c r="FE277" s="928"/>
      <c r="FF277" s="1254"/>
      <c r="FG277" s="928"/>
      <c r="FH277" s="1351"/>
      <c r="FI277" s="1319"/>
      <c r="FJ277" s="1612"/>
      <c r="FK277" s="1605"/>
      <c r="FL277" s="928"/>
      <c r="FM277" s="928"/>
      <c r="FN277" s="928"/>
      <c r="FO277" s="928"/>
      <c r="FP277" s="928"/>
      <c r="FQ277" s="928"/>
    </row>
    <row r="278" spans="1:173">
      <c r="A278" s="928" t="s">
        <v>1512</v>
      </c>
      <c r="B278" s="928"/>
      <c r="C278" s="928"/>
      <c r="D278" s="928"/>
      <c r="E278" s="928"/>
      <c r="F278" s="928"/>
      <c r="G278" s="1413"/>
      <c r="H278" s="1413"/>
      <c r="I278" s="1413"/>
      <c r="J278" s="1413"/>
      <c r="K278" s="928"/>
      <c r="L278" s="1413"/>
      <c r="M278" s="1413"/>
      <c r="N278" s="1413"/>
      <c r="O278" s="1413"/>
      <c r="P278" s="928"/>
      <c r="Q278" s="1413"/>
      <c r="R278" s="1413"/>
      <c r="S278" s="1413"/>
      <c r="T278" s="1413"/>
      <c r="U278" s="1413"/>
      <c r="V278" s="1413"/>
      <c r="W278" s="1413"/>
      <c r="X278" s="1413">
        <f t="shared" ref="X278:AH278" si="359">SUM(X275:X277)</f>
        <v>2060.7359999999999</v>
      </c>
      <c r="Y278" s="1413">
        <f t="shared" si="359"/>
        <v>2147.6509999999998</v>
      </c>
      <c r="Z278" s="1413">
        <f t="shared" si="359"/>
        <v>2147.6509999999998</v>
      </c>
      <c r="AA278" s="1413">
        <f t="shared" si="359"/>
        <v>2275.35</v>
      </c>
      <c r="AB278" s="1413">
        <f t="shared" si="359"/>
        <v>2392.9490000000001</v>
      </c>
      <c r="AC278" s="1413">
        <f t="shared" si="359"/>
        <v>2501.3820000000001</v>
      </c>
      <c r="AD278" s="1413">
        <f t="shared" si="359"/>
        <v>2639.1579999999999</v>
      </c>
      <c r="AE278" s="1413">
        <f t="shared" si="359"/>
        <v>2639.1579999999999</v>
      </c>
      <c r="AF278" s="1413">
        <f t="shared" si="359"/>
        <v>2716.3780000000002</v>
      </c>
      <c r="AG278" s="1413">
        <f t="shared" si="359"/>
        <v>2777.6559999999999</v>
      </c>
      <c r="AH278" s="1413">
        <f t="shared" si="359"/>
        <v>2847.125</v>
      </c>
      <c r="AI278" s="1413"/>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355"/>
      <c r="BF278" s="1254"/>
      <c r="BG278" s="1254"/>
      <c r="BH278" s="1254"/>
      <c r="BI278" s="1389"/>
      <c r="BJ278" s="1355"/>
      <c r="BK278" s="1254"/>
      <c r="BL278" s="1254"/>
      <c r="BM278" s="1254"/>
      <c r="BN278" s="1389"/>
      <c r="BO278" s="1355"/>
      <c r="BP278" s="1254"/>
      <c r="BQ278" s="1254"/>
      <c r="BR278" s="1254"/>
      <c r="BS278" s="1389"/>
      <c r="BT278" s="1355"/>
      <c r="BU278" s="1254"/>
      <c r="BV278" s="1254"/>
      <c r="BW278" s="1254"/>
      <c r="BX278" s="1389"/>
      <c r="BY278" s="1254"/>
      <c r="BZ278" s="1254"/>
      <c r="CA278" s="1316"/>
      <c r="CB278" s="1316"/>
      <c r="CC278" s="1316"/>
      <c r="CD278" s="1316"/>
      <c r="CE278" s="928"/>
      <c r="CF278" s="1316"/>
      <c r="CG278" s="1316"/>
      <c r="CH278" s="1316"/>
      <c r="CI278" s="1316"/>
      <c r="CJ278" s="928"/>
      <c r="CK278" s="1316"/>
      <c r="CL278" s="1316"/>
      <c r="CM278" s="1316"/>
      <c r="CN278" s="1316"/>
      <c r="CO278" s="928"/>
      <c r="CP278" s="928"/>
      <c r="CQ278" s="928"/>
      <c r="CR278" s="928"/>
      <c r="CS278" s="928"/>
      <c r="CT278" s="928"/>
      <c r="CU278" s="928"/>
      <c r="CV278" s="928"/>
      <c r="CW278" s="928"/>
      <c r="CX278" s="928"/>
      <c r="CY278" s="928"/>
      <c r="CZ278" s="928"/>
      <c r="DA278" s="928"/>
      <c r="DB278" s="928"/>
      <c r="DC278" s="928"/>
      <c r="DD278" s="928"/>
      <c r="DE278" s="928"/>
      <c r="DF278" s="928"/>
      <c r="DG278" s="928"/>
      <c r="DH278" s="928"/>
      <c r="DI278" s="928"/>
      <c r="DJ278" s="928"/>
      <c r="DK278" s="928"/>
      <c r="DL278" s="928"/>
      <c r="DM278" s="928"/>
      <c r="DN278" s="928"/>
      <c r="DO278" s="928"/>
      <c r="DP278" s="928"/>
      <c r="DQ278" s="928"/>
      <c r="DR278" s="928"/>
      <c r="DS278" s="928"/>
      <c r="DT278" s="928"/>
      <c r="DU278" s="928"/>
      <c r="DV278" s="928"/>
      <c r="DW278" s="928"/>
      <c r="DX278" s="928"/>
      <c r="DY278" s="1338"/>
      <c r="DZ278" s="928"/>
      <c r="EA278" s="928"/>
      <c r="EB278" s="928"/>
      <c r="EC278" s="1337"/>
      <c r="ED278" s="1338"/>
      <c r="EE278" s="928"/>
      <c r="EF278" s="928"/>
      <c r="EG278" s="928"/>
      <c r="EH278" s="1337"/>
      <c r="EI278" s="928"/>
      <c r="EJ278" s="928"/>
      <c r="EK278" s="928"/>
      <c r="EL278" s="928"/>
      <c r="EM278" s="1337"/>
      <c r="EN278" s="928"/>
      <c r="EO278" s="928"/>
      <c r="EP278" s="928"/>
      <c r="EQ278" s="928"/>
      <c r="ER278" s="928"/>
      <c r="ES278" s="928"/>
      <c r="ET278" s="928"/>
      <c r="EU278" s="928"/>
      <c r="EV278" s="928"/>
      <c r="EW278" s="928"/>
      <c r="EX278" s="928"/>
      <c r="EY278" s="928"/>
      <c r="EZ278" s="928"/>
      <c r="FA278" s="928"/>
      <c r="FB278" s="928"/>
      <c r="FC278" s="928"/>
      <c r="FD278" s="928"/>
      <c r="FE278" s="928"/>
      <c r="FF278" s="1254"/>
      <c r="FG278" s="928"/>
      <c r="FH278" s="1351"/>
      <c r="FI278" s="1319"/>
      <c r="FJ278" s="1612"/>
      <c r="FK278" s="1605"/>
      <c r="FL278" s="928"/>
      <c r="FM278" s="928"/>
      <c r="FN278" s="928"/>
      <c r="FO278" s="928"/>
      <c r="FP278" s="928"/>
      <c r="FQ278" s="928"/>
    </row>
    <row r="279" spans="1:173">
      <c r="A279" s="928" t="s">
        <v>2726</v>
      </c>
      <c r="B279" s="928"/>
      <c r="C279" s="928"/>
      <c r="D279" s="928"/>
      <c r="E279" s="928"/>
      <c r="F279" s="928"/>
      <c r="G279" s="1413"/>
      <c r="H279" s="1413"/>
      <c r="I279" s="1413"/>
      <c r="J279" s="1413"/>
      <c r="K279" s="928"/>
      <c r="L279" s="1413"/>
      <c r="M279" s="1413"/>
      <c r="N279" s="1413"/>
      <c r="O279" s="1413"/>
      <c r="P279" s="928"/>
      <c r="Q279" s="1413"/>
      <c r="R279" s="1413"/>
      <c r="S279" s="1413"/>
      <c r="T279" s="1413"/>
      <c r="U279" s="1413"/>
      <c r="V279" s="1413"/>
      <c r="W279" s="1413"/>
      <c r="X279" s="1413"/>
      <c r="Y279" s="1413">
        <f>Y278-X278</f>
        <v>86.914999999999964</v>
      </c>
      <c r="Z279" s="1413"/>
      <c r="AA279" s="1413">
        <f>AA278-Z278</f>
        <v>127.69900000000007</v>
      </c>
      <c r="AB279" s="1413">
        <f>AB278-AA278</f>
        <v>117.59900000000016</v>
      </c>
      <c r="AC279" s="1413">
        <f>AC278-AB278</f>
        <v>108.43299999999999</v>
      </c>
      <c r="AD279" s="1413">
        <f>AD278-AC278</f>
        <v>137.77599999999984</v>
      </c>
      <c r="AE279" s="1254"/>
      <c r="AF279" s="1413">
        <f>AF278-AE278</f>
        <v>77.220000000000255</v>
      </c>
      <c r="AG279" s="1413">
        <f>AG278-AF278</f>
        <v>61.277999999999793</v>
      </c>
      <c r="AH279" s="1413">
        <f>AH278-AG278</f>
        <v>69.469000000000051</v>
      </c>
      <c r="AI279" s="1413"/>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355"/>
      <c r="BF279" s="1254"/>
      <c r="BG279" s="1254"/>
      <c r="BH279" s="1254"/>
      <c r="BI279" s="1389"/>
      <c r="BJ279" s="1355"/>
      <c r="BK279" s="1254"/>
      <c r="BL279" s="1254"/>
      <c r="BM279" s="1254"/>
      <c r="BN279" s="1389"/>
      <c r="BO279" s="1355"/>
      <c r="BP279" s="1254"/>
      <c r="BQ279" s="1254"/>
      <c r="BR279" s="1254"/>
      <c r="BS279" s="1389"/>
      <c r="BT279" s="1355"/>
      <c r="BU279" s="1254"/>
      <c r="BV279" s="1254"/>
      <c r="BW279" s="1254"/>
      <c r="BX279" s="1389"/>
      <c r="BY279" s="1254"/>
      <c r="BZ279" s="1254"/>
      <c r="CA279" s="1316"/>
      <c r="CB279" s="1316"/>
      <c r="CC279" s="1316"/>
      <c r="CD279" s="1316"/>
      <c r="CE279" s="928"/>
      <c r="CF279" s="1316"/>
      <c r="CG279" s="1316"/>
      <c r="CH279" s="1316"/>
      <c r="CI279" s="1316"/>
      <c r="CJ279" s="928"/>
      <c r="CK279" s="1316"/>
      <c r="CL279" s="1316"/>
      <c r="CM279" s="1316"/>
      <c r="CN279" s="1316"/>
      <c r="CO279" s="928"/>
      <c r="CP279" s="928"/>
      <c r="CQ279" s="928"/>
      <c r="CR279" s="928"/>
      <c r="CS279" s="928"/>
      <c r="CT279" s="928"/>
      <c r="CU279" s="928"/>
      <c r="CV279" s="928"/>
      <c r="CW279" s="928"/>
      <c r="CX279" s="928"/>
      <c r="CY279" s="928"/>
      <c r="CZ279" s="928"/>
      <c r="DA279" s="928"/>
      <c r="DB279" s="928"/>
      <c r="DC279" s="928"/>
      <c r="DD279" s="928"/>
      <c r="DE279" s="928"/>
      <c r="DF279" s="928"/>
      <c r="DG279" s="928"/>
      <c r="DH279" s="928"/>
      <c r="DI279" s="928"/>
      <c r="DJ279" s="928"/>
      <c r="DK279" s="928"/>
      <c r="DL279" s="928"/>
      <c r="DM279" s="928"/>
      <c r="DN279" s="928"/>
      <c r="DO279" s="928"/>
      <c r="DP279" s="928"/>
      <c r="DQ279" s="928"/>
      <c r="DR279" s="928"/>
      <c r="DS279" s="928"/>
      <c r="DT279" s="928"/>
      <c r="DU279" s="928"/>
      <c r="DV279" s="928"/>
      <c r="DW279" s="928"/>
      <c r="DX279" s="928"/>
      <c r="DY279" s="1338"/>
      <c r="DZ279" s="928"/>
      <c r="EA279" s="928"/>
      <c r="EB279" s="928"/>
      <c r="EC279" s="1337"/>
      <c r="ED279" s="1338"/>
      <c r="EE279" s="928"/>
      <c r="EF279" s="928"/>
      <c r="EG279" s="928"/>
      <c r="EH279" s="1337"/>
      <c r="EI279" s="928"/>
      <c r="EJ279" s="928"/>
      <c r="EK279" s="928"/>
      <c r="EL279" s="928"/>
      <c r="EM279" s="1337"/>
      <c r="EN279" s="928"/>
      <c r="EO279" s="928"/>
      <c r="EP279" s="928"/>
      <c r="EQ279" s="928"/>
      <c r="ER279" s="928"/>
      <c r="ES279" s="928"/>
      <c r="ET279" s="928"/>
      <c r="EU279" s="928"/>
      <c r="EV279" s="928"/>
      <c r="EW279" s="928"/>
      <c r="EX279" s="928"/>
      <c r="EY279" s="928"/>
      <c r="EZ279" s="928"/>
      <c r="FA279" s="928"/>
      <c r="FB279" s="928"/>
      <c r="FC279" s="928"/>
      <c r="FD279" s="928"/>
      <c r="FE279" s="928"/>
      <c r="FF279" s="1254"/>
      <c r="FG279" s="928"/>
      <c r="FH279" s="1351"/>
      <c r="FI279" s="1319"/>
      <c r="FJ279" s="1612"/>
      <c r="FK279" s="1605"/>
      <c r="FL279" s="928"/>
      <c r="FM279" s="928"/>
      <c r="FN279" s="928"/>
      <c r="FO279" s="928"/>
      <c r="FP279" s="928"/>
      <c r="FQ279" s="928"/>
    </row>
    <row r="280" spans="1:173">
      <c r="A280" s="928" t="s">
        <v>1613</v>
      </c>
      <c r="B280" s="928"/>
      <c r="C280" s="928"/>
      <c r="D280" s="928"/>
      <c r="E280" s="928"/>
      <c r="F280" s="928"/>
      <c r="G280" s="1413"/>
      <c r="H280" s="1413"/>
      <c r="I280" s="1413"/>
      <c r="J280" s="1413"/>
      <c r="K280" s="928"/>
      <c r="L280" s="1413"/>
      <c r="M280" s="1413"/>
      <c r="N280" s="1413"/>
      <c r="O280" s="1413"/>
      <c r="P280" s="928"/>
      <c r="Q280" s="1413"/>
      <c r="R280" s="1413"/>
      <c r="S280" s="1413"/>
      <c r="T280" s="1413"/>
      <c r="U280" s="1413"/>
      <c r="V280" s="1413"/>
      <c r="W280" s="1413"/>
      <c r="X280" s="1413"/>
      <c r="Y280" s="1254">
        <f>Y279/Y249</f>
        <v>0.35113199314824939</v>
      </c>
      <c r="Z280" s="1413"/>
      <c r="AA280" s="1254">
        <f>AA279/AA249</f>
        <v>0.32298034534128173</v>
      </c>
      <c r="AB280" s="1254">
        <f>AB279/AB249</f>
        <v>0.34418480774071147</v>
      </c>
      <c r="AC280" s="1254">
        <f>AC279/AC249</f>
        <v>0.32012009706960731</v>
      </c>
      <c r="AD280" s="1254">
        <f>AD279/AD249</f>
        <v>0.32805371684365919</v>
      </c>
      <c r="AE280" s="1254"/>
      <c r="AF280" s="1254">
        <f>AF279/AF249</f>
        <v>0.30913225191756766</v>
      </c>
      <c r="AG280" s="1254">
        <f>AG279/AG249</f>
        <v>0.23548173880963999</v>
      </c>
      <c r="AH280" s="1254">
        <f>AH279/AH249</f>
        <v>0.46514851219969516</v>
      </c>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355"/>
      <c r="BF280" s="1254"/>
      <c r="BG280" s="1254"/>
      <c r="BH280" s="1254"/>
      <c r="BI280" s="1389"/>
      <c r="BJ280" s="1355"/>
      <c r="BK280" s="1254"/>
      <c r="BL280" s="1254"/>
      <c r="BM280" s="1254"/>
      <c r="BN280" s="1389"/>
      <c r="BO280" s="1355"/>
      <c r="BP280" s="1254"/>
      <c r="BQ280" s="1254"/>
      <c r="BR280" s="1254"/>
      <c r="BS280" s="1389"/>
      <c r="BT280" s="1355"/>
      <c r="BU280" s="1254"/>
      <c r="BV280" s="1254"/>
      <c r="BW280" s="1254"/>
      <c r="BX280" s="1389"/>
      <c r="BY280" s="1254"/>
      <c r="BZ280" s="1254"/>
      <c r="CA280" s="1316"/>
      <c r="CB280" s="1316"/>
      <c r="CC280" s="1316"/>
      <c r="CD280" s="1316"/>
      <c r="CE280" s="928"/>
      <c r="CF280" s="1316"/>
      <c r="CG280" s="1316"/>
      <c r="CH280" s="1316"/>
      <c r="CI280" s="1316"/>
      <c r="CJ280" s="928"/>
      <c r="CK280" s="1316"/>
      <c r="CL280" s="1316"/>
      <c r="CM280" s="1316"/>
      <c r="CN280" s="1316"/>
      <c r="CO280" s="928"/>
      <c r="CP280" s="928"/>
      <c r="CQ280" s="928"/>
      <c r="CR280" s="928"/>
      <c r="CS280" s="928"/>
      <c r="CT280" s="928"/>
      <c r="CU280" s="928"/>
      <c r="CV280" s="928"/>
      <c r="CW280" s="928"/>
      <c r="CX280" s="928"/>
      <c r="CY280" s="928"/>
      <c r="CZ280" s="928"/>
      <c r="DA280" s="928"/>
      <c r="DB280" s="928"/>
      <c r="DC280" s="928"/>
      <c r="DD280" s="928"/>
      <c r="DE280" s="928"/>
      <c r="DF280" s="928"/>
      <c r="DG280" s="928"/>
      <c r="DH280" s="928"/>
      <c r="DI280" s="928"/>
      <c r="DJ280" s="928"/>
      <c r="DK280" s="928"/>
      <c r="DL280" s="928"/>
      <c r="DM280" s="928"/>
      <c r="DN280" s="928"/>
      <c r="DO280" s="928"/>
      <c r="DP280" s="928"/>
      <c r="DQ280" s="928"/>
      <c r="DR280" s="928"/>
      <c r="DS280" s="928"/>
      <c r="DT280" s="928"/>
      <c r="DU280" s="928"/>
      <c r="DV280" s="928"/>
      <c r="DW280" s="928"/>
      <c r="DX280" s="928"/>
      <c r="DY280" s="1338"/>
      <c r="DZ280" s="928"/>
      <c r="EA280" s="928"/>
      <c r="EB280" s="928"/>
      <c r="EC280" s="1337"/>
      <c r="ED280" s="1338"/>
      <c r="EE280" s="928"/>
      <c r="EF280" s="928"/>
      <c r="EG280" s="928"/>
      <c r="EH280" s="1337"/>
      <c r="EI280" s="928"/>
      <c r="EJ280" s="928"/>
      <c r="EK280" s="928"/>
      <c r="EL280" s="928"/>
      <c r="EM280" s="1337"/>
      <c r="EN280" s="928"/>
      <c r="EO280" s="928"/>
      <c r="EP280" s="928"/>
      <c r="EQ280" s="928"/>
      <c r="ER280" s="928"/>
      <c r="ES280" s="928"/>
      <c r="ET280" s="928"/>
      <c r="EU280" s="928"/>
      <c r="EV280" s="928"/>
      <c r="EW280" s="928"/>
      <c r="EX280" s="928"/>
      <c r="EY280" s="928"/>
      <c r="EZ280" s="928"/>
      <c r="FA280" s="928"/>
      <c r="FB280" s="928"/>
      <c r="FC280" s="928"/>
      <c r="FD280" s="928"/>
      <c r="FE280" s="928"/>
      <c r="FF280" s="1254"/>
      <c r="FG280" s="928"/>
      <c r="FH280" s="1351"/>
      <c r="FI280" s="1319"/>
      <c r="FJ280" s="1612"/>
      <c r="FK280" s="1605"/>
      <c r="FL280" s="928"/>
      <c r="FM280" s="928"/>
      <c r="FN280" s="928"/>
      <c r="FO280" s="928"/>
      <c r="FP280" s="928"/>
      <c r="FQ280" s="928"/>
    </row>
    <row r="281" spans="1:173">
      <c r="A281" s="928"/>
      <c r="B281" s="928"/>
      <c r="C281" s="928"/>
      <c r="D281" s="928"/>
      <c r="E281" s="928"/>
      <c r="F281" s="928"/>
      <c r="G281" s="1413"/>
      <c r="H281" s="1413"/>
      <c r="I281" s="1413"/>
      <c r="J281" s="1413"/>
      <c r="K281" s="928"/>
      <c r="L281" s="1413"/>
      <c r="M281" s="1413"/>
      <c r="N281" s="1413"/>
      <c r="O281" s="1413"/>
      <c r="P281" s="928"/>
      <c r="Q281" s="1413"/>
      <c r="R281" s="1413"/>
      <c r="S281" s="1413"/>
      <c r="T281" s="1413"/>
      <c r="U281" s="1413"/>
      <c r="V281" s="1413"/>
      <c r="W281" s="1413"/>
      <c r="X281" s="1413"/>
      <c r="Y281" s="1413"/>
      <c r="Z281" s="1413"/>
      <c r="AA281" s="1413"/>
      <c r="AB281" s="1413"/>
      <c r="AC281" s="1413"/>
      <c r="AD281" s="1413"/>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355"/>
      <c r="BF281" s="1254"/>
      <c r="BG281" s="1254"/>
      <c r="BH281" s="1254"/>
      <c r="BI281" s="1389"/>
      <c r="BJ281" s="1355"/>
      <c r="BK281" s="1254"/>
      <c r="BL281" s="1254"/>
      <c r="BM281" s="1254"/>
      <c r="BN281" s="1389"/>
      <c r="BO281" s="1355"/>
      <c r="BP281" s="1254"/>
      <c r="BQ281" s="1254"/>
      <c r="BR281" s="1254"/>
      <c r="BS281" s="1389"/>
      <c r="BT281" s="1355"/>
      <c r="BU281" s="1254"/>
      <c r="BV281" s="1254"/>
      <c r="BW281" s="1254"/>
      <c r="BX281" s="1389"/>
      <c r="BY281" s="1254"/>
      <c r="BZ281" s="1254"/>
      <c r="CA281" s="1316"/>
      <c r="CB281" s="1316"/>
      <c r="CC281" s="1316"/>
      <c r="CD281" s="1316"/>
      <c r="CE281" s="928"/>
      <c r="CF281" s="1316"/>
      <c r="CG281" s="1316"/>
      <c r="CH281" s="1316"/>
      <c r="CI281" s="1316"/>
      <c r="CJ281" s="928"/>
      <c r="CK281" s="1316"/>
      <c r="CL281" s="1316"/>
      <c r="CM281" s="1316"/>
      <c r="CN281" s="1316"/>
      <c r="CO281" s="928"/>
      <c r="CP281" s="928"/>
      <c r="CQ281" s="928"/>
      <c r="CR281" s="928"/>
      <c r="CS281" s="928"/>
      <c r="CT281" s="928"/>
      <c r="CU281" s="928"/>
      <c r="CV281" s="928"/>
      <c r="CW281" s="928"/>
      <c r="CX281" s="928"/>
      <c r="CY281" s="928"/>
      <c r="CZ281" s="928"/>
      <c r="DA281" s="928"/>
      <c r="DB281" s="928"/>
      <c r="DC281" s="928"/>
      <c r="DD281" s="928"/>
      <c r="DE281" s="928"/>
      <c r="DF281" s="928"/>
      <c r="DG281" s="928"/>
      <c r="DH281" s="928"/>
      <c r="DI281" s="928"/>
      <c r="DJ281" s="928"/>
      <c r="DK281" s="928"/>
      <c r="DL281" s="928"/>
      <c r="DM281" s="928"/>
      <c r="DN281" s="928"/>
      <c r="DO281" s="928"/>
      <c r="DP281" s="928"/>
      <c r="DQ281" s="928"/>
      <c r="DR281" s="928"/>
      <c r="DS281" s="928"/>
      <c r="DT281" s="928"/>
      <c r="DU281" s="928"/>
      <c r="DV281" s="928"/>
      <c r="DW281" s="928"/>
      <c r="DX281" s="928"/>
      <c r="DY281" s="1338"/>
      <c r="DZ281" s="928"/>
      <c r="EA281" s="928"/>
      <c r="EB281" s="928"/>
      <c r="EC281" s="1337"/>
      <c r="ED281" s="1338"/>
      <c r="EE281" s="928"/>
      <c r="EF281" s="928"/>
      <c r="EG281" s="928"/>
      <c r="EH281" s="1337"/>
      <c r="EI281" s="928"/>
      <c r="EJ281" s="928"/>
      <c r="EK281" s="928"/>
      <c r="EL281" s="928"/>
      <c r="EM281" s="1337"/>
      <c r="EN281" s="928"/>
      <c r="EO281" s="928"/>
      <c r="EP281" s="928"/>
      <c r="EQ281" s="928"/>
      <c r="ER281" s="928"/>
      <c r="ES281" s="928"/>
      <c r="ET281" s="928"/>
      <c r="EU281" s="928"/>
      <c r="EV281" s="928"/>
      <c r="EW281" s="928"/>
      <c r="EX281" s="928"/>
      <c r="EY281" s="928"/>
      <c r="EZ281" s="928"/>
      <c r="FA281" s="928"/>
      <c r="FB281" s="928"/>
      <c r="FC281" s="928"/>
      <c r="FD281" s="928"/>
      <c r="FE281" s="928"/>
      <c r="FF281" s="1254"/>
      <c r="FG281" s="928"/>
      <c r="FH281" s="1351"/>
      <c r="FI281" s="1319"/>
      <c r="FJ281" s="1612"/>
      <c r="FK281" s="1605"/>
      <c r="FL281" s="928"/>
      <c r="FM281" s="928"/>
      <c r="FN281" s="928"/>
      <c r="FO281" s="928"/>
      <c r="FP281" s="928"/>
      <c r="FQ281" s="928"/>
    </row>
    <row r="282" spans="1:173">
      <c r="A282" s="928" t="s">
        <v>2618</v>
      </c>
      <c r="B282" s="928"/>
      <c r="C282" s="928"/>
      <c r="D282" s="928"/>
      <c r="E282" s="928"/>
      <c r="F282" s="928"/>
      <c r="G282" s="1413"/>
      <c r="H282" s="1413"/>
      <c r="I282" s="1413"/>
      <c r="J282" s="1413"/>
      <c r="K282" s="928"/>
      <c r="L282" s="1413"/>
      <c r="M282" s="1413"/>
      <c r="N282" s="1413"/>
      <c r="O282" s="1413"/>
      <c r="P282" s="928"/>
      <c r="Q282" s="1413"/>
      <c r="R282" s="1413"/>
      <c r="S282" s="1413"/>
      <c r="T282" s="1413"/>
      <c r="U282" s="1413"/>
      <c r="V282" s="1413"/>
      <c r="W282" s="1413"/>
      <c r="X282" s="1413"/>
      <c r="Y282" s="1413">
        <f>Y270/AVERAGE(X278,Y278)/3*1000</f>
        <v>408.54924543140481</v>
      </c>
      <c r="Z282" s="1413"/>
      <c r="AA282" s="1413">
        <f>AA270/AVERAGE(Z278,AA278)/3*1000</f>
        <v>388.62000408018599</v>
      </c>
      <c r="AB282" s="1413">
        <f>AB270/AVERAGE(AA278,AB278)/3*1000</f>
        <v>379.7243207143901</v>
      </c>
      <c r="AC282" s="1413">
        <f>AC270/AVERAGE(AB278,AC278)/3*1000</f>
        <v>390.111198718136</v>
      </c>
      <c r="AD282" s="1413">
        <f>AD270/AVERAGE(AC278,AD278)/3*1000</f>
        <v>384.26572565009383</v>
      </c>
      <c r="AE282" s="1254"/>
      <c r="AF282" s="1413">
        <f>AF270/AVERAGE(AE278,AF278)/3*1000</f>
        <v>364.45776233539772</v>
      </c>
      <c r="AG282" s="1413">
        <f>AG270/AVERAGE(AF278,AG278)/3*1000</f>
        <v>368.52095685368289</v>
      </c>
      <c r="AH282" s="1413">
        <f>AH270/AVERAGE(AG278,AH278)/3*1000</f>
        <v>373.70343840942428</v>
      </c>
      <c r="AI282" s="1413"/>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355"/>
      <c r="BF282" s="1254"/>
      <c r="BG282" s="1254"/>
      <c r="BH282" s="1254"/>
      <c r="BI282" s="1389"/>
      <c r="BJ282" s="1355"/>
      <c r="BK282" s="1254"/>
      <c r="BL282" s="1254"/>
      <c r="BM282" s="1254"/>
      <c r="BN282" s="1389"/>
      <c r="BO282" s="1355"/>
      <c r="BP282" s="1254"/>
      <c r="BQ282" s="1254"/>
      <c r="BR282" s="1254"/>
      <c r="BS282" s="1389"/>
      <c r="BT282" s="1355"/>
      <c r="BU282" s="1254"/>
      <c r="BV282" s="1254"/>
      <c r="BW282" s="1254"/>
      <c r="BX282" s="1389"/>
      <c r="BY282" s="1254"/>
      <c r="BZ282" s="1254"/>
      <c r="CA282" s="1316"/>
      <c r="CB282" s="1316"/>
      <c r="CC282" s="1316"/>
      <c r="CD282" s="1316"/>
      <c r="CE282" s="928"/>
      <c r="CF282" s="1316"/>
      <c r="CG282" s="1316"/>
      <c r="CH282" s="1316"/>
      <c r="CI282" s="1316"/>
      <c r="CJ282" s="928"/>
      <c r="CK282" s="1316"/>
      <c r="CL282" s="1316"/>
      <c r="CM282" s="1316"/>
      <c r="CN282" s="1316"/>
      <c r="CO282" s="928"/>
      <c r="CP282" s="928"/>
      <c r="CQ282" s="928"/>
      <c r="CR282" s="928"/>
      <c r="CS282" s="928"/>
      <c r="CT282" s="928"/>
      <c r="CU282" s="928"/>
      <c r="CV282" s="928"/>
      <c r="CW282" s="928"/>
      <c r="CX282" s="928"/>
      <c r="CY282" s="928"/>
      <c r="CZ282" s="928"/>
      <c r="DA282" s="928"/>
      <c r="DB282" s="928"/>
      <c r="DC282" s="928"/>
      <c r="DD282" s="928"/>
      <c r="DE282" s="928"/>
      <c r="DF282" s="928"/>
      <c r="DG282" s="928"/>
      <c r="DH282" s="928"/>
      <c r="DI282" s="928"/>
      <c r="DJ282" s="928"/>
      <c r="DK282" s="928"/>
      <c r="DL282" s="928"/>
      <c r="DM282" s="928"/>
      <c r="DN282" s="928"/>
      <c r="DO282" s="928"/>
      <c r="DP282" s="928"/>
      <c r="DQ282" s="928"/>
      <c r="DR282" s="928"/>
      <c r="DS282" s="928"/>
      <c r="DT282" s="928"/>
      <c r="DU282" s="928"/>
      <c r="DV282" s="928"/>
      <c r="DW282" s="928"/>
      <c r="DX282" s="928"/>
      <c r="DY282" s="1338"/>
      <c r="DZ282" s="928"/>
      <c r="EA282" s="928"/>
      <c r="EB282" s="928"/>
      <c r="EC282" s="1337"/>
      <c r="ED282" s="1338"/>
      <c r="EE282" s="928"/>
      <c r="EF282" s="928"/>
      <c r="EG282" s="928"/>
      <c r="EH282" s="1337"/>
      <c r="EI282" s="928"/>
      <c r="EJ282" s="928"/>
      <c r="EK282" s="928"/>
      <c r="EL282" s="928"/>
      <c r="EM282" s="1337"/>
      <c r="EN282" s="928"/>
      <c r="EO282" s="928"/>
      <c r="EP282" s="928"/>
      <c r="EQ282" s="928"/>
      <c r="ER282" s="928"/>
      <c r="ES282" s="928"/>
      <c r="ET282" s="928"/>
      <c r="EU282" s="928"/>
      <c r="EV282" s="928"/>
      <c r="EW282" s="928"/>
      <c r="EX282" s="928"/>
      <c r="EY282" s="928"/>
      <c r="EZ282" s="928"/>
      <c r="FA282" s="928"/>
      <c r="FB282" s="928"/>
      <c r="FC282" s="928"/>
      <c r="FD282" s="928"/>
      <c r="FE282" s="928"/>
      <c r="FF282" s="1254"/>
      <c r="FG282" s="928"/>
      <c r="FH282" s="1351"/>
      <c r="FI282" s="1319"/>
      <c r="FJ282" s="1612"/>
      <c r="FK282" s="1605"/>
      <c r="FL282" s="928"/>
      <c r="FM282" s="928"/>
      <c r="FN282" s="928"/>
      <c r="FO282" s="928"/>
      <c r="FP282" s="928"/>
      <c r="FQ282" s="928"/>
    </row>
    <row r="283" spans="1:173">
      <c r="A283" s="928"/>
      <c r="B283" s="928"/>
      <c r="C283" s="928"/>
      <c r="D283" s="928"/>
      <c r="E283" s="928"/>
      <c r="F283" s="928"/>
      <c r="G283" s="1413"/>
      <c r="H283" s="1413"/>
      <c r="I283" s="1413"/>
      <c r="J283" s="1413"/>
      <c r="K283" s="928"/>
      <c r="L283" s="1413"/>
      <c r="M283" s="1413"/>
      <c r="N283" s="1413"/>
      <c r="O283" s="1413"/>
      <c r="P283" s="928"/>
      <c r="Q283" s="1413"/>
      <c r="R283" s="1413"/>
      <c r="S283" s="1413"/>
      <c r="T283" s="1413"/>
      <c r="U283" s="1413"/>
      <c r="V283" s="1413"/>
      <c r="W283" s="1413"/>
      <c r="X283" s="1413"/>
      <c r="Y283" s="1413"/>
      <c r="Z283" s="1413"/>
      <c r="AA283" s="1413"/>
      <c r="AB283" s="1413"/>
      <c r="AC283" s="1413"/>
      <c r="AD283" s="1413"/>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355"/>
      <c r="BF283" s="1254"/>
      <c r="BG283" s="1254"/>
      <c r="BH283" s="1254"/>
      <c r="BI283" s="1389"/>
      <c r="BJ283" s="1355"/>
      <c r="BK283" s="1254"/>
      <c r="BL283" s="1254"/>
      <c r="BM283" s="1254"/>
      <c r="BN283" s="1389"/>
      <c r="BO283" s="1355"/>
      <c r="BP283" s="1254"/>
      <c r="BQ283" s="1254"/>
      <c r="BR283" s="1254"/>
      <c r="BS283" s="1389"/>
      <c r="BT283" s="1355"/>
      <c r="BU283" s="1254"/>
      <c r="BV283" s="1254"/>
      <c r="BW283" s="1254"/>
      <c r="BX283" s="1389"/>
      <c r="BY283" s="1254"/>
      <c r="BZ283" s="1254"/>
      <c r="CA283" s="1316"/>
      <c r="CB283" s="1316"/>
      <c r="CC283" s="1316"/>
      <c r="CD283" s="1316"/>
      <c r="CE283" s="928"/>
      <c r="CF283" s="1316"/>
      <c r="CG283" s="1316"/>
      <c r="CH283" s="1316"/>
      <c r="CI283" s="1316"/>
      <c r="CJ283" s="928"/>
      <c r="CK283" s="1316"/>
      <c r="CL283" s="1316"/>
      <c r="CM283" s="1316"/>
      <c r="CN283" s="1316"/>
      <c r="CO283" s="928"/>
      <c r="CP283" s="928"/>
      <c r="CQ283" s="928"/>
      <c r="CR283" s="928"/>
      <c r="CS283" s="928"/>
      <c r="CT283" s="928"/>
      <c r="CU283" s="928"/>
      <c r="CV283" s="928"/>
      <c r="CW283" s="928"/>
      <c r="CX283" s="928"/>
      <c r="CY283" s="928"/>
      <c r="CZ283" s="928"/>
      <c r="DA283" s="928"/>
      <c r="DB283" s="928"/>
      <c r="DC283" s="928"/>
      <c r="DD283" s="928"/>
      <c r="DE283" s="928"/>
      <c r="DF283" s="928"/>
      <c r="DG283" s="928"/>
      <c r="DH283" s="928"/>
      <c r="DI283" s="928"/>
      <c r="DJ283" s="928"/>
      <c r="DK283" s="928"/>
      <c r="DL283" s="928"/>
      <c r="DM283" s="928"/>
      <c r="DN283" s="928"/>
      <c r="DO283" s="928"/>
      <c r="DP283" s="928"/>
      <c r="DQ283" s="928"/>
      <c r="DR283" s="928"/>
      <c r="DS283" s="928"/>
      <c r="DT283" s="928"/>
      <c r="DU283" s="928"/>
      <c r="DV283" s="928"/>
      <c r="DW283" s="928"/>
      <c r="DX283" s="928"/>
      <c r="DY283" s="1338"/>
      <c r="DZ283" s="928"/>
      <c r="EA283" s="928"/>
      <c r="EB283" s="928"/>
      <c r="EC283" s="1337"/>
      <c r="ED283" s="1338"/>
      <c r="EE283" s="928"/>
      <c r="EF283" s="928"/>
      <c r="EG283" s="928"/>
      <c r="EH283" s="1337"/>
      <c r="EI283" s="928"/>
      <c r="EJ283" s="928"/>
      <c r="EK283" s="928"/>
      <c r="EL283" s="928"/>
      <c r="EM283" s="1337"/>
      <c r="EN283" s="928"/>
      <c r="EO283" s="928"/>
      <c r="EP283" s="928"/>
      <c r="EQ283" s="928"/>
      <c r="ER283" s="928"/>
      <c r="ES283" s="928"/>
      <c r="ET283" s="928"/>
      <c r="EU283" s="928"/>
      <c r="EV283" s="928"/>
      <c r="EW283" s="928"/>
      <c r="EX283" s="928"/>
      <c r="EY283" s="928"/>
      <c r="EZ283" s="928"/>
      <c r="FA283" s="928"/>
      <c r="FB283" s="928"/>
      <c r="FC283" s="928"/>
      <c r="FD283" s="928"/>
      <c r="FE283" s="928"/>
      <c r="FF283" s="1254"/>
      <c r="FG283" s="928"/>
      <c r="FH283" s="1351"/>
      <c r="FI283" s="1319"/>
      <c r="FJ283" s="1612"/>
      <c r="FK283" s="1605"/>
      <c r="FL283" s="928"/>
      <c r="FM283" s="928"/>
      <c r="FN283" s="928"/>
      <c r="FO283" s="928"/>
      <c r="FP283" s="928"/>
      <c r="FQ283" s="928"/>
    </row>
    <row r="284" spans="1:173">
      <c r="A284" s="928" t="s">
        <v>2616</v>
      </c>
      <c r="B284" s="928"/>
      <c r="C284" s="928"/>
      <c r="D284" s="928"/>
      <c r="E284" s="928"/>
      <c r="F284" s="928"/>
      <c r="G284" s="1413"/>
      <c r="H284" s="1413"/>
      <c r="I284" s="1413"/>
      <c r="J284" s="1413"/>
      <c r="K284" s="928"/>
      <c r="L284" s="1413"/>
      <c r="M284" s="1413"/>
      <c r="N284" s="1413"/>
      <c r="O284" s="1413"/>
      <c r="P284" s="928"/>
      <c r="Q284" s="1413"/>
      <c r="R284" s="1413"/>
      <c r="S284" s="1413"/>
      <c r="T284" s="1413"/>
      <c r="U284" s="1413"/>
      <c r="V284" s="1413"/>
      <c r="W284" s="1413"/>
      <c r="X284" s="1413"/>
      <c r="Y284" s="1413"/>
      <c r="Z284" s="1413"/>
      <c r="AA284" s="1413"/>
      <c r="AB284" s="1413"/>
      <c r="AC284" s="1413"/>
      <c r="AD284" s="1413"/>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355"/>
      <c r="BF284" s="1254"/>
      <c r="BG284" s="1254"/>
      <c r="BH284" s="1254"/>
      <c r="BI284" s="1389"/>
      <c r="BJ284" s="1355"/>
      <c r="BK284" s="1254"/>
      <c r="BL284" s="1254"/>
      <c r="BM284" s="1254"/>
      <c r="BN284" s="1389"/>
      <c r="BO284" s="1355"/>
      <c r="BP284" s="1254"/>
      <c r="BQ284" s="1254"/>
      <c r="BR284" s="1254"/>
      <c r="BS284" s="1389"/>
      <c r="BT284" s="1355"/>
      <c r="BU284" s="1254"/>
      <c r="BV284" s="1254"/>
      <c r="BW284" s="1254"/>
      <c r="BX284" s="1389"/>
      <c r="BY284" s="1254"/>
      <c r="BZ284" s="1254"/>
      <c r="CA284" s="1316"/>
      <c r="CB284" s="1316"/>
      <c r="CC284" s="1316"/>
      <c r="CD284" s="1316"/>
      <c r="CE284" s="928"/>
      <c r="CF284" s="1316"/>
      <c r="CG284" s="1316"/>
      <c r="CH284" s="1316"/>
      <c r="CI284" s="1316"/>
      <c r="CJ284" s="928"/>
      <c r="CK284" s="1316"/>
      <c r="CL284" s="1316"/>
      <c r="CM284" s="1316"/>
      <c r="CN284" s="1316"/>
      <c r="CO284" s="928"/>
      <c r="CP284" s="928"/>
      <c r="CQ284" s="928"/>
      <c r="CR284" s="928"/>
      <c r="CS284" s="928"/>
      <c r="CT284" s="928"/>
      <c r="CU284" s="928"/>
      <c r="CV284" s="928"/>
      <c r="CW284" s="928"/>
      <c r="CX284" s="928"/>
      <c r="CY284" s="928"/>
      <c r="CZ284" s="928"/>
      <c r="DA284" s="928"/>
      <c r="DB284" s="928"/>
      <c r="DC284" s="928"/>
      <c r="DD284" s="928"/>
      <c r="DE284" s="928"/>
      <c r="DF284" s="928"/>
      <c r="DG284" s="928"/>
      <c r="DH284" s="928"/>
      <c r="DI284" s="928"/>
      <c r="DJ284" s="928"/>
      <c r="DK284" s="928"/>
      <c r="DL284" s="928"/>
      <c r="DM284" s="928"/>
      <c r="DN284" s="928"/>
      <c r="DO284" s="928"/>
      <c r="DP284" s="928"/>
      <c r="DQ284" s="928"/>
      <c r="DR284" s="928"/>
      <c r="DS284" s="928"/>
      <c r="DT284" s="928"/>
      <c r="DU284" s="928"/>
      <c r="DV284" s="928"/>
      <c r="DW284" s="928"/>
      <c r="DX284" s="928"/>
      <c r="DY284" s="1338"/>
      <c r="DZ284" s="928"/>
      <c r="EA284" s="928"/>
      <c r="EB284" s="928"/>
      <c r="EC284" s="1337"/>
      <c r="ED284" s="1338"/>
      <c r="EE284" s="928"/>
      <c r="EF284" s="928"/>
      <c r="EG284" s="928"/>
      <c r="EH284" s="1337"/>
      <c r="EI284" s="928"/>
      <c r="EJ284" s="928"/>
      <c r="EK284" s="928"/>
      <c r="EL284" s="928"/>
      <c r="EM284" s="1337"/>
      <c r="EN284" s="928"/>
      <c r="EO284" s="928"/>
      <c r="EP284" s="928"/>
      <c r="EQ284" s="928"/>
      <c r="ER284" s="928"/>
      <c r="ES284" s="928"/>
      <c r="ET284" s="928"/>
      <c r="EU284" s="928"/>
      <c r="EV284" s="928"/>
      <c r="EW284" s="928"/>
      <c r="EX284" s="928"/>
      <c r="EY284" s="928"/>
      <c r="EZ284" s="928"/>
      <c r="FA284" s="928"/>
      <c r="FB284" s="928"/>
      <c r="FC284" s="928"/>
      <c r="FD284" s="928"/>
      <c r="FE284" s="928"/>
      <c r="FF284" s="1254"/>
      <c r="FG284" s="928"/>
      <c r="FH284" s="1351"/>
      <c r="FI284" s="1319"/>
      <c r="FJ284" s="1612"/>
      <c r="FK284" s="1605"/>
      <c r="FL284" s="928"/>
      <c r="FM284" s="928"/>
      <c r="FN284" s="928"/>
      <c r="FO284" s="928"/>
      <c r="FP284" s="928"/>
      <c r="FQ284" s="928"/>
    </row>
    <row r="285" spans="1:173">
      <c r="A285" s="928" t="str">
        <f>A270</f>
        <v>Revenue</v>
      </c>
      <c r="B285" s="928"/>
      <c r="C285" s="928"/>
      <c r="D285" s="928"/>
      <c r="E285" s="928"/>
      <c r="F285" s="928"/>
      <c r="G285" s="1413"/>
      <c r="H285" s="1413"/>
      <c r="I285" s="1413"/>
      <c r="J285" s="1413"/>
      <c r="K285" s="928"/>
      <c r="L285" s="1413"/>
      <c r="M285" s="1413"/>
      <c r="N285" s="1413"/>
      <c r="O285" s="1413"/>
      <c r="P285" s="928"/>
      <c r="Q285" s="1413"/>
      <c r="R285" s="1413"/>
      <c r="S285" s="1413"/>
      <c r="T285" s="1413"/>
      <c r="U285" s="1413"/>
      <c r="V285" s="1413"/>
      <c r="W285" s="1413"/>
      <c r="X285" s="1413"/>
      <c r="Y285" s="1413"/>
      <c r="Z285" s="1413"/>
      <c r="AA285" s="1413">
        <f>AA264-AA270</f>
        <v>4136.2</v>
      </c>
      <c r="AB285" s="1413">
        <f>AB264-AB270</f>
        <v>4250.7</v>
      </c>
      <c r="AC285" s="1413">
        <f>AC264-AC270</f>
        <v>4430</v>
      </c>
      <c r="AD285" s="1413">
        <f>AD264-AD270</f>
        <v>4607.0999999999985</v>
      </c>
      <c r="AE285" s="1254"/>
      <c r="AF285" s="1413">
        <f>AF264-AF270</f>
        <v>4693.3</v>
      </c>
      <c r="AG285" s="1413">
        <f>AG264-AG270</f>
        <v>4765.1000000000004</v>
      </c>
      <c r="AH285" s="1413">
        <f>AH264-AH270</f>
        <v>5002.2</v>
      </c>
      <c r="AI285" s="1413"/>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355"/>
      <c r="BF285" s="1254"/>
      <c r="BG285" s="1254"/>
      <c r="BH285" s="1254"/>
      <c r="BI285" s="1389"/>
      <c r="BJ285" s="1355"/>
      <c r="BK285" s="1254"/>
      <c r="BL285" s="1254"/>
      <c r="BM285" s="1254"/>
      <c r="BN285" s="1389"/>
      <c r="BO285" s="1355"/>
      <c r="BP285" s="1254"/>
      <c r="BQ285" s="1254"/>
      <c r="BR285" s="1254"/>
      <c r="BS285" s="1389"/>
      <c r="BT285" s="1355"/>
      <c r="BU285" s="1254"/>
      <c r="BV285" s="1254"/>
      <c r="BW285" s="1254"/>
      <c r="BX285" s="1389"/>
      <c r="BY285" s="1254"/>
      <c r="BZ285" s="1254"/>
      <c r="CA285" s="1316"/>
      <c r="CB285" s="1316"/>
      <c r="CC285" s="1316"/>
      <c r="CD285" s="1316"/>
      <c r="CE285" s="928"/>
      <c r="CF285" s="1316"/>
      <c r="CG285" s="1316"/>
      <c r="CH285" s="1316"/>
      <c r="CI285" s="1316"/>
      <c r="CJ285" s="928"/>
      <c r="CK285" s="1316"/>
      <c r="CL285" s="1316"/>
      <c r="CM285" s="1316"/>
      <c r="CN285" s="1316"/>
      <c r="CO285" s="928"/>
      <c r="CP285" s="928"/>
      <c r="CQ285" s="928"/>
      <c r="CR285" s="928"/>
      <c r="CS285" s="928"/>
      <c r="CT285" s="928"/>
      <c r="CU285" s="928"/>
      <c r="CV285" s="928"/>
      <c r="CW285" s="928"/>
      <c r="CX285" s="928"/>
      <c r="CY285" s="928"/>
      <c r="CZ285" s="928"/>
      <c r="DA285" s="928"/>
      <c r="DB285" s="928"/>
      <c r="DC285" s="928"/>
      <c r="DD285" s="928"/>
      <c r="DE285" s="928"/>
      <c r="DF285" s="928"/>
      <c r="DG285" s="928"/>
      <c r="DH285" s="928"/>
      <c r="DI285" s="928"/>
      <c r="DJ285" s="928"/>
      <c r="DK285" s="928"/>
      <c r="DL285" s="928"/>
      <c r="DM285" s="928"/>
      <c r="DN285" s="928"/>
      <c r="DO285" s="928"/>
      <c r="DP285" s="928"/>
      <c r="DQ285" s="928"/>
      <c r="DR285" s="928"/>
      <c r="DS285" s="928"/>
      <c r="DT285" s="928"/>
      <c r="DU285" s="928"/>
      <c r="DV285" s="928"/>
      <c r="DW285" s="928"/>
      <c r="DX285" s="928"/>
      <c r="DY285" s="1338"/>
      <c r="DZ285" s="928"/>
      <c r="EA285" s="928"/>
      <c r="EB285" s="928"/>
      <c r="EC285" s="1337"/>
      <c r="ED285" s="1338"/>
      <c r="EE285" s="928"/>
      <c r="EF285" s="928"/>
      <c r="EG285" s="928"/>
      <c r="EH285" s="1337"/>
      <c r="EI285" s="928"/>
      <c r="EJ285" s="928"/>
      <c r="EK285" s="928"/>
      <c r="EL285" s="928"/>
      <c r="EM285" s="1337"/>
      <c r="EN285" s="928"/>
      <c r="EO285" s="928"/>
      <c r="EP285" s="928"/>
      <c r="EQ285" s="928"/>
      <c r="ER285" s="928"/>
      <c r="ES285" s="928"/>
      <c r="ET285" s="928"/>
      <c r="EU285" s="928"/>
      <c r="EV285" s="928"/>
      <c r="EW285" s="928"/>
      <c r="EX285" s="928"/>
      <c r="EY285" s="928"/>
      <c r="EZ285" s="928"/>
      <c r="FA285" s="928"/>
      <c r="FB285" s="928"/>
      <c r="FC285" s="928"/>
      <c r="FD285" s="928"/>
      <c r="FE285" s="928"/>
      <c r="FF285" s="1254"/>
      <c r="FG285" s="928"/>
      <c r="FH285" s="1351"/>
      <c r="FI285" s="1319"/>
      <c r="FJ285" s="1612"/>
      <c r="FK285" s="1605"/>
      <c r="FL285" s="928"/>
      <c r="FM285" s="928"/>
      <c r="FN285" s="928"/>
      <c r="FO285" s="928"/>
      <c r="FP285" s="928"/>
      <c r="FQ285" s="928"/>
    </row>
    <row r="286" spans="1:173">
      <c r="A286" s="928"/>
      <c r="B286" s="928"/>
      <c r="C286" s="928"/>
      <c r="D286" s="928"/>
      <c r="E286" s="928"/>
      <c r="F286" s="928"/>
      <c r="G286" s="1413"/>
      <c r="H286" s="1413"/>
      <c r="I286" s="1413"/>
      <c r="J286" s="1413"/>
      <c r="K286" s="928"/>
      <c r="L286" s="1413"/>
      <c r="M286" s="1413"/>
      <c r="N286" s="1413"/>
      <c r="O286" s="1413"/>
      <c r="P286" s="928"/>
      <c r="Q286" s="1413"/>
      <c r="R286" s="1413"/>
      <c r="S286" s="1413"/>
      <c r="T286" s="1413"/>
      <c r="U286" s="1413"/>
      <c r="V286" s="1413"/>
      <c r="W286" s="1413"/>
      <c r="X286" s="1413"/>
      <c r="Y286" s="1413"/>
      <c r="Z286" s="1413"/>
      <c r="AA286" s="1413"/>
      <c r="AB286" s="1413"/>
      <c r="AC286" s="1413"/>
      <c r="AD286" s="1413"/>
      <c r="AE286" s="1254"/>
      <c r="AF286" s="1316">
        <f>AF285/AA285-1</f>
        <v>0.13468884483342203</v>
      </c>
      <c r="AG286" s="1316">
        <f>AG285/AB285-1</f>
        <v>0.12101536217564179</v>
      </c>
      <c r="AH286" s="1316">
        <f>AH285/AC285-1</f>
        <v>0.12916478555304733</v>
      </c>
      <c r="AI286" s="1316"/>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355"/>
      <c r="BF286" s="1254"/>
      <c r="BG286" s="1254"/>
      <c r="BH286" s="1254"/>
      <c r="BI286" s="1389"/>
      <c r="BJ286" s="1355"/>
      <c r="BK286" s="1254"/>
      <c r="BL286" s="1254"/>
      <c r="BM286" s="1254"/>
      <c r="BN286" s="1389"/>
      <c r="BO286" s="1355"/>
      <c r="BP286" s="1254"/>
      <c r="BQ286" s="1254"/>
      <c r="BR286" s="1254"/>
      <c r="BS286" s="1389"/>
      <c r="BT286" s="1355"/>
      <c r="BU286" s="1254"/>
      <c r="BV286" s="1254"/>
      <c r="BW286" s="1254"/>
      <c r="BX286" s="1389"/>
      <c r="BY286" s="1254"/>
      <c r="BZ286" s="1254"/>
      <c r="CA286" s="1316"/>
      <c r="CB286" s="1316"/>
      <c r="CC286" s="1316"/>
      <c r="CD286" s="1316"/>
      <c r="CE286" s="928"/>
      <c r="CF286" s="1316"/>
      <c r="CG286" s="1316"/>
      <c r="CH286" s="1316"/>
      <c r="CI286" s="1316"/>
      <c r="CJ286" s="928"/>
      <c r="CK286" s="1316"/>
      <c r="CL286" s="1316"/>
      <c r="CM286" s="1316"/>
      <c r="CN286" s="1316"/>
      <c r="CO286" s="928"/>
      <c r="CP286" s="928"/>
      <c r="CQ286" s="928"/>
      <c r="CR286" s="928"/>
      <c r="CS286" s="928"/>
      <c r="CT286" s="928"/>
      <c r="CU286" s="928"/>
      <c r="CV286" s="928"/>
      <c r="CW286" s="928"/>
      <c r="CX286" s="928"/>
      <c r="CY286" s="928"/>
      <c r="CZ286" s="928"/>
      <c r="DA286" s="928"/>
      <c r="DB286" s="928"/>
      <c r="DC286" s="928"/>
      <c r="DD286" s="928"/>
      <c r="DE286" s="928"/>
      <c r="DF286" s="928"/>
      <c r="DG286" s="928"/>
      <c r="DH286" s="928"/>
      <c r="DI286" s="928"/>
      <c r="DJ286" s="928"/>
      <c r="DK286" s="928"/>
      <c r="DL286" s="928"/>
      <c r="DM286" s="928"/>
      <c r="DN286" s="928"/>
      <c r="DO286" s="928"/>
      <c r="DP286" s="928"/>
      <c r="DQ286" s="928"/>
      <c r="DR286" s="928"/>
      <c r="DS286" s="928"/>
      <c r="DT286" s="928"/>
      <c r="DU286" s="928"/>
      <c r="DV286" s="928"/>
      <c r="DW286" s="928"/>
      <c r="DX286" s="928"/>
      <c r="DY286" s="1338"/>
      <c r="DZ286" s="928"/>
      <c r="EA286" s="928"/>
      <c r="EB286" s="928"/>
      <c r="EC286" s="1337"/>
      <c r="ED286" s="1338"/>
      <c r="EE286" s="928"/>
      <c r="EF286" s="928"/>
      <c r="EG286" s="928"/>
      <c r="EH286" s="1337"/>
      <c r="EI286" s="928"/>
      <c r="EJ286" s="928"/>
      <c r="EK286" s="928"/>
      <c r="EL286" s="928"/>
      <c r="EM286" s="1337"/>
      <c r="EN286" s="928"/>
      <c r="EO286" s="928"/>
      <c r="EP286" s="928"/>
      <c r="EQ286" s="928"/>
      <c r="ER286" s="928"/>
      <c r="ES286" s="928"/>
      <c r="ET286" s="928"/>
      <c r="EU286" s="928"/>
      <c r="EV286" s="928"/>
      <c r="EW286" s="928"/>
      <c r="EX286" s="928"/>
      <c r="EY286" s="928"/>
      <c r="EZ286" s="928"/>
      <c r="FA286" s="928"/>
      <c r="FB286" s="928"/>
      <c r="FC286" s="928"/>
      <c r="FD286" s="928"/>
      <c r="FE286" s="928"/>
      <c r="FF286" s="1254"/>
      <c r="FG286" s="928"/>
      <c r="FH286" s="1351"/>
      <c r="FI286" s="1319"/>
      <c r="FJ286" s="1612"/>
      <c r="FK286" s="1605"/>
      <c r="FL286" s="928"/>
      <c r="FM286" s="928"/>
      <c r="FN286" s="928"/>
      <c r="FO286" s="928"/>
      <c r="FP286" s="928"/>
      <c r="FQ286" s="928"/>
    </row>
    <row r="287" spans="1:173">
      <c r="A287" s="928" t="str">
        <f>A272</f>
        <v>EBITDA</v>
      </c>
      <c r="B287" s="928"/>
      <c r="C287" s="928"/>
      <c r="D287" s="928"/>
      <c r="E287" s="928"/>
      <c r="F287" s="928"/>
      <c r="G287" s="1413"/>
      <c r="H287" s="1413"/>
      <c r="I287" s="1413"/>
      <c r="J287" s="1413"/>
      <c r="K287" s="928"/>
      <c r="L287" s="1413"/>
      <c r="M287" s="1413"/>
      <c r="N287" s="1413"/>
      <c r="O287" s="1413"/>
      <c r="P287" s="928"/>
      <c r="Q287" s="1413"/>
      <c r="R287" s="1413"/>
      <c r="S287" s="1413"/>
      <c r="T287" s="1413"/>
      <c r="U287" s="1413"/>
      <c r="V287" s="1413"/>
      <c r="W287" s="1413"/>
      <c r="X287" s="1413"/>
      <c r="Y287" s="1413"/>
      <c r="Z287" s="1413"/>
      <c r="AA287" s="1413">
        <f>AA26-AA272</f>
        <v>1630.0000000000002</v>
      </c>
      <c r="AB287" s="1413">
        <f>AB26-AB272</f>
        <v>1714.1999999999998</v>
      </c>
      <c r="AC287" s="1413">
        <f>AC26-AC272</f>
        <v>1799</v>
      </c>
      <c r="AD287" s="1413">
        <f>AD26-AD272</f>
        <v>1821.5999999999995</v>
      </c>
      <c r="AE287" s="1254"/>
      <c r="AF287" s="1413">
        <f>AF26-AF272</f>
        <v>1945.2</v>
      </c>
      <c r="AG287" s="1413">
        <f>AG26-AG272</f>
        <v>2008.1999999999998</v>
      </c>
      <c r="AH287" s="1413">
        <f>AH26-AH272</f>
        <v>2120.1999999999998</v>
      </c>
      <c r="AI287" s="1413"/>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355"/>
      <c r="BF287" s="1254"/>
      <c r="BG287" s="1254"/>
      <c r="BH287" s="1254"/>
      <c r="BI287" s="1389"/>
      <c r="BJ287" s="1355"/>
      <c r="BK287" s="1254"/>
      <c r="BL287" s="1254"/>
      <c r="BM287" s="1254"/>
      <c r="BN287" s="1389"/>
      <c r="BO287" s="1355"/>
      <c r="BP287" s="1254"/>
      <c r="BQ287" s="1254"/>
      <c r="BR287" s="1254"/>
      <c r="BS287" s="1389"/>
      <c r="BT287" s="1355"/>
      <c r="BU287" s="1254"/>
      <c r="BV287" s="1254"/>
      <c r="BW287" s="1254"/>
      <c r="BX287" s="1389"/>
      <c r="BY287" s="1254"/>
      <c r="BZ287" s="1254"/>
      <c r="CA287" s="1316"/>
      <c r="CB287" s="1316"/>
      <c r="CC287" s="1316"/>
      <c r="CD287" s="1316"/>
      <c r="CE287" s="928"/>
      <c r="CF287" s="1316"/>
      <c r="CG287" s="1316"/>
      <c r="CH287" s="1316"/>
      <c r="CI287" s="1316"/>
      <c r="CJ287" s="928"/>
      <c r="CK287" s="1316"/>
      <c r="CL287" s="1316"/>
      <c r="CM287" s="1316"/>
      <c r="CN287" s="1316"/>
      <c r="CO287" s="928"/>
      <c r="CP287" s="928"/>
      <c r="CQ287" s="928"/>
      <c r="CR287" s="928"/>
      <c r="CS287" s="928"/>
      <c r="CT287" s="928"/>
      <c r="CU287" s="928"/>
      <c r="CV287" s="928"/>
      <c r="CW287" s="928"/>
      <c r="CX287" s="928"/>
      <c r="CY287" s="928"/>
      <c r="CZ287" s="928"/>
      <c r="DA287" s="928"/>
      <c r="DB287" s="928"/>
      <c r="DC287" s="928"/>
      <c r="DD287" s="928"/>
      <c r="DE287" s="928"/>
      <c r="DF287" s="928"/>
      <c r="DG287" s="928"/>
      <c r="DH287" s="928"/>
      <c r="DI287" s="928"/>
      <c r="DJ287" s="928"/>
      <c r="DK287" s="928"/>
      <c r="DL287" s="928"/>
      <c r="DM287" s="928"/>
      <c r="DN287" s="928"/>
      <c r="DO287" s="928"/>
      <c r="DP287" s="928"/>
      <c r="DQ287" s="928"/>
      <c r="DR287" s="928"/>
      <c r="DS287" s="928"/>
      <c r="DT287" s="928"/>
      <c r="DU287" s="928"/>
      <c r="DV287" s="928"/>
      <c r="DW287" s="928"/>
      <c r="DX287" s="928"/>
      <c r="DY287" s="1338"/>
      <c r="DZ287" s="928"/>
      <c r="EA287" s="928"/>
      <c r="EB287" s="928"/>
      <c r="EC287" s="1337"/>
      <c r="ED287" s="1338"/>
      <c r="EE287" s="928"/>
      <c r="EF287" s="928"/>
      <c r="EG287" s="928"/>
      <c r="EH287" s="1337"/>
      <c r="EI287" s="928"/>
      <c r="EJ287" s="928"/>
      <c r="EK287" s="928"/>
      <c r="EL287" s="928"/>
      <c r="EM287" s="1337"/>
      <c r="EN287" s="928"/>
      <c r="EO287" s="928"/>
      <c r="EP287" s="928"/>
      <c r="EQ287" s="928"/>
      <c r="ER287" s="928"/>
      <c r="ES287" s="928"/>
      <c r="ET287" s="928"/>
      <c r="EU287" s="928"/>
      <c r="EV287" s="928"/>
      <c r="EW287" s="928"/>
      <c r="EX287" s="928"/>
      <c r="EY287" s="928"/>
      <c r="EZ287" s="928"/>
      <c r="FA287" s="928"/>
      <c r="FB287" s="928"/>
      <c r="FC287" s="928"/>
      <c r="FD287" s="928"/>
      <c r="FE287" s="928"/>
      <c r="FF287" s="1254"/>
      <c r="FG287" s="928"/>
      <c r="FH287" s="1351"/>
      <c r="FI287" s="1319"/>
      <c r="FJ287" s="1612"/>
      <c r="FK287" s="1605"/>
      <c r="FL287" s="928"/>
      <c r="FM287" s="928"/>
      <c r="FN287" s="928"/>
      <c r="FO287" s="928"/>
      <c r="FP287" s="928"/>
      <c r="FQ287" s="928"/>
    </row>
    <row r="288" spans="1:173">
      <c r="A288" s="928" t="str">
        <f>A273</f>
        <v>margin</v>
      </c>
      <c r="B288" s="928"/>
      <c r="C288" s="928"/>
      <c r="D288" s="928"/>
      <c r="E288" s="928"/>
      <c r="F288" s="928"/>
      <c r="G288" s="1413"/>
      <c r="H288" s="1413"/>
      <c r="I288" s="1413"/>
      <c r="J288" s="1413"/>
      <c r="K288" s="928"/>
      <c r="L288" s="1413"/>
      <c r="M288" s="1413"/>
      <c r="N288" s="1413"/>
      <c r="O288" s="1413"/>
      <c r="P288" s="928"/>
      <c r="Q288" s="1413"/>
      <c r="R288" s="1413"/>
      <c r="S288" s="1413"/>
      <c r="T288" s="1413"/>
      <c r="U288" s="1413"/>
      <c r="V288" s="1413"/>
      <c r="W288" s="1413"/>
      <c r="X288" s="1413"/>
      <c r="Y288" s="1316"/>
      <c r="Z288" s="1413"/>
      <c r="AA288" s="1316">
        <f>AA287/AA285</f>
        <v>0.39408152410425035</v>
      </c>
      <c r="AB288" s="1316">
        <f>AB287/AB285</f>
        <v>0.40327475474627705</v>
      </c>
      <c r="AC288" s="1316">
        <f>AC287/AC285</f>
        <v>0.40609480812641086</v>
      </c>
      <c r="AD288" s="1316">
        <f>AD287/AD285</f>
        <v>0.39538972455557725</v>
      </c>
      <c r="AE288" s="1254"/>
      <c r="AF288" s="1316">
        <f>AF287/AF285</f>
        <v>0.41446317090320245</v>
      </c>
      <c r="AG288" s="1316">
        <f>AG287/AG285</f>
        <v>0.4214392142872132</v>
      </c>
      <c r="AH288" s="1316">
        <f>AH287/AH285</f>
        <v>0.42385350445803843</v>
      </c>
      <c r="AI288" s="1316"/>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355"/>
      <c r="BF288" s="1254"/>
      <c r="BG288" s="1254"/>
      <c r="BH288" s="1254"/>
      <c r="BI288" s="1389"/>
      <c r="BJ288" s="1355"/>
      <c r="BK288" s="1254"/>
      <c r="BL288" s="1254"/>
      <c r="BM288" s="1254"/>
      <c r="BN288" s="1389"/>
      <c r="BO288" s="1355"/>
      <c r="BP288" s="1254"/>
      <c r="BQ288" s="1254"/>
      <c r="BR288" s="1254"/>
      <c r="BS288" s="1389"/>
      <c r="BT288" s="1355"/>
      <c r="BU288" s="1254"/>
      <c r="BV288" s="1254"/>
      <c r="BW288" s="1254"/>
      <c r="BX288" s="1389"/>
      <c r="BY288" s="1254"/>
      <c r="BZ288" s="1254"/>
      <c r="CA288" s="1316"/>
      <c r="CB288" s="1316"/>
      <c r="CC288" s="1316"/>
      <c r="CD288" s="1316"/>
      <c r="CE288" s="928"/>
      <c r="CF288" s="1316"/>
      <c r="CG288" s="1316"/>
      <c r="CH288" s="1316"/>
      <c r="CI288" s="1316"/>
      <c r="CJ288" s="928"/>
      <c r="CK288" s="1316"/>
      <c r="CL288" s="1316"/>
      <c r="CM288" s="1316"/>
      <c r="CN288" s="1316"/>
      <c r="CO288" s="928"/>
      <c r="CP288" s="928"/>
      <c r="CQ288" s="928"/>
      <c r="CR288" s="928"/>
      <c r="CS288" s="928"/>
      <c r="CT288" s="928"/>
      <c r="CU288" s="928"/>
      <c r="CV288" s="928"/>
      <c r="CW288" s="928"/>
      <c r="CX288" s="928"/>
      <c r="CY288" s="928"/>
      <c r="CZ288" s="928"/>
      <c r="DA288" s="928"/>
      <c r="DB288" s="928"/>
      <c r="DC288" s="928"/>
      <c r="DD288" s="928"/>
      <c r="DE288" s="928"/>
      <c r="DF288" s="928"/>
      <c r="DG288" s="928"/>
      <c r="DH288" s="928"/>
      <c r="DI288" s="928"/>
      <c r="DJ288" s="928"/>
      <c r="DK288" s="928"/>
      <c r="DL288" s="928"/>
      <c r="DM288" s="928"/>
      <c r="DN288" s="928"/>
      <c r="DO288" s="928"/>
      <c r="DP288" s="928"/>
      <c r="DQ288" s="928"/>
      <c r="DR288" s="928"/>
      <c r="DS288" s="928"/>
      <c r="DT288" s="928"/>
      <c r="DU288" s="928"/>
      <c r="DV288" s="928"/>
      <c r="DW288" s="928"/>
      <c r="DX288" s="928"/>
      <c r="DY288" s="1338"/>
      <c r="DZ288" s="928"/>
      <c r="EA288" s="928"/>
      <c r="EB288" s="928"/>
      <c r="EC288" s="1337"/>
      <c r="ED288" s="1338"/>
      <c r="EE288" s="928"/>
      <c r="EF288" s="928"/>
      <c r="EG288" s="928"/>
      <c r="EH288" s="1337"/>
      <c r="EI288" s="928"/>
      <c r="EJ288" s="928"/>
      <c r="EK288" s="928"/>
      <c r="EL288" s="928"/>
      <c r="EM288" s="1337"/>
      <c r="EN288" s="928"/>
      <c r="EO288" s="928"/>
      <c r="EP288" s="928"/>
      <c r="EQ288" s="928"/>
      <c r="ER288" s="928"/>
      <c r="ES288" s="928"/>
      <c r="ET288" s="928"/>
      <c r="EU288" s="928"/>
      <c r="EV288" s="928"/>
      <c r="EW288" s="928"/>
      <c r="EX288" s="928"/>
      <c r="EY288" s="928"/>
      <c r="EZ288" s="928"/>
      <c r="FA288" s="928"/>
      <c r="FB288" s="928"/>
      <c r="FC288" s="928"/>
      <c r="FD288" s="928"/>
      <c r="FE288" s="928"/>
      <c r="FF288" s="1254"/>
      <c r="FG288" s="928"/>
      <c r="FH288" s="1351"/>
      <c r="FI288" s="1319"/>
      <c r="FJ288" s="1612"/>
      <c r="FK288" s="1605"/>
      <c r="FL288" s="928"/>
      <c r="FM288" s="928"/>
      <c r="FN288" s="928"/>
      <c r="FO288" s="928"/>
      <c r="FP288" s="928"/>
      <c r="FQ288" s="928"/>
    </row>
    <row r="289" spans="1:173">
      <c r="A289" s="928"/>
      <c r="B289" s="928"/>
      <c r="C289" s="928"/>
      <c r="D289" s="928"/>
      <c r="E289" s="928"/>
      <c r="F289" s="928"/>
      <c r="G289" s="1413"/>
      <c r="H289" s="1413"/>
      <c r="I289" s="1413"/>
      <c r="J289" s="1413"/>
      <c r="K289" s="928"/>
      <c r="L289" s="1413"/>
      <c r="M289" s="1413"/>
      <c r="N289" s="1413"/>
      <c r="O289" s="1413"/>
      <c r="P289" s="928"/>
      <c r="Q289" s="1413"/>
      <c r="R289" s="1413"/>
      <c r="S289" s="1413"/>
      <c r="T289" s="1413"/>
      <c r="U289" s="1413"/>
      <c r="V289" s="1413"/>
      <c r="W289" s="1413"/>
      <c r="X289" s="1413"/>
      <c r="Y289" s="1413"/>
      <c r="Z289" s="1413"/>
      <c r="AA289" s="1413"/>
      <c r="AB289" s="1413"/>
      <c r="AC289" s="1413"/>
      <c r="AD289" s="1413"/>
      <c r="AE289" s="1254"/>
      <c r="AF289" s="1254"/>
      <c r="AG289" s="1316"/>
      <c r="AH289" s="1316"/>
      <c r="AI289" s="1316"/>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355"/>
      <c r="BF289" s="1254"/>
      <c r="BG289" s="1254"/>
      <c r="BH289" s="1254"/>
      <c r="BI289" s="1389"/>
      <c r="BJ289" s="1355"/>
      <c r="BK289" s="1254"/>
      <c r="BL289" s="1254"/>
      <c r="BM289" s="1254"/>
      <c r="BN289" s="1389"/>
      <c r="BO289" s="1355"/>
      <c r="BP289" s="1254"/>
      <c r="BQ289" s="1254"/>
      <c r="BR289" s="1254"/>
      <c r="BS289" s="1389"/>
      <c r="BT289" s="1355"/>
      <c r="BU289" s="1254"/>
      <c r="BV289" s="1254"/>
      <c r="BW289" s="1254"/>
      <c r="BX289" s="1389"/>
      <c r="BY289" s="1254"/>
      <c r="BZ289" s="1254"/>
      <c r="CA289" s="1316"/>
      <c r="CB289" s="1316"/>
      <c r="CC289" s="1316"/>
      <c r="CD289" s="1316"/>
      <c r="CE289" s="928"/>
      <c r="CF289" s="1316"/>
      <c r="CG289" s="1316"/>
      <c r="CH289" s="1316"/>
      <c r="CI289" s="1316"/>
      <c r="CJ289" s="928"/>
      <c r="CK289" s="1316"/>
      <c r="CL289" s="1316"/>
      <c r="CM289" s="1316"/>
      <c r="CN289" s="1316"/>
      <c r="CO289" s="928"/>
      <c r="CP289" s="928"/>
      <c r="CQ289" s="928"/>
      <c r="CR289" s="928"/>
      <c r="CS289" s="928"/>
      <c r="CT289" s="928"/>
      <c r="CU289" s="928"/>
      <c r="CV289" s="928"/>
      <c r="CW289" s="928"/>
      <c r="CX289" s="928"/>
      <c r="CY289" s="928"/>
      <c r="CZ289" s="928"/>
      <c r="DA289" s="928"/>
      <c r="DB289" s="928"/>
      <c r="DC289" s="928"/>
      <c r="DD289" s="928"/>
      <c r="DE289" s="928"/>
      <c r="DF289" s="928"/>
      <c r="DG289" s="928"/>
      <c r="DH289" s="928"/>
      <c r="DI289" s="928"/>
      <c r="DJ289" s="928"/>
      <c r="DK289" s="928"/>
      <c r="DL289" s="928"/>
      <c r="DM289" s="928"/>
      <c r="DN289" s="928"/>
      <c r="DO289" s="928"/>
      <c r="DP289" s="928"/>
      <c r="DQ289" s="928"/>
      <c r="DR289" s="928"/>
      <c r="DS289" s="928"/>
      <c r="DT289" s="928"/>
      <c r="DU289" s="928"/>
      <c r="DV289" s="928"/>
      <c r="DW289" s="928"/>
      <c r="DX289" s="928"/>
      <c r="DY289" s="1338"/>
      <c r="DZ289" s="928"/>
      <c r="EA289" s="928"/>
      <c r="EB289" s="928"/>
      <c r="EC289" s="1337"/>
      <c r="ED289" s="1338"/>
      <c r="EE289" s="928"/>
      <c r="EF289" s="928"/>
      <c r="EG289" s="928"/>
      <c r="EH289" s="1337"/>
      <c r="EI289" s="928"/>
      <c r="EJ289" s="928"/>
      <c r="EK289" s="928"/>
      <c r="EL289" s="928"/>
      <c r="EM289" s="1337"/>
      <c r="EN289" s="928"/>
      <c r="EO289" s="928"/>
      <c r="EP289" s="928"/>
      <c r="EQ289" s="928"/>
      <c r="ER289" s="928"/>
      <c r="ES289" s="928"/>
      <c r="ET289" s="928"/>
      <c r="EU289" s="928"/>
      <c r="EV289" s="928"/>
      <c r="EW289" s="928"/>
      <c r="EX289" s="928"/>
      <c r="EY289" s="928"/>
      <c r="EZ289" s="928"/>
      <c r="FA289" s="928"/>
      <c r="FB289" s="928"/>
      <c r="FC289" s="928"/>
      <c r="FD289" s="928"/>
      <c r="FE289" s="928"/>
      <c r="FF289" s="1254"/>
      <c r="FG289" s="928"/>
      <c r="FH289" s="1351"/>
      <c r="FI289" s="1319"/>
      <c r="FJ289" s="1612"/>
      <c r="FK289" s="1605"/>
      <c r="FL289" s="928"/>
      <c r="FM289" s="928"/>
      <c r="FN289" s="928"/>
      <c r="FO289" s="928"/>
      <c r="FP289" s="928"/>
      <c r="FQ289" s="928"/>
    </row>
    <row r="290" spans="1:173">
      <c r="A290" s="928" t="s">
        <v>1199</v>
      </c>
      <c r="B290" s="928"/>
      <c r="C290" s="928"/>
      <c r="D290" s="928"/>
      <c r="E290" s="928"/>
      <c r="F290" s="928"/>
      <c r="G290" s="928"/>
      <c r="H290" s="928"/>
      <c r="I290" s="928"/>
      <c r="J290" s="928"/>
      <c r="K290" s="928"/>
      <c r="L290" s="928"/>
      <c r="M290" s="928"/>
      <c r="N290" s="928"/>
      <c r="O290" s="928"/>
      <c r="P290" s="928"/>
      <c r="Q290" s="928"/>
      <c r="R290" s="928"/>
      <c r="S290" s="928"/>
      <c r="T290" s="928"/>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355"/>
      <c r="BF290" s="1254"/>
      <c r="BG290" s="1254"/>
      <c r="BH290" s="1254"/>
      <c r="BI290" s="1389"/>
      <c r="BJ290" s="1355"/>
      <c r="BK290" s="1254"/>
      <c r="BL290" s="1254"/>
      <c r="BM290" s="1254"/>
      <c r="BN290" s="1389"/>
      <c r="BO290" s="1355"/>
      <c r="BP290" s="1254"/>
      <c r="BQ290" s="1254"/>
      <c r="BR290" s="1254"/>
      <c r="BS290" s="1389"/>
      <c r="BT290" s="1355"/>
      <c r="BU290" s="1254"/>
      <c r="BV290" s="1254"/>
      <c r="BW290" s="1254"/>
      <c r="BX290" s="1389"/>
      <c r="BY290" s="1254"/>
      <c r="BZ290" s="1254"/>
      <c r="CA290" s="928"/>
      <c r="CB290" s="928"/>
      <c r="CC290" s="928"/>
      <c r="CD290" s="928"/>
      <c r="CE290" s="928"/>
      <c r="CF290" s="928"/>
      <c r="CG290" s="928"/>
      <c r="CH290" s="928"/>
      <c r="CI290" s="928"/>
      <c r="CJ290" s="928"/>
      <c r="CK290" s="928"/>
      <c r="CL290" s="928"/>
      <c r="CM290" s="928"/>
      <c r="CN290" s="928"/>
      <c r="CO290" s="928"/>
      <c r="CP290" s="928"/>
      <c r="CQ290" s="928"/>
      <c r="CR290" s="928"/>
      <c r="CS290" s="928"/>
      <c r="CT290" s="928"/>
      <c r="CU290" s="928"/>
      <c r="CV290" s="928"/>
      <c r="CW290" s="928"/>
      <c r="CX290" s="928"/>
      <c r="CY290" s="928"/>
      <c r="CZ290" s="928"/>
      <c r="DA290" s="928"/>
      <c r="DB290" s="928"/>
      <c r="DC290" s="928"/>
      <c r="DD290" s="928"/>
      <c r="DE290" s="928"/>
      <c r="DF290" s="928"/>
      <c r="DG290" s="928"/>
      <c r="DH290" s="928"/>
      <c r="DI290" s="928"/>
      <c r="DJ290" s="928"/>
      <c r="DK290" s="928"/>
      <c r="DL290" s="928"/>
      <c r="DM290" s="928"/>
      <c r="DN290" s="928"/>
      <c r="DO290" s="928"/>
      <c r="DP290" s="928"/>
      <c r="DQ290" s="928"/>
      <c r="DR290" s="928"/>
      <c r="DS290" s="928"/>
      <c r="DT290" s="928"/>
      <c r="DU290" s="928"/>
      <c r="DV290" s="928"/>
      <c r="DW290" s="928"/>
      <c r="DX290" s="928"/>
      <c r="DY290" s="1338"/>
      <c r="DZ290" s="928"/>
      <c r="EA290" s="928"/>
      <c r="EB290" s="928"/>
      <c r="EC290" s="1337"/>
      <c r="ED290" s="1338"/>
      <c r="EE290" s="928"/>
      <c r="EF290" s="928"/>
      <c r="EG290" s="928"/>
      <c r="EH290" s="1337"/>
      <c r="EI290" s="928"/>
      <c r="EJ290" s="928"/>
      <c r="EK290" s="928"/>
      <c r="EL290" s="928"/>
      <c r="EM290" s="1337"/>
      <c r="EN290" s="928"/>
      <c r="EO290" s="928"/>
      <c r="EP290" s="928"/>
      <c r="EQ290" s="928"/>
      <c r="ER290" s="928"/>
      <c r="ES290" s="928"/>
      <c r="ET290" s="928"/>
      <c r="EU290" s="928"/>
      <c r="EV290" s="928"/>
      <c r="EW290" s="928"/>
      <c r="EX290" s="928"/>
      <c r="EY290" s="928"/>
      <c r="EZ290" s="928"/>
      <c r="FA290" s="928"/>
      <c r="FB290" s="928"/>
      <c r="FC290" s="928"/>
      <c r="FD290" s="928"/>
      <c r="FE290" s="928"/>
      <c r="FF290" s="1254"/>
      <c r="FG290" s="928"/>
      <c r="FH290" s="1351"/>
      <c r="FI290" s="1319"/>
      <c r="FJ290" s="1612"/>
      <c r="FK290" s="1605"/>
      <c r="FL290" s="928"/>
      <c r="FM290" s="928"/>
      <c r="FN290" s="928"/>
      <c r="FO290" s="928"/>
      <c r="FP290" s="928"/>
      <c r="FQ290" s="928"/>
    </row>
    <row r="291" spans="1:173">
      <c r="A291" s="1414" t="str">
        <f>A258</f>
        <v>Cablevision</v>
      </c>
      <c r="B291" s="928"/>
      <c r="C291" s="928"/>
      <c r="D291" s="928"/>
      <c r="E291" s="928"/>
      <c r="F291" s="928"/>
      <c r="G291" s="1413">
        <f>G258/AVERAGE(E208,G208)/3*1000</f>
        <v>297.63848018319965</v>
      </c>
      <c r="H291" s="1413">
        <f>H258/AVERAGE(G208,H208)/3*1000</f>
        <v>295.59005854351813</v>
      </c>
      <c r="I291" s="1413">
        <f>I258/AVERAGE(H208,I208)/3*1000</f>
        <v>289.5246048465886</v>
      </c>
      <c r="J291" s="1413">
        <f>J258/AVERAGE(I208,J208)/3*1000</f>
        <v>286.61178536069593</v>
      </c>
      <c r="K291" s="928"/>
      <c r="L291" s="1413">
        <f>L258/AVERAGE(J208,L208)/3*1000</f>
        <v>281.78499941127984</v>
      </c>
      <c r="M291" s="1413">
        <f>M258/AVERAGE(L208,M208)/3*1000</f>
        <v>281.56221616712077</v>
      </c>
      <c r="N291" s="1413">
        <f>N258/AVERAGE(M208,N208)/3*1000</f>
        <v>279.48018082241197</v>
      </c>
      <c r="O291" s="1413">
        <f>O258/AVERAGE(N208,O208)/3*1000</f>
        <v>277.32477485309249</v>
      </c>
      <c r="P291" s="928"/>
      <c r="Q291" s="1413">
        <f>Q258/AVERAGE(O208,Q208)/3*1000</f>
        <v>268.14253222137978</v>
      </c>
      <c r="R291" s="1413">
        <f>R258/AVERAGE(Q208,R208)/3*1000</f>
        <v>266.19819191977848</v>
      </c>
      <c r="S291" s="1413">
        <f>S258/AVERAGE(R208,S208)/3*1000</f>
        <v>259.2478285789868</v>
      </c>
      <c r="T291" s="1413">
        <f>T258/AVERAGE(S208,T208)/3*1000</f>
        <v>273.45025930176303</v>
      </c>
      <c r="U291" s="1254"/>
      <c r="V291" s="1413">
        <f>V258/AVERAGE(T208,V208)/3*1000</f>
        <v>265.0750589287353</v>
      </c>
      <c r="W291" s="1413">
        <f>W258/AVERAGE(V208,W208)/3*1000</f>
        <v>265.73647250561231</v>
      </c>
      <c r="X291" s="1413">
        <f>X258/AVERAGE(W208,X208)/3*1000</f>
        <v>262.3762593645684</v>
      </c>
      <c r="Y291" s="1413"/>
      <c r="Z291" s="928"/>
      <c r="AA291" s="928"/>
      <c r="AB291" s="928"/>
      <c r="AC291" s="928"/>
      <c r="AD291" s="928"/>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355"/>
      <c r="BF291" s="1254"/>
      <c r="BG291" s="1254"/>
      <c r="BH291" s="1254"/>
      <c r="BI291" s="1389"/>
      <c r="BJ291" s="1355"/>
      <c r="BK291" s="1254"/>
      <c r="BL291" s="1254"/>
      <c r="BM291" s="1254"/>
      <c r="BN291" s="1389"/>
      <c r="BO291" s="1355"/>
      <c r="BP291" s="1254"/>
      <c r="BQ291" s="1254"/>
      <c r="BR291" s="1254"/>
      <c r="BS291" s="1389"/>
      <c r="BT291" s="1355"/>
      <c r="BU291" s="1254"/>
      <c r="BV291" s="1254"/>
      <c r="BW291" s="1254"/>
      <c r="BX291" s="1389"/>
      <c r="BY291" s="1254"/>
      <c r="BZ291" s="1254"/>
      <c r="CA291" s="1316">
        <f t="shared" ref="CA291:CD294" si="360">L291/G291-1</f>
        <v>-5.3264217590957341E-2</v>
      </c>
      <c r="CB291" s="1316">
        <f t="shared" si="360"/>
        <v>-4.7457084468664923E-2</v>
      </c>
      <c r="CC291" s="1316">
        <f t="shared" si="360"/>
        <v>-3.4692816624338096E-2</v>
      </c>
      <c r="CD291" s="1316">
        <f t="shared" si="360"/>
        <v>-3.2402751673019647E-2</v>
      </c>
      <c r="CE291" s="928"/>
      <c r="CF291" s="1316">
        <f t="shared" ref="CF291:CI294" si="361">Q291/L291-1</f>
        <v>-4.8414455057588679E-2</v>
      </c>
      <c r="CG291" s="1316">
        <f t="shared" si="361"/>
        <v>-5.4567066762335026E-2</v>
      </c>
      <c r="CH291" s="1316">
        <f t="shared" si="361"/>
        <v>-7.2392797886019933E-2</v>
      </c>
      <c r="CI291" s="1316">
        <f t="shared" si="361"/>
        <v>-1.3971040104087007E-2</v>
      </c>
      <c r="CJ291" s="928"/>
      <c r="CK291" s="1316">
        <f t="shared" ref="CK291:CL294" si="362">V291/Q291-1</f>
        <v>-1.1439711810105391E-2</v>
      </c>
      <c r="CL291" s="1316">
        <f t="shared" si="362"/>
        <v>-1.7344949296473899E-3</v>
      </c>
      <c r="CM291" s="1316"/>
      <c r="CN291" s="1316"/>
      <c r="CO291" s="928"/>
      <c r="CP291" s="928"/>
      <c r="CQ291" s="928"/>
      <c r="CR291" s="928"/>
      <c r="CS291" s="928"/>
      <c r="CT291" s="928"/>
      <c r="CU291" s="928"/>
      <c r="CV291" s="928"/>
      <c r="CW291" s="928"/>
      <c r="CX291" s="928"/>
      <c r="CY291" s="928"/>
      <c r="CZ291" s="928"/>
      <c r="DA291" s="928"/>
      <c r="DB291" s="928"/>
      <c r="DC291" s="928"/>
      <c r="DD291" s="928"/>
      <c r="DE291" s="928"/>
      <c r="DF291" s="928"/>
      <c r="DG291" s="928"/>
      <c r="DH291" s="928"/>
      <c r="DI291" s="928"/>
      <c r="DJ291" s="928"/>
      <c r="DK291" s="928"/>
      <c r="DL291" s="928"/>
      <c r="DM291" s="928"/>
      <c r="DN291" s="928"/>
      <c r="DO291" s="928"/>
      <c r="DP291" s="928"/>
      <c r="DQ291" s="928"/>
      <c r="DR291" s="928"/>
      <c r="DS291" s="928"/>
      <c r="DT291" s="928"/>
      <c r="DU291" s="928"/>
      <c r="DV291" s="928"/>
      <c r="DW291" s="928"/>
      <c r="DX291" s="928"/>
      <c r="DY291" s="1338"/>
      <c r="DZ291" s="928"/>
      <c r="EA291" s="928"/>
      <c r="EB291" s="928"/>
      <c r="EC291" s="1337"/>
      <c r="ED291" s="1338"/>
      <c r="EE291" s="928"/>
      <c r="EF291" s="928"/>
      <c r="EG291" s="928"/>
      <c r="EH291" s="1337"/>
      <c r="EI291" s="928"/>
      <c r="EJ291" s="928"/>
      <c r="EK291" s="928"/>
      <c r="EL291" s="928"/>
      <c r="EM291" s="1337"/>
      <c r="EN291" s="928"/>
      <c r="EO291" s="928"/>
      <c r="EP291" s="928"/>
      <c r="EQ291" s="928"/>
      <c r="ER291" s="928"/>
      <c r="ES291" s="928"/>
      <c r="ET291" s="928"/>
      <c r="EU291" s="928"/>
      <c r="EV291" s="928"/>
      <c r="EW291" s="928"/>
      <c r="EX291" s="928"/>
      <c r="EY291" s="928"/>
      <c r="EZ291" s="928"/>
      <c r="FA291" s="928"/>
      <c r="FB291" s="928"/>
      <c r="FC291" s="928"/>
      <c r="FD291" s="928"/>
      <c r="FE291" s="928"/>
      <c r="FF291" s="1254"/>
      <c r="FG291" s="928"/>
      <c r="FH291" s="1351"/>
      <c r="FI291" s="1319"/>
      <c r="FJ291" s="1612"/>
      <c r="FK291" s="1605"/>
      <c r="FL291" s="928"/>
      <c r="FM291" s="928"/>
      <c r="FN291" s="928"/>
      <c r="FO291" s="928"/>
      <c r="FP291" s="928"/>
      <c r="FQ291" s="928"/>
    </row>
    <row r="292" spans="1:173">
      <c r="A292" s="1414" t="str">
        <f>A259</f>
        <v>Cablemas</v>
      </c>
      <c r="B292" s="928"/>
      <c r="C292" s="928"/>
      <c r="D292" s="928"/>
      <c r="E292" s="928"/>
      <c r="F292" s="928"/>
      <c r="G292" s="1413">
        <f>G259/AVERAGE(E215,G215)/3*1000</f>
        <v>231.32370642880227</v>
      </c>
      <c r="H292" s="1413">
        <f>H259/AVERAGE(G215,H215)/3*1000</f>
        <v>231.18815065123789</v>
      </c>
      <c r="I292" s="1413">
        <f>I259/AVERAGE(H215,I215)/3*1000</f>
        <v>229.80517998453433</v>
      </c>
      <c r="J292" s="1413">
        <f>J259/AVERAGE(I215,J215)/3*1000</f>
        <v>248.35941630384238</v>
      </c>
      <c r="K292" s="928"/>
      <c r="L292" s="1413">
        <f>L259/AVERAGE(J215,L215)/3*1000</f>
        <v>236.92863595302623</v>
      </c>
      <c r="M292" s="1413">
        <f>M259/AVERAGE(L215,M215)/3*1000</f>
        <v>235.75290259682711</v>
      </c>
      <c r="N292" s="1413">
        <f>N259/AVERAGE(M215,N215)/3*1000</f>
        <v>234.98905520884281</v>
      </c>
      <c r="O292" s="1413">
        <f>O259/AVERAGE(N215,O215)/3*1000</f>
        <v>244.28342068939466</v>
      </c>
      <c r="P292" s="928"/>
      <c r="Q292" s="1413">
        <f>Q259/AVERAGE(O215,Q215)/3*1000</f>
        <v>235.50024855552567</v>
      </c>
      <c r="R292" s="1413">
        <f>R259/AVERAGE(Q215,R215)/3*1000</f>
        <v>239.99553941247689</v>
      </c>
      <c r="S292" s="1413">
        <f>S259/AVERAGE(R215,S215)/3*1000</f>
        <v>243.13689037615418</v>
      </c>
      <c r="T292" s="1413">
        <f>T259/AVERAGE(S215,T215)/3*1000</f>
        <v>243.55820374508173</v>
      </c>
      <c r="U292" s="1254"/>
      <c r="V292" s="1413">
        <f>V259/AVERAGE(T215,V215)/3*1000</f>
        <v>242.36978240385397</v>
      </c>
      <c r="W292" s="1413">
        <f>W259/AVERAGE(V215,W215)/3*1000</f>
        <v>239.68584836887189</v>
      </c>
      <c r="X292" s="1413">
        <f>X259/AVERAGE(W215,X215)/3*1000</f>
        <v>239.02409720970721</v>
      </c>
      <c r="Y292" s="1413"/>
      <c r="Z292" s="928"/>
      <c r="AA292" s="928"/>
      <c r="AB292" s="928"/>
      <c r="AC292" s="928"/>
      <c r="AD292" s="928"/>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355"/>
      <c r="BF292" s="1254"/>
      <c r="BG292" s="1254"/>
      <c r="BH292" s="1254"/>
      <c r="BI292" s="1389"/>
      <c r="BJ292" s="1355"/>
      <c r="BK292" s="1254"/>
      <c r="BL292" s="1254"/>
      <c r="BM292" s="1254"/>
      <c r="BN292" s="1389"/>
      <c r="BO292" s="1355"/>
      <c r="BP292" s="1254"/>
      <c r="BQ292" s="1254"/>
      <c r="BR292" s="1254"/>
      <c r="BS292" s="1389"/>
      <c r="BT292" s="1355"/>
      <c r="BU292" s="1254"/>
      <c r="BV292" s="1254"/>
      <c r="BW292" s="1254"/>
      <c r="BX292" s="1389"/>
      <c r="BY292" s="1254"/>
      <c r="BZ292" s="1254"/>
      <c r="CA292" s="1316">
        <f t="shared" si="360"/>
        <v>2.4229810298103116E-2</v>
      </c>
      <c r="CB292" s="1316">
        <f t="shared" si="360"/>
        <v>1.9744748737038131E-2</v>
      </c>
      <c r="CC292" s="1316">
        <f t="shared" si="360"/>
        <v>2.2557695281965939E-2</v>
      </c>
      <c r="CD292" s="1316">
        <f t="shared" si="360"/>
        <v>-1.6411681405552825E-2</v>
      </c>
      <c r="CE292" s="928"/>
      <c r="CF292" s="1316">
        <f t="shared" si="361"/>
        <v>-6.0287663910062461E-3</v>
      </c>
      <c r="CG292" s="1316">
        <f t="shared" si="361"/>
        <v>1.7996116989088762E-2</v>
      </c>
      <c r="CH292" s="1316">
        <f t="shared" si="361"/>
        <v>3.4673253867377296E-2</v>
      </c>
      <c r="CI292" s="1316">
        <f t="shared" si="361"/>
        <v>-2.9687522070318551E-3</v>
      </c>
      <c r="CJ292" s="928"/>
      <c r="CK292" s="1316">
        <f t="shared" si="362"/>
        <v>2.9169964322600883E-2</v>
      </c>
      <c r="CL292" s="1316">
        <f t="shared" si="362"/>
        <v>-1.2904033315083163E-3</v>
      </c>
      <c r="CM292" s="1316"/>
      <c r="CN292" s="1316"/>
      <c r="CO292" s="928"/>
      <c r="CP292" s="928"/>
      <c r="CQ292" s="928"/>
      <c r="CR292" s="928"/>
      <c r="CS292" s="928"/>
      <c r="CT292" s="928"/>
      <c r="CU292" s="928"/>
      <c r="CV292" s="928"/>
      <c r="CW292" s="928"/>
      <c r="CX292" s="928"/>
      <c r="CY292" s="928"/>
      <c r="CZ292" s="928"/>
      <c r="DA292" s="928"/>
      <c r="DB292" s="928"/>
      <c r="DC292" s="928"/>
      <c r="DD292" s="928"/>
      <c r="DE292" s="928"/>
      <c r="DF292" s="928"/>
      <c r="DG292" s="928"/>
      <c r="DH292" s="928"/>
      <c r="DI292" s="928"/>
      <c r="DJ292" s="928"/>
      <c r="DK292" s="928"/>
      <c r="DL292" s="928"/>
      <c r="DM292" s="928"/>
      <c r="DN292" s="928"/>
      <c r="DO292" s="928"/>
      <c r="DP292" s="928"/>
      <c r="DQ292" s="928"/>
      <c r="DR292" s="928"/>
      <c r="DS292" s="928"/>
      <c r="DT292" s="928"/>
      <c r="DU292" s="928"/>
      <c r="DV292" s="928"/>
      <c r="DW292" s="928"/>
      <c r="DX292" s="928"/>
      <c r="DY292" s="1338"/>
      <c r="DZ292" s="928"/>
      <c r="EA292" s="928"/>
      <c r="EB292" s="928"/>
      <c r="EC292" s="1337"/>
      <c r="ED292" s="1338"/>
      <c r="EE292" s="928"/>
      <c r="EF292" s="928"/>
      <c r="EG292" s="928"/>
      <c r="EH292" s="1337"/>
      <c r="EI292" s="928"/>
      <c r="EJ292" s="928"/>
      <c r="EK292" s="928"/>
      <c r="EL292" s="928"/>
      <c r="EM292" s="1337"/>
      <c r="EN292" s="928"/>
      <c r="EO292" s="928"/>
      <c r="EP292" s="928"/>
      <c r="EQ292" s="928"/>
      <c r="ER292" s="928"/>
      <c r="ES292" s="928"/>
      <c r="ET292" s="928"/>
      <c r="EU292" s="928"/>
      <c r="EV292" s="928"/>
      <c r="EW292" s="928"/>
      <c r="EX292" s="928"/>
      <c r="EY292" s="928"/>
      <c r="EZ292" s="928"/>
      <c r="FA292" s="928"/>
      <c r="FB292" s="928"/>
      <c r="FC292" s="928"/>
      <c r="FD292" s="928"/>
      <c r="FE292" s="928"/>
      <c r="FF292" s="1254"/>
      <c r="FG292" s="928"/>
      <c r="FH292" s="1351"/>
      <c r="FI292" s="1319"/>
      <c r="FJ292" s="1612"/>
      <c r="FK292" s="1605"/>
      <c r="FL292" s="928"/>
      <c r="FM292" s="928"/>
      <c r="FN292" s="928"/>
      <c r="FO292" s="928"/>
      <c r="FP292" s="928"/>
      <c r="FQ292" s="928"/>
    </row>
    <row r="293" spans="1:173">
      <c r="A293" s="1493" t="str">
        <f>A260</f>
        <v>TVI</v>
      </c>
      <c r="B293" s="1446"/>
      <c r="C293" s="1446"/>
      <c r="D293" s="1446"/>
      <c r="E293" s="1446"/>
      <c r="F293" s="1446"/>
      <c r="G293" s="1035">
        <f>G260/AVERAGE(E222,G222)/3*1000</f>
        <v>294.09041188008399</v>
      </c>
      <c r="H293" s="1035">
        <f>H260/AVERAGE(G222,H222)/3*1000</f>
        <v>276.36632920860302</v>
      </c>
      <c r="I293" s="1035">
        <f>I260/AVERAGE(H222,I222)/3*1000</f>
        <v>277.14971393412378</v>
      </c>
      <c r="J293" s="1035">
        <f>J260/AVERAGE(I222,J222)/3*1000</f>
        <v>288.91617544870707</v>
      </c>
      <c r="K293" s="1446"/>
      <c r="L293" s="1035">
        <f>L260/AVERAGE(J222,L222)/3*1000</f>
        <v>279.41660785697479</v>
      </c>
      <c r="M293" s="1035">
        <f>M260/AVERAGE(L222,M222)/3*1000</f>
        <v>290.26629935720842</v>
      </c>
      <c r="N293" s="1035">
        <f>N260/AVERAGE(M222,N222)/3*1000</f>
        <v>277.63630053720442</v>
      </c>
      <c r="O293" s="1035">
        <f>O260/AVERAGE(N222,O222)/3*1000</f>
        <v>287.90061221205139</v>
      </c>
      <c r="P293" s="928"/>
      <c r="Q293" s="1035">
        <f>Q260/AVERAGE(O222,Q222)/3*1000</f>
        <v>281.594011448701</v>
      </c>
      <c r="R293" s="1035">
        <f>R260/AVERAGE(Q222,R222)/3*1000</f>
        <v>281.99932455251604</v>
      </c>
      <c r="S293" s="1035">
        <f>S260/AVERAGE(R222,S222)/3*1000</f>
        <v>277.0078612529378</v>
      </c>
      <c r="T293" s="1035">
        <f>T260/AVERAGE(S222,T222)/3*1000</f>
        <v>277.78418926716671</v>
      </c>
      <c r="U293" s="1254"/>
      <c r="V293" s="1035">
        <f>V260/AVERAGE(T222,V222)/3*1000</f>
        <v>267.91307175705134</v>
      </c>
      <c r="W293" s="1035">
        <f>W260/AVERAGE(V222,W222)/3*1000</f>
        <v>269.84737666363628</v>
      </c>
      <c r="X293" s="1035">
        <f>X260/AVERAGE(W222,X222)/3*1000</f>
        <v>273.49667366429634</v>
      </c>
      <c r="Y293" s="1035"/>
      <c r="Z293" s="928"/>
      <c r="AA293" s="1446"/>
      <c r="AB293" s="1446"/>
      <c r="AC293" s="1446"/>
      <c r="AD293" s="1446"/>
      <c r="AE293" s="1254"/>
      <c r="AF293" s="1447"/>
      <c r="AG293" s="1447"/>
      <c r="AH293" s="1447"/>
      <c r="AI293" s="1447"/>
      <c r="AJ293" s="1254"/>
      <c r="AK293" s="1447"/>
      <c r="AL293" s="1447"/>
      <c r="AM293" s="1447"/>
      <c r="AN293" s="1447"/>
      <c r="AO293" s="1254"/>
      <c r="AP293" s="1447"/>
      <c r="AQ293" s="1447"/>
      <c r="AR293" s="1447"/>
      <c r="AS293" s="1447"/>
      <c r="AT293" s="1254"/>
      <c r="AU293" s="1447"/>
      <c r="AV293" s="1447"/>
      <c r="AW293" s="1447"/>
      <c r="AX293" s="1447"/>
      <c r="AY293" s="1254"/>
      <c r="AZ293" s="1447"/>
      <c r="BA293" s="1447"/>
      <c r="BB293" s="1254"/>
      <c r="BC293" s="1254"/>
      <c r="BD293" s="1254"/>
      <c r="BE293" s="1355"/>
      <c r="BF293" s="1254"/>
      <c r="BG293" s="1254"/>
      <c r="BH293" s="1254"/>
      <c r="BI293" s="1389"/>
      <c r="BJ293" s="1355"/>
      <c r="BK293" s="1254"/>
      <c r="BL293" s="1254"/>
      <c r="BM293" s="1254"/>
      <c r="BN293" s="1389"/>
      <c r="BO293" s="1355"/>
      <c r="BP293" s="1254"/>
      <c r="BQ293" s="1254"/>
      <c r="BR293" s="1254"/>
      <c r="BS293" s="1389"/>
      <c r="BT293" s="1355"/>
      <c r="BU293" s="1254"/>
      <c r="BV293" s="1254"/>
      <c r="BW293" s="1254"/>
      <c r="BX293" s="1389"/>
      <c r="BY293" s="1254"/>
      <c r="BZ293" s="1254"/>
      <c r="CA293" s="1490">
        <f t="shared" si="360"/>
        <v>-4.989555398729717E-2</v>
      </c>
      <c r="CB293" s="1490">
        <f t="shared" si="360"/>
        <v>5.0295454545454588E-2</v>
      </c>
      <c r="CC293" s="1490">
        <f t="shared" si="360"/>
        <v>1.7556814191634906E-3</v>
      </c>
      <c r="CD293" s="1490">
        <f t="shared" si="360"/>
        <v>-3.5150791923589386E-3</v>
      </c>
      <c r="CE293" s="1446"/>
      <c r="CF293" s="1490">
        <f t="shared" si="361"/>
        <v>7.792677781131685E-3</v>
      </c>
      <c r="CG293" s="1490">
        <f t="shared" si="361"/>
        <v>-2.8480656634957358E-2</v>
      </c>
      <c r="CH293" s="1490">
        <f t="shared" si="361"/>
        <v>-2.2635342822628912E-3</v>
      </c>
      <c r="CI293" s="1490">
        <f t="shared" si="361"/>
        <v>-3.5138594764201114E-2</v>
      </c>
      <c r="CJ293" s="928"/>
      <c r="CK293" s="1490">
        <f t="shared" si="362"/>
        <v>-4.8583915621167151E-2</v>
      </c>
      <c r="CL293" s="1490">
        <f t="shared" si="362"/>
        <v>-4.3092117004758013E-2</v>
      </c>
      <c r="CM293" s="1316"/>
      <c r="CN293" s="1316"/>
      <c r="CO293" s="928"/>
      <c r="CP293" s="928"/>
      <c r="CQ293" s="928"/>
      <c r="CR293" s="928"/>
      <c r="CS293" s="928"/>
      <c r="CT293" s="928"/>
      <c r="CU293" s="928"/>
      <c r="CV293" s="928"/>
      <c r="CW293" s="928"/>
      <c r="CX293" s="928"/>
      <c r="CY293" s="928"/>
      <c r="CZ293" s="928"/>
      <c r="DA293" s="928"/>
      <c r="DB293" s="928"/>
      <c r="DC293" s="928"/>
      <c r="DD293" s="928"/>
      <c r="DE293" s="928"/>
      <c r="DF293" s="928"/>
      <c r="DG293" s="928"/>
      <c r="DH293" s="928"/>
      <c r="DI293" s="928"/>
      <c r="DJ293" s="928"/>
      <c r="DK293" s="928"/>
      <c r="DL293" s="928"/>
      <c r="DM293" s="928"/>
      <c r="DN293" s="928"/>
      <c r="DO293" s="928"/>
      <c r="DP293" s="928"/>
      <c r="DQ293" s="928"/>
      <c r="DR293" s="928"/>
      <c r="DS293" s="928"/>
      <c r="DT293" s="928"/>
      <c r="DU293" s="928"/>
      <c r="DV293" s="928"/>
      <c r="DW293" s="928"/>
      <c r="DX293" s="928"/>
      <c r="DY293" s="1338"/>
      <c r="DZ293" s="928"/>
      <c r="EA293" s="928"/>
      <c r="EB293" s="928"/>
      <c r="EC293" s="1337"/>
      <c r="ED293" s="1338"/>
      <c r="EE293" s="928"/>
      <c r="EF293" s="928"/>
      <c r="EG293" s="928"/>
      <c r="EH293" s="1337"/>
      <c r="EI293" s="928"/>
      <c r="EJ293" s="928"/>
      <c r="EK293" s="928"/>
      <c r="EL293" s="928"/>
      <c r="EM293" s="1337"/>
      <c r="EN293" s="928"/>
      <c r="EO293" s="928"/>
      <c r="EP293" s="928"/>
      <c r="EQ293" s="928"/>
      <c r="ER293" s="928"/>
      <c r="ES293" s="928"/>
      <c r="ET293" s="928"/>
      <c r="EU293" s="928"/>
      <c r="EV293" s="928"/>
      <c r="EW293" s="928"/>
      <c r="EX293" s="928"/>
      <c r="EY293" s="928"/>
      <c r="EZ293" s="928"/>
      <c r="FA293" s="928"/>
      <c r="FB293" s="928"/>
      <c r="FC293" s="928"/>
      <c r="FD293" s="928"/>
      <c r="FE293" s="928"/>
      <c r="FF293" s="1254"/>
      <c r="FG293" s="928"/>
      <c r="FH293" s="1351"/>
      <c r="FI293" s="1319"/>
      <c r="FJ293" s="1612"/>
      <c r="FK293" s="1605"/>
      <c r="FL293" s="928"/>
      <c r="FM293" s="928"/>
      <c r="FN293" s="928"/>
      <c r="FO293" s="928"/>
      <c r="FP293" s="928"/>
      <c r="FQ293" s="928"/>
    </row>
    <row r="294" spans="1:173">
      <c r="A294" s="928" t="s">
        <v>98</v>
      </c>
      <c r="B294" s="928"/>
      <c r="C294" s="928"/>
      <c r="D294" s="928"/>
      <c r="E294" s="928"/>
      <c r="F294" s="928"/>
      <c r="G294" s="1413">
        <f>G264/AVERAGE(E239,G239)/3*1000</f>
        <v>330.38919430052056</v>
      </c>
      <c r="H294" s="1413">
        <f>H264/AVERAGE(G239,H239)/3*1000</f>
        <v>325.92713716528124</v>
      </c>
      <c r="I294" s="1413">
        <f>I264/AVERAGE(H239,I239)/3*1000</f>
        <v>323.06071262413167</v>
      </c>
      <c r="J294" s="1413">
        <f>J264/AVERAGE(I239,J239)/3*1000</f>
        <v>331.76705931036417</v>
      </c>
      <c r="K294" s="928"/>
      <c r="L294" s="1413">
        <f>L264/AVERAGE(J239,L239)/3*1000</f>
        <v>325.03569328966154</v>
      </c>
      <c r="M294" s="1413">
        <f>M264/AVERAGE(L239,M239)/3*1000</f>
        <v>325.06237984210742</v>
      </c>
      <c r="N294" s="1413">
        <f>N264/AVERAGE(M239,N239)/3*1000</f>
        <v>318.94022944185866</v>
      </c>
      <c r="O294" s="1413">
        <f>O264/AVERAGE(N239,O239)/3*1000</f>
        <v>321.75296689073411</v>
      </c>
      <c r="P294" s="928"/>
      <c r="Q294" s="1413">
        <f>Q264/AVERAGE(O239,Q239)/3*1000</f>
        <v>305.75838594441575</v>
      </c>
      <c r="R294" s="1413">
        <f>R264/AVERAGE(Q239,R239)/3*1000</f>
        <v>310.92479564427259</v>
      </c>
      <c r="S294" s="1413">
        <f>S264/AVERAGE(R239,S239)/3*1000</f>
        <v>312.14586622339914</v>
      </c>
      <c r="T294" s="1413">
        <f>T264/AVERAGE(S239,T239)/3*1000</f>
        <v>315.33932643712251</v>
      </c>
      <c r="U294" s="1254"/>
      <c r="V294" s="1413">
        <f>V264/AVERAGE(T239,V239)/3*1000</f>
        <v>305.17633920624803</v>
      </c>
      <c r="W294" s="1413">
        <f>W264/AVERAGE(V239,W239)/3*1000</f>
        <v>307.48196590601418</v>
      </c>
      <c r="X294" s="1413">
        <f>X264/AVERAGE(W239,X239)/3*1000</f>
        <v>300.75812253257936</v>
      </c>
      <c r="Y294" s="1413">
        <f>Y264/AVERAGE(X239,Y239)/3*1000</f>
        <v>307.55210343406185</v>
      </c>
      <c r="Z294" s="1254"/>
      <c r="AA294" s="1413">
        <f>AA264/AVERAGE(Y239,AA239)/3*1000</f>
        <v>302.6057875829955</v>
      </c>
      <c r="AB294" s="1413">
        <f>AB264/AVERAGE(AA239,AB239)/3*1000</f>
        <v>284.70701366830178</v>
      </c>
      <c r="AC294" s="1413">
        <f>AC264/AVERAGE(AB239,AC239)/3*1000</f>
        <v>288.41312717053711</v>
      </c>
      <c r="AD294" s="1413">
        <f>AD264/AVERAGE(AC239,AD239)/3*1000</f>
        <v>286.44056701617995</v>
      </c>
      <c r="AE294" s="1254"/>
      <c r="AF294" s="1413">
        <f>AF264/AVERAGE(AD239,AF239)/3*1000</f>
        <v>277.80943084480441</v>
      </c>
      <c r="AG294" s="1413">
        <f>AG264/AVERAGE(AF239,AG239)/3*1000</f>
        <v>276.69117065037267</v>
      </c>
      <c r="AH294" s="1413">
        <f>AH264/AVERAGE(AG239,AH239)/3*1000</f>
        <v>283.04654878752496</v>
      </c>
      <c r="AI294" s="1413">
        <f>AI264/AVERAGE(AH239,AI239)/3*1000</f>
        <v>285.53497380958856</v>
      </c>
      <c r="AJ294" s="1254"/>
      <c r="AK294" s="1413">
        <f>AK264/AVERAGE(AJ239,AK239)/3*1000</f>
        <v>280.60444102112319</v>
      </c>
      <c r="AL294" s="1413">
        <f>AL264/AVERAGE(AK239,AL239)/3*1000</f>
        <v>279.51384894660094</v>
      </c>
      <c r="AM294" s="1413">
        <f>AM264/AVERAGE(AL239,AM239)/3*1000</f>
        <v>284.14566216523264</v>
      </c>
      <c r="AN294" s="1413">
        <f>AN264/AVERAGE(AM239,AN239)/3*1000</f>
        <v>286.90327564350156</v>
      </c>
      <c r="AO294" s="1254"/>
      <c r="AP294" s="1413">
        <f>AP264/AVERAGE(AO239,AP239)/3*1000</f>
        <v>282.35256875474107</v>
      </c>
      <c r="AQ294" s="1413">
        <f>AQ264/AVERAGE(AP239,AQ239)/3*1000</f>
        <v>279.35975442854158</v>
      </c>
      <c r="AR294" s="1413">
        <f>AR264/AVERAGE(AQ239,AR239)/3*1000</f>
        <v>283.7126785309087</v>
      </c>
      <c r="AS294" s="1413">
        <f>AS264/AVERAGE(AR239,AS239)/3*1000</f>
        <v>278.15969438644032</v>
      </c>
      <c r="AT294" s="1254"/>
      <c r="AU294" s="1413">
        <f>AU264/AVERAGE(AT239,AU239)/3*1000</f>
        <v>275.31651343891502</v>
      </c>
      <c r="AV294" s="1413">
        <f>AV264/AVERAGE(AU239,AV239)/3*1000</f>
        <v>277.53678920522981</v>
      </c>
      <c r="AW294" s="1413">
        <f>AW264/AVERAGE(AV239,AW239)/3*1000</f>
        <v>282.48006763532743</v>
      </c>
      <c r="AX294" s="1413">
        <f>AX264/AVERAGE(AW239,AX239)/3*1000</f>
        <v>291.5363898407424</v>
      </c>
      <c r="AY294" s="1254"/>
      <c r="AZ294" s="1413">
        <f>AZ264/AVERAGE(AY239,AZ239)/3*1000</f>
        <v>279.51993025881296</v>
      </c>
      <c r="BA294" s="1413">
        <f>BA264/AVERAGE(AZ239,BA239)/3*1000</f>
        <v>286.53650144070173</v>
      </c>
      <c r="BB294" s="1413"/>
      <c r="BC294" s="1254"/>
      <c r="BD294" s="1254"/>
      <c r="BE294" s="1355"/>
      <c r="BF294" s="1254"/>
      <c r="BG294" s="1254"/>
      <c r="BH294" s="1254"/>
      <c r="BI294" s="1389"/>
      <c r="BJ294" s="1355"/>
      <c r="BK294" s="1254"/>
      <c r="BL294" s="1254"/>
      <c r="BM294" s="1254"/>
      <c r="BN294" s="1389"/>
      <c r="BO294" s="1355"/>
      <c r="BP294" s="1254"/>
      <c r="BQ294" s="1254"/>
      <c r="BR294" s="1254"/>
      <c r="BS294" s="1389"/>
      <c r="BT294" s="1355"/>
      <c r="BU294" s="1254"/>
      <c r="BV294" s="1254"/>
      <c r="BW294" s="1254"/>
      <c r="BX294" s="1389"/>
      <c r="BY294" s="1254"/>
      <c r="BZ294" s="1254"/>
      <c r="CA294" s="1316">
        <f t="shared" si="360"/>
        <v>-1.6203620164373489E-2</v>
      </c>
      <c r="CB294" s="1316">
        <f t="shared" si="360"/>
        <v>-2.6532228359226195E-3</v>
      </c>
      <c r="CC294" s="1316">
        <f t="shared" si="360"/>
        <v>-1.2754516477115008E-2</v>
      </c>
      <c r="CD294" s="1316">
        <f t="shared" si="360"/>
        <v>-3.0184107007025007E-2</v>
      </c>
      <c r="CE294" s="928"/>
      <c r="CF294" s="1316">
        <f t="shared" si="361"/>
        <v>-5.9308278269815884E-2</v>
      </c>
      <c r="CG294" s="1316">
        <f t="shared" si="361"/>
        <v>-4.3491911320842069E-2</v>
      </c>
      <c r="CH294" s="1316">
        <f t="shared" si="361"/>
        <v>-2.1302935758055863E-2</v>
      </c>
      <c r="CI294" s="1316">
        <f t="shared" si="361"/>
        <v>-1.9933430655169837E-2</v>
      </c>
      <c r="CJ294" s="928"/>
      <c r="CK294" s="1316">
        <f t="shared" si="362"/>
        <v>-1.9036165970391927E-3</v>
      </c>
      <c r="CL294" s="1316">
        <f t="shared" si="362"/>
        <v>-1.1072869666520102E-2</v>
      </c>
      <c r="CM294" s="1316"/>
      <c r="CN294" s="1316"/>
      <c r="CO294" s="928"/>
      <c r="CP294" s="928"/>
      <c r="CQ294" s="928"/>
      <c r="CR294" s="928"/>
      <c r="CS294" s="928"/>
      <c r="CT294" s="928"/>
      <c r="CU294" s="1413"/>
      <c r="CV294" s="1254">
        <f>AG294/AB294-1</f>
        <v>-2.8154708641171644E-2</v>
      </c>
      <c r="CW294" s="1254">
        <f>AH294/AC294-1</f>
        <v>-1.8607261173098189E-2</v>
      </c>
      <c r="CX294" s="1254">
        <f>AI294/AD294-1</f>
        <v>-3.1615396381345917E-3</v>
      </c>
      <c r="CY294" s="928"/>
      <c r="CZ294" s="928"/>
      <c r="DA294" s="928"/>
      <c r="DB294" s="928"/>
      <c r="DC294" s="928"/>
      <c r="DD294" s="928"/>
      <c r="DE294" s="928"/>
      <c r="DF294" s="928"/>
      <c r="DG294" s="928"/>
      <c r="DH294" s="928"/>
      <c r="DI294" s="928"/>
      <c r="DJ294" s="928"/>
      <c r="DK294" s="928"/>
      <c r="DL294" s="928"/>
      <c r="DM294" s="928"/>
      <c r="DN294" s="928"/>
      <c r="DO294" s="928"/>
      <c r="DP294" s="928"/>
      <c r="DQ294" s="928"/>
      <c r="DR294" s="928"/>
      <c r="DS294" s="928"/>
      <c r="DT294" s="928"/>
      <c r="DU294" s="928"/>
      <c r="DV294" s="928"/>
      <c r="DW294" s="928"/>
      <c r="DX294" s="928"/>
      <c r="DY294" s="1338"/>
      <c r="DZ294" s="928"/>
      <c r="EA294" s="928"/>
      <c r="EB294" s="928"/>
      <c r="EC294" s="1337"/>
      <c r="ED294" s="1338"/>
      <c r="EE294" s="928"/>
      <c r="EF294" s="928"/>
      <c r="EG294" s="928"/>
      <c r="EH294" s="1337"/>
      <c r="EI294" s="928"/>
      <c r="EJ294" s="928"/>
      <c r="EK294" s="928"/>
      <c r="EL294" s="928"/>
      <c r="EM294" s="1337"/>
      <c r="EN294" s="928"/>
      <c r="EO294" s="928"/>
      <c r="EP294" s="928"/>
      <c r="EQ294" s="928"/>
      <c r="ER294" s="928"/>
      <c r="ES294" s="928"/>
      <c r="ET294" s="928"/>
      <c r="EU294" s="928"/>
      <c r="EV294" s="928"/>
      <c r="EW294" s="928"/>
      <c r="EX294" s="928"/>
      <c r="EY294" s="928"/>
      <c r="EZ294" s="928"/>
      <c r="FA294" s="928"/>
      <c r="FB294" s="928"/>
      <c r="FC294" s="928"/>
      <c r="FD294" s="928"/>
      <c r="FE294" s="928"/>
      <c r="FF294" s="1254"/>
      <c r="FG294" s="928"/>
      <c r="FH294" s="1351"/>
      <c r="FI294" s="1319"/>
      <c r="FJ294" s="1612"/>
      <c r="FK294" s="1605"/>
      <c r="FL294" s="928"/>
      <c r="FM294" s="928"/>
      <c r="FN294" s="928"/>
      <c r="FO294" s="928"/>
      <c r="FP294" s="928"/>
      <c r="FQ294" s="928"/>
    </row>
    <row r="295" spans="1:173">
      <c r="A295" s="928"/>
      <c r="B295" s="928"/>
      <c r="C295" s="928"/>
      <c r="D295" s="928"/>
      <c r="E295" s="928"/>
      <c r="F295" s="928"/>
      <c r="G295" s="928"/>
      <c r="H295" s="928"/>
      <c r="I295" s="928"/>
      <c r="J295" s="928"/>
      <c r="K295" s="928"/>
      <c r="L295" s="928"/>
      <c r="M295" s="928"/>
      <c r="N295" s="928"/>
      <c r="O295" s="928"/>
      <c r="P295" s="928"/>
      <c r="Q295" s="928"/>
      <c r="R295" s="928"/>
      <c r="S295" s="928"/>
      <c r="T295" s="928"/>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355"/>
      <c r="BF295" s="1254"/>
      <c r="BG295" s="1254"/>
      <c r="BH295" s="1254"/>
      <c r="BI295" s="1389"/>
      <c r="BJ295" s="1355"/>
      <c r="BK295" s="1254"/>
      <c r="BL295" s="1254"/>
      <c r="BM295" s="1254"/>
      <c r="BN295" s="1389"/>
      <c r="BO295" s="1355"/>
      <c r="BP295" s="1254"/>
      <c r="BQ295" s="1254"/>
      <c r="BR295" s="1254"/>
      <c r="BS295" s="1389"/>
      <c r="BT295" s="1355"/>
      <c r="BU295" s="1254"/>
      <c r="BV295" s="1254"/>
      <c r="BW295" s="1254"/>
      <c r="BX295" s="1389"/>
      <c r="BY295" s="1254"/>
      <c r="BZ295" s="1254"/>
      <c r="CA295" s="928"/>
      <c r="CB295" s="928"/>
      <c r="CC295" s="928"/>
      <c r="CD295" s="928"/>
      <c r="CE295" s="928"/>
      <c r="CF295" s="928"/>
      <c r="CG295" s="928"/>
      <c r="CH295" s="928"/>
      <c r="CI295" s="928"/>
      <c r="CJ295" s="928"/>
      <c r="CK295" s="928"/>
      <c r="CL295" s="928"/>
      <c r="CM295" s="928"/>
      <c r="CN295" s="928"/>
      <c r="CO295" s="928"/>
      <c r="CP295" s="928"/>
      <c r="CQ295" s="928"/>
      <c r="CR295" s="928"/>
      <c r="CS295" s="928"/>
      <c r="CT295" s="928"/>
      <c r="CU295" s="928"/>
      <c r="CV295" s="928"/>
      <c r="CW295" s="928"/>
      <c r="CX295" s="928"/>
      <c r="CY295" s="928"/>
      <c r="CZ295" s="928"/>
      <c r="DA295" s="928"/>
      <c r="DB295" s="928"/>
      <c r="DC295" s="928"/>
      <c r="DD295" s="928"/>
      <c r="DE295" s="928"/>
      <c r="DF295" s="928"/>
      <c r="DG295" s="928"/>
      <c r="DH295" s="928"/>
      <c r="DI295" s="928"/>
      <c r="DJ295" s="928"/>
      <c r="DK295" s="928"/>
      <c r="DL295" s="928"/>
      <c r="DM295" s="928"/>
      <c r="DN295" s="928"/>
      <c r="DO295" s="928"/>
      <c r="DP295" s="928"/>
      <c r="DQ295" s="928"/>
      <c r="DR295" s="928"/>
      <c r="DS295" s="928"/>
      <c r="DT295" s="928"/>
      <c r="DU295" s="928"/>
      <c r="DV295" s="928"/>
      <c r="DW295" s="928"/>
      <c r="DX295" s="928"/>
      <c r="DY295" s="1338"/>
      <c r="DZ295" s="928"/>
      <c r="EA295" s="928"/>
      <c r="EB295" s="928"/>
      <c r="EC295" s="1337"/>
      <c r="ED295" s="1338"/>
      <c r="EE295" s="928"/>
      <c r="EF295" s="928"/>
      <c r="EG295" s="928"/>
      <c r="EH295" s="1337"/>
      <c r="EI295" s="928"/>
      <c r="EJ295" s="928"/>
      <c r="EK295" s="928"/>
      <c r="EL295" s="928"/>
      <c r="EM295" s="1337"/>
      <c r="EN295" s="928"/>
      <c r="EO295" s="928"/>
      <c r="EP295" s="928"/>
      <c r="EQ295" s="928"/>
      <c r="ER295" s="928"/>
      <c r="ES295" s="928"/>
      <c r="ET295" s="928"/>
      <c r="EU295" s="928"/>
      <c r="EV295" s="928"/>
      <c r="EW295" s="928"/>
      <c r="EX295" s="928"/>
      <c r="EY295" s="928"/>
      <c r="EZ295" s="928"/>
      <c r="FA295" s="928"/>
      <c r="FB295" s="928"/>
      <c r="FC295" s="928"/>
      <c r="FD295" s="928"/>
      <c r="FE295" s="928"/>
      <c r="FF295" s="1254"/>
      <c r="FG295" s="928"/>
      <c r="FH295" s="1351"/>
      <c r="FI295" s="1319"/>
      <c r="FJ295" s="1612"/>
      <c r="FK295" s="1605"/>
      <c r="FL295" s="928"/>
      <c r="FM295" s="928"/>
      <c r="FN295" s="928"/>
      <c r="FO295" s="928"/>
      <c r="FP295" s="928"/>
      <c r="FQ295" s="928"/>
    </row>
    <row r="296" spans="1:173">
      <c r="A296" s="1385" t="s">
        <v>57</v>
      </c>
      <c r="B296" s="928"/>
      <c r="C296" s="928"/>
      <c r="D296" s="928"/>
      <c r="E296" s="928"/>
      <c r="F296" s="928"/>
      <c r="G296" s="928"/>
      <c r="H296" s="928"/>
      <c r="I296" s="928"/>
      <c r="J296" s="928"/>
      <c r="K296" s="928"/>
      <c r="L296" s="928"/>
      <c r="M296" s="928"/>
      <c r="N296" s="928"/>
      <c r="O296" s="928"/>
      <c r="P296" s="928"/>
      <c r="Q296" s="928"/>
      <c r="R296" s="928"/>
      <c r="S296" s="928"/>
      <c r="T296" s="928"/>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355"/>
      <c r="BF296" s="1254"/>
      <c r="BG296" s="1254"/>
      <c r="BH296" s="1254"/>
      <c r="BI296" s="1389"/>
      <c r="BJ296" s="1355"/>
      <c r="BK296" s="1254"/>
      <c r="BL296" s="1254"/>
      <c r="BM296" s="1254"/>
      <c r="BN296" s="1389"/>
      <c r="BO296" s="1355"/>
      <c r="BP296" s="1254"/>
      <c r="BQ296" s="1254"/>
      <c r="BR296" s="1254"/>
      <c r="BS296" s="1389"/>
      <c r="BT296" s="1355"/>
      <c r="BU296" s="1254"/>
      <c r="BV296" s="1254"/>
      <c r="BW296" s="1254"/>
      <c r="BX296" s="1389"/>
      <c r="BY296" s="1254"/>
      <c r="BZ296" s="1254"/>
      <c r="CA296" s="928"/>
      <c r="CB296" s="928"/>
      <c r="CC296" s="928"/>
      <c r="CD296" s="928"/>
      <c r="CE296" s="928"/>
      <c r="CF296" s="928"/>
      <c r="CG296" s="928"/>
      <c r="CH296" s="928"/>
      <c r="CI296" s="928"/>
      <c r="CJ296" s="928"/>
      <c r="CK296" s="928"/>
      <c r="CL296" s="928"/>
      <c r="CM296" s="928"/>
      <c r="CN296" s="928"/>
      <c r="CO296" s="928"/>
      <c r="CP296" s="928"/>
      <c r="CQ296" s="928"/>
      <c r="CR296" s="928"/>
      <c r="CS296" s="928"/>
      <c r="CT296" s="928"/>
      <c r="CU296" s="928"/>
      <c r="CV296" s="928"/>
      <c r="CW296" s="928"/>
      <c r="CX296" s="928"/>
      <c r="CY296" s="928"/>
      <c r="CZ296" s="928"/>
      <c r="DA296" s="928"/>
      <c r="DB296" s="928"/>
      <c r="DC296" s="928"/>
      <c r="DD296" s="928"/>
      <c r="DE296" s="928"/>
      <c r="DF296" s="928"/>
      <c r="DG296" s="928"/>
      <c r="DH296" s="928"/>
      <c r="DI296" s="928"/>
      <c r="DJ296" s="928"/>
      <c r="DK296" s="928"/>
      <c r="DL296" s="928"/>
      <c r="DM296" s="928"/>
      <c r="DN296" s="928"/>
      <c r="DO296" s="928"/>
      <c r="DP296" s="928"/>
      <c r="DQ296" s="928"/>
      <c r="DR296" s="928"/>
      <c r="DS296" s="928"/>
      <c r="DT296" s="928"/>
      <c r="DU296" s="928"/>
      <c r="DV296" s="928"/>
      <c r="DW296" s="928"/>
      <c r="DX296" s="928"/>
      <c r="DY296" s="1338"/>
      <c r="DZ296" s="928"/>
      <c r="EA296" s="928"/>
      <c r="EB296" s="928"/>
      <c r="EC296" s="1337"/>
      <c r="ED296" s="1338"/>
      <c r="EE296" s="928"/>
      <c r="EF296" s="928"/>
      <c r="EG296" s="928"/>
      <c r="EH296" s="1337"/>
      <c r="EI296" s="928"/>
      <c r="EJ296" s="928"/>
      <c r="EK296" s="928"/>
      <c r="EL296" s="928"/>
      <c r="EM296" s="1337"/>
      <c r="EN296" s="928"/>
      <c r="EO296" s="928"/>
      <c r="EP296" s="928"/>
      <c r="EQ296" s="928"/>
      <c r="ER296" s="928"/>
      <c r="ES296" s="928"/>
      <c r="ET296" s="928"/>
      <c r="EU296" s="928"/>
      <c r="EV296" s="928"/>
      <c r="EW296" s="928"/>
      <c r="EX296" s="928"/>
      <c r="EY296" s="928"/>
      <c r="EZ296" s="928"/>
      <c r="FA296" s="928"/>
      <c r="FB296" s="928"/>
      <c r="FC296" s="928"/>
      <c r="FD296" s="928"/>
      <c r="FE296" s="928"/>
      <c r="FF296" s="1254"/>
      <c r="FG296" s="928"/>
      <c r="FH296" s="1351"/>
      <c r="FI296" s="1319"/>
      <c r="FJ296" s="1612"/>
      <c r="FK296" s="1605"/>
      <c r="FL296" s="928"/>
      <c r="FM296" s="928"/>
      <c r="FN296" s="928"/>
      <c r="FO296" s="928"/>
      <c r="FP296" s="928"/>
      <c r="FQ296" s="928"/>
    </row>
    <row r="297" spans="1:173">
      <c r="A297" s="1344" t="s">
        <v>91</v>
      </c>
      <c r="B297" s="928"/>
      <c r="C297" s="928"/>
      <c r="D297" s="928"/>
      <c r="E297" s="928"/>
      <c r="F297" s="928"/>
      <c r="G297" s="928"/>
      <c r="H297" s="928"/>
      <c r="I297" s="1413">
        <v>427.1</v>
      </c>
      <c r="J297" s="1413"/>
      <c r="K297" s="1413">
        <v>1697.2</v>
      </c>
      <c r="L297" s="1413">
        <v>473.1</v>
      </c>
      <c r="M297" s="1413">
        <v>508.1</v>
      </c>
      <c r="N297" s="1413">
        <v>523.1</v>
      </c>
      <c r="O297" s="1413">
        <f>2033.8-L297-M297-N297</f>
        <v>529.49999999999989</v>
      </c>
      <c r="P297" s="1413">
        <f>SUM(L297:O297)</f>
        <v>2033.8000000000002</v>
      </c>
      <c r="Q297" s="1413">
        <v>525.6</v>
      </c>
      <c r="R297" s="1413">
        <v>532</v>
      </c>
      <c r="S297" s="1413">
        <v>540.29999999999995</v>
      </c>
      <c r="T297" s="1413">
        <f>2266.2-Q297-R297-S297</f>
        <v>668.3</v>
      </c>
      <c r="U297" s="1413">
        <f>SUM(Q297:T297)</f>
        <v>2266.1999999999998</v>
      </c>
      <c r="V297" s="1413">
        <v>644.5</v>
      </c>
      <c r="W297" s="1413">
        <v>672.8</v>
      </c>
      <c r="X297" s="1413">
        <v>664.3</v>
      </c>
      <c r="Y297" s="1413"/>
      <c r="Z297" s="1413">
        <f>'Cable cos'!I199</f>
        <v>2721.6552824999994</v>
      </c>
      <c r="AA297" s="1413"/>
      <c r="AB297" s="1413"/>
      <c r="AC297" s="1413"/>
      <c r="AD297" s="1413"/>
      <c r="AE297" s="928"/>
      <c r="AF297" s="928"/>
      <c r="AG297" s="928"/>
      <c r="AH297" s="928"/>
      <c r="AI297" s="928"/>
      <c r="AJ297" s="928"/>
      <c r="AK297" s="928"/>
      <c r="AL297" s="928"/>
      <c r="AM297" s="928"/>
      <c r="AN297" s="928"/>
      <c r="AO297" s="928"/>
      <c r="AP297" s="928"/>
      <c r="AQ297" s="928"/>
      <c r="AR297" s="928"/>
      <c r="AS297" s="928"/>
      <c r="AT297" s="928"/>
      <c r="AU297" s="928"/>
      <c r="AV297" s="928"/>
      <c r="AW297" s="928"/>
      <c r="AX297" s="928"/>
      <c r="AY297" s="928"/>
      <c r="AZ297" s="928"/>
      <c r="BA297" s="928"/>
      <c r="BB297" s="928"/>
      <c r="BC297" s="928"/>
      <c r="BD297" s="928"/>
      <c r="BE297" s="1338"/>
      <c r="BF297" s="928"/>
      <c r="BG297" s="928"/>
      <c r="BH297" s="928"/>
      <c r="BI297" s="1337"/>
      <c r="BJ297" s="1338"/>
      <c r="BK297" s="928"/>
      <c r="BL297" s="928"/>
      <c r="BM297" s="928"/>
      <c r="BN297" s="1337"/>
      <c r="BO297" s="1338"/>
      <c r="BP297" s="928"/>
      <c r="BQ297" s="928"/>
      <c r="BR297" s="928"/>
      <c r="BS297" s="1337"/>
      <c r="BT297" s="1338"/>
      <c r="BU297" s="928"/>
      <c r="BV297" s="928"/>
      <c r="BW297" s="928"/>
      <c r="BX297" s="1337"/>
      <c r="BY297" s="928"/>
      <c r="BZ297" s="1254"/>
      <c r="CA297" s="928"/>
      <c r="CB297" s="928"/>
      <c r="CC297" s="928"/>
      <c r="CD297" s="928"/>
      <c r="CE297" s="928"/>
      <c r="CF297" s="928"/>
      <c r="CG297" s="928"/>
      <c r="CH297" s="928"/>
      <c r="CI297" s="928"/>
      <c r="CJ297" s="928"/>
      <c r="CK297" s="928"/>
      <c r="CL297" s="928"/>
      <c r="CM297" s="928"/>
      <c r="CN297" s="928"/>
      <c r="CO297" s="928"/>
      <c r="CP297" s="928"/>
      <c r="CQ297" s="928"/>
      <c r="CR297" s="928"/>
      <c r="CS297" s="928"/>
      <c r="CT297" s="928"/>
      <c r="CU297" s="928"/>
      <c r="CV297" s="928"/>
      <c r="CW297" s="928"/>
      <c r="CX297" s="928"/>
      <c r="CY297" s="928"/>
      <c r="CZ297" s="928"/>
      <c r="DA297" s="928"/>
      <c r="DB297" s="928"/>
      <c r="DC297" s="928"/>
      <c r="DD297" s="928"/>
      <c r="DE297" s="928"/>
      <c r="DF297" s="928"/>
      <c r="DG297" s="928"/>
      <c r="DH297" s="928"/>
      <c r="DI297" s="928"/>
      <c r="DJ297" s="928"/>
      <c r="DK297" s="928"/>
      <c r="DL297" s="928"/>
      <c r="DM297" s="928"/>
      <c r="DN297" s="928"/>
      <c r="DO297" s="928"/>
      <c r="DP297" s="928"/>
      <c r="DQ297" s="928"/>
      <c r="DR297" s="928"/>
      <c r="DS297" s="928"/>
      <c r="DT297" s="928"/>
      <c r="DU297" s="928"/>
      <c r="DV297" s="928"/>
      <c r="DW297" s="928"/>
      <c r="DX297" s="928"/>
      <c r="DY297" s="1338"/>
      <c r="DZ297" s="928"/>
      <c r="EA297" s="928"/>
      <c r="EB297" s="928"/>
      <c r="EC297" s="1337"/>
      <c r="ED297" s="1338"/>
      <c r="EE297" s="928"/>
      <c r="EF297" s="928"/>
      <c r="EG297" s="928"/>
      <c r="EH297" s="1337"/>
      <c r="EI297" s="928"/>
      <c r="EJ297" s="928"/>
      <c r="EK297" s="928"/>
      <c r="EL297" s="928"/>
      <c r="EM297" s="1337"/>
      <c r="EN297" s="928"/>
      <c r="EO297" s="928"/>
      <c r="EP297" s="928"/>
      <c r="EQ297" s="928"/>
      <c r="ER297" s="928"/>
      <c r="ES297" s="928"/>
      <c r="ET297" s="928"/>
      <c r="EU297" s="928"/>
      <c r="EV297" s="928"/>
      <c r="EW297" s="928"/>
      <c r="EX297" s="928"/>
      <c r="EY297" s="928"/>
      <c r="EZ297" s="928"/>
      <c r="FA297" s="928"/>
      <c r="FB297" s="928"/>
      <c r="FC297" s="928"/>
      <c r="FD297" s="928"/>
      <c r="FE297" s="928"/>
      <c r="FF297" s="928"/>
      <c r="FG297" s="928"/>
      <c r="FH297" s="1319"/>
      <c r="FI297" s="1319"/>
      <c r="FJ297" s="1605"/>
      <c r="FK297" s="1605"/>
      <c r="FL297" s="928"/>
      <c r="FM297" s="928"/>
      <c r="FN297" s="928"/>
      <c r="FO297" s="928"/>
      <c r="FP297" s="928"/>
      <c r="FQ297" s="928"/>
    </row>
    <row r="298" spans="1:173">
      <c r="A298" s="1344" t="s">
        <v>90</v>
      </c>
      <c r="B298" s="928"/>
      <c r="C298" s="928"/>
      <c r="D298" s="928"/>
      <c r="E298" s="928"/>
      <c r="F298" s="928"/>
      <c r="G298" s="928"/>
      <c r="H298" s="928"/>
      <c r="I298" s="1413">
        <v>442.8</v>
      </c>
      <c r="J298" s="1413"/>
      <c r="K298" s="1413">
        <v>1806.1</v>
      </c>
      <c r="L298" s="1413">
        <v>484.3</v>
      </c>
      <c r="M298" s="1413">
        <v>476.4</v>
      </c>
      <c r="N298" s="1413">
        <v>485.2</v>
      </c>
      <c r="O298" s="1413">
        <f>2007.6-L298-M298-N298</f>
        <v>561.70000000000005</v>
      </c>
      <c r="P298" s="1413">
        <f>SUM(L298:O298)</f>
        <v>2007.6000000000001</v>
      </c>
      <c r="Q298" s="1413">
        <v>503.6</v>
      </c>
      <c r="R298" s="1413">
        <v>557.79999999999995</v>
      </c>
      <c r="S298" s="1413">
        <v>516</v>
      </c>
      <c r="T298" s="1413">
        <f>2108.9-Q298-R298-S298</f>
        <v>531.50000000000023</v>
      </c>
      <c r="U298" s="1413">
        <f>SUM(Q298:T298)</f>
        <v>2108.9000000000005</v>
      </c>
      <c r="V298" s="1413">
        <v>562.70000000000005</v>
      </c>
      <c r="W298" s="1413">
        <v>635.20000000000005</v>
      </c>
      <c r="X298" s="1413">
        <v>630.79999999999995</v>
      </c>
      <c r="Y298" s="1413"/>
      <c r="Z298" s="1413">
        <f>'Cable cos'!I200</f>
        <v>2453.3442</v>
      </c>
      <c r="AA298" s="1413"/>
      <c r="AB298" s="1413"/>
      <c r="AC298" s="1413"/>
      <c r="AD298" s="1413"/>
      <c r="AE298" s="928"/>
      <c r="AF298" s="928"/>
      <c r="AG298" s="928"/>
      <c r="AH298" s="928"/>
      <c r="AI298" s="928"/>
      <c r="AJ298" s="928"/>
      <c r="AK298" s="928"/>
      <c r="AL298" s="928"/>
      <c r="AM298" s="928"/>
      <c r="AN298" s="928"/>
      <c r="AO298" s="928"/>
      <c r="AP298" s="928"/>
      <c r="AQ298" s="928"/>
      <c r="AR298" s="928"/>
      <c r="AS298" s="928"/>
      <c r="AT298" s="928"/>
      <c r="AU298" s="928"/>
      <c r="AV298" s="928"/>
      <c r="AW298" s="928"/>
      <c r="AX298" s="928"/>
      <c r="AY298" s="928"/>
      <c r="AZ298" s="928"/>
      <c r="BA298" s="928"/>
      <c r="BB298" s="928"/>
      <c r="BC298" s="928"/>
      <c r="BD298" s="928"/>
      <c r="BE298" s="1338"/>
      <c r="BF298" s="928"/>
      <c r="BG298" s="928"/>
      <c r="BH298" s="928"/>
      <c r="BI298" s="1337"/>
      <c r="BJ298" s="1338"/>
      <c r="BK298" s="928"/>
      <c r="BL298" s="928"/>
      <c r="BM298" s="928"/>
      <c r="BN298" s="1337"/>
      <c r="BO298" s="1338"/>
      <c r="BP298" s="928"/>
      <c r="BQ298" s="928"/>
      <c r="BR298" s="928"/>
      <c r="BS298" s="1337"/>
      <c r="BT298" s="1338"/>
      <c r="BU298" s="928"/>
      <c r="BV298" s="928"/>
      <c r="BW298" s="928"/>
      <c r="BX298" s="1337"/>
      <c r="BY298" s="928"/>
      <c r="BZ298" s="928"/>
      <c r="CA298" s="928"/>
      <c r="CB298" s="928"/>
      <c r="CC298" s="928"/>
      <c r="CD298" s="928"/>
      <c r="CE298" s="928"/>
      <c r="CF298" s="928"/>
      <c r="CG298" s="928"/>
      <c r="CH298" s="928"/>
      <c r="CI298" s="928"/>
      <c r="CJ298" s="928"/>
      <c r="CK298" s="928"/>
      <c r="CL298" s="928"/>
      <c r="CM298" s="928"/>
      <c r="CN298" s="928"/>
      <c r="CO298" s="928"/>
      <c r="CP298" s="928"/>
      <c r="CQ298" s="928"/>
      <c r="CR298" s="928"/>
      <c r="CS298" s="928"/>
      <c r="CT298" s="928"/>
      <c r="CU298" s="928"/>
      <c r="CV298" s="928"/>
      <c r="CW298" s="928"/>
      <c r="CX298" s="928"/>
      <c r="CY298" s="928"/>
      <c r="CZ298" s="928"/>
      <c r="DA298" s="928"/>
      <c r="DB298" s="928"/>
      <c r="DC298" s="928"/>
      <c r="DD298" s="928"/>
      <c r="DE298" s="928"/>
      <c r="DF298" s="928"/>
      <c r="DG298" s="928"/>
      <c r="DH298" s="928"/>
      <c r="DI298" s="928"/>
      <c r="DJ298" s="928"/>
      <c r="DK298" s="928"/>
      <c r="DL298" s="928"/>
      <c r="DM298" s="928"/>
      <c r="DN298" s="928"/>
      <c r="DO298" s="928"/>
      <c r="DP298" s="928"/>
      <c r="DQ298" s="928"/>
      <c r="DR298" s="928"/>
      <c r="DS298" s="928"/>
      <c r="DT298" s="928"/>
      <c r="DU298" s="928"/>
      <c r="DV298" s="928"/>
      <c r="DW298" s="928"/>
      <c r="DX298" s="928"/>
      <c r="DY298" s="1338"/>
      <c r="DZ298" s="928"/>
      <c r="EA298" s="928"/>
      <c r="EB298" s="928"/>
      <c r="EC298" s="1337"/>
      <c r="ED298" s="1338"/>
      <c r="EE298" s="928"/>
      <c r="EF298" s="928"/>
      <c r="EG298" s="928"/>
      <c r="EH298" s="1337"/>
      <c r="EI298" s="928"/>
      <c r="EJ298" s="928"/>
      <c r="EK298" s="928"/>
      <c r="EL298" s="928"/>
      <c r="EM298" s="1337"/>
      <c r="EN298" s="928"/>
      <c r="EO298" s="928"/>
      <c r="EP298" s="928"/>
      <c r="EQ298" s="928"/>
      <c r="ER298" s="928"/>
      <c r="ES298" s="928"/>
      <c r="ET298" s="928"/>
      <c r="EU298" s="928"/>
      <c r="EV298" s="928"/>
      <c r="EW298" s="928"/>
      <c r="EX298" s="928"/>
      <c r="EY298" s="928"/>
      <c r="EZ298" s="928"/>
      <c r="FA298" s="928"/>
      <c r="FB298" s="928"/>
      <c r="FC298" s="928"/>
      <c r="FD298" s="928"/>
      <c r="FE298" s="928"/>
      <c r="FF298" s="928"/>
      <c r="FG298" s="928"/>
      <c r="FH298" s="1319"/>
      <c r="FI298" s="1319"/>
      <c r="FJ298" s="1605"/>
      <c r="FK298" s="1605"/>
      <c r="FL298" s="928"/>
      <c r="FM298" s="928"/>
      <c r="FN298" s="928"/>
      <c r="FO298" s="928"/>
      <c r="FP298" s="928"/>
      <c r="FQ298" s="928"/>
    </row>
    <row r="299" spans="1:173">
      <c r="A299" s="1344" t="s">
        <v>155</v>
      </c>
      <c r="B299" s="928"/>
      <c r="C299" s="928"/>
      <c r="D299" s="928"/>
      <c r="E299" s="928"/>
      <c r="F299" s="928"/>
      <c r="G299" s="928"/>
      <c r="H299" s="928"/>
      <c r="I299" s="1413">
        <v>199.6</v>
      </c>
      <c r="J299" s="1413"/>
      <c r="K299" s="1413">
        <v>926.2</v>
      </c>
      <c r="L299" s="1413">
        <v>236</v>
      </c>
      <c r="M299" s="1413">
        <v>259.5</v>
      </c>
      <c r="N299" s="1413">
        <v>227.9</v>
      </c>
      <c r="O299" s="1413">
        <f>1065.6-L299-M299-N299</f>
        <v>342.19999999999993</v>
      </c>
      <c r="P299" s="1413">
        <f>SUM(L299:O299)</f>
        <v>1065.5999999999999</v>
      </c>
      <c r="Q299" s="1413">
        <v>274.89999999999998</v>
      </c>
      <c r="R299" s="1413">
        <v>275.60000000000002</v>
      </c>
      <c r="S299" s="1413">
        <v>235</v>
      </c>
      <c r="T299" s="1413">
        <f>1177.6-Q299-R299-S299</f>
        <v>392.09999999999991</v>
      </c>
      <c r="U299" s="1413">
        <f>SUM(Q299:T299)</f>
        <v>1177.5999999999999</v>
      </c>
      <c r="V299" s="1413">
        <v>328.8</v>
      </c>
      <c r="W299" s="1413">
        <v>344.2</v>
      </c>
      <c r="X299" s="1413">
        <v>323.3</v>
      </c>
      <c r="Y299" s="1413">
        <f>Z299-V299-W299-X299</f>
        <v>348.36191999999977</v>
      </c>
      <c r="Z299" s="1413">
        <f>'Cable cos'!I201</f>
        <v>1344.6619199999998</v>
      </c>
      <c r="AA299" s="1413"/>
      <c r="AB299" s="1413"/>
      <c r="AC299" s="1413"/>
      <c r="AD299" s="1413"/>
      <c r="AE299" s="928"/>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355"/>
      <c r="BF299" s="1254"/>
      <c r="BG299" s="1254"/>
      <c r="BH299" s="1254"/>
      <c r="BI299" s="1389"/>
      <c r="BJ299" s="1355"/>
      <c r="BK299" s="1254"/>
      <c r="BL299" s="1254"/>
      <c r="BM299" s="1254"/>
      <c r="BN299" s="1389"/>
      <c r="BO299" s="1355"/>
      <c r="BP299" s="1254"/>
      <c r="BQ299" s="1254"/>
      <c r="BR299" s="1254"/>
      <c r="BS299" s="1389"/>
      <c r="BT299" s="1355"/>
      <c r="BU299" s="1254"/>
      <c r="BV299" s="1254"/>
      <c r="BW299" s="1254"/>
      <c r="BX299" s="1389"/>
      <c r="BY299" s="1254"/>
      <c r="BZ299" s="1413"/>
      <c r="CA299" s="928"/>
      <c r="CB299" s="928"/>
      <c r="CC299" s="928"/>
      <c r="CD299" s="928"/>
      <c r="CE299" s="928"/>
      <c r="CF299" s="928"/>
      <c r="CG299" s="928"/>
      <c r="CH299" s="928"/>
      <c r="CI299" s="928"/>
      <c r="CJ299" s="928"/>
      <c r="CK299" s="928"/>
      <c r="CL299" s="928"/>
      <c r="CM299" s="928"/>
      <c r="CN299" s="928"/>
      <c r="CO299" s="928"/>
      <c r="CP299" s="928"/>
      <c r="CQ299" s="928"/>
      <c r="CR299" s="928"/>
      <c r="CS299" s="928"/>
      <c r="CT299" s="928"/>
      <c r="CU299" s="928"/>
      <c r="CV299" s="928"/>
      <c r="CW299" s="928"/>
      <c r="CX299" s="928"/>
      <c r="CY299" s="928"/>
      <c r="CZ299" s="928"/>
      <c r="DA299" s="928"/>
      <c r="DB299" s="928"/>
      <c r="DC299" s="928"/>
      <c r="DD299" s="928"/>
      <c r="DE299" s="928"/>
      <c r="DF299" s="928"/>
      <c r="DG299" s="928"/>
      <c r="DH299" s="928"/>
      <c r="DI299" s="928"/>
      <c r="DJ299" s="928"/>
      <c r="DK299" s="928"/>
      <c r="DL299" s="928"/>
      <c r="DM299" s="928"/>
      <c r="DN299" s="928"/>
      <c r="DO299" s="928"/>
      <c r="DP299" s="928"/>
      <c r="DQ299" s="928"/>
      <c r="DR299" s="928"/>
      <c r="DS299" s="928"/>
      <c r="DT299" s="928"/>
      <c r="DU299" s="928"/>
      <c r="DV299" s="928"/>
      <c r="DW299" s="928"/>
      <c r="DX299" s="928"/>
      <c r="DY299" s="1338"/>
      <c r="DZ299" s="928"/>
      <c r="EA299" s="928"/>
      <c r="EB299" s="928"/>
      <c r="EC299" s="1337"/>
      <c r="ED299" s="1338"/>
      <c r="EE299" s="928"/>
      <c r="EF299" s="928"/>
      <c r="EG299" s="928"/>
      <c r="EH299" s="1337"/>
      <c r="EI299" s="928"/>
      <c r="EJ299" s="928"/>
      <c r="EK299" s="928"/>
      <c r="EL299" s="928"/>
      <c r="EM299" s="1337"/>
      <c r="EN299" s="928"/>
      <c r="EO299" s="928"/>
      <c r="EP299" s="928"/>
      <c r="EQ299" s="928"/>
      <c r="ER299" s="928"/>
      <c r="ES299" s="928"/>
      <c r="ET299" s="928"/>
      <c r="EU299" s="928"/>
      <c r="EV299" s="928"/>
      <c r="EW299" s="928"/>
      <c r="EX299" s="928"/>
      <c r="EY299" s="928"/>
      <c r="EZ299" s="928"/>
      <c r="FA299" s="928"/>
      <c r="FB299" s="928"/>
      <c r="FC299" s="928"/>
      <c r="FD299" s="928"/>
      <c r="FE299" s="928"/>
      <c r="FF299" s="1254"/>
      <c r="FG299" s="928"/>
      <c r="FH299" s="1351"/>
      <c r="FI299" s="1319"/>
      <c r="FJ299" s="1612"/>
      <c r="FK299" s="1605"/>
      <c r="FL299" s="928"/>
      <c r="FM299" s="928"/>
      <c r="FN299" s="928"/>
      <c r="FO299" s="928"/>
      <c r="FP299" s="928"/>
      <c r="FQ299" s="928"/>
    </row>
    <row r="300" spans="1:173">
      <c r="A300" s="1206" t="s">
        <v>110</v>
      </c>
      <c r="B300" s="928"/>
      <c r="C300" s="928"/>
      <c r="D300" s="928"/>
      <c r="E300" s="928"/>
      <c r="F300" s="928"/>
      <c r="G300" s="928"/>
      <c r="H300" s="928"/>
      <c r="I300" s="1413">
        <v>182.4</v>
      </c>
      <c r="J300" s="1413"/>
      <c r="K300" s="1413">
        <v>573.4</v>
      </c>
      <c r="L300" s="1413">
        <v>208.6</v>
      </c>
      <c r="M300" s="1413">
        <v>281.7</v>
      </c>
      <c r="N300" s="1413">
        <v>251.3</v>
      </c>
      <c r="O300" s="1413">
        <f>955.6-L300-M300-N300</f>
        <v>214</v>
      </c>
      <c r="P300" s="1413">
        <f>SUM(L300:O300)</f>
        <v>955.59999999999991</v>
      </c>
      <c r="Q300" s="1413">
        <v>177.3</v>
      </c>
      <c r="R300" s="1413">
        <v>281</v>
      </c>
      <c r="S300" s="1413">
        <v>195.2</v>
      </c>
      <c r="T300" s="1413">
        <f>820.7-Q300-R300-S300</f>
        <v>167.2000000000001</v>
      </c>
      <c r="U300" s="1413">
        <f>SUM(Q300:T300)</f>
        <v>820.7</v>
      </c>
      <c r="V300" s="1413">
        <v>195.9</v>
      </c>
      <c r="W300" s="1413">
        <v>293.7</v>
      </c>
      <c r="X300" s="1413">
        <v>332.3</v>
      </c>
      <c r="Y300" s="1413"/>
      <c r="Z300" s="1413">
        <f>'Cable cos'!I202</f>
        <v>1137.5385974999992</v>
      </c>
      <c r="AA300" s="1413"/>
      <c r="AB300" s="1413"/>
      <c r="AC300" s="1413"/>
      <c r="AD300" s="1413"/>
      <c r="AE300" s="928"/>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355"/>
      <c r="BF300" s="1254"/>
      <c r="BG300" s="1254"/>
      <c r="BH300" s="1254"/>
      <c r="BI300" s="1389"/>
      <c r="BJ300" s="1355"/>
      <c r="BK300" s="1254"/>
      <c r="BL300" s="1254"/>
      <c r="BM300" s="1254"/>
      <c r="BN300" s="1389"/>
      <c r="BO300" s="1355"/>
      <c r="BP300" s="1254"/>
      <c r="BQ300" s="1254"/>
      <c r="BR300" s="1254"/>
      <c r="BS300" s="1389"/>
      <c r="BT300" s="1355"/>
      <c r="BU300" s="1254"/>
      <c r="BV300" s="1254"/>
      <c r="BW300" s="1254"/>
      <c r="BX300" s="1389"/>
      <c r="BY300" s="1254"/>
      <c r="BZ300" s="1413"/>
      <c r="CA300" s="928"/>
      <c r="CB300" s="928"/>
      <c r="CC300" s="928"/>
      <c r="CD300" s="928"/>
      <c r="CE300" s="928"/>
      <c r="CF300" s="928"/>
      <c r="CG300" s="928"/>
      <c r="CH300" s="928"/>
      <c r="CI300" s="928"/>
      <c r="CJ300" s="928"/>
      <c r="CK300" s="928"/>
      <c r="CL300" s="928"/>
      <c r="CM300" s="928"/>
      <c r="CN300" s="928"/>
      <c r="CO300" s="928"/>
      <c r="CP300" s="928"/>
      <c r="CQ300" s="928"/>
      <c r="CR300" s="928"/>
      <c r="CS300" s="928"/>
      <c r="CT300" s="928"/>
      <c r="CU300" s="928"/>
      <c r="CV300" s="928"/>
      <c r="CW300" s="928"/>
      <c r="CX300" s="928"/>
      <c r="CY300" s="928"/>
      <c r="CZ300" s="928"/>
      <c r="DA300" s="928"/>
      <c r="DB300" s="928"/>
      <c r="DC300" s="928"/>
      <c r="DD300" s="928"/>
      <c r="DE300" s="928"/>
      <c r="DF300" s="928"/>
      <c r="DG300" s="928"/>
      <c r="DH300" s="928"/>
      <c r="DI300" s="928"/>
      <c r="DJ300" s="928"/>
      <c r="DK300" s="928"/>
      <c r="DL300" s="928"/>
      <c r="DM300" s="928"/>
      <c r="DN300" s="928"/>
      <c r="DO300" s="928"/>
      <c r="DP300" s="928"/>
      <c r="DQ300" s="928"/>
      <c r="DR300" s="928"/>
      <c r="DS300" s="928"/>
      <c r="DT300" s="928"/>
      <c r="DU300" s="928"/>
      <c r="DV300" s="928"/>
      <c r="DW300" s="928"/>
      <c r="DX300" s="928"/>
      <c r="DY300" s="1338"/>
      <c r="DZ300" s="928"/>
      <c r="EA300" s="928"/>
      <c r="EB300" s="928"/>
      <c r="EC300" s="1337"/>
      <c r="ED300" s="1338"/>
      <c r="EE300" s="928"/>
      <c r="EF300" s="928"/>
      <c r="EG300" s="928"/>
      <c r="EH300" s="1337"/>
      <c r="EI300" s="928"/>
      <c r="EJ300" s="928"/>
      <c r="EK300" s="928"/>
      <c r="EL300" s="928"/>
      <c r="EM300" s="1337"/>
      <c r="EN300" s="928"/>
      <c r="EO300" s="928"/>
      <c r="EP300" s="928"/>
      <c r="EQ300" s="928"/>
      <c r="ER300" s="928"/>
      <c r="ES300" s="928"/>
      <c r="ET300" s="928"/>
      <c r="EU300" s="928"/>
      <c r="EV300" s="928"/>
      <c r="EW300" s="928"/>
      <c r="EX300" s="928"/>
      <c r="EY300" s="928"/>
      <c r="EZ300" s="928"/>
      <c r="FA300" s="928"/>
      <c r="FB300" s="928"/>
      <c r="FC300" s="928"/>
      <c r="FD300" s="928"/>
      <c r="FE300" s="928"/>
      <c r="FF300" s="1254"/>
      <c r="FG300" s="928"/>
      <c r="FH300" s="1351"/>
      <c r="FI300" s="1319"/>
      <c r="FJ300" s="1612"/>
      <c r="FK300" s="1605"/>
      <c r="FL300" s="928"/>
      <c r="FM300" s="928"/>
      <c r="FN300" s="928"/>
      <c r="FO300" s="928"/>
      <c r="FP300" s="928"/>
      <c r="FQ300" s="928"/>
    </row>
    <row r="301" spans="1:173">
      <c r="A301" s="1484" t="s">
        <v>1510</v>
      </c>
      <c r="B301" s="1446"/>
      <c r="C301" s="1446"/>
      <c r="D301" s="1446"/>
      <c r="E301" s="1446"/>
      <c r="F301" s="1446"/>
      <c r="G301" s="1446"/>
      <c r="H301" s="1446"/>
      <c r="I301" s="1035"/>
      <c r="J301" s="1035"/>
      <c r="K301" s="1035"/>
      <c r="L301" s="1035"/>
      <c r="M301" s="1035"/>
      <c r="N301" s="1035"/>
      <c r="O301" s="1035"/>
      <c r="P301" s="1035"/>
      <c r="Q301" s="1035"/>
      <c r="R301" s="1035"/>
      <c r="S301" s="1035"/>
      <c r="T301" s="1035"/>
      <c r="U301" s="1035"/>
      <c r="V301" s="1035"/>
      <c r="W301" s="1035"/>
      <c r="X301" s="1035">
        <v>157.30000000000001</v>
      </c>
      <c r="Y301" s="1035">
        <v>430.8</v>
      </c>
      <c r="Z301" s="1035">
        <f>'Cable cos'!I203</f>
        <v>588.1</v>
      </c>
      <c r="AA301" s="1413"/>
      <c r="AB301" s="1413"/>
      <c r="AC301" s="1413"/>
      <c r="AD301" s="1413"/>
      <c r="AE301" s="928"/>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355"/>
      <c r="BF301" s="1254"/>
      <c r="BG301" s="1254"/>
      <c r="BH301" s="1254"/>
      <c r="BI301" s="1389"/>
      <c r="BJ301" s="1355"/>
      <c r="BK301" s="1254"/>
      <c r="BL301" s="1254"/>
      <c r="BM301" s="1254"/>
      <c r="BN301" s="1389"/>
      <c r="BO301" s="1355"/>
      <c r="BP301" s="1254"/>
      <c r="BQ301" s="1254"/>
      <c r="BR301" s="1254"/>
      <c r="BS301" s="1389"/>
      <c r="BT301" s="1355"/>
      <c r="BU301" s="1254"/>
      <c r="BV301" s="1254"/>
      <c r="BW301" s="1254"/>
      <c r="BX301" s="1389"/>
      <c r="BY301" s="1254"/>
      <c r="BZ301" s="1413"/>
      <c r="CA301" s="928"/>
      <c r="CB301" s="928"/>
      <c r="CC301" s="928"/>
      <c r="CD301" s="928"/>
      <c r="CE301" s="928"/>
      <c r="CF301" s="928"/>
      <c r="CG301" s="928"/>
      <c r="CH301" s="928"/>
      <c r="CI301" s="928"/>
      <c r="CJ301" s="928"/>
      <c r="CK301" s="928"/>
      <c r="CL301" s="928"/>
      <c r="CM301" s="928"/>
      <c r="CN301" s="928"/>
      <c r="CO301" s="928"/>
      <c r="CP301" s="928"/>
      <c r="CQ301" s="928"/>
      <c r="CR301" s="928"/>
      <c r="CS301" s="928"/>
      <c r="CT301" s="928"/>
      <c r="CU301" s="928"/>
      <c r="CV301" s="928"/>
      <c r="CW301" s="928"/>
      <c r="CX301" s="928"/>
      <c r="CY301" s="928"/>
      <c r="CZ301" s="928"/>
      <c r="DA301" s="928"/>
      <c r="DB301" s="928"/>
      <c r="DC301" s="928"/>
      <c r="DD301" s="928"/>
      <c r="DE301" s="928"/>
      <c r="DF301" s="928"/>
      <c r="DG301" s="928"/>
      <c r="DH301" s="928"/>
      <c r="DI301" s="928"/>
      <c r="DJ301" s="928"/>
      <c r="DK301" s="928"/>
      <c r="DL301" s="928"/>
      <c r="DM301" s="928"/>
      <c r="DN301" s="928"/>
      <c r="DO301" s="928"/>
      <c r="DP301" s="928"/>
      <c r="DQ301" s="928"/>
      <c r="DR301" s="928"/>
      <c r="DS301" s="928"/>
      <c r="DT301" s="928"/>
      <c r="DU301" s="928"/>
      <c r="DV301" s="928"/>
      <c r="DW301" s="928"/>
      <c r="DX301" s="928"/>
      <c r="DY301" s="1338"/>
      <c r="DZ301" s="928"/>
      <c r="EA301" s="928"/>
      <c r="EB301" s="928"/>
      <c r="EC301" s="1337"/>
      <c r="ED301" s="1338"/>
      <c r="EE301" s="928"/>
      <c r="EF301" s="928"/>
      <c r="EG301" s="928"/>
      <c r="EH301" s="1337"/>
      <c r="EI301" s="928"/>
      <c r="EJ301" s="928"/>
      <c r="EK301" s="928"/>
      <c r="EL301" s="928"/>
      <c r="EM301" s="1337"/>
      <c r="EN301" s="928"/>
      <c r="EO301" s="928"/>
      <c r="EP301" s="928"/>
      <c r="EQ301" s="928"/>
      <c r="ER301" s="928"/>
      <c r="ES301" s="928"/>
      <c r="ET301" s="928"/>
      <c r="EU301" s="928"/>
      <c r="EV301" s="928"/>
      <c r="EW301" s="928"/>
      <c r="EX301" s="928"/>
      <c r="EY301" s="928"/>
      <c r="EZ301" s="928"/>
      <c r="FA301" s="928"/>
      <c r="FB301" s="928"/>
      <c r="FC301" s="928"/>
      <c r="FD301" s="928"/>
      <c r="FE301" s="928"/>
      <c r="FF301" s="1254"/>
      <c r="FG301" s="928"/>
      <c r="FH301" s="1351"/>
      <c r="FI301" s="1319"/>
      <c r="FJ301" s="1612"/>
      <c r="FK301" s="1605"/>
      <c r="FL301" s="928"/>
      <c r="FM301" s="928"/>
      <c r="FN301" s="928"/>
      <c r="FO301" s="928"/>
      <c r="FP301" s="928"/>
      <c r="FQ301" s="928"/>
    </row>
    <row r="302" spans="1:173">
      <c r="A302" s="1344" t="s">
        <v>98</v>
      </c>
      <c r="B302" s="928"/>
      <c r="C302" s="928"/>
      <c r="D302" s="928"/>
      <c r="E302" s="928"/>
      <c r="F302" s="928"/>
      <c r="G302" s="928"/>
      <c r="H302" s="928"/>
      <c r="I302" s="1413">
        <f>SUM(I297:I300)</f>
        <v>1251.9000000000001</v>
      </c>
      <c r="J302" s="1413"/>
      <c r="K302" s="1413">
        <f>SUM(K297:K300)</f>
        <v>5002.8999999999996</v>
      </c>
      <c r="L302" s="1413">
        <f>SUM(L297:L300)</f>
        <v>1402</v>
      </c>
      <c r="M302" s="1413">
        <f>SUM(M297:M300)</f>
        <v>1525.7</v>
      </c>
      <c r="N302" s="1413">
        <f>SUM(N297:N300)</f>
        <v>1487.5</v>
      </c>
      <c r="O302" s="1413">
        <f>SUM(O297:O300)</f>
        <v>1647.3999999999996</v>
      </c>
      <c r="P302" s="1413">
        <f>'Cable cos'!G206</f>
        <v>6062.6</v>
      </c>
      <c r="Q302" s="1413">
        <f t="shared" ref="Q302:X302" si="363">SUM(Q297:Q300)</f>
        <v>1481.3999999999999</v>
      </c>
      <c r="R302" s="1413">
        <f t="shared" si="363"/>
        <v>1646.4</v>
      </c>
      <c r="S302" s="1413">
        <f t="shared" si="363"/>
        <v>1486.5</v>
      </c>
      <c r="T302" s="1413">
        <f t="shared" si="363"/>
        <v>1759.1000000000001</v>
      </c>
      <c r="U302" s="1413">
        <f t="shared" si="363"/>
        <v>6373.4000000000005</v>
      </c>
      <c r="V302" s="1413">
        <f t="shared" si="363"/>
        <v>1731.9</v>
      </c>
      <c r="W302" s="1413">
        <f t="shared" si="363"/>
        <v>1945.9</v>
      </c>
      <c r="X302" s="1413">
        <f t="shared" si="363"/>
        <v>1950.6999999999998</v>
      </c>
      <c r="Y302" s="1413"/>
      <c r="Z302" s="1413">
        <f>SUM(Z297:Z301)</f>
        <v>8245.2999999999975</v>
      </c>
      <c r="AA302" s="1413"/>
      <c r="AB302" s="1413"/>
      <c r="AC302" s="1413"/>
      <c r="AD302" s="1413"/>
      <c r="AE302" s="928"/>
      <c r="AF302" s="928"/>
      <c r="AG302" s="928"/>
      <c r="AH302" s="928"/>
      <c r="AI302" s="928"/>
      <c r="AJ302" s="928"/>
      <c r="AK302" s="928"/>
      <c r="AL302" s="928"/>
      <c r="AM302" s="928"/>
      <c r="AN302" s="928"/>
      <c r="AO302" s="928"/>
      <c r="AP302" s="928"/>
      <c r="AQ302" s="928"/>
      <c r="AR302" s="928"/>
      <c r="AS302" s="928"/>
      <c r="AT302" s="928"/>
      <c r="AU302" s="928"/>
      <c r="AV302" s="928"/>
      <c r="AW302" s="928"/>
      <c r="AX302" s="928"/>
      <c r="AY302" s="928"/>
      <c r="AZ302" s="928"/>
      <c r="BA302" s="928"/>
      <c r="BB302" s="928"/>
      <c r="BC302" s="928"/>
      <c r="BD302" s="928"/>
      <c r="BE302" s="1338"/>
      <c r="BF302" s="928"/>
      <c r="BG302" s="928"/>
      <c r="BH302" s="928"/>
      <c r="BI302" s="1337"/>
      <c r="BJ302" s="1338"/>
      <c r="BK302" s="928"/>
      <c r="BL302" s="928"/>
      <c r="BM302" s="928"/>
      <c r="BN302" s="1337"/>
      <c r="BO302" s="1338"/>
      <c r="BP302" s="928"/>
      <c r="BQ302" s="928"/>
      <c r="BR302" s="928"/>
      <c r="BS302" s="1337"/>
      <c r="BT302" s="1338"/>
      <c r="BU302" s="928"/>
      <c r="BV302" s="928"/>
      <c r="BW302" s="928"/>
      <c r="BX302" s="1337"/>
      <c r="BY302" s="928"/>
      <c r="BZ302" s="928"/>
      <c r="CA302" s="928"/>
      <c r="CB302" s="928"/>
      <c r="CC302" s="928"/>
      <c r="CD302" s="928"/>
      <c r="CE302" s="928"/>
      <c r="CF302" s="928"/>
      <c r="CG302" s="928"/>
      <c r="CH302" s="928"/>
      <c r="CI302" s="928"/>
      <c r="CJ302" s="928"/>
      <c r="CK302" s="1316">
        <f>V302/Q302-1</f>
        <v>0.16909680032401808</v>
      </c>
      <c r="CL302" s="1316">
        <f>W302/R302-1</f>
        <v>0.18191205053449955</v>
      </c>
      <c r="CM302" s="1316">
        <f>(X302-X301)/S302-1</f>
        <v>0.20645812310797163</v>
      </c>
      <c r="CN302" s="1316"/>
      <c r="CO302" s="928"/>
      <c r="CP302" s="928"/>
      <c r="CQ302" s="928"/>
      <c r="CR302" s="928"/>
      <c r="CS302" s="928"/>
      <c r="CT302" s="928"/>
      <c r="CU302" s="928"/>
      <c r="CV302" s="928"/>
      <c r="CW302" s="928"/>
      <c r="CX302" s="928"/>
      <c r="CY302" s="928"/>
      <c r="CZ302" s="928"/>
      <c r="DA302" s="928"/>
      <c r="DB302" s="928"/>
      <c r="DC302" s="928"/>
      <c r="DD302" s="928"/>
      <c r="DE302" s="928"/>
      <c r="DF302" s="928"/>
      <c r="DG302" s="928"/>
      <c r="DH302" s="928"/>
      <c r="DI302" s="928"/>
      <c r="DJ302" s="928"/>
      <c r="DK302" s="928"/>
      <c r="DL302" s="928"/>
      <c r="DM302" s="928"/>
      <c r="DN302" s="928"/>
      <c r="DO302" s="928"/>
      <c r="DP302" s="928"/>
      <c r="DQ302" s="928"/>
      <c r="DR302" s="928"/>
      <c r="DS302" s="928"/>
      <c r="DT302" s="928"/>
      <c r="DU302" s="928"/>
      <c r="DV302" s="928"/>
      <c r="DW302" s="928"/>
      <c r="DX302" s="928"/>
      <c r="DY302" s="1338"/>
      <c r="DZ302" s="928"/>
      <c r="EA302" s="928"/>
      <c r="EB302" s="928"/>
      <c r="EC302" s="1337"/>
      <c r="ED302" s="1338"/>
      <c r="EE302" s="928"/>
      <c r="EF302" s="928"/>
      <c r="EG302" s="928"/>
      <c r="EH302" s="1337"/>
      <c r="EI302" s="928"/>
      <c r="EJ302" s="928"/>
      <c r="EK302" s="928"/>
      <c r="EL302" s="928"/>
      <c r="EM302" s="1337"/>
      <c r="EN302" s="928"/>
      <c r="EO302" s="928"/>
      <c r="EP302" s="928"/>
      <c r="EQ302" s="928"/>
      <c r="ER302" s="928"/>
      <c r="ES302" s="928"/>
      <c r="ET302" s="928"/>
      <c r="EU302" s="928"/>
      <c r="EV302" s="928"/>
      <c r="EW302" s="928"/>
      <c r="EX302" s="928"/>
      <c r="EY302" s="928"/>
      <c r="EZ302" s="928"/>
      <c r="FA302" s="928"/>
      <c r="FB302" s="928"/>
      <c r="FC302" s="928"/>
      <c r="FD302" s="928"/>
      <c r="FE302" s="928"/>
      <c r="FF302" s="928"/>
      <c r="FG302" s="928"/>
      <c r="FH302" s="1319"/>
      <c r="FI302" s="1319"/>
      <c r="FJ302" s="1605"/>
      <c r="FK302" s="1605"/>
      <c r="FL302" s="928"/>
      <c r="FM302" s="928"/>
      <c r="FN302" s="928"/>
      <c r="FO302" s="928"/>
      <c r="FP302" s="928"/>
      <c r="FQ302" s="928"/>
    </row>
    <row r="303" spans="1:173">
      <c r="A303" s="1206" t="s">
        <v>634</v>
      </c>
      <c r="B303" s="928"/>
      <c r="C303" s="928"/>
      <c r="D303" s="928"/>
      <c r="E303" s="928"/>
      <c r="F303" s="928"/>
      <c r="G303" s="928"/>
      <c r="H303" s="928"/>
      <c r="I303" s="1339">
        <f>I304-I302</f>
        <v>-50.300000000000182</v>
      </c>
      <c r="J303" s="928"/>
      <c r="K303" s="1339"/>
      <c r="L303" s="1339">
        <f>L304-L302</f>
        <v>-71.5</v>
      </c>
      <c r="M303" s="1339">
        <f>M304-M302</f>
        <v>-52.799999999999955</v>
      </c>
      <c r="N303" s="1339">
        <f>N304-N302</f>
        <v>-57.200000000000045</v>
      </c>
      <c r="O303" s="1339">
        <f>-249.8-L303-M303-N303</f>
        <v>-68.300000000000011</v>
      </c>
      <c r="P303" s="1339">
        <f>'Cable cos'!G207</f>
        <v>-249.80000000000109</v>
      </c>
      <c r="Q303" s="1339">
        <f t="shared" ref="Q303:X303" si="364">Q304-Q302</f>
        <v>-63.899999999999864</v>
      </c>
      <c r="R303" s="1339">
        <f t="shared" si="364"/>
        <v>-67.800000000000182</v>
      </c>
      <c r="S303" s="1339">
        <f t="shared" si="364"/>
        <v>-7.4000000000000909</v>
      </c>
      <c r="T303" s="1339">
        <f t="shared" si="364"/>
        <v>-102.49999999999977</v>
      </c>
      <c r="U303" s="1339">
        <f t="shared" si="364"/>
        <v>-241.60000000000036</v>
      </c>
      <c r="V303" s="1339">
        <f t="shared" si="364"/>
        <v>-104.70000000000005</v>
      </c>
      <c r="W303" s="1339">
        <f t="shared" si="364"/>
        <v>-167.70000000000005</v>
      </c>
      <c r="X303" s="1339">
        <f t="shared" si="364"/>
        <v>30.900000000000091</v>
      </c>
      <c r="Y303" s="1339"/>
      <c r="Z303" s="1413">
        <f>'Cable cos'!I207</f>
        <v>-362.40000000000055</v>
      </c>
      <c r="AA303" s="1413"/>
      <c r="AB303" s="1413"/>
      <c r="AC303" s="1413"/>
      <c r="AD303" s="1413"/>
      <c r="AE303" s="928"/>
      <c r="AF303" s="928"/>
      <c r="AG303" s="928"/>
      <c r="AH303" s="928"/>
      <c r="AI303" s="928"/>
      <c r="AJ303" s="928"/>
      <c r="AK303" s="928"/>
      <c r="AL303" s="928"/>
      <c r="AM303" s="928"/>
      <c r="AN303" s="928"/>
      <c r="AO303" s="928"/>
      <c r="AP303" s="928"/>
      <c r="AQ303" s="928"/>
      <c r="AR303" s="928"/>
      <c r="AS303" s="928"/>
      <c r="AT303" s="928"/>
      <c r="AU303" s="928"/>
      <c r="AV303" s="928"/>
      <c r="AW303" s="928"/>
      <c r="AX303" s="928"/>
      <c r="AY303" s="928"/>
      <c r="AZ303" s="928"/>
      <c r="BA303" s="928"/>
      <c r="BB303" s="928"/>
      <c r="BC303" s="928"/>
      <c r="BD303" s="928"/>
      <c r="BE303" s="1338"/>
      <c r="BF303" s="928"/>
      <c r="BG303" s="928"/>
      <c r="BH303" s="928"/>
      <c r="BI303" s="1337"/>
      <c r="BJ303" s="1338"/>
      <c r="BK303" s="928"/>
      <c r="BL303" s="928"/>
      <c r="BM303" s="928"/>
      <c r="BN303" s="1337"/>
      <c r="BO303" s="1338"/>
      <c r="BP303" s="928"/>
      <c r="BQ303" s="928"/>
      <c r="BR303" s="928"/>
      <c r="BS303" s="1337"/>
      <c r="BT303" s="1338"/>
      <c r="BU303" s="928"/>
      <c r="BV303" s="928"/>
      <c r="BW303" s="928"/>
      <c r="BX303" s="1337"/>
      <c r="BY303" s="928"/>
      <c r="BZ303" s="928"/>
      <c r="CA303" s="928"/>
      <c r="CB303" s="928"/>
      <c r="CC303" s="928"/>
      <c r="CD303" s="928"/>
      <c r="CE303" s="928"/>
      <c r="CF303" s="928"/>
      <c r="CG303" s="928"/>
      <c r="CH303" s="928"/>
      <c r="CI303" s="928"/>
      <c r="CJ303" s="928"/>
      <c r="CK303" s="928"/>
      <c r="CL303" s="928"/>
      <c r="CM303" s="928"/>
      <c r="CN303" s="928"/>
      <c r="CO303" s="928"/>
      <c r="CP303" s="928"/>
      <c r="CQ303" s="928"/>
      <c r="CR303" s="928"/>
      <c r="CS303" s="928"/>
      <c r="CT303" s="928"/>
      <c r="CU303" s="928"/>
      <c r="CV303" s="928"/>
      <c r="CW303" s="928"/>
      <c r="CX303" s="928"/>
      <c r="CY303" s="928"/>
      <c r="CZ303" s="928"/>
      <c r="DA303" s="928"/>
      <c r="DB303" s="928"/>
      <c r="DC303" s="928"/>
      <c r="DD303" s="928"/>
      <c r="DE303" s="928"/>
      <c r="DF303" s="928"/>
      <c r="DG303" s="928"/>
      <c r="DH303" s="928"/>
      <c r="DI303" s="928"/>
      <c r="DJ303" s="928"/>
      <c r="DK303" s="928"/>
      <c r="DL303" s="928"/>
      <c r="DM303" s="928"/>
      <c r="DN303" s="928"/>
      <c r="DO303" s="928"/>
      <c r="DP303" s="928"/>
      <c r="DQ303" s="928"/>
      <c r="DR303" s="928"/>
      <c r="DS303" s="928"/>
      <c r="DT303" s="928"/>
      <c r="DU303" s="928"/>
      <c r="DV303" s="928"/>
      <c r="DW303" s="928"/>
      <c r="DX303" s="928"/>
      <c r="DY303" s="1338"/>
      <c r="DZ303" s="928"/>
      <c r="EA303" s="928"/>
      <c r="EB303" s="928"/>
      <c r="EC303" s="1337"/>
      <c r="ED303" s="1338"/>
      <c r="EE303" s="928"/>
      <c r="EF303" s="928"/>
      <c r="EG303" s="928"/>
      <c r="EH303" s="1337"/>
      <c r="EI303" s="928"/>
      <c r="EJ303" s="928"/>
      <c r="EK303" s="928"/>
      <c r="EL303" s="928"/>
      <c r="EM303" s="1337"/>
      <c r="EN303" s="928"/>
      <c r="EO303" s="928"/>
      <c r="EP303" s="928"/>
      <c r="EQ303" s="928"/>
      <c r="ER303" s="928"/>
      <c r="ES303" s="928"/>
      <c r="ET303" s="928"/>
      <c r="EU303" s="928"/>
      <c r="EV303" s="928"/>
      <c r="EW303" s="928"/>
      <c r="EX303" s="928"/>
      <c r="EY303" s="928"/>
      <c r="EZ303" s="928"/>
      <c r="FA303" s="928"/>
      <c r="FB303" s="928"/>
      <c r="FC303" s="928"/>
      <c r="FD303" s="928"/>
      <c r="FE303" s="928"/>
      <c r="FF303" s="928"/>
      <c r="FG303" s="928"/>
      <c r="FH303" s="1319"/>
      <c r="FI303" s="1319"/>
      <c r="FJ303" s="1605"/>
      <c r="FK303" s="1605"/>
      <c r="FL303" s="928"/>
      <c r="FM303" s="928"/>
      <c r="FN303" s="928"/>
      <c r="FO303" s="928"/>
      <c r="FP303" s="928"/>
      <c r="FQ303" s="928"/>
    </row>
    <row r="304" spans="1:173">
      <c r="A304" s="1206" t="s">
        <v>57</v>
      </c>
      <c r="B304" s="928"/>
      <c r="C304" s="928"/>
      <c r="D304" s="928"/>
      <c r="E304" s="928"/>
      <c r="F304" s="928"/>
      <c r="G304" s="928"/>
      <c r="H304" s="928"/>
      <c r="I304" s="1339">
        <f>I26</f>
        <v>1201.5999999999999</v>
      </c>
      <c r="J304" s="928"/>
      <c r="K304" s="1339"/>
      <c r="L304" s="1339">
        <f t="shared" ref="L304:Y304" si="365">L26</f>
        <v>1330.5</v>
      </c>
      <c r="M304" s="1339">
        <f t="shared" si="365"/>
        <v>1472.9</v>
      </c>
      <c r="N304" s="1339">
        <f t="shared" si="365"/>
        <v>1430.3</v>
      </c>
      <c r="O304" s="1339">
        <f t="shared" si="365"/>
        <v>1579.1</v>
      </c>
      <c r="P304" s="1339">
        <f t="shared" si="365"/>
        <v>5812.7999999999993</v>
      </c>
      <c r="Q304" s="1339">
        <f t="shared" si="365"/>
        <v>1417.5</v>
      </c>
      <c r="R304" s="1339">
        <f t="shared" si="365"/>
        <v>1578.6</v>
      </c>
      <c r="S304" s="1339">
        <f t="shared" si="365"/>
        <v>1479.1</v>
      </c>
      <c r="T304" s="1339">
        <f t="shared" si="365"/>
        <v>1656.6000000000004</v>
      </c>
      <c r="U304" s="1339">
        <f t="shared" si="365"/>
        <v>6131.8</v>
      </c>
      <c r="V304" s="1339">
        <f t="shared" si="365"/>
        <v>1627.2</v>
      </c>
      <c r="W304" s="1339">
        <f t="shared" si="365"/>
        <v>1778.2</v>
      </c>
      <c r="X304" s="1339">
        <f t="shared" si="365"/>
        <v>1981.6</v>
      </c>
      <c r="Y304" s="1339">
        <f t="shared" si="365"/>
        <v>2495.9</v>
      </c>
      <c r="Z304" s="1413">
        <f>Z302+Z303</f>
        <v>7882.8999999999969</v>
      </c>
      <c r="AA304" s="1413"/>
      <c r="AB304" s="1413"/>
      <c r="AC304" s="1413"/>
      <c r="AD304" s="1413"/>
      <c r="AE304" s="928"/>
      <c r="AF304" s="928"/>
      <c r="AG304" s="928"/>
      <c r="AH304" s="928"/>
      <c r="AI304" s="928"/>
      <c r="AJ304" s="928"/>
      <c r="AK304" s="928"/>
      <c r="AL304" s="928"/>
      <c r="AM304" s="928"/>
      <c r="AN304" s="928"/>
      <c r="AO304" s="928"/>
      <c r="AP304" s="928"/>
      <c r="AQ304" s="928"/>
      <c r="AR304" s="928"/>
      <c r="AS304" s="928"/>
      <c r="AT304" s="928"/>
      <c r="AU304" s="928"/>
      <c r="AV304" s="928"/>
      <c r="AW304" s="928"/>
      <c r="AX304" s="928"/>
      <c r="AY304" s="928"/>
      <c r="AZ304" s="928"/>
      <c r="BA304" s="928"/>
      <c r="BB304" s="928"/>
      <c r="BC304" s="928"/>
      <c r="BD304" s="928"/>
      <c r="BE304" s="1338"/>
      <c r="BF304" s="928"/>
      <c r="BG304" s="928"/>
      <c r="BH304" s="928"/>
      <c r="BI304" s="1337"/>
      <c r="BJ304" s="1338"/>
      <c r="BK304" s="928"/>
      <c r="BL304" s="928"/>
      <c r="BM304" s="928"/>
      <c r="BN304" s="1337"/>
      <c r="BO304" s="1338"/>
      <c r="BP304" s="928"/>
      <c r="BQ304" s="928"/>
      <c r="BR304" s="928"/>
      <c r="BS304" s="1337"/>
      <c r="BT304" s="1338"/>
      <c r="BU304" s="928"/>
      <c r="BV304" s="928"/>
      <c r="BW304" s="928"/>
      <c r="BX304" s="1337"/>
      <c r="BY304" s="928"/>
      <c r="BZ304" s="928"/>
      <c r="CA304" s="928"/>
      <c r="CB304" s="928"/>
      <c r="CC304" s="928"/>
      <c r="CD304" s="928"/>
      <c r="CE304" s="928"/>
      <c r="CF304" s="928"/>
      <c r="CG304" s="928"/>
      <c r="CH304" s="928"/>
      <c r="CI304" s="928"/>
      <c r="CJ304" s="928"/>
      <c r="CK304" s="928"/>
      <c r="CL304" s="928"/>
      <c r="CM304" s="928"/>
      <c r="CN304" s="928"/>
      <c r="CO304" s="928"/>
      <c r="CP304" s="928"/>
      <c r="CQ304" s="928"/>
      <c r="CR304" s="928"/>
      <c r="CS304" s="928"/>
      <c r="CT304" s="928"/>
      <c r="CU304" s="928"/>
      <c r="CV304" s="928"/>
      <c r="CW304" s="928"/>
      <c r="CX304" s="928"/>
      <c r="CY304" s="928"/>
      <c r="CZ304" s="928"/>
      <c r="DA304" s="928"/>
      <c r="DB304" s="928"/>
      <c r="DC304" s="928"/>
      <c r="DD304" s="928"/>
      <c r="DE304" s="928"/>
      <c r="DF304" s="928"/>
      <c r="DG304" s="928"/>
      <c r="DH304" s="928"/>
      <c r="DI304" s="928"/>
      <c r="DJ304" s="928"/>
      <c r="DK304" s="928"/>
      <c r="DL304" s="928"/>
      <c r="DM304" s="928"/>
      <c r="DN304" s="928"/>
      <c r="DO304" s="928"/>
      <c r="DP304" s="928"/>
      <c r="DQ304" s="928"/>
      <c r="DR304" s="928"/>
      <c r="DS304" s="928"/>
      <c r="DT304" s="928"/>
      <c r="DU304" s="928"/>
      <c r="DV304" s="928"/>
      <c r="DW304" s="928"/>
      <c r="DX304" s="928"/>
      <c r="DY304" s="1338"/>
      <c r="DZ304" s="928"/>
      <c r="EA304" s="928"/>
      <c r="EB304" s="928"/>
      <c r="EC304" s="1337"/>
      <c r="ED304" s="1338"/>
      <c r="EE304" s="928"/>
      <c r="EF304" s="928"/>
      <c r="EG304" s="928"/>
      <c r="EH304" s="1337"/>
      <c r="EI304" s="928"/>
      <c r="EJ304" s="928"/>
      <c r="EK304" s="928"/>
      <c r="EL304" s="928"/>
      <c r="EM304" s="1337"/>
      <c r="EN304" s="928"/>
      <c r="EO304" s="928"/>
      <c r="EP304" s="928"/>
      <c r="EQ304" s="928"/>
      <c r="ER304" s="928"/>
      <c r="ES304" s="928"/>
      <c r="ET304" s="928"/>
      <c r="EU304" s="928"/>
      <c r="EV304" s="928"/>
      <c r="EW304" s="928"/>
      <c r="EX304" s="928"/>
      <c r="EY304" s="928"/>
      <c r="EZ304" s="928"/>
      <c r="FA304" s="928"/>
      <c r="FB304" s="928"/>
      <c r="FC304" s="928"/>
      <c r="FD304" s="928"/>
      <c r="FE304" s="928"/>
      <c r="FF304" s="928"/>
      <c r="FG304" s="928"/>
      <c r="FH304" s="1319"/>
      <c r="FI304" s="1319"/>
      <c r="FJ304" s="1605"/>
      <c r="FK304" s="1605"/>
      <c r="FL304" s="928"/>
      <c r="FM304" s="928"/>
      <c r="FN304" s="928"/>
      <c r="FO304" s="928"/>
      <c r="FP304" s="928"/>
      <c r="FQ304" s="928"/>
    </row>
    <row r="305" spans="1:173">
      <c r="A305" s="1206"/>
      <c r="B305" s="928"/>
      <c r="C305" s="928"/>
      <c r="D305" s="928"/>
      <c r="E305" s="928"/>
      <c r="F305" s="928"/>
      <c r="G305" s="928"/>
      <c r="H305" s="928"/>
      <c r="I305" s="1339"/>
      <c r="J305" s="928"/>
      <c r="K305" s="1339"/>
      <c r="L305" s="1339"/>
      <c r="M305" s="1339"/>
      <c r="N305" s="1339"/>
      <c r="O305" s="1339"/>
      <c r="P305" s="1339"/>
      <c r="Q305" s="1339"/>
      <c r="R305" s="1339"/>
      <c r="S305" s="1339"/>
      <c r="T305" s="1339"/>
      <c r="U305" s="1339"/>
      <c r="V305" s="1339"/>
      <c r="W305" s="1339"/>
      <c r="X305" s="1339"/>
      <c r="Y305" s="1339"/>
      <c r="Z305" s="1413"/>
      <c r="AA305" s="1413"/>
      <c r="AB305" s="1413"/>
      <c r="AC305" s="1413"/>
      <c r="AD305" s="1413"/>
      <c r="AE305" s="928"/>
      <c r="AF305" s="928"/>
      <c r="AG305" s="928"/>
      <c r="AH305" s="928"/>
      <c r="AI305" s="928"/>
      <c r="AJ305" s="928"/>
      <c r="AK305" s="928"/>
      <c r="AL305" s="928"/>
      <c r="AM305" s="928"/>
      <c r="AN305" s="928"/>
      <c r="AO305" s="928"/>
      <c r="AP305" s="928"/>
      <c r="AQ305" s="928"/>
      <c r="AR305" s="928"/>
      <c r="AS305" s="928"/>
      <c r="AT305" s="928"/>
      <c r="AU305" s="928"/>
      <c r="AV305" s="928"/>
      <c r="AW305" s="928"/>
      <c r="AX305" s="928"/>
      <c r="AY305" s="928"/>
      <c r="AZ305" s="928"/>
      <c r="BA305" s="928"/>
      <c r="BB305" s="928"/>
      <c r="BC305" s="928"/>
      <c r="BD305" s="928"/>
      <c r="BE305" s="1338"/>
      <c r="BF305" s="928"/>
      <c r="BG305" s="928"/>
      <c r="BH305" s="928"/>
      <c r="BI305" s="1337"/>
      <c r="BJ305" s="1338"/>
      <c r="BK305" s="928"/>
      <c r="BL305" s="928"/>
      <c r="BM305" s="928"/>
      <c r="BN305" s="1337"/>
      <c r="BO305" s="1338"/>
      <c r="BP305" s="928"/>
      <c r="BQ305" s="928"/>
      <c r="BR305" s="928"/>
      <c r="BS305" s="1337"/>
      <c r="BT305" s="1338"/>
      <c r="BU305" s="928"/>
      <c r="BV305" s="928"/>
      <c r="BW305" s="928"/>
      <c r="BX305" s="1337"/>
      <c r="BY305" s="928"/>
      <c r="BZ305" s="928"/>
      <c r="CA305" s="928"/>
      <c r="CB305" s="928"/>
      <c r="CC305" s="928"/>
      <c r="CD305" s="928"/>
      <c r="CE305" s="928"/>
      <c r="CF305" s="928"/>
      <c r="CG305" s="928"/>
      <c r="CH305" s="928"/>
      <c r="CI305" s="928"/>
      <c r="CJ305" s="928"/>
      <c r="CK305" s="928"/>
      <c r="CL305" s="928"/>
      <c r="CM305" s="928"/>
      <c r="CN305" s="928"/>
      <c r="CO305" s="928"/>
      <c r="CP305" s="928"/>
      <c r="CQ305" s="928"/>
      <c r="CR305" s="928"/>
      <c r="CS305" s="928"/>
      <c r="CT305" s="928"/>
      <c r="CU305" s="928"/>
      <c r="CV305" s="928"/>
      <c r="CW305" s="928"/>
      <c r="CX305" s="928"/>
      <c r="CY305" s="928"/>
      <c r="CZ305" s="928"/>
      <c r="DA305" s="928"/>
      <c r="DB305" s="928"/>
      <c r="DC305" s="928"/>
      <c r="DD305" s="928"/>
      <c r="DE305" s="928"/>
      <c r="DF305" s="928"/>
      <c r="DG305" s="928"/>
      <c r="DH305" s="928"/>
      <c r="DI305" s="928"/>
      <c r="DJ305" s="928"/>
      <c r="DK305" s="928"/>
      <c r="DL305" s="928"/>
      <c r="DM305" s="928"/>
      <c r="DN305" s="928"/>
      <c r="DO305" s="928"/>
      <c r="DP305" s="928"/>
      <c r="DQ305" s="928"/>
      <c r="DR305" s="928"/>
      <c r="DS305" s="928"/>
      <c r="DT305" s="928"/>
      <c r="DU305" s="928"/>
      <c r="DV305" s="928"/>
      <c r="DW305" s="928"/>
      <c r="DX305" s="928"/>
      <c r="DY305" s="1338"/>
      <c r="DZ305" s="928"/>
      <c r="EA305" s="928"/>
      <c r="EB305" s="928"/>
      <c r="EC305" s="1337"/>
      <c r="ED305" s="1338"/>
      <c r="EE305" s="928"/>
      <c r="EF305" s="928"/>
      <c r="EG305" s="928"/>
      <c r="EH305" s="1337"/>
      <c r="EI305" s="928"/>
      <c r="EJ305" s="928"/>
      <c r="EK305" s="928"/>
      <c r="EL305" s="928"/>
      <c r="EM305" s="1337"/>
      <c r="EN305" s="928"/>
      <c r="EO305" s="928"/>
      <c r="EP305" s="928"/>
      <c r="EQ305" s="928"/>
      <c r="ER305" s="928"/>
      <c r="ES305" s="928"/>
      <c r="ET305" s="928"/>
      <c r="EU305" s="928"/>
      <c r="EV305" s="928"/>
      <c r="EW305" s="928"/>
      <c r="EX305" s="928"/>
      <c r="EY305" s="928"/>
      <c r="EZ305" s="928"/>
      <c r="FA305" s="928"/>
      <c r="FB305" s="928"/>
      <c r="FC305" s="928"/>
      <c r="FD305" s="928"/>
      <c r="FE305" s="928"/>
      <c r="FF305" s="928"/>
      <c r="FG305" s="928"/>
      <c r="FH305" s="1319"/>
      <c r="FI305" s="1319"/>
      <c r="FJ305" s="1605"/>
      <c r="FK305" s="1605"/>
      <c r="FL305" s="928"/>
      <c r="FM305" s="928"/>
      <c r="FN305" s="928"/>
      <c r="FO305" s="928"/>
      <c r="FP305" s="928"/>
      <c r="FQ305" s="928"/>
    </row>
    <row r="306" spans="1:173">
      <c r="A306" s="1206" t="s">
        <v>2008</v>
      </c>
      <c r="B306" s="928"/>
      <c r="C306" s="928"/>
      <c r="D306" s="928"/>
      <c r="E306" s="928"/>
      <c r="F306" s="928"/>
      <c r="G306" s="928"/>
      <c r="H306" s="928"/>
      <c r="I306" s="1339"/>
      <c r="J306" s="928"/>
      <c r="K306" s="1339"/>
      <c r="L306" s="1339"/>
      <c r="M306" s="1339"/>
      <c r="N306" s="1339"/>
      <c r="O306" s="1339"/>
      <c r="P306" s="1339"/>
      <c r="Q306" s="1339">
        <f>Q304-Q301</f>
        <v>1417.5</v>
      </c>
      <c r="R306" s="1339">
        <f>R304-R301</f>
        <v>1578.6</v>
      </c>
      <c r="S306" s="1339">
        <f>S304-S301</f>
        <v>1479.1</v>
      </c>
      <c r="T306" s="1339">
        <f>T304-T301</f>
        <v>1656.6000000000004</v>
      </c>
      <c r="U306" s="1339"/>
      <c r="V306" s="1339">
        <f>V304-V301</f>
        <v>1627.2</v>
      </c>
      <c r="W306" s="1339">
        <f>W304-W301</f>
        <v>1778.2</v>
      </c>
      <c r="X306" s="1339">
        <f>X304-X301</f>
        <v>1824.3</v>
      </c>
      <c r="Y306" s="1339">
        <f>Y304-Y301</f>
        <v>2065.1</v>
      </c>
      <c r="Z306" s="1413"/>
      <c r="AA306" s="1413"/>
      <c r="AB306" s="1413"/>
      <c r="AC306" s="1413"/>
      <c r="AD306" s="1413"/>
      <c r="AE306" s="928"/>
      <c r="AF306" s="928"/>
      <c r="AG306" s="928"/>
      <c r="AH306" s="928"/>
      <c r="AI306" s="928"/>
      <c r="AJ306" s="928"/>
      <c r="AK306" s="928"/>
      <c r="AL306" s="928"/>
      <c r="AM306" s="928"/>
      <c r="AN306" s="928"/>
      <c r="AO306" s="928"/>
      <c r="AP306" s="928"/>
      <c r="AQ306" s="928"/>
      <c r="AR306" s="928"/>
      <c r="AS306" s="928"/>
      <c r="AT306" s="928"/>
      <c r="AU306" s="928"/>
      <c r="AV306" s="928"/>
      <c r="AW306" s="928"/>
      <c r="AX306" s="928"/>
      <c r="AY306" s="928"/>
      <c r="AZ306" s="928"/>
      <c r="BA306" s="928"/>
      <c r="BB306" s="928"/>
      <c r="BC306" s="928"/>
      <c r="BD306" s="928"/>
      <c r="BE306" s="1338"/>
      <c r="BF306" s="928"/>
      <c r="BG306" s="928"/>
      <c r="BH306" s="928"/>
      <c r="BI306" s="1337"/>
      <c r="BJ306" s="1338"/>
      <c r="BK306" s="928"/>
      <c r="BL306" s="928"/>
      <c r="BM306" s="928"/>
      <c r="BN306" s="1337"/>
      <c r="BO306" s="1338"/>
      <c r="BP306" s="928"/>
      <c r="BQ306" s="928"/>
      <c r="BR306" s="928"/>
      <c r="BS306" s="1337"/>
      <c r="BT306" s="1338"/>
      <c r="BU306" s="928"/>
      <c r="BV306" s="928"/>
      <c r="BW306" s="928"/>
      <c r="BX306" s="1337"/>
      <c r="BY306" s="928"/>
      <c r="BZ306" s="928"/>
      <c r="CA306" s="928"/>
      <c r="CB306" s="928"/>
      <c r="CC306" s="928"/>
      <c r="CD306" s="928"/>
      <c r="CE306" s="928"/>
      <c r="CF306" s="928"/>
      <c r="CG306" s="928"/>
      <c r="CH306" s="928"/>
      <c r="CI306" s="928"/>
      <c r="CJ306" s="928"/>
      <c r="CK306" s="928"/>
      <c r="CL306" s="928"/>
      <c r="CM306" s="928"/>
      <c r="CN306" s="928"/>
      <c r="CO306" s="928"/>
      <c r="CP306" s="928"/>
      <c r="CQ306" s="928"/>
      <c r="CR306" s="928"/>
      <c r="CS306" s="928"/>
      <c r="CT306" s="928"/>
      <c r="CU306" s="928"/>
      <c r="CV306" s="928"/>
      <c r="CW306" s="928"/>
      <c r="CX306" s="928"/>
      <c r="CY306" s="928"/>
      <c r="CZ306" s="928"/>
      <c r="DA306" s="928"/>
      <c r="DB306" s="928"/>
      <c r="DC306" s="928"/>
      <c r="DD306" s="928"/>
      <c r="DE306" s="928"/>
      <c r="DF306" s="928"/>
      <c r="DG306" s="928"/>
      <c r="DH306" s="928"/>
      <c r="DI306" s="928"/>
      <c r="DJ306" s="928"/>
      <c r="DK306" s="928"/>
      <c r="DL306" s="928"/>
      <c r="DM306" s="928"/>
      <c r="DN306" s="928"/>
      <c r="DO306" s="928"/>
      <c r="DP306" s="928"/>
      <c r="DQ306" s="928"/>
      <c r="DR306" s="928"/>
      <c r="DS306" s="928"/>
      <c r="DT306" s="928"/>
      <c r="DU306" s="928"/>
      <c r="DV306" s="928"/>
      <c r="DW306" s="928"/>
      <c r="DX306" s="928"/>
      <c r="DY306" s="1338"/>
      <c r="DZ306" s="928"/>
      <c r="EA306" s="928"/>
      <c r="EB306" s="928"/>
      <c r="EC306" s="1337"/>
      <c r="ED306" s="1338"/>
      <c r="EE306" s="928"/>
      <c r="EF306" s="928"/>
      <c r="EG306" s="928"/>
      <c r="EH306" s="1337"/>
      <c r="EI306" s="928"/>
      <c r="EJ306" s="928"/>
      <c r="EK306" s="928"/>
      <c r="EL306" s="928"/>
      <c r="EM306" s="1337"/>
      <c r="EN306" s="928"/>
      <c r="EO306" s="928"/>
      <c r="EP306" s="928"/>
      <c r="EQ306" s="928"/>
      <c r="ER306" s="928"/>
      <c r="ES306" s="928"/>
      <c r="ET306" s="928"/>
      <c r="EU306" s="928"/>
      <c r="EV306" s="928"/>
      <c r="EW306" s="928"/>
      <c r="EX306" s="928"/>
      <c r="EY306" s="928"/>
      <c r="EZ306" s="928"/>
      <c r="FA306" s="928"/>
      <c r="FB306" s="928"/>
      <c r="FC306" s="928"/>
      <c r="FD306" s="928"/>
      <c r="FE306" s="928"/>
      <c r="FF306" s="928"/>
      <c r="FG306" s="928"/>
      <c r="FH306" s="1319"/>
      <c r="FI306" s="1319"/>
      <c r="FJ306" s="1605"/>
      <c r="FK306" s="1605"/>
      <c r="FL306" s="928"/>
      <c r="FM306" s="928"/>
      <c r="FN306" s="928"/>
      <c r="FO306" s="928"/>
      <c r="FP306" s="928"/>
      <c r="FQ306" s="928"/>
    </row>
    <row r="307" spans="1:173">
      <c r="A307" s="928"/>
      <c r="B307" s="928"/>
      <c r="C307" s="928"/>
      <c r="D307" s="928"/>
      <c r="E307" s="928"/>
      <c r="F307" s="928"/>
      <c r="G307" s="928"/>
      <c r="H307" s="928"/>
      <c r="I307" s="928"/>
      <c r="J307" s="928"/>
      <c r="K307" s="928"/>
      <c r="L307" s="928"/>
      <c r="M307" s="928"/>
      <c r="N307" s="928"/>
      <c r="O307" s="928"/>
      <c r="P307" s="928"/>
      <c r="Q307" s="928"/>
      <c r="R307" s="928"/>
      <c r="S307" s="928"/>
      <c r="T307" s="928"/>
      <c r="U307" s="928"/>
      <c r="V307" s="928"/>
      <c r="W307" s="928"/>
      <c r="X307" s="928"/>
      <c r="Y307" s="928"/>
      <c r="Z307" s="928"/>
      <c r="AA307" s="928"/>
      <c r="AB307" s="928"/>
      <c r="AC307" s="928"/>
      <c r="AD307" s="928"/>
      <c r="AE307" s="928"/>
      <c r="AF307" s="928"/>
      <c r="AG307" s="928"/>
      <c r="AH307" s="928"/>
      <c r="AI307" s="928"/>
      <c r="AJ307" s="928"/>
      <c r="AK307" s="928"/>
      <c r="AL307" s="928"/>
      <c r="AM307" s="928"/>
      <c r="AN307" s="928"/>
      <c r="AO307" s="928"/>
      <c r="AP307" s="928"/>
      <c r="AQ307" s="928"/>
      <c r="AR307" s="928"/>
      <c r="AS307" s="928"/>
      <c r="AT307" s="928"/>
      <c r="AU307" s="928"/>
      <c r="AV307" s="928"/>
      <c r="AW307" s="928"/>
      <c r="AX307" s="928"/>
      <c r="AY307" s="928"/>
      <c r="AZ307" s="928"/>
      <c r="BA307" s="928"/>
      <c r="BB307" s="928"/>
      <c r="BC307" s="928"/>
      <c r="BD307" s="928"/>
      <c r="BE307" s="1338"/>
      <c r="BF307" s="928"/>
      <c r="BG307" s="928"/>
      <c r="BH307" s="928"/>
      <c r="BI307" s="1337"/>
      <c r="BJ307" s="1338"/>
      <c r="BK307" s="928"/>
      <c r="BL307" s="928"/>
      <c r="BM307" s="928"/>
      <c r="BN307" s="1337"/>
      <c r="BO307" s="1338"/>
      <c r="BP307" s="928"/>
      <c r="BQ307" s="928"/>
      <c r="BR307" s="928"/>
      <c r="BS307" s="1337"/>
      <c r="BT307" s="1338"/>
      <c r="BU307" s="928"/>
      <c r="BV307" s="928"/>
      <c r="BW307" s="928"/>
      <c r="BX307" s="1337"/>
      <c r="BY307" s="928"/>
      <c r="BZ307" s="928"/>
      <c r="CA307" s="928"/>
      <c r="CB307" s="928"/>
      <c r="CC307" s="928"/>
      <c r="CD307" s="928"/>
      <c r="CE307" s="928"/>
      <c r="CF307" s="928"/>
      <c r="CG307" s="928"/>
      <c r="CH307" s="928"/>
      <c r="CI307" s="928"/>
      <c r="CJ307" s="928"/>
      <c r="CK307" s="928"/>
      <c r="CL307" s="928"/>
      <c r="CM307" s="928"/>
      <c r="CN307" s="928"/>
      <c r="CO307" s="928"/>
      <c r="CP307" s="928"/>
      <c r="CQ307" s="928"/>
      <c r="CR307" s="928"/>
      <c r="CS307" s="928"/>
      <c r="CT307" s="928"/>
      <c r="CU307" s="928"/>
      <c r="CV307" s="928"/>
      <c r="CW307" s="928"/>
      <c r="CX307" s="928"/>
      <c r="CY307" s="928"/>
      <c r="CZ307" s="928"/>
      <c r="DA307" s="928"/>
      <c r="DB307" s="928"/>
      <c r="DC307" s="928"/>
      <c r="DD307" s="928"/>
      <c r="DE307" s="928"/>
      <c r="DF307" s="928"/>
      <c r="DG307" s="928"/>
      <c r="DH307" s="928"/>
      <c r="DI307" s="928"/>
      <c r="DJ307" s="928"/>
      <c r="DK307" s="928"/>
      <c r="DL307" s="928"/>
      <c r="DM307" s="928"/>
      <c r="DN307" s="928"/>
      <c r="DO307" s="928"/>
      <c r="DP307" s="928"/>
      <c r="DQ307" s="928"/>
      <c r="DR307" s="928"/>
      <c r="DS307" s="928"/>
      <c r="DT307" s="928"/>
      <c r="DU307" s="928"/>
      <c r="DV307" s="928"/>
      <c r="DW307" s="928"/>
      <c r="DX307" s="928"/>
      <c r="DY307" s="1338"/>
      <c r="DZ307" s="928"/>
      <c r="EA307" s="928"/>
      <c r="EB307" s="928"/>
      <c r="EC307" s="1337"/>
      <c r="ED307" s="1338"/>
      <c r="EE307" s="928"/>
      <c r="EF307" s="928"/>
      <c r="EG307" s="928"/>
      <c r="EH307" s="1337"/>
      <c r="EI307" s="928"/>
      <c r="EJ307" s="928"/>
      <c r="EK307" s="928"/>
      <c r="EL307" s="928"/>
      <c r="EM307" s="1337"/>
      <c r="EN307" s="928"/>
      <c r="EO307" s="928"/>
      <c r="EP307" s="928"/>
      <c r="EQ307" s="928"/>
      <c r="ER307" s="928"/>
      <c r="ES307" s="928"/>
      <c r="ET307" s="928"/>
      <c r="EU307" s="928"/>
      <c r="EV307" s="928"/>
      <c r="EW307" s="928"/>
      <c r="EX307" s="928"/>
      <c r="EY307" s="928"/>
      <c r="EZ307" s="928"/>
      <c r="FA307" s="928"/>
      <c r="FB307" s="928"/>
      <c r="FC307" s="928"/>
      <c r="FD307" s="928"/>
      <c r="FE307" s="928"/>
      <c r="FF307" s="928"/>
      <c r="FG307" s="928"/>
      <c r="FH307" s="1319"/>
      <c r="FI307" s="1319"/>
      <c r="FJ307" s="1605"/>
      <c r="FK307" s="1605"/>
      <c r="FL307" s="928"/>
      <c r="FM307" s="928"/>
      <c r="FN307" s="928"/>
      <c r="FO307" s="928"/>
      <c r="FP307" s="928"/>
      <c r="FQ307" s="928"/>
    </row>
    <row r="308" spans="1:173">
      <c r="A308" s="1385" t="s">
        <v>158</v>
      </c>
      <c r="B308" s="928"/>
      <c r="C308" s="928"/>
      <c r="D308" s="928"/>
      <c r="E308" s="928"/>
      <c r="F308" s="928"/>
      <c r="G308" s="928"/>
      <c r="H308" s="928"/>
      <c r="I308" s="928"/>
      <c r="J308" s="928"/>
      <c r="K308" s="928"/>
      <c r="L308" s="928"/>
      <c r="M308" s="928"/>
      <c r="N308" s="928"/>
      <c r="O308" s="928"/>
      <c r="P308" s="928"/>
      <c r="Q308" s="928"/>
      <c r="R308" s="928"/>
      <c r="S308" s="928"/>
      <c r="T308" s="928"/>
      <c r="U308" s="928"/>
      <c r="V308" s="928"/>
      <c r="W308" s="928"/>
      <c r="X308" s="928"/>
      <c r="Y308" s="928"/>
      <c r="Z308" s="928"/>
      <c r="AA308" s="928"/>
      <c r="AB308" s="928"/>
      <c r="AC308" s="928"/>
      <c r="AD308" s="928"/>
      <c r="AE308" s="928"/>
      <c r="AF308" s="928"/>
      <c r="AG308" s="928"/>
      <c r="AH308" s="928"/>
      <c r="AI308" s="928"/>
      <c r="AJ308" s="928"/>
      <c r="AK308" s="928"/>
      <c r="AL308" s="928"/>
      <c r="AM308" s="928"/>
      <c r="AN308" s="928"/>
      <c r="AO308" s="928"/>
      <c r="AP308" s="928"/>
      <c r="AQ308" s="928"/>
      <c r="AR308" s="928"/>
      <c r="AS308" s="928"/>
      <c r="AT308" s="928"/>
      <c r="AU308" s="928"/>
      <c r="AV308" s="928"/>
      <c r="AW308" s="928"/>
      <c r="AX308" s="928"/>
      <c r="AY308" s="928"/>
      <c r="AZ308" s="928"/>
      <c r="BA308" s="928"/>
      <c r="BB308" s="928"/>
      <c r="BC308" s="928"/>
      <c r="BD308" s="928"/>
      <c r="BE308" s="1338"/>
      <c r="BF308" s="928"/>
      <c r="BG308" s="928"/>
      <c r="BH308" s="928"/>
      <c r="BI308" s="1337"/>
      <c r="BJ308" s="1338"/>
      <c r="BK308" s="928"/>
      <c r="BL308" s="928"/>
      <c r="BM308" s="928"/>
      <c r="BN308" s="1337"/>
      <c r="BO308" s="1338"/>
      <c r="BP308" s="928"/>
      <c r="BQ308" s="928"/>
      <c r="BR308" s="928"/>
      <c r="BS308" s="1337"/>
      <c r="BT308" s="1338"/>
      <c r="BU308" s="928"/>
      <c r="BV308" s="928"/>
      <c r="BW308" s="928"/>
      <c r="BX308" s="1337"/>
      <c r="BY308" s="928"/>
      <c r="BZ308" s="928"/>
      <c r="CA308" s="928"/>
      <c r="CB308" s="928"/>
      <c r="CC308" s="928"/>
      <c r="CD308" s="928"/>
      <c r="CE308" s="928"/>
      <c r="CF308" s="928"/>
      <c r="CG308" s="928"/>
      <c r="CH308" s="928"/>
      <c r="CI308" s="928"/>
      <c r="CJ308" s="928"/>
      <c r="CK308" s="928"/>
      <c r="CL308" s="928"/>
      <c r="CM308" s="928"/>
      <c r="CN308" s="928"/>
      <c r="CO308" s="928"/>
      <c r="CP308" s="928"/>
      <c r="CQ308" s="928"/>
      <c r="CR308" s="928"/>
      <c r="CS308" s="928"/>
      <c r="CT308" s="928"/>
      <c r="CU308" s="928"/>
      <c r="CV308" s="928"/>
      <c r="CW308" s="928"/>
      <c r="CX308" s="928"/>
      <c r="CY308" s="928"/>
      <c r="CZ308" s="928"/>
      <c r="DA308" s="928"/>
      <c r="DB308" s="928"/>
      <c r="DC308" s="928"/>
      <c r="DD308" s="928"/>
      <c r="DE308" s="928"/>
      <c r="DF308" s="928"/>
      <c r="DG308" s="928"/>
      <c r="DH308" s="928"/>
      <c r="DI308" s="928"/>
      <c r="DJ308" s="928"/>
      <c r="DK308" s="928"/>
      <c r="DL308" s="928"/>
      <c r="DM308" s="928"/>
      <c r="DN308" s="928"/>
      <c r="DO308" s="928"/>
      <c r="DP308" s="928"/>
      <c r="DQ308" s="928"/>
      <c r="DR308" s="928"/>
      <c r="DS308" s="928"/>
      <c r="DT308" s="928"/>
      <c r="DU308" s="928"/>
      <c r="DV308" s="928"/>
      <c r="DW308" s="928"/>
      <c r="DX308" s="928"/>
      <c r="DY308" s="1338"/>
      <c r="DZ308" s="928"/>
      <c r="EA308" s="928"/>
      <c r="EB308" s="928"/>
      <c r="EC308" s="1337"/>
      <c r="ED308" s="1338"/>
      <c r="EE308" s="928"/>
      <c r="EF308" s="928"/>
      <c r="EG308" s="928"/>
      <c r="EH308" s="1337"/>
      <c r="EI308" s="928"/>
      <c r="EJ308" s="928"/>
      <c r="EK308" s="928"/>
      <c r="EL308" s="928"/>
      <c r="EM308" s="1337"/>
      <c r="EN308" s="928"/>
      <c r="EO308" s="928"/>
      <c r="EP308" s="928"/>
      <c r="EQ308" s="928"/>
      <c r="ER308" s="928"/>
      <c r="ES308" s="928"/>
      <c r="ET308" s="928"/>
      <c r="EU308" s="928"/>
      <c r="EV308" s="928"/>
      <c r="EW308" s="928"/>
      <c r="EX308" s="928"/>
      <c r="EY308" s="928"/>
      <c r="EZ308" s="928"/>
      <c r="FA308" s="928"/>
      <c r="FB308" s="928"/>
      <c r="FC308" s="928"/>
      <c r="FD308" s="928"/>
      <c r="FE308" s="928"/>
      <c r="FF308" s="928"/>
      <c r="FG308" s="928"/>
      <c r="FH308" s="1319"/>
      <c r="FI308" s="1319"/>
      <c r="FJ308" s="1605"/>
      <c r="FK308" s="1605"/>
      <c r="FL308" s="928"/>
      <c r="FM308" s="928"/>
      <c r="FN308" s="928"/>
      <c r="FO308" s="928"/>
      <c r="FP308" s="928"/>
      <c r="FQ308" s="928"/>
    </row>
    <row r="309" spans="1:173">
      <c r="A309" s="1344" t="str">
        <f>A297</f>
        <v>Cablevision</v>
      </c>
      <c r="B309" s="928"/>
      <c r="C309" s="928"/>
      <c r="D309" s="928"/>
      <c r="E309" s="928"/>
      <c r="F309" s="928"/>
      <c r="G309" s="928"/>
      <c r="H309" s="928"/>
      <c r="I309" s="1316">
        <f>I297/I258</f>
        <v>0.38596987669736221</v>
      </c>
      <c r="J309" s="928"/>
      <c r="K309" s="1316">
        <f t="shared" ref="K309:X309" si="366">K297/K258</f>
        <v>0.38648267067450021</v>
      </c>
      <c r="L309" s="1316">
        <f t="shared" si="366"/>
        <v>0.39537021561089758</v>
      </c>
      <c r="M309" s="1316">
        <f t="shared" si="366"/>
        <v>0.40975806451612906</v>
      </c>
      <c r="N309" s="1316">
        <f t="shared" si="366"/>
        <v>0.40822537849227408</v>
      </c>
      <c r="O309" s="1316">
        <f t="shared" si="366"/>
        <v>0.40019650820043817</v>
      </c>
      <c r="P309" s="1316">
        <f t="shared" si="366"/>
        <v>0.40344369284481563</v>
      </c>
      <c r="Q309" s="1316">
        <f t="shared" si="366"/>
        <v>0.39629043202895275</v>
      </c>
      <c r="R309" s="1316">
        <f t="shared" si="366"/>
        <v>0.38688095411242823</v>
      </c>
      <c r="S309" s="1316">
        <f t="shared" si="366"/>
        <v>0.38286564625850333</v>
      </c>
      <c r="T309" s="1316">
        <f t="shared" si="366"/>
        <v>0.42689236665602037</v>
      </c>
      <c r="U309" s="1316">
        <f t="shared" si="366"/>
        <v>0.3991123791409098</v>
      </c>
      <c r="V309" s="1316">
        <f t="shared" si="366"/>
        <v>0.41383074354693716</v>
      </c>
      <c r="W309" s="1316">
        <f t="shared" si="366"/>
        <v>0.42139546536389827</v>
      </c>
      <c r="X309" s="1316">
        <f t="shared" si="366"/>
        <v>0.41181575847746577</v>
      </c>
      <c r="Y309" s="1316"/>
      <c r="Z309" s="928"/>
      <c r="AA309" s="928"/>
      <c r="AB309" s="928"/>
      <c r="AC309" s="928"/>
      <c r="AD309" s="928"/>
      <c r="AE309" s="928"/>
      <c r="AF309" s="928"/>
      <c r="AG309" s="928"/>
      <c r="AH309" s="928"/>
      <c r="AI309" s="928"/>
      <c r="AJ309" s="928"/>
      <c r="AK309" s="928"/>
      <c r="AL309" s="928"/>
      <c r="AM309" s="928"/>
      <c r="AN309" s="928"/>
      <c r="AO309" s="928"/>
      <c r="AP309" s="928"/>
      <c r="AQ309" s="928"/>
      <c r="AR309" s="928"/>
      <c r="AS309" s="928"/>
      <c r="AT309" s="928"/>
      <c r="AU309" s="928"/>
      <c r="AV309" s="928"/>
      <c r="AW309" s="928"/>
      <c r="AX309" s="928"/>
      <c r="AY309" s="928"/>
      <c r="AZ309" s="928"/>
      <c r="BA309" s="928"/>
      <c r="BB309" s="928"/>
      <c r="BC309" s="928"/>
      <c r="BD309" s="928"/>
      <c r="BE309" s="1338"/>
      <c r="BF309" s="928"/>
      <c r="BG309" s="928"/>
      <c r="BH309" s="928"/>
      <c r="BI309" s="1337"/>
      <c r="BJ309" s="1338"/>
      <c r="BK309" s="928"/>
      <c r="BL309" s="928"/>
      <c r="BM309" s="928"/>
      <c r="BN309" s="1337"/>
      <c r="BO309" s="1338"/>
      <c r="BP309" s="928"/>
      <c r="BQ309" s="928"/>
      <c r="BR309" s="928"/>
      <c r="BS309" s="1337"/>
      <c r="BT309" s="1338"/>
      <c r="BU309" s="928"/>
      <c r="BV309" s="928"/>
      <c r="BW309" s="928"/>
      <c r="BX309" s="1337"/>
      <c r="BY309" s="928"/>
      <c r="BZ309" s="928"/>
      <c r="CA309" s="928"/>
      <c r="CB309" s="928"/>
      <c r="CC309" s="928"/>
      <c r="CD309" s="928"/>
      <c r="CE309" s="928"/>
      <c r="CF309" s="928"/>
      <c r="CG309" s="928"/>
      <c r="CH309" s="928"/>
      <c r="CI309" s="928"/>
      <c r="CJ309" s="928"/>
      <c r="CK309" s="928"/>
      <c r="CL309" s="928"/>
      <c r="CM309" s="928"/>
      <c r="CN309" s="928"/>
      <c r="CO309" s="928"/>
      <c r="CP309" s="928"/>
      <c r="CQ309" s="928"/>
      <c r="CR309" s="928"/>
      <c r="CS309" s="928"/>
      <c r="CT309" s="928"/>
      <c r="CU309" s="928"/>
      <c r="CV309" s="928"/>
      <c r="CW309" s="928"/>
      <c r="CX309" s="928"/>
      <c r="CY309" s="928"/>
      <c r="CZ309" s="928"/>
      <c r="DA309" s="928"/>
      <c r="DB309" s="928"/>
      <c r="DC309" s="928"/>
      <c r="DD309" s="928"/>
      <c r="DE309" s="928"/>
      <c r="DF309" s="928"/>
      <c r="DG309" s="928"/>
      <c r="DH309" s="928"/>
      <c r="DI309" s="928"/>
      <c r="DJ309" s="928"/>
      <c r="DK309" s="928"/>
      <c r="DL309" s="928"/>
      <c r="DM309" s="928"/>
      <c r="DN309" s="928"/>
      <c r="DO309" s="928"/>
      <c r="DP309" s="928"/>
      <c r="DQ309" s="928"/>
      <c r="DR309" s="928"/>
      <c r="DS309" s="928"/>
      <c r="DT309" s="928"/>
      <c r="DU309" s="928"/>
      <c r="DV309" s="928"/>
      <c r="DW309" s="928"/>
      <c r="DX309" s="928"/>
      <c r="DY309" s="1338"/>
      <c r="DZ309" s="928"/>
      <c r="EA309" s="928"/>
      <c r="EB309" s="928"/>
      <c r="EC309" s="1337"/>
      <c r="ED309" s="1338"/>
      <c r="EE309" s="928"/>
      <c r="EF309" s="928"/>
      <c r="EG309" s="928"/>
      <c r="EH309" s="1337"/>
      <c r="EI309" s="928"/>
      <c r="EJ309" s="928"/>
      <c r="EK309" s="928"/>
      <c r="EL309" s="928"/>
      <c r="EM309" s="1337"/>
      <c r="EN309" s="928"/>
      <c r="EO309" s="928"/>
      <c r="EP309" s="928"/>
      <c r="EQ309" s="928"/>
      <c r="ER309" s="928"/>
      <c r="ES309" s="928"/>
      <c r="ET309" s="928"/>
      <c r="EU309" s="928"/>
      <c r="EV309" s="928"/>
      <c r="EW309" s="928"/>
      <c r="EX309" s="928"/>
      <c r="EY309" s="928"/>
      <c r="EZ309" s="928"/>
      <c r="FA309" s="928"/>
      <c r="FB309" s="928"/>
      <c r="FC309" s="928"/>
      <c r="FD309" s="928"/>
      <c r="FE309" s="928"/>
      <c r="FF309" s="928"/>
      <c r="FG309" s="928"/>
      <c r="FH309" s="1319"/>
      <c r="FI309" s="1319"/>
      <c r="FJ309" s="1605"/>
      <c r="FK309" s="1605"/>
      <c r="FL309" s="928"/>
      <c r="FM309" s="928"/>
      <c r="FN309" s="928"/>
      <c r="FO309" s="928"/>
      <c r="FP309" s="928"/>
      <c r="FQ309" s="928"/>
    </row>
    <row r="310" spans="1:173">
      <c r="A310" s="1344" t="str">
        <f>A298</f>
        <v>Cablemas</v>
      </c>
      <c r="B310" s="928"/>
      <c r="C310" s="928"/>
      <c r="D310" s="928"/>
      <c r="E310" s="928"/>
      <c r="F310" s="928"/>
      <c r="G310" s="928"/>
      <c r="H310" s="928"/>
      <c r="I310" s="1316">
        <f>I298/I259</f>
        <v>0.38004921434924394</v>
      </c>
      <c r="J310" s="928"/>
      <c r="K310" s="1316">
        <f t="shared" ref="K310:X310" si="367">K298/K259</f>
        <v>0.38214633320638142</v>
      </c>
      <c r="L310" s="1316">
        <f t="shared" si="367"/>
        <v>0.36929998474912307</v>
      </c>
      <c r="M310" s="1316">
        <f t="shared" si="367"/>
        <v>0.35819548872180451</v>
      </c>
      <c r="N310" s="1316">
        <f t="shared" si="367"/>
        <v>0.3596205158612511</v>
      </c>
      <c r="O310" s="1316">
        <f t="shared" si="367"/>
        <v>0.38761990200814322</v>
      </c>
      <c r="P310" s="1316">
        <f t="shared" si="367"/>
        <v>0.36906447046712137</v>
      </c>
      <c r="Q310" s="1316">
        <f t="shared" si="367"/>
        <v>0.34853623088102981</v>
      </c>
      <c r="R310" s="1316">
        <f t="shared" si="367"/>
        <v>0.37026219714570191</v>
      </c>
      <c r="S310" s="1316">
        <f t="shared" si="367"/>
        <v>0.32878807187460174</v>
      </c>
      <c r="T310" s="1316">
        <f t="shared" si="367"/>
        <v>0.32834991042194361</v>
      </c>
      <c r="U310" s="1316">
        <f t="shared" si="367"/>
        <v>0.34349702744523181</v>
      </c>
      <c r="V310" s="1316">
        <f t="shared" si="367"/>
        <v>0.3408856848609681</v>
      </c>
      <c r="W310" s="1316">
        <f t="shared" si="367"/>
        <v>0.37733159082808604</v>
      </c>
      <c r="X310" s="1316">
        <f t="shared" si="367"/>
        <v>0.36655238537974311</v>
      </c>
      <c r="Y310" s="1316"/>
      <c r="Z310" s="928"/>
      <c r="AA310" s="928"/>
      <c r="AB310" s="928"/>
      <c r="AC310" s="928"/>
      <c r="AD310" s="928"/>
      <c r="AE310" s="928"/>
      <c r="AF310" s="928"/>
      <c r="AG310" s="928"/>
      <c r="AH310" s="928"/>
      <c r="AI310" s="928"/>
      <c r="AJ310" s="928"/>
      <c r="AK310" s="928"/>
      <c r="AL310" s="928"/>
      <c r="AM310" s="928"/>
      <c r="AN310" s="928"/>
      <c r="AO310" s="928"/>
      <c r="AP310" s="928"/>
      <c r="AQ310" s="928"/>
      <c r="AR310" s="928"/>
      <c r="AS310" s="928"/>
      <c r="AT310" s="928"/>
      <c r="AU310" s="928"/>
      <c r="AV310" s="928"/>
      <c r="AW310" s="928"/>
      <c r="AX310" s="928"/>
      <c r="AY310" s="928"/>
      <c r="AZ310" s="928"/>
      <c r="BA310" s="928"/>
      <c r="BB310" s="928"/>
      <c r="BC310" s="928"/>
      <c r="BD310" s="928"/>
      <c r="BE310" s="1338"/>
      <c r="BF310" s="928"/>
      <c r="BG310" s="928"/>
      <c r="BH310" s="928"/>
      <c r="BI310" s="1337"/>
      <c r="BJ310" s="1338"/>
      <c r="BK310" s="928"/>
      <c r="BL310" s="928"/>
      <c r="BM310" s="928"/>
      <c r="BN310" s="1337"/>
      <c r="BO310" s="1338"/>
      <c r="BP310" s="928"/>
      <c r="BQ310" s="928"/>
      <c r="BR310" s="928"/>
      <c r="BS310" s="1337"/>
      <c r="BT310" s="1338"/>
      <c r="BU310" s="928"/>
      <c r="BV310" s="928"/>
      <c r="BW310" s="928"/>
      <c r="BX310" s="1337"/>
      <c r="BY310" s="928"/>
      <c r="BZ310" s="928"/>
      <c r="CA310" s="928"/>
      <c r="CB310" s="928"/>
      <c r="CC310" s="928"/>
      <c r="CD310" s="928"/>
      <c r="CE310" s="928"/>
      <c r="CF310" s="928"/>
      <c r="CG310" s="928"/>
      <c r="CH310" s="928"/>
      <c r="CI310" s="928"/>
      <c r="CJ310" s="928"/>
      <c r="CK310" s="928"/>
      <c r="CL310" s="928"/>
      <c r="CM310" s="928"/>
      <c r="CN310" s="928"/>
      <c r="CO310" s="928"/>
      <c r="CP310" s="928"/>
      <c r="CQ310" s="928"/>
      <c r="CR310" s="928"/>
      <c r="CS310" s="928"/>
      <c r="CT310" s="928"/>
      <c r="CU310" s="928"/>
      <c r="CV310" s="928"/>
      <c r="CW310" s="928"/>
      <c r="CX310" s="928"/>
      <c r="CY310" s="928"/>
      <c r="CZ310" s="928"/>
      <c r="DA310" s="928"/>
      <c r="DB310" s="928"/>
      <c r="DC310" s="928"/>
      <c r="DD310" s="928"/>
      <c r="DE310" s="928"/>
      <c r="DF310" s="928"/>
      <c r="DG310" s="928"/>
      <c r="DH310" s="928"/>
      <c r="DI310" s="928"/>
      <c r="DJ310" s="928"/>
      <c r="DK310" s="928"/>
      <c r="DL310" s="928"/>
      <c r="DM310" s="928"/>
      <c r="DN310" s="928"/>
      <c r="DO310" s="928"/>
      <c r="DP310" s="928"/>
      <c r="DQ310" s="928"/>
      <c r="DR310" s="928"/>
      <c r="DS310" s="928"/>
      <c r="DT310" s="928"/>
      <c r="DU310" s="928"/>
      <c r="DV310" s="928"/>
      <c r="DW310" s="928"/>
      <c r="DX310" s="928"/>
      <c r="DY310" s="1338"/>
      <c r="DZ310" s="928"/>
      <c r="EA310" s="928"/>
      <c r="EB310" s="928"/>
      <c r="EC310" s="1337"/>
      <c r="ED310" s="1338"/>
      <c r="EE310" s="928"/>
      <c r="EF310" s="928"/>
      <c r="EG310" s="928"/>
      <c r="EH310" s="1337"/>
      <c r="EI310" s="928"/>
      <c r="EJ310" s="928"/>
      <c r="EK310" s="928"/>
      <c r="EL310" s="928"/>
      <c r="EM310" s="1337"/>
      <c r="EN310" s="928"/>
      <c r="EO310" s="928"/>
      <c r="EP310" s="928"/>
      <c r="EQ310" s="928"/>
      <c r="ER310" s="928"/>
      <c r="ES310" s="928"/>
      <c r="ET310" s="928"/>
      <c r="EU310" s="928"/>
      <c r="EV310" s="928"/>
      <c r="EW310" s="928"/>
      <c r="EX310" s="928"/>
      <c r="EY310" s="928"/>
      <c r="EZ310" s="928"/>
      <c r="FA310" s="928"/>
      <c r="FB310" s="928"/>
      <c r="FC310" s="928"/>
      <c r="FD310" s="928"/>
      <c r="FE310" s="928"/>
      <c r="FF310" s="928"/>
      <c r="FG310" s="928"/>
      <c r="FH310" s="1319"/>
      <c r="FI310" s="1319"/>
      <c r="FJ310" s="1605"/>
      <c r="FK310" s="1605"/>
      <c r="FL310" s="928"/>
      <c r="FM310" s="928"/>
      <c r="FN310" s="928"/>
      <c r="FO310" s="928"/>
      <c r="FP310" s="928"/>
      <c r="FQ310" s="928"/>
    </row>
    <row r="311" spans="1:173">
      <c r="A311" s="1344" t="str">
        <f>A299</f>
        <v>TVI</v>
      </c>
      <c r="B311" s="928"/>
      <c r="C311" s="928"/>
      <c r="D311" s="928"/>
      <c r="E311" s="928"/>
      <c r="F311" s="928"/>
      <c r="G311" s="928"/>
      <c r="H311" s="928"/>
      <c r="I311" s="1316">
        <f>I299/I260</f>
        <v>0.35750229207596601</v>
      </c>
      <c r="J311" s="928"/>
      <c r="K311" s="1316">
        <f t="shared" ref="K311:X311" si="368">K299/K260</f>
        <v>0.42628986974731908</v>
      </c>
      <c r="L311" s="1316">
        <f t="shared" si="368"/>
        <v>0.39737329516753661</v>
      </c>
      <c r="M311" s="1316">
        <f t="shared" si="368"/>
        <v>0.4104713698196773</v>
      </c>
      <c r="N311" s="1316">
        <f t="shared" si="368"/>
        <v>0.37311722331368702</v>
      </c>
      <c r="O311" s="1316">
        <f t="shared" si="368"/>
        <v>0.53661596361925679</v>
      </c>
      <c r="P311" s="1316">
        <f t="shared" si="368"/>
        <v>0.43061504889679147</v>
      </c>
      <c r="Q311" s="1316">
        <f t="shared" si="368"/>
        <v>0.42986708365910864</v>
      </c>
      <c r="R311" s="1316">
        <f t="shared" si="368"/>
        <v>0.41257485029940122</v>
      </c>
      <c r="S311" s="1316">
        <f t="shared" si="368"/>
        <v>0.34376828554710354</v>
      </c>
      <c r="T311" s="1316">
        <f t="shared" si="368"/>
        <v>0.54299958454507691</v>
      </c>
      <c r="U311" s="1316">
        <f t="shared" si="368"/>
        <v>0.43402624207577767</v>
      </c>
      <c r="V311" s="1316">
        <f t="shared" si="368"/>
        <v>0.44643584521384932</v>
      </c>
      <c r="W311" s="1316">
        <f t="shared" si="368"/>
        <v>0.44150846587993842</v>
      </c>
      <c r="X311" s="1316">
        <f t="shared" si="368"/>
        <v>0.39455699292165003</v>
      </c>
      <c r="Y311" s="1316"/>
      <c r="Z311" s="928"/>
      <c r="AA311" s="928"/>
      <c r="AB311" s="928"/>
      <c r="AC311" s="928"/>
      <c r="AD311" s="928"/>
      <c r="AE311" s="928"/>
      <c r="AF311" s="928"/>
      <c r="AG311" s="928"/>
      <c r="AH311" s="928"/>
      <c r="AI311" s="928"/>
      <c r="AJ311" s="928"/>
      <c r="AK311" s="928"/>
      <c r="AL311" s="928"/>
      <c r="AM311" s="928"/>
      <c r="AN311" s="928"/>
      <c r="AO311" s="928"/>
      <c r="AP311" s="928"/>
      <c r="AQ311" s="928"/>
      <c r="AR311" s="928"/>
      <c r="AS311" s="928"/>
      <c r="AT311" s="928"/>
      <c r="AU311" s="928"/>
      <c r="AV311" s="928"/>
      <c r="AW311" s="928"/>
      <c r="AX311" s="928"/>
      <c r="AY311" s="928"/>
      <c r="AZ311" s="928"/>
      <c r="BA311" s="928"/>
      <c r="BB311" s="928"/>
      <c r="BC311" s="928"/>
      <c r="BD311" s="928"/>
      <c r="BE311" s="1338"/>
      <c r="BF311" s="928"/>
      <c r="BG311" s="928"/>
      <c r="BH311" s="928"/>
      <c r="BI311" s="1337"/>
      <c r="BJ311" s="1338"/>
      <c r="BK311" s="928"/>
      <c r="BL311" s="928"/>
      <c r="BM311" s="928"/>
      <c r="BN311" s="1337"/>
      <c r="BO311" s="1338"/>
      <c r="BP311" s="928"/>
      <c r="BQ311" s="928"/>
      <c r="BR311" s="928"/>
      <c r="BS311" s="1337"/>
      <c r="BT311" s="1338"/>
      <c r="BU311" s="928"/>
      <c r="BV311" s="928"/>
      <c r="BW311" s="928"/>
      <c r="BX311" s="1337"/>
      <c r="BY311" s="928"/>
      <c r="BZ311" s="928"/>
      <c r="CA311" s="928"/>
      <c r="CB311" s="928"/>
      <c r="CC311" s="928"/>
      <c r="CD311" s="928"/>
      <c r="CE311" s="928"/>
      <c r="CF311" s="928"/>
      <c r="CG311" s="928"/>
      <c r="CH311" s="928"/>
      <c r="CI311" s="928"/>
      <c r="CJ311" s="928"/>
      <c r="CK311" s="928"/>
      <c r="CL311" s="928"/>
      <c r="CM311" s="928"/>
      <c r="CN311" s="928"/>
      <c r="CO311" s="928"/>
      <c r="CP311" s="928"/>
      <c r="CQ311" s="928"/>
      <c r="CR311" s="928"/>
      <c r="CS311" s="928"/>
      <c r="CT311" s="928"/>
      <c r="CU311" s="928"/>
      <c r="CV311" s="928"/>
      <c r="CW311" s="928"/>
      <c r="CX311" s="928"/>
      <c r="CY311" s="928"/>
      <c r="CZ311" s="928"/>
      <c r="DA311" s="928"/>
      <c r="DB311" s="928"/>
      <c r="DC311" s="928"/>
      <c r="DD311" s="928"/>
      <c r="DE311" s="928"/>
      <c r="DF311" s="928"/>
      <c r="DG311" s="928"/>
      <c r="DH311" s="928"/>
      <c r="DI311" s="928"/>
      <c r="DJ311" s="928"/>
      <c r="DK311" s="928"/>
      <c r="DL311" s="928"/>
      <c r="DM311" s="928"/>
      <c r="DN311" s="928"/>
      <c r="DO311" s="928"/>
      <c r="DP311" s="928"/>
      <c r="DQ311" s="928"/>
      <c r="DR311" s="928"/>
      <c r="DS311" s="928"/>
      <c r="DT311" s="928"/>
      <c r="DU311" s="928"/>
      <c r="DV311" s="928"/>
      <c r="DW311" s="928"/>
      <c r="DX311" s="928"/>
      <c r="DY311" s="1338"/>
      <c r="DZ311" s="928"/>
      <c r="EA311" s="928"/>
      <c r="EB311" s="928"/>
      <c r="EC311" s="1337"/>
      <c r="ED311" s="1338"/>
      <c r="EE311" s="928"/>
      <c r="EF311" s="928"/>
      <c r="EG311" s="928"/>
      <c r="EH311" s="1337"/>
      <c r="EI311" s="928"/>
      <c r="EJ311" s="928"/>
      <c r="EK311" s="928"/>
      <c r="EL311" s="928"/>
      <c r="EM311" s="1337"/>
      <c r="EN311" s="928"/>
      <c r="EO311" s="928"/>
      <c r="EP311" s="928"/>
      <c r="EQ311" s="928"/>
      <c r="ER311" s="928"/>
      <c r="ES311" s="928"/>
      <c r="ET311" s="928"/>
      <c r="EU311" s="928"/>
      <c r="EV311" s="928"/>
      <c r="EW311" s="928"/>
      <c r="EX311" s="928"/>
      <c r="EY311" s="928"/>
      <c r="EZ311" s="928"/>
      <c r="FA311" s="928"/>
      <c r="FB311" s="928"/>
      <c r="FC311" s="928"/>
      <c r="FD311" s="928"/>
      <c r="FE311" s="928"/>
      <c r="FF311" s="928"/>
      <c r="FG311" s="928"/>
      <c r="FH311" s="1319"/>
      <c r="FI311" s="1319"/>
      <c r="FJ311" s="1605"/>
      <c r="FK311" s="1605"/>
      <c r="FL311" s="928"/>
      <c r="FM311" s="928"/>
      <c r="FN311" s="928"/>
      <c r="FO311" s="928"/>
      <c r="FP311" s="928"/>
      <c r="FQ311" s="928"/>
    </row>
    <row r="312" spans="1:173">
      <c r="A312" s="1206" t="str">
        <f>A300</f>
        <v>Bestel</v>
      </c>
      <c r="B312" s="928"/>
      <c r="C312" s="928"/>
      <c r="D312" s="928"/>
      <c r="E312" s="928"/>
      <c r="F312" s="928"/>
      <c r="G312" s="928"/>
      <c r="H312" s="928"/>
      <c r="I312" s="1316">
        <f>I300/I261</f>
        <v>0.26302573626956754</v>
      </c>
      <c r="J312" s="928"/>
      <c r="K312" s="1316">
        <f t="shared" ref="K312:X312" si="369">K300/K261</f>
        <v>0.21026769343601026</v>
      </c>
      <c r="L312" s="1316">
        <f t="shared" si="369"/>
        <v>0.27150852531563191</v>
      </c>
      <c r="M312" s="1316">
        <f t="shared" si="369"/>
        <v>0.36527489626556015</v>
      </c>
      <c r="N312" s="1316">
        <f t="shared" si="369"/>
        <v>0.33337755372777927</v>
      </c>
      <c r="O312" s="1316">
        <f t="shared" si="369"/>
        <v>0.28667113194909577</v>
      </c>
      <c r="P312" s="1316">
        <f t="shared" si="369"/>
        <v>0.31436278702546216</v>
      </c>
      <c r="Q312" s="1316">
        <f t="shared" si="369"/>
        <v>0.26383928571428572</v>
      </c>
      <c r="R312" s="1316">
        <f t="shared" si="369"/>
        <v>0.37728249194414609</v>
      </c>
      <c r="S312" s="1316">
        <f t="shared" si="369"/>
        <v>0.23801975368857453</v>
      </c>
      <c r="T312" s="1316">
        <f t="shared" si="369"/>
        <v>0.205279312461633</v>
      </c>
      <c r="U312" s="1316">
        <f t="shared" si="369"/>
        <v>0.26895851084747985</v>
      </c>
      <c r="V312" s="1316">
        <f t="shared" si="369"/>
        <v>0.25581091668843042</v>
      </c>
      <c r="W312" s="1316">
        <f t="shared" si="369"/>
        <v>0.35144190498982886</v>
      </c>
      <c r="X312" s="1316">
        <f t="shared" si="369"/>
        <v>0.35234863747216627</v>
      </c>
      <c r="Y312" s="1316"/>
      <c r="Z312" s="928"/>
      <c r="AA312" s="928"/>
      <c r="AB312" s="928"/>
      <c r="AC312" s="928"/>
      <c r="AD312" s="928"/>
      <c r="AE312" s="928"/>
      <c r="AF312" s="928"/>
      <c r="AG312" s="928"/>
      <c r="AH312" s="928"/>
      <c r="AI312" s="928"/>
      <c r="AJ312" s="928"/>
      <c r="AK312" s="928"/>
      <c r="AL312" s="928"/>
      <c r="AM312" s="928"/>
      <c r="AN312" s="928"/>
      <c r="AO312" s="928"/>
      <c r="AP312" s="928"/>
      <c r="AQ312" s="928"/>
      <c r="AR312" s="928"/>
      <c r="AS312" s="928"/>
      <c r="AT312" s="928"/>
      <c r="AU312" s="928"/>
      <c r="AV312" s="928"/>
      <c r="AW312" s="928"/>
      <c r="AX312" s="928"/>
      <c r="AY312" s="928"/>
      <c r="AZ312" s="928"/>
      <c r="BA312" s="928"/>
      <c r="BB312" s="928"/>
      <c r="BC312" s="928"/>
      <c r="BD312" s="928"/>
      <c r="BE312" s="1338"/>
      <c r="BF312" s="928"/>
      <c r="BG312" s="928"/>
      <c r="BH312" s="928"/>
      <c r="BI312" s="1337"/>
      <c r="BJ312" s="1338"/>
      <c r="BK312" s="928"/>
      <c r="BL312" s="928"/>
      <c r="BM312" s="928"/>
      <c r="BN312" s="1337"/>
      <c r="BO312" s="1338"/>
      <c r="BP312" s="928"/>
      <c r="BQ312" s="928"/>
      <c r="BR312" s="928"/>
      <c r="BS312" s="1337"/>
      <c r="BT312" s="1338"/>
      <c r="BU312" s="928"/>
      <c r="BV312" s="928"/>
      <c r="BW312" s="928"/>
      <c r="BX312" s="1337"/>
      <c r="BY312" s="928"/>
      <c r="BZ312" s="928"/>
      <c r="CA312" s="928"/>
      <c r="CB312" s="928"/>
      <c r="CC312" s="928"/>
      <c r="CD312" s="928"/>
      <c r="CE312" s="928"/>
      <c r="CF312" s="928"/>
      <c r="CG312" s="928"/>
      <c r="CH312" s="928"/>
      <c r="CI312" s="928"/>
      <c r="CJ312" s="928"/>
      <c r="CK312" s="928"/>
      <c r="CL312" s="928"/>
      <c r="CM312" s="928"/>
      <c r="CN312" s="928"/>
      <c r="CO312" s="928"/>
      <c r="CP312" s="928"/>
      <c r="CQ312" s="928"/>
      <c r="CR312" s="928"/>
      <c r="CS312" s="928"/>
      <c r="CT312" s="928"/>
      <c r="CU312" s="928"/>
      <c r="CV312" s="928"/>
      <c r="CW312" s="928"/>
      <c r="CX312" s="928"/>
      <c r="CY312" s="928"/>
      <c r="CZ312" s="928"/>
      <c r="DA312" s="928"/>
      <c r="DB312" s="928"/>
      <c r="DC312" s="928"/>
      <c r="DD312" s="928"/>
      <c r="DE312" s="928"/>
      <c r="DF312" s="928"/>
      <c r="DG312" s="928"/>
      <c r="DH312" s="928"/>
      <c r="DI312" s="928"/>
      <c r="DJ312" s="928"/>
      <c r="DK312" s="928"/>
      <c r="DL312" s="928"/>
      <c r="DM312" s="928"/>
      <c r="DN312" s="928"/>
      <c r="DO312" s="928"/>
      <c r="DP312" s="928"/>
      <c r="DQ312" s="928"/>
      <c r="DR312" s="928"/>
      <c r="DS312" s="928"/>
      <c r="DT312" s="928"/>
      <c r="DU312" s="928"/>
      <c r="DV312" s="928"/>
      <c r="DW312" s="928"/>
      <c r="DX312" s="928"/>
      <c r="DY312" s="1338"/>
      <c r="DZ312" s="928"/>
      <c r="EA312" s="928"/>
      <c r="EB312" s="928"/>
      <c r="EC312" s="1337"/>
      <c r="ED312" s="1338"/>
      <c r="EE312" s="928"/>
      <c r="EF312" s="928"/>
      <c r="EG312" s="928"/>
      <c r="EH312" s="1337"/>
      <c r="EI312" s="928"/>
      <c r="EJ312" s="928"/>
      <c r="EK312" s="928"/>
      <c r="EL312" s="928"/>
      <c r="EM312" s="1337"/>
      <c r="EN312" s="928"/>
      <c r="EO312" s="928"/>
      <c r="EP312" s="928"/>
      <c r="EQ312" s="928"/>
      <c r="ER312" s="928"/>
      <c r="ES312" s="928"/>
      <c r="ET312" s="928"/>
      <c r="EU312" s="928"/>
      <c r="EV312" s="928"/>
      <c r="EW312" s="928"/>
      <c r="EX312" s="928"/>
      <c r="EY312" s="928"/>
      <c r="EZ312" s="928"/>
      <c r="FA312" s="928"/>
      <c r="FB312" s="928"/>
      <c r="FC312" s="928"/>
      <c r="FD312" s="928"/>
      <c r="FE312" s="928"/>
      <c r="FF312" s="928"/>
      <c r="FG312" s="928"/>
      <c r="FH312" s="1319"/>
      <c r="FI312" s="1319"/>
      <c r="FJ312" s="1605"/>
      <c r="FK312" s="1605"/>
      <c r="FL312" s="928"/>
      <c r="FM312" s="928"/>
      <c r="FN312" s="928"/>
      <c r="FO312" s="928"/>
      <c r="FP312" s="928"/>
      <c r="FQ312" s="928"/>
    </row>
    <row r="313" spans="1:173">
      <c r="A313" s="1484" t="s">
        <v>1510</v>
      </c>
      <c r="B313" s="1446"/>
      <c r="C313" s="1446"/>
      <c r="D313" s="1446"/>
      <c r="E313" s="1446"/>
      <c r="F313" s="1446"/>
      <c r="G313" s="1446"/>
      <c r="H313" s="1446"/>
      <c r="I313" s="1490"/>
      <c r="J313" s="1446"/>
      <c r="K313" s="1490"/>
      <c r="L313" s="1490"/>
      <c r="M313" s="1490"/>
      <c r="N313" s="1490"/>
      <c r="O313" s="1490"/>
      <c r="P313" s="1490"/>
      <c r="Q313" s="1490"/>
      <c r="R313" s="1490"/>
      <c r="S313" s="1490"/>
      <c r="T313" s="1490"/>
      <c r="U313" s="1490"/>
      <c r="V313" s="1490"/>
      <c r="W313" s="1490"/>
      <c r="X313" s="1490">
        <f>X301/X262</f>
        <v>0.47710039429784656</v>
      </c>
      <c r="Y313" s="1490">
        <f>Y301/Y262</f>
        <v>0.41423076923076924</v>
      </c>
      <c r="Z313" s="1446"/>
      <c r="AA313" s="928"/>
      <c r="AB313" s="928"/>
      <c r="AC313" s="928"/>
      <c r="AD313" s="928"/>
      <c r="AE313" s="928"/>
      <c r="AF313" s="928"/>
      <c r="AG313" s="928"/>
      <c r="AH313" s="928"/>
      <c r="AI313" s="928"/>
      <c r="AJ313" s="928"/>
      <c r="AK313" s="928"/>
      <c r="AL313" s="928"/>
      <c r="AM313" s="928"/>
      <c r="AN313" s="928"/>
      <c r="AO313" s="928"/>
      <c r="AP313" s="928"/>
      <c r="AQ313" s="928"/>
      <c r="AR313" s="928"/>
      <c r="AS313" s="928"/>
      <c r="AT313" s="928"/>
      <c r="AU313" s="928"/>
      <c r="AV313" s="928"/>
      <c r="AW313" s="928"/>
      <c r="AX313" s="928"/>
      <c r="AY313" s="928"/>
      <c r="AZ313" s="928"/>
      <c r="BA313" s="928"/>
      <c r="BB313" s="928"/>
      <c r="BC313" s="928"/>
      <c r="BD313" s="928"/>
      <c r="BE313" s="1338"/>
      <c r="BF313" s="928"/>
      <c r="BG313" s="928"/>
      <c r="BH313" s="928"/>
      <c r="BI313" s="1337"/>
      <c r="BJ313" s="1338"/>
      <c r="BK313" s="928"/>
      <c r="BL313" s="928"/>
      <c r="BM313" s="928"/>
      <c r="BN313" s="1337"/>
      <c r="BO313" s="1338"/>
      <c r="BP313" s="928"/>
      <c r="BQ313" s="928"/>
      <c r="BR313" s="928"/>
      <c r="BS313" s="1337"/>
      <c r="BT313" s="1338"/>
      <c r="BU313" s="928"/>
      <c r="BV313" s="928"/>
      <c r="BW313" s="928"/>
      <c r="BX313" s="1337"/>
      <c r="BY313" s="928"/>
      <c r="BZ313" s="928"/>
      <c r="CA313" s="928"/>
      <c r="CB313" s="928"/>
      <c r="CC313" s="928"/>
      <c r="CD313" s="928"/>
      <c r="CE313" s="928"/>
      <c r="CF313" s="928"/>
      <c r="CG313" s="928"/>
      <c r="CH313" s="928"/>
      <c r="CI313" s="928"/>
      <c r="CJ313" s="928"/>
      <c r="CK313" s="928"/>
      <c r="CL313" s="928"/>
      <c r="CM313" s="928"/>
      <c r="CN313" s="928"/>
      <c r="CO313" s="928"/>
      <c r="CP313" s="928"/>
      <c r="CQ313" s="928"/>
      <c r="CR313" s="928"/>
      <c r="CS313" s="928"/>
      <c r="CT313" s="928"/>
      <c r="CU313" s="928"/>
      <c r="CV313" s="928"/>
      <c r="CW313" s="928"/>
      <c r="CX313" s="928"/>
      <c r="CY313" s="928"/>
      <c r="CZ313" s="928"/>
      <c r="DA313" s="928"/>
      <c r="DB313" s="928"/>
      <c r="DC313" s="928"/>
      <c r="DD313" s="928"/>
      <c r="DE313" s="928"/>
      <c r="DF313" s="928"/>
      <c r="DG313" s="928"/>
      <c r="DH313" s="928"/>
      <c r="DI313" s="928"/>
      <c r="DJ313" s="928"/>
      <c r="DK313" s="928"/>
      <c r="DL313" s="928"/>
      <c r="DM313" s="928"/>
      <c r="DN313" s="928"/>
      <c r="DO313" s="928"/>
      <c r="DP313" s="928"/>
      <c r="DQ313" s="928"/>
      <c r="DR313" s="928"/>
      <c r="DS313" s="928"/>
      <c r="DT313" s="928"/>
      <c r="DU313" s="928"/>
      <c r="DV313" s="928"/>
      <c r="DW313" s="928"/>
      <c r="DX313" s="928"/>
      <c r="DY313" s="1338"/>
      <c r="DZ313" s="928"/>
      <c r="EA313" s="928"/>
      <c r="EB313" s="928"/>
      <c r="EC313" s="1337"/>
      <c r="ED313" s="1338"/>
      <c r="EE313" s="928"/>
      <c r="EF313" s="928"/>
      <c r="EG313" s="928"/>
      <c r="EH313" s="1337"/>
      <c r="EI313" s="928"/>
      <c r="EJ313" s="928"/>
      <c r="EK313" s="928"/>
      <c r="EL313" s="928"/>
      <c r="EM313" s="1337"/>
      <c r="EN313" s="928"/>
      <c r="EO313" s="928"/>
      <c r="EP313" s="928"/>
      <c r="EQ313" s="928"/>
      <c r="ER313" s="928"/>
      <c r="ES313" s="928"/>
      <c r="ET313" s="928"/>
      <c r="EU313" s="928"/>
      <c r="EV313" s="928"/>
      <c r="EW313" s="928"/>
      <c r="EX313" s="928"/>
      <c r="EY313" s="928"/>
      <c r="EZ313" s="928"/>
      <c r="FA313" s="928"/>
      <c r="FB313" s="928"/>
      <c r="FC313" s="928"/>
      <c r="FD313" s="928"/>
      <c r="FE313" s="928"/>
      <c r="FF313" s="928"/>
      <c r="FG313" s="928"/>
      <c r="FH313" s="1319"/>
      <c r="FI313" s="1319"/>
      <c r="FJ313" s="1605"/>
      <c r="FK313" s="1605"/>
      <c r="FL313" s="928"/>
      <c r="FM313" s="928"/>
      <c r="FN313" s="928"/>
      <c r="FO313" s="928"/>
      <c r="FP313" s="928"/>
      <c r="FQ313" s="928"/>
    </row>
    <row r="314" spans="1:173">
      <c r="A314" s="1344" t="str">
        <f>A302</f>
        <v>Total</v>
      </c>
      <c r="B314" s="928"/>
      <c r="C314" s="928"/>
      <c r="D314" s="928"/>
      <c r="E314" s="928"/>
      <c r="F314" s="928"/>
      <c r="G314" s="928"/>
      <c r="H314" s="928"/>
      <c r="I314" s="1316">
        <f>I302/I264</f>
        <v>0.35530399363161025</v>
      </c>
      <c r="J314" s="928"/>
      <c r="K314" s="1316">
        <f t="shared" ref="K314:Y314" si="370">K302/K264</f>
        <v>0.3569089624963438</v>
      </c>
      <c r="L314" s="1316">
        <f t="shared" si="370"/>
        <v>0.36225518061082118</v>
      </c>
      <c r="M314" s="1316">
        <f t="shared" si="370"/>
        <v>0.38397845673730313</v>
      </c>
      <c r="N314" s="1316">
        <f t="shared" si="370"/>
        <v>0.37232178614337197</v>
      </c>
      <c r="O314" s="1316">
        <f t="shared" si="370"/>
        <v>0.39635261283803286</v>
      </c>
      <c r="P314" s="1316">
        <f t="shared" si="370"/>
        <v>0.3790262078623588</v>
      </c>
      <c r="Q314" s="1316">
        <f t="shared" si="370"/>
        <v>0.36284811521787053</v>
      </c>
      <c r="R314" s="1316">
        <f t="shared" si="370"/>
        <v>0.38338301043219081</v>
      </c>
      <c r="S314" s="1316">
        <f t="shared" si="370"/>
        <v>0.33148986463885111</v>
      </c>
      <c r="T314" s="1316">
        <f t="shared" si="370"/>
        <v>0.37262752075919331</v>
      </c>
      <c r="U314" s="1316">
        <f t="shared" si="370"/>
        <v>0.36249161083368409</v>
      </c>
      <c r="V314" s="1316">
        <f t="shared" si="370"/>
        <v>0.36767578125</v>
      </c>
      <c r="W314" s="1316">
        <f t="shared" si="370"/>
        <v>0.39750372806569567</v>
      </c>
      <c r="X314" s="1316">
        <f t="shared" si="370"/>
        <v>0.35949651689948764</v>
      </c>
      <c r="Y314" s="1316">
        <f t="shared" si="370"/>
        <v>0</v>
      </c>
      <c r="Z314" s="928"/>
      <c r="AA314" s="928"/>
      <c r="AB314" s="928"/>
      <c r="AC314" s="928"/>
      <c r="AD314" s="928"/>
      <c r="AE314" s="928"/>
      <c r="AF314" s="928"/>
      <c r="AG314" s="928"/>
      <c r="AH314" s="928"/>
      <c r="AI314" s="928"/>
      <c r="AJ314" s="928"/>
      <c r="AK314" s="928"/>
      <c r="AL314" s="928"/>
      <c r="AM314" s="928"/>
      <c r="AN314" s="928"/>
      <c r="AO314" s="928"/>
      <c r="AP314" s="928"/>
      <c r="AQ314" s="928"/>
      <c r="AR314" s="928"/>
      <c r="AS314" s="928"/>
      <c r="AT314" s="928"/>
      <c r="AU314" s="928"/>
      <c r="AV314" s="928"/>
      <c r="AW314" s="928"/>
      <c r="AX314" s="928"/>
      <c r="AY314" s="928"/>
      <c r="AZ314" s="928"/>
      <c r="BA314" s="928"/>
      <c r="BB314" s="928"/>
      <c r="BC314" s="928"/>
      <c r="BD314" s="928"/>
      <c r="BE314" s="1338"/>
      <c r="BF314" s="928"/>
      <c r="BG314" s="928"/>
      <c r="BH314" s="928"/>
      <c r="BI314" s="1337"/>
      <c r="BJ314" s="1338"/>
      <c r="BK314" s="928"/>
      <c r="BL314" s="928"/>
      <c r="BM314" s="928"/>
      <c r="BN314" s="1337"/>
      <c r="BO314" s="1338"/>
      <c r="BP314" s="928"/>
      <c r="BQ314" s="928"/>
      <c r="BR314" s="928"/>
      <c r="BS314" s="1337"/>
      <c r="BT314" s="1338"/>
      <c r="BU314" s="928"/>
      <c r="BV314" s="928"/>
      <c r="BW314" s="928"/>
      <c r="BX314" s="1337"/>
      <c r="BY314" s="928"/>
      <c r="BZ314" s="928"/>
      <c r="CA314" s="928"/>
      <c r="CB314" s="928"/>
      <c r="CC314" s="928"/>
      <c r="CD314" s="928"/>
      <c r="CE314" s="928"/>
      <c r="CF314" s="928"/>
      <c r="CG314" s="928"/>
      <c r="CH314" s="928"/>
      <c r="CI314" s="928"/>
      <c r="CJ314" s="928"/>
      <c r="CK314" s="928"/>
      <c r="CL314" s="928"/>
      <c r="CM314" s="928"/>
      <c r="CN314" s="928"/>
      <c r="CO314" s="928"/>
      <c r="CP314" s="928"/>
      <c r="CQ314" s="928"/>
      <c r="CR314" s="928"/>
      <c r="CS314" s="928"/>
      <c r="CT314" s="928"/>
      <c r="CU314" s="928"/>
      <c r="CV314" s="928"/>
      <c r="CW314" s="928"/>
      <c r="CX314" s="928"/>
      <c r="CY314" s="928"/>
      <c r="CZ314" s="928"/>
      <c r="DA314" s="928"/>
      <c r="DB314" s="928"/>
      <c r="DC314" s="928"/>
      <c r="DD314" s="928"/>
      <c r="DE314" s="928"/>
      <c r="DF314" s="928"/>
      <c r="DG314" s="928"/>
      <c r="DH314" s="928"/>
      <c r="DI314" s="928"/>
      <c r="DJ314" s="928"/>
      <c r="DK314" s="928"/>
      <c r="DL314" s="928"/>
      <c r="DM314" s="928"/>
      <c r="DN314" s="928"/>
      <c r="DO314" s="928"/>
      <c r="DP314" s="928"/>
      <c r="DQ314" s="928"/>
      <c r="DR314" s="928"/>
      <c r="DS314" s="928"/>
      <c r="DT314" s="928"/>
      <c r="DU314" s="928"/>
      <c r="DV314" s="928"/>
      <c r="DW314" s="928"/>
      <c r="DX314" s="928"/>
      <c r="DY314" s="1338"/>
      <c r="DZ314" s="928"/>
      <c r="EA314" s="928"/>
      <c r="EB314" s="928"/>
      <c r="EC314" s="1337"/>
      <c r="ED314" s="1338"/>
      <c r="EE314" s="928"/>
      <c r="EF314" s="928"/>
      <c r="EG314" s="928"/>
      <c r="EH314" s="1337"/>
      <c r="EI314" s="928"/>
      <c r="EJ314" s="928"/>
      <c r="EK314" s="928"/>
      <c r="EL314" s="928"/>
      <c r="EM314" s="1337"/>
      <c r="EN314" s="928"/>
      <c r="EO314" s="928"/>
      <c r="EP314" s="928"/>
      <c r="EQ314" s="928"/>
      <c r="ER314" s="928"/>
      <c r="ES314" s="928"/>
      <c r="ET314" s="928"/>
      <c r="EU314" s="928"/>
      <c r="EV314" s="928"/>
      <c r="EW314" s="928"/>
      <c r="EX314" s="928"/>
      <c r="EY314" s="928"/>
      <c r="EZ314" s="928"/>
      <c r="FA314" s="928"/>
      <c r="FB314" s="928"/>
      <c r="FC314" s="928"/>
      <c r="FD314" s="928"/>
      <c r="FE314" s="928"/>
      <c r="FF314" s="928"/>
      <c r="FG314" s="928"/>
      <c r="FH314" s="1319"/>
      <c r="FI314" s="1319"/>
      <c r="FJ314" s="1605"/>
      <c r="FK314" s="1605"/>
      <c r="FL314" s="928"/>
      <c r="FM314" s="928"/>
      <c r="FN314" s="928"/>
      <c r="FO314" s="928"/>
      <c r="FP314" s="928"/>
      <c r="FQ314" s="928"/>
    </row>
    <row r="315" spans="1:173">
      <c r="A315" s="1206"/>
      <c r="B315" s="928"/>
      <c r="C315" s="928"/>
      <c r="D315" s="928"/>
      <c r="E315" s="928"/>
      <c r="F315" s="928"/>
      <c r="G315" s="928"/>
      <c r="H315" s="928"/>
      <c r="I315" s="1316"/>
      <c r="J315" s="928"/>
      <c r="K315" s="1316"/>
      <c r="L315" s="1316"/>
      <c r="M315" s="1316"/>
      <c r="N315" s="1316"/>
      <c r="O315" s="1316"/>
      <c r="P315" s="1316"/>
      <c r="Q315" s="1316"/>
      <c r="R315" s="1316"/>
      <c r="S315" s="1316"/>
      <c r="T315" s="1316"/>
      <c r="U315" s="1316"/>
      <c r="V315" s="1316"/>
      <c r="W315" s="1316"/>
      <c r="X315" s="1316"/>
      <c r="Y315" s="1316"/>
      <c r="Z315" s="928"/>
      <c r="AA315" s="928"/>
      <c r="AB315" s="928"/>
      <c r="AC315" s="928"/>
      <c r="AD315" s="928"/>
      <c r="AE315" s="928"/>
      <c r="AF315" s="928"/>
      <c r="AG315" s="928"/>
      <c r="AH315" s="928"/>
      <c r="AI315" s="928"/>
      <c r="AJ315" s="928"/>
      <c r="AK315" s="928"/>
      <c r="AL315" s="928"/>
      <c r="AM315" s="928"/>
      <c r="AN315" s="928"/>
      <c r="AO315" s="928"/>
      <c r="AP315" s="928"/>
      <c r="AQ315" s="928"/>
      <c r="AR315" s="928"/>
      <c r="AS315" s="928"/>
      <c r="AT315" s="928"/>
      <c r="AU315" s="928"/>
      <c r="AV315" s="928"/>
      <c r="AW315" s="928"/>
      <c r="AX315" s="928"/>
      <c r="AY315" s="928"/>
      <c r="AZ315" s="928"/>
      <c r="BA315" s="928"/>
      <c r="BB315" s="928"/>
      <c r="BC315" s="928"/>
      <c r="BD315" s="928"/>
      <c r="BE315" s="1338"/>
      <c r="BF315" s="928"/>
      <c r="BG315" s="928"/>
      <c r="BH315" s="928"/>
      <c r="BI315" s="1337"/>
      <c r="BJ315" s="1338"/>
      <c r="BK315" s="928"/>
      <c r="BL315" s="928"/>
      <c r="BM315" s="928"/>
      <c r="BN315" s="1337"/>
      <c r="BO315" s="1338"/>
      <c r="BP315" s="928"/>
      <c r="BQ315" s="928"/>
      <c r="BR315" s="928"/>
      <c r="BS315" s="1337"/>
      <c r="BT315" s="1338"/>
      <c r="BU315" s="928"/>
      <c r="BV315" s="928"/>
      <c r="BW315" s="928"/>
      <c r="BX315" s="1337"/>
      <c r="BY315" s="928"/>
      <c r="BZ315" s="928"/>
      <c r="CA315" s="928"/>
      <c r="CB315" s="928"/>
      <c r="CC315" s="928"/>
      <c r="CD315" s="928"/>
      <c r="CE315" s="928"/>
      <c r="CF315" s="928"/>
      <c r="CG315" s="928"/>
      <c r="CH315" s="928"/>
      <c r="CI315" s="928"/>
      <c r="CJ315" s="928"/>
      <c r="CK315" s="928"/>
      <c r="CL315" s="928"/>
      <c r="CM315" s="928"/>
      <c r="CN315" s="928"/>
      <c r="CO315" s="928"/>
      <c r="CP315" s="928"/>
      <c r="CQ315" s="928"/>
      <c r="CR315" s="928"/>
      <c r="CS315" s="928"/>
      <c r="CT315" s="928"/>
      <c r="CU315" s="928"/>
      <c r="CV315" s="928"/>
      <c r="CW315" s="928"/>
      <c r="CX315" s="928"/>
      <c r="CY315" s="928"/>
      <c r="CZ315" s="928"/>
      <c r="DA315" s="928"/>
      <c r="DB315" s="928"/>
      <c r="DC315" s="928"/>
      <c r="DD315" s="928"/>
      <c r="DE315" s="928"/>
      <c r="DF315" s="928"/>
      <c r="DG315" s="928"/>
      <c r="DH315" s="928"/>
      <c r="DI315" s="928"/>
      <c r="DJ315" s="928"/>
      <c r="DK315" s="928"/>
      <c r="DL315" s="928"/>
      <c r="DM315" s="928"/>
      <c r="DN315" s="928"/>
      <c r="DO315" s="928"/>
      <c r="DP315" s="928"/>
      <c r="DQ315" s="928"/>
      <c r="DR315" s="928"/>
      <c r="DS315" s="928"/>
      <c r="DT315" s="928"/>
      <c r="DU315" s="928"/>
      <c r="DV315" s="928"/>
      <c r="DW315" s="928"/>
      <c r="DX315" s="928"/>
      <c r="DY315" s="1338"/>
      <c r="DZ315" s="928"/>
      <c r="EA315" s="928"/>
      <c r="EB315" s="928"/>
      <c r="EC315" s="1337"/>
      <c r="ED315" s="1338"/>
      <c r="EE315" s="928"/>
      <c r="EF315" s="928"/>
      <c r="EG315" s="928"/>
      <c r="EH315" s="1337"/>
      <c r="EI315" s="928"/>
      <c r="EJ315" s="928"/>
      <c r="EK315" s="928"/>
      <c r="EL315" s="928"/>
      <c r="EM315" s="1337"/>
      <c r="EN315" s="928"/>
      <c r="EO315" s="928"/>
      <c r="EP315" s="928"/>
      <c r="EQ315" s="928"/>
      <c r="ER315" s="928"/>
      <c r="ES315" s="928"/>
      <c r="ET315" s="928"/>
      <c r="EU315" s="928"/>
      <c r="EV315" s="928"/>
      <c r="EW315" s="928"/>
      <c r="EX315" s="928"/>
      <c r="EY315" s="928"/>
      <c r="EZ315" s="928"/>
      <c r="FA315" s="928"/>
      <c r="FB315" s="928"/>
      <c r="FC315" s="928"/>
      <c r="FD315" s="928"/>
      <c r="FE315" s="928"/>
      <c r="FF315" s="928"/>
      <c r="FG315" s="928"/>
      <c r="FH315" s="1319"/>
      <c r="FI315" s="1319"/>
      <c r="FJ315" s="1605"/>
      <c r="FK315" s="1605"/>
      <c r="FL315" s="928"/>
      <c r="FM315" s="928"/>
      <c r="FN315" s="928"/>
      <c r="FO315" s="928"/>
      <c r="FP315" s="928"/>
      <c r="FQ315" s="928"/>
    </row>
    <row r="316" spans="1:173">
      <c r="A316" s="1219" t="s">
        <v>2009</v>
      </c>
      <c r="B316" s="1446"/>
      <c r="C316" s="1446"/>
      <c r="D316" s="1446"/>
      <c r="E316" s="1446"/>
      <c r="F316" s="1446"/>
      <c r="G316" s="1446"/>
      <c r="H316" s="1446"/>
      <c r="I316" s="1490"/>
      <c r="J316" s="1446"/>
      <c r="K316" s="1490"/>
      <c r="L316" s="1490"/>
      <c r="M316" s="1490"/>
      <c r="N316" s="1490"/>
      <c r="O316" s="1490"/>
      <c r="P316" s="1490"/>
      <c r="Q316" s="1490" t="e">
        <f>Q306/Q270</f>
        <v>#DIV/0!</v>
      </c>
      <c r="R316" s="1490" t="e">
        <f>R306/R270</f>
        <v>#DIV/0!</v>
      </c>
      <c r="S316" s="1490" t="e">
        <f>S306/S270</f>
        <v>#DIV/0!</v>
      </c>
      <c r="T316" s="1490" t="e">
        <f>T306/T270</f>
        <v>#DIV/0!</v>
      </c>
      <c r="U316" s="1490"/>
      <c r="V316" s="1490" t="e">
        <f>V306/V270</f>
        <v>#DIV/0!</v>
      </c>
      <c r="W316" s="1490" t="e">
        <f>W306/W270</f>
        <v>#DIV/0!</v>
      </c>
      <c r="X316" s="1490">
        <f>X306/X270</f>
        <v>0.72594508555511339</v>
      </c>
      <c r="Y316" s="1490">
        <f>Y306/Y270</f>
        <v>0.80073671965878246</v>
      </c>
      <c r="Z316" s="1446"/>
      <c r="AA316" s="1446"/>
      <c r="AB316" s="1446"/>
      <c r="AC316" s="1446"/>
      <c r="AD316" s="1446"/>
      <c r="AE316" s="1446"/>
      <c r="AF316" s="1446"/>
      <c r="AG316" s="1446"/>
      <c r="AH316" s="1446"/>
      <c r="AI316" s="1446"/>
      <c r="AJ316" s="1446"/>
      <c r="AK316" s="1446"/>
      <c r="AL316" s="1446"/>
      <c r="AM316" s="1446"/>
      <c r="AN316" s="1446"/>
      <c r="AO316" s="1446"/>
      <c r="AP316" s="1446"/>
      <c r="AQ316" s="1446"/>
      <c r="AR316" s="1446"/>
      <c r="AS316" s="1446"/>
      <c r="AT316" s="1446"/>
      <c r="AU316" s="1446"/>
      <c r="AV316" s="1446"/>
      <c r="AW316" s="1446"/>
      <c r="AX316" s="1446"/>
      <c r="AY316" s="1446"/>
      <c r="AZ316" s="1446"/>
      <c r="BA316" s="1446"/>
      <c r="BB316" s="1446"/>
      <c r="BC316" s="1446"/>
      <c r="BD316" s="1446"/>
      <c r="BE316" s="1527"/>
      <c r="BF316" s="1446"/>
      <c r="BG316" s="1446"/>
      <c r="BH316" s="1446"/>
      <c r="BI316" s="1399"/>
      <c r="BJ316" s="1527"/>
      <c r="BK316" s="1446"/>
      <c r="BL316" s="1446"/>
      <c r="BM316" s="1446"/>
      <c r="BN316" s="1399"/>
      <c r="BO316" s="1527"/>
      <c r="BP316" s="1446"/>
      <c r="BQ316" s="1446"/>
      <c r="BR316" s="1446"/>
      <c r="BS316" s="1399"/>
      <c r="BT316" s="1527"/>
      <c r="BU316" s="1446"/>
      <c r="BV316" s="1446"/>
      <c r="BW316" s="1446"/>
      <c r="BX316" s="1399"/>
      <c r="BY316" s="928"/>
      <c r="BZ316" s="928"/>
      <c r="CA316" s="928"/>
      <c r="CB316" s="928"/>
      <c r="CC316" s="928"/>
      <c r="CD316" s="928"/>
      <c r="CE316" s="928"/>
      <c r="CF316" s="928"/>
      <c r="CG316" s="928"/>
      <c r="CH316" s="928"/>
      <c r="CI316" s="928"/>
      <c r="CJ316" s="928"/>
      <c r="CK316" s="928"/>
      <c r="CL316" s="928"/>
      <c r="CM316" s="928"/>
      <c r="CN316" s="928"/>
      <c r="CO316" s="928"/>
      <c r="CP316" s="928"/>
      <c r="CQ316" s="928"/>
      <c r="CR316" s="928"/>
      <c r="CS316" s="928"/>
      <c r="CT316" s="928"/>
      <c r="CU316" s="928"/>
      <c r="CV316" s="928"/>
      <c r="CW316" s="928"/>
      <c r="CX316" s="928"/>
      <c r="CY316" s="928"/>
      <c r="CZ316" s="928"/>
      <c r="DA316" s="928"/>
      <c r="DB316" s="928"/>
      <c r="DC316" s="928"/>
      <c r="DD316" s="928"/>
      <c r="DE316" s="928"/>
      <c r="DF316" s="928"/>
      <c r="DG316" s="928"/>
      <c r="DH316" s="928"/>
      <c r="DI316" s="928"/>
      <c r="DJ316" s="928"/>
      <c r="DK316" s="928"/>
      <c r="DL316" s="928"/>
      <c r="DM316" s="928"/>
      <c r="DN316" s="928"/>
      <c r="DO316" s="928"/>
      <c r="DP316" s="928"/>
      <c r="DQ316" s="928"/>
      <c r="DR316" s="928"/>
      <c r="DS316" s="928"/>
      <c r="DT316" s="928"/>
      <c r="DU316" s="928"/>
      <c r="DV316" s="928"/>
      <c r="DW316" s="928"/>
      <c r="DX316" s="928"/>
      <c r="DY316" s="1527"/>
      <c r="DZ316" s="1446"/>
      <c r="EA316" s="1446"/>
      <c r="EB316" s="1446"/>
      <c r="EC316" s="1399"/>
      <c r="ED316" s="1527"/>
      <c r="EE316" s="1446"/>
      <c r="EF316" s="1446"/>
      <c r="EG316" s="1446"/>
      <c r="EH316" s="1399"/>
      <c r="EI316" s="1446"/>
      <c r="EJ316" s="1446"/>
      <c r="EK316" s="1446"/>
      <c r="EL316" s="1446"/>
      <c r="EM316" s="1399"/>
      <c r="EN316" s="928"/>
      <c r="EO316" s="928"/>
      <c r="EP316" s="928"/>
      <c r="EQ316" s="928"/>
      <c r="ER316" s="928"/>
      <c r="ES316" s="928"/>
      <c r="ET316" s="928"/>
      <c r="EU316" s="928"/>
      <c r="EV316" s="928"/>
      <c r="EW316" s="928"/>
      <c r="EX316" s="928"/>
      <c r="EY316" s="928"/>
      <c r="EZ316" s="928"/>
      <c r="FA316" s="928"/>
      <c r="FB316" s="928"/>
      <c r="FC316" s="928"/>
      <c r="FD316" s="928"/>
      <c r="FE316" s="928"/>
      <c r="FF316" s="928"/>
      <c r="FG316" s="928"/>
      <c r="FH316" s="1319"/>
      <c r="FI316" s="1319"/>
      <c r="FJ316" s="1633"/>
      <c r="FK316" s="1605"/>
      <c r="FL316" s="928"/>
      <c r="FM316" s="928"/>
      <c r="FN316" s="928"/>
      <c r="FO316" s="928"/>
      <c r="FP316" s="928"/>
      <c r="FQ316" s="928"/>
    </row>
    <row r="317" spans="1:173">
      <c r="A317" s="928"/>
      <c r="B317" s="928"/>
      <c r="C317" s="928"/>
      <c r="D317" s="928"/>
      <c r="E317" s="928"/>
      <c r="F317" s="928"/>
      <c r="G317" s="928"/>
      <c r="H317" s="928"/>
      <c r="I317" s="928"/>
      <c r="J317" s="928"/>
      <c r="K317" s="928"/>
      <c r="L317" s="928"/>
      <c r="M317" s="928"/>
      <c r="N317" s="928"/>
      <c r="O317" s="928"/>
      <c r="P317" s="928"/>
      <c r="Q317" s="928"/>
      <c r="R317" s="928"/>
      <c r="S317" s="928"/>
      <c r="T317" s="928"/>
      <c r="U317" s="928"/>
      <c r="V317" s="928"/>
      <c r="W317" s="928"/>
      <c r="X317" s="928"/>
      <c r="Y317" s="928"/>
      <c r="Z317" s="928"/>
      <c r="AA317" s="928"/>
      <c r="AB317" s="928"/>
      <c r="AC317" s="928"/>
      <c r="AD317" s="928"/>
      <c r="AE317" s="928"/>
      <c r="AF317" s="928"/>
      <c r="AG317" s="928"/>
      <c r="AH317" s="928"/>
      <c r="AI317" s="928"/>
      <c r="AJ317" s="928"/>
      <c r="AK317" s="928"/>
      <c r="AL317" s="928"/>
      <c r="AM317" s="928"/>
      <c r="AN317" s="928"/>
      <c r="AO317" s="928"/>
      <c r="AP317" s="928"/>
      <c r="AQ317" s="928"/>
      <c r="AR317" s="928"/>
      <c r="AS317" s="928"/>
      <c r="AT317" s="928"/>
      <c r="AU317" s="928"/>
      <c r="AV317" s="928"/>
      <c r="AW317" s="928"/>
      <c r="AX317" s="928"/>
      <c r="AY317" s="928"/>
      <c r="AZ317" s="928"/>
      <c r="BA317" s="928"/>
      <c r="BB317" s="928"/>
      <c r="BC317" s="928"/>
      <c r="BD317" s="928"/>
      <c r="BE317" s="928"/>
      <c r="BF317" s="928"/>
      <c r="BG317" s="928"/>
      <c r="BH317" s="928"/>
      <c r="BI317" s="928"/>
      <c r="BJ317" s="928"/>
      <c r="BK317" s="928"/>
      <c r="BL317" s="928"/>
      <c r="BM317" s="928"/>
      <c r="BN317" s="928"/>
      <c r="BO317" s="928"/>
      <c r="BP317" s="928"/>
      <c r="BQ317" s="928"/>
      <c r="BR317" s="928"/>
      <c r="BS317" s="928"/>
      <c r="BT317" s="928"/>
      <c r="BU317" s="928"/>
      <c r="BV317" s="928"/>
      <c r="BW317" s="928"/>
      <c r="BX317" s="928"/>
      <c r="BY317" s="928"/>
      <c r="BZ317" s="928"/>
      <c r="CA317" s="928"/>
      <c r="CB317" s="928"/>
      <c r="CC317" s="928"/>
      <c r="CD317" s="928"/>
      <c r="CE317" s="928"/>
      <c r="CF317" s="928"/>
      <c r="CG317" s="928"/>
      <c r="CH317" s="928"/>
      <c r="CI317" s="928"/>
      <c r="CJ317" s="928"/>
      <c r="CK317" s="928"/>
      <c r="CL317" s="928"/>
      <c r="CM317" s="928"/>
      <c r="CN317" s="928"/>
      <c r="CO317" s="928"/>
      <c r="CP317" s="928"/>
      <c r="CQ317" s="928"/>
      <c r="CR317" s="928"/>
      <c r="CS317" s="928"/>
      <c r="CT317" s="928"/>
      <c r="CU317" s="928"/>
      <c r="CV317" s="928"/>
      <c r="CW317" s="928"/>
      <c r="CX317" s="928"/>
      <c r="CY317" s="928"/>
      <c r="CZ317" s="928"/>
      <c r="DA317" s="928"/>
      <c r="DB317" s="928"/>
      <c r="DC317" s="928"/>
      <c r="DD317" s="928"/>
      <c r="DE317" s="928"/>
      <c r="DF317" s="928"/>
      <c r="DG317" s="928"/>
      <c r="DH317" s="928"/>
      <c r="DI317" s="928"/>
      <c r="DJ317" s="928"/>
      <c r="DK317" s="928"/>
      <c r="DL317" s="928"/>
      <c r="DM317" s="928"/>
      <c r="DN317" s="928"/>
      <c r="DO317" s="928"/>
      <c r="DP317" s="928"/>
      <c r="DQ317" s="928"/>
      <c r="DR317" s="928"/>
      <c r="DS317" s="928"/>
      <c r="DT317" s="928"/>
      <c r="DU317" s="928"/>
      <c r="DV317" s="928"/>
      <c r="DW317" s="928"/>
      <c r="DX317" s="928"/>
      <c r="DY317" s="928"/>
      <c r="DZ317" s="928"/>
      <c r="EA317" s="928"/>
      <c r="EB317" s="928"/>
      <c r="EC317" s="928"/>
      <c r="ED317" s="928"/>
      <c r="EE317" s="928"/>
      <c r="EF317" s="928"/>
      <c r="EG317" s="928"/>
      <c r="EH317" s="928"/>
      <c r="EI317" s="928"/>
      <c r="EJ317" s="928"/>
      <c r="EK317" s="928"/>
      <c r="EL317" s="928"/>
      <c r="EM317" s="928"/>
      <c r="EN317" s="928"/>
      <c r="EO317" s="928"/>
      <c r="EP317" s="928"/>
      <c r="EQ317" s="928"/>
      <c r="ER317" s="928"/>
      <c r="ES317" s="928"/>
      <c r="ET317" s="928"/>
      <c r="EU317" s="928"/>
      <c r="EV317" s="928"/>
      <c r="EW317" s="928"/>
      <c r="EX317" s="928"/>
      <c r="EY317" s="928"/>
      <c r="EZ317" s="928"/>
      <c r="FA317" s="928"/>
      <c r="FB317" s="928"/>
      <c r="FC317" s="928"/>
      <c r="FD317" s="928"/>
      <c r="FE317" s="928"/>
      <c r="FF317" s="928"/>
      <c r="FG317" s="928"/>
      <c r="FH317" s="1319"/>
      <c r="FI317" s="1319"/>
      <c r="FJ317" s="928"/>
      <c r="FK317" s="928"/>
      <c r="FL317" s="928"/>
      <c r="FM317" s="928"/>
      <c r="FN317" s="928"/>
      <c r="FO317" s="928"/>
      <c r="FP317" s="928"/>
      <c r="FQ317" s="928"/>
    </row>
    <row r="318" spans="1:173">
      <c r="A318" s="928"/>
      <c r="B318" s="928"/>
      <c r="C318" s="928"/>
      <c r="D318" s="928"/>
      <c r="E318" s="928"/>
      <c r="F318" s="928"/>
      <c r="G318" s="928"/>
      <c r="H318" s="928"/>
      <c r="I318" s="928"/>
      <c r="J318" s="928"/>
      <c r="K318" s="928"/>
      <c r="L318" s="928"/>
      <c r="M318" s="928"/>
      <c r="N318" s="928"/>
      <c r="O318" s="928"/>
      <c r="P318" s="928"/>
      <c r="Q318" s="928"/>
      <c r="R318" s="928"/>
      <c r="S318" s="928"/>
      <c r="T318" s="928"/>
      <c r="U318" s="928"/>
      <c r="V318" s="928"/>
      <c r="W318" s="928"/>
      <c r="X318" s="928"/>
      <c r="Y318" s="928"/>
      <c r="Z318" s="928"/>
      <c r="AA318" s="928"/>
      <c r="AB318" s="928"/>
      <c r="AC318" s="928"/>
      <c r="AD318" s="928"/>
      <c r="AE318" s="928"/>
      <c r="AF318" s="928"/>
      <c r="AG318" s="928"/>
      <c r="AH318" s="928"/>
      <c r="AI318" s="928"/>
      <c r="AJ318" s="928"/>
      <c r="AK318" s="928"/>
      <c r="AL318" s="928"/>
      <c r="AM318" s="928"/>
      <c r="AN318" s="928"/>
      <c r="AO318" s="928"/>
      <c r="AP318" s="928"/>
      <c r="AQ318" s="928"/>
      <c r="AR318" s="928"/>
      <c r="AS318" s="928"/>
      <c r="AT318" s="928"/>
      <c r="AU318" s="928"/>
      <c r="AV318" s="928"/>
      <c r="AW318" s="928"/>
      <c r="AX318" s="928"/>
      <c r="AY318" s="928"/>
      <c r="AZ318" s="928"/>
      <c r="BA318" s="928"/>
      <c r="BB318" s="928"/>
      <c r="BC318" s="928"/>
      <c r="BD318" s="928"/>
      <c r="BE318" s="928"/>
      <c r="BF318" s="928"/>
      <c r="BG318" s="928"/>
      <c r="BH318" s="928"/>
      <c r="BI318" s="928"/>
      <c r="BJ318" s="928"/>
      <c r="BK318" s="928"/>
      <c r="BL318" s="928"/>
      <c r="BM318" s="928"/>
      <c r="BN318" s="928"/>
      <c r="BO318" s="928"/>
      <c r="BP318" s="928"/>
      <c r="BQ318" s="928"/>
      <c r="BR318" s="928"/>
      <c r="BS318" s="928"/>
      <c r="BT318" s="928"/>
      <c r="BU318" s="928"/>
      <c r="BV318" s="928"/>
      <c r="BW318" s="928"/>
      <c r="BX318" s="928"/>
      <c r="BY318" s="928"/>
      <c r="BZ318" s="928"/>
      <c r="CA318" s="928"/>
      <c r="CB318" s="928"/>
      <c r="CC318" s="928"/>
      <c r="CD318" s="928"/>
      <c r="CE318" s="928"/>
      <c r="CF318" s="928"/>
      <c r="CG318" s="928"/>
      <c r="CH318" s="928"/>
      <c r="CI318" s="928"/>
      <c r="CJ318" s="928"/>
      <c r="CK318" s="928"/>
      <c r="CL318" s="928"/>
      <c r="CM318" s="928"/>
      <c r="CN318" s="928"/>
      <c r="CO318" s="928"/>
      <c r="CP318" s="928"/>
      <c r="CQ318" s="928"/>
      <c r="CR318" s="928"/>
      <c r="CS318" s="928"/>
      <c r="CT318" s="928"/>
      <c r="CU318" s="928"/>
      <c r="CV318" s="928"/>
      <c r="CW318" s="928"/>
      <c r="CX318" s="928"/>
      <c r="CY318" s="928"/>
      <c r="CZ318" s="928"/>
      <c r="DA318" s="928"/>
      <c r="DB318" s="928"/>
      <c r="DC318" s="928"/>
      <c r="DD318" s="928"/>
      <c r="DE318" s="928"/>
      <c r="DF318" s="928"/>
      <c r="DG318" s="928"/>
      <c r="DH318" s="928"/>
      <c r="DI318" s="928"/>
      <c r="DJ318" s="928"/>
      <c r="DK318" s="928"/>
      <c r="DL318" s="928"/>
      <c r="DM318" s="928"/>
      <c r="DN318" s="928"/>
      <c r="DO318" s="928"/>
      <c r="DP318" s="928"/>
      <c r="DQ318" s="928"/>
      <c r="DR318" s="928"/>
      <c r="DS318" s="928"/>
      <c r="DT318" s="928"/>
      <c r="DU318" s="928"/>
      <c r="DV318" s="928"/>
      <c r="DW318" s="928"/>
      <c r="DX318" s="928"/>
      <c r="DY318" s="928"/>
      <c r="DZ318" s="928"/>
      <c r="EA318" s="928"/>
      <c r="EB318" s="928"/>
      <c r="EC318" s="928"/>
      <c r="ED318" s="928"/>
      <c r="EE318" s="928"/>
      <c r="EF318" s="928"/>
      <c r="EG318" s="928"/>
      <c r="EH318" s="928"/>
      <c r="EI318" s="928"/>
      <c r="EJ318" s="928"/>
      <c r="EK318" s="928"/>
      <c r="EL318" s="928"/>
      <c r="EM318" s="928"/>
      <c r="EN318" s="928"/>
      <c r="EO318" s="928"/>
      <c r="EP318" s="928"/>
      <c r="EQ318" s="928"/>
      <c r="ER318" s="928"/>
      <c r="ES318" s="928"/>
      <c r="ET318" s="928"/>
      <c r="EU318" s="928"/>
      <c r="EV318" s="928"/>
      <c r="EW318" s="928"/>
      <c r="EX318" s="928"/>
      <c r="EY318" s="928"/>
      <c r="EZ318" s="928"/>
      <c r="FA318" s="928"/>
      <c r="FB318" s="928"/>
      <c r="FC318" s="928"/>
      <c r="FD318" s="928"/>
      <c r="FE318" s="928"/>
      <c r="FF318" s="928"/>
      <c r="FG318" s="928"/>
      <c r="FH318" s="1319"/>
      <c r="FI318" s="1319"/>
      <c r="FJ318" s="928"/>
      <c r="FK318" s="928"/>
      <c r="FL318" s="928"/>
      <c r="FM318" s="928"/>
      <c r="FN318" s="928"/>
      <c r="FO318" s="928"/>
      <c r="FP318" s="928"/>
      <c r="FQ318" s="928"/>
    </row>
    <row r="319" spans="1:173">
      <c r="A319" s="928"/>
      <c r="B319" s="928"/>
      <c r="C319" s="928"/>
      <c r="D319" s="928"/>
      <c r="E319" s="928"/>
      <c r="F319" s="928"/>
      <c r="G319" s="928"/>
      <c r="H319" s="928"/>
      <c r="I319" s="928"/>
      <c r="J319" s="928"/>
      <c r="K319" s="928"/>
      <c r="L319" s="928"/>
      <c r="M319" s="928"/>
      <c r="N319" s="928"/>
      <c r="O319" s="928"/>
      <c r="P319" s="928"/>
      <c r="Q319" s="928"/>
      <c r="R319" s="928"/>
      <c r="S319" s="928"/>
      <c r="T319" s="928"/>
      <c r="U319" s="928"/>
      <c r="V319" s="928"/>
      <c r="W319" s="928"/>
      <c r="X319" s="928"/>
      <c r="Y319" s="928"/>
      <c r="Z319" s="928"/>
      <c r="AA319" s="928"/>
      <c r="AB319" s="928"/>
      <c r="AC319" s="928"/>
      <c r="AD319" s="928"/>
      <c r="AE319" s="928"/>
      <c r="AF319" s="928"/>
      <c r="AG319" s="928"/>
      <c r="AH319" s="928"/>
      <c r="AI319" s="928"/>
      <c r="AJ319" s="928"/>
      <c r="AK319" s="928"/>
      <c r="AL319" s="928"/>
      <c r="AM319" s="928"/>
      <c r="AN319" s="928"/>
      <c r="AO319" s="928"/>
      <c r="AP319" s="928"/>
      <c r="AQ319" s="928"/>
      <c r="AR319" s="928"/>
      <c r="AS319" s="928"/>
      <c r="AT319" s="928"/>
      <c r="AU319" s="928"/>
      <c r="AV319" s="928"/>
      <c r="AW319" s="928"/>
      <c r="AX319" s="928"/>
      <c r="AY319" s="928"/>
      <c r="AZ319" s="928"/>
      <c r="BA319" s="928"/>
      <c r="BB319" s="928"/>
      <c r="BC319" s="928"/>
      <c r="BD319" s="928"/>
      <c r="BE319" s="928"/>
      <c r="BF319" s="928"/>
      <c r="BG319" s="928"/>
      <c r="BH319" s="928"/>
      <c r="BI319" s="928"/>
      <c r="BJ319" s="928"/>
      <c r="BK319" s="928"/>
      <c r="BL319" s="928"/>
      <c r="BM319" s="928"/>
      <c r="BN319" s="928"/>
      <c r="BO319" s="928"/>
      <c r="BP319" s="928"/>
      <c r="BQ319" s="928"/>
      <c r="BR319" s="928"/>
      <c r="BS319" s="928"/>
      <c r="BT319" s="928"/>
      <c r="BU319" s="928"/>
      <c r="BV319" s="928"/>
      <c r="BW319" s="928"/>
      <c r="BX319" s="928"/>
      <c r="BY319" s="928"/>
      <c r="BZ319" s="928"/>
      <c r="CA319" s="928"/>
      <c r="CB319" s="928"/>
      <c r="CC319" s="928"/>
      <c r="CD319" s="928"/>
      <c r="CE319" s="928"/>
      <c r="CF319" s="928"/>
      <c r="CG319" s="928"/>
      <c r="CH319" s="928"/>
      <c r="CI319" s="928"/>
      <c r="CJ319" s="928"/>
      <c r="CK319" s="928"/>
      <c r="CL319" s="928"/>
      <c r="CM319" s="928"/>
      <c r="CN319" s="928"/>
      <c r="CO319" s="928"/>
      <c r="CP319" s="928"/>
      <c r="CQ319" s="928"/>
      <c r="CR319" s="928"/>
      <c r="CS319" s="928"/>
      <c r="CT319" s="928"/>
      <c r="CU319" s="928"/>
      <c r="CV319" s="928"/>
      <c r="CW319" s="928"/>
      <c r="CX319" s="928"/>
      <c r="CY319" s="928"/>
      <c r="CZ319" s="928"/>
      <c r="DA319" s="928"/>
      <c r="DB319" s="928"/>
      <c r="DC319" s="928"/>
      <c r="DD319" s="928"/>
      <c r="DE319" s="928"/>
      <c r="DF319" s="928"/>
      <c r="DG319" s="928"/>
      <c r="DH319" s="928"/>
      <c r="DI319" s="928"/>
      <c r="DJ319" s="928"/>
      <c r="DK319" s="928"/>
      <c r="DL319" s="928"/>
      <c r="DM319" s="928"/>
      <c r="DN319" s="928"/>
      <c r="DO319" s="928"/>
      <c r="DP319" s="928"/>
      <c r="DQ319" s="928"/>
      <c r="DR319" s="928"/>
      <c r="DS319" s="928"/>
      <c r="DT319" s="928"/>
      <c r="DU319" s="928"/>
      <c r="DV319" s="928"/>
      <c r="DW319" s="928"/>
      <c r="DX319" s="928"/>
      <c r="DY319" s="928"/>
      <c r="DZ319" s="928"/>
      <c r="EA319" s="928"/>
      <c r="EB319" s="928"/>
      <c r="EC319" s="928"/>
      <c r="ED319" s="928"/>
      <c r="EE319" s="928"/>
      <c r="EF319" s="928"/>
      <c r="EG319" s="928"/>
      <c r="EH319" s="928"/>
      <c r="EI319" s="928"/>
      <c r="EJ319" s="928"/>
      <c r="EK319" s="928"/>
      <c r="EL319" s="928"/>
      <c r="EM319" s="928"/>
      <c r="EN319" s="928"/>
      <c r="EO319" s="928"/>
      <c r="EP319" s="928"/>
      <c r="EQ319" s="928"/>
      <c r="ER319" s="928"/>
      <c r="ES319" s="928"/>
      <c r="ET319" s="928"/>
      <c r="EU319" s="928"/>
      <c r="EV319" s="928"/>
      <c r="EW319" s="928"/>
      <c r="EX319" s="928"/>
      <c r="EY319" s="928"/>
      <c r="EZ319" s="928"/>
      <c r="FA319" s="928"/>
      <c r="FB319" s="928"/>
      <c r="FC319" s="928"/>
      <c r="FD319" s="928"/>
      <c r="FE319" s="928"/>
      <c r="FF319" s="928"/>
      <c r="FG319" s="928"/>
      <c r="FH319" s="1319"/>
      <c r="FI319" s="1319"/>
      <c r="FJ319" s="928"/>
      <c r="FK319" s="928"/>
      <c r="FL319" s="928"/>
      <c r="FM319" s="928"/>
      <c r="FN319" s="928"/>
      <c r="FO319" s="928"/>
      <c r="FP319" s="928"/>
      <c r="FQ319" s="928"/>
    </row>
    <row r="320" spans="1:173">
      <c r="A320" s="928"/>
      <c r="B320" s="928"/>
      <c r="C320" s="928"/>
      <c r="D320" s="928"/>
      <c r="E320" s="928"/>
      <c r="F320" s="928"/>
      <c r="G320" s="928"/>
      <c r="H320" s="928"/>
      <c r="I320" s="928"/>
      <c r="J320" s="928"/>
      <c r="K320" s="928"/>
      <c r="L320" s="928"/>
      <c r="M320" s="928"/>
      <c r="N320" s="928"/>
      <c r="O320" s="928"/>
      <c r="P320" s="928"/>
      <c r="Q320" s="928"/>
      <c r="R320" s="928"/>
      <c r="S320" s="928"/>
      <c r="T320" s="928"/>
      <c r="U320" s="928"/>
      <c r="V320" s="928"/>
      <c r="W320" s="928"/>
      <c r="X320" s="928"/>
      <c r="Y320" s="928"/>
      <c r="Z320" s="928"/>
      <c r="AA320" s="928"/>
      <c r="AB320" s="928"/>
      <c r="AC320" s="928"/>
      <c r="AD320" s="928"/>
      <c r="AE320" s="928"/>
      <c r="AF320" s="928"/>
      <c r="AG320" s="928"/>
      <c r="AH320" s="928"/>
      <c r="AI320" s="928"/>
      <c r="AJ320" s="928"/>
      <c r="AK320" s="928"/>
      <c r="AL320" s="928"/>
      <c r="AM320" s="928"/>
      <c r="AN320" s="928"/>
      <c r="AO320" s="928"/>
      <c r="AP320" s="928"/>
      <c r="AQ320" s="928"/>
      <c r="AR320" s="928"/>
      <c r="AS320" s="928"/>
      <c r="AT320" s="928"/>
      <c r="AU320" s="928"/>
      <c r="AV320" s="928"/>
      <c r="AW320" s="928"/>
      <c r="AX320" s="928"/>
      <c r="AY320" s="928"/>
      <c r="AZ320" s="928"/>
      <c r="BA320" s="928"/>
      <c r="BB320" s="928"/>
      <c r="BC320" s="928"/>
      <c r="BD320" s="928"/>
      <c r="BE320" s="928"/>
      <c r="BF320" s="928"/>
      <c r="BG320" s="928"/>
      <c r="BH320" s="928"/>
      <c r="BI320" s="928"/>
      <c r="BJ320" s="928"/>
      <c r="BK320" s="928"/>
      <c r="BL320" s="928"/>
      <c r="BM320" s="928"/>
      <c r="BN320" s="928"/>
      <c r="BO320" s="928"/>
      <c r="BP320" s="928"/>
      <c r="BQ320" s="928"/>
      <c r="BR320" s="928"/>
      <c r="BS320" s="928"/>
      <c r="BT320" s="928"/>
      <c r="BU320" s="928"/>
      <c r="BV320" s="928"/>
      <c r="BW320" s="928"/>
      <c r="BX320" s="928"/>
      <c r="BY320" s="928"/>
      <c r="BZ320" s="928"/>
      <c r="CA320" s="928"/>
      <c r="CB320" s="928"/>
      <c r="CC320" s="928"/>
      <c r="CD320" s="928"/>
      <c r="CE320" s="928"/>
      <c r="CF320" s="928"/>
      <c r="CG320" s="928"/>
      <c r="CH320" s="928"/>
      <c r="CI320" s="928"/>
      <c r="CJ320" s="928"/>
      <c r="CK320" s="928"/>
      <c r="CL320" s="928"/>
      <c r="CM320" s="928"/>
      <c r="CN320" s="928"/>
      <c r="CO320" s="928"/>
      <c r="CP320" s="928"/>
      <c r="CQ320" s="928"/>
      <c r="CR320" s="928"/>
      <c r="CS320" s="928"/>
      <c r="CT320" s="928"/>
      <c r="CU320" s="928"/>
      <c r="CV320" s="928"/>
      <c r="CW320" s="928"/>
      <c r="CX320" s="928"/>
      <c r="CY320" s="928"/>
      <c r="CZ320" s="928"/>
      <c r="DA320" s="928"/>
      <c r="DB320" s="928"/>
      <c r="DC320" s="928"/>
      <c r="DD320" s="928"/>
      <c r="DE320" s="928"/>
      <c r="DF320" s="928"/>
      <c r="DG320" s="928"/>
      <c r="DH320" s="928"/>
      <c r="DI320" s="928"/>
      <c r="DJ320" s="928"/>
      <c r="DK320" s="928"/>
      <c r="DL320" s="928"/>
      <c r="DM320" s="928"/>
      <c r="DN320" s="928"/>
      <c r="DO320" s="928"/>
      <c r="DP320" s="928"/>
      <c r="DQ320" s="928"/>
      <c r="DR320" s="928"/>
      <c r="DS320" s="928"/>
      <c r="DT320" s="928"/>
      <c r="DU320" s="928"/>
      <c r="DV320" s="928"/>
      <c r="DW320" s="928"/>
      <c r="DX320" s="928"/>
      <c r="DY320" s="928"/>
      <c r="DZ320" s="928"/>
      <c r="EA320" s="928"/>
      <c r="EB320" s="928"/>
      <c r="EC320" s="928"/>
      <c r="ED320" s="928"/>
      <c r="EE320" s="928"/>
      <c r="EF320" s="928"/>
      <c r="EG320" s="928"/>
      <c r="EH320" s="928"/>
      <c r="EI320" s="928"/>
      <c r="EJ320" s="928"/>
      <c r="EK320" s="928"/>
      <c r="EL320" s="928"/>
      <c r="EM320" s="928"/>
      <c r="EN320" s="928"/>
      <c r="EO320" s="928"/>
      <c r="EP320" s="928"/>
      <c r="EQ320" s="928"/>
      <c r="ER320" s="928"/>
      <c r="ES320" s="928"/>
      <c r="ET320" s="928"/>
      <c r="EU320" s="928"/>
      <c r="EV320" s="928"/>
      <c r="EW320" s="928"/>
      <c r="EX320" s="928"/>
      <c r="EY320" s="928"/>
      <c r="EZ320" s="928"/>
      <c r="FA320" s="928"/>
      <c r="FB320" s="928"/>
      <c r="FC320" s="928"/>
      <c r="FD320" s="928"/>
      <c r="FE320" s="928"/>
      <c r="FF320" s="928"/>
      <c r="FG320" s="928"/>
      <c r="FH320" s="1319"/>
      <c r="FI320" s="1319"/>
      <c r="FJ320" s="928"/>
      <c r="FK320" s="928"/>
      <c r="FL320" s="928"/>
      <c r="FM320" s="928"/>
      <c r="FN320" s="928"/>
      <c r="FO320" s="928"/>
      <c r="FP320" s="928"/>
      <c r="FQ320" s="928"/>
    </row>
    <row r="321" spans="1:173">
      <c r="A321" s="928"/>
      <c r="B321" s="928"/>
      <c r="C321" s="928"/>
      <c r="D321" s="928"/>
      <c r="E321" s="928"/>
      <c r="F321" s="928"/>
      <c r="G321" s="928"/>
      <c r="H321" s="928"/>
      <c r="I321" s="928"/>
      <c r="J321" s="928"/>
      <c r="K321" s="928"/>
      <c r="L321" s="928"/>
      <c r="M321" s="928"/>
      <c r="N321" s="928"/>
      <c r="O321" s="928"/>
      <c r="P321" s="928"/>
      <c r="Q321" s="928"/>
      <c r="R321" s="928"/>
      <c r="S321" s="928"/>
      <c r="T321" s="928"/>
      <c r="U321" s="928"/>
      <c r="V321" s="928"/>
      <c r="W321" s="928"/>
      <c r="X321" s="928"/>
      <c r="Y321" s="928"/>
      <c r="Z321" s="928"/>
      <c r="AA321" s="928"/>
      <c r="AB321" s="928"/>
      <c r="AC321" s="928"/>
      <c r="AD321" s="928"/>
      <c r="AE321" s="928"/>
      <c r="AF321" s="928"/>
      <c r="AG321" s="928"/>
      <c r="AH321" s="928"/>
      <c r="AI321" s="928"/>
      <c r="AJ321" s="928"/>
      <c r="AK321" s="928"/>
      <c r="AL321" s="928"/>
      <c r="AM321" s="928"/>
      <c r="AN321" s="928"/>
      <c r="AO321" s="928"/>
      <c r="AP321" s="928"/>
      <c r="AQ321" s="928"/>
      <c r="AR321" s="928"/>
      <c r="AS321" s="928"/>
      <c r="AT321" s="928"/>
      <c r="AU321" s="928"/>
      <c r="AV321" s="928"/>
      <c r="AW321" s="928"/>
      <c r="AX321" s="928"/>
      <c r="AY321" s="928"/>
      <c r="AZ321" s="928"/>
      <c r="BA321" s="928"/>
      <c r="BB321" s="928"/>
      <c r="BC321" s="928"/>
      <c r="BD321" s="928"/>
      <c r="BE321" s="928"/>
      <c r="BF321" s="928"/>
      <c r="BG321" s="928"/>
      <c r="BH321" s="928"/>
      <c r="BI321" s="928"/>
      <c r="BJ321" s="928"/>
      <c r="BK321" s="928"/>
      <c r="BL321" s="928"/>
      <c r="BM321" s="928"/>
      <c r="BN321" s="928"/>
      <c r="BO321" s="928"/>
      <c r="BP321" s="928"/>
      <c r="BQ321" s="928"/>
      <c r="BR321" s="928"/>
      <c r="BS321" s="928"/>
      <c r="BT321" s="928"/>
      <c r="BU321" s="928"/>
      <c r="BV321" s="928"/>
      <c r="BW321" s="928"/>
      <c r="BX321" s="928"/>
      <c r="BY321" s="928"/>
      <c r="BZ321" s="928"/>
      <c r="CA321" s="928"/>
      <c r="CB321" s="928"/>
      <c r="CC321" s="928"/>
      <c r="CD321" s="928"/>
      <c r="CE321" s="928"/>
      <c r="CF321" s="928"/>
      <c r="CG321" s="928"/>
      <c r="CH321" s="928"/>
      <c r="CI321" s="928"/>
      <c r="CJ321" s="928"/>
      <c r="CK321" s="928"/>
      <c r="CL321" s="928"/>
      <c r="CM321" s="928"/>
      <c r="CN321" s="928"/>
      <c r="CO321" s="928"/>
      <c r="CP321" s="928"/>
      <c r="CQ321" s="928"/>
      <c r="CR321" s="928"/>
      <c r="CS321" s="928"/>
      <c r="CT321" s="928"/>
      <c r="CU321" s="928"/>
      <c r="CV321" s="928"/>
      <c r="CW321" s="928"/>
      <c r="CX321" s="928"/>
      <c r="CY321" s="928"/>
      <c r="CZ321" s="928"/>
      <c r="DA321" s="928"/>
      <c r="DB321" s="928"/>
      <c r="DC321" s="928"/>
      <c r="DD321" s="928"/>
      <c r="DE321" s="928"/>
      <c r="DF321" s="928"/>
      <c r="DG321" s="928"/>
      <c r="DH321" s="928"/>
      <c r="DI321" s="928"/>
      <c r="DJ321" s="928"/>
      <c r="DK321" s="928"/>
      <c r="DL321" s="928"/>
      <c r="DM321" s="928"/>
      <c r="DN321" s="928"/>
      <c r="DO321" s="928"/>
      <c r="DP321" s="928"/>
      <c r="DQ321" s="928"/>
      <c r="DR321" s="928"/>
      <c r="DS321" s="928"/>
      <c r="DT321" s="928"/>
      <c r="DU321" s="928"/>
      <c r="DV321" s="928"/>
      <c r="DW321" s="928"/>
      <c r="DX321" s="928"/>
      <c r="DY321" s="928"/>
      <c r="DZ321" s="928"/>
      <c r="EA321" s="928"/>
      <c r="EB321" s="928"/>
      <c r="EC321" s="928"/>
      <c r="ED321" s="928"/>
      <c r="EE321" s="928"/>
      <c r="EF321" s="928"/>
      <c r="EG321" s="928"/>
      <c r="EH321" s="928"/>
      <c r="EI321" s="928"/>
      <c r="EJ321" s="928"/>
      <c r="EK321" s="928"/>
      <c r="EL321" s="928"/>
      <c r="EM321" s="928"/>
      <c r="EN321" s="928"/>
      <c r="EO321" s="928"/>
      <c r="EP321" s="928"/>
      <c r="EQ321" s="928"/>
      <c r="ER321" s="928"/>
      <c r="ES321" s="928"/>
      <c r="ET321" s="928"/>
      <c r="EU321" s="928"/>
      <c r="EV321" s="928"/>
      <c r="EW321" s="928"/>
      <c r="EX321" s="928"/>
      <c r="EY321" s="928"/>
      <c r="EZ321" s="928"/>
      <c r="FA321" s="928"/>
      <c r="FB321" s="928"/>
      <c r="FC321" s="928"/>
      <c r="FD321" s="928"/>
      <c r="FE321" s="928"/>
      <c r="FF321" s="928"/>
      <c r="FG321" s="928"/>
      <c r="FH321" s="1319"/>
      <c r="FI321" s="1319"/>
      <c r="FJ321" s="928"/>
      <c r="FK321" s="928"/>
      <c r="FL321" s="928"/>
      <c r="FM321" s="928"/>
      <c r="FN321" s="928"/>
      <c r="FO321" s="928"/>
      <c r="FP321" s="928"/>
      <c r="FQ321" s="928"/>
    </row>
    <row r="322" spans="1:173">
      <c r="A322" s="928"/>
      <c r="B322" s="928"/>
      <c r="C322" s="928"/>
      <c r="D322" s="928"/>
      <c r="E322" s="928"/>
      <c r="F322" s="928"/>
      <c r="G322" s="928"/>
      <c r="H322" s="928"/>
      <c r="I322" s="928"/>
      <c r="J322" s="928"/>
      <c r="K322" s="928"/>
      <c r="L322" s="928"/>
      <c r="M322" s="928"/>
      <c r="N322" s="928"/>
      <c r="O322" s="928"/>
      <c r="P322" s="928"/>
      <c r="Q322" s="928"/>
      <c r="R322" s="928"/>
      <c r="S322" s="928"/>
      <c r="T322" s="928"/>
      <c r="U322" s="928"/>
      <c r="V322" s="928"/>
      <c r="W322" s="928"/>
      <c r="X322" s="928"/>
      <c r="Y322" s="928"/>
      <c r="Z322" s="928"/>
      <c r="AA322" s="928"/>
      <c r="AB322" s="928"/>
      <c r="AC322" s="928"/>
      <c r="AD322" s="928"/>
      <c r="AE322" s="928"/>
      <c r="AF322" s="928"/>
      <c r="AG322" s="928"/>
      <c r="AH322" s="928"/>
      <c r="AI322" s="928"/>
      <c r="AJ322" s="928"/>
      <c r="AK322" s="928"/>
      <c r="AL322" s="928"/>
      <c r="AM322" s="928"/>
      <c r="AN322" s="928"/>
      <c r="AO322" s="928"/>
      <c r="AP322" s="928"/>
      <c r="AQ322" s="928"/>
      <c r="AR322" s="928"/>
      <c r="AS322" s="928"/>
      <c r="AT322" s="928"/>
      <c r="AU322" s="928"/>
      <c r="AV322" s="928"/>
      <c r="AW322" s="928"/>
      <c r="AX322" s="928"/>
      <c r="AY322" s="928"/>
      <c r="AZ322" s="928"/>
      <c r="BA322" s="928"/>
      <c r="BB322" s="928"/>
      <c r="BC322" s="928"/>
      <c r="BD322" s="928"/>
      <c r="BE322" s="928"/>
      <c r="BF322" s="928"/>
      <c r="BG322" s="928"/>
      <c r="BH322" s="928"/>
      <c r="BI322" s="928"/>
      <c r="BJ322" s="928"/>
      <c r="BK322" s="928"/>
      <c r="BL322" s="928"/>
      <c r="BM322" s="928"/>
      <c r="BN322" s="928"/>
      <c r="BO322" s="928"/>
      <c r="BP322" s="928"/>
      <c r="BQ322" s="928"/>
      <c r="BR322" s="928"/>
      <c r="BS322" s="928"/>
      <c r="BT322" s="928"/>
      <c r="BU322" s="928"/>
      <c r="BV322" s="928"/>
      <c r="BW322" s="928"/>
      <c r="BX322" s="928"/>
      <c r="BY322" s="928"/>
      <c r="BZ322" s="928"/>
      <c r="CA322" s="928"/>
      <c r="CB322" s="928"/>
      <c r="CC322" s="928"/>
      <c r="CD322" s="928"/>
      <c r="CE322" s="928"/>
      <c r="CF322" s="928"/>
      <c r="CG322" s="928"/>
      <c r="CH322" s="928"/>
      <c r="CI322" s="928"/>
      <c r="CJ322" s="928"/>
      <c r="CK322" s="928"/>
      <c r="CL322" s="928"/>
      <c r="CM322" s="928"/>
      <c r="CN322" s="928"/>
      <c r="CO322" s="928"/>
      <c r="CP322" s="928"/>
      <c r="CQ322" s="928"/>
      <c r="CR322" s="928"/>
      <c r="CS322" s="928"/>
      <c r="CT322" s="928"/>
      <c r="CU322" s="928"/>
      <c r="CV322" s="928"/>
      <c r="CW322" s="928"/>
      <c r="CX322" s="928"/>
      <c r="CY322" s="928"/>
      <c r="CZ322" s="928"/>
      <c r="DA322" s="928"/>
      <c r="DB322" s="928"/>
      <c r="DC322" s="928"/>
      <c r="DD322" s="928"/>
      <c r="DE322" s="928"/>
      <c r="DF322" s="928"/>
      <c r="DG322" s="928"/>
      <c r="DH322" s="928"/>
      <c r="DI322" s="928"/>
      <c r="DJ322" s="928"/>
      <c r="DK322" s="928"/>
      <c r="DL322" s="928"/>
      <c r="DM322" s="928"/>
      <c r="DN322" s="928"/>
      <c r="DO322" s="928"/>
      <c r="DP322" s="928"/>
      <c r="DQ322" s="928"/>
      <c r="DR322" s="928"/>
      <c r="DS322" s="928"/>
      <c r="DT322" s="928"/>
      <c r="DU322" s="928"/>
      <c r="DV322" s="928"/>
      <c r="DW322" s="928"/>
      <c r="DX322" s="928"/>
      <c r="DY322" s="928"/>
      <c r="DZ322" s="928"/>
      <c r="EA322" s="928"/>
      <c r="EB322" s="928"/>
      <c r="EC322" s="928"/>
      <c r="ED322" s="928"/>
      <c r="EE322" s="928"/>
      <c r="EF322" s="928"/>
      <c r="EG322" s="928"/>
      <c r="EH322" s="928"/>
      <c r="EI322" s="928"/>
      <c r="EJ322" s="928"/>
      <c r="EK322" s="928"/>
      <c r="EL322" s="928"/>
      <c r="EM322" s="928"/>
      <c r="EN322" s="928"/>
      <c r="EO322" s="928"/>
      <c r="EP322" s="928"/>
      <c r="EQ322" s="928"/>
      <c r="ER322" s="928"/>
      <c r="ES322" s="928"/>
      <c r="ET322" s="928"/>
      <c r="EU322" s="928"/>
      <c r="EV322" s="928"/>
      <c r="EW322" s="928"/>
      <c r="EX322" s="928"/>
      <c r="EY322" s="928"/>
      <c r="EZ322" s="928"/>
      <c r="FA322" s="928"/>
      <c r="FB322" s="928"/>
      <c r="FC322" s="928"/>
      <c r="FD322" s="928"/>
      <c r="FE322" s="928"/>
      <c r="FF322" s="928"/>
      <c r="FG322" s="928"/>
      <c r="FH322" s="1319"/>
      <c r="FI322" s="1319"/>
      <c r="FJ322" s="928"/>
      <c r="FK322" s="928"/>
      <c r="FL322" s="928"/>
      <c r="FM322" s="928"/>
      <c r="FN322" s="928"/>
      <c r="FO322" s="928"/>
      <c r="FP322" s="928"/>
      <c r="FQ322" s="928"/>
    </row>
    <row r="323" spans="1:173">
      <c r="A323" s="928"/>
      <c r="B323" s="928"/>
      <c r="C323" s="928"/>
      <c r="D323" s="928"/>
      <c r="E323" s="928"/>
      <c r="F323" s="928"/>
      <c r="G323" s="928"/>
      <c r="H323" s="928"/>
      <c r="I323" s="928"/>
      <c r="J323" s="928"/>
      <c r="K323" s="928"/>
      <c r="L323" s="928"/>
      <c r="M323" s="928"/>
      <c r="N323" s="928"/>
      <c r="O323" s="928"/>
      <c r="P323" s="928"/>
      <c r="Q323" s="928"/>
      <c r="R323" s="928"/>
      <c r="S323" s="928"/>
      <c r="T323" s="928"/>
      <c r="U323" s="928"/>
      <c r="V323" s="928"/>
      <c r="W323" s="928"/>
      <c r="X323" s="928"/>
      <c r="Y323" s="928"/>
      <c r="Z323" s="928"/>
      <c r="AA323" s="928"/>
      <c r="AB323" s="928"/>
      <c r="AC323" s="928"/>
      <c r="AD323" s="928"/>
      <c r="AE323" s="928"/>
      <c r="AF323" s="928"/>
      <c r="AG323" s="928"/>
      <c r="AH323" s="928"/>
      <c r="AI323" s="928"/>
      <c r="AJ323" s="928"/>
      <c r="AK323" s="928"/>
      <c r="AL323" s="928"/>
      <c r="AM323" s="928"/>
      <c r="AN323" s="928"/>
      <c r="AO323" s="928"/>
      <c r="AP323" s="928"/>
      <c r="AQ323" s="928"/>
      <c r="AR323" s="928"/>
      <c r="AS323" s="928"/>
      <c r="AT323" s="928"/>
      <c r="AU323" s="928"/>
      <c r="AV323" s="928"/>
      <c r="AW323" s="928"/>
      <c r="AX323" s="928"/>
      <c r="AY323" s="928"/>
      <c r="AZ323" s="928"/>
      <c r="BA323" s="928"/>
      <c r="BB323" s="928"/>
      <c r="BC323" s="928"/>
      <c r="BD323" s="928"/>
      <c r="BE323" s="928"/>
      <c r="BF323" s="928"/>
      <c r="BG323" s="928"/>
      <c r="BH323" s="928"/>
      <c r="BI323" s="928"/>
      <c r="BJ323" s="928"/>
      <c r="BK323" s="928"/>
      <c r="BL323" s="928"/>
      <c r="BM323" s="928"/>
      <c r="BN323" s="928"/>
      <c r="BO323" s="928"/>
      <c r="BP323" s="928"/>
      <c r="BQ323" s="928"/>
      <c r="BR323" s="928"/>
      <c r="BS323" s="928"/>
      <c r="BT323" s="928"/>
      <c r="BU323" s="928"/>
      <c r="BV323" s="928"/>
      <c r="BW323" s="928"/>
      <c r="BX323" s="928"/>
      <c r="BY323" s="928"/>
      <c r="BZ323" s="928"/>
      <c r="CA323" s="928"/>
      <c r="CB323" s="928"/>
      <c r="CC323" s="928"/>
      <c r="CD323" s="928"/>
      <c r="CE323" s="928"/>
      <c r="CF323" s="928"/>
      <c r="CG323" s="928"/>
      <c r="CH323" s="928"/>
      <c r="CI323" s="928"/>
      <c r="CJ323" s="928"/>
      <c r="CK323" s="928"/>
      <c r="CL323" s="928"/>
      <c r="CM323" s="928"/>
      <c r="CN323" s="928"/>
      <c r="CO323" s="928"/>
      <c r="CP323" s="928"/>
      <c r="CQ323" s="928"/>
      <c r="CR323" s="928"/>
      <c r="CS323" s="928"/>
      <c r="CT323" s="928"/>
      <c r="CU323" s="928"/>
      <c r="CV323" s="928"/>
      <c r="CW323" s="928"/>
      <c r="CX323" s="928"/>
      <c r="CY323" s="928"/>
      <c r="CZ323" s="928"/>
      <c r="DA323" s="928"/>
      <c r="DB323" s="928"/>
      <c r="DC323" s="928"/>
      <c r="DD323" s="928"/>
      <c r="DE323" s="928"/>
      <c r="DF323" s="928"/>
      <c r="DG323" s="928"/>
      <c r="DH323" s="928"/>
      <c r="DI323" s="928"/>
      <c r="DJ323" s="928"/>
      <c r="DK323" s="928"/>
      <c r="DL323" s="928"/>
      <c r="DM323" s="928"/>
      <c r="DN323" s="928"/>
      <c r="DO323" s="928"/>
      <c r="DP323" s="928"/>
      <c r="DQ323" s="928"/>
      <c r="DR323" s="928"/>
      <c r="DS323" s="928"/>
      <c r="DT323" s="928"/>
      <c r="DU323" s="928"/>
      <c r="DV323" s="928"/>
      <c r="DW323" s="928"/>
      <c r="DX323" s="928"/>
      <c r="DY323" s="928"/>
      <c r="DZ323" s="928"/>
      <c r="EA323" s="928"/>
      <c r="EB323" s="928"/>
      <c r="EC323" s="928"/>
      <c r="ED323" s="928"/>
      <c r="EE323" s="928"/>
      <c r="EF323" s="928"/>
      <c r="EG323" s="928"/>
      <c r="EH323" s="928"/>
      <c r="EI323" s="928"/>
      <c r="EJ323" s="928"/>
      <c r="EK323" s="928"/>
      <c r="EL323" s="928"/>
      <c r="EM323" s="928"/>
      <c r="EN323" s="928"/>
      <c r="EO323" s="928"/>
      <c r="EP323" s="928"/>
      <c r="EQ323" s="928"/>
      <c r="ER323" s="928"/>
      <c r="ES323" s="928"/>
      <c r="ET323" s="928"/>
      <c r="EU323" s="928"/>
      <c r="EV323" s="928"/>
      <c r="EW323" s="928"/>
      <c r="EX323" s="928"/>
      <c r="EY323" s="928"/>
      <c r="EZ323" s="928"/>
      <c r="FA323" s="928"/>
      <c r="FB323" s="928"/>
      <c r="FC323" s="928"/>
      <c r="FD323" s="928"/>
      <c r="FE323" s="928"/>
      <c r="FF323" s="928"/>
      <c r="FG323" s="928"/>
      <c r="FH323" s="1319"/>
      <c r="FI323" s="1319"/>
      <c r="FJ323" s="928"/>
      <c r="FK323" s="928"/>
      <c r="FL323" s="928"/>
      <c r="FM323" s="928"/>
      <c r="FN323" s="928"/>
      <c r="FO323" s="928"/>
      <c r="FP323" s="928"/>
      <c r="FQ323" s="928"/>
    </row>
    <row r="324" spans="1:173">
      <c r="A324" s="928"/>
      <c r="B324" s="928"/>
      <c r="C324" s="928"/>
      <c r="D324" s="928"/>
      <c r="E324" s="928"/>
      <c r="F324" s="928"/>
      <c r="G324" s="928"/>
      <c r="H324" s="928"/>
      <c r="I324" s="928"/>
      <c r="J324" s="928"/>
      <c r="K324" s="928"/>
      <c r="L324" s="928"/>
      <c r="M324" s="928"/>
      <c r="N324" s="928"/>
      <c r="O324" s="928"/>
      <c r="P324" s="928"/>
      <c r="Q324" s="928"/>
      <c r="R324" s="928"/>
      <c r="S324" s="928"/>
      <c r="T324" s="928"/>
      <c r="U324" s="928"/>
      <c r="V324" s="928"/>
      <c r="W324" s="928"/>
      <c r="X324" s="928"/>
      <c r="Y324" s="928"/>
      <c r="Z324" s="928"/>
      <c r="AA324" s="928"/>
      <c r="AB324" s="928"/>
      <c r="AC324" s="928"/>
      <c r="AD324" s="928"/>
      <c r="AE324" s="928"/>
      <c r="AF324" s="928"/>
      <c r="AG324" s="928"/>
      <c r="AH324" s="928"/>
      <c r="AI324" s="928"/>
      <c r="AJ324" s="928"/>
      <c r="AK324" s="928"/>
      <c r="AL324" s="928"/>
      <c r="AM324" s="928"/>
      <c r="AN324" s="928"/>
      <c r="AO324" s="928"/>
      <c r="AP324" s="928"/>
      <c r="AQ324" s="928"/>
      <c r="AR324" s="928"/>
      <c r="AS324" s="928"/>
      <c r="AT324" s="928"/>
      <c r="AU324" s="928"/>
      <c r="AV324" s="928"/>
      <c r="AW324" s="928"/>
      <c r="AX324" s="928"/>
      <c r="AY324" s="928"/>
      <c r="AZ324" s="928"/>
      <c r="BA324" s="928"/>
      <c r="BB324" s="928"/>
      <c r="BC324" s="928"/>
      <c r="BD324" s="928"/>
      <c r="BE324" s="928"/>
      <c r="BF324" s="928"/>
      <c r="BG324" s="928"/>
      <c r="BH324" s="928"/>
      <c r="BI324" s="928"/>
      <c r="BJ324" s="928"/>
      <c r="BK324" s="928"/>
      <c r="BL324" s="928"/>
      <c r="BM324" s="928"/>
      <c r="BN324" s="928"/>
      <c r="BO324" s="928"/>
      <c r="BP324" s="928"/>
      <c r="BQ324" s="928"/>
      <c r="BR324" s="928"/>
      <c r="BS324" s="928"/>
      <c r="BT324" s="928"/>
      <c r="BU324" s="928"/>
      <c r="BV324" s="928"/>
      <c r="BW324" s="928"/>
      <c r="BX324" s="928"/>
      <c r="BY324" s="928"/>
      <c r="BZ324" s="928"/>
      <c r="CA324" s="928"/>
      <c r="CB324" s="928"/>
      <c r="CC324" s="928"/>
      <c r="CD324" s="928"/>
      <c r="CE324" s="928"/>
      <c r="CF324" s="928"/>
      <c r="CG324" s="928"/>
      <c r="CH324" s="928"/>
      <c r="CI324" s="928"/>
      <c r="CJ324" s="928"/>
      <c r="CK324" s="928"/>
      <c r="CL324" s="928"/>
      <c r="CM324" s="928"/>
      <c r="CN324" s="928"/>
      <c r="CO324" s="928"/>
      <c r="CP324" s="928"/>
      <c r="CQ324" s="928"/>
      <c r="CR324" s="928"/>
      <c r="CS324" s="928"/>
      <c r="CT324" s="928"/>
      <c r="CU324" s="928"/>
      <c r="CV324" s="928"/>
      <c r="CW324" s="928"/>
      <c r="CX324" s="928"/>
      <c r="CY324" s="928"/>
      <c r="CZ324" s="928"/>
      <c r="DA324" s="928"/>
      <c r="DB324" s="928"/>
      <c r="DC324" s="928"/>
      <c r="DD324" s="928"/>
      <c r="DE324" s="928"/>
      <c r="DF324" s="928"/>
      <c r="DG324" s="928"/>
      <c r="DH324" s="928"/>
      <c r="DI324" s="928"/>
      <c r="DJ324" s="928"/>
      <c r="DK324" s="928"/>
      <c r="DL324" s="928"/>
      <c r="DM324" s="928"/>
      <c r="DN324" s="928"/>
      <c r="DO324" s="928"/>
      <c r="DP324" s="928"/>
      <c r="DQ324" s="928"/>
      <c r="DR324" s="928"/>
      <c r="DS324" s="928"/>
      <c r="DT324" s="928"/>
      <c r="DU324" s="928"/>
      <c r="DV324" s="928"/>
      <c r="DW324" s="928"/>
      <c r="DX324" s="928"/>
      <c r="DY324" s="928"/>
      <c r="DZ324" s="928"/>
      <c r="EA324" s="928"/>
      <c r="EB324" s="928"/>
      <c r="EC324" s="928"/>
      <c r="ED324" s="928"/>
      <c r="EE324" s="928"/>
      <c r="EF324" s="928"/>
      <c r="EG324" s="928"/>
      <c r="EH324" s="928"/>
      <c r="EI324" s="928"/>
      <c r="EJ324" s="928"/>
      <c r="EK324" s="928"/>
      <c r="EL324" s="928"/>
      <c r="EM324" s="928"/>
      <c r="EN324" s="928"/>
      <c r="EO324" s="928"/>
      <c r="EP324" s="928"/>
      <c r="EQ324" s="928"/>
      <c r="ER324" s="928"/>
      <c r="ES324" s="928"/>
      <c r="ET324" s="928"/>
      <c r="EU324" s="928"/>
      <c r="EV324" s="928"/>
      <c r="EW324" s="928"/>
      <c r="EX324" s="928"/>
      <c r="EY324" s="928"/>
      <c r="EZ324" s="928"/>
      <c r="FA324" s="928"/>
      <c r="FB324" s="928"/>
      <c r="FC324" s="928"/>
      <c r="FD324" s="928"/>
      <c r="FE324" s="928"/>
      <c r="FF324" s="928"/>
      <c r="FG324" s="928"/>
      <c r="FH324" s="1319"/>
      <c r="FI324" s="1319"/>
      <c r="FJ324" s="928"/>
      <c r="FK324" s="928"/>
      <c r="FL324" s="928"/>
      <c r="FM324" s="928"/>
      <c r="FN324" s="928"/>
      <c r="FO324" s="928"/>
      <c r="FP324" s="928"/>
      <c r="FQ324" s="928"/>
    </row>
    <row r="325" spans="1:173">
      <c r="A325" s="928"/>
      <c r="B325" s="928"/>
      <c r="C325" s="928"/>
      <c r="D325" s="928"/>
      <c r="E325" s="928"/>
      <c r="F325" s="928"/>
      <c r="G325" s="928"/>
      <c r="H325" s="928"/>
      <c r="I325" s="928"/>
      <c r="J325" s="928"/>
      <c r="K325" s="928"/>
      <c r="L325" s="928"/>
      <c r="M325" s="928"/>
      <c r="N325" s="928"/>
      <c r="O325" s="928"/>
      <c r="P325" s="928"/>
      <c r="Q325" s="928"/>
      <c r="R325" s="928"/>
      <c r="S325" s="928"/>
      <c r="T325" s="928"/>
      <c r="U325" s="928"/>
      <c r="V325" s="928"/>
      <c r="W325" s="928"/>
      <c r="X325" s="928"/>
      <c r="Y325" s="928"/>
      <c r="Z325" s="928"/>
      <c r="AA325" s="928"/>
      <c r="AB325" s="928"/>
      <c r="AC325" s="928"/>
      <c r="AD325" s="928"/>
      <c r="AE325" s="928"/>
      <c r="AF325" s="928"/>
      <c r="AG325" s="928"/>
      <c r="AH325" s="928"/>
      <c r="AI325" s="928"/>
      <c r="AJ325" s="928"/>
      <c r="AK325" s="928"/>
      <c r="AL325" s="928"/>
      <c r="AM325" s="928"/>
      <c r="AN325" s="928"/>
      <c r="AO325" s="928"/>
      <c r="AP325" s="928"/>
      <c r="AQ325" s="928"/>
      <c r="AR325" s="928"/>
      <c r="AS325" s="928"/>
      <c r="AT325" s="928"/>
      <c r="AU325" s="928"/>
      <c r="AV325" s="928"/>
      <c r="AW325" s="928"/>
      <c r="AX325" s="928"/>
      <c r="AY325" s="928"/>
      <c r="AZ325" s="928"/>
      <c r="BA325" s="928"/>
      <c r="BB325" s="928"/>
      <c r="BC325" s="928"/>
      <c r="BD325" s="928"/>
      <c r="BE325" s="928"/>
      <c r="BF325" s="928"/>
      <c r="BG325" s="928"/>
      <c r="BH325" s="928"/>
      <c r="BI325" s="928"/>
      <c r="BJ325" s="928"/>
      <c r="BK325" s="928"/>
      <c r="BL325" s="928"/>
      <c r="BM325" s="928"/>
      <c r="BN325" s="928"/>
      <c r="BO325" s="928"/>
      <c r="BP325" s="928"/>
      <c r="BQ325" s="928"/>
      <c r="BR325" s="928"/>
      <c r="BS325" s="928"/>
      <c r="BT325" s="928"/>
      <c r="BU325" s="928"/>
      <c r="BV325" s="928"/>
      <c r="BW325" s="928"/>
      <c r="BX325" s="928"/>
      <c r="BY325" s="928"/>
      <c r="BZ325" s="928"/>
      <c r="CA325" s="928"/>
      <c r="CB325" s="928"/>
      <c r="CC325" s="928"/>
      <c r="CD325" s="928"/>
      <c r="CE325" s="928"/>
      <c r="CF325" s="928"/>
      <c r="CG325" s="928"/>
      <c r="CH325" s="928"/>
      <c r="CI325" s="928"/>
      <c r="CJ325" s="928"/>
      <c r="CK325" s="928"/>
      <c r="CL325" s="928"/>
      <c r="CM325" s="928"/>
      <c r="CN325" s="928"/>
      <c r="CO325" s="928"/>
      <c r="CP325" s="928"/>
      <c r="CQ325" s="928"/>
      <c r="CR325" s="928"/>
      <c r="CS325" s="928"/>
      <c r="CT325" s="928"/>
      <c r="CU325" s="928"/>
      <c r="CV325" s="928"/>
      <c r="CW325" s="928"/>
      <c r="CX325" s="928"/>
      <c r="CY325" s="928"/>
      <c r="CZ325" s="928"/>
      <c r="DA325" s="928"/>
      <c r="DB325" s="928"/>
      <c r="DC325" s="928"/>
      <c r="DD325" s="928"/>
      <c r="DE325" s="928"/>
      <c r="DF325" s="928"/>
      <c r="DG325" s="928"/>
      <c r="DH325" s="928"/>
      <c r="DI325" s="928"/>
      <c r="DJ325" s="928"/>
      <c r="DK325" s="928"/>
      <c r="DL325" s="928"/>
      <c r="DM325" s="928"/>
      <c r="DN325" s="928"/>
      <c r="DO325" s="928"/>
      <c r="DP325" s="928"/>
      <c r="DQ325" s="928"/>
      <c r="DR325" s="928"/>
      <c r="DS325" s="928"/>
      <c r="DT325" s="928"/>
      <c r="DU325" s="928"/>
      <c r="DV325" s="928"/>
      <c r="DW325" s="928"/>
      <c r="DX325" s="928"/>
      <c r="DY325" s="928"/>
      <c r="DZ325" s="928"/>
      <c r="EA325" s="928"/>
      <c r="EB325" s="928"/>
      <c r="EC325" s="928"/>
      <c r="ED325" s="928"/>
      <c r="EE325" s="928"/>
      <c r="EF325" s="928"/>
      <c r="EG325" s="928"/>
      <c r="EH325" s="928"/>
      <c r="EI325" s="928"/>
      <c r="EJ325" s="928"/>
      <c r="EK325" s="928"/>
      <c r="EL325" s="928"/>
      <c r="EM325" s="928"/>
      <c r="EN325" s="928"/>
      <c r="EO325" s="928"/>
      <c r="EP325" s="928"/>
      <c r="EQ325" s="928"/>
      <c r="ER325" s="928"/>
      <c r="ES325" s="928"/>
      <c r="ET325" s="928"/>
      <c r="EU325" s="928"/>
      <c r="EV325" s="928"/>
      <c r="EW325" s="928"/>
      <c r="EX325" s="928"/>
      <c r="EY325" s="928"/>
      <c r="EZ325" s="928"/>
      <c r="FA325" s="928"/>
      <c r="FB325" s="928"/>
      <c r="FC325" s="928"/>
      <c r="FD325" s="928"/>
      <c r="FE325" s="928"/>
      <c r="FF325" s="928"/>
      <c r="FG325" s="928"/>
      <c r="FH325" s="1319"/>
      <c r="FI325" s="1319"/>
      <c r="FJ325" s="928"/>
      <c r="FK325" s="928"/>
      <c r="FL325" s="928"/>
      <c r="FM325" s="928"/>
      <c r="FN325" s="928"/>
      <c r="FO325" s="928"/>
      <c r="FP325" s="928"/>
      <c r="FQ325" s="928"/>
    </row>
    <row r="326" spans="1:173">
      <c r="A326" s="928"/>
      <c r="B326" s="928"/>
      <c r="C326" s="928"/>
      <c r="D326" s="928"/>
      <c r="E326" s="928"/>
      <c r="F326" s="928"/>
      <c r="G326" s="928"/>
      <c r="H326" s="928"/>
      <c r="I326" s="928"/>
      <c r="J326" s="928"/>
      <c r="K326" s="928"/>
      <c r="L326" s="928"/>
      <c r="M326" s="928"/>
      <c r="N326" s="928"/>
      <c r="O326" s="928"/>
      <c r="P326" s="928"/>
      <c r="Q326" s="928"/>
      <c r="R326" s="928"/>
      <c r="S326" s="928"/>
      <c r="T326" s="928"/>
      <c r="U326" s="928"/>
      <c r="V326" s="928"/>
      <c r="W326" s="928"/>
      <c r="X326" s="928"/>
      <c r="Y326" s="928"/>
      <c r="Z326" s="928"/>
      <c r="AA326" s="928"/>
      <c r="AB326" s="928"/>
      <c r="AC326" s="928"/>
      <c r="AD326" s="928"/>
      <c r="AE326" s="928"/>
      <c r="AF326" s="928"/>
      <c r="AG326" s="928"/>
      <c r="AH326" s="928"/>
      <c r="AI326" s="928"/>
      <c r="AJ326" s="928"/>
      <c r="AK326" s="928"/>
      <c r="AL326" s="928"/>
      <c r="AM326" s="928"/>
      <c r="AN326" s="928"/>
      <c r="AO326" s="928"/>
      <c r="AP326" s="928"/>
      <c r="AQ326" s="928"/>
      <c r="AR326" s="928"/>
      <c r="AS326" s="928"/>
      <c r="AT326" s="928"/>
      <c r="AU326" s="928"/>
      <c r="AV326" s="928"/>
      <c r="AW326" s="928"/>
      <c r="AX326" s="928"/>
      <c r="AY326" s="928"/>
      <c r="AZ326" s="928"/>
      <c r="BA326" s="928"/>
      <c r="BB326" s="928"/>
      <c r="BC326" s="928"/>
      <c r="BD326" s="928"/>
      <c r="BE326" s="928"/>
      <c r="BF326" s="928"/>
      <c r="BG326" s="928"/>
      <c r="BH326" s="928"/>
      <c r="BI326" s="928"/>
      <c r="BJ326" s="928"/>
      <c r="BK326" s="928"/>
      <c r="BL326" s="928"/>
      <c r="BM326" s="928"/>
      <c r="BN326" s="928"/>
      <c r="BO326" s="928"/>
      <c r="BP326" s="928"/>
      <c r="BQ326" s="928"/>
      <c r="BR326" s="928"/>
      <c r="BS326" s="928"/>
      <c r="BT326" s="928"/>
      <c r="BU326" s="928"/>
      <c r="BV326" s="928"/>
      <c r="BW326" s="928"/>
      <c r="BX326" s="928"/>
      <c r="BY326" s="928"/>
      <c r="BZ326" s="928"/>
      <c r="CA326" s="928"/>
      <c r="CB326" s="928"/>
      <c r="CC326" s="928"/>
      <c r="CD326" s="928"/>
      <c r="CE326" s="928"/>
      <c r="CF326" s="928"/>
      <c r="CG326" s="928"/>
      <c r="CH326" s="928"/>
      <c r="CI326" s="928"/>
      <c r="CJ326" s="928"/>
      <c r="CK326" s="928"/>
      <c r="CL326" s="928"/>
      <c r="CM326" s="928"/>
      <c r="CN326" s="928"/>
      <c r="CO326" s="928"/>
      <c r="CP326" s="928"/>
      <c r="CQ326" s="928"/>
      <c r="CR326" s="928"/>
      <c r="CS326" s="928"/>
      <c r="CT326" s="928"/>
      <c r="CU326" s="928"/>
      <c r="CV326" s="928"/>
      <c r="CW326" s="928"/>
      <c r="CX326" s="928"/>
      <c r="CY326" s="928"/>
      <c r="CZ326" s="928"/>
      <c r="DA326" s="928"/>
      <c r="DB326" s="928"/>
      <c r="DC326" s="928"/>
      <c r="DD326" s="928"/>
      <c r="DE326" s="928"/>
      <c r="DF326" s="928"/>
      <c r="DG326" s="928"/>
      <c r="DH326" s="928"/>
      <c r="DI326" s="928"/>
      <c r="DJ326" s="928"/>
      <c r="DK326" s="928"/>
      <c r="DL326" s="928"/>
      <c r="DM326" s="928"/>
      <c r="DN326" s="928"/>
      <c r="DO326" s="928"/>
      <c r="DP326" s="928"/>
      <c r="DQ326" s="928"/>
      <c r="DR326" s="928"/>
      <c r="DS326" s="928"/>
      <c r="DT326" s="928"/>
      <c r="DU326" s="928"/>
      <c r="DV326" s="928"/>
      <c r="DW326" s="928"/>
      <c r="DX326" s="928"/>
      <c r="DY326" s="928"/>
      <c r="DZ326" s="928"/>
      <c r="EA326" s="928"/>
      <c r="EB326" s="928"/>
      <c r="EC326" s="928"/>
      <c r="ED326" s="928"/>
      <c r="EE326" s="928"/>
      <c r="EF326" s="928"/>
      <c r="EG326" s="928"/>
      <c r="EH326" s="928"/>
      <c r="EI326" s="928"/>
      <c r="EJ326" s="928"/>
      <c r="EK326" s="928"/>
      <c r="EL326" s="928"/>
      <c r="EM326" s="928"/>
      <c r="EN326" s="928"/>
      <c r="EO326" s="928"/>
      <c r="EP326" s="928"/>
      <c r="EQ326" s="928"/>
      <c r="ER326" s="928"/>
      <c r="ES326" s="928"/>
      <c r="ET326" s="928"/>
      <c r="EU326" s="928"/>
      <c r="EV326" s="928"/>
      <c r="EW326" s="928"/>
      <c r="EX326" s="928"/>
      <c r="EY326" s="928"/>
      <c r="EZ326" s="928"/>
      <c r="FA326" s="928"/>
      <c r="FB326" s="928"/>
      <c r="FC326" s="928"/>
      <c r="FD326" s="928"/>
      <c r="FE326" s="928"/>
      <c r="FF326" s="928"/>
      <c r="FG326" s="928"/>
      <c r="FH326" s="928"/>
      <c r="FI326" s="928"/>
      <c r="FJ326" s="928"/>
      <c r="FK326" s="928"/>
      <c r="FL326" s="928"/>
      <c r="FM326" s="928"/>
      <c r="FN326" s="928"/>
      <c r="FO326" s="928"/>
      <c r="FP326" s="928"/>
      <c r="FQ326" s="928"/>
    </row>
    <row r="327" spans="1:173">
      <c r="A327" s="928"/>
      <c r="B327" s="928"/>
      <c r="C327" s="928"/>
      <c r="D327" s="928"/>
      <c r="E327" s="928"/>
      <c r="F327" s="928"/>
      <c r="G327" s="928"/>
      <c r="H327" s="928"/>
      <c r="I327" s="928"/>
      <c r="J327" s="928"/>
      <c r="K327" s="928"/>
      <c r="L327" s="928"/>
      <c r="M327" s="928"/>
      <c r="N327" s="928"/>
      <c r="O327" s="928"/>
      <c r="P327" s="928"/>
      <c r="Q327" s="928"/>
      <c r="R327" s="928"/>
      <c r="S327" s="928"/>
      <c r="T327" s="928"/>
      <c r="U327" s="928"/>
      <c r="V327" s="928"/>
      <c r="W327" s="928"/>
      <c r="X327" s="928"/>
      <c r="Y327" s="928"/>
      <c r="Z327" s="928"/>
      <c r="AA327" s="928"/>
      <c r="AB327" s="928"/>
      <c r="AC327" s="928"/>
      <c r="AD327" s="928"/>
      <c r="AE327" s="928"/>
      <c r="AF327" s="928"/>
      <c r="AG327" s="928"/>
      <c r="AH327" s="928"/>
      <c r="AI327" s="928"/>
      <c r="AJ327" s="928"/>
      <c r="AK327" s="928"/>
      <c r="AL327" s="928"/>
      <c r="AM327" s="928"/>
      <c r="AN327" s="928"/>
      <c r="AO327" s="928"/>
      <c r="AP327" s="928"/>
      <c r="AQ327" s="928"/>
      <c r="AR327" s="928"/>
      <c r="AS327" s="928"/>
      <c r="AT327" s="928"/>
      <c r="AU327" s="928"/>
      <c r="AV327" s="928"/>
      <c r="AW327" s="928"/>
      <c r="AX327" s="928"/>
      <c r="AY327" s="928"/>
      <c r="AZ327" s="928"/>
      <c r="BA327" s="928"/>
      <c r="BB327" s="928"/>
      <c r="BC327" s="928"/>
      <c r="BD327" s="928"/>
      <c r="BE327" s="928"/>
      <c r="BF327" s="928"/>
      <c r="BG327" s="928"/>
      <c r="BH327" s="928"/>
      <c r="BI327" s="928"/>
      <c r="BJ327" s="928"/>
      <c r="BK327" s="928"/>
      <c r="BL327" s="928"/>
      <c r="BM327" s="928"/>
      <c r="BN327" s="928"/>
      <c r="BO327" s="928"/>
      <c r="BP327" s="928"/>
      <c r="BQ327" s="928"/>
      <c r="BR327" s="928"/>
      <c r="BS327" s="928"/>
      <c r="BT327" s="928"/>
      <c r="BU327" s="928"/>
      <c r="BV327" s="928"/>
      <c r="BW327" s="928"/>
      <c r="BX327" s="928"/>
      <c r="BY327" s="928"/>
      <c r="BZ327" s="928"/>
      <c r="CA327" s="928"/>
      <c r="CB327" s="928"/>
      <c r="CC327" s="928"/>
      <c r="CD327" s="928"/>
      <c r="CE327" s="928"/>
      <c r="CF327" s="928"/>
      <c r="CG327" s="928"/>
      <c r="CH327" s="928"/>
      <c r="CI327" s="928"/>
      <c r="CJ327" s="928"/>
      <c r="CK327" s="928"/>
      <c r="CL327" s="928"/>
      <c r="CM327" s="928"/>
      <c r="CN327" s="928"/>
      <c r="CO327" s="928"/>
      <c r="CP327" s="928"/>
      <c r="CQ327" s="928"/>
      <c r="CR327" s="928"/>
      <c r="CS327" s="928"/>
      <c r="CT327" s="928"/>
      <c r="CU327" s="928"/>
      <c r="CV327" s="928"/>
      <c r="CW327" s="928"/>
      <c r="CX327" s="928"/>
      <c r="CY327" s="928"/>
      <c r="CZ327" s="928"/>
      <c r="DA327" s="928"/>
      <c r="DB327" s="928"/>
      <c r="DC327" s="928"/>
      <c r="DD327" s="928"/>
      <c r="DE327" s="928"/>
      <c r="DF327" s="928"/>
      <c r="DG327" s="928"/>
      <c r="DH327" s="928"/>
      <c r="DI327" s="928"/>
      <c r="DJ327" s="928"/>
      <c r="DK327" s="928"/>
      <c r="DL327" s="928"/>
      <c r="DM327" s="928"/>
      <c r="DN327" s="928"/>
      <c r="DO327" s="928"/>
      <c r="DP327" s="928"/>
      <c r="DQ327" s="928"/>
      <c r="DR327" s="928"/>
      <c r="DS327" s="928"/>
      <c r="DT327" s="928"/>
      <c r="DU327" s="928"/>
      <c r="DV327" s="928"/>
      <c r="DW327" s="928"/>
      <c r="DX327" s="928"/>
      <c r="DY327" s="928"/>
      <c r="DZ327" s="928"/>
      <c r="EA327" s="928"/>
      <c r="EB327" s="928"/>
      <c r="EC327" s="928"/>
      <c r="ED327" s="928"/>
      <c r="EE327" s="928"/>
      <c r="EF327" s="928"/>
      <c r="EG327" s="928"/>
      <c r="EH327" s="928"/>
      <c r="EI327" s="928"/>
      <c r="EJ327" s="928"/>
      <c r="EK327" s="928"/>
      <c r="EL327" s="928"/>
      <c r="EM327" s="928"/>
      <c r="EN327" s="928"/>
      <c r="EO327" s="928"/>
      <c r="EP327" s="928"/>
      <c r="EQ327" s="928"/>
      <c r="ER327" s="928"/>
      <c r="ES327" s="928"/>
      <c r="ET327" s="928"/>
      <c r="EU327" s="928"/>
      <c r="EV327" s="928"/>
      <c r="EW327" s="928"/>
      <c r="EX327" s="928"/>
      <c r="EY327" s="928"/>
      <c r="EZ327" s="928"/>
      <c r="FA327" s="928"/>
      <c r="FB327" s="928"/>
      <c r="FC327" s="928"/>
      <c r="FD327" s="928"/>
      <c r="FE327" s="928"/>
      <c r="FF327" s="928"/>
      <c r="FG327" s="928"/>
      <c r="FH327" s="928"/>
      <c r="FI327" s="928"/>
      <c r="FJ327" s="928"/>
      <c r="FK327" s="928"/>
      <c r="FL327" s="928"/>
      <c r="FM327" s="928"/>
      <c r="FN327" s="928"/>
      <c r="FO327" s="928"/>
      <c r="FP327" s="928"/>
      <c r="FQ327" s="928"/>
    </row>
    <row r="328" spans="1:173">
      <c r="A328" s="928"/>
      <c r="B328" s="928"/>
      <c r="C328" s="928"/>
      <c r="D328" s="928"/>
      <c r="E328" s="928"/>
      <c r="F328" s="928"/>
      <c r="G328" s="928"/>
      <c r="H328" s="928"/>
      <c r="I328" s="928"/>
      <c r="J328" s="928"/>
      <c r="K328" s="928"/>
      <c r="L328" s="928"/>
      <c r="M328" s="928"/>
      <c r="N328" s="928"/>
      <c r="O328" s="928"/>
      <c r="P328" s="928"/>
      <c r="Q328" s="928"/>
      <c r="R328" s="928"/>
      <c r="S328" s="928"/>
      <c r="T328" s="928"/>
      <c r="U328" s="928"/>
      <c r="V328" s="928"/>
      <c r="W328" s="928"/>
      <c r="X328" s="928"/>
      <c r="Y328" s="928"/>
      <c r="Z328" s="928"/>
      <c r="AA328" s="928"/>
      <c r="AB328" s="928"/>
      <c r="AC328" s="928"/>
      <c r="AD328" s="928"/>
      <c r="AE328" s="928"/>
      <c r="AF328" s="928"/>
      <c r="AG328" s="928"/>
      <c r="AH328" s="928"/>
      <c r="AI328" s="928"/>
      <c r="AJ328" s="928"/>
      <c r="AK328" s="928"/>
      <c r="AL328" s="928"/>
      <c r="AM328" s="928"/>
      <c r="AN328" s="928"/>
      <c r="AO328" s="928"/>
      <c r="AP328" s="928"/>
      <c r="AQ328" s="928"/>
      <c r="AR328" s="928"/>
      <c r="AS328" s="928"/>
      <c r="AT328" s="928"/>
      <c r="AU328" s="928"/>
      <c r="AV328" s="928"/>
      <c r="AW328" s="928"/>
      <c r="AX328" s="928"/>
      <c r="AY328" s="928"/>
      <c r="AZ328" s="928"/>
      <c r="BA328" s="928"/>
      <c r="BB328" s="928"/>
      <c r="BC328" s="928"/>
      <c r="BD328" s="928"/>
      <c r="BE328" s="928"/>
      <c r="BF328" s="928"/>
      <c r="BG328" s="928"/>
      <c r="BH328" s="928"/>
      <c r="BI328" s="928"/>
      <c r="BJ328" s="928"/>
      <c r="BK328" s="928"/>
      <c r="BL328" s="928"/>
      <c r="BM328" s="928"/>
      <c r="BN328" s="928"/>
      <c r="BO328" s="928"/>
      <c r="BP328" s="928"/>
      <c r="BQ328" s="928"/>
      <c r="BR328" s="928"/>
      <c r="BS328" s="928"/>
      <c r="BT328" s="928"/>
      <c r="BU328" s="928"/>
      <c r="BV328" s="928"/>
      <c r="BW328" s="928"/>
      <c r="BX328" s="928"/>
      <c r="BY328" s="928"/>
      <c r="BZ328" s="928"/>
      <c r="CA328" s="928"/>
      <c r="CB328" s="928"/>
      <c r="CC328" s="928"/>
      <c r="CD328" s="928"/>
      <c r="CE328" s="928"/>
      <c r="CF328" s="928"/>
      <c r="CG328" s="928"/>
      <c r="CH328" s="928"/>
      <c r="CI328" s="928"/>
      <c r="CJ328" s="928"/>
      <c r="CK328" s="928"/>
      <c r="CL328" s="928"/>
      <c r="CM328" s="928"/>
      <c r="CN328" s="928"/>
      <c r="CO328" s="928"/>
      <c r="CP328" s="928"/>
      <c r="CQ328" s="928"/>
      <c r="CR328" s="928"/>
      <c r="CS328" s="928"/>
      <c r="CT328" s="928"/>
      <c r="CU328" s="928"/>
      <c r="CV328" s="928"/>
      <c r="CW328" s="928"/>
      <c r="CX328" s="928"/>
      <c r="CY328" s="928"/>
      <c r="CZ328" s="928"/>
      <c r="DA328" s="928"/>
      <c r="DB328" s="928"/>
      <c r="DC328" s="928"/>
      <c r="DD328" s="928"/>
      <c r="DE328" s="928"/>
      <c r="DF328" s="928"/>
      <c r="DG328" s="928"/>
      <c r="DH328" s="928"/>
      <c r="DI328" s="928"/>
      <c r="DJ328" s="928"/>
      <c r="DK328" s="928"/>
      <c r="DL328" s="928"/>
      <c r="DM328" s="928"/>
      <c r="DN328" s="928"/>
      <c r="DO328" s="928"/>
      <c r="DP328" s="928"/>
      <c r="DQ328" s="928"/>
      <c r="DR328" s="928"/>
      <c r="DS328" s="928"/>
      <c r="DT328" s="928"/>
      <c r="DU328" s="928"/>
      <c r="DV328" s="928"/>
      <c r="DW328" s="928"/>
      <c r="DX328" s="928"/>
      <c r="DY328" s="928"/>
      <c r="DZ328" s="928"/>
      <c r="EA328" s="928"/>
      <c r="EB328" s="928"/>
      <c r="EC328" s="928"/>
      <c r="ED328" s="928"/>
      <c r="EE328" s="928"/>
      <c r="EF328" s="928"/>
      <c r="EG328" s="928"/>
      <c r="EH328" s="928"/>
      <c r="EI328" s="928"/>
      <c r="EJ328" s="928"/>
      <c r="EK328" s="928"/>
      <c r="EL328" s="928"/>
      <c r="EM328" s="928"/>
      <c r="EN328" s="928"/>
      <c r="EO328" s="928"/>
      <c r="EP328" s="928"/>
      <c r="EQ328" s="928"/>
      <c r="ER328" s="928"/>
      <c r="ES328" s="928"/>
      <c r="ET328" s="928"/>
      <c r="EU328" s="928"/>
      <c r="EV328" s="928"/>
      <c r="EW328" s="928"/>
      <c r="EX328" s="928"/>
      <c r="EY328" s="928"/>
      <c r="EZ328" s="928"/>
      <c r="FA328" s="928"/>
      <c r="FB328" s="928"/>
      <c r="FC328" s="928"/>
      <c r="FD328" s="928"/>
      <c r="FE328" s="928"/>
      <c r="FF328" s="928"/>
      <c r="FG328" s="928"/>
      <c r="FH328" s="928"/>
      <c r="FI328" s="928"/>
      <c r="FJ328" s="928"/>
      <c r="FK328" s="928"/>
      <c r="FL328" s="928"/>
      <c r="FM328" s="928"/>
      <c r="FN328" s="928"/>
      <c r="FO328" s="928"/>
      <c r="FP328" s="928"/>
      <c r="FQ328" s="928"/>
    </row>
    <row r="329" spans="1:173">
      <c r="A329" s="928"/>
      <c r="B329" s="928"/>
      <c r="C329" s="928"/>
      <c r="D329" s="928"/>
      <c r="E329" s="928"/>
      <c r="F329" s="928"/>
      <c r="G329" s="928"/>
      <c r="H329" s="928"/>
      <c r="I329" s="928"/>
      <c r="J329" s="928"/>
      <c r="K329" s="928"/>
      <c r="L329" s="928"/>
      <c r="M329" s="928"/>
      <c r="N329" s="928"/>
      <c r="O329" s="928"/>
      <c r="P329" s="928"/>
      <c r="Q329" s="928"/>
      <c r="R329" s="928"/>
      <c r="S329" s="928"/>
      <c r="T329" s="928"/>
      <c r="U329" s="928"/>
      <c r="V329" s="928"/>
      <c r="W329" s="928"/>
      <c r="X329" s="928"/>
      <c r="Y329" s="928"/>
      <c r="Z329" s="928"/>
      <c r="AA329" s="928"/>
      <c r="AB329" s="928"/>
      <c r="AC329" s="928"/>
      <c r="AD329" s="928"/>
      <c r="AE329" s="928"/>
      <c r="AF329" s="928"/>
      <c r="AG329" s="928"/>
      <c r="AH329" s="928"/>
      <c r="AI329" s="928"/>
      <c r="AJ329" s="928"/>
      <c r="AK329" s="928"/>
      <c r="AL329" s="928"/>
      <c r="AM329" s="928"/>
      <c r="AN329" s="928"/>
      <c r="AO329" s="928"/>
      <c r="AP329" s="928"/>
      <c r="AQ329" s="928"/>
      <c r="AR329" s="928"/>
      <c r="AS329" s="928"/>
      <c r="AT329" s="928"/>
      <c r="AU329" s="928"/>
      <c r="AV329" s="928"/>
      <c r="AW329" s="928"/>
      <c r="AX329" s="928"/>
      <c r="AY329" s="928"/>
      <c r="AZ329" s="928"/>
      <c r="BA329" s="928"/>
      <c r="BB329" s="928"/>
      <c r="BC329" s="928"/>
      <c r="BD329" s="928"/>
      <c r="BE329" s="928"/>
      <c r="BF329" s="928"/>
      <c r="BG329" s="928"/>
      <c r="BH329" s="928"/>
      <c r="BI329" s="928"/>
      <c r="BJ329" s="928"/>
      <c r="BK329" s="928"/>
      <c r="BL329" s="928"/>
      <c r="BM329" s="928"/>
      <c r="BN329" s="928"/>
      <c r="BO329" s="928"/>
      <c r="BP329" s="928"/>
      <c r="BQ329" s="928"/>
      <c r="BR329" s="928"/>
      <c r="BS329" s="928"/>
      <c r="BT329" s="928"/>
      <c r="BU329" s="928"/>
      <c r="BV329" s="928"/>
      <c r="BW329" s="928"/>
      <c r="BX329" s="928"/>
      <c r="BY329" s="928"/>
      <c r="BZ329" s="928"/>
      <c r="CA329" s="928"/>
      <c r="CB329" s="928"/>
      <c r="CC329" s="928"/>
      <c r="CD329" s="928"/>
      <c r="CE329" s="928"/>
      <c r="CF329" s="928"/>
      <c r="CG329" s="928"/>
      <c r="CH329" s="928"/>
      <c r="CI329" s="928"/>
      <c r="CJ329" s="928"/>
      <c r="CK329" s="928"/>
      <c r="CL329" s="928"/>
      <c r="CM329" s="928"/>
      <c r="CN329" s="928"/>
      <c r="CO329" s="928"/>
      <c r="CP329" s="928"/>
      <c r="CQ329" s="928"/>
      <c r="CR329" s="928"/>
      <c r="CS329" s="928"/>
      <c r="CT329" s="928"/>
      <c r="CU329" s="928"/>
      <c r="CV329" s="928"/>
      <c r="CW329" s="928"/>
      <c r="CX329" s="928"/>
      <c r="CY329" s="928"/>
      <c r="CZ329" s="928"/>
      <c r="DA329" s="928"/>
      <c r="DB329" s="928"/>
      <c r="DC329" s="928"/>
      <c r="DD329" s="928"/>
      <c r="DE329" s="928"/>
      <c r="DF329" s="928"/>
      <c r="DG329" s="928"/>
      <c r="DH329" s="928"/>
      <c r="DI329" s="928"/>
      <c r="DJ329" s="928"/>
      <c r="DK329" s="928"/>
      <c r="DL329" s="928"/>
      <c r="DM329" s="928"/>
      <c r="DN329" s="928"/>
      <c r="DO329" s="928"/>
      <c r="DP329" s="928"/>
      <c r="DQ329" s="928"/>
      <c r="DR329" s="928"/>
      <c r="DS329" s="928"/>
      <c r="DT329" s="928"/>
      <c r="DU329" s="928"/>
      <c r="DV329" s="928"/>
      <c r="DW329" s="928"/>
      <c r="DX329" s="928"/>
      <c r="DY329" s="928"/>
      <c r="DZ329" s="928"/>
      <c r="EA329" s="928"/>
      <c r="EB329" s="928"/>
      <c r="EC329" s="928"/>
      <c r="ED329" s="928"/>
      <c r="EE329" s="928"/>
      <c r="EF329" s="928"/>
      <c r="EG329" s="928"/>
      <c r="EH329" s="928"/>
      <c r="EI329" s="928"/>
      <c r="EJ329" s="928"/>
      <c r="EK329" s="928"/>
      <c r="EL329" s="928"/>
      <c r="EM329" s="928"/>
      <c r="EN329" s="928"/>
      <c r="EO329" s="928"/>
      <c r="EP329" s="928"/>
      <c r="EQ329" s="928"/>
      <c r="ER329" s="928"/>
      <c r="ES329" s="928"/>
      <c r="ET329" s="928"/>
      <c r="EU329" s="928"/>
      <c r="EV329" s="928"/>
      <c r="EW329" s="928"/>
      <c r="EX329" s="928"/>
      <c r="EY329" s="928"/>
      <c r="EZ329" s="928"/>
      <c r="FA329" s="928"/>
      <c r="FB329" s="928"/>
      <c r="FC329" s="928"/>
      <c r="FD329" s="928"/>
      <c r="FE329" s="928"/>
      <c r="FF329" s="928"/>
      <c r="FG329" s="928"/>
      <c r="FH329" s="928"/>
      <c r="FI329" s="928"/>
      <c r="FJ329" s="928"/>
      <c r="FK329" s="928"/>
      <c r="FL329" s="928"/>
      <c r="FM329" s="928"/>
      <c r="FN329" s="928"/>
      <c r="FO329" s="928"/>
      <c r="FP329" s="928"/>
      <c r="FQ329" s="928"/>
    </row>
    <row r="330" spans="1:173">
      <c r="A330" s="928"/>
      <c r="B330" s="928"/>
      <c r="C330" s="928"/>
      <c r="D330" s="928"/>
      <c r="E330" s="928"/>
      <c r="F330" s="928"/>
      <c r="G330" s="928"/>
      <c r="H330" s="928"/>
      <c r="I330" s="928"/>
      <c r="J330" s="928"/>
      <c r="K330" s="928"/>
      <c r="L330" s="928"/>
      <c r="M330" s="928"/>
      <c r="N330" s="928"/>
      <c r="O330" s="928"/>
      <c r="P330" s="928"/>
      <c r="Q330" s="928"/>
      <c r="R330" s="928"/>
      <c r="S330" s="928"/>
      <c r="T330" s="928"/>
      <c r="U330" s="928"/>
      <c r="V330" s="928"/>
      <c r="W330" s="928"/>
      <c r="X330" s="928"/>
      <c r="Y330" s="928"/>
      <c r="Z330" s="928"/>
      <c r="AA330" s="928"/>
      <c r="AB330" s="928"/>
      <c r="AC330" s="928"/>
      <c r="AD330" s="928"/>
      <c r="AE330" s="928"/>
      <c r="AF330" s="928"/>
      <c r="AG330" s="928"/>
      <c r="AH330" s="928"/>
      <c r="AI330" s="928"/>
      <c r="AJ330" s="928"/>
      <c r="AK330" s="928"/>
      <c r="AL330" s="928"/>
      <c r="AM330" s="928"/>
      <c r="AN330" s="928"/>
      <c r="AO330" s="928"/>
      <c r="AP330" s="928"/>
      <c r="AQ330" s="928"/>
      <c r="AR330" s="928"/>
      <c r="AS330" s="928"/>
      <c r="AT330" s="928"/>
      <c r="AU330" s="928"/>
      <c r="AV330" s="928"/>
      <c r="AW330" s="928"/>
      <c r="AX330" s="928"/>
      <c r="AY330" s="928"/>
      <c r="AZ330" s="928"/>
      <c r="BA330" s="928"/>
      <c r="BB330" s="928"/>
      <c r="BC330" s="928"/>
      <c r="BD330" s="928"/>
      <c r="BE330" s="928"/>
      <c r="BF330" s="928"/>
      <c r="BG330" s="928"/>
      <c r="BH330" s="928"/>
      <c r="BI330" s="928"/>
      <c r="BJ330" s="928"/>
      <c r="BK330" s="928"/>
      <c r="BL330" s="928"/>
      <c r="BM330" s="928"/>
      <c r="BN330" s="928"/>
      <c r="BO330" s="928"/>
      <c r="BP330" s="928"/>
      <c r="BQ330" s="928"/>
      <c r="BR330" s="928"/>
      <c r="BS330" s="928"/>
      <c r="BT330" s="928"/>
      <c r="BU330" s="928"/>
      <c r="BV330" s="928"/>
      <c r="BW330" s="928"/>
      <c r="BX330" s="928"/>
      <c r="BY330" s="928"/>
      <c r="BZ330" s="928"/>
      <c r="CA330" s="928"/>
      <c r="CB330" s="928"/>
      <c r="CC330" s="928"/>
      <c r="CD330" s="928"/>
      <c r="CE330" s="928"/>
      <c r="CF330" s="928"/>
      <c r="CG330" s="928"/>
      <c r="CH330" s="928"/>
      <c r="CI330" s="928"/>
      <c r="CJ330" s="928"/>
      <c r="CK330" s="928"/>
      <c r="CL330" s="928"/>
      <c r="CM330" s="928"/>
      <c r="CN330" s="928"/>
      <c r="CO330" s="928"/>
      <c r="CP330" s="928"/>
      <c r="CQ330" s="928"/>
      <c r="CR330" s="928"/>
      <c r="CS330" s="928"/>
      <c r="CT330" s="928"/>
      <c r="CU330" s="928"/>
      <c r="CV330" s="928"/>
      <c r="CW330" s="928"/>
      <c r="CX330" s="928"/>
      <c r="CY330" s="928"/>
      <c r="CZ330" s="928"/>
      <c r="DA330" s="928"/>
      <c r="DB330" s="928"/>
      <c r="DC330" s="928"/>
      <c r="DD330" s="928"/>
      <c r="DE330" s="928"/>
      <c r="DF330" s="928"/>
      <c r="DG330" s="928"/>
      <c r="DH330" s="928"/>
      <c r="DI330" s="928"/>
      <c r="DJ330" s="928"/>
      <c r="DK330" s="928"/>
      <c r="DL330" s="928"/>
      <c r="DM330" s="928"/>
      <c r="DN330" s="928"/>
      <c r="DO330" s="928"/>
      <c r="DP330" s="928"/>
      <c r="DQ330" s="928"/>
      <c r="DR330" s="928"/>
      <c r="DS330" s="928"/>
      <c r="DT330" s="928"/>
      <c r="DU330" s="928"/>
      <c r="DV330" s="928"/>
      <c r="DW330" s="928"/>
      <c r="DX330" s="928"/>
      <c r="DY330" s="928"/>
      <c r="DZ330" s="928"/>
      <c r="EA330" s="928"/>
      <c r="EB330" s="928"/>
      <c r="EC330" s="928"/>
      <c r="ED330" s="928"/>
      <c r="EE330" s="928"/>
      <c r="EF330" s="928"/>
      <c r="EG330" s="928"/>
      <c r="EH330" s="928"/>
      <c r="EI330" s="928"/>
      <c r="EJ330" s="928"/>
      <c r="EK330" s="928"/>
      <c r="EL330" s="928"/>
      <c r="EM330" s="928"/>
      <c r="EN330" s="928"/>
      <c r="EO330" s="928"/>
      <c r="EP330" s="928"/>
      <c r="EQ330" s="928"/>
      <c r="ER330" s="928"/>
      <c r="ES330" s="928"/>
      <c r="ET330" s="928"/>
      <c r="EU330" s="928"/>
      <c r="EV330" s="928"/>
      <c r="EW330" s="928"/>
      <c r="EX330" s="928"/>
      <c r="EY330" s="928"/>
      <c r="EZ330" s="928"/>
      <c r="FA330" s="928"/>
      <c r="FB330" s="928"/>
      <c r="FC330" s="928"/>
      <c r="FD330" s="928"/>
      <c r="FE330" s="928"/>
      <c r="FF330" s="928"/>
      <c r="FG330" s="928"/>
      <c r="FH330" s="928"/>
      <c r="FI330" s="928"/>
      <c r="FJ330" s="928"/>
      <c r="FK330" s="928"/>
      <c r="FL330" s="928"/>
      <c r="FM330" s="928"/>
      <c r="FN330" s="928"/>
      <c r="FO330" s="928"/>
      <c r="FP330" s="928"/>
      <c r="FQ330" s="928"/>
    </row>
    <row r="331" spans="1:173">
      <c r="A331" s="928"/>
      <c r="B331" s="928"/>
      <c r="C331" s="928"/>
      <c r="D331" s="928"/>
      <c r="E331" s="928"/>
      <c r="F331" s="928"/>
      <c r="G331" s="928"/>
      <c r="H331" s="928"/>
      <c r="I331" s="928"/>
      <c r="J331" s="928"/>
      <c r="K331" s="928"/>
      <c r="L331" s="928"/>
      <c r="M331" s="928"/>
      <c r="N331" s="928"/>
      <c r="O331" s="928"/>
      <c r="P331" s="928"/>
      <c r="Q331" s="928"/>
      <c r="R331" s="928"/>
      <c r="S331" s="928"/>
      <c r="T331" s="928"/>
      <c r="U331" s="928"/>
      <c r="V331" s="928"/>
      <c r="W331" s="928"/>
      <c r="X331" s="928"/>
      <c r="Y331" s="928"/>
      <c r="Z331" s="928"/>
      <c r="AA331" s="928"/>
      <c r="AB331" s="928"/>
      <c r="AC331" s="928"/>
      <c r="AD331" s="928"/>
      <c r="AE331" s="928"/>
      <c r="AF331" s="928"/>
      <c r="AG331" s="928"/>
      <c r="AH331" s="928"/>
      <c r="AI331" s="928"/>
      <c r="AJ331" s="928"/>
      <c r="AK331" s="928"/>
      <c r="AL331" s="928"/>
      <c r="AM331" s="928"/>
      <c r="AN331" s="928"/>
      <c r="AO331" s="928"/>
      <c r="AP331" s="928"/>
      <c r="AQ331" s="928"/>
      <c r="AR331" s="928"/>
      <c r="AS331" s="928"/>
      <c r="AT331" s="928"/>
      <c r="AU331" s="928"/>
      <c r="AV331" s="928"/>
      <c r="AW331" s="928"/>
      <c r="AX331" s="928"/>
      <c r="AY331" s="928"/>
      <c r="AZ331" s="928"/>
      <c r="BA331" s="928"/>
      <c r="BB331" s="928"/>
      <c r="BC331" s="928"/>
      <c r="BD331" s="928"/>
      <c r="BE331" s="928"/>
      <c r="BF331" s="928"/>
      <c r="BG331" s="928"/>
      <c r="BH331" s="928"/>
      <c r="BI331" s="928"/>
      <c r="BJ331" s="928"/>
      <c r="BK331" s="928"/>
      <c r="BL331" s="928"/>
      <c r="BM331" s="928"/>
      <c r="BN331" s="928"/>
      <c r="BO331" s="928"/>
      <c r="BP331" s="928"/>
      <c r="BQ331" s="928"/>
      <c r="BR331" s="928"/>
      <c r="BS331" s="928"/>
      <c r="BT331" s="928"/>
      <c r="BU331" s="928"/>
      <c r="BV331" s="928"/>
      <c r="BW331" s="928"/>
      <c r="BX331" s="928"/>
      <c r="BY331" s="928"/>
      <c r="BZ331" s="928"/>
      <c r="CA331" s="928"/>
      <c r="CB331" s="928"/>
      <c r="CC331" s="928"/>
      <c r="CD331" s="928"/>
      <c r="CE331" s="928"/>
      <c r="CF331" s="928"/>
      <c r="CG331" s="928"/>
      <c r="CH331" s="928"/>
      <c r="CI331" s="928"/>
      <c r="CJ331" s="928"/>
      <c r="CK331" s="928"/>
      <c r="CL331" s="928"/>
      <c r="CM331" s="928"/>
      <c r="CN331" s="928"/>
      <c r="CO331" s="928"/>
      <c r="CP331" s="928"/>
      <c r="CQ331" s="928"/>
      <c r="CR331" s="928"/>
      <c r="CS331" s="928"/>
      <c r="CT331" s="928"/>
      <c r="CU331" s="928"/>
      <c r="CV331" s="928"/>
      <c r="CW331" s="928"/>
      <c r="CX331" s="928"/>
      <c r="CY331" s="928"/>
      <c r="CZ331" s="928"/>
      <c r="DA331" s="928"/>
      <c r="DB331" s="928"/>
      <c r="DC331" s="928"/>
      <c r="DD331" s="928"/>
      <c r="DE331" s="928"/>
      <c r="DF331" s="928"/>
      <c r="DG331" s="928"/>
      <c r="DH331" s="928"/>
      <c r="DI331" s="928"/>
      <c r="DJ331" s="928"/>
      <c r="DK331" s="928"/>
      <c r="DL331" s="928"/>
      <c r="DM331" s="928"/>
      <c r="DN331" s="928"/>
      <c r="DO331" s="928"/>
      <c r="DP331" s="928"/>
      <c r="DQ331" s="928"/>
      <c r="DR331" s="928"/>
      <c r="DS331" s="928"/>
      <c r="DT331" s="928"/>
      <c r="DU331" s="928"/>
      <c r="DV331" s="928"/>
      <c r="DW331" s="928"/>
      <c r="DX331" s="928"/>
      <c r="DY331" s="928"/>
      <c r="DZ331" s="928"/>
      <c r="EA331" s="928"/>
      <c r="EB331" s="928"/>
      <c r="EC331" s="928"/>
      <c r="ED331" s="928"/>
      <c r="EE331" s="928"/>
      <c r="EF331" s="928"/>
      <c r="EG331" s="928"/>
      <c r="EH331" s="928"/>
      <c r="EI331" s="928"/>
      <c r="EJ331" s="928"/>
      <c r="EK331" s="928"/>
      <c r="EL331" s="928"/>
      <c r="EM331" s="928"/>
      <c r="EN331" s="928"/>
      <c r="EO331" s="928"/>
      <c r="EP331" s="928"/>
      <c r="EQ331" s="928"/>
      <c r="ER331" s="928"/>
      <c r="ES331" s="928"/>
      <c r="ET331" s="928"/>
      <c r="EU331" s="928"/>
      <c r="EV331" s="928"/>
      <c r="EW331" s="928"/>
      <c r="EX331" s="928"/>
      <c r="EY331" s="928"/>
      <c r="EZ331" s="928"/>
      <c r="FA331" s="928"/>
      <c r="FB331" s="928"/>
      <c r="FC331" s="928"/>
      <c r="FD331" s="928"/>
      <c r="FE331" s="928"/>
      <c r="FF331" s="928"/>
      <c r="FG331" s="928"/>
      <c r="FH331" s="928"/>
      <c r="FI331" s="928"/>
      <c r="FJ331" s="928"/>
      <c r="FK331" s="928"/>
      <c r="FL331" s="928"/>
      <c r="FM331" s="928"/>
      <c r="FN331" s="928"/>
      <c r="FO331" s="928"/>
      <c r="FP331" s="928"/>
      <c r="FQ331" s="928"/>
    </row>
    <row r="332" spans="1:173">
      <c r="A332" s="928"/>
      <c r="B332" s="928"/>
      <c r="C332" s="928"/>
      <c r="D332" s="928"/>
      <c r="E332" s="928"/>
      <c r="F332" s="928"/>
      <c r="G332" s="928"/>
      <c r="H332" s="928"/>
      <c r="I332" s="928"/>
      <c r="J332" s="928"/>
      <c r="K332" s="928"/>
      <c r="L332" s="928"/>
      <c r="M332" s="928"/>
      <c r="N332" s="928"/>
      <c r="O332" s="928"/>
      <c r="P332" s="928"/>
      <c r="Q332" s="928"/>
      <c r="R332" s="928"/>
      <c r="S332" s="928"/>
      <c r="T332" s="928"/>
      <c r="U332" s="928"/>
      <c r="V332" s="928"/>
      <c r="W332" s="928"/>
      <c r="X332" s="928"/>
      <c r="Y332" s="928"/>
      <c r="Z332" s="928"/>
      <c r="AA332" s="928"/>
      <c r="AB332" s="928"/>
      <c r="AC332" s="928"/>
      <c r="AD332" s="928"/>
      <c r="AE332" s="928"/>
      <c r="AF332" s="928"/>
      <c r="AG332" s="928"/>
      <c r="AH332" s="928"/>
      <c r="AI332" s="928"/>
      <c r="AJ332" s="928"/>
      <c r="AK332" s="928"/>
      <c r="AL332" s="928"/>
      <c r="AM332" s="928"/>
      <c r="AN332" s="928"/>
      <c r="AO332" s="928"/>
      <c r="AP332" s="928"/>
      <c r="AQ332" s="928"/>
      <c r="AR332" s="928"/>
      <c r="AS332" s="928"/>
      <c r="AT332" s="928"/>
      <c r="AU332" s="928"/>
      <c r="AV332" s="928"/>
      <c r="AW332" s="928"/>
      <c r="AX332" s="928"/>
      <c r="AY332" s="928"/>
      <c r="AZ332" s="928"/>
      <c r="BA332" s="928"/>
      <c r="BB332" s="928"/>
      <c r="BC332" s="928"/>
      <c r="BD332" s="928"/>
      <c r="BE332" s="928"/>
      <c r="BF332" s="928"/>
      <c r="BG332" s="928"/>
      <c r="BH332" s="928"/>
      <c r="BI332" s="928"/>
      <c r="BJ332" s="928"/>
      <c r="BK332" s="928"/>
      <c r="BL332" s="928"/>
      <c r="BM332" s="928"/>
      <c r="BN332" s="928"/>
      <c r="BO332" s="928"/>
      <c r="BP332" s="928"/>
      <c r="BQ332" s="928"/>
      <c r="BR332" s="928"/>
      <c r="BS332" s="928"/>
      <c r="BT332" s="928"/>
      <c r="BU332" s="928"/>
      <c r="BV332" s="928"/>
      <c r="BW332" s="928"/>
      <c r="BX332" s="928"/>
      <c r="BY332" s="928"/>
      <c r="BZ332" s="928"/>
      <c r="CA332" s="928"/>
      <c r="CB332" s="928"/>
      <c r="CC332" s="928"/>
      <c r="CD332" s="928"/>
      <c r="CE332" s="928"/>
      <c r="CF332" s="928"/>
      <c r="CG332" s="928"/>
      <c r="CH332" s="928"/>
      <c r="CI332" s="928"/>
      <c r="CJ332" s="928"/>
      <c r="CK332" s="928"/>
      <c r="CL332" s="928"/>
      <c r="CM332" s="928"/>
      <c r="CN332" s="928"/>
      <c r="CO332" s="928"/>
      <c r="CP332" s="928"/>
      <c r="CQ332" s="928"/>
      <c r="CR332" s="928"/>
      <c r="CS332" s="928"/>
      <c r="CT332" s="928"/>
      <c r="CU332" s="928"/>
      <c r="CV332" s="928"/>
      <c r="CW332" s="928"/>
      <c r="CX332" s="928"/>
      <c r="CY332" s="928"/>
      <c r="CZ332" s="928"/>
      <c r="DA332" s="928"/>
      <c r="DB332" s="928"/>
      <c r="DC332" s="928"/>
      <c r="DD332" s="928"/>
      <c r="DE332" s="928"/>
      <c r="DF332" s="928"/>
      <c r="DG332" s="928"/>
      <c r="DH332" s="928"/>
      <c r="DI332" s="928"/>
      <c r="DJ332" s="928"/>
      <c r="DK332" s="928"/>
      <c r="DL332" s="928"/>
      <c r="DM332" s="928"/>
      <c r="DN332" s="928"/>
      <c r="DO332" s="928"/>
      <c r="DP332" s="928"/>
      <c r="DQ332" s="928"/>
      <c r="DR332" s="928"/>
      <c r="DS332" s="928"/>
      <c r="DT332" s="928"/>
      <c r="DU332" s="928"/>
      <c r="DV332" s="928"/>
      <c r="DW332" s="928"/>
      <c r="DX332" s="928"/>
      <c r="DY332" s="928"/>
      <c r="DZ332" s="928"/>
      <c r="EA332" s="928"/>
      <c r="EB332" s="928"/>
      <c r="EC332" s="928"/>
      <c r="ED332" s="928"/>
      <c r="EE332" s="928"/>
      <c r="EF332" s="928"/>
      <c r="EG332" s="928"/>
      <c r="EH332" s="928"/>
      <c r="EI332" s="928"/>
      <c r="EJ332" s="928"/>
      <c r="EK332" s="928"/>
      <c r="EL332" s="928"/>
      <c r="EM332" s="928"/>
      <c r="EN332" s="928"/>
      <c r="EO332" s="928"/>
      <c r="EP332" s="928"/>
      <c r="EQ332" s="928"/>
      <c r="ER332" s="928"/>
      <c r="ES332" s="928"/>
      <c r="ET332" s="928"/>
      <c r="EU332" s="928"/>
      <c r="EV332" s="928"/>
      <c r="EW332" s="928"/>
      <c r="EX332" s="928"/>
      <c r="EY332" s="928"/>
      <c r="EZ332" s="928"/>
      <c r="FA332" s="928"/>
      <c r="FB332" s="928"/>
      <c r="FC332" s="928"/>
      <c r="FD332" s="928"/>
      <c r="FE332" s="928"/>
      <c r="FF332" s="928"/>
      <c r="FG332" s="928"/>
      <c r="FH332" s="928"/>
      <c r="FI332" s="928"/>
      <c r="FJ332" s="928"/>
      <c r="FK332" s="928"/>
      <c r="FL332" s="928"/>
      <c r="FM332" s="928"/>
      <c r="FN332" s="928"/>
      <c r="FO332" s="928"/>
      <c r="FP332" s="928"/>
      <c r="FQ332" s="928"/>
    </row>
    <row r="333" spans="1:173">
      <c r="A333" s="928"/>
      <c r="B333" s="928"/>
      <c r="C333" s="928"/>
      <c r="D333" s="928"/>
      <c r="E333" s="928"/>
      <c r="F333" s="928"/>
      <c r="G333" s="928"/>
      <c r="H333" s="928"/>
      <c r="I333" s="928"/>
      <c r="J333" s="928"/>
      <c r="K333" s="928"/>
      <c r="L333" s="928"/>
      <c r="M333" s="928"/>
      <c r="N333" s="928"/>
      <c r="O333" s="928"/>
      <c r="P333" s="928"/>
      <c r="Q333" s="928"/>
      <c r="R333" s="928"/>
      <c r="S333" s="928"/>
      <c r="T333" s="928"/>
      <c r="U333" s="928"/>
      <c r="V333" s="928"/>
      <c r="W333" s="928"/>
      <c r="X333" s="928"/>
      <c r="Y333" s="928"/>
      <c r="Z333" s="928"/>
      <c r="AA333" s="928"/>
      <c r="AB333" s="928"/>
      <c r="AC333" s="928"/>
      <c r="AD333" s="928"/>
      <c r="AE333" s="928"/>
      <c r="AF333" s="928"/>
      <c r="AG333" s="928"/>
      <c r="AH333" s="928"/>
      <c r="AI333" s="928"/>
      <c r="AJ333" s="928"/>
      <c r="AK333" s="928"/>
      <c r="AL333" s="928"/>
      <c r="AM333" s="928"/>
      <c r="AN333" s="928"/>
      <c r="AO333" s="928"/>
      <c r="AP333" s="928"/>
      <c r="AQ333" s="928"/>
      <c r="AR333" s="928"/>
      <c r="AS333" s="928"/>
      <c r="AT333" s="928"/>
      <c r="AU333" s="928"/>
      <c r="AV333" s="928"/>
      <c r="AW333" s="928"/>
      <c r="AX333" s="928"/>
      <c r="AY333" s="928"/>
      <c r="AZ333" s="928"/>
      <c r="BA333" s="928"/>
      <c r="BB333" s="928"/>
      <c r="BC333" s="928"/>
      <c r="BD333" s="928"/>
      <c r="BE333" s="928"/>
      <c r="BF333" s="928"/>
      <c r="BG333" s="928"/>
      <c r="BH333" s="928"/>
      <c r="BI333" s="928"/>
      <c r="BJ333" s="928"/>
      <c r="BK333" s="928"/>
      <c r="BL333" s="928"/>
      <c r="BM333" s="928"/>
      <c r="BN333" s="928"/>
      <c r="BO333" s="928"/>
      <c r="BP333" s="928"/>
      <c r="BQ333" s="928"/>
      <c r="BR333" s="928"/>
      <c r="BS333" s="928"/>
      <c r="BT333" s="928"/>
      <c r="BU333" s="928"/>
      <c r="BV333" s="928"/>
      <c r="BW333" s="928"/>
      <c r="BX333" s="928"/>
      <c r="BY333" s="928"/>
      <c r="BZ333" s="928"/>
      <c r="CA333" s="928"/>
      <c r="CB333" s="928"/>
      <c r="CC333" s="928"/>
      <c r="CD333" s="928"/>
      <c r="CE333" s="928"/>
      <c r="CF333" s="928"/>
      <c r="CG333" s="928"/>
      <c r="CH333" s="928"/>
      <c r="CI333" s="928"/>
      <c r="CJ333" s="928"/>
      <c r="CK333" s="928"/>
      <c r="CL333" s="928"/>
      <c r="CM333" s="928"/>
      <c r="CN333" s="928"/>
      <c r="CO333" s="928"/>
      <c r="CP333" s="928"/>
      <c r="CQ333" s="928"/>
      <c r="CR333" s="928"/>
      <c r="CS333" s="928"/>
      <c r="CT333" s="928"/>
      <c r="CU333" s="928"/>
      <c r="CV333" s="928"/>
      <c r="CW333" s="928"/>
      <c r="CX333" s="928"/>
      <c r="CY333" s="928"/>
      <c r="CZ333" s="928"/>
      <c r="DA333" s="928"/>
      <c r="DB333" s="928"/>
      <c r="DC333" s="928"/>
      <c r="DD333" s="928"/>
      <c r="DE333" s="928"/>
      <c r="DF333" s="928"/>
      <c r="DG333" s="928"/>
      <c r="DH333" s="928"/>
      <c r="DI333" s="928"/>
      <c r="DJ333" s="928"/>
      <c r="DK333" s="928"/>
      <c r="DL333" s="928"/>
      <c r="DM333" s="928"/>
      <c r="DN333" s="928"/>
      <c r="DO333" s="928"/>
      <c r="DP333" s="928"/>
      <c r="DQ333" s="928"/>
      <c r="DR333" s="928"/>
      <c r="DS333" s="928"/>
      <c r="DT333" s="928"/>
      <c r="DU333" s="928"/>
      <c r="DV333" s="928"/>
      <c r="DW333" s="928"/>
      <c r="DX333" s="928"/>
      <c r="DY333" s="928"/>
      <c r="DZ333" s="928"/>
      <c r="EA333" s="928"/>
      <c r="EB333" s="928"/>
      <c r="EC333" s="928"/>
      <c r="ED333" s="928"/>
      <c r="EE333" s="928"/>
      <c r="EF333" s="928"/>
      <c r="EG333" s="928"/>
      <c r="EH333" s="928"/>
      <c r="EI333" s="928"/>
      <c r="EJ333" s="928"/>
      <c r="EK333" s="928"/>
      <c r="EL333" s="928"/>
      <c r="EM333" s="928"/>
      <c r="EN333" s="928"/>
      <c r="EO333" s="928"/>
      <c r="EP333" s="928"/>
      <c r="EQ333" s="928"/>
      <c r="ER333" s="928"/>
      <c r="ES333" s="928"/>
      <c r="ET333" s="928"/>
      <c r="EU333" s="928"/>
      <c r="EV333" s="928"/>
      <c r="EW333" s="928"/>
      <c r="EX333" s="928"/>
      <c r="EY333" s="928"/>
      <c r="EZ333" s="928"/>
      <c r="FA333" s="928"/>
      <c r="FB333" s="928"/>
      <c r="FC333" s="928"/>
      <c r="FD333" s="928"/>
      <c r="FE333" s="928"/>
      <c r="FF333" s="928"/>
      <c r="FG333" s="928"/>
      <c r="FH333" s="928"/>
      <c r="FI333" s="928"/>
      <c r="FJ333" s="928"/>
      <c r="FK333" s="928"/>
      <c r="FL333" s="928"/>
      <c r="FM333" s="928"/>
      <c r="FN333" s="928"/>
      <c r="FO333" s="928"/>
      <c r="FP333" s="928"/>
      <c r="FQ333" s="928"/>
    </row>
    <row r="334" spans="1:173">
      <c r="A334" s="928"/>
      <c r="B334" s="928"/>
      <c r="C334" s="928"/>
      <c r="D334" s="928"/>
      <c r="E334" s="928"/>
      <c r="F334" s="928"/>
      <c r="G334" s="928"/>
      <c r="H334" s="928"/>
      <c r="I334" s="928"/>
      <c r="J334" s="928"/>
      <c r="K334" s="928"/>
      <c r="L334" s="928"/>
      <c r="M334" s="928"/>
      <c r="N334" s="928"/>
      <c r="O334" s="928"/>
      <c r="P334" s="928"/>
      <c r="Q334" s="928"/>
      <c r="R334" s="928"/>
      <c r="S334" s="928"/>
      <c r="T334" s="928"/>
      <c r="U334" s="928"/>
      <c r="V334" s="928"/>
      <c r="W334" s="928"/>
      <c r="X334" s="928"/>
      <c r="Y334" s="928"/>
      <c r="Z334" s="928"/>
      <c r="AA334" s="928"/>
      <c r="AB334" s="928"/>
      <c r="AC334" s="928"/>
      <c r="AD334" s="928"/>
      <c r="AE334" s="928"/>
      <c r="AF334" s="928"/>
      <c r="AG334" s="928"/>
      <c r="AH334" s="928"/>
      <c r="AI334" s="928"/>
      <c r="AJ334" s="928"/>
      <c r="AK334" s="928"/>
      <c r="AL334" s="928"/>
      <c r="AM334" s="928"/>
      <c r="AN334" s="928"/>
      <c r="AO334" s="928"/>
      <c r="AP334" s="928"/>
      <c r="AQ334" s="928"/>
      <c r="AR334" s="928"/>
      <c r="AS334" s="928"/>
      <c r="AT334" s="928"/>
      <c r="AU334" s="928"/>
      <c r="AV334" s="928"/>
      <c r="AW334" s="928"/>
      <c r="AX334" s="928"/>
      <c r="AY334" s="928"/>
      <c r="AZ334" s="928"/>
      <c r="BA334" s="928"/>
      <c r="BB334" s="928"/>
      <c r="BC334" s="928"/>
      <c r="BD334" s="928"/>
      <c r="BE334" s="928"/>
      <c r="BF334" s="928"/>
      <c r="BG334" s="928"/>
      <c r="BH334" s="928"/>
      <c r="BI334" s="928"/>
      <c r="BJ334" s="928"/>
      <c r="BK334" s="928"/>
      <c r="BL334" s="928"/>
      <c r="BM334" s="928"/>
      <c r="BN334" s="928"/>
      <c r="BO334" s="928"/>
      <c r="BP334" s="928"/>
      <c r="BQ334" s="928"/>
      <c r="BR334" s="928"/>
      <c r="BS334" s="928"/>
      <c r="BT334" s="928"/>
      <c r="BU334" s="928"/>
      <c r="BV334" s="928"/>
      <c r="BW334" s="928"/>
      <c r="BX334" s="928"/>
      <c r="BY334" s="928"/>
      <c r="BZ334" s="928"/>
      <c r="CA334" s="928"/>
      <c r="CB334" s="928"/>
      <c r="CC334" s="928"/>
      <c r="CD334" s="928"/>
      <c r="CE334" s="928"/>
      <c r="CF334" s="928"/>
      <c r="CG334" s="928"/>
      <c r="CH334" s="928"/>
      <c r="CI334" s="928"/>
      <c r="CJ334" s="928"/>
      <c r="CK334" s="928"/>
      <c r="CL334" s="928"/>
      <c r="CM334" s="928"/>
      <c r="CN334" s="928"/>
      <c r="CO334" s="928"/>
      <c r="CP334" s="928"/>
      <c r="CQ334" s="928"/>
      <c r="CR334" s="928"/>
      <c r="CS334" s="928"/>
      <c r="CT334" s="928"/>
      <c r="CU334" s="928"/>
      <c r="CV334" s="928"/>
      <c r="CW334" s="928"/>
      <c r="CX334" s="928"/>
      <c r="CY334" s="928"/>
      <c r="CZ334" s="928"/>
      <c r="DA334" s="928"/>
      <c r="DB334" s="928"/>
      <c r="DC334" s="928"/>
      <c r="DD334" s="928"/>
      <c r="DE334" s="928"/>
      <c r="DF334" s="928"/>
      <c r="DG334" s="928"/>
      <c r="DH334" s="928"/>
      <c r="DI334" s="928"/>
      <c r="DJ334" s="928"/>
      <c r="DK334" s="928"/>
      <c r="DL334" s="928"/>
      <c r="DM334" s="928"/>
      <c r="DN334" s="928"/>
      <c r="DO334" s="928"/>
      <c r="DP334" s="928"/>
      <c r="DQ334" s="928"/>
      <c r="DR334" s="928"/>
      <c r="DS334" s="928"/>
      <c r="DT334" s="928"/>
      <c r="DU334" s="928"/>
      <c r="DV334" s="928"/>
      <c r="DW334" s="928"/>
      <c r="DX334" s="928"/>
      <c r="DY334" s="928"/>
      <c r="DZ334" s="928"/>
      <c r="EA334" s="928"/>
      <c r="EB334" s="928"/>
      <c r="EC334" s="928"/>
      <c r="ED334" s="928"/>
      <c r="EE334" s="928"/>
      <c r="EF334" s="928"/>
      <c r="EG334" s="928"/>
      <c r="EH334" s="928"/>
      <c r="EI334" s="928"/>
      <c r="EJ334" s="928"/>
      <c r="EK334" s="928"/>
      <c r="EL334" s="928"/>
      <c r="EM334" s="928"/>
      <c r="EN334" s="928"/>
      <c r="EO334" s="928"/>
      <c r="EP334" s="928"/>
      <c r="EQ334" s="928"/>
      <c r="ER334" s="928"/>
      <c r="ES334" s="928"/>
      <c r="ET334" s="928"/>
      <c r="EU334" s="928"/>
      <c r="EV334" s="928"/>
      <c r="EW334" s="928"/>
      <c r="EX334" s="928"/>
      <c r="EY334" s="928"/>
      <c r="EZ334" s="928"/>
      <c r="FA334" s="928"/>
      <c r="FB334" s="928"/>
      <c r="FC334" s="928"/>
      <c r="FD334" s="928"/>
      <c r="FE334" s="928"/>
      <c r="FF334" s="928"/>
      <c r="FG334" s="928"/>
      <c r="FH334" s="928"/>
      <c r="FI334" s="928"/>
      <c r="FJ334" s="928"/>
      <c r="FK334" s="928"/>
      <c r="FL334" s="928"/>
      <c r="FM334" s="928"/>
      <c r="FN334" s="928"/>
      <c r="FO334" s="928"/>
      <c r="FP334" s="928"/>
      <c r="FQ334" s="928"/>
    </row>
    <row r="335" spans="1:173">
      <c r="A335" s="928"/>
      <c r="B335" s="928"/>
      <c r="C335" s="928"/>
      <c r="D335" s="928"/>
      <c r="E335" s="928"/>
      <c r="F335" s="928"/>
      <c r="G335" s="928"/>
      <c r="H335" s="928"/>
      <c r="I335" s="928"/>
      <c r="J335" s="928"/>
      <c r="K335" s="928"/>
      <c r="L335" s="928"/>
      <c r="M335" s="928"/>
      <c r="N335" s="928"/>
      <c r="O335" s="928"/>
      <c r="P335" s="928"/>
      <c r="Q335" s="928"/>
      <c r="R335" s="928"/>
      <c r="S335" s="928"/>
      <c r="T335" s="928"/>
      <c r="U335" s="928"/>
      <c r="V335" s="928"/>
      <c r="W335" s="928"/>
      <c r="X335" s="928"/>
      <c r="Y335" s="928"/>
      <c r="Z335" s="928"/>
      <c r="AA335" s="928"/>
      <c r="AB335" s="928"/>
      <c r="AC335" s="928"/>
      <c r="AD335" s="928"/>
      <c r="AE335" s="928"/>
      <c r="AF335" s="928"/>
      <c r="AG335" s="928"/>
      <c r="AH335" s="928"/>
      <c r="AI335" s="928"/>
      <c r="AJ335" s="928"/>
      <c r="AK335" s="928"/>
      <c r="AL335" s="928"/>
      <c r="AM335" s="928"/>
      <c r="AN335" s="928"/>
      <c r="AO335" s="928"/>
      <c r="AP335" s="928"/>
      <c r="AQ335" s="928"/>
      <c r="AR335" s="928"/>
      <c r="AS335" s="928"/>
      <c r="AT335" s="928"/>
      <c r="AU335" s="928"/>
      <c r="AV335" s="928"/>
      <c r="AW335" s="928"/>
      <c r="AX335" s="928"/>
      <c r="AY335" s="928"/>
      <c r="AZ335" s="928"/>
      <c r="BA335" s="928"/>
      <c r="BB335" s="928"/>
      <c r="BC335" s="928"/>
      <c r="BD335" s="928"/>
      <c r="BE335" s="928"/>
      <c r="BF335" s="928"/>
      <c r="BG335" s="928"/>
      <c r="BH335" s="928"/>
      <c r="BI335" s="928"/>
      <c r="BJ335" s="928"/>
      <c r="BK335" s="928"/>
      <c r="BL335" s="928"/>
      <c r="BM335" s="928"/>
      <c r="BN335" s="928"/>
      <c r="BO335" s="928"/>
      <c r="BP335" s="928"/>
      <c r="BQ335" s="928"/>
      <c r="BR335" s="928"/>
      <c r="BS335" s="928"/>
      <c r="BT335" s="928"/>
      <c r="BU335" s="928"/>
      <c r="BV335" s="928"/>
      <c r="BW335" s="928"/>
      <c r="BX335" s="928"/>
      <c r="BY335" s="928"/>
      <c r="BZ335" s="928"/>
      <c r="CA335" s="928"/>
      <c r="CB335" s="928"/>
      <c r="CC335" s="928"/>
      <c r="CD335" s="928"/>
      <c r="CE335" s="928"/>
      <c r="CF335" s="928"/>
      <c r="CG335" s="928"/>
      <c r="CH335" s="928"/>
      <c r="CI335" s="928"/>
      <c r="CJ335" s="928"/>
      <c r="CK335" s="928"/>
      <c r="CL335" s="928"/>
      <c r="CM335" s="928"/>
      <c r="CN335" s="928"/>
      <c r="CO335" s="928"/>
      <c r="CP335" s="928"/>
      <c r="CQ335" s="928"/>
      <c r="CR335" s="928"/>
      <c r="CS335" s="928"/>
      <c r="CT335" s="928"/>
      <c r="CU335" s="928"/>
      <c r="CV335" s="928"/>
      <c r="CW335" s="928"/>
      <c r="CX335" s="928"/>
      <c r="CY335" s="928"/>
      <c r="CZ335" s="928"/>
      <c r="DA335" s="928"/>
      <c r="DB335" s="928"/>
      <c r="DC335" s="928"/>
      <c r="DD335" s="928"/>
      <c r="DE335" s="928"/>
      <c r="DF335" s="928"/>
      <c r="DG335" s="928"/>
      <c r="DH335" s="928"/>
      <c r="DI335" s="928"/>
      <c r="DJ335" s="928"/>
      <c r="DK335" s="928"/>
      <c r="DL335" s="928"/>
      <c r="DM335" s="928"/>
      <c r="DN335" s="928"/>
      <c r="DO335" s="928"/>
      <c r="DP335" s="928"/>
      <c r="DQ335" s="928"/>
      <c r="DR335" s="928"/>
      <c r="DS335" s="928"/>
      <c r="DT335" s="928"/>
      <c r="DU335" s="928"/>
      <c r="DV335" s="928"/>
      <c r="DW335" s="928"/>
      <c r="DX335" s="928"/>
      <c r="DY335" s="928"/>
      <c r="DZ335" s="928"/>
      <c r="EA335" s="928"/>
      <c r="EB335" s="928"/>
      <c r="EC335" s="928"/>
      <c r="ED335" s="928"/>
      <c r="EE335" s="928"/>
      <c r="EF335" s="928"/>
      <c r="EG335" s="928"/>
      <c r="EH335" s="928"/>
      <c r="EI335" s="928"/>
      <c r="EJ335" s="928"/>
      <c r="EK335" s="928"/>
      <c r="EL335" s="928"/>
      <c r="EM335" s="928"/>
      <c r="EN335" s="928"/>
      <c r="EO335" s="928"/>
      <c r="EP335" s="928"/>
      <c r="EQ335" s="928"/>
      <c r="ER335" s="928"/>
      <c r="ES335" s="928"/>
      <c r="ET335" s="928"/>
      <c r="EU335" s="928"/>
      <c r="EV335" s="928"/>
      <c r="EW335" s="928"/>
      <c r="EX335" s="928"/>
      <c r="EY335" s="928"/>
      <c r="EZ335" s="928"/>
      <c r="FA335" s="928"/>
      <c r="FB335" s="928"/>
      <c r="FC335" s="928"/>
      <c r="FD335" s="928"/>
      <c r="FE335" s="928"/>
      <c r="FF335" s="928"/>
      <c r="FG335" s="928"/>
      <c r="FH335" s="928"/>
      <c r="FI335" s="928"/>
      <c r="FJ335" s="928"/>
      <c r="FK335" s="928"/>
      <c r="FL335" s="928"/>
      <c r="FM335" s="928"/>
      <c r="FN335" s="928"/>
      <c r="FO335" s="928"/>
      <c r="FP335" s="928"/>
      <c r="FQ335" s="928"/>
    </row>
    <row r="336" spans="1:173">
      <c r="A336" s="928"/>
      <c r="B336" s="928"/>
      <c r="C336" s="928"/>
      <c r="D336" s="928"/>
      <c r="E336" s="928"/>
      <c r="F336" s="928"/>
      <c r="G336" s="928"/>
      <c r="H336" s="928"/>
      <c r="I336" s="928"/>
      <c r="J336" s="928"/>
      <c r="K336" s="928"/>
      <c r="L336" s="928"/>
      <c r="M336" s="928"/>
      <c r="N336" s="928"/>
      <c r="O336" s="928"/>
      <c r="P336" s="928"/>
      <c r="Q336" s="928"/>
      <c r="R336" s="928"/>
      <c r="S336" s="928"/>
      <c r="T336" s="928"/>
      <c r="U336" s="928"/>
      <c r="V336" s="928"/>
      <c r="W336" s="928"/>
      <c r="X336" s="928"/>
      <c r="Y336" s="928"/>
      <c r="Z336" s="928"/>
      <c r="AA336" s="928"/>
      <c r="AB336" s="928"/>
      <c r="AC336" s="928"/>
      <c r="AD336" s="928"/>
      <c r="AE336" s="928"/>
      <c r="AF336" s="928"/>
      <c r="AG336" s="928"/>
      <c r="AH336" s="928"/>
      <c r="AI336" s="928"/>
      <c r="AJ336" s="928"/>
      <c r="AK336" s="928"/>
      <c r="AL336" s="928"/>
      <c r="AM336" s="928"/>
      <c r="AN336" s="928"/>
      <c r="AO336" s="928"/>
      <c r="AP336" s="928"/>
      <c r="AQ336" s="928"/>
      <c r="AR336" s="928"/>
      <c r="AS336" s="928"/>
      <c r="AT336" s="928"/>
      <c r="AU336" s="928"/>
      <c r="AV336" s="928"/>
      <c r="AW336" s="928"/>
      <c r="AX336" s="928"/>
      <c r="AY336" s="928"/>
      <c r="AZ336" s="928"/>
      <c r="BA336" s="928"/>
      <c r="BB336" s="928"/>
      <c r="BC336" s="928"/>
      <c r="BD336" s="928"/>
      <c r="BE336" s="928"/>
      <c r="BF336" s="928"/>
      <c r="BG336" s="928"/>
      <c r="BH336" s="928"/>
      <c r="BI336" s="928"/>
      <c r="BJ336" s="928"/>
      <c r="BK336" s="928"/>
      <c r="BL336" s="928"/>
      <c r="BM336" s="928"/>
      <c r="BN336" s="928"/>
      <c r="BO336" s="928"/>
      <c r="BP336" s="928"/>
      <c r="BQ336" s="928"/>
      <c r="BR336" s="928"/>
      <c r="BS336" s="928"/>
      <c r="BT336" s="928"/>
      <c r="BU336" s="928"/>
      <c r="BV336" s="928"/>
      <c r="BW336" s="928"/>
      <c r="BX336" s="928"/>
      <c r="BY336" s="928"/>
      <c r="BZ336" s="928"/>
      <c r="CA336" s="928"/>
      <c r="CB336" s="928"/>
      <c r="CC336" s="928"/>
      <c r="CD336" s="928"/>
      <c r="CE336" s="928"/>
      <c r="CF336" s="928"/>
      <c r="CG336" s="928"/>
      <c r="CH336" s="928"/>
      <c r="CI336" s="928"/>
      <c r="CJ336" s="928"/>
      <c r="CK336" s="928"/>
      <c r="CL336" s="928"/>
      <c r="CM336" s="928"/>
      <c r="CN336" s="928"/>
      <c r="CO336" s="928"/>
      <c r="CP336" s="928"/>
      <c r="CQ336" s="928"/>
      <c r="CR336" s="928"/>
      <c r="CS336" s="928"/>
      <c r="CT336" s="928"/>
      <c r="CU336" s="928"/>
      <c r="CV336" s="928"/>
      <c r="CW336" s="928"/>
      <c r="CX336" s="928"/>
      <c r="CY336" s="928"/>
      <c r="CZ336" s="928"/>
      <c r="DA336" s="928"/>
      <c r="DB336" s="928"/>
      <c r="DC336" s="928"/>
      <c r="DD336" s="928"/>
      <c r="DE336" s="928"/>
      <c r="DF336" s="928"/>
      <c r="DG336" s="928"/>
      <c r="DH336" s="928"/>
      <c r="DI336" s="928"/>
      <c r="DJ336" s="928"/>
      <c r="DK336" s="928"/>
      <c r="DL336" s="928"/>
      <c r="DM336" s="928"/>
      <c r="DN336" s="928"/>
      <c r="DO336" s="928"/>
      <c r="DP336" s="928"/>
      <c r="DQ336" s="928"/>
      <c r="DR336" s="928"/>
      <c r="DS336" s="928"/>
      <c r="DT336" s="928"/>
      <c r="DU336" s="928"/>
      <c r="DV336" s="928"/>
      <c r="DW336" s="928"/>
      <c r="DX336" s="928"/>
      <c r="DY336" s="928"/>
      <c r="DZ336" s="928"/>
      <c r="EA336" s="928"/>
      <c r="EB336" s="928"/>
      <c r="EC336" s="928"/>
      <c r="ED336" s="928"/>
      <c r="EE336" s="928"/>
      <c r="EF336" s="928"/>
      <c r="EG336" s="928"/>
      <c r="EH336" s="928"/>
      <c r="EI336" s="928"/>
      <c r="EJ336" s="928"/>
      <c r="EK336" s="928"/>
      <c r="EL336" s="928"/>
      <c r="EM336" s="928"/>
      <c r="EN336" s="928"/>
      <c r="EO336" s="928"/>
      <c r="EP336" s="928"/>
      <c r="EQ336" s="928"/>
      <c r="ER336" s="928"/>
      <c r="ES336" s="928"/>
      <c r="ET336" s="928"/>
      <c r="EU336" s="928"/>
      <c r="EV336" s="928"/>
      <c r="EW336" s="928"/>
      <c r="EX336" s="928"/>
      <c r="EY336" s="928"/>
      <c r="EZ336" s="928"/>
      <c r="FA336" s="928"/>
      <c r="FB336" s="928"/>
      <c r="FC336" s="928"/>
      <c r="FD336" s="928"/>
      <c r="FE336" s="928"/>
      <c r="FF336" s="928"/>
      <c r="FG336" s="928"/>
      <c r="FH336" s="928"/>
      <c r="FI336" s="928"/>
      <c r="FJ336" s="928"/>
      <c r="FK336" s="928"/>
      <c r="FL336" s="928"/>
      <c r="FM336" s="928"/>
      <c r="FN336" s="928"/>
      <c r="FO336" s="928"/>
      <c r="FP336" s="928"/>
      <c r="FQ336" s="928"/>
    </row>
    <row r="337" spans="1:173">
      <c r="A337" s="928"/>
      <c r="B337" s="928"/>
      <c r="C337" s="928"/>
      <c r="D337" s="928"/>
      <c r="E337" s="928"/>
      <c r="F337" s="928"/>
      <c r="G337" s="928"/>
      <c r="H337" s="928"/>
      <c r="I337" s="928"/>
      <c r="J337" s="928"/>
      <c r="K337" s="928"/>
      <c r="L337" s="928"/>
      <c r="M337" s="928"/>
      <c r="N337" s="928"/>
      <c r="O337" s="928"/>
      <c r="P337" s="928"/>
      <c r="Q337" s="928"/>
      <c r="R337" s="928"/>
      <c r="S337" s="928"/>
      <c r="T337" s="928"/>
      <c r="U337" s="928"/>
      <c r="V337" s="928"/>
      <c r="W337" s="928"/>
      <c r="X337" s="928"/>
      <c r="Y337" s="928"/>
      <c r="Z337" s="928"/>
      <c r="AA337" s="928"/>
      <c r="AB337" s="928"/>
      <c r="AC337" s="928"/>
      <c r="AD337" s="928"/>
      <c r="AE337" s="928"/>
      <c r="AF337" s="928"/>
      <c r="AG337" s="928"/>
      <c r="AH337" s="928"/>
      <c r="AI337" s="928"/>
      <c r="AJ337" s="928"/>
      <c r="AK337" s="928"/>
      <c r="AL337" s="928"/>
      <c r="AM337" s="928"/>
      <c r="AN337" s="928"/>
      <c r="AO337" s="928"/>
      <c r="AP337" s="928"/>
      <c r="AQ337" s="928"/>
      <c r="AR337" s="928"/>
      <c r="AS337" s="928"/>
      <c r="AT337" s="928"/>
      <c r="AU337" s="928"/>
      <c r="AV337" s="928"/>
      <c r="AW337" s="928"/>
      <c r="AX337" s="928"/>
      <c r="AY337" s="928"/>
      <c r="AZ337" s="928"/>
      <c r="BA337" s="928"/>
      <c r="BB337" s="928"/>
      <c r="BC337" s="928"/>
      <c r="BD337" s="928"/>
      <c r="BE337" s="928"/>
      <c r="BF337" s="928"/>
      <c r="BG337" s="928"/>
      <c r="BH337" s="928"/>
      <c r="BI337" s="928"/>
      <c r="BJ337" s="928"/>
      <c r="BK337" s="928"/>
      <c r="BL337" s="928"/>
      <c r="BM337" s="928"/>
      <c r="BN337" s="928"/>
      <c r="BO337" s="928"/>
      <c r="BP337" s="928"/>
      <c r="BQ337" s="928"/>
      <c r="BR337" s="928"/>
      <c r="BS337" s="928"/>
      <c r="BT337" s="928"/>
      <c r="BU337" s="928"/>
      <c r="BV337" s="928"/>
      <c r="BW337" s="928"/>
      <c r="BX337" s="928"/>
      <c r="BY337" s="928"/>
      <c r="BZ337" s="928"/>
      <c r="CA337" s="928"/>
      <c r="CB337" s="928"/>
      <c r="CC337" s="928"/>
      <c r="CD337" s="928"/>
      <c r="CE337" s="928"/>
      <c r="CF337" s="928"/>
      <c r="CG337" s="928"/>
      <c r="CH337" s="928"/>
      <c r="CI337" s="928"/>
      <c r="CJ337" s="928"/>
      <c r="CK337" s="928"/>
      <c r="CL337" s="928"/>
      <c r="CM337" s="928"/>
      <c r="CN337" s="928"/>
      <c r="CO337" s="928"/>
      <c r="CP337" s="928"/>
      <c r="CQ337" s="928"/>
      <c r="CR337" s="928"/>
      <c r="CS337" s="928"/>
      <c r="CT337" s="928"/>
      <c r="CU337" s="928"/>
      <c r="CV337" s="928"/>
      <c r="CW337" s="928"/>
      <c r="CX337" s="928"/>
      <c r="CY337" s="928"/>
      <c r="CZ337" s="928"/>
      <c r="DA337" s="928"/>
      <c r="DB337" s="928"/>
      <c r="DC337" s="928"/>
      <c r="DD337" s="928"/>
      <c r="DE337" s="928"/>
      <c r="DF337" s="928"/>
      <c r="DG337" s="928"/>
      <c r="DH337" s="928"/>
      <c r="DI337" s="928"/>
      <c r="DJ337" s="928"/>
      <c r="DK337" s="928"/>
      <c r="DL337" s="928"/>
      <c r="DM337" s="928"/>
      <c r="DN337" s="928"/>
      <c r="DO337" s="928"/>
      <c r="DP337" s="928"/>
      <c r="DQ337" s="928"/>
      <c r="DR337" s="928"/>
      <c r="DS337" s="928"/>
      <c r="DT337" s="928"/>
      <c r="DU337" s="928"/>
      <c r="DV337" s="928"/>
      <c r="DW337" s="928"/>
      <c r="DX337" s="928"/>
      <c r="DY337" s="928"/>
      <c r="DZ337" s="928"/>
      <c r="EA337" s="928"/>
      <c r="EB337" s="928"/>
      <c r="EC337" s="928"/>
      <c r="ED337" s="928"/>
      <c r="EE337" s="928"/>
      <c r="EF337" s="928"/>
      <c r="EG337" s="928"/>
      <c r="EH337" s="928"/>
      <c r="EI337" s="928"/>
      <c r="EJ337" s="928"/>
      <c r="EK337" s="928"/>
      <c r="EL337" s="928"/>
      <c r="EM337" s="928"/>
      <c r="EN337" s="928"/>
      <c r="EO337" s="928"/>
      <c r="EP337" s="928"/>
      <c r="EQ337" s="928"/>
      <c r="ER337" s="928"/>
      <c r="ES337" s="928"/>
      <c r="ET337" s="928"/>
      <c r="EU337" s="928"/>
      <c r="EV337" s="928"/>
      <c r="EW337" s="928"/>
      <c r="EX337" s="928"/>
      <c r="EY337" s="928"/>
      <c r="EZ337" s="928"/>
      <c r="FA337" s="928"/>
      <c r="FB337" s="928"/>
      <c r="FC337" s="928"/>
      <c r="FD337" s="928"/>
      <c r="FE337" s="928"/>
      <c r="FF337" s="928"/>
      <c r="FG337" s="928"/>
      <c r="FH337" s="928"/>
      <c r="FI337" s="928"/>
      <c r="FJ337" s="928"/>
      <c r="FK337" s="928"/>
      <c r="FL337" s="928"/>
      <c r="FM337" s="928"/>
      <c r="FN337" s="928"/>
      <c r="FO337" s="928"/>
      <c r="FP337" s="928"/>
      <c r="FQ337" s="928"/>
    </row>
    <row r="338" spans="1:173">
      <c r="A338" s="928"/>
      <c r="B338" s="928"/>
      <c r="C338" s="928"/>
      <c r="D338" s="928"/>
      <c r="E338" s="928"/>
      <c r="F338" s="928"/>
      <c r="G338" s="928"/>
      <c r="H338" s="928"/>
      <c r="I338" s="928"/>
      <c r="J338" s="928"/>
      <c r="K338" s="928"/>
      <c r="L338" s="928"/>
      <c r="M338" s="928"/>
      <c r="N338" s="928"/>
      <c r="O338" s="928"/>
      <c r="P338" s="928"/>
      <c r="Q338" s="928"/>
      <c r="R338" s="928"/>
      <c r="S338" s="928"/>
      <c r="T338" s="928"/>
      <c r="U338" s="928"/>
      <c r="V338" s="928"/>
      <c r="W338" s="928"/>
      <c r="X338" s="928"/>
      <c r="Y338" s="928"/>
      <c r="Z338" s="928"/>
      <c r="AA338" s="928"/>
      <c r="AB338" s="928"/>
      <c r="AC338" s="928"/>
      <c r="AD338" s="928"/>
      <c r="AE338" s="928"/>
      <c r="AF338" s="928"/>
      <c r="AG338" s="928"/>
      <c r="AH338" s="928"/>
      <c r="AI338" s="928"/>
      <c r="AJ338" s="928"/>
      <c r="AK338" s="928"/>
      <c r="AL338" s="928"/>
      <c r="AM338" s="928"/>
      <c r="AN338" s="928"/>
      <c r="AO338" s="928"/>
      <c r="AP338" s="928"/>
      <c r="AQ338" s="928"/>
      <c r="AR338" s="928"/>
      <c r="AS338" s="928"/>
      <c r="AT338" s="928"/>
      <c r="AU338" s="928"/>
      <c r="AV338" s="928"/>
      <c r="AW338" s="928"/>
      <c r="AX338" s="928"/>
      <c r="AY338" s="928"/>
      <c r="AZ338" s="928"/>
      <c r="BA338" s="928"/>
      <c r="BB338" s="928"/>
      <c r="BC338" s="928"/>
      <c r="BD338" s="928"/>
      <c r="BE338" s="928"/>
      <c r="BF338" s="928"/>
      <c r="BG338" s="928"/>
      <c r="BH338" s="928"/>
      <c r="BI338" s="928"/>
      <c r="BJ338" s="928"/>
      <c r="BK338" s="928"/>
      <c r="BL338" s="928"/>
      <c r="BM338" s="928"/>
      <c r="BN338" s="928"/>
      <c r="BO338" s="928"/>
      <c r="BP338" s="928"/>
      <c r="BQ338" s="928"/>
      <c r="BR338" s="928"/>
      <c r="BS338" s="928"/>
      <c r="BT338" s="928"/>
      <c r="BU338" s="928"/>
      <c r="BV338" s="928"/>
      <c r="BW338" s="928"/>
      <c r="BX338" s="928"/>
      <c r="BY338" s="928"/>
      <c r="BZ338" s="928"/>
      <c r="CA338" s="928"/>
      <c r="CB338" s="928"/>
      <c r="CC338" s="928"/>
      <c r="CD338" s="928"/>
      <c r="CE338" s="928"/>
      <c r="CF338" s="928"/>
      <c r="CG338" s="928"/>
      <c r="CH338" s="928"/>
      <c r="CI338" s="928"/>
      <c r="CJ338" s="928"/>
      <c r="CK338" s="928"/>
      <c r="CL338" s="928"/>
      <c r="CM338" s="928"/>
      <c r="CN338" s="928"/>
      <c r="CO338" s="928"/>
      <c r="CP338" s="928"/>
      <c r="CQ338" s="928"/>
      <c r="CR338" s="928"/>
      <c r="CS338" s="928"/>
      <c r="CT338" s="928"/>
      <c r="CU338" s="928"/>
      <c r="CV338" s="928"/>
      <c r="CW338" s="928"/>
      <c r="CX338" s="928"/>
      <c r="CY338" s="928"/>
      <c r="CZ338" s="928"/>
      <c r="DA338" s="928"/>
      <c r="DB338" s="928"/>
      <c r="DC338" s="928"/>
      <c r="DD338" s="928"/>
      <c r="DE338" s="928"/>
      <c r="DF338" s="928"/>
      <c r="DG338" s="928"/>
      <c r="DH338" s="928"/>
      <c r="DI338" s="928"/>
      <c r="DJ338" s="928"/>
      <c r="DK338" s="928"/>
      <c r="DL338" s="928"/>
      <c r="DM338" s="928"/>
      <c r="DN338" s="928"/>
      <c r="DO338" s="928"/>
      <c r="DP338" s="928"/>
      <c r="DQ338" s="928"/>
      <c r="DR338" s="928"/>
      <c r="DS338" s="928"/>
      <c r="DT338" s="928"/>
      <c r="DU338" s="928"/>
      <c r="DV338" s="928"/>
      <c r="DW338" s="928"/>
      <c r="DX338" s="928"/>
      <c r="DY338" s="928"/>
      <c r="DZ338" s="928"/>
      <c r="EA338" s="928"/>
      <c r="EB338" s="928"/>
      <c r="EC338" s="928"/>
      <c r="ED338" s="928"/>
      <c r="EE338" s="928"/>
      <c r="EF338" s="928"/>
      <c r="EG338" s="928"/>
      <c r="EH338" s="928"/>
      <c r="EI338" s="928"/>
      <c r="EJ338" s="928"/>
      <c r="EK338" s="928"/>
      <c r="EL338" s="928"/>
      <c r="EM338" s="928"/>
      <c r="EN338" s="928"/>
      <c r="EO338" s="928"/>
      <c r="EP338" s="928"/>
      <c r="EQ338" s="928"/>
      <c r="ER338" s="928"/>
      <c r="ES338" s="928"/>
      <c r="ET338" s="928"/>
      <c r="EU338" s="928"/>
      <c r="EV338" s="928"/>
      <c r="EW338" s="928"/>
      <c r="EX338" s="928"/>
      <c r="EY338" s="928"/>
      <c r="EZ338" s="928"/>
      <c r="FA338" s="928"/>
      <c r="FB338" s="928"/>
      <c r="FC338" s="928"/>
      <c r="FD338" s="928"/>
      <c r="FE338" s="928"/>
      <c r="FF338" s="928"/>
      <c r="FG338" s="928"/>
      <c r="FH338" s="928"/>
      <c r="FI338" s="928"/>
      <c r="FJ338" s="928"/>
      <c r="FK338" s="928"/>
      <c r="FL338" s="928"/>
      <c r="FM338" s="928"/>
      <c r="FN338" s="928"/>
      <c r="FO338" s="928"/>
      <c r="FP338" s="928"/>
      <c r="FQ338" s="928"/>
    </row>
    <row r="339" spans="1:173">
      <c r="A339" s="928"/>
      <c r="B339" s="928"/>
      <c r="C339" s="928"/>
      <c r="D339" s="928"/>
      <c r="E339" s="928"/>
      <c r="F339" s="928"/>
      <c r="G339" s="928"/>
      <c r="H339" s="928"/>
      <c r="I339" s="928"/>
      <c r="J339" s="928"/>
      <c r="K339" s="928"/>
      <c r="L339" s="928"/>
      <c r="M339" s="928"/>
      <c r="N339" s="928"/>
      <c r="O339" s="928"/>
      <c r="P339" s="928"/>
      <c r="Q339" s="928"/>
      <c r="R339" s="928"/>
      <c r="S339" s="928"/>
      <c r="T339" s="928"/>
      <c r="U339" s="928"/>
      <c r="V339" s="928"/>
      <c r="W339" s="928"/>
      <c r="X339" s="928"/>
      <c r="Y339" s="928"/>
      <c r="Z339" s="928"/>
      <c r="AA339" s="928"/>
      <c r="AB339" s="928"/>
      <c r="AC339" s="928"/>
      <c r="AD339" s="928"/>
      <c r="AE339" s="928"/>
      <c r="AF339" s="928"/>
      <c r="AG339" s="928"/>
      <c r="AH339" s="928"/>
      <c r="AI339" s="928"/>
      <c r="AJ339" s="928"/>
      <c r="AK339" s="928"/>
      <c r="AL339" s="928"/>
      <c r="AM339" s="928"/>
      <c r="AN339" s="928"/>
      <c r="AO339" s="928"/>
      <c r="AP339" s="928"/>
      <c r="AQ339" s="928"/>
      <c r="AR339" s="928"/>
      <c r="AS339" s="928"/>
      <c r="AT339" s="928"/>
      <c r="AU339" s="928"/>
      <c r="AV339" s="928"/>
      <c r="AW339" s="928"/>
      <c r="AX339" s="928"/>
      <c r="AY339" s="928"/>
      <c r="AZ339" s="928"/>
      <c r="BA339" s="928"/>
      <c r="BB339" s="928"/>
      <c r="BC339" s="928"/>
      <c r="BD339" s="928"/>
      <c r="BE339" s="928"/>
      <c r="BF339" s="928"/>
      <c r="BG339" s="928"/>
      <c r="BH339" s="928"/>
      <c r="BI339" s="928"/>
      <c r="BJ339" s="928"/>
      <c r="BK339" s="928"/>
      <c r="BL339" s="928"/>
      <c r="BM339" s="928"/>
      <c r="BN339" s="928"/>
      <c r="BO339" s="928"/>
      <c r="BP339" s="928"/>
      <c r="BQ339" s="928"/>
      <c r="BR339" s="928"/>
      <c r="BS339" s="928"/>
      <c r="BT339" s="928"/>
      <c r="BU339" s="928"/>
      <c r="BV339" s="928"/>
      <c r="BW339" s="928"/>
      <c r="BX339" s="928"/>
      <c r="BY339" s="928"/>
      <c r="BZ339" s="928"/>
      <c r="CA339" s="928"/>
      <c r="CB339" s="928"/>
      <c r="CC339" s="928"/>
      <c r="CD339" s="928"/>
      <c r="CE339" s="928"/>
      <c r="CF339" s="928"/>
      <c r="CG339" s="928"/>
      <c r="CH339" s="928"/>
      <c r="CI339" s="928"/>
      <c r="CJ339" s="928"/>
      <c r="CK339" s="928"/>
      <c r="CL339" s="928"/>
      <c r="CM339" s="928"/>
      <c r="CN339" s="928"/>
      <c r="CO339" s="928"/>
      <c r="CP339" s="928"/>
      <c r="CQ339" s="928"/>
      <c r="CR339" s="928"/>
      <c r="CS339" s="928"/>
      <c r="CT339" s="928"/>
      <c r="CU339" s="928"/>
      <c r="CV339" s="928"/>
      <c r="CW339" s="928"/>
      <c r="CX339" s="928"/>
      <c r="CY339" s="928"/>
      <c r="CZ339" s="928"/>
      <c r="DA339" s="928"/>
      <c r="DB339" s="928"/>
      <c r="DC339" s="928"/>
      <c r="DD339" s="928"/>
      <c r="DE339" s="928"/>
      <c r="DF339" s="928"/>
      <c r="DG339" s="928"/>
      <c r="DH339" s="928"/>
      <c r="DI339" s="928"/>
      <c r="DJ339" s="928"/>
      <c r="DK339" s="928"/>
      <c r="DL339" s="928"/>
      <c r="DM339" s="928"/>
      <c r="DN339" s="928"/>
      <c r="DO339" s="928"/>
      <c r="DP339" s="928"/>
      <c r="DQ339" s="928"/>
      <c r="DR339" s="928"/>
      <c r="DS339" s="928"/>
      <c r="DT339" s="928"/>
      <c r="DU339" s="928"/>
      <c r="DV339" s="928"/>
      <c r="DW339" s="928"/>
      <c r="DX339" s="928"/>
      <c r="DY339" s="928"/>
      <c r="DZ339" s="928"/>
      <c r="EA339" s="928"/>
      <c r="EB339" s="928"/>
      <c r="EC339" s="928"/>
      <c r="ED339" s="928"/>
      <c r="EE339" s="928"/>
      <c r="EF339" s="928"/>
      <c r="EG339" s="928"/>
      <c r="EH339" s="928"/>
      <c r="EI339" s="928"/>
      <c r="EJ339" s="928"/>
      <c r="EK339" s="928"/>
      <c r="EL339" s="928"/>
      <c r="EM339" s="928"/>
      <c r="EN339" s="928"/>
      <c r="EO339" s="928"/>
      <c r="EP339" s="928"/>
      <c r="EQ339" s="928"/>
      <c r="ER339" s="928"/>
      <c r="ES339" s="928"/>
      <c r="ET339" s="928"/>
      <c r="EU339" s="928"/>
      <c r="EV339" s="928"/>
      <c r="EW339" s="928"/>
      <c r="EX339" s="928"/>
      <c r="EY339" s="928"/>
      <c r="EZ339" s="928"/>
      <c r="FA339" s="928"/>
      <c r="FB339" s="928"/>
      <c r="FC339" s="928"/>
      <c r="FD339" s="928"/>
      <c r="FE339" s="928"/>
      <c r="FF339" s="928"/>
      <c r="FG339" s="928"/>
      <c r="FH339" s="928"/>
      <c r="FI339" s="928"/>
      <c r="FJ339" s="928"/>
      <c r="FK339" s="928"/>
      <c r="FL339" s="928"/>
      <c r="FM339" s="928"/>
      <c r="FN339" s="928"/>
      <c r="FO339" s="928"/>
      <c r="FP339" s="928"/>
      <c r="FQ339" s="928"/>
    </row>
    <row r="340" spans="1:173">
      <c r="A340" s="928"/>
      <c r="B340" s="928"/>
      <c r="C340" s="928"/>
      <c r="D340" s="928"/>
      <c r="E340" s="928"/>
      <c r="F340" s="928"/>
      <c r="G340" s="928"/>
      <c r="H340" s="928"/>
      <c r="I340" s="928"/>
      <c r="J340" s="928"/>
      <c r="K340" s="928"/>
      <c r="L340" s="928"/>
      <c r="M340" s="928"/>
      <c r="N340" s="928"/>
      <c r="O340" s="928"/>
      <c r="P340" s="928"/>
      <c r="Q340" s="928"/>
      <c r="R340" s="928"/>
      <c r="S340" s="928"/>
      <c r="T340" s="928"/>
      <c r="U340" s="928"/>
      <c r="V340" s="928"/>
      <c r="W340" s="928"/>
      <c r="X340" s="928"/>
      <c r="Y340" s="928"/>
      <c r="Z340" s="928"/>
      <c r="AA340" s="928"/>
      <c r="AB340" s="928"/>
      <c r="AC340" s="928"/>
      <c r="AD340" s="928"/>
      <c r="AE340" s="928"/>
      <c r="AF340" s="928"/>
      <c r="AG340" s="928"/>
      <c r="AH340" s="928"/>
      <c r="AI340" s="928"/>
      <c r="AJ340" s="928"/>
      <c r="AK340" s="928"/>
      <c r="AL340" s="928"/>
      <c r="AM340" s="928"/>
      <c r="AN340" s="928"/>
      <c r="AO340" s="928"/>
      <c r="AP340" s="928"/>
      <c r="AQ340" s="928"/>
      <c r="AR340" s="928"/>
      <c r="AS340" s="928"/>
      <c r="AT340" s="928"/>
      <c r="AU340" s="928"/>
      <c r="AV340" s="928"/>
      <c r="AW340" s="928"/>
      <c r="AX340" s="928"/>
      <c r="AY340" s="928"/>
      <c r="AZ340" s="928"/>
      <c r="BA340" s="928"/>
      <c r="BB340" s="928"/>
      <c r="BC340" s="928"/>
      <c r="BD340" s="928"/>
      <c r="BE340" s="928"/>
      <c r="BF340" s="928"/>
      <c r="BG340" s="928"/>
      <c r="BH340" s="928"/>
      <c r="BI340" s="928"/>
      <c r="BJ340" s="928"/>
      <c r="BK340" s="928"/>
      <c r="BL340" s="928"/>
      <c r="BM340" s="928"/>
      <c r="BN340" s="928"/>
      <c r="BO340" s="928"/>
      <c r="BP340" s="928"/>
      <c r="BQ340" s="928"/>
      <c r="BR340" s="928"/>
      <c r="BS340" s="928"/>
      <c r="BT340" s="928"/>
      <c r="BU340" s="928"/>
      <c r="BV340" s="928"/>
      <c r="BW340" s="928"/>
      <c r="BX340" s="928"/>
      <c r="BY340" s="928"/>
      <c r="BZ340" s="928"/>
      <c r="CA340" s="928"/>
      <c r="CB340" s="928"/>
      <c r="CC340" s="928"/>
      <c r="CD340" s="928"/>
      <c r="CE340" s="928"/>
      <c r="CF340" s="928"/>
      <c r="CG340" s="928"/>
      <c r="CH340" s="928"/>
      <c r="CI340" s="928"/>
      <c r="CJ340" s="928"/>
      <c r="CK340" s="928"/>
      <c r="CL340" s="928"/>
      <c r="CM340" s="928"/>
      <c r="CN340" s="928"/>
      <c r="CO340" s="928"/>
      <c r="CP340" s="928"/>
      <c r="CQ340" s="928"/>
      <c r="CR340" s="928"/>
      <c r="CS340" s="928"/>
      <c r="CT340" s="928"/>
      <c r="CU340" s="928"/>
      <c r="CV340" s="928"/>
      <c r="CW340" s="928"/>
      <c r="CX340" s="928"/>
      <c r="CY340" s="928"/>
      <c r="CZ340" s="928"/>
      <c r="DA340" s="928"/>
      <c r="DB340" s="928"/>
      <c r="DC340" s="928"/>
      <c r="DD340" s="928"/>
      <c r="DE340" s="928"/>
      <c r="DF340" s="928"/>
      <c r="DG340" s="928"/>
      <c r="DH340" s="928"/>
      <c r="DI340" s="928"/>
      <c r="DJ340" s="928"/>
      <c r="DK340" s="928"/>
      <c r="DL340" s="928"/>
      <c r="DM340" s="928"/>
      <c r="DN340" s="928"/>
      <c r="DO340" s="928"/>
      <c r="DP340" s="928"/>
      <c r="DQ340" s="928"/>
      <c r="DR340" s="928"/>
      <c r="DS340" s="928"/>
      <c r="DT340" s="928"/>
      <c r="DU340" s="928"/>
      <c r="DV340" s="928"/>
      <c r="DW340" s="928"/>
      <c r="DX340" s="928"/>
      <c r="DY340" s="928"/>
      <c r="DZ340" s="928"/>
      <c r="EA340" s="928"/>
      <c r="EB340" s="928"/>
      <c r="EC340" s="928"/>
      <c r="ED340" s="928"/>
      <c r="EE340" s="928"/>
      <c r="EF340" s="928"/>
      <c r="EG340" s="928"/>
      <c r="EH340" s="928"/>
      <c r="EI340" s="928"/>
      <c r="EJ340" s="928"/>
      <c r="EK340" s="928"/>
      <c r="EL340" s="928"/>
      <c r="EM340" s="928"/>
      <c r="EN340" s="928"/>
      <c r="EO340" s="928"/>
      <c r="EP340" s="928"/>
      <c r="EQ340" s="928"/>
      <c r="ER340" s="928"/>
      <c r="ES340" s="928"/>
      <c r="ET340" s="928"/>
      <c r="EU340" s="928"/>
      <c r="EV340" s="928"/>
      <c r="EW340" s="928"/>
      <c r="EX340" s="928"/>
      <c r="EY340" s="928"/>
      <c r="EZ340" s="928"/>
      <c r="FA340" s="928"/>
      <c r="FB340" s="928"/>
      <c r="FC340" s="928"/>
      <c r="FD340" s="928"/>
      <c r="FE340" s="928"/>
      <c r="FF340" s="928"/>
      <c r="FG340" s="928"/>
      <c r="FH340" s="928"/>
      <c r="FI340" s="928"/>
      <c r="FJ340" s="928"/>
      <c r="FK340" s="928"/>
      <c r="FL340" s="928"/>
      <c r="FM340" s="928"/>
      <c r="FN340" s="928"/>
      <c r="FO340" s="928"/>
      <c r="FP340" s="928"/>
      <c r="FQ340" s="928"/>
    </row>
    <row r="341" spans="1:173">
      <c r="A341" s="928"/>
      <c r="B341" s="928"/>
      <c r="C341" s="928"/>
      <c r="D341" s="928"/>
      <c r="E341" s="928"/>
      <c r="F341" s="928"/>
      <c r="G341" s="928"/>
      <c r="H341" s="928"/>
      <c r="I341" s="928"/>
      <c r="J341" s="928"/>
      <c r="K341" s="928"/>
      <c r="L341" s="928"/>
      <c r="M341" s="928"/>
      <c r="N341" s="928"/>
      <c r="O341" s="928"/>
      <c r="P341" s="928"/>
      <c r="Q341" s="928"/>
      <c r="R341" s="928"/>
      <c r="S341" s="928"/>
      <c r="T341" s="928"/>
      <c r="U341" s="928"/>
      <c r="V341" s="928"/>
      <c r="W341" s="928"/>
      <c r="X341" s="928"/>
      <c r="Y341" s="928"/>
      <c r="Z341" s="928"/>
      <c r="AA341" s="928"/>
      <c r="AB341" s="928"/>
      <c r="AC341" s="928"/>
      <c r="AD341" s="928"/>
      <c r="AE341" s="928"/>
      <c r="AF341" s="928"/>
      <c r="AG341" s="928"/>
      <c r="AH341" s="928"/>
      <c r="AI341" s="928"/>
      <c r="AJ341" s="928"/>
      <c r="AK341" s="928"/>
      <c r="AL341" s="928"/>
      <c r="AM341" s="928"/>
      <c r="AN341" s="928"/>
      <c r="AO341" s="928"/>
      <c r="AP341" s="928"/>
      <c r="AQ341" s="928"/>
      <c r="AR341" s="928"/>
      <c r="AS341" s="928"/>
      <c r="AT341" s="928"/>
      <c r="AU341" s="928"/>
      <c r="AV341" s="928"/>
      <c r="AW341" s="928"/>
      <c r="AX341" s="928"/>
      <c r="AY341" s="928"/>
      <c r="AZ341" s="928"/>
      <c r="BA341" s="928"/>
      <c r="BB341" s="928"/>
      <c r="BC341" s="928"/>
      <c r="BD341" s="928"/>
      <c r="BE341" s="928"/>
      <c r="BF341" s="928"/>
      <c r="BG341" s="928"/>
      <c r="BH341" s="928"/>
      <c r="BI341" s="928"/>
      <c r="BJ341" s="928"/>
      <c r="BK341" s="928"/>
      <c r="BL341" s="928"/>
      <c r="BM341" s="928"/>
      <c r="BN341" s="928"/>
      <c r="BO341" s="928"/>
      <c r="BP341" s="928"/>
      <c r="BQ341" s="928"/>
      <c r="BR341" s="928"/>
      <c r="BS341" s="928"/>
      <c r="BT341" s="928"/>
      <c r="BU341" s="928"/>
      <c r="BV341" s="928"/>
      <c r="BW341" s="928"/>
      <c r="BX341" s="928"/>
      <c r="BY341" s="928"/>
      <c r="BZ341" s="928"/>
      <c r="CA341" s="928"/>
      <c r="CB341" s="928"/>
      <c r="CC341" s="928"/>
      <c r="CD341" s="928"/>
      <c r="CE341" s="928"/>
      <c r="CF341" s="928"/>
      <c r="CG341" s="928"/>
      <c r="CH341" s="928"/>
      <c r="CI341" s="928"/>
      <c r="CJ341" s="928"/>
      <c r="CK341" s="928"/>
      <c r="CL341" s="928"/>
      <c r="CM341" s="928"/>
      <c r="CN341" s="928"/>
      <c r="CO341" s="928"/>
      <c r="CP341" s="928"/>
      <c r="CQ341" s="928"/>
      <c r="CR341" s="928"/>
      <c r="CS341" s="928"/>
      <c r="CT341" s="928"/>
      <c r="CU341" s="928"/>
      <c r="CV341" s="928"/>
      <c r="CW341" s="928"/>
      <c r="CX341" s="928"/>
      <c r="CY341" s="928"/>
      <c r="CZ341" s="928"/>
      <c r="DA341" s="928"/>
      <c r="DB341" s="928"/>
      <c r="DC341" s="928"/>
      <c r="DD341" s="928"/>
      <c r="DE341" s="928"/>
      <c r="DF341" s="928"/>
      <c r="DG341" s="928"/>
      <c r="DH341" s="928"/>
      <c r="DI341" s="928"/>
      <c r="DJ341" s="928"/>
      <c r="DK341" s="928"/>
      <c r="DL341" s="928"/>
      <c r="DM341" s="928"/>
      <c r="DN341" s="928"/>
      <c r="DO341" s="928"/>
      <c r="DP341" s="928"/>
      <c r="DQ341" s="928"/>
      <c r="DR341" s="928"/>
      <c r="DS341" s="928"/>
      <c r="DT341" s="928"/>
      <c r="DU341" s="928"/>
      <c r="DV341" s="928"/>
      <c r="DW341" s="928"/>
      <c r="DX341" s="928"/>
      <c r="DY341" s="928"/>
      <c r="DZ341" s="928"/>
      <c r="EA341" s="928"/>
      <c r="EB341" s="928"/>
      <c r="EC341" s="928"/>
      <c r="ED341" s="928"/>
      <c r="EE341" s="928"/>
      <c r="EF341" s="928"/>
      <c r="EG341" s="928"/>
      <c r="EH341" s="928"/>
      <c r="EI341" s="928"/>
      <c r="EJ341" s="928"/>
      <c r="EK341" s="928"/>
      <c r="EL341" s="928"/>
      <c r="EM341" s="928"/>
      <c r="EN341" s="928"/>
      <c r="EO341" s="928"/>
      <c r="EP341" s="928"/>
      <c r="EQ341" s="928"/>
      <c r="ER341" s="928"/>
      <c r="ES341" s="928"/>
      <c r="ET341" s="928"/>
      <c r="EU341" s="928"/>
      <c r="EV341" s="928"/>
      <c r="EW341" s="928"/>
      <c r="EX341" s="928"/>
      <c r="EY341" s="928"/>
      <c r="EZ341" s="928"/>
      <c r="FA341" s="928"/>
      <c r="FB341" s="928"/>
      <c r="FC341" s="928"/>
      <c r="FD341" s="928"/>
      <c r="FE341" s="928"/>
      <c r="FF341" s="928"/>
      <c r="FG341" s="928"/>
      <c r="FH341" s="928"/>
      <c r="FI341" s="928"/>
      <c r="FJ341" s="928"/>
      <c r="FK341" s="928"/>
      <c r="FL341" s="928"/>
      <c r="FM341" s="928"/>
      <c r="FN341" s="928"/>
      <c r="FO341" s="928"/>
      <c r="FP341" s="928"/>
      <c r="FQ341" s="928"/>
    </row>
    <row r="342" spans="1:173">
      <c r="A342" s="928"/>
      <c r="B342" s="928"/>
      <c r="C342" s="928"/>
      <c r="D342" s="928"/>
      <c r="E342" s="928"/>
      <c r="F342" s="928"/>
      <c r="G342" s="928"/>
      <c r="H342" s="928"/>
      <c r="I342" s="928"/>
      <c r="J342" s="928"/>
      <c r="K342" s="928"/>
      <c r="L342" s="928"/>
      <c r="M342" s="928"/>
      <c r="N342" s="928"/>
      <c r="O342" s="928"/>
      <c r="P342" s="928"/>
      <c r="Q342" s="928"/>
      <c r="R342" s="928"/>
      <c r="S342" s="928"/>
      <c r="T342" s="928"/>
      <c r="U342" s="928"/>
      <c r="V342" s="928"/>
      <c r="W342" s="928"/>
      <c r="X342" s="928"/>
      <c r="Y342" s="928"/>
      <c r="Z342" s="928"/>
      <c r="AA342" s="928"/>
      <c r="AB342" s="928"/>
      <c r="AC342" s="928"/>
      <c r="AD342" s="928"/>
      <c r="AE342" s="928"/>
      <c r="AF342" s="928"/>
      <c r="AG342" s="928"/>
      <c r="AH342" s="928"/>
      <c r="AI342" s="928"/>
      <c r="AJ342" s="928"/>
      <c r="AK342" s="928"/>
      <c r="AL342" s="928"/>
      <c r="AM342" s="928"/>
      <c r="AN342" s="928"/>
      <c r="AO342" s="928"/>
      <c r="AP342" s="928"/>
      <c r="AQ342" s="928"/>
      <c r="AR342" s="928"/>
      <c r="AS342" s="928"/>
      <c r="AT342" s="928"/>
      <c r="AU342" s="928"/>
      <c r="AV342" s="928"/>
      <c r="AW342" s="928"/>
      <c r="AX342" s="928"/>
      <c r="AY342" s="928"/>
      <c r="AZ342" s="928"/>
      <c r="BA342" s="928"/>
      <c r="BB342" s="928"/>
      <c r="BC342" s="928"/>
      <c r="BD342" s="928"/>
      <c r="BE342" s="928"/>
      <c r="BF342" s="928"/>
      <c r="BG342" s="928"/>
      <c r="BH342" s="928"/>
      <c r="BI342" s="928"/>
      <c r="BJ342" s="928"/>
      <c r="BK342" s="928"/>
      <c r="BL342" s="928"/>
      <c r="BM342" s="928"/>
      <c r="BN342" s="928"/>
      <c r="BO342" s="928"/>
      <c r="BP342" s="928"/>
      <c r="BQ342" s="928"/>
      <c r="BR342" s="928"/>
      <c r="BS342" s="928"/>
      <c r="BT342" s="928"/>
      <c r="BU342" s="928"/>
      <c r="BV342" s="928"/>
      <c r="BW342" s="928"/>
      <c r="BX342" s="928"/>
      <c r="BY342" s="928"/>
      <c r="BZ342" s="928"/>
      <c r="CA342" s="928"/>
      <c r="CB342" s="928"/>
      <c r="CC342" s="928"/>
      <c r="CD342" s="928"/>
      <c r="CE342" s="928"/>
      <c r="CF342" s="928"/>
      <c r="CG342" s="928"/>
      <c r="CH342" s="928"/>
      <c r="CI342" s="928"/>
      <c r="CJ342" s="928"/>
      <c r="CK342" s="928"/>
      <c r="CL342" s="928"/>
      <c r="CM342" s="928"/>
      <c r="CN342" s="928"/>
      <c r="CO342" s="928"/>
      <c r="CP342" s="928"/>
      <c r="CQ342" s="928"/>
      <c r="CR342" s="928"/>
      <c r="CS342" s="928"/>
      <c r="CT342" s="928"/>
      <c r="CU342" s="928"/>
      <c r="CV342" s="928"/>
      <c r="CW342" s="928"/>
      <c r="CX342" s="928"/>
      <c r="CY342" s="928"/>
      <c r="CZ342" s="928"/>
      <c r="DA342" s="928"/>
      <c r="DB342" s="928"/>
      <c r="DC342" s="928"/>
      <c r="DD342" s="928"/>
      <c r="DE342" s="928"/>
      <c r="DF342" s="928"/>
      <c r="DG342" s="928"/>
      <c r="DH342" s="928"/>
      <c r="DI342" s="928"/>
      <c r="DJ342" s="928"/>
      <c r="DK342" s="928"/>
      <c r="DL342" s="928"/>
      <c r="DM342" s="928"/>
      <c r="DN342" s="928"/>
      <c r="DO342" s="928"/>
      <c r="DP342" s="928"/>
      <c r="DQ342" s="928"/>
      <c r="DR342" s="928"/>
      <c r="DS342" s="928"/>
      <c r="DT342" s="928"/>
      <c r="DU342" s="928"/>
      <c r="DV342" s="928"/>
      <c r="DW342" s="928"/>
      <c r="DX342" s="928"/>
      <c r="DY342" s="928"/>
      <c r="DZ342" s="928"/>
      <c r="EA342" s="928"/>
      <c r="EB342" s="928"/>
      <c r="EC342" s="928"/>
      <c r="ED342" s="928"/>
      <c r="EE342" s="928"/>
      <c r="EF342" s="928"/>
      <c r="EG342" s="928"/>
      <c r="EH342" s="928"/>
      <c r="EI342" s="928"/>
      <c r="EJ342" s="928"/>
      <c r="EK342" s="928"/>
      <c r="EL342" s="928"/>
      <c r="EM342" s="928"/>
      <c r="EN342" s="928"/>
      <c r="EO342" s="928"/>
      <c r="EP342" s="928"/>
      <c r="EQ342" s="928"/>
      <c r="ER342" s="928"/>
      <c r="ES342" s="928"/>
      <c r="ET342" s="928"/>
      <c r="EU342" s="928"/>
      <c r="EV342" s="928"/>
      <c r="EW342" s="928"/>
      <c r="EX342" s="928"/>
      <c r="EY342" s="928"/>
      <c r="EZ342" s="928"/>
      <c r="FA342" s="928"/>
      <c r="FB342" s="928"/>
      <c r="FC342" s="928"/>
      <c r="FD342" s="928"/>
      <c r="FE342" s="928"/>
      <c r="FF342" s="928"/>
      <c r="FG342" s="928"/>
      <c r="FH342" s="928"/>
      <c r="FI342" s="928"/>
      <c r="FJ342" s="928"/>
      <c r="FK342" s="928"/>
      <c r="FL342" s="928"/>
      <c r="FM342" s="928"/>
      <c r="FN342" s="928"/>
      <c r="FO342" s="928"/>
      <c r="FP342" s="928"/>
      <c r="FQ342" s="928"/>
    </row>
    <row r="343" spans="1:173">
      <c r="A343" s="928"/>
      <c r="B343" s="928"/>
      <c r="C343" s="928"/>
      <c r="D343" s="928"/>
      <c r="E343" s="928"/>
      <c r="F343" s="928"/>
      <c r="G343" s="928"/>
      <c r="H343" s="928"/>
      <c r="I343" s="928"/>
      <c r="J343" s="928"/>
      <c r="K343" s="928"/>
      <c r="L343" s="928"/>
      <c r="M343" s="928"/>
      <c r="N343" s="928"/>
      <c r="O343" s="928"/>
      <c r="P343" s="928"/>
      <c r="Q343" s="928"/>
      <c r="R343" s="928"/>
      <c r="S343" s="928"/>
      <c r="T343" s="928"/>
      <c r="U343" s="928"/>
      <c r="V343" s="928"/>
      <c r="W343" s="928"/>
      <c r="X343" s="928"/>
      <c r="Y343" s="928"/>
      <c r="Z343" s="928"/>
      <c r="AA343" s="928"/>
      <c r="AB343" s="928"/>
      <c r="AC343" s="928"/>
      <c r="AD343" s="928"/>
      <c r="AE343" s="928"/>
      <c r="AF343" s="928"/>
      <c r="AG343" s="928"/>
      <c r="AH343" s="928"/>
      <c r="AI343" s="928"/>
      <c r="AJ343" s="928"/>
      <c r="AK343" s="928"/>
      <c r="AL343" s="928"/>
      <c r="AM343" s="928"/>
      <c r="AN343" s="928"/>
      <c r="AO343" s="928"/>
      <c r="AP343" s="928"/>
      <c r="AQ343" s="928"/>
      <c r="AR343" s="928"/>
      <c r="AS343" s="928"/>
      <c r="AT343" s="928"/>
      <c r="AU343" s="928"/>
      <c r="AV343" s="928"/>
      <c r="AW343" s="928"/>
      <c r="AX343" s="928"/>
      <c r="AY343" s="928"/>
      <c r="AZ343" s="928"/>
      <c r="BA343" s="928"/>
      <c r="BB343" s="928"/>
      <c r="BC343" s="928"/>
      <c r="BD343" s="928"/>
      <c r="BE343" s="928"/>
      <c r="BF343" s="928"/>
      <c r="BG343" s="928"/>
      <c r="BH343" s="928"/>
      <c r="BI343" s="928"/>
      <c r="BJ343" s="928"/>
      <c r="BK343" s="928"/>
      <c r="BL343" s="928"/>
      <c r="BM343" s="928"/>
      <c r="BN343" s="928"/>
      <c r="BO343" s="928"/>
      <c r="BP343" s="928"/>
      <c r="BQ343" s="928"/>
      <c r="BR343" s="928"/>
      <c r="BS343" s="928"/>
      <c r="BT343" s="928"/>
      <c r="BU343" s="928"/>
      <c r="BV343" s="928"/>
      <c r="BW343" s="928"/>
      <c r="BX343" s="928"/>
      <c r="BY343" s="928"/>
      <c r="BZ343" s="928"/>
      <c r="CA343" s="928"/>
      <c r="CB343" s="928"/>
      <c r="CC343" s="928"/>
      <c r="CD343" s="928"/>
      <c r="CE343" s="928"/>
      <c r="CF343" s="928"/>
      <c r="CG343" s="928"/>
      <c r="CH343" s="928"/>
      <c r="CI343" s="928"/>
      <c r="CJ343" s="928"/>
      <c r="CK343" s="928"/>
      <c r="CL343" s="928"/>
      <c r="CM343" s="928"/>
      <c r="CN343" s="928"/>
      <c r="CO343" s="928"/>
      <c r="CP343" s="928"/>
      <c r="CQ343" s="928"/>
      <c r="CR343" s="928"/>
      <c r="CS343" s="928"/>
      <c r="CT343" s="928"/>
      <c r="CU343" s="928"/>
      <c r="CV343" s="928"/>
      <c r="CW343" s="928"/>
      <c r="CX343" s="928"/>
      <c r="CY343" s="928"/>
      <c r="CZ343" s="928"/>
      <c r="DA343" s="928"/>
      <c r="DB343" s="928"/>
      <c r="DC343" s="928"/>
      <c r="DD343" s="928"/>
      <c r="DE343" s="928"/>
      <c r="DF343" s="928"/>
      <c r="DG343" s="928"/>
      <c r="DH343" s="928"/>
      <c r="DI343" s="928"/>
      <c r="DJ343" s="928"/>
      <c r="DK343" s="928"/>
      <c r="DL343" s="928"/>
      <c r="DM343" s="928"/>
      <c r="DN343" s="928"/>
      <c r="DO343" s="928"/>
      <c r="DP343" s="928"/>
      <c r="DQ343" s="928"/>
      <c r="DR343" s="928"/>
      <c r="DS343" s="928"/>
      <c r="DT343" s="928"/>
      <c r="DU343" s="928"/>
      <c r="DV343" s="928"/>
      <c r="DW343" s="928"/>
      <c r="DX343" s="928"/>
      <c r="DY343" s="928"/>
      <c r="DZ343" s="928"/>
      <c r="EA343" s="928"/>
      <c r="EB343" s="928"/>
      <c r="EC343" s="928"/>
      <c r="ED343" s="928"/>
      <c r="EE343" s="928"/>
      <c r="EF343" s="928"/>
      <c r="EG343" s="928"/>
      <c r="EH343" s="928"/>
      <c r="EI343" s="928"/>
      <c r="EJ343" s="928"/>
      <c r="EK343" s="928"/>
      <c r="EL343" s="928"/>
      <c r="EM343" s="928"/>
      <c r="EN343" s="928"/>
      <c r="EO343" s="928"/>
      <c r="EP343" s="928"/>
      <c r="EQ343" s="928"/>
      <c r="ER343" s="928"/>
      <c r="ES343" s="928"/>
      <c r="ET343" s="928"/>
      <c r="EU343" s="928"/>
      <c r="EV343" s="928"/>
      <c r="EW343" s="928"/>
      <c r="EX343" s="928"/>
      <c r="EY343" s="928"/>
      <c r="EZ343" s="928"/>
      <c r="FA343" s="928"/>
      <c r="FB343" s="928"/>
      <c r="FC343" s="928"/>
      <c r="FD343" s="928"/>
      <c r="FE343" s="928"/>
      <c r="FF343" s="928"/>
      <c r="FG343" s="928"/>
      <c r="FH343" s="928"/>
      <c r="FI343" s="928"/>
      <c r="FJ343" s="928"/>
      <c r="FK343" s="928"/>
      <c r="FL343" s="928"/>
      <c r="FM343" s="928"/>
      <c r="FN343" s="928"/>
      <c r="FO343" s="928"/>
      <c r="FP343" s="928"/>
      <c r="FQ343" s="928"/>
    </row>
    <row r="344" spans="1:173">
      <c r="A344" s="928"/>
      <c r="B344" s="928"/>
      <c r="C344" s="928"/>
      <c r="D344" s="928"/>
      <c r="E344" s="928"/>
      <c r="F344" s="928"/>
      <c r="G344" s="928"/>
      <c r="H344" s="928"/>
      <c r="I344" s="928"/>
      <c r="J344" s="928"/>
      <c r="K344" s="928"/>
      <c r="L344" s="928"/>
      <c r="M344" s="928"/>
      <c r="N344" s="928"/>
      <c r="O344" s="928"/>
      <c r="P344" s="928"/>
      <c r="Q344" s="928"/>
      <c r="R344" s="928"/>
      <c r="S344" s="928"/>
      <c r="T344" s="928"/>
      <c r="U344" s="928"/>
      <c r="V344" s="928"/>
      <c r="W344" s="928"/>
      <c r="X344" s="928"/>
      <c r="Y344" s="928"/>
      <c r="Z344" s="928"/>
      <c r="AA344" s="928"/>
      <c r="AB344" s="928"/>
      <c r="AC344" s="928"/>
      <c r="AD344" s="928"/>
      <c r="AE344" s="928"/>
      <c r="AF344" s="928"/>
      <c r="AG344" s="928"/>
      <c r="AH344" s="928"/>
      <c r="AI344" s="928"/>
      <c r="AJ344" s="928"/>
      <c r="AK344" s="928"/>
      <c r="AL344" s="928"/>
      <c r="AM344" s="928"/>
      <c r="AN344" s="928"/>
      <c r="AO344" s="928"/>
      <c r="AP344" s="928"/>
      <c r="AQ344" s="928"/>
      <c r="AR344" s="928"/>
      <c r="AS344" s="928"/>
      <c r="AT344" s="928"/>
      <c r="AU344" s="928"/>
      <c r="AV344" s="928"/>
      <c r="AW344" s="928"/>
      <c r="AX344" s="928"/>
      <c r="AY344" s="928"/>
      <c r="AZ344" s="928"/>
      <c r="BA344" s="928"/>
      <c r="BB344" s="928"/>
      <c r="BC344" s="928"/>
      <c r="BD344" s="928"/>
      <c r="BE344" s="928"/>
      <c r="BF344" s="928"/>
      <c r="BG344" s="928"/>
      <c r="BH344" s="928"/>
      <c r="BI344" s="928"/>
      <c r="BJ344" s="928"/>
      <c r="BK344" s="928"/>
      <c r="BL344" s="928"/>
      <c r="BM344" s="928"/>
      <c r="BN344" s="928"/>
      <c r="BO344" s="928"/>
      <c r="BP344" s="928"/>
      <c r="BQ344" s="928"/>
      <c r="BR344" s="928"/>
      <c r="BS344" s="928"/>
      <c r="BT344" s="928"/>
      <c r="BU344" s="928"/>
      <c r="BV344" s="928"/>
      <c r="BW344" s="928"/>
      <c r="BX344" s="928"/>
      <c r="BY344" s="928"/>
      <c r="BZ344" s="928"/>
      <c r="CA344" s="928"/>
      <c r="CB344" s="928"/>
      <c r="CC344" s="928"/>
      <c r="CD344" s="928"/>
      <c r="CE344" s="928"/>
      <c r="CF344" s="928"/>
      <c r="CG344" s="928"/>
      <c r="CH344" s="928"/>
      <c r="CI344" s="928"/>
      <c r="CJ344" s="928"/>
      <c r="CK344" s="928"/>
      <c r="CL344" s="928"/>
      <c r="CM344" s="928"/>
      <c r="CN344" s="928"/>
      <c r="CO344" s="928"/>
      <c r="CP344" s="928"/>
      <c r="CQ344" s="928"/>
      <c r="CR344" s="928"/>
      <c r="CS344" s="928"/>
      <c r="CT344" s="928"/>
      <c r="CU344" s="928"/>
      <c r="CV344" s="928"/>
      <c r="CW344" s="928"/>
      <c r="CX344" s="928"/>
      <c r="CY344" s="928"/>
      <c r="CZ344" s="928"/>
      <c r="DA344" s="928"/>
      <c r="DB344" s="928"/>
      <c r="DC344" s="928"/>
      <c r="DD344" s="928"/>
      <c r="DE344" s="928"/>
      <c r="DF344" s="928"/>
      <c r="DG344" s="928"/>
      <c r="DH344" s="928"/>
      <c r="DI344" s="928"/>
      <c r="DJ344" s="928"/>
      <c r="DK344" s="928"/>
      <c r="DL344" s="928"/>
      <c r="DM344" s="928"/>
      <c r="DN344" s="928"/>
      <c r="DO344" s="928"/>
      <c r="DP344" s="928"/>
      <c r="DQ344" s="928"/>
      <c r="DR344" s="928"/>
      <c r="DS344" s="928"/>
      <c r="DT344" s="928"/>
      <c r="DU344" s="928"/>
      <c r="DV344" s="928"/>
      <c r="DW344" s="928"/>
      <c r="DX344" s="928"/>
      <c r="DY344" s="928"/>
      <c r="DZ344" s="928"/>
      <c r="EA344" s="928"/>
      <c r="EB344" s="928"/>
      <c r="EC344" s="928"/>
      <c r="ED344" s="928"/>
      <c r="EE344" s="928"/>
      <c r="EF344" s="928"/>
      <c r="EG344" s="928"/>
      <c r="EH344" s="928"/>
      <c r="EI344" s="928"/>
      <c r="EJ344" s="928"/>
      <c r="EK344" s="928"/>
      <c r="EL344" s="928"/>
      <c r="EM344" s="928"/>
      <c r="EN344" s="928"/>
      <c r="EO344" s="928"/>
      <c r="EP344" s="928"/>
      <c r="EQ344" s="928"/>
      <c r="ER344" s="928"/>
      <c r="ES344" s="928"/>
      <c r="ET344" s="928"/>
      <c r="EU344" s="928"/>
      <c r="EV344" s="928"/>
      <c r="EW344" s="928"/>
      <c r="EX344" s="928"/>
      <c r="EY344" s="928"/>
      <c r="EZ344" s="928"/>
      <c r="FA344" s="928"/>
      <c r="FB344" s="928"/>
      <c r="FC344" s="928"/>
      <c r="FD344" s="928"/>
      <c r="FE344" s="928"/>
      <c r="FF344" s="928"/>
      <c r="FG344" s="928"/>
      <c r="FH344" s="928"/>
      <c r="FI344" s="928"/>
      <c r="FJ344" s="928"/>
      <c r="FK344" s="928"/>
      <c r="FL344" s="928"/>
      <c r="FM344" s="928"/>
      <c r="FN344" s="928"/>
      <c r="FO344" s="928"/>
      <c r="FP344" s="928"/>
      <c r="FQ344" s="928"/>
    </row>
    <row r="345" spans="1:173">
      <c r="A345" s="928"/>
      <c r="B345" s="928"/>
      <c r="C345" s="928"/>
      <c r="D345" s="928"/>
      <c r="E345" s="928"/>
      <c r="F345" s="928"/>
      <c r="G345" s="928"/>
      <c r="H345" s="928"/>
      <c r="I345" s="928"/>
      <c r="J345" s="928"/>
      <c r="K345" s="928"/>
      <c r="L345" s="928"/>
      <c r="M345" s="928"/>
      <c r="N345" s="928"/>
      <c r="O345" s="928"/>
      <c r="P345" s="928"/>
      <c r="Q345" s="928"/>
      <c r="R345" s="928"/>
      <c r="S345" s="928"/>
      <c r="T345" s="928"/>
      <c r="U345" s="928"/>
      <c r="V345" s="928"/>
      <c r="W345" s="928"/>
      <c r="X345" s="928"/>
      <c r="Y345" s="928"/>
      <c r="Z345" s="928"/>
      <c r="AA345" s="928"/>
      <c r="AB345" s="928"/>
      <c r="AC345" s="928"/>
      <c r="AD345" s="928"/>
      <c r="AE345" s="928"/>
      <c r="AF345" s="928"/>
      <c r="AG345" s="928"/>
      <c r="AH345" s="928"/>
      <c r="AI345" s="928"/>
      <c r="AJ345" s="928"/>
      <c r="AK345" s="928"/>
      <c r="AL345" s="928"/>
      <c r="AM345" s="928"/>
      <c r="AN345" s="928"/>
      <c r="AO345" s="928"/>
      <c r="AP345" s="928"/>
      <c r="AQ345" s="928"/>
      <c r="AR345" s="928"/>
      <c r="AS345" s="928"/>
      <c r="AT345" s="928"/>
      <c r="AU345" s="928"/>
      <c r="AV345" s="928"/>
      <c r="AW345" s="928"/>
      <c r="AX345" s="928"/>
      <c r="AY345" s="928"/>
      <c r="AZ345" s="928"/>
      <c r="BA345" s="928"/>
      <c r="BB345" s="928"/>
      <c r="BC345" s="928"/>
      <c r="BD345" s="928"/>
      <c r="BE345" s="928"/>
      <c r="BF345" s="928"/>
      <c r="BG345" s="928"/>
      <c r="BH345" s="928"/>
      <c r="BI345" s="928"/>
      <c r="BJ345" s="928"/>
      <c r="BK345" s="928"/>
      <c r="BL345" s="928"/>
      <c r="BM345" s="928"/>
      <c r="BN345" s="928"/>
      <c r="BO345" s="928"/>
      <c r="BP345" s="928"/>
      <c r="BQ345" s="928"/>
      <c r="BR345" s="928"/>
      <c r="BS345" s="928"/>
      <c r="BT345" s="928"/>
      <c r="BU345" s="928"/>
      <c r="BV345" s="928"/>
      <c r="BW345" s="928"/>
      <c r="BX345" s="928"/>
      <c r="BY345" s="928"/>
      <c r="BZ345" s="928"/>
      <c r="CA345" s="928"/>
      <c r="CB345" s="928"/>
      <c r="CC345" s="928"/>
      <c r="CD345" s="928"/>
      <c r="CE345" s="928"/>
      <c r="CF345" s="928"/>
      <c r="CG345" s="928"/>
      <c r="CH345" s="928"/>
      <c r="CI345" s="928"/>
      <c r="CJ345" s="928"/>
      <c r="CK345" s="928"/>
      <c r="CL345" s="928"/>
      <c r="CM345" s="928"/>
      <c r="CN345" s="928"/>
      <c r="CO345" s="928"/>
      <c r="CP345" s="928"/>
      <c r="CQ345" s="928"/>
      <c r="CR345" s="928"/>
      <c r="CS345" s="928"/>
      <c r="CT345" s="928"/>
      <c r="CU345" s="928"/>
      <c r="CV345" s="928"/>
      <c r="CW345" s="928"/>
      <c r="CX345" s="928"/>
      <c r="CY345" s="928"/>
      <c r="CZ345" s="928"/>
      <c r="DA345" s="928"/>
      <c r="DB345" s="928"/>
      <c r="DC345" s="928"/>
      <c r="DD345" s="928"/>
      <c r="DE345" s="928"/>
      <c r="DF345" s="928"/>
      <c r="DG345" s="928"/>
      <c r="DH345" s="928"/>
      <c r="DI345" s="928"/>
      <c r="DJ345" s="928"/>
      <c r="DK345" s="928"/>
      <c r="DL345" s="928"/>
      <c r="DM345" s="928"/>
      <c r="DN345" s="928"/>
      <c r="DO345" s="928"/>
      <c r="DP345" s="928"/>
      <c r="DQ345" s="928"/>
      <c r="DR345" s="928"/>
      <c r="DS345" s="928"/>
      <c r="DT345" s="928"/>
      <c r="DU345" s="928"/>
      <c r="DV345" s="928"/>
      <c r="DW345" s="928"/>
      <c r="DX345" s="928"/>
      <c r="DY345" s="928"/>
      <c r="DZ345" s="928"/>
      <c r="EA345" s="928"/>
      <c r="EB345" s="928"/>
      <c r="EC345" s="928"/>
      <c r="ED345" s="928"/>
      <c r="EE345" s="928"/>
      <c r="EF345" s="928"/>
      <c r="EG345" s="928"/>
      <c r="EH345" s="928"/>
      <c r="EI345" s="928"/>
      <c r="EJ345" s="928"/>
      <c r="EK345" s="928"/>
      <c r="EL345" s="928"/>
      <c r="EM345" s="928"/>
      <c r="EN345" s="928"/>
      <c r="EO345" s="928"/>
      <c r="EP345" s="928"/>
      <c r="EQ345" s="928"/>
      <c r="ER345" s="928"/>
      <c r="ES345" s="928"/>
      <c r="ET345" s="928"/>
      <c r="EU345" s="928"/>
      <c r="EV345" s="928"/>
      <c r="EW345" s="928"/>
      <c r="EX345" s="928"/>
      <c r="EY345" s="928"/>
      <c r="EZ345" s="928"/>
      <c r="FA345" s="928"/>
      <c r="FB345" s="928"/>
      <c r="FC345" s="928"/>
      <c r="FD345" s="928"/>
      <c r="FE345" s="928"/>
      <c r="FF345" s="928"/>
      <c r="FG345" s="928"/>
      <c r="FH345" s="928"/>
      <c r="FI345" s="928"/>
      <c r="FJ345" s="928"/>
      <c r="FK345" s="928"/>
      <c r="FL345" s="928"/>
      <c r="FM345" s="928"/>
      <c r="FN345" s="928"/>
      <c r="FO345" s="928"/>
      <c r="FP345" s="928"/>
      <c r="FQ345" s="928"/>
    </row>
    <row r="346" spans="1:173">
      <c r="A346" s="928"/>
      <c r="B346" s="928"/>
      <c r="C346" s="928"/>
      <c r="D346" s="928"/>
      <c r="E346" s="928"/>
      <c r="F346" s="928"/>
      <c r="G346" s="928"/>
      <c r="H346" s="928"/>
      <c r="I346" s="928"/>
      <c r="J346" s="928"/>
      <c r="K346" s="928"/>
      <c r="L346" s="928"/>
      <c r="M346" s="928"/>
      <c r="N346" s="928"/>
      <c r="O346" s="928"/>
      <c r="P346" s="928"/>
      <c r="Q346" s="928"/>
      <c r="R346" s="928"/>
      <c r="S346" s="928"/>
      <c r="T346" s="928"/>
      <c r="U346" s="928"/>
      <c r="V346" s="928"/>
      <c r="W346" s="928"/>
      <c r="X346" s="928"/>
      <c r="Y346" s="928"/>
      <c r="Z346" s="928"/>
      <c r="AA346" s="928"/>
      <c r="AB346" s="928"/>
      <c r="AC346" s="928"/>
      <c r="AD346" s="928"/>
      <c r="AE346" s="928"/>
      <c r="AF346" s="928"/>
      <c r="AG346" s="928"/>
      <c r="AH346" s="928"/>
      <c r="AI346" s="928"/>
      <c r="AJ346" s="928"/>
      <c r="AK346" s="928"/>
      <c r="AL346" s="928"/>
      <c r="AM346" s="928"/>
      <c r="AN346" s="928"/>
      <c r="AO346" s="928"/>
      <c r="AP346" s="928"/>
      <c r="AQ346" s="928"/>
      <c r="AR346" s="928"/>
      <c r="AS346" s="928"/>
      <c r="AT346" s="928"/>
      <c r="AU346" s="928"/>
      <c r="AV346" s="928"/>
      <c r="AW346" s="928"/>
      <c r="AX346" s="928"/>
      <c r="AY346" s="928"/>
      <c r="AZ346" s="928"/>
      <c r="BA346" s="928"/>
      <c r="BB346" s="928"/>
      <c r="BC346" s="928"/>
      <c r="BD346" s="928"/>
      <c r="BE346" s="928"/>
      <c r="BF346" s="928"/>
      <c r="BG346" s="928"/>
      <c r="BH346" s="928"/>
      <c r="BI346" s="928"/>
      <c r="BJ346" s="928"/>
      <c r="BK346" s="928"/>
      <c r="BL346" s="928"/>
      <c r="BM346" s="928"/>
      <c r="BN346" s="928"/>
      <c r="BO346" s="928"/>
      <c r="BP346" s="928"/>
      <c r="BQ346" s="928"/>
      <c r="BR346" s="928"/>
      <c r="BS346" s="928"/>
      <c r="BT346" s="928"/>
      <c r="BU346" s="928"/>
      <c r="BV346" s="928"/>
      <c r="BW346" s="928"/>
      <c r="BX346" s="928"/>
      <c r="BY346" s="928"/>
      <c r="BZ346" s="928"/>
      <c r="CA346" s="928"/>
      <c r="CB346" s="928"/>
      <c r="CC346" s="928"/>
      <c r="CD346" s="928"/>
      <c r="CE346" s="928"/>
      <c r="CF346" s="928"/>
      <c r="CG346" s="928"/>
      <c r="CH346" s="928"/>
      <c r="CI346" s="928"/>
      <c r="CJ346" s="928"/>
      <c r="CK346" s="928"/>
      <c r="CL346" s="928"/>
      <c r="CM346" s="928"/>
      <c r="CN346" s="928"/>
      <c r="CO346" s="928"/>
      <c r="CP346" s="928"/>
      <c r="CQ346" s="928"/>
      <c r="CR346" s="928"/>
      <c r="CS346" s="928"/>
      <c r="CT346" s="928"/>
      <c r="CU346" s="928"/>
      <c r="CV346" s="928"/>
      <c r="CW346" s="928"/>
      <c r="CX346" s="928"/>
      <c r="CY346" s="928"/>
      <c r="CZ346" s="928"/>
      <c r="DA346" s="928"/>
      <c r="DB346" s="928"/>
      <c r="DC346" s="928"/>
      <c r="DD346" s="928"/>
      <c r="DE346" s="928"/>
      <c r="DF346" s="928"/>
      <c r="DG346" s="928"/>
      <c r="DH346" s="928"/>
      <c r="DI346" s="928"/>
      <c r="DJ346" s="928"/>
      <c r="DK346" s="928"/>
      <c r="DL346" s="928"/>
      <c r="DM346" s="928"/>
      <c r="DN346" s="928"/>
      <c r="DO346" s="928"/>
      <c r="DP346" s="928"/>
      <c r="DQ346" s="928"/>
      <c r="DR346" s="928"/>
      <c r="DS346" s="928"/>
      <c r="DT346" s="928"/>
      <c r="DU346" s="928"/>
      <c r="DV346" s="928"/>
      <c r="DW346" s="928"/>
      <c r="DX346" s="928"/>
      <c r="DY346" s="928"/>
      <c r="DZ346" s="928"/>
      <c r="EA346" s="928"/>
      <c r="EB346" s="928"/>
      <c r="EC346" s="928"/>
      <c r="ED346" s="928"/>
      <c r="EE346" s="928"/>
      <c r="EF346" s="928"/>
      <c r="EG346" s="928"/>
      <c r="EH346" s="928"/>
      <c r="EI346" s="928"/>
      <c r="EJ346" s="928"/>
      <c r="EK346" s="928"/>
      <c r="EL346" s="928"/>
      <c r="EM346" s="928"/>
      <c r="EN346" s="928"/>
      <c r="EO346" s="928"/>
      <c r="EP346" s="928"/>
      <c r="EQ346" s="928"/>
      <c r="ER346" s="928"/>
      <c r="ES346" s="928"/>
      <c r="ET346" s="928"/>
      <c r="EU346" s="928"/>
      <c r="EV346" s="928"/>
      <c r="EW346" s="928"/>
      <c r="EX346" s="928"/>
      <c r="EY346" s="928"/>
      <c r="EZ346" s="928"/>
      <c r="FA346" s="928"/>
      <c r="FB346" s="928"/>
      <c r="FC346" s="928"/>
      <c r="FD346" s="928"/>
      <c r="FE346" s="928"/>
      <c r="FF346" s="928"/>
      <c r="FG346" s="928"/>
      <c r="FH346" s="928"/>
      <c r="FI346" s="928"/>
      <c r="FJ346" s="928"/>
      <c r="FK346" s="928"/>
      <c r="FL346" s="928"/>
      <c r="FM346" s="928"/>
      <c r="FN346" s="928"/>
      <c r="FO346" s="928"/>
      <c r="FP346" s="928"/>
      <c r="FQ346" s="928"/>
    </row>
    <row r="347" spans="1:173">
      <c r="A347" s="928"/>
      <c r="B347" s="928"/>
      <c r="C347" s="928"/>
      <c r="D347" s="928"/>
      <c r="E347" s="928"/>
      <c r="F347" s="928"/>
      <c r="G347" s="928"/>
      <c r="H347" s="928"/>
      <c r="I347" s="928"/>
      <c r="J347" s="928"/>
      <c r="K347" s="928"/>
      <c r="L347" s="928"/>
      <c r="M347" s="928"/>
      <c r="N347" s="928"/>
      <c r="O347" s="928"/>
      <c r="P347" s="928"/>
      <c r="Q347" s="928"/>
      <c r="R347" s="928"/>
      <c r="S347" s="928"/>
      <c r="T347" s="928"/>
      <c r="U347" s="928"/>
      <c r="V347" s="928"/>
      <c r="W347" s="928"/>
      <c r="X347" s="928"/>
      <c r="Y347" s="928"/>
      <c r="Z347" s="928"/>
      <c r="AA347" s="928"/>
      <c r="AB347" s="928"/>
      <c r="AC347" s="928"/>
      <c r="AD347" s="928"/>
      <c r="AE347" s="928"/>
      <c r="AF347" s="928"/>
      <c r="AG347" s="928"/>
      <c r="AH347" s="928"/>
      <c r="AI347" s="928"/>
      <c r="AJ347" s="928"/>
      <c r="AK347" s="928"/>
      <c r="AL347" s="928"/>
      <c r="AM347" s="928"/>
      <c r="AN347" s="928"/>
      <c r="AO347" s="928"/>
      <c r="AP347" s="928"/>
      <c r="AQ347" s="928"/>
      <c r="AR347" s="928"/>
      <c r="AS347" s="928"/>
      <c r="AT347" s="928"/>
      <c r="AU347" s="928"/>
      <c r="AV347" s="928"/>
      <c r="AW347" s="928"/>
      <c r="AX347" s="928"/>
      <c r="AY347" s="928"/>
      <c r="AZ347" s="928"/>
      <c r="BA347" s="928"/>
      <c r="BB347" s="928"/>
      <c r="BC347" s="928"/>
      <c r="BD347" s="928"/>
      <c r="BE347" s="928"/>
      <c r="BF347" s="928"/>
      <c r="BG347" s="928"/>
      <c r="BH347" s="928"/>
      <c r="BI347" s="928"/>
      <c r="BJ347" s="928"/>
      <c r="BK347" s="928"/>
      <c r="BL347" s="928"/>
      <c r="BM347" s="928"/>
      <c r="BN347" s="928"/>
      <c r="BO347" s="928"/>
      <c r="BP347" s="928"/>
      <c r="BQ347" s="928"/>
      <c r="BR347" s="928"/>
      <c r="BS347" s="928"/>
      <c r="BT347" s="928"/>
      <c r="BU347" s="928"/>
      <c r="BV347" s="928"/>
      <c r="BW347" s="928"/>
      <c r="BX347" s="928"/>
      <c r="BY347" s="928"/>
      <c r="BZ347" s="928"/>
      <c r="CA347" s="928"/>
      <c r="CB347" s="928"/>
      <c r="CC347" s="928"/>
      <c r="CD347" s="928"/>
      <c r="CE347" s="928"/>
      <c r="CF347" s="928"/>
      <c r="CG347" s="928"/>
      <c r="CH347" s="928"/>
      <c r="CI347" s="928"/>
      <c r="CJ347" s="928"/>
      <c r="CK347" s="928"/>
      <c r="CL347" s="928"/>
      <c r="CM347" s="928"/>
      <c r="CN347" s="928"/>
      <c r="CO347" s="928"/>
      <c r="CP347" s="928"/>
      <c r="CQ347" s="928"/>
      <c r="CR347" s="928"/>
      <c r="CS347" s="928"/>
      <c r="CT347" s="928"/>
      <c r="CU347" s="928"/>
      <c r="CV347" s="928"/>
      <c r="CW347" s="928"/>
      <c r="CX347" s="928"/>
      <c r="CY347" s="928"/>
      <c r="CZ347" s="928"/>
      <c r="DA347" s="928"/>
      <c r="DB347" s="928"/>
      <c r="DC347" s="928"/>
      <c r="DD347" s="928"/>
      <c r="DE347" s="928"/>
      <c r="DF347" s="928"/>
      <c r="DG347" s="928"/>
      <c r="DH347" s="928"/>
      <c r="DI347" s="928"/>
      <c r="DJ347" s="928"/>
      <c r="DK347" s="928"/>
      <c r="DL347" s="928"/>
      <c r="DM347" s="928"/>
      <c r="DN347" s="928"/>
      <c r="DO347" s="928"/>
      <c r="DP347" s="928"/>
      <c r="DQ347" s="928"/>
      <c r="DR347" s="928"/>
      <c r="DS347" s="928"/>
      <c r="DT347" s="928"/>
      <c r="DU347" s="928"/>
      <c r="DV347" s="928"/>
      <c r="DW347" s="928"/>
      <c r="DX347" s="928"/>
      <c r="DY347" s="928"/>
      <c r="DZ347" s="928"/>
      <c r="EA347" s="928"/>
      <c r="EB347" s="928"/>
      <c r="EC347" s="928"/>
      <c r="ED347" s="928"/>
      <c r="EE347" s="928"/>
      <c r="EF347" s="928"/>
      <c r="EG347" s="928"/>
      <c r="EH347" s="928"/>
      <c r="EI347" s="928"/>
      <c r="EJ347" s="928"/>
      <c r="EK347" s="928"/>
      <c r="EL347" s="928"/>
      <c r="EM347" s="928"/>
      <c r="EN347" s="928"/>
      <c r="EO347" s="928"/>
      <c r="EP347" s="928"/>
      <c r="EQ347" s="928"/>
      <c r="ER347" s="928"/>
      <c r="ES347" s="928"/>
      <c r="ET347" s="928"/>
      <c r="EU347" s="928"/>
      <c r="EV347" s="928"/>
      <c r="EW347" s="928"/>
      <c r="EX347" s="928"/>
      <c r="EY347" s="928"/>
      <c r="EZ347" s="928"/>
      <c r="FA347" s="928"/>
      <c r="FB347" s="928"/>
      <c r="FC347" s="928"/>
      <c r="FD347" s="928"/>
      <c r="FE347" s="928"/>
      <c r="FF347" s="928"/>
      <c r="FG347" s="928"/>
      <c r="FH347" s="928"/>
      <c r="FI347" s="928"/>
      <c r="FJ347" s="928"/>
      <c r="FK347" s="928"/>
      <c r="FL347" s="928"/>
      <c r="FM347" s="928"/>
      <c r="FN347" s="928"/>
      <c r="FO347" s="928"/>
      <c r="FP347" s="928"/>
      <c r="FQ347" s="928"/>
    </row>
    <row r="348" spans="1:173">
      <c r="A348" s="928"/>
      <c r="B348" s="928"/>
      <c r="C348" s="928"/>
      <c r="D348" s="928"/>
      <c r="E348" s="928"/>
      <c r="F348" s="928"/>
      <c r="G348" s="928"/>
      <c r="H348" s="928"/>
      <c r="I348" s="928"/>
      <c r="J348" s="928"/>
      <c r="K348" s="928"/>
      <c r="L348" s="928"/>
      <c r="M348" s="928"/>
      <c r="N348" s="928"/>
      <c r="O348" s="928"/>
      <c r="P348" s="928"/>
      <c r="Q348" s="928"/>
      <c r="R348" s="928"/>
      <c r="S348" s="928"/>
      <c r="T348" s="928"/>
      <c r="U348" s="928"/>
      <c r="V348" s="928"/>
      <c r="W348" s="928"/>
      <c r="X348" s="928"/>
      <c r="Y348" s="928"/>
      <c r="Z348" s="928"/>
      <c r="AA348" s="928"/>
      <c r="AB348" s="928"/>
      <c r="AC348" s="928"/>
      <c r="AD348" s="928"/>
      <c r="AE348" s="928"/>
      <c r="AF348" s="928"/>
      <c r="AG348" s="928"/>
      <c r="AH348" s="928"/>
      <c r="AI348" s="928"/>
      <c r="AJ348" s="928"/>
      <c r="AK348" s="928"/>
      <c r="AL348" s="928"/>
      <c r="AM348" s="928"/>
      <c r="AN348" s="928"/>
      <c r="AO348" s="928"/>
      <c r="AP348" s="928"/>
      <c r="AQ348" s="928"/>
      <c r="AR348" s="928"/>
      <c r="AS348" s="928"/>
      <c r="AT348" s="928"/>
      <c r="AU348" s="928"/>
      <c r="AV348" s="928"/>
      <c r="AW348" s="928"/>
      <c r="AX348" s="928"/>
      <c r="AY348" s="928"/>
      <c r="AZ348" s="928"/>
      <c r="BA348" s="928"/>
      <c r="BB348" s="928"/>
      <c r="BC348" s="928"/>
      <c r="BD348" s="928"/>
      <c r="BE348" s="928"/>
      <c r="BF348" s="928"/>
      <c r="BG348" s="928"/>
      <c r="BH348" s="928"/>
      <c r="BI348" s="928"/>
      <c r="BJ348" s="928"/>
      <c r="BK348" s="928"/>
      <c r="BL348" s="928"/>
      <c r="BM348" s="928"/>
      <c r="BN348" s="928"/>
      <c r="BO348" s="928"/>
      <c r="BP348" s="928"/>
      <c r="BQ348" s="928"/>
      <c r="BR348" s="928"/>
      <c r="BS348" s="928"/>
      <c r="BT348" s="928"/>
      <c r="BU348" s="928"/>
      <c r="BV348" s="928"/>
      <c r="BW348" s="928"/>
      <c r="BX348" s="928"/>
      <c r="BY348" s="928"/>
      <c r="BZ348" s="928"/>
      <c r="CA348" s="928"/>
      <c r="CB348" s="928"/>
      <c r="CC348" s="928"/>
      <c r="CD348" s="928"/>
      <c r="CE348" s="928"/>
      <c r="CF348" s="928"/>
      <c r="CG348" s="928"/>
      <c r="CH348" s="928"/>
      <c r="CI348" s="928"/>
      <c r="CJ348" s="928"/>
      <c r="CK348" s="928"/>
      <c r="CL348" s="928"/>
      <c r="CM348" s="928"/>
      <c r="CN348" s="928"/>
      <c r="CO348" s="928"/>
      <c r="CP348" s="928"/>
      <c r="CQ348" s="928"/>
      <c r="CR348" s="928"/>
      <c r="CS348" s="928"/>
      <c r="CT348" s="928"/>
      <c r="CU348" s="928"/>
      <c r="CV348" s="928"/>
      <c r="CW348" s="928"/>
      <c r="CX348" s="928"/>
      <c r="CY348" s="928"/>
      <c r="CZ348" s="928"/>
      <c r="DA348" s="928"/>
      <c r="DB348" s="928"/>
      <c r="DC348" s="928"/>
      <c r="DD348" s="928"/>
      <c r="DE348" s="928"/>
      <c r="DF348" s="928"/>
      <c r="DG348" s="928"/>
      <c r="DH348" s="928"/>
      <c r="DI348" s="928"/>
      <c r="DJ348" s="928"/>
      <c r="DK348" s="928"/>
      <c r="DL348" s="928"/>
      <c r="DM348" s="928"/>
      <c r="DN348" s="928"/>
      <c r="DO348" s="928"/>
      <c r="DP348" s="928"/>
      <c r="DQ348" s="928"/>
      <c r="DR348" s="928"/>
      <c r="DS348" s="928"/>
      <c r="DT348" s="928"/>
      <c r="DU348" s="928"/>
      <c r="DV348" s="928"/>
      <c r="DW348" s="928"/>
      <c r="DX348" s="928"/>
      <c r="DY348" s="928"/>
      <c r="DZ348" s="928"/>
      <c r="EA348" s="928"/>
      <c r="EB348" s="928"/>
      <c r="EC348" s="928"/>
      <c r="ED348" s="928"/>
      <c r="EE348" s="928"/>
      <c r="EF348" s="928"/>
      <c r="EG348" s="928"/>
      <c r="EH348" s="928"/>
      <c r="EI348" s="928"/>
      <c r="EJ348" s="928"/>
      <c r="EK348" s="928"/>
      <c r="EL348" s="928"/>
      <c r="EM348" s="928"/>
      <c r="EN348" s="928"/>
      <c r="EO348" s="928"/>
      <c r="EP348" s="928"/>
      <c r="EQ348" s="928"/>
      <c r="ER348" s="928"/>
      <c r="ES348" s="928"/>
      <c r="ET348" s="928"/>
      <c r="EU348" s="928"/>
      <c r="EV348" s="928"/>
      <c r="EW348" s="928"/>
      <c r="EX348" s="928"/>
      <c r="EY348" s="928"/>
      <c r="EZ348" s="928"/>
      <c r="FA348" s="928"/>
      <c r="FB348" s="928"/>
      <c r="FC348" s="928"/>
      <c r="FD348" s="928"/>
      <c r="FE348" s="928"/>
      <c r="FF348" s="928"/>
      <c r="FG348" s="928"/>
      <c r="FH348" s="928"/>
      <c r="FI348" s="928"/>
      <c r="FJ348" s="928"/>
      <c r="FK348" s="928"/>
      <c r="FL348" s="928"/>
      <c r="FM348" s="928"/>
      <c r="FN348" s="928"/>
      <c r="FO348" s="928"/>
      <c r="FP348" s="928"/>
      <c r="FQ348" s="928"/>
    </row>
    <row r="349" spans="1:173">
      <c r="A349" s="928"/>
      <c r="B349" s="928"/>
      <c r="C349" s="928"/>
      <c r="D349" s="928"/>
      <c r="E349" s="928"/>
      <c r="F349" s="928"/>
      <c r="G349" s="928"/>
      <c r="H349" s="928"/>
      <c r="I349" s="928"/>
      <c r="J349" s="928"/>
      <c r="K349" s="928"/>
      <c r="L349" s="928"/>
      <c r="M349" s="928"/>
      <c r="N349" s="928"/>
      <c r="O349" s="928"/>
      <c r="P349" s="928"/>
      <c r="Q349" s="928"/>
      <c r="R349" s="928"/>
      <c r="S349" s="928"/>
      <c r="T349" s="928"/>
      <c r="U349" s="928"/>
      <c r="V349" s="928"/>
      <c r="W349" s="928"/>
      <c r="X349" s="928"/>
      <c r="Y349" s="928"/>
      <c r="Z349" s="928"/>
      <c r="AA349" s="928"/>
      <c r="AB349" s="928"/>
      <c r="AC349" s="928"/>
      <c r="AD349" s="928"/>
      <c r="AE349" s="928"/>
      <c r="AF349" s="928"/>
      <c r="AG349" s="928"/>
      <c r="AH349" s="928"/>
      <c r="AI349" s="928"/>
      <c r="AJ349" s="928"/>
      <c r="AK349" s="928"/>
      <c r="AL349" s="928"/>
      <c r="AM349" s="928"/>
      <c r="AN349" s="928"/>
      <c r="AO349" s="928"/>
      <c r="AP349" s="928"/>
      <c r="AQ349" s="928"/>
      <c r="AR349" s="928"/>
      <c r="AS349" s="928"/>
      <c r="AT349" s="928"/>
      <c r="AU349" s="928"/>
      <c r="AV349" s="928"/>
      <c r="AW349" s="928"/>
      <c r="AX349" s="928"/>
      <c r="AY349" s="928"/>
      <c r="AZ349" s="928"/>
      <c r="BA349" s="928"/>
      <c r="BB349" s="928"/>
      <c r="BC349" s="928"/>
      <c r="BD349" s="928"/>
      <c r="BE349" s="928"/>
      <c r="BF349" s="928"/>
      <c r="BG349" s="928"/>
      <c r="BH349" s="928"/>
      <c r="BI349" s="928"/>
      <c r="BJ349" s="928"/>
      <c r="BK349" s="928"/>
      <c r="BL349" s="928"/>
      <c r="BM349" s="928"/>
      <c r="BN349" s="928"/>
      <c r="BO349" s="928"/>
      <c r="BP349" s="928"/>
      <c r="BQ349" s="928"/>
      <c r="BR349" s="928"/>
      <c r="BS349" s="928"/>
      <c r="BT349" s="928"/>
      <c r="BU349" s="928"/>
      <c r="BV349" s="928"/>
      <c r="BW349" s="928"/>
      <c r="BX349" s="928"/>
      <c r="BY349" s="928"/>
      <c r="BZ349" s="928"/>
      <c r="CA349" s="928"/>
      <c r="CB349" s="928"/>
      <c r="CC349" s="928"/>
      <c r="CD349" s="928"/>
      <c r="CE349" s="928"/>
      <c r="CF349" s="928"/>
      <c r="CG349" s="928"/>
      <c r="CH349" s="928"/>
      <c r="CI349" s="928"/>
      <c r="CJ349" s="928"/>
      <c r="CK349" s="928"/>
      <c r="CL349" s="928"/>
      <c r="CM349" s="928"/>
      <c r="CN349" s="928"/>
      <c r="CO349" s="928"/>
      <c r="CP349" s="928"/>
      <c r="CQ349" s="928"/>
      <c r="CR349" s="928"/>
      <c r="CS349" s="928"/>
      <c r="CT349" s="928"/>
      <c r="CU349" s="928"/>
      <c r="CV349" s="928"/>
      <c r="CW349" s="928"/>
      <c r="CX349" s="928"/>
      <c r="CY349" s="928"/>
      <c r="CZ349" s="928"/>
      <c r="DA349" s="928"/>
      <c r="DB349" s="928"/>
      <c r="DC349" s="928"/>
      <c r="DD349" s="928"/>
      <c r="DE349" s="928"/>
      <c r="DF349" s="928"/>
      <c r="DG349" s="928"/>
      <c r="DH349" s="928"/>
      <c r="DI349" s="928"/>
      <c r="DJ349" s="928"/>
      <c r="DK349" s="928"/>
      <c r="DL349" s="928"/>
      <c r="DM349" s="928"/>
      <c r="DN349" s="928"/>
      <c r="DO349" s="928"/>
      <c r="DP349" s="928"/>
      <c r="DQ349" s="928"/>
      <c r="DR349" s="928"/>
      <c r="DS349" s="928"/>
      <c r="DT349" s="928"/>
      <c r="DU349" s="928"/>
      <c r="DV349" s="928"/>
      <c r="DW349" s="928"/>
      <c r="DX349" s="928"/>
      <c r="DY349" s="928"/>
      <c r="DZ349" s="928"/>
      <c r="EA349" s="928"/>
      <c r="EB349" s="928"/>
      <c r="EC349" s="928"/>
      <c r="ED349" s="928"/>
      <c r="EE349" s="928"/>
      <c r="EF349" s="928"/>
      <c r="EG349" s="928"/>
      <c r="EH349" s="928"/>
      <c r="EI349" s="928"/>
      <c r="EJ349" s="928"/>
      <c r="EK349" s="928"/>
      <c r="EL349" s="928"/>
      <c r="EM349" s="928"/>
      <c r="EN349" s="928"/>
      <c r="EO349" s="928"/>
      <c r="EP349" s="928"/>
      <c r="EQ349" s="928"/>
      <c r="ER349" s="928"/>
      <c r="ES349" s="928"/>
      <c r="ET349" s="928"/>
      <c r="EU349" s="928"/>
      <c r="EV349" s="928"/>
      <c r="EW349" s="928"/>
      <c r="EX349" s="928"/>
      <c r="EY349" s="928"/>
      <c r="EZ349" s="928"/>
      <c r="FA349" s="928"/>
      <c r="FB349" s="928"/>
      <c r="FC349" s="928"/>
      <c r="FD349" s="928"/>
      <c r="FE349" s="928"/>
      <c r="FF349" s="928"/>
      <c r="FG349" s="928"/>
      <c r="FH349" s="928"/>
      <c r="FI349" s="928"/>
      <c r="FJ349" s="928"/>
      <c r="FK349" s="928"/>
      <c r="FL349" s="928"/>
      <c r="FM349" s="928"/>
      <c r="FN349" s="928"/>
      <c r="FO349" s="928"/>
      <c r="FP349" s="928"/>
      <c r="FQ349" s="928"/>
    </row>
    <row r="350" spans="1:173">
      <c r="A350" s="928"/>
      <c r="B350" s="928"/>
      <c r="C350" s="928"/>
      <c r="D350" s="928"/>
      <c r="E350" s="928"/>
      <c r="F350" s="928"/>
      <c r="G350" s="928"/>
      <c r="H350" s="928"/>
      <c r="I350" s="928"/>
      <c r="J350" s="928"/>
      <c r="K350" s="928"/>
      <c r="L350" s="928"/>
      <c r="M350" s="928"/>
      <c r="N350" s="928"/>
      <c r="O350" s="928"/>
      <c r="P350" s="928"/>
      <c r="Q350" s="928"/>
      <c r="R350" s="928"/>
      <c r="S350" s="928"/>
      <c r="T350" s="928"/>
      <c r="U350" s="928"/>
      <c r="V350" s="928"/>
      <c r="W350" s="928"/>
      <c r="X350" s="928"/>
      <c r="Y350" s="928"/>
      <c r="Z350" s="928"/>
      <c r="AA350" s="928"/>
      <c r="AB350" s="928"/>
      <c r="AC350" s="928"/>
      <c r="AD350" s="928"/>
      <c r="AE350" s="928"/>
      <c r="AF350" s="928"/>
      <c r="AG350" s="928"/>
      <c r="AH350" s="928"/>
      <c r="AI350" s="928"/>
      <c r="AJ350" s="928"/>
      <c r="AK350" s="928"/>
      <c r="AL350" s="928"/>
      <c r="AM350" s="928"/>
      <c r="AN350" s="928"/>
      <c r="AO350" s="928"/>
      <c r="AP350" s="928"/>
      <c r="AQ350" s="928"/>
      <c r="AR350" s="928"/>
      <c r="AS350" s="928"/>
      <c r="AT350" s="928"/>
      <c r="AU350" s="928"/>
      <c r="AV350" s="928"/>
      <c r="AW350" s="928"/>
      <c r="AX350" s="928"/>
      <c r="AY350" s="928"/>
      <c r="AZ350" s="928"/>
      <c r="BA350" s="928"/>
      <c r="BB350" s="928"/>
      <c r="BC350" s="928"/>
      <c r="BD350" s="928"/>
      <c r="BE350" s="928"/>
      <c r="BF350" s="928"/>
      <c r="BG350" s="928"/>
      <c r="BH350" s="928"/>
      <c r="BI350" s="928"/>
      <c r="BJ350" s="928"/>
      <c r="BK350" s="928"/>
      <c r="BL350" s="928"/>
      <c r="BM350" s="928"/>
      <c r="BN350" s="928"/>
      <c r="BO350" s="928"/>
      <c r="BP350" s="928"/>
      <c r="BQ350" s="928"/>
      <c r="BR350" s="928"/>
      <c r="BS350" s="928"/>
      <c r="BT350" s="928"/>
      <c r="BU350" s="928"/>
      <c r="BV350" s="928"/>
      <c r="BW350" s="928"/>
      <c r="BX350" s="928"/>
      <c r="BY350" s="928"/>
      <c r="BZ350" s="928"/>
      <c r="CA350" s="928"/>
      <c r="CB350" s="928"/>
      <c r="CC350" s="928"/>
      <c r="CD350" s="928"/>
      <c r="CE350" s="928"/>
      <c r="CF350" s="928"/>
      <c r="CG350" s="928"/>
      <c r="CH350" s="928"/>
      <c r="CI350" s="928"/>
      <c r="CJ350" s="928"/>
      <c r="CK350" s="928"/>
      <c r="CL350" s="928"/>
      <c r="CM350" s="928"/>
      <c r="CN350" s="928"/>
      <c r="CO350" s="928"/>
      <c r="CP350" s="928"/>
      <c r="CQ350" s="928"/>
      <c r="CR350" s="928"/>
      <c r="CS350" s="928"/>
      <c r="CT350" s="928"/>
      <c r="CU350" s="928"/>
      <c r="CV350" s="928"/>
      <c r="CW350" s="928"/>
      <c r="CX350" s="928"/>
      <c r="CY350" s="928"/>
      <c r="CZ350" s="928"/>
      <c r="DA350" s="928"/>
      <c r="DB350" s="928"/>
      <c r="DC350" s="928"/>
      <c r="DD350" s="928"/>
      <c r="DE350" s="928"/>
      <c r="DF350" s="928"/>
      <c r="DG350" s="928"/>
      <c r="DH350" s="928"/>
      <c r="DI350" s="928"/>
      <c r="DJ350" s="928"/>
      <c r="DK350" s="928"/>
      <c r="DL350" s="928"/>
      <c r="DM350" s="928"/>
      <c r="DN350" s="928"/>
      <c r="DO350" s="928"/>
      <c r="DP350" s="928"/>
      <c r="DQ350" s="928"/>
      <c r="DR350" s="928"/>
      <c r="DS350" s="928"/>
      <c r="DT350" s="928"/>
      <c r="DU350" s="928"/>
      <c r="DV350" s="928"/>
      <c r="DW350" s="928"/>
      <c r="DX350" s="928"/>
      <c r="DY350" s="928"/>
      <c r="DZ350" s="928"/>
      <c r="EA350" s="928"/>
      <c r="EB350" s="928"/>
      <c r="EC350" s="928"/>
      <c r="ED350" s="928"/>
      <c r="EE350" s="928"/>
      <c r="EF350" s="928"/>
      <c r="EG350" s="928"/>
      <c r="EH350" s="928"/>
      <c r="EI350" s="928"/>
      <c r="EJ350" s="928"/>
      <c r="EK350" s="928"/>
      <c r="EL350" s="928"/>
      <c r="EM350" s="928"/>
      <c r="EN350" s="928"/>
      <c r="EO350" s="928"/>
      <c r="EP350" s="928"/>
      <c r="EQ350" s="928"/>
      <c r="ER350" s="928"/>
      <c r="ES350" s="928"/>
      <c r="ET350" s="928"/>
      <c r="EU350" s="928"/>
      <c r="EV350" s="928"/>
      <c r="EW350" s="928"/>
      <c r="EX350" s="928"/>
      <c r="EY350" s="928"/>
      <c r="EZ350" s="928"/>
      <c r="FA350" s="928"/>
      <c r="FB350" s="928"/>
      <c r="FC350" s="928"/>
      <c r="FD350" s="928"/>
      <c r="FE350" s="928"/>
      <c r="FF350" s="928"/>
      <c r="FG350" s="928"/>
      <c r="FH350" s="928"/>
      <c r="FI350" s="928"/>
      <c r="FJ350" s="928"/>
      <c r="FK350" s="928"/>
      <c r="FL350" s="928"/>
      <c r="FM350" s="928"/>
      <c r="FN350" s="928"/>
      <c r="FO350" s="928"/>
      <c r="FP350" s="928"/>
      <c r="FQ350" s="928"/>
    </row>
    <row r="351" spans="1:173">
      <c r="A351" s="928"/>
      <c r="B351" s="928"/>
      <c r="C351" s="928"/>
      <c r="D351" s="928"/>
      <c r="E351" s="928"/>
      <c r="F351" s="928"/>
      <c r="G351" s="928"/>
      <c r="H351" s="928"/>
      <c r="I351" s="928"/>
      <c r="J351" s="928"/>
      <c r="K351" s="928"/>
      <c r="L351" s="928"/>
      <c r="M351" s="928"/>
      <c r="N351" s="928"/>
      <c r="O351" s="928"/>
      <c r="P351" s="928"/>
      <c r="Q351" s="928"/>
      <c r="R351" s="928"/>
      <c r="S351" s="928"/>
      <c r="T351" s="928"/>
      <c r="U351" s="928"/>
      <c r="V351" s="928"/>
      <c r="W351" s="928"/>
      <c r="X351" s="928"/>
      <c r="Y351" s="928"/>
      <c r="Z351" s="928"/>
      <c r="AA351" s="928"/>
      <c r="AB351" s="928"/>
      <c r="AC351" s="928"/>
      <c r="AD351" s="928"/>
      <c r="AE351" s="928"/>
      <c r="AF351" s="928"/>
      <c r="AG351" s="928"/>
      <c r="AH351" s="928"/>
      <c r="AI351" s="928"/>
      <c r="AJ351" s="928"/>
      <c r="AK351" s="928"/>
      <c r="AL351" s="928"/>
      <c r="AM351" s="928"/>
      <c r="AN351" s="928"/>
      <c r="AO351" s="928"/>
      <c r="AP351" s="928"/>
      <c r="AQ351" s="928"/>
      <c r="AR351" s="928"/>
      <c r="AS351" s="928"/>
      <c r="AT351" s="928"/>
      <c r="AU351" s="928"/>
      <c r="AV351" s="928"/>
      <c r="AW351" s="928"/>
      <c r="AX351" s="928"/>
      <c r="AY351" s="928"/>
      <c r="AZ351" s="928"/>
      <c r="BA351" s="928"/>
      <c r="BB351" s="928"/>
      <c r="BC351" s="928"/>
      <c r="BD351" s="928"/>
      <c r="BE351" s="928"/>
      <c r="BF351" s="928"/>
      <c r="BG351" s="928"/>
      <c r="BH351" s="928"/>
      <c r="BI351" s="928"/>
      <c r="BJ351" s="928"/>
      <c r="BK351" s="928"/>
      <c r="BL351" s="928"/>
      <c r="BM351" s="928"/>
      <c r="BN351" s="928"/>
      <c r="BO351" s="928"/>
      <c r="BP351" s="928"/>
      <c r="BQ351" s="928"/>
      <c r="BR351" s="928"/>
      <c r="BS351" s="928"/>
      <c r="BT351" s="928"/>
      <c r="BU351" s="928"/>
      <c r="BV351" s="928"/>
      <c r="BW351" s="928"/>
      <c r="BX351" s="928"/>
      <c r="BY351" s="928"/>
      <c r="BZ351" s="928"/>
      <c r="CA351" s="928"/>
      <c r="CB351" s="928"/>
      <c r="CC351" s="928"/>
      <c r="CD351" s="928"/>
      <c r="CE351" s="928"/>
      <c r="CF351" s="928"/>
      <c r="CG351" s="928"/>
      <c r="CH351" s="928"/>
      <c r="CI351" s="928"/>
      <c r="CJ351" s="928"/>
      <c r="CK351" s="928"/>
      <c r="CL351" s="928"/>
      <c r="CM351" s="928"/>
      <c r="CN351" s="928"/>
      <c r="CO351" s="928"/>
      <c r="CP351" s="928"/>
      <c r="CQ351" s="928"/>
      <c r="CR351" s="928"/>
      <c r="CS351" s="928"/>
      <c r="CT351" s="928"/>
      <c r="CU351" s="928"/>
      <c r="CV351" s="928"/>
      <c r="CW351" s="928"/>
      <c r="CX351" s="928"/>
      <c r="CY351" s="928"/>
      <c r="CZ351" s="928"/>
      <c r="DA351" s="928"/>
      <c r="DB351" s="928"/>
      <c r="DC351" s="928"/>
      <c r="DD351" s="928"/>
      <c r="DE351" s="928"/>
      <c r="DF351" s="928"/>
      <c r="DG351" s="928"/>
      <c r="DH351" s="928"/>
      <c r="DI351" s="928"/>
      <c r="DJ351" s="928"/>
      <c r="DK351" s="928"/>
      <c r="DL351" s="928"/>
      <c r="DM351" s="928"/>
      <c r="DN351" s="928"/>
      <c r="DO351" s="928"/>
      <c r="DP351" s="928"/>
      <c r="DQ351" s="928"/>
      <c r="DR351" s="928"/>
      <c r="DS351" s="928"/>
      <c r="DT351" s="928"/>
      <c r="DU351" s="928"/>
      <c r="DV351" s="928"/>
      <c r="DW351" s="928"/>
      <c r="DX351" s="928"/>
      <c r="DY351" s="928"/>
      <c r="DZ351" s="928"/>
      <c r="EA351" s="928"/>
      <c r="EB351" s="928"/>
      <c r="EC351" s="928"/>
      <c r="ED351" s="928"/>
      <c r="EE351" s="928"/>
      <c r="EF351" s="928"/>
      <c r="EG351" s="928"/>
      <c r="EH351" s="928"/>
      <c r="EI351" s="928"/>
      <c r="EJ351" s="928"/>
      <c r="EK351" s="928"/>
      <c r="EL351" s="928"/>
      <c r="EM351" s="928"/>
      <c r="EN351" s="928"/>
      <c r="EO351" s="928"/>
      <c r="EP351" s="928"/>
      <c r="EQ351" s="928"/>
      <c r="ER351" s="928"/>
      <c r="ES351" s="928"/>
      <c r="ET351" s="928"/>
      <c r="EU351" s="928"/>
      <c r="EV351" s="928"/>
      <c r="EW351" s="928"/>
      <c r="EX351" s="928"/>
      <c r="EY351" s="928"/>
      <c r="EZ351" s="928"/>
      <c r="FA351" s="928"/>
      <c r="FB351" s="928"/>
      <c r="FC351" s="928"/>
      <c r="FD351" s="928"/>
      <c r="FE351" s="928"/>
      <c r="FF351" s="928"/>
      <c r="FG351" s="928"/>
      <c r="FH351" s="928"/>
      <c r="FI351" s="928"/>
      <c r="FJ351" s="928"/>
      <c r="FK351" s="928"/>
      <c r="FL351" s="928"/>
      <c r="FM351" s="928"/>
      <c r="FN351" s="928"/>
      <c r="FO351" s="928"/>
      <c r="FP351" s="928"/>
      <c r="FQ351" s="928"/>
    </row>
    <row r="352" spans="1:173">
      <c r="A352" s="928"/>
      <c r="B352" s="928"/>
      <c r="C352" s="928"/>
      <c r="D352" s="928"/>
      <c r="E352" s="928"/>
      <c r="F352" s="928"/>
      <c r="G352" s="928"/>
      <c r="H352" s="928"/>
      <c r="I352" s="928"/>
      <c r="J352" s="928"/>
      <c r="K352" s="928"/>
      <c r="L352" s="928"/>
      <c r="M352" s="928"/>
      <c r="N352" s="928"/>
      <c r="O352" s="928"/>
      <c r="P352" s="928"/>
      <c r="Q352" s="928"/>
      <c r="R352" s="928"/>
      <c r="S352" s="928"/>
      <c r="T352" s="928"/>
      <c r="U352" s="928"/>
      <c r="V352" s="928"/>
      <c r="W352" s="928"/>
      <c r="X352" s="928"/>
      <c r="Y352" s="928"/>
      <c r="Z352" s="928"/>
      <c r="AA352" s="928"/>
      <c r="AB352" s="928"/>
      <c r="AC352" s="928"/>
      <c r="AD352" s="928"/>
      <c r="AE352" s="928"/>
      <c r="AF352" s="928"/>
      <c r="AG352" s="928"/>
      <c r="AH352" s="928"/>
      <c r="AI352" s="928"/>
      <c r="AJ352" s="928"/>
      <c r="AK352" s="928"/>
      <c r="AL352" s="928"/>
      <c r="AM352" s="928"/>
      <c r="AN352" s="928"/>
      <c r="AO352" s="928"/>
      <c r="AP352" s="928"/>
      <c r="AQ352" s="928"/>
      <c r="AR352" s="928"/>
      <c r="AS352" s="928"/>
      <c r="AT352" s="928"/>
      <c r="AU352" s="928"/>
      <c r="AV352" s="928"/>
      <c r="AW352" s="928"/>
      <c r="AX352" s="928"/>
      <c r="AY352" s="928"/>
      <c r="AZ352" s="928"/>
      <c r="BA352" s="928"/>
      <c r="BB352" s="928"/>
      <c r="BC352" s="928"/>
      <c r="BD352" s="928"/>
      <c r="BE352" s="928"/>
      <c r="BF352" s="928"/>
      <c r="BG352" s="928"/>
      <c r="BH352" s="928"/>
      <c r="BI352" s="928"/>
      <c r="BJ352" s="928"/>
      <c r="BK352" s="928"/>
      <c r="BL352" s="928"/>
      <c r="BM352" s="928"/>
      <c r="BN352" s="928"/>
      <c r="BO352" s="928"/>
      <c r="BP352" s="928"/>
      <c r="BQ352" s="928"/>
      <c r="BR352" s="928"/>
      <c r="BS352" s="928"/>
      <c r="BT352" s="928"/>
      <c r="BU352" s="928"/>
      <c r="BV352" s="928"/>
      <c r="BW352" s="928"/>
      <c r="BX352" s="928"/>
      <c r="BY352" s="928"/>
      <c r="BZ352" s="928"/>
      <c r="CA352" s="928"/>
      <c r="CB352" s="928"/>
      <c r="CC352" s="928"/>
      <c r="CD352" s="928"/>
      <c r="CE352" s="928"/>
      <c r="CF352" s="928"/>
      <c r="CG352" s="928"/>
      <c r="CH352" s="928"/>
      <c r="CI352" s="928"/>
      <c r="CJ352" s="928"/>
      <c r="CK352" s="928"/>
      <c r="CL352" s="928"/>
      <c r="CM352" s="928"/>
      <c r="CN352" s="928"/>
      <c r="CO352" s="928"/>
      <c r="CP352" s="928"/>
      <c r="CQ352" s="928"/>
      <c r="CR352" s="928"/>
      <c r="CS352" s="928"/>
      <c r="CT352" s="928"/>
      <c r="CU352" s="928"/>
      <c r="CV352" s="928"/>
      <c r="CW352" s="928"/>
      <c r="CX352" s="928"/>
      <c r="CY352" s="928"/>
      <c r="CZ352" s="928"/>
      <c r="DA352" s="928"/>
      <c r="DB352" s="928"/>
      <c r="DC352" s="928"/>
      <c r="DD352" s="928"/>
      <c r="DE352" s="928"/>
      <c r="DF352" s="928"/>
      <c r="DG352" s="928"/>
      <c r="DH352" s="928"/>
      <c r="DI352" s="928"/>
      <c r="DJ352" s="928"/>
      <c r="DK352" s="928"/>
      <c r="DL352" s="928"/>
      <c r="DM352" s="928"/>
      <c r="DN352" s="928"/>
      <c r="DO352" s="928"/>
      <c r="DP352" s="928"/>
      <c r="DQ352" s="928"/>
      <c r="DR352" s="928"/>
      <c r="DS352" s="928"/>
      <c r="DT352" s="928"/>
      <c r="DU352" s="928"/>
      <c r="DV352" s="928"/>
      <c r="DW352" s="928"/>
      <c r="DX352" s="928"/>
      <c r="DY352" s="928"/>
      <c r="DZ352" s="928"/>
      <c r="EA352" s="928"/>
      <c r="EB352" s="928"/>
      <c r="EC352" s="928"/>
      <c r="ED352" s="928"/>
      <c r="EE352" s="928"/>
      <c r="EF352" s="928"/>
      <c r="EG352" s="928"/>
      <c r="EH352" s="928"/>
      <c r="EI352" s="928"/>
      <c r="EJ352" s="928"/>
      <c r="EK352" s="928"/>
      <c r="EL352" s="928"/>
      <c r="EM352" s="928"/>
      <c r="EN352" s="928"/>
      <c r="EO352" s="928"/>
      <c r="EP352" s="928"/>
      <c r="EQ352" s="928"/>
      <c r="ER352" s="928"/>
      <c r="ES352" s="928"/>
      <c r="ET352" s="928"/>
      <c r="EU352" s="928"/>
      <c r="EV352" s="928"/>
      <c r="EW352" s="928"/>
      <c r="EX352" s="928"/>
      <c r="EY352" s="928"/>
      <c r="EZ352" s="928"/>
      <c r="FA352" s="928"/>
      <c r="FB352" s="928"/>
      <c r="FC352" s="928"/>
      <c r="FD352" s="928"/>
      <c r="FE352" s="928"/>
      <c r="FF352" s="928"/>
      <c r="FG352" s="928"/>
      <c r="FH352" s="928"/>
      <c r="FI352" s="928"/>
      <c r="FJ352" s="928"/>
      <c r="FK352" s="928"/>
      <c r="FL352" s="928"/>
      <c r="FM352" s="928"/>
      <c r="FN352" s="928"/>
      <c r="FO352" s="928"/>
      <c r="FP352" s="928"/>
      <c r="FQ352" s="928"/>
    </row>
    <row r="353" spans="1:173">
      <c r="A353" s="928"/>
      <c r="B353" s="928"/>
      <c r="C353" s="928"/>
      <c r="D353" s="928"/>
      <c r="E353" s="928"/>
      <c r="F353" s="928"/>
      <c r="G353" s="928"/>
      <c r="H353" s="928"/>
      <c r="I353" s="928"/>
      <c r="J353" s="928"/>
      <c r="K353" s="928"/>
      <c r="L353" s="928"/>
      <c r="M353" s="928"/>
      <c r="N353" s="928"/>
      <c r="O353" s="928"/>
      <c r="P353" s="928"/>
      <c r="Q353" s="928"/>
      <c r="R353" s="928"/>
      <c r="S353" s="928"/>
      <c r="T353" s="928"/>
      <c r="U353" s="928"/>
      <c r="V353" s="928"/>
      <c r="W353" s="928"/>
      <c r="X353" s="928"/>
      <c r="Y353" s="928"/>
      <c r="Z353" s="928"/>
      <c r="AA353" s="928"/>
      <c r="AB353" s="928"/>
      <c r="AC353" s="928"/>
      <c r="AD353" s="928"/>
      <c r="AE353" s="928"/>
      <c r="AF353" s="928"/>
      <c r="AG353" s="928"/>
      <c r="AH353" s="928"/>
      <c r="AI353" s="928"/>
      <c r="AJ353" s="928"/>
      <c r="AK353" s="928"/>
      <c r="AL353" s="928"/>
      <c r="AM353" s="928"/>
      <c r="AN353" s="928"/>
      <c r="AO353" s="928"/>
      <c r="AP353" s="928"/>
      <c r="AQ353" s="928"/>
      <c r="AR353" s="928"/>
      <c r="AS353" s="928"/>
      <c r="AT353" s="928"/>
      <c r="AU353" s="928"/>
      <c r="AV353" s="928"/>
      <c r="AW353" s="928"/>
      <c r="AX353" s="928"/>
      <c r="AY353" s="928"/>
      <c r="AZ353" s="928"/>
      <c r="BA353" s="928"/>
      <c r="BB353" s="928"/>
      <c r="BC353" s="928"/>
      <c r="BD353" s="928"/>
      <c r="BE353" s="928"/>
      <c r="BF353" s="928"/>
      <c r="BG353" s="928"/>
      <c r="BH353" s="928"/>
      <c r="BI353" s="928"/>
      <c r="BJ353" s="928"/>
      <c r="BK353" s="928"/>
      <c r="BL353" s="928"/>
      <c r="BM353" s="928"/>
      <c r="BN353" s="928"/>
      <c r="BO353" s="928"/>
      <c r="BP353" s="928"/>
      <c r="BQ353" s="928"/>
      <c r="BR353" s="928"/>
      <c r="BS353" s="928"/>
      <c r="BT353" s="928"/>
      <c r="BU353" s="928"/>
      <c r="BV353" s="928"/>
      <c r="BW353" s="928"/>
      <c r="BX353" s="928"/>
      <c r="BY353" s="928"/>
      <c r="BZ353" s="928"/>
      <c r="CA353" s="928"/>
      <c r="CB353" s="928"/>
      <c r="CC353" s="928"/>
      <c r="CD353" s="928"/>
      <c r="CE353" s="928"/>
      <c r="CF353" s="928"/>
      <c r="CG353" s="928"/>
      <c r="CH353" s="928"/>
      <c r="CI353" s="928"/>
      <c r="CJ353" s="928"/>
      <c r="CK353" s="928"/>
      <c r="CL353" s="928"/>
      <c r="CM353" s="928"/>
      <c r="CN353" s="928"/>
      <c r="CO353" s="928"/>
      <c r="CP353" s="928"/>
      <c r="CQ353" s="928"/>
      <c r="CR353" s="928"/>
      <c r="CS353" s="928"/>
      <c r="CT353" s="928"/>
      <c r="CU353" s="928"/>
      <c r="CV353" s="928"/>
      <c r="CW353" s="928"/>
      <c r="CX353" s="928"/>
      <c r="CY353" s="928"/>
      <c r="CZ353" s="928"/>
      <c r="DA353" s="928"/>
      <c r="DB353" s="928"/>
      <c r="DC353" s="928"/>
      <c r="DD353" s="928"/>
      <c r="DE353" s="928"/>
      <c r="DF353" s="928"/>
      <c r="DG353" s="928"/>
      <c r="DH353" s="928"/>
      <c r="DI353" s="928"/>
      <c r="DJ353" s="928"/>
      <c r="DK353" s="928"/>
      <c r="DL353" s="928"/>
      <c r="DM353" s="928"/>
      <c r="DN353" s="928"/>
      <c r="DO353" s="928"/>
      <c r="DP353" s="928"/>
      <c r="DQ353" s="928"/>
      <c r="DR353" s="928"/>
      <c r="DS353" s="928"/>
      <c r="DT353" s="928"/>
      <c r="DU353" s="928"/>
      <c r="DV353" s="928"/>
      <c r="DW353" s="928"/>
      <c r="DX353" s="928"/>
      <c r="DY353" s="928"/>
      <c r="DZ353" s="928"/>
      <c r="EA353" s="928"/>
      <c r="EB353" s="928"/>
      <c r="EC353" s="928"/>
      <c r="ED353" s="928"/>
      <c r="EE353" s="928"/>
      <c r="EF353" s="928"/>
      <c r="EG353" s="928"/>
      <c r="EH353" s="928"/>
      <c r="EI353" s="928"/>
      <c r="EJ353" s="928"/>
      <c r="EK353" s="928"/>
      <c r="EL353" s="928"/>
      <c r="EM353" s="928"/>
      <c r="EN353" s="928"/>
      <c r="EO353" s="928"/>
      <c r="EP353" s="928"/>
      <c r="EQ353" s="928"/>
      <c r="ER353" s="928"/>
      <c r="ES353" s="928"/>
      <c r="ET353" s="928"/>
      <c r="EU353" s="928"/>
      <c r="EV353" s="928"/>
      <c r="EW353" s="928"/>
      <c r="EX353" s="928"/>
      <c r="EY353" s="928"/>
      <c r="EZ353" s="928"/>
      <c r="FA353" s="928"/>
      <c r="FB353" s="928"/>
      <c r="FC353" s="928"/>
      <c r="FD353" s="928"/>
      <c r="FE353" s="928"/>
      <c r="FF353" s="928"/>
      <c r="FG353" s="928"/>
      <c r="FH353" s="928"/>
      <c r="FI353" s="928"/>
      <c r="FJ353" s="928"/>
      <c r="FK353" s="928"/>
      <c r="FL353" s="928"/>
      <c r="FM353" s="928"/>
      <c r="FN353" s="928"/>
      <c r="FO353" s="928"/>
      <c r="FP353" s="928"/>
      <c r="FQ353" s="928"/>
    </row>
    <row r="354" spans="1:173">
      <c r="A354" s="928"/>
      <c r="B354" s="928"/>
      <c r="C354" s="928"/>
      <c r="D354" s="928"/>
      <c r="E354" s="928"/>
      <c r="F354" s="928"/>
      <c r="G354" s="928"/>
      <c r="H354" s="928"/>
      <c r="I354" s="928"/>
      <c r="J354" s="928"/>
      <c r="K354" s="928"/>
      <c r="L354" s="928"/>
      <c r="M354" s="928"/>
      <c r="N354" s="928"/>
      <c r="O354" s="928"/>
      <c r="P354" s="928"/>
      <c r="Q354" s="928"/>
      <c r="R354" s="928"/>
      <c r="S354" s="928"/>
      <c r="T354" s="928"/>
      <c r="U354" s="928"/>
      <c r="V354" s="928"/>
      <c r="W354" s="928"/>
      <c r="X354" s="928"/>
      <c r="Y354" s="928"/>
      <c r="Z354" s="928"/>
      <c r="AA354" s="928"/>
      <c r="AB354" s="928"/>
      <c r="AC354" s="928"/>
      <c r="AD354" s="928"/>
      <c r="AE354" s="928"/>
      <c r="AF354" s="928"/>
      <c r="AG354" s="928"/>
      <c r="AH354" s="928"/>
      <c r="AI354" s="928"/>
      <c r="AJ354" s="928"/>
      <c r="AK354" s="928"/>
      <c r="AL354" s="928"/>
      <c r="AM354" s="928"/>
      <c r="AN354" s="928"/>
      <c r="AO354" s="928"/>
      <c r="AP354" s="928"/>
      <c r="AQ354" s="928"/>
      <c r="AR354" s="928"/>
      <c r="AS354" s="928"/>
      <c r="AT354" s="928"/>
      <c r="AU354" s="928"/>
      <c r="AV354" s="928"/>
      <c r="AW354" s="928"/>
      <c r="AX354" s="928"/>
      <c r="AY354" s="928"/>
      <c r="AZ354" s="928"/>
      <c r="BA354" s="928"/>
      <c r="BB354" s="928"/>
      <c r="BC354" s="928"/>
      <c r="BD354" s="928"/>
      <c r="BE354" s="928"/>
      <c r="BF354" s="928"/>
      <c r="BG354" s="928"/>
      <c r="BH354" s="928"/>
      <c r="BI354" s="928"/>
      <c r="BJ354" s="928"/>
      <c r="BK354" s="928"/>
      <c r="BL354" s="928"/>
      <c r="BM354" s="928"/>
      <c r="BN354" s="928"/>
      <c r="BO354" s="928"/>
      <c r="BP354" s="928"/>
      <c r="BQ354" s="928"/>
      <c r="BR354" s="928"/>
      <c r="BS354" s="928"/>
      <c r="BT354" s="928"/>
      <c r="BU354" s="928"/>
      <c r="BV354" s="928"/>
      <c r="BW354" s="928"/>
      <c r="BX354" s="928"/>
      <c r="BY354" s="928"/>
      <c r="BZ354" s="928"/>
      <c r="CA354" s="928"/>
      <c r="CB354" s="928"/>
      <c r="CC354" s="928"/>
      <c r="CD354" s="928"/>
      <c r="CE354" s="928"/>
      <c r="CF354" s="928"/>
      <c r="CG354" s="928"/>
      <c r="CH354" s="928"/>
      <c r="CI354" s="928"/>
      <c r="CJ354" s="928"/>
      <c r="CK354" s="928"/>
      <c r="CL354" s="928"/>
      <c r="CM354" s="928"/>
      <c r="CN354" s="928"/>
      <c r="CO354" s="928"/>
      <c r="CP354" s="928"/>
      <c r="CQ354" s="928"/>
      <c r="CR354" s="928"/>
      <c r="CS354" s="928"/>
      <c r="CT354" s="928"/>
      <c r="CU354" s="928"/>
      <c r="CV354" s="928"/>
      <c r="CW354" s="928"/>
      <c r="CX354" s="928"/>
      <c r="CY354" s="928"/>
      <c r="CZ354" s="928"/>
      <c r="DA354" s="928"/>
      <c r="DB354" s="928"/>
      <c r="DC354" s="928"/>
      <c r="DD354" s="928"/>
      <c r="DE354" s="928"/>
      <c r="DF354" s="928"/>
      <c r="DG354" s="928"/>
      <c r="DH354" s="928"/>
      <c r="DI354" s="928"/>
      <c r="DJ354" s="928"/>
      <c r="DK354" s="928"/>
      <c r="DL354" s="928"/>
      <c r="DM354" s="928"/>
      <c r="DN354" s="928"/>
      <c r="DO354" s="928"/>
      <c r="DP354" s="928"/>
      <c r="DQ354" s="928"/>
      <c r="DR354" s="928"/>
      <c r="DS354" s="928"/>
      <c r="DT354" s="928"/>
      <c r="DU354" s="928"/>
      <c r="DV354" s="928"/>
      <c r="DW354" s="928"/>
      <c r="DX354" s="928"/>
      <c r="DY354" s="928"/>
      <c r="DZ354" s="928"/>
      <c r="EA354" s="928"/>
      <c r="EB354" s="928"/>
      <c r="EC354" s="928"/>
      <c r="ED354" s="928"/>
      <c r="EE354" s="928"/>
      <c r="EF354" s="928"/>
      <c r="EG354" s="928"/>
      <c r="EH354" s="928"/>
      <c r="EI354" s="928"/>
      <c r="EJ354" s="928"/>
      <c r="EK354" s="928"/>
      <c r="EL354" s="928"/>
      <c r="EM354" s="928"/>
      <c r="EN354" s="928"/>
      <c r="EO354" s="928"/>
      <c r="EP354" s="928"/>
      <c r="EQ354" s="928"/>
      <c r="ER354" s="928"/>
      <c r="ES354" s="928"/>
      <c r="ET354" s="928"/>
      <c r="EU354" s="928"/>
      <c r="EV354" s="928"/>
      <c r="EW354" s="928"/>
      <c r="EX354" s="928"/>
      <c r="EY354" s="928"/>
      <c r="EZ354" s="928"/>
      <c r="FA354" s="928"/>
      <c r="FB354" s="928"/>
      <c r="FC354" s="928"/>
      <c r="FD354" s="928"/>
      <c r="FE354" s="928"/>
      <c r="FF354" s="928"/>
      <c r="FG354" s="928"/>
      <c r="FH354" s="928"/>
      <c r="FI354" s="928"/>
      <c r="FJ354" s="928"/>
      <c r="FK354" s="928"/>
      <c r="FL354" s="928"/>
      <c r="FM354" s="928"/>
      <c r="FN354" s="928"/>
      <c r="FO354" s="928"/>
      <c r="FP354" s="928"/>
      <c r="FQ354" s="928"/>
    </row>
    <row r="355" spans="1:173">
      <c r="A355" s="928"/>
      <c r="B355" s="928"/>
      <c r="C355" s="928"/>
      <c r="D355" s="928"/>
      <c r="E355" s="928"/>
      <c r="F355" s="928"/>
      <c r="G355" s="928"/>
      <c r="H355" s="928"/>
      <c r="I355" s="928"/>
      <c r="J355" s="928"/>
      <c r="K355" s="928"/>
      <c r="L355" s="928"/>
      <c r="M355" s="928"/>
      <c r="N355" s="928"/>
      <c r="O355" s="928"/>
      <c r="P355" s="928"/>
      <c r="Q355" s="928"/>
      <c r="R355" s="928"/>
      <c r="S355" s="928"/>
      <c r="T355" s="928"/>
      <c r="U355" s="928"/>
      <c r="V355" s="928"/>
      <c r="W355" s="928"/>
      <c r="X355" s="928"/>
      <c r="Y355" s="928"/>
      <c r="Z355" s="928"/>
      <c r="AA355" s="928"/>
      <c r="AB355" s="928"/>
      <c r="AC355" s="928"/>
      <c r="AD355" s="928"/>
      <c r="AE355" s="928"/>
      <c r="AF355" s="928"/>
      <c r="AG355" s="928"/>
      <c r="AH355" s="928"/>
      <c r="AI355" s="928"/>
      <c r="AJ355" s="928"/>
      <c r="AK355" s="928"/>
      <c r="AL355" s="928"/>
      <c r="AM355" s="928"/>
      <c r="AN355" s="928"/>
      <c r="AO355" s="928"/>
      <c r="AP355" s="928"/>
      <c r="AQ355" s="928"/>
      <c r="AR355" s="928"/>
      <c r="AS355" s="928"/>
      <c r="AT355" s="928"/>
      <c r="AU355" s="928"/>
      <c r="AV355" s="928"/>
      <c r="AW355" s="928"/>
      <c r="AX355" s="928"/>
      <c r="AY355" s="928"/>
      <c r="AZ355" s="928"/>
      <c r="BA355" s="928"/>
      <c r="BB355" s="928"/>
      <c r="BC355" s="928"/>
      <c r="BD355" s="928"/>
      <c r="BE355" s="928"/>
      <c r="BF355" s="928"/>
      <c r="BG355" s="928"/>
      <c r="BH355" s="928"/>
      <c r="BI355" s="928"/>
      <c r="BJ355" s="928"/>
      <c r="BK355" s="928"/>
      <c r="BL355" s="928"/>
      <c r="BM355" s="928"/>
      <c r="BN355" s="928"/>
      <c r="BO355" s="928"/>
      <c r="BP355" s="928"/>
      <c r="BQ355" s="928"/>
      <c r="BR355" s="928"/>
      <c r="BS355" s="928"/>
      <c r="BT355" s="928"/>
      <c r="BU355" s="928"/>
      <c r="BV355" s="928"/>
      <c r="BW355" s="928"/>
      <c r="BX355" s="928"/>
      <c r="BY355" s="928"/>
      <c r="BZ355" s="928"/>
      <c r="CA355" s="928"/>
      <c r="CB355" s="928"/>
      <c r="CC355" s="928"/>
      <c r="CD355" s="928"/>
      <c r="CE355" s="928"/>
      <c r="CF355" s="928"/>
      <c r="CG355" s="928"/>
      <c r="CH355" s="928"/>
      <c r="CI355" s="928"/>
      <c r="CJ355" s="928"/>
      <c r="CK355" s="928"/>
      <c r="CL355" s="928"/>
      <c r="CM355" s="928"/>
      <c r="CN355" s="928"/>
      <c r="CO355" s="928"/>
      <c r="CP355" s="928"/>
      <c r="CQ355" s="928"/>
      <c r="CR355" s="928"/>
      <c r="CS355" s="928"/>
      <c r="CT355" s="928"/>
      <c r="CU355" s="928"/>
      <c r="CV355" s="928"/>
      <c r="CW355" s="928"/>
      <c r="CX355" s="928"/>
      <c r="CY355" s="928"/>
      <c r="CZ355" s="928"/>
      <c r="DA355" s="928"/>
      <c r="DB355" s="928"/>
      <c r="DC355" s="928"/>
      <c r="DD355" s="928"/>
      <c r="DE355" s="928"/>
      <c r="DF355" s="928"/>
      <c r="DG355" s="928"/>
      <c r="DH355" s="928"/>
      <c r="DI355" s="928"/>
      <c r="DJ355" s="928"/>
      <c r="DK355" s="928"/>
      <c r="DL355" s="928"/>
      <c r="DM355" s="928"/>
      <c r="DN355" s="928"/>
      <c r="DO355" s="928"/>
      <c r="DP355" s="928"/>
      <c r="DQ355" s="928"/>
      <c r="DR355" s="928"/>
      <c r="DS355" s="928"/>
      <c r="DT355" s="928"/>
      <c r="DU355" s="928"/>
      <c r="DV355" s="928"/>
      <c r="DW355" s="928"/>
      <c r="DX355" s="928"/>
      <c r="DY355" s="928"/>
      <c r="DZ355" s="928"/>
      <c r="EA355" s="928"/>
      <c r="EB355" s="928"/>
      <c r="EC355" s="928"/>
      <c r="ED355" s="928"/>
      <c r="EE355" s="928"/>
      <c r="EF355" s="928"/>
      <c r="EG355" s="928"/>
      <c r="EH355" s="928"/>
      <c r="EI355" s="928"/>
      <c r="EJ355" s="928"/>
      <c r="EK355" s="928"/>
      <c r="EL355" s="928"/>
      <c r="EM355" s="928"/>
      <c r="EN355" s="928"/>
      <c r="EO355" s="928"/>
      <c r="EP355" s="928"/>
      <c r="EQ355" s="928"/>
      <c r="ER355" s="928"/>
      <c r="ES355" s="928"/>
      <c r="ET355" s="928"/>
      <c r="EU355" s="928"/>
      <c r="EV355" s="928"/>
      <c r="EW355" s="928"/>
      <c r="EX355" s="928"/>
      <c r="EY355" s="928"/>
      <c r="EZ355" s="928"/>
      <c r="FA355" s="928"/>
      <c r="FB355" s="928"/>
      <c r="FC355" s="928"/>
      <c r="FD355" s="928"/>
      <c r="FE355" s="928"/>
      <c r="FF355" s="928"/>
      <c r="FG355" s="928"/>
      <c r="FH355" s="928"/>
      <c r="FI355" s="928"/>
      <c r="FJ355" s="928"/>
      <c r="FK355" s="928"/>
      <c r="FL355" s="928"/>
      <c r="FM355" s="928"/>
      <c r="FN355" s="928"/>
      <c r="FO355" s="928"/>
      <c r="FP355" s="928"/>
      <c r="FQ355" s="928"/>
    </row>
    <row r="356" spans="1:173">
      <c r="A356" s="928"/>
      <c r="B356" s="928"/>
      <c r="C356" s="928"/>
      <c r="D356" s="928"/>
      <c r="E356" s="928"/>
      <c r="F356" s="928"/>
      <c r="G356" s="928"/>
      <c r="H356" s="928"/>
      <c r="I356" s="928"/>
      <c r="J356" s="928"/>
      <c r="K356" s="928"/>
      <c r="L356" s="928"/>
      <c r="M356" s="928"/>
      <c r="N356" s="928"/>
      <c r="O356" s="928"/>
      <c r="P356" s="928"/>
      <c r="Q356" s="928"/>
      <c r="R356" s="928"/>
      <c r="S356" s="928"/>
      <c r="T356" s="928"/>
      <c r="U356" s="928"/>
      <c r="V356" s="928"/>
      <c r="W356" s="928"/>
      <c r="X356" s="928"/>
      <c r="Y356" s="928"/>
      <c r="Z356" s="928"/>
      <c r="AA356" s="928"/>
      <c r="AB356" s="928"/>
      <c r="AC356" s="928"/>
      <c r="AD356" s="928"/>
      <c r="AE356" s="928"/>
      <c r="AF356" s="928"/>
      <c r="AG356" s="928"/>
      <c r="AH356" s="928"/>
      <c r="AI356" s="928"/>
      <c r="AJ356" s="928"/>
      <c r="AK356" s="928"/>
      <c r="AL356" s="928"/>
      <c r="AM356" s="928"/>
      <c r="AN356" s="928"/>
      <c r="AO356" s="928"/>
      <c r="AP356" s="928"/>
      <c r="AQ356" s="928"/>
      <c r="AR356" s="928"/>
      <c r="AS356" s="928"/>
      <c r="AT356" s="928"/>
      <c r="AU356" s="928"/>
      <c r="AV356" s="928"/>
      <c r="AW356" s="928"/>
      <c r="AX356" s="928"/>
      <c r="AY356" s="928"/>
      <c r="AZ356" s="928"/>
      <c r="BA356" s="928"/>
      <c r="BB356" s="928"/>
      <c r="BC356" s="928"/>
      <c r="BD356" s="928"/>
      <c r="BE356" s="928"/>
      <c r="BF356" s="928"/>
      <c r="BG356" s="928"/>
      <c r="BH356" s="928"/>
      <c r="BI356" s="928"/>
      <c r="BJ356" s="928"/>
      <c r="BK356" s="928"/>
      <c r="BL356" s="928"/>
      <c r="BM356" s="928"/>
      <c r="BN356" s="928"/>
      <c r="BO356" s="928"/>
      <c r="BP356" s="928"/>
      <c r="BQ356" s="928"/>
      <c r="BR356" s="928"/>
      <c r="BS356" s="928"/>
      <c r="BT356" s="928"/>
      <c r="BU356" s="928"/>
      <c r="BV356" s="928"/>
      <c r="BW356" s="928"/>
      <c r="BX356" s="928"/>
      <c r="BY356" s="928"/>
      <c r="BZ356" s="928"/>
      <c r="CA356" s="928"/>
      <c r="CB356" s="928"/>
      <c r="CC356" s="928"/>
      <c r="CD356" s="928"/>
      <c r="CE356" s="928"/>
      <c r="CF356" s="928"/>
      <c r="CG356" s="928"/>
      <c r="CH356" s="928"/>
      <c r="CI356" s="928"/>
      <c r="CJ356" s="928"/>
      <c r="CK356" s="928"/>
      <c r="CL356" s="928"/>
      <c r="CM356" s="928"/>
      <c r="CN356" s="928"/>
      <c r="CO356" s="928"/>
      <c r="CP356" s="928"/>
      <c r="CQ356" s="928"/>
      <c r="CR356" s="928"/>
      <c r="CS356" s="928"/>
      <c r="CT356" s="928"/>
      <c r="CU356" s="928"/>
      <c r="CV356" s="928"/>
      <c r="CW356" s="928"/>
      <c r="CX356" s="928"/>
      <c r="CY356" s="928"/>
      <c r="CZ356" s="928"/>
      <c r="DA356" s="928"/>
      <c r="DB356" s="928"/>
      <c r="DC356" s="928"/>
      <c r="DD356" s="928"/>
      <c r="DE356" s="928"/>
      <c r="DF356" s="928"/>
      <c r="DG356" s="928"/>
      <c r="DH356" s="928"/>
      <c r="DI356" s="928"/>
      <c r="DJ356" s="928"/>
      <c r="DK356" s="928"/>
      <c r="DL356" s="928"/>
      <c r="DM356" s="928"/>
      <c r="DN356" s="928"/>
      <c r="DO356" s="928"/>
      <c r="DP356" s="928"/>
      <c r="DQ356" s="928"/>
      <c r="DR356" s="928"/>
      <c r="DS356" s="928"/>
      <c r="DT356" s="928"/>
      <c r="DU356" s="928"/>
      <c r="DV356" s="928"/>
      <c r="DW356" s="928"/>
      <c r="DX356" s="928"/>
      <c r="DY356" s="928"/>
      <c r="DZ356" s="928"/>
      <c r="EA356" s="928"/>
      <c r="EB356" s="928"/>
      <c r="EC356" s="928"/>
      <c r="ED356" s="928"/>
      <c r="EE356" s="928"/>
      <c r="EF356" s="928"/>
      <c r="EG356" s="928"/>
      <c r="EH356" s="928"/>
      <c r="EI356" s="928"/>
      <c r="EJ356" s="928"/>
      <c r="EK356" s="928"/>
      <c r="EL356" s="928"/>
      <c r="EM356" s="928"/>
      <c r="EN356" s="928"/>
      <c r="EO356" s="928"/>
      <c r="EP356" s="928"/>
      <c r="EQ356" s="928"/>
      <c r="ER356" s="928"/>
      <c r="ES356" s="928"/>
      <c r="ET356" s="928"/>
      <c r="EU356" s="928"/>
      <c r="EV356" s="928"/>
      <c r="EW356" s="928"/>
      <c r="EX356" s="928"/>
      <c r="EY356" s="928"/>
      <c r="EZ356" s="928"/>
      <c r="FA356" s="928"/>
      <c r="FB356" s="928"/>
      <c r="FC356" s="928"/>
      <c r="FD356" s="928"/>
      <c r="FE356" s="928"/>
      <c r="FF356" s="928"/>
      <c r="FG356" s="928"/>
      <c r="FH356" s="928"/>
      <c r="FI356" s="928"/>
      <c r="FJ356" s="928"/>
      <c r="FK356" s="928"/>
      <c r="FL356" s="928"/>
      <c r="FM356" s="928"/>
      <c r="FN356" s="928"/>
      <c r="FO356" s="928"/>
      <c r="FP356" s="928"/>
      <c r="FQ356" s="928"/>
    </row>
    <row r="357" spans="1:173">
      <c r="A357" s="928"/>
      <c r="B357" s="928"/>
      <c r="C357" s="928"/>
      <c r="D357" s="928"/>
      <c r="E357" s="928"/>
      <c r="F357" s="928"/>
      <c r="G357" s="928"/>
      <c r="H357" s="928"/>
      <c r="I357" s="928"/>
      <c r="J357" s="928"/>
      <c r="K357" s="928"/>
      <c r="L357" s="928"/>
      <c r="M357" s="928"/>
      <c r="N357" s="928"/>
      <c r="O357" s="928"/>
      <c r="P357" s="928"/>
      <c r="Q357" s="928"/>
      <c r="R357" s="928"/>
      <c r="S357" s="928"/>
      <c r="T357" s="928"/>
      <c r="U357" s="928"/>
      <c r="V357" s="928"/>
      <c r="W357" s="928"/>
      <c r="X357" s="928"/>
      <c r="Y357" s="928"/>
      <c r="Z357" s="928"/>
      <c r="AA357" s="928"/>
      <c r="AB357" s="928"/>
      <c r="AC357" s="928"/>
      <c r="AD357" s="928"/>
      <c r="AE357" s="928"/>
      <c r="AF357" s="928"/>
      <c r="AG357" s="928"/>
      <c r="AH357" s="928"/>
      <c r="AI357" s="928"/>
      <c r="AJ357" s="928"/>
      <c r="AK357" s="928"/>
      <c r="AL357" s="928"/>
      <c r="AM357" s="928"/>
      <c r="AN357" s="928"/>
      <c r="AO357" s="928"/>
      <c r="AP357" s="928"/>
      <c r="AQ357" s="928"/>
      <c r="AR357" s="928"/>
      <c r="AS357" s="928"/>
      <c r="AT357" s="928"/>
      <c r="AU357" s="928"/>
      <c r="AV357" s="928"/>
      <c r="AW357" s="928"/>
      <c r="AX357" s="928"/>
      <c r="AY357" s="928"/>
      <c r="AZ357" s="928"/>
      <c r="BA357" s="928"/>
      <c r="BB357" s="928"/>
      <c r="BC357" s="928"/>
      <c r="BD357" s="928"/>
      <c r="BE357" s="928"/>
      <c r="BF357" s="928"/>
      <c r="BG357" s="928"/>
      <c r="BH357" s="928"/>
      <c r="BI357" s="928"/>
      <c r="BJ357" s="928"/>
      <c r="BK357" s="928"/>
      <c r="BL357" s="928"/>
      <c r="BM357" s="928"/>
      <c r="BN357" s="928"/>
      <c r="BO357" s="928"/>
      <c r="BP357" s="928"/>
      <c r="BQ357" s="928"/>
      <c r="BR357" s="928"/>
      <c r="BS357" s="928"/>
      <c r="BT357" s="928"/>
      <c r="BU357" s="928"/>
      <c r="BV357" s="928"/>
      <c r="BW357" s="928"/>
      <c r="BX357" s="928"/>
      <c r="BY357" s="928"/>
      <c r="BZ357" s="928"/>
      <c r="CA357" s="928"/>
      <c r="CB357" s="928"/>
      <c r="CC357" s="928"/>
      <c r="CD357" s="928"/>
      <c r="CE357" s="928"/>
      <c r="CF357" s="928"/>
      <c r="CG357" s="928"/>
      <c r="CH357" s="928"/>
      <c r="CI357" s="928"/>
      <c r="CJ357" s="928"/>
      <c r="CK357" s="928"/>
      <c r="CL357" s="928"/>
      <c r="CM357" s="928"/>
      <c r="CN357" s="928"/>
      <c r="CO357" s="928"/>
      <c r="CP357" s="928"/>
      <c r="CQ357" s="928"/>
      <c r="CR357" s="928"/>
      <c r="CS357" s="928"/>
      <c r="CT357" s="928"/>
      <c r="CU357" s="928"/>
      <c r="CV357" s="928"/>
      <c r="CW357" s="928"/>
      <c r="CX357" s="928"/>
      <c r="CY357" s="928"/>
      <c r="CZ357" s="928"/>
      <c r="DA357" s="928"/>
      <c r="DB357" s="928"/>
      <c r="DC357" s="928"/>
      <c r="DD357" s="928"/>
      <c r="DE357" s="928"/>
      <c r="DF357" s="928"/>
      <c r="DG357" s="928"/>
      <c r="DH357" s="928"/>
      <c r="DI357" s="928"/>
      <c r="DJ357" s="928"/>
      <c r="DK357" s="928"/>
      <c r="DL357" s="928"/>
      <c r="DM357" s="928"/>
      <c r="DN357" s="928"/>
      <c r="DO357" s="928"/>
      <c r="DP357" s="928"/>
      <c r="DQ357" s="928"/>
      <c r="DR357" s="928"/>
      <c r="DS357" s="928"/>
      <c r="DT357" s="928"/>
      <c r="DU357" s="928"/>
      <c r="DV357" s="928"/>
      <c r="DW357" s="928"/>
      <c r="DX357" s="928"/>
      <c r="DY357" s="928"/>
      <c r="DZ357" s="928"/>
      <c r="EA357" s="928"/>
      <c r="EB357" s="928"/>
      <c r="EC357" s="928"/>
      <c r="ED357" s="928"/>
      <c r="EE357" s="928"/>
      <c r="EF357" s="928"/>
      <c r="EG357" s="928"/>
      <c r="EH357" s="928"/>
      <c r="EI357" s="928"/>
      <c r="EJ357" s="928"/>
      <c r="EK357" s="928"/>
      <c r="EL357" s="928"/>
      <c r="EM357" s="928"/>
      <c r="EN357" s="928"/>
      <c r="EO357" s="928"/>
      <c r="EP357" s="928"/>
      <c r="EQ357" s="928"/>
      <c r="ER357" s="928"/>
      <c r="ES357" s="928"/>
      <c r="ET357" s="928"/>
      <c r="EU357" s="928"/>
      <c r="EV357" s="928"/>
      <c r="EW357" s="928"/>
      <c r="EX357" s="928"/>
      <c r="EY357" s="928"/>
      <c r="EZ357" s="928"/>
      <c r="FA357" s="928"/>
      <c r="FB357" s="928"/>
      <c r="FC357" s="928"/>
      <c r="FD357" s="928"/>
      <c r="FE357" s="928"/>
      <c r="FF357" s="928"/>
      <c r="FG357" s="928"/>
      <c r="FH357" s="928"/>
      <c r="FI357" s="928"/>
      <c r="FJ357" s="928"/>
      <c r="FK357" s="928"/>
      <c r="FL357" s="928"/>
      <c r="FM357" s="928"/>
      <c r="FN357" s="928"/>
      <c r="FO357" s="928"/>
      <c r="FP357" s="928"/>
      <c r="FQ357" s="928"/>
    </row>
    <row r="358" spans="1:173">
      <c r="A358" s="928"/>
      <c r="B358" s="928"/>
      <c r="C358" s="928"/>
      <c r="D358" s="928"/>
      <c r="E358" s="928"/>
      <c r="F358" s="928"/>
      <c r="G358" s="928"/>
      <c r="H358" s="928"/>
      <c r="I358" s="928"/>
      <c r="J358" s="928"/>
      <c r="K358" s="928"/>
      <c r="L358" s="928"/>
      <c r="M358" s="928"/>
      <c r="N358" s="928"/>
      <c r="O358" s="928"/>
      <c r="P358" s="928"/>
      <c r="Q358" s="928"/>
      <c r="R358" s="928"/>
      <c r="S358" s="928"/>
      <c r="T358" s="928"/>
      <c r="U358" s="928"/>
      <c r="V358" s="928"/>
      <c r="W358" s="928"/>
      <c r="X358" s="928"/>
      <c r="Y358" s="928"/>
      <c r="Z358" s="928"/>
      <c r="AA358" s="928"/>
      <c r="AB358" s="928"/>
      <c r="AC358" s="928"/>
      <c r="AD358" s="928"/>
      <c r="AE358" s="928"/>
      <c r="AF358" s="928"/>
      <c r="AG358" s="928"/>
      <c r="AH358" s="928"/>
      <c r="AI358" s="928"/>
      <c r="AJ358" s="928"/>
      <c r="AK358" s="928"/>
      <c r="AL358" s="928"/>
      <c r="AM358" s="928"/>
      <c r="AN358" s="928"/>
      <c r="AO358" s="928"/>
      <c r="AP358" s="928"/>
      <c r="AQ358" s="928"/>
      <c r="AR358" s="928"/>
      <c r="AS358" s="928"/>
      <c r="AT358" s="928"/>
      <c r="AU358" s="928"/>
      <c r="AV358" s="928"/>
      <c r="AW358" s="928"/>
      <c r="AX358" s="928"/>
      <c r="AY358" s="928"/>
      <c r="AZ358" s="928"/>
      <c r="BA358" s="928"/>
      <c r="BB358" s="928"/>
      <c r="BC358" s="928"/>
      <c r="BD358" s="928"/>
      <c r="BE358" s="928"/>
      <c r="BF358" s="928"/>
      <c r="BG358" s="928"/>
      <c r="BH358" s="928"/>
      <c r="BI358" s="928"/>
      <c r="BJ358" s="928"/>
      <c r="BK358" s="928"/>
      <c r="BL358" s="928"/>
      <c r="BM358" s="928"/>
      <c r="BN358" s="928"/>
      <c r="BO358" s="928"/>
      <c r="BP358" s="928"/>
      <c r="BQ358" s="928"/>
      <c r="BR358" s="928"/>
      <c r="BS358" s="928"/>
      <c r="BT358" s="928"/>
      <c r="BU358" s="928"/>
      <c r="BV358" s="928"/>
      <c r="BW358" s="928"/>
      <c r="BX358" s="928"/>
      <c r="BY358" s="928"/>
      <c r="BZ358" s="928"/>
      <c r="CA358" s="928"/>
      <c r="CB358" s="928"/>
      <c r="CC358" s="928"/>
      <c r="CD358" s="928"/>
      <c r="CE358" s="928"/>
      <c r="CF358" s="928"/>
      <c r="CG358" s="928"/>
      <c r="CH358" s="928"/>
      <c r="CI358" s="928"/>
      <c r="CJ358" s="928"/>
      <c r="CK358" s="928"/>
      <c r="CL358" s="928"/>
      <c r="CM358" s="928"/>
      <c r="CN358" s="928"/>
      <c r="CO358" s="928"/>
      <c r="CP358" s="928"/>
      <c r="CQ358" s="928"/>
      <c r="CR358" s="928"/>
      <c r="CS358" s="928"/>
      <c r="CT358" s="928"/>
      <c r="CU358" s="928"/>
      <c r="CV358" s="928"/>
      <c r="CW358" s="928"/>
      <c r="CX358" s="928"/>
      <c r="CY358" s="928"/>
      <c r="CZ358" s="928"/>
      <c r="DA358" s="928"/>
      <c r="DB358" s="928"/>
      <c r="DC358" s="928"/>
      <c r="DD358" s="928"/>
      <c r="DE358" s="928"/>
      <c r="DF358" s="928"/>
      <c r="DG358" s="928"/>
      <c r="DH358" s="928"/>
      <c r="DI358" s="928"/>
      <c r="DJ358" s="928"/>
      <c r="DK358" s="928"/>
      <c r="DL358" s="928"/>
      <c r="DM358" s="928"/>
      <c r="DN358" s="928"/>
      <c r="DO358" s="928"/>
      <c r="DP358" s="928"/>
      <c r="DQ358" s="928"/>
      <c r="DR358" s="928"/>
      <c r="DS358" s="928"/>
      <c r="DT358" s="928"/>
      <c r="DU358" s="928"/>
      <c r="DV358" s="928"/>
      <c r="DW358" s="928"/>
      <c r="DX358" s="928"/>
      <c r="DY358" s="928"/>
      <c r="DZ358" s="928"/>
      <c r="EA358" s="928"/>
      <c r="EB358" s="928"/>
      <c r="EC358" s="928"/>
      <c r="ED358" s="928"/>
      <c r="EE358" s="928"/>
      <c r="EF358" s="928"/>
      <c r="EG358" s="928"/>
      <c r="EH358" s="928"/>
      <c r="EI358" s="928"/>
      <c r="EJ358" s="928"/>
      <c r="EK358" s="928"/>
      <c r="EL358" s="928"/>
      <c r="EM358" s="928"/>
      <c r="EN358" s="928"/>
      <c r="EO358" s="928"/>
      <c r="EP358" s="928"/>
      <c r="EQ358" s="928"/>
      <c r="ER358" s="928"/>
      <c r="ES358" s="928"/>
      <c r="ET358" s="928"/>
      <c r="EU358" s="928"/>
      <c r="EV358" s="928"/>
      <c r="EW358" s="928"/>
      <c r="EX358" s="928"/>
      <c r="EY358" s="928"/>
      <c r="EZ358" s="928"/>
      <c r="FA358" s="928"/>
      <c r="FB358" s="928"/>
      <c r="FC358" s="928"/>
      <c r="FD358" s="928"/>
      <c r="FE358" s="928"/>
      <c r="FF358" s="928"/>
      <c r="FG358" s="928"/>
      <c r="FH358" s="928"/>
      <c r="FI358" s="928"/>
      <c r="FJ358" s="928"/>
      <c r="FK358" s="928"/>
      <c r="FL358" s="928"/>
      <c r="FM358" s="928"/>
      <c r="FN358" s="928"/>
      <c r="FO358" s="928"/>
      <c r="FP358" s="928"/>
      <c r="FQ358" s="928"/>
    </row>
    <row r="359" spans="1:173">
      <c r="A359" s="928"/>
      <c r="B359" s="928"/>
      <c r="C359" s="928"/>
      <c r="D359" s="928"/>
      <c r="E359" s="928"/>
      <c r="F359" s="928"/>
      <c r="G359" s="928"/>
      <c r="H359" s="928"/>
      <c r="I359" s="928"/>
      <c r="J359" s="928"/>
      <c r="K359" s="928"/>
      <c r="L359" s="928"/>
      <c r="M359" s="928"/>
      <c r="N359" s="928"/>
      <c r="O359" s="928"/>
      <c r="P359" s="928"/>
      <c r="Q359" s="928"/>
      <c r="R359" s="928"/>
      <c r="S359" s="928"/>
      <c r="T359" s="928"/>
      <c r="U359" s="928"/>
      <c r="V359" s="928"/>
      <c r="W359" s="928"/>
      <c r="X359" s="928"/>
      <c r="Y359" s="928"/>
      <c r="Z359" s="928"/>
      <c r="AA359" s="928"/>
      <c r="AB359" s="928"/>
      <c r="AC359" s="928"/>
      <c r="AD359" s="928"/>
      <c r="AE359" s="928"/>
      <c r="AF359" s="928"/>
      <c r="AG359" s="928"/>
      <c r="AH359" s="928"/>
      <c r="AI359" s="928"/>
      <c r="AJ359" s="928"/>
      <c r="AK359" s="928"/>
      <c r="AL359" s="928"/>
      <c r="AM359" s="928"/>
      <c r="AN359" s="928"/>
      <c r="AO359" s="928"/>
      <c r="AP359" s="928"/>
      <c r="AQ359" s="928"/>
      <c r="AR359" s="928"/>
      <c r="AS359" s="928"/>
      <c r="AT359" s="928"/>
      <c r="AU359" s="928"/>
      <c r="AV359" s="928"/>
      <c r="AW359" s="928"/>
      <c r="AX359" s="928"/>
      <c r="AY359" s="928"/>
      <c r="AZ359" s="928"/>
      <c r="BA359" s="928"/>
      <c r="BB359" s="928"/>
      <c r="BC359" s="928"/>
      <c r="BD359" s="928"/>
      <c r="BE359" s="928"/>
      <c r="BF359" s="928"/>
      <c r="BG359" s="928"/>
      <c r="BH359" s="928"/>
      <c r="BI359" s="928"/>
      <c r="BJ359" s="928"/>
      <c r="BK359" s="928"/>
      <c r="BL359" s="928"/>
      <c r="BM359" s="928"/>
      <c r="BN359" s="928"/>
      <c r="BO359" s="928"/>
      <c r="BP359" s="928"/>
      <c r="BQ359" s="928"/>
      <c r="BR359" s="928"/>
      <c r="BS359" s="928"/>
      <c r="BT359" s="928"/>
      <c r="BU359" s="928"/>
      <c r="BV359" s="928"/>
      <c r="BW359" s="928"/>
      <c r="BX359" s="928"/>
      <c r="BY359" s="928"/>
      <c r="BZ359" s="928"/>
      <c r="CA359" s="928"/>
      <c r="CB359" s="928"/>
      <c r="CC359" s="928"/>
      <c r="CD359" s="928"/>
      <c r="CE359" s="928"/>
      <c r="CF359" s="928"/>
      <c r="CG359" s="928"/>
      <c r="CH359" s="928"/>
      <c r="CI359" s="928"/>
      <c r="CJ359" s="928"/>
      <c r="CK359" s="928"/>
      <c r="CL359" s="928"/>
      <c r="CM359" s="928"/>
      <c r="CN359" s="928"/>
      <c r="CO359" s="928"/>
      <c r="CP359" s="928"/>
      <c r="CQ359" s="928"/>
      <c r="CR359" s="928"/>
      <c r="CS359" s="928"/>
      <c r="CT359" s="928"/>
      <c r="CU359" s="928"/>
      <c r="CV359" s="928"/>
      <c r="CW359" s="928"/>
      <c r="CX359" s="928"/>
      <c r="CY359" s="928"/>
      <c r="CZ359" s="928"/>
      <c r="DA359" s="928"/>
      <c r="DB359" s="928"/>
      <c r="DC359" s="928"/>
      <c r="DD359" s="928"/>
      <c r="DE359" s="928"/>
      <c r="DF359" s="928"/>
      <c r="DG359" s="928"/>
      <c r="DH359" s="928"/>
      <c r="DI359" s="928"/>
      <c r="DJ359" s="928"/>
      <c r="DK359" s="928"/>
      <c r="DL359" s="928"/>
      <c r="DM359" s="928"/>
      <c r="DN359" s="928"/>
      <c r="DO359" s="928"/>
      <c r="DP359" s="928"/>
      <c r="DQ359" s="928"/>
      <c r="DR359" s="928"/>
      <c r="DS359" s="928"/>
      <c r="DT359" s="928"/>
      <c r="DU359" s="928"/>
      <c r="DV359" s="928"/>
      <c r="DW359" s="928"/>
      <c r="DX359" s="928"/>
      <c r="DY359" s="928"/>
      <c r="DZ359" s="928"/>
      <c r="EA359" s="928"/>
      <c r="EB359" s="928"/>
      <c r="EC359" s="928"/>
      <c r="ED359" s="928"/>
      <c r="EE359" s="928"/>
      <c r="EF359" s="928"/>
      <c r="EG359" s="928"/>
      <c r="EH359" s="928"/>
      <c r="EI359" s="928"/>
      <c r="EJ359" s="928"/>
      <c r="EK359" s="928"/>
      <c r="EL359" s="928"/>
      <c r="EM359" s="928"/>
      <c r="EN359" s="928"/>
      <c r="EO359" s="928"/>
      <c r="EP359" s="928"/>
      <c r="EQ359" s="928"/>
      <c r="ER359" s="928"/>
      <c r="ES359" s="928"/>
      <c r="ET359" s="928"/>
      <c r="EU359" s="928"/>
      <c r="EV359" s="928"/>
      <c r="EW359" s="928"/>
      <c r="EX359" s="928"/>
      <c r="EY359" s="928"/>
      <c r="EZ359" s="928"/>
      <c r="FA359" s="928"/>
      <c r="FB359" s="928"/>
      <c r="FC359" s="928"/>
      <c r="FD359" s="928"/>
      <c r="FE359" s="928"/>
      <c r="FF359" s="928"/>
      <c r="FG359" s="928"/>
      <c r="FH359" s="928"/>
      <c r="FI359" s="928"/>
      <c r="FJ359" s="928"/>
      <c r="FK359" s="928"/>
      <c r="FL359" s="928"/>
      <c r="FM359" s="928"/>
      <c r="FN359" s="928"/>
      <c r="FO359" s="928"/>
      <c r="FP359" s="928"/>
      <c r="FQ359" s="928"/>
    </row>
    <row r="360" spans="1:173">
      <c r="A360" s="928"/>
      <c r="B360" s="928"/>
      <c r="C360" s="928"/>
      <c r="D360" s="928"/>
      <c r="E360" s="928"/>
      <c r="F360" s="928"/>
      <c r="G360" s="928"/>
      <c r="H360" s="928"/>
      <c r="I360" s="928"/>
      <c r="J360" s="928"/>
      <c r="K360" s="928"/>
      <c r="L360" s="928"/>
      <c r="M360" s="928"/>
      <c r="N360" s="928"/>
      <c r="O360" s="928"/>
      <c r="P360" s="928"/>
      <c r="Q360" s="928"/>
      <c r="R360" s="928"/>
      <c r="S360" s="928"/>
      <c r="T360" s="928"/>
      <c r="U360" s="928"/>
      <c r="V360" s="928"/>
      <c r="W360" s="928"/>
      <c r="X360" s="928"/>
      <c r="Y360" s="928"/>
      <c r="Z360" s="928"/>
      <c r="AA360" s="928"/>
      <c r="AB360" s="928"/>
      <c r="AC360" s="928"/>
      <c r="AD360" s="928"/>
      <c r="AE360" s="928"/>
      <c r="AF360" s="928"/>
      <c r="AG360" s="928"/>
      <c r="AH360" s="928"/>
      <c r="AI360" s="928"/>
      <c r="AJ360" s="928"/>
      <c r="AK360" s="928"/>
      <c r="AL360" s="928"/>
      <c r="AM360" s="928"/>
      <c r="AN360" s="928"/>
      <c r="AO360" s="928"/>
      <c r="AP360" s="928"/>
      <c r="AQ360" s="928"/>
      <c r="AR360" s="928"/>
      <c r="AS360" s="928"/>
      <c r="AT360" s="928"/>
      <c r="AU360" s="928"/>
      <c r="AV360" s="928"/>
      <c r="AW360" s="928"/>
      <c r="AX360" s="928"/>
      <c r="AY360" s="928"/>
      <c r="AZ360" s="928"/>
      <c r="BA360" s="928"/>
      <c r="BB360" s="928"/>
      <c r="BC360" s="928"/>
      <c r="BD360" s="928"/>
      <c r="BE360" s="928"/>
      <c r="BF360" s="928"/>
      <c r="BG360" s="928"/>
      <c r="BH360" s="928"/>
      <c r="BI360" s="928"/>
      <c r="BJ360" s="928"/>
      <c r="BK360" s="928"/>
      <c r="BL360" s="928"/>
      <c r="BM360" s="928"/>
      <c r="BN360" s="928"/>
      <c r="BO360" s="928"/>
      <c r="BP360" s="928"/>
      <c r="BQ360" s="928"/>
      <c r="BR360" s="928"/>
      <c r="BS360" s="928"/>
      <c r="BT360" s="928"/>
      <c r="BU360" s="928"/>
      <c r="BV360" s="928"/>
      <c r="BW360" s="928"/>
      <c r="BX360" s="928"/>
      <c r="BY360" s="928"/>
      <c r="BZ360" s="928"/>
      <c r="CA360" s="928"/>
      <c r="CB360" s="928"/>
      <c r="CC360" s="928"/>
      <c r="CD360" s="928"/>
      <c r="CE360" s="928"/>
      <c r="CF360" s="928"/>
      <c r="CG360" s="928"/>
      <c r="CH360" s="928"/>
      <c r="CI360" s="928"/>
      <c r="CJ360" s="928"/>
      <c r="CK360" s="928"/>
      <c r="CL360" s="928"/>
      <c r="CM360" s="928"/>
      <c r="CN360" s="928"/>
      <c r="CO360" s="928"/>
      <c r="CP360" s="928"/>
      <c r="CQ360" s="928"/>
      <c r="CR360" s="928"/>
      <c r="CS360" s="928"/>
      <c r="CT360" s="928"/>
      <c r="CU360" s="928"/>
      <c r="CV360" s="928"/>
      <c r="CW360" s="928"/>
      <c r="CX360" s="928"/>
      <c r="CY360" s="928"/>
      <c r="CZ360" s="928"/>
      <c r="DA360" s="928"/>
      <c r="DB360" s="928"/>
      <c r="DC360" s="928"/>
      <c r="DD360" s="928"/>
      <c r="DE360" s="928"/>
      <c r="DF360" s="928"/>
      <c r="DG360" s="928"/>
      <c r="DH360" s="928"/>
      <c r="DI360" s="928"/>
      <c r="DJ360" s="928"/>
      <c r="DK360" s="928"/>
      <c r="DL360" s="928"/>
      <c r="DM360" s="928"/>
      <c r="DN360" s="928"/>
      <c r="DO360" s="928"/>
      <c r="DP360" s="928"/>
      <c r="DQ360" s="928"/>
      <c r="DR360" s="928"/>
      <c r="DS360" s="928"/>
      <c r="DT360" s="928"/>
      <c r="DU360" s="928"/>
      <c r="DV360" s="928"/>
      <c r="DW360" s="928"/>
      <c r="DX360" s="928"/>
      <c r="DY360" s="928"/>
      <c r="DZ360" s="928"/>
      <c r="EA360" s="928"/>
      <c r="EB360" s="928"/>
      <c r="EC360" s="928"/>
      <c r="ED360" s="928"/>
      <c r="EE360" s="928"/>
      <c r="EF360" s="928"/>
      <c r="EG360" s="928"/>
      <c r="EH360" s="928"/>
      <c r="EI360" s="928"/>
      <c r="EJ360" s="928"/>
      <c r="EK360" s="928"/>
      <c r="EL360" s="928"/>
      <c r="EM360" s="928"/>
      <c r="EN360" s="928"/>
      <c r="EO360" s="928"/>
      <c r="EP360" s="928"/>
      <c r="EQ360" s="928"/>
      <c r="ER360" s="928"/>
      <c r="ES360" s="928"/>
      <c r="ET360" s="928"/>
      <c r="EU360" s="928"/>
      <c r="EV360" s="928"/>
      <c r="EW360" s="928"/>
      <c r="EX360" s="928"/>
      <c r="EY360" s="928"/>
      <c r="EZ360" s="928"/>
      <c r="FA360" s="928"/>
      <c r="FB360" s="928"/>
      <c r="FC360" s="928"/>
      <c r="FD360" s="928"/>
      <c r="FE360" s="928"/>
      <c r="FF360" s="928"/>
      <c r="FG360" s="928"/>
      <c r="FH360" s="928"/>
      <c r="FI360" s="928"/>
      <c r="FJ360" s="928"/>
      <c r="FK360" s="928"/>
      <c r="FL360" s="928"/>
      <c r="FM360" s="928"/>
      <c r="FN360" s="928"/>
      <c r="FO360" s="928"/>
      <c r="FP360" s="928"/>
      <c r="FQ360" s="928"/>
    </row>
    <row r="361" spans="1:173">
      <c r="A361" s="928"/>
      <c r="B361" s="928"/>
      <c r="C361" s="928"/>
      <c r="D361" s="928"/>
      <c r="E361" s="928"/>
      <c r="F361" s="928"/>
      <c r="G361" s="928"/>
      <c r="H361" s="928"/>
      <c r="I361" s="928"/>
      <c r="J361" s="928"/>
      <c r="K361" s="928"/>
      <c r="L361" s="928"/>
      <c r="M361" s="928"/>
      <c r="N361" s="928"/>
      <c r="O361" s="928"/>
      <c r="P361" s="928"/>
      <c r="Q361" s="928"/>
      <c r="R361" s="928"/>
      <c r="S361" s="928"/>
      <c r="T361" s="928"/>
      <c r="U361" s="928"/>
      <c r="V361" s="928"/>
      <c r="W361" s="928"/>
      <c r="X361" s="928"/>
      <c r="Y361" s="928"/>
      <c r="Z361" s="928"/>
      <c r="AA361" s="928"/>
      <c r="AB361" s="928"/>
      <c r="AC361" s="928"/>
      <c r="AD361" s="928"/>
      <c r="AE361" s="928"/>
      <c r="AF361" s="928"/>
      <c r="AG361" s="928"/>
      <c r="AH361" s="928"/>
      <c r="AI361" s="928"/>
      <c r="AJ361" s="928"/>
      <c r="AK361" s="928"/>
      <c r="AL361" s="928"/>
      <c r="AM361" s="928"/>
      <c r="AN361" s="928"/>
      <c r="AO361" s="928"/>
      <c r="AP361" s="928"/>
      <c r="AQ361" s="928"/>
      <c r="AR361" s="928"/>
      <c r="AS361" s="928"/>
      <c r="AT361" s="928"/>
      <c r="AU361" s="928"/>
      <c r="AV361" s="928"/>
      <c r="AW361" s="928"/>
      <c r="AX361" s="928"/>
      <c r="AY361" s="928"/>
      <c r="AZ361" s="928"/>
      <c r="BA361" s="928"/>
      <c r="BB361" s="928"/>
      <c r="BC361" s="928"/>
      <c r="BD361" s="928"/>
      <c r="BE361" s="928"/>
      <c r="BF361" s="928"/>
      <c r="BG361" s="928"/>
      <c r="BH361" s="928"/>
      <c r="BI361" s="928"/>
      <c r="BJ361" s="928"/>
      <c r="BK361" s="928"/>
      <c r="BL361" s="928"/>
      <c r="BM361" s="928"/>
      <c r="BN361" s="928"/>
      <c r="BO361" s="928"/>
      <c r="BP361" s="928"/>
      <c r="BQ361" s="928"/>
      <c r="BR361" s="928"/>
      <c r="BS361" s="928"/>
      <c r="BT361" s="928"/>
      <c r="BU361" s="928"/>
      <c r="BV361" s="928"/>
      <c r="BW361" s="928"/>
      <c r="BX361" s="928"/>
      <c r="BY361" s="928"/>
      <c r="BZ361" s="928"/>
      <c r="CA361" s="928"/>
      <c r="CB361" s="928"/>
      <c r="CC361" s="928"/>
      <c r="CD361" s="928"/>
      <c r="CE361" s="928"/>
      <c r="CF361" s="928"/>
      <c r="CG361" s="928"/>
      <c r="CH361" s="928"/>
      <c r="CI361" s="928"/>
      <c r="CJ361" s="928"/>
      <c r="CK361" s="928"/>
      <c r="CL361" s="928"/>
      <c r="CM361" s="928"/>
      <c r="CN361" s="928"/>
      <c r="CO361" s="928"/>
      <c r="CP361" s="928"/>
      <c r="CQ361" s="928"/>
      <c r="CR361" s="928"/>
      <c r="CS361" s="928"/>
      <c r="CT361" s="928"/>
      <c r="CU361" s="928"/>
      <c r="CV361" s="928"/>
      <c r="CW361" s="928"/>
      <c r="CX361" s="928"/>
      <c r="CY361" s="928"/>
      <c r="CZ361" s="928"/>
      <c r="DA361" s="928"/>
      <c r="DB361" s="928"/>
      <c r="DC361" s="928"/>
      <c r="DD361" s="928"/>
      <c r="DE361" s="928"/>
      <c r="DF361" s="928"/>
      <c r="DG361" s="928"/>
      <c r="DH361" s="928"/>
      <c r="DI361" s="928"/>
      <c r="DJ361" s="928"/>
      <c r="DK361" s="928"/>
      <c r="DL361" s="928"/>
      <c r="DM361" s="928"/>
      <c r="DN361" s="928"/>
      <c r="DO361" s="928"/>
      <c r="DP361" s="928"/>
      <c r="DQ361" s="928"/>
      <c r="DR361" s="928"/>
      <c r="DS361" s="928"/>
      <c r="DT361" s="928"/>
      <c r="DU361" s="928"/>
      <c r="DV361" s="928"/>
      <c r="DW361" s="928"/>
      <c r="DX361" s="928"/>
      <c r="DY361" s="928"/>
      <c r="DZ361" s="928"/>
      <c r="EA361" s="928"/>
      <c r="EB361" s="928"/>
      <c r="EC361" s="928"/>
      <c r="ED361" s="928"/>
      <c r="EE361" s="928"/>
      <c r="EF361" s="928"/>
      <c r="EG361" s="928"/>
      <c r="EH361" s="928"/>
      <c r="EI361" s="928"/>
      <c r="EJ361" s="928"/>
      <c r="EK361" s="928"/>
      <c r="EL361" s="928"/>
      <c r="EM361" s="928"/>
      <c r="EN361" s="928"/>
      <c r="EO361" s="928"/>
      <c r="EP361" s="928"/>
      <c r="EQ361" s="928"/>
      <c r="ER361" s="928"/>
      <c r="ES361" s="928"/>
      <c r="ET361" s="928"/>
      <c r="EU361" s="928"/>
      <c r="EV361" s="928"/>
      <c r="EW361" s="928"/>
      <c r="EX361" s="928"/>
      <c r="EY361" s="928"/>
      <c r="EZ361" s="928"/>
      <c r="FA361" s="928"/>
      <c r="FB361" s="928"/>
      <c r="FC361" s="928"/>
      <c r="FD361" s="928"/>
      <c r="FE361" s="928"/>
      <c r="FF361" s="928"/>
      <c r="FG361" s="928"/>
      <c r="FH361" s="928"/>
      <c r="FI361" s="928"/>
      <c r="FJ361" s="928"/>
      <c r="FK361" s="928"/>
      <c r="FL361" s="928"/>
      <c r="FM361" s="928"/>
      <c r="FN361" s="928"/>
      <c r="FO361" s="928"/>
      <c r="FP361" s="928"/>
      <c r="FQ361" s="928"/>
    </row>
    <row r="362" spans="1:173">
      <c r="A362" s="928"/>
      <c r="B362" s="928"/>
      <c r="C362" s="928"/>
      <c r="D362" s="928"/>
      <c r="E362" s="928"/>
      <c r="F362" s="928"/>
      <c r="G362" s="928"/>
      <c r="H362" s="928"/>
      <c r="I362" s="928"/>
      <c r="J362" s="928"/>
      <c r="K362" s="928"/>
      <c r="L362" s="928"/>
      <c r="M362" s="928"/>
      <c r="N362" s="928"/>
      <c r="O362" s="928"/>
      <c r="P362" s="928"/>
      <c r="Q362" s="928"/>
      <c r="R362" s="928"/>
      <c r="S362" s="928"/>
      <c r="T362" s="928"/>
      <c r="U362" s="928"/>
      <c r="V362" s="928"/>
      <c r="W362" s="928"/>
      <c r="X362" s="928"/>
      <c r="Y362" s="928"/>
      <c r="Z362" s="928"/>
      <c r="AA362" s="928"/>
      <c r="AB362" s="928"/>
      <c r="AC362" s="928"/>
      <c r="AD362" s="928"/>
      <c r="AE362" s="928"/>
      <c r="AF362" s="928"/>
      <c r="AG362" s="928"/>
      <c r="AH362" s="928"/>
      <c r="AI362" s="928"/>
      <c r="AJ362" s="928"/>
      <c r="AK362" s="928"/>
      <c r="AL362" s="928"/>
      <c r="AM362" s="928"/>
      <c r="AN362" s="928"/>
      <c r="AO362" s="928"/>
      <c r="AP362" s="928"/>
      <c r="AQ362" s="928"/>
      <c r="AR362" s="928"/>
      <c r="AS362" s="928"/>
      <c r="AT362" s="928"/>
      <c r="AU362" s="928"/>
      <c r="AV362" s="928"/>
      <c r="AW362" s="928"/>
      <c r="AX362" s="928"/>
      <c r="AY362" s="928"/>
      <c r="AZ362" s="928"/>
      <c r="BA362" s="928"/>
      <c r="BB362" s="928"/>
      <c r="BC362" s="928"/>
      <c r="BD362" s="928"/>
      <c r="BE362" s="928"/>
      <c r="BF362" s="928"/>
      <c r="BG362" s="928"/>
      <c r="BH362" s="928"/>
      <c r="BI362" s="928"/>
      <c r="BJ362" s="928"/>
      <c r="BK362" s="928"/>
      <c r="BL362" s="928"/>
      <c r="BM362" s="928"/>
      <c r="BN362" s="928"/>
      <c r="BO362" s="928"/>
      <c r="BP362" s="928"/>
      <c r="BQ362" s="928"/>
      <c r="BR362" s="928"/>
      <c r="BS362" s="928"/>
      <c r="BT362" s="928"/>
      <c r="BU362" s="928"/>
      <c r="BV362" s="928"/>
      <c r="BW362" s="928"/>
      <c r="BX362" s="928"/>
      <c r="BY362" s="928"/>
      <c r="BZ362" s="928"/>
      <c r="CA362" s="928"/>
      <c r="CB362" s="928"/>
      <c r="CC362" s="928"/>
      <c r="CD362" s="928"/>
      <c r="CE362" s="928"/>
      <c r="CF362" s="928"/>
      <c r="CG362" s="928"/>
      <c r="CH362" s="928"/>
      <c r="CI362" s="928"/>
      <c r="CJ362" s="928"/>
      <c r="CK362" s="928"/>
      <c r="CL362" s="928"/>
      <c r="CM362" s="928"/>
      <c r="CN362" s="928"/>
      <c r="CO362" s="928"/>
      <c r="CP362" s="928"/>
      <c r="CQ362" s="928"/>
      <c r="CR362" s="928"/>
      <c r="CS362" s="928"/>
      <c r="CT362" s="928"/>
      <c r="CU362" s="928"/>
      <c r="CV362" s="928"/>
      <c r="CW362" s="928"/>
      <c r="CX362" s="928"/>
      <c r="CY362" s="928"/>
      <c r="CZ362" s="928"/>
      <c r="DA362" s="928"/>
      <c r="DB362" s="928"/>
      <c r="DC362" s="928"/>
      <c r="DD362" s="928"/>
      <c r="DE362" s="928"/>
      <c r="DF362" s="928"/>
      <c r="DG362" s="928"/>
      <c r="DH362" s="928"/>
      <c r="DI362" s="928"/>
      <c r="DJ362" s="928"/>
      <c r="DK362" s="928"/>
      <c r="DL362" s="928"/>
      <c r="DM362" s="928"/>
      <c r="DN362" s="928"/>
      <c r="DO362" s="928"/>
      <c r="DP362" s="928"/>
      <c r="DQ362" s="928"/>
      <c r="DR362" s="928"/>
      <c r="DS362" s="928"/>
      <c r="DT362" s="928"/>
      <c r="DU362" s="928"/>
      <c r="DV362" s="928"/>
      <c r="DW362" s="928"/>
      <c r="DX362" s="928"/>
      <c r="DY362" s="928"/>
      <c r="DZ362" s="928"/>
      <c r="EA362" s="928"/>
      <c r="EB362" s="928"/>
      <c r="EC362" s="928"/>
      <c r="ED362" s="928"/>
      <c r="EE362" s="928"/>
      <c r="EF362" s="928"/>
      <c r="EG362" s="928"/>
      <c r="EH362" s="928"/>
      <c r="EI362" s="928"/>
      <c r="EJ362" s="928"/>
      <c r="EK362" s="928"/>
      <c r="EL362" s="928"/>
      <c r="EM362" s="928"/>
      <c r="EN362" s="928"/>
      <c r="EO362" s="928"/>
      <c r="EP362" s="928"/>
      <c r="EQ362" s="928"/>
      <c r="ER362" s="928"/>
      <c r="ES362" s="928"/>
      <c r="ET362" s="928"/>
      <c r="EU362" s="928"/>
      <c r="EV362" s="928"/>
      <c r="EW362" s="928"/>
      <c r="EX362" s="928"/>
      <c r="EY362" s="928"/>
      <c r="EZ362" s="928"/>
      <c r="FA362" s="928"/>
      <c r="FB362" s="928"/>
      <c r="FC362" s="928"/>
      <c r="FD362" s="928"/>
      <c r="FE362" s="928"/>
      <c r="FF362" s="928"/>
      <c r="FG362" s="928"/>
      <c r="FH362" s="928"/>
      <c r="FI362" s="928"/>
      <c r="FJ362" s="928"/>
      <c r="FK362" s="928"/>
      <c r="FL362" s="928"/>
      <c r="FM362" s="928"/>
      <c r="FN362" s="928"/>
      <c r="FO362" s="928"/>
      <c r="FP362" s="928"/>
      <c r="FQ362" s="928"/>
    </row>
    <row r="363" spans="1:173">
      <c r="A363" s="928"/>
      <c r="B363" s="928"/>
      <c r="C363" s="928"/>
      <c r="D363" s="928"/>
      <c r="E363" s="928"/>
      <c r="F363" s="928"/>
      <c r="G363" s="928"/>
      <c r="H363" s="928"/>
      <c r="I363" s="928"/>
      <c r="J363" s="928"/>
      <c r="K363" s="928"/>
      <c r="L363" s="928"/>
      <c r="M363" s="928"/>
      <c r="N363" s="928"/>
      <c r="O363" s="928"/>
      <c r="P363" s="928"/>
      <c r="Q363" s="928"/>
      <c r="R363" s="928"/>
      <c r="S363" s="928"/>
      <c r="T363" s="928"/>
      <c r="U363" s="928"/>
      <c r="V363" s="928"/>
      <c r="W363" s="928"/>
      <c r="X363" s="928"/>
      <c r="Y363" s="928"/>
      <c r="Z363" s="928"/>
      <c r="AA363" s="928"/>
      <c r="AB363" s="928"/>
      <c r="AC363" s="928"/>
      <c r="AD363" s="928"/>
      <c r="AE363" s="928"/>
      <c r="AF363" s="928"/>
      <c r="AG363" s="928"/>
      <c r="AH363" s="928"/>
      <c r="AI363" s="928"/>
      <c r="AJ363" s="928"/>
      <c r="AK363" s="928"/>
      <c r="AL363" s="928"/>
      <c r="AM363" s="928"/>
      <c r="AN363" s="928"/>
      <c r="AO363" s="928"/>
      <c r="AP363" s="928"/>
      <c r="AQ363" s="928"/>
      <c r="AR363" s="928"/>
      <c r="AS363" s="928"/>
      <c r="AT363" s="928"/>
      <c r="AU363" s="928"/>
      <c r="AV363" s="928"/>
      <c r="AW363" s="928"/>
      <c r="AX363" s="928"/>
      <c r="AY363" s="928"/>
      <c r="AZ363" s="928"/>
      <c r="BA363" s="928"/>
      <c r="BB363" s="928"/>
      <c r="BC363" s="928"/>
      <c r="BD363" s="928"/>
      <c r="BE363" s="928"/>
      <c r="BF363" s="928"/>
      <c r="BG363" s="928"/>
      <c r="BH363" s="928"/>
      <c r="BI363" s="928"/>
      <c r="BJ363" s="928"/>
      <c r="BK363" s="928"/>
      <c r="BL363" s="928"/>
      <c r="BM363" s="928"/>
      <c r="BN363" s="928"/>
      <c r="BO363" s="928"/>
      <c r="BP363" s="928"/>
      <c r="BQ363" s="928"/>
      <c r="BR363" s="928"/>
      <c r="BS363" s="928"/>
      <c r="BT363" s="928"/>
      <c r="BU363" s="928"/>
      <c r="BV363" s="928"/>
      <c r="BW363" s="928"/>
      <c r="BX363" s="928"/>
      <c r="BY363" s="928"/>
      <c r="BZ363" s="928"/>
      <c r="CA363" s="928"/>
      <c r="CB363" s="928"/>
      <c r="CC363" s="928"/>
      <c r="CD363" s="928"/>
      <c r="CE363" s="928"/>
      <c r="CF363" s="928"/>
      <c r="CG363" s="928"/>
      <c r="CH363" s="928"/>
      <c r="CI363" s="928"/>
      <c r="CJ363" s="928"/>
      <c r="CK363" s="928"/>
      <c r="CL363" s="928"/>
      <c r="CM363" s="928"/>
      <c r="CN363" s="928"/>
      <c r="CO363" s="928"/>
      <c r="CP363" s="928"/>
      <c r="CQ363" s="928"/>
      <c r="CR363" s="928"/>
      <c r="CS363" s="928"/>
      <c r="CT363" s="928"/>
      <c r="CU363" s="928"/>
      <c r="CV363" s="928"/>
      <c r="CW363" s="928"/>
      <c r="CX363" s="928"/>
      <c r="CY363" s="928"/>
      <c r="CZ363" s="928"/>
      <c r="DA363" s="928"/>
      <c r="DB363" s="928"/>
      <c r="DC363" s="928"/>
      <c r="DD363" s="928"/>
      <c r="DE363" s="928"/>
      <c r="DF363" s="928"/>
      <c r="DG363" s="928"/>
      <c r="DH363" s="928"/>
      <c r="DI363" s="928"/>
      <c r="DJ363" s="928"/>
      <c r="DK363" s="928"/>
      <c r="DL363" s="928"/>
      <c r="DM363" s="928"/>
      <c r="DN363" s="928"/>
      <c r="DO363" s="928"/>
      <c r="DP363" s="928"/>
      <c r="DQ363" s="928"/>
      <c r="DR363" s="928"/>
      <c r="DS363" s="928"/>
      <c r="DT363" s="928"/>
      <c r="DU363" s="928"/>
      <c r="DV363" s="928"/>
      <c r="DW363" s="928"/>
      <c r="DX363" s="928"/>
      <c r="DY363" s="928"/>
      <c r="DZ363" s="928"/>
      <c r="EA363" s="928"/>
      <c r="EB363" s="928"/>
      <c r="EC363" s="928"/>
      <c r="ED363" s="928"/>
      <c r="EE363" s="928"/>
      <c r="EF363" s="928"/>
      <c r="EG363" s="928"/>
      <c r="EH363" s="928"/>
      <c r="EI363" s="928"/>
      <c r="EJ363" s="928"/>
      <c r="EK363" s="928"/>
      <c r="EL363" s="928"/>
      <c r="EM363" s="928"/>
      <c r="EN363" s="928"/>
      <c r="EO363" s="928"/>
      <c r="EP363" s="928"/>
      <c r="EQ363" s="928"/>
      <c r="ER363" s="928"/>
      <c r="ES363" s="928"/>
      <c r="ET363" s="928"/>
      <c r="EU363" s="928"/>
      <c r="EV363" s="928"/>
      <c r="EW363" s="928"/>
      <c r="EX363" s="928"/>
      <c r="EY363" s="928"/>
      <c r="EZ363" s="928"/>
      <c r="FA363" s="928"/>
      <c r="FB363" s="928"/>
      <c r="FC363" s="928"/>
      <c r="FD363" s="928"/>
      <c r="FE363" s="928"/>
      <c r="FF363" s="928"/>
      <c r="FG363" s="928"/>
      <c r="FH363" s="928"/>
      <c r="FI363" s="928"/>
      <c r="FJ363" s="928"/>
      <c r="FK363" s="928"/>
      <c r="FL363" s="928"/>
      <c r="FM363" s="928"/>
      <c r="FN363" s="928"/>
      <c r="FO363" s="928"/>
      <c r="FP363" s="928"/>
      <c r="FQ363" s="928"/>
    </row>
    <row r="364" spans="1:173">
      <c r="A364" s="928"/>
      <c r="B364" s="928"/>
      <c r="C364" s="928"/>
      <c r="D364" s="928"/>
      <c r="E364" s="928"/>
      <c r="F364" s="928"/>
      <c r="G364" s="928"/>
      <c r="H364" s="928"/>
      <c r="I364" s="928"/>
      <c r="J364" s="928"/>
      <c r="K364" s="928"/>
      <c r="L364" s="928"/>
      <c r="M364" s="928"/>
      <c r="N364" s="928"/>
      <c r="O364" s="928"/>
      <c r="P364" s="928"/>
      <c r="Q364" s="928"/>
      <c r="R364" s="928"/>
      <c r="S364" s="928"/>
      <c r="T364" s="928"/>
      <c r="U364" s="928"/>
      <c r="V364" s="928"/>
      <c r="W364" s="928"/>
      <c r="X364" s="928"/>
      <c r="Y364" s="928"/>
      <c r="Z364" s="928"/>
      <c r="AA364" s="928"/>
      <c r="AB364" s="928"/>
      <c r="AC364" s="928"/>
      <c r="AD364" s="928"/>
      <c r="AE364" s="928"/>
      <c r="AF364" s="928"/>
      <c r="AG364" s="928"/>
      <c r="AH364" s="928"/>
      <c r="AI364" s="928"/>
      <c r="AJ364" s="928"/>
      <c r="AK364" s="928"/>
      <c r="AL364" s="928"/>
      <c r="AM364" s="928"/>
      <c r="AN364" s="928"/>
      <c r="AO364" s="928"/>
      <c r="AP364" s="928"/>
      <c r="AQ364" s="928"/>
      <c r="AR364" s="928"/>
      <c r="AS364" s="928"/>
      <c r="AT364" s="928"/>
      <c r="AU364" s="928"/>
      <c r="AV364" s="928"/>
      <c r="AW364" s="928"/>
      <c r="AX364" s="928"/>
      <c r="AY364" s="928"/>
      <c r="AZ364" s="928"/>
      <c r="BA364" s="928"/>
      <c r="BB364" s="928"/>
      <c r="BC364" s="928"/>
      <c r="BD364" s="928"/>
      <c r="BE364" s="928"/>
      <c r="BF364" s="928"/>
      <c r="BG364" s="928"/>
      <c r="BH364" s="928"/>
      <c r="BI364" s="928"/>
      <c r="BJ364" s="928"/>
      <c r="BK364" s="928"/>
      <c r="BL364" s="928"/>
      <c r="BM364" s="928"/>
      <c r="BN364" s="928"/>
      <c r="BO364" s="928"/>
      <c r="BP364" s="928"/>
      <c r="BQ364" s="928"/>
      <c r="BR364" s="928"/>
      <c r="BS364" s="928"/>
      <c r="BT364" s="928"/>
      <c r="BU364" s="928"/>
      <c r="BV364" s="928"/>
      <c r="BW364" s="928"/>
      <c r="BX364" s="928"/>
      <c r="BY364" s="928"/>
      <c r="BZ364" s="928"/>
      <c r="CA364" s="928"/>
      <c r="CB364" s="928"/>
      <c r="CC364" s="928"/>
      <c r="CD364" s="928"/>
      <c r="CE364" s="928"/>
      <c r="CF364" s="928"/>
      <c r="CG364" s="928"/>
      <c r="CH364" s="928"/>
      <c r="CI364" s="928"/>
      <c r="CJ364" s="928"/>
      <c r="CK364" s="928"/>
      <c r="CL364" s="928"/>
      <c r="CM364" s="928"/>
      <c r="CN364" s="928"/>
      <c r="CO364" s="928"/>
      <c r="CP364" s="928"/>
      <c r="CQ364" s="928"/>
      <c r="CR364" s="928"/>
      <c r="CS364" s="928"/>
      <c r="CT364" s="928"/>
      <c r="CU364" s="928"/>
      <c r="CV364" s="928"/>
      <c r="CW364" s="928"/>
      <c r="CX364" s="928"/>
      <c r="CY364" s="928"/>
      <c r="CZ364" s="928"/>
      <c r="DA364" s="928"/>
      <c r="DB364" s="928"/>
      <c r="DC364" s="928"/>
      <c r="DD364" s="928"/>
      <c r="DE364" s="928"/>
      <c r="DF364" s="928"/>
      <c r="DG364" s="928"/>
      <c r="DH364" s="928"/>
      <c r="DI364" s="928"/>
      <c r="DJ364" s="928"/>
      <c r="DK364" s="928"/>
      <c r="DL364" s="928"/>
      <c r="DM364" s="928"/>
      <c r="DN364" s="928"/>
      <c r="DO364" s="928"/>
      <c r="DP364" s="928"/>
      <c r="DQ364" s="928"/>
      <c r="DR364" s="928"/>
      <c r="DS364" s="928"/>
      <c r="DT364" s="928"/>
      <c r="DU364" s="928"/>
      <c r="DV364" s="928"/>
      <c r="DW364" s="928"/>
      <c r="DX364" s="928"/>
      <c r="DY364" s="928"/>
      <c r="DZ364" s="928"/>
      <c r="EA364" s="928"/>
      <c r="EB364" s="928"/>
      <c r="EC364" s="928"/>
      <c r="ED364" s="928"/>
      <c r="EE364" s="928"/>
      <c r="EF364" s="928"/>
      <c r="EG364" s="928"/>
      <c r="EH364" s="928"/>
      <c r="EI364" s="928"/>
      <c r="EJ364" s="928"/>
      <c r="EK364" s="928"/>
      <c r="EL364" s="928"/>
      <c r="EM364" s="928"/>
      <c r="EN364" s="928"/>
      <c r="EO364" s="928"/>
      <c r="EP364" s="928"/>
      <c r="EQ364" s="928"/>
      <c r="ER364" s="928"/>
      <c r="ES364" s="928"/>
      <c r="ET364" s="928"/>
      <c r="EU364" s="928"/>
      <c r="EV364" s="928"/>
      <c r="EW364" s="928"/>
      <c r="EX364" s="928"/>
      <c r="EY364" s="928"/>
      <c r="EZ364" s="928"/>
      <c r="FA364" s="928"/>
      <c r="FB364" s="928"/>
      <c r="FC364" s="928"/>
      <c r="FD364" s="928"/>
      <c r="FE364" s="928"/>
      <c r="FF364" s="928"/>
      <c r="FG364" s="928"/>
      <c r="FH364" s="928"/>
      <c r="FI364" s="928"/>
      <c r="FJ364" s="928"/>
      <c r="FK364" s="928"/>
      <c r="FL364" s="928"/>
      <c r="FM364" s="928"/>
      <c r="FN364" s="928"/>
      <c r="FO364" s="928"/>
      <c r="FP364" s="928"/>
      <c r="FQ364" s="928"/>
    </row>
    <row r="365" spans="1:173">
      <c r="A365" s="928"/>
      <c r="B365" s="928"/>
      <c r="C365" s="928"/>
      <c r="D365" s="928"/>
      <c r="E365" s="928"/>
      <c r="F365" s="928"/>
      <c r="G365" s="928"/>
      <c r="H365" s="928"/>
      <c r="I365" s="928"/>
      <c r="J365" s="928"/>
      <c r="K365" s="928"/>
      <c r="L365" s="928"/>
      <c r="M365" s="928"/>
      <c r="N365" s="928"/>
      <c r="O365" s="928"/>
      <c r="P365" s="928"/>
      <c r="Q365" s="928"/>
      <c r="R365" s="928"/>
      <c r="S365" s="928"/>
      <c r="T365" s="928"/>
      <c r="U365" s="928"/>
      <c r="V365" s="928"/>
      <c r="W365" s="928"/>
      <c r="X365" s="928"/>
      <c r="Y365" s="928"/>
      <c r="Z365" s="928"/>
      <c r="AA365" s="928"/>
      <c r="AB365" s="928"/>
      <c r="AC365" s="928"/>
      <c r="AD365" s="928"/>
      <c r="AE365" s="928"/>
      <c r="AF365" s="928"/>
      <c r="AG365" s="928"/>
      <c r="AH365" s="928"/>
      <c r="AI365" s="928"/>
      <c r="AJ365" s="928"/>
      <c r="AK365" s="928"/>
      <c r="AL365" s="928"/>
      <c r="AM365" s="928"/>
      <c r="AN365" s="928"/>
      <c r="AO365" s="928"/>
      <c r="AP365" s="928"/>
      <c r="AQ365" s="928"/>
      <c r="AR365" s="928"/>
      <c r="AS365" s="928"/>
      <c r="AT365" s="928"/>
      <c r="AU365" s="928"/>
      <c r="AV365" s="928"/>
      <c r="AW365" s="928"/>
      <c r="AX365" s="928"/>
      <c r="AY365" s="928"/>
      <c r="AZ365" s="928"/>
      <c r="BA365" s="928"/>
      <c r="BB365" s="928"/>
      <c r="BC365" s="928"/>
      <c r="BD365" s="928"/>
      <c r="BE365" s="928"/>
      <c r="BF365" s="928"/>
      <c r="BG365" s="928"/>
      <c r="BH365" s="928"/>
      <c r="BI365" s="928"/>
      <c r="BJ365" s="928"/>
      <c r="BK365" s="928"/>
      <c r="BL365" s="928"/>
      <c r="BM365" s="928"/>
      <c r="BN365" s="928"/>
      <c r="BO365" s="928"/>
      <c r="BP365" s="928"/>
      <c r="BQ365" s="928"/>
      <c r="BR365" s="928"/>
      <c r="BS365" s="928"/>
      <c r="BT365" s="928"/>
      <c r="BU365" s="928"/>
      <c r="BV365" s="928"/>
      <c r="BW365" s="928"/>
      <c r="BX365" s="928"/>
      <c r="BY365" s="928"/>
      <c r="BZ365" s="928"/>
      <c r="CA365" s="928"/>
      <c r="CB365" s="928"/>
      <c r="CC365" s="928"/>
      <c r="CD365" s="928"/>
      <c r="CE365" s="928"/>
      <c r="CF365" s="928"/>
      <c r="CG365" s="928"/>
      <c r="CH365" s="928"/>
      <c r="CI365" s="928"/>
      <c r="CJ365" s="928"/>
      <c r="CK365" s="928"/>
      <c r="CL365" s="928"/>
      <c r="CM365" s="928"/>
      <c r="CN365" s="928"/>
      <c r="CO365" s="928"/>
      <c r="CP365" s="928"/>
      <c r="CQ365" s="928"/>
      <c r="CR365" s="928"/>
      <c r="CS365" s="928"/>
      <c r="CT365" s="928"/>
      <c r="CU365" s="928"/>
      <c r="CV365" s="928"/>
      <c r="CW365" s="928"/>
      <c r="CX365" s="928"/>
      <c r="CY365" s="928"/>
      <c r="CZ365" s="928"/>
      <c r="DA365" s="928"/>
      <c r="DB365" s="928"/>
      <c r="DC365" s="928"/>
      <c r="DD365" s="928"/>
      <c r="DE365" s="928"/>
      <c r="DF365" s="928"/>
      <c r="DG365" s="928"/>
      <c r="DH365" s="928"/>
      <c r="DI365" s="928"/>
      <c r="DJ365" s="928"/>
      <c r="DK365" s="928"/>
      <c r="DL365" s="928"/>
      <c r="DM365" s="928"/>
      <c r="DN365" s="928"/>
      <c r="DO365" s="928"/>
      <c r="DP365" s="928"/>
      <c r="DQ365" s="928"/>
      <c r="DR365" s="928"/>
      <c r="DS365" s="928"/>
      <c r="DT365" s="928"/>
      <c r="DU365" s="928"/>
      <c r="DV365" s="928"/>
      <c r="DW365" s="928"/>
      <c r="DX365" s="928"/>
      <c r="DY365" s="928"/>
      <c r="DZ365" s="928"/>
      <c r="EA365" s="928"/>
      <c r="EB365" s="928"/>
      <c r="EC365" s="928"/>
      <c r="ED365" s="928"/>
      <c r="EE365" s="928"/>
      <c r="EF365" s="928"/>
      <c r="EG365" s="928"/>
      <c r="EH365" s="928"/>
      <c r="EI365" s="928"/>
      <c r="EJ365" s="928"/>
      <c r="EK365" s="928"/>
      <c r="EL365" s="928"/>
      <c r="EM365" s="928"/>
      <c r="EN365" s="928"/>
      <c r="EO365" s="928"/>
      <c r="EP365" s="928"/>
      <c r="EQ365" s="928"/>
      <c r="ER365" s="928"/>
      <c r="ES365" s="928"/>
      <c r="ET365" s="928"/>
      <c r="EU365" s="928"/>
      <c r="EV365" s="928"/>
      <c r="EW365" s="928"/>
      <c r="EX365" s="928"/>
      <c r="EY365" s="928"/>
      <c r="EZ365" s="928"/>
      <c r="FA365" s="928"/>
      <c r="FB365" s="928"/>
      <c r="FC365" s="928"/>
      <c r="FD365" s="928"/>
      <c r="FE365" s="928"/>
      <c r="FF365" s="928"/>
      <c r="FG365" s="928"/>
      <c r="FH365" s="928"/>
      <c r="FI365" s="928"/>
      <c r="FJ365" s="928"/>
      <c r="FK365" s="928"/>
      <c r="FL365" s="928"/>
      <c r="FM365" s="928"/>
      <c r="FN365" s="928"/>
      <c r="FO365" s="928"/>
      <c r="FP365" s="928"/>
      <c r="FQ365" s="928"/>
    </row>
    <row r="366" spans="1:173">
      <c r="A366" s="928"/>
      <c r="B366" s="928"/>
      <c r="C366" s="928"/>
      <c r="D366" s="928"/>
      <c r="E366" s="928"/>
      <c r="F366" s="928"/>
      <c r="G366" s="928"/>
      <c r="H366" s="928"/>
      <c r="I366" s="928"/>
      <c r="J366" s="928"/>
      <c r="K366" s="928"/>
      <c r="L366" s="928"/>
      <c r="M366" s="928"/>
      <c r="N366" s="928"/>
      <c r="O366" s="928"/>
      <c r="P366" s="928"/>
      <c r="Q366" s="928"/>
      <c r="R366" s="928"/>
      <c r="S366" s="928"/>
      <c r="T366" s="928"/>
      <c r="U366" s="928"/>
      <c r="V366" s="928"/>
      <c r="W366" s="928"/>
      <c r="X366" s="928"/>
      <c r="Y366" s="928"/>
      <c r="Z366" s="928"/>
      <c r="AA366" s="928"/>
      <c r="AB366" s="928"/>
      <c r="AC366" s="928"/>
      <c r="AD366" s="928"/>
      <c r="AE366" s="928"/>
      <c r="AF366" s="928"/>
      <c r="AG366" s="928"/>
      <c r="AH366" s="928"/>
      <c r="AI366" s="928"/>
      <c r="AJ366" s="928"/>
      <c r="AK366" s="928"/>
      <c r="AL366" s="928"/>
      <c r="AM366" s="928"/>
      <c r="AN366" s="928"/>
      <c r="AO366" s="928"/>
      <c r="AP366" s="928"/>
      <c r="AQ366" s="928"/>
      <c r="AR366" s="928"/>
      <c r="AS366" s="928"/>
      <c r="AT366" s="928"/>
      <c r="AU366" s="928"/>
      <c r="AV366" s="928"/>
      <c r="AW366" s="928"/>
      <c r="AX366" s="928"/>
      <c r="AY366" s="928"/>
      <c r="AZ366" s="928"/>
      <c r="BA366" s="928"/>
      <c r="BB366" s="928"/>
      <c r="BC366" s="928"/>
      <c r="BD366" s="928"/>
      <c r="BE366" s="928"/>
      <c r="BF366" s="928"/>
      <c r="BG366" s="928"/>
      <c r="BH366" s="928"/>
      <c r="BI366" s="928"/>
      <c r="BJ366" s="928"/>
      <c r="BK366" s="928"/>
      <c r="BL366" s="928"/>
      <c r="BM366" s="928"/>
      <c r="BN366" s="928"/>
      <c r="BO366" s="928"/>
      <c r="BP366" s="928"/>
      <c r="BQ366" s="928"/>
      <c r="BR366" s="928"/>
      <c r="BS366" s="928"/>
      <c r="BT366" s="928"/>
      <c r="BU366" s="928"/>
      <c r="BV366" s="928"/>
      <c r="BW366" s="928"/>
      <c r="BX366" s="928"/>
      <c r="BY366" s="928"/>
      <c r="BZ366" s="928"/>
      <c r="CA366" s="928"/>
      <c r="CB366" s="928"/>
      <c r="CC366" s="928"/>
      <c r="CD366" s="928"/>
      <c r="CE366" s="928"/>
      <c r="CF366" s="928"/>
      <c r="CG366" s="928"/>
      <c r="CH366" s="928"/>
      <c r="CI366" s="928"/>
      <c r="CJ366" s="928"/>
      <c r="CK366" s="928"/>
      <c r="CL366" s="928"/>
      <c r="CM366" s="928"/>
      <c r="CN366" s="928"/>
      <c r="CO366" s="928"/>
      <c r="CP366" s="928"/>
      <c r="CQ366" s="928"/>
      <c r="CR366" s="928"/>
      <c r="CS366" s="928"/>
      <c r="CT366" s="928"/>
      <c r="CU366" s="928"/>
      <c r="CV366" s="928"/>
      <c r="CW366" s="928"/>
      <c r="CX366" s="928"/>
      <c r="CY366" s="928"/>
      <c r="CZ366" s="928"/>
      <c r="DA366" s="928"/>
      <c r="DB366" s="928"/>
      <c r="DC366" s="928"/>
      <c r="DD366" s="928"/>
      <c r="DE366" s="928"/>
      <c r="DF366" s="928"/>
      <c r="DG366" s="928"/>
      <c r="DH366" s="928"/>
      <c r="DI366" s="928"/>
      <c r="DJ366" s="928"/>
      <c r="DK366" s="928"/>
      <c r="DL366" s="928"/>
      <c r="DM366" s="928"/>
      <c r="DN366" s="928"/>
      <c r="DO366" s="928"/>
      <c r="DP366" s="928"/>
      <c r="DQ366" s="928"/>
      <c r="DR366" s="928"/>
      <c r="DS366" s="928"/>
      <c r="DT366" s="928"/>
      <c r="DU366" s="928"/>
      <c r="DV366" s="928"/>
      <c r="DW366" s="928"/>
      <c r="DX366" s="928"/>
      <c r="DY366" s="928"/>
      <c r="DZ366" s="928"/>
      <c r="EA366" s="928"/>
      <c r="EB366" s="928"/>
      <c r="EC366" s="928"/>
      <c r="ED366" s="928"/>
      <c r="EE366" s="928"/>
      <c r="EF366" s="928"/>
      <c r="EG366" s="928"/>
      <c r="EH366" s="928"/>
      <c r="EI366" s="928"/>
      <c r="EJ366" s="928"/>
      <c r="EK366" s="928"/>
      <c r="EL366" s="928"/>
      <c r="EM366" s="928"/>
      <c r="EN366" s="928"/>
      <c r="EO366" s="928"/>
      <c r="EP366" s="928"/>
      <c r="EQ366" s="928"/>
      <c r="ER366" s="928"/>
      <c r="ES366" s="928"/>
      <c r="ET366" s="928"/>
      <c r="EU366" s="928"/>
      <c r="EV366" s="928"/>
      <c r="EW366" s="928"/>
      <c r="EX366" s="928"/>
      <c r="EY366" s="928"/>
      <c r="EZ366" s="928"/>
      <c r="FA366" s="928"/>
      <c r="FB366" s="928"/>
      <c r="FC366" s="928"/>
      <c r="FD366" s="928"/>
      <c r="FE366" s="928"/>
      <c r="FF366" s="928"/>
      <c r="FG366" s="928"/>
      <c r="FH366" s="928"/>
      <c r="FI366" s="928"/>
      <c r="FJ366" s="928"/>
      <c r="FK366" s="928"/>
      <c r="FL366" s="928"/>
      <c r="FM366" s="928"/>
      <c r="FN366" s="928"/>
      <c r="FO366" s="928"/>
      <c r="FP366" s="928"/>
      <c r="FQ366" s="928"/>
    </row>
    <row r="367" spans="1:173">
      <c r="A367" s="928"/>
      <c r="B367" s="928"/>
      <c r="C367" s="928"/>
      <c r="D367" s="928"/>
      <c r="E367" s="928"/>
      <c r="F367" s="928"/>
      <c r="G367" s="928"/>
      <c r="H367" s="928"/>
      <c r="I367" s="928"/>
      <c r="J367" s="928"/>
      <c r="K367" s="928"/>
      <c r="L367" s="928"/>
      <c r="M367" s="928"/>
      <c r="N367" s="928"/>
      <c r="O367" s="928"/>
      <c r="P367" s="928"/>
      <c r="Q367" s="928"/>
      <c r="R367" s="928"/>
      <c r="S367" s="928"/>
      <c r="T367" s="928"/>
      <c r="U367" s="928"/>
      <c r="V367" s="928"/>
      <c r="W367" s="928"/>
      <c r="X367" s="928"/>
      <c r="Y367" s="928"/>
      <c r="Z367" s="928"/>
      <c r="AA367" s="928"/>
      <c r="AB367" s="928"/>
      <c r="AC367" s="928"/>
      <c r="AD367" s="928"/>
      <c r="AE367" s="928"/>
      <c r="AF367" s="928"/>
      <c r="AG367" s="928"/>
      <c r="AH367" s="928"/>
      <c r="AI367" s="928"/>
      <c r="AJ367" s="928"/>
      <c r="AK367" s="928"/>
      <c r="AL367" s="928"/>
      <c r="AM367" s="928"/>
      <c r="AN367" s="928"/>
      <c r="AO367" s="928"/>
      <c r="AP367" s="928"/>
      <c r="AQ367" s="928"/>
      <c r="AR367" s="928"/>
      <c r="AS367" s="928"/>
      <c r="AT367" s="928"/>
      <c r="AU367" s="928"/>
      <c r="AV367" s="928"/>
      <c r="AW367" s="928"/>
      <c r="AX367" s="928"/>
      <c r="AY367" s="928"/>
      <c r="AZ367" s="928"/>
      <c r="BA367" s="928"/>
      <c r="BB367" s="928"/>
      <c r="BC367" s="928"/>
      <c r="BD367" s="928"/>
      <c r="BE367" s="928"/>
      <c r="BF367" s="928"/>
      <c r="BG367" s="928"/>
      <c r="BH367" s="928"/>
      <c r="BI367" s="928"/>
      <c r="BJ367" s="928"/>
      <c r="BK367" s="928"/>
      <c r="BL367" s="928"/>
      <c r="BM367" s="928"/>
      <c r="BN367" s="928"/>
      <c r="BO367" s="928"/>
      <c r="BP367" s="928"/>
      <c r="BQ367" s="928"/>
      <c r="BR367" s="928"/>
      <c r="BS367" s="928"/>
      <c r="BT367" s="928"/>
      <c r="BU367" s="928"/>
      <c r="BV367" s="928"/>
      <c r="BW367" s="928"/>
      <c r="BX367" s="928"/>
      <c r="BY367" s="928"/>
      <c r="BZ367" s="928"/>
      <c r="CA367" s="928"/>
      <c r="CB367" s="928"/>
      <c r="CC367" s="928"/>
      <c r="CD367" s="928"/>
      <c r="CE367" s="928"/>
      <c r="CF367" s="928"/>
      <c r="CG367" s="928"/>
      <c r="CH367" s="928"/>
      <c r="CI367" s="928"/>
      <c r="CJ367" s="928"/>
      <c r="CK367" s="928"/>
      <c r="CL367" s="928"/>
      <c r="CM367" s="928"/>
      <c r="CN367" s="928"/>
      <c r="CO367" s="928"/>
      <c r="CP367" s="928"/>
      <c r="CQ367" s="928"/>
      <c r="CR367" s="928"/>
      <c r="CS367" s="928"/>
      <c r="CT367" s="928"/>
      <c r="CU367" s="928"/>
      <c r="CV367" s="928"/>
      <c r="CW367" s="928"/>
      <c r="CX367" s="928"/>
      <c r="CY367" s="928"/>
      <c r="CZ367" s="928"/>
      <c r="DA367" s="928"/>
      <c r="DB367" s="928"/>
      <c r="DC367" s="928"/>
      <c r="DD367" s="928"/>
      <c r="DE367" s="928"/>
      <c r="DF367" s="928"/>
      <c r="DG367" s="928"/>
      <c r="DH367" s="928"/>
      <c r="DI367" s="928"/>
      <c r="DJ367" s="928"/>
      <c r="DK367" s="928"/>
      <c r="DL367" s="928"/>
      <c r="DM367" s="928"/>
      <c r="DN367" s="928"/>
      <c r="DO367" s="928"/>
      <c r="DP367" s="928"/>
      <c r="DQ367" s="928"/>
      <c r="DR367" s="928"/>
      <c r="DS367" s="928"/>
      <c r="DT367" s="928"/>
      <c r="DU367" s="928"/>
      <c r="DV367" s="928"/>
      <c r="DW367" s="928"/>
      <c r="DX367" s="928"/>
      <c r="DY367" s="928"/>
      <c r="DZ367" s="928"/>
      <c r="EA367" s="928"/>
      <c r="EB367" s="928"/>
      <c r="EC367" s="928"/>
      <c r="ED367" s="928"/>
      <c r="EE367" s="928"/>
      <c r="EF367" s="928"/>
      <c r="EG367" s="928"/>
      <c r="EH367" s="928"/>
      <c r="EI367" s="928"/>
      <c r="EJ367" s="928"/>
      <c r="EK367" s="928"/>
      <c r="EL367" s="928"/>
      <c r="EM367" s="928"/>
      <c r="EN367" s="928"/>
      <c r="EO367" s="928"/>
      <c r="EP367" s="928"/>
      <c r="EQ367" s="928"/>
      <c r="ER367" s="928"/>
      <c r="ES367" s="928"/>
      <c r="ET367" s="928"/>
      <c r="EU367" s="928"/>
      <c r="EV367" s="928"/>
      <c r="EW367" s="928"/>
      <c r="EX367" s="928"/>
      <c r="EY367" s="928"/>
      <c r="EZ367" s="928"/>
      <c r="FA367" s="928"/>
      <c r="FB367" s="928"/>
      <c r="FC367" s="928"/>
      <c r="FD367" s="928"/>
      <c r="FE367" s="928"/>
      <c r="FF367" s="928"/>
      <c r="FG367" s="928"/>
      <c r="FH367" s="928"/>
      <c r="FI367" s="928"/>
      <c r="FJ367" s="928"/>
      <c r="FK367" s="928"/>
      <c r="FL367" s="928"/>
      <c r="FM367" s="928"/>
      <c r="FN367" s="928"/>
      <c r="FO367" s="928"/>
      <c r="FP367" s="928"/>
      <c r="FQ367" s="928"/>
    </row>
    <row r="368" spans="1:173">
      <c r="A368" s="928"/>
      <c r="B368" s="928"/>
      <c r="C368" s="928"/>
      <c r="D368" s="928"/>
      <c r="E368" s="928"/>
      <c r="F368" s="928"/>
      <c r="G368" s="928"/>
      <c r="H368" s="928"/>
      <c r="I368" s="928"/>
      <c r="J368" s="928"/>
      <c r="K368" s="928"/>
      <c r="L368" s="928"/>
      <c r="M368" s="928"/>
      <c r="N368" s="928"/>
      <c r="O368" s="928"/>
      <c r="P368" s="928"/>
      <c r="Q368" s="928"/>
      <c r="R368" s="928"/>
      <c r="S368" s="928"/>
      <c r="T368" s="928"/>
      <c r="U368" s="928"/>
      <c r="V368" s="928"/>
      <c r="W368" s="928"/>
      <c r="X368" s="928"/>
      <c r="Y368" s="928"/>
      <c r="Z368" s="928"/>
      <c r="AA368" s="928"/>
      <c r="AB368" s="928"/>
      <c r="AC368" s="928"/>
      <c r="AD368" s="928"/>
      <c r="AE368" s="928"/>
      <c r="AF368" s="928"/>
      <c r="AG368" s="928"/>
      <c r="AH368" s="928"/>
      <c r="AI368" s="928"/>
      <c r="AJ368" s="928"/>
      <c r="AK368" s="928"/>
      <c r="AL368" s="928"/>
      <c r="AM368" s="928"/>
      <c r="AN368" s="928"/>
      <c r="AO368" s="928"/>
      <c r="AP368" s="928"/>
      <c r="AQ368" s="928"/>
      <c r="AR368" s="928"/>
      <c r="AS368" s="928"/>
      <c r="AT368" s="928"/>
      <c r="AU368" s="928"/>
      <c r="AV368" s="928"/>
      <c r="AW368" s="928"/>
      <c r="AX368" s="928"/>
      <c r="AY368" s="928"/>
      <c r="AZ368" s="928"/>
      <c r="BA368" s="928"/>
      <c r="BB368" s="928"/>
      <c r="BC368" s="928"/>
      <c r="BD368" s="928"/>
      <c r="BE368" s="928"/>
      <c r="BF368" s="928"/>
      <c r="BG368" s="928"/>
      <c r="BH368" s="928"/>
      <c r="BI368" s="928"/>
      <c r="BJ368" s="928"/>
      <c r="BK368" s="928"/>
      <c r="BL368" s="928"/>
      <c r="BM368" s="928"/>
      <c r="BN368" s="928"/>
      <c r="BO368" s="928"/>
      <c r="BP368" s="928"/>
      <c r="BQ368" s="928"/>
      <c r="BR368" s="928"/>
      <c r="BS368" s="928"/>
      <c r="BT368" s="928"/>
      <c r="BU368" s="928"/>
      <c r="BV368" s="928"/>
      <c r="BW368" s="928"/>
      <c r="BX368" s="928"/>
      <c r="BY368" s="928"/>
      <c r="BZ368" s="928"/>
      <c r="CA368" s="928"/>
      <c r="CB368" s="928"/>
      <c r="CC368" s="928"/>
      <c r="CD368" s="928"/>
      <c r="CE368" s="928"/>
      <c r="CF368" s="928"/>
      <c r="CG368" s="928"/>
      <c r="CH368" s="928"/>
      <c r="CI368" s="928"/>
      <c r="CJ368" s="928"/>
      <c r="CK368" s="928"/>
      <c r="CL368" s="928"/>
      <c r="CM368" s="928"/>
      <c r="CN368" s="928"/>
      <c r="CO368" s="928"/>
      <c r="CP368" s="928"/>
      <c r="CQ368" s="928"/>
      <c r="CR368" s="928"/>
      <c r="CS368" s="928"/>
      <c r="CT368" s="928"/>
      <c r="CU368" s="928"/>
      <c r="CV368" s="928"/>
      <c r="CW368" s="928"/>
      <c r="CX368" s="928"/>
      <c r="CY368" s="928"/>
      <c r="CZ368" s="928"/>
      <c r="DA368" s="928"/>
      <c r="DB368" s="928"/>
      <c r="DC368" s="928"/>
      <c r="DD368" s="928"/>
      <c r="DE368" s="928"/>
      <c r="DF368" s="928"/>
      <c r="DG368" s="928"/>
      <c r="DH368" s="928"/>
      <c r="DI368" s="928"/>
      <c r="DJ368" s="928"/>
      <c r="DK368" s="928"/>
      <c r="DL368" s="928"/>
      <c r="DM368" s="928"/>
      <c r="DN368" s="928"/>
      <c r="DO368" s="928"/>
      <c r="DP368" s="928"/>
      <c r="DQ368" s="928"/>
      <c r="DR368" s="928"/>
      <c r="DS368" s="928"/>
      <c r="DT368" s="928"/>
      <c r="DU368" s="928"/>
      <c r="DV368" s="928"/>
      <c r="DW368" s="928"/>
      <c r="DX368" s="928"/>
      <c r="DY368" s="928"/>
      <c r="DZ368" s="928"/>
      <c r="EA368" s="928"/>
      <c r="EB368" s="928"/>
      <c r="EC368" s="928"/>
      <c r="ED368" s="928"/>
      <c r="EE368" s="928"/>
      <c r="EF368" s="928"/>
      <c r="EG368" s="928"/>
      <c r="EH368" s="928"/>
      <c r="EI368" s="928"/>
      <c r="EJ368" s="928"/>
      <c r="EK368" s="928"/>
      <c r="EL368" s="928"/>
      <c r="EM368" s="928"/>
      <c r="EN368" s="928"/>
      <c r="EO368" s="928"/>
      <c r="EP368" s="928"/>
      <c r="EQ368" s="928"/>
      <c r="ER368" s="928"/>
      <c r="ES368" s="928"/>
      <c r="ET368" s="928"/>
      <c r="EU368" s="928"/>
      <c r="EV368" s="928"/>
      <c r="EW368" s="928"/>
      <c r="EX368" s="928"/>
      <c r="EY368" s="928"/>
      <c r="EZ368" s="928"/>
      <c r="FA368" s="928"/>
      <c r="FB368" s="928"/>
      <c r="FC368" s="928"/>
      <c r="FD368" s="928"/>
      <c r="FE368" s="928"/>
      <c r="FF368" s="928"/>
      <c r="FG368" s="928"/>
      <c r="FH368" s="928"/>
      <c r="FI368" s="928"/>
      <c r="FJ368" s="928"/>
      <c r="FK368" s="928"/>
      <c r="FL368" s="928"/>
      <c r="FM368" s="928"/>
      <c r="FN368" s="928"/>
      <c r="FO368" s="928"/>
      <c r="FP368" s="928"/>
      <c r="FQ368" s="928"/>
    </row>
    <row r="369" spans="1:173">
      <c r="A369" s="928"/>
      <c r="B369" s="928"/>
      <c r="C369" s="928"/>
      <c r="D369" s="928"/>
      <c r="E369" s="928"/>
      <c r="F369" s="928"/>
      <c r="G369" s="928"/>
      <c r="H369" s="928"/>
      <c r="I369" s="928"/>
      <c r="J369" s="928"/>
      <c r="K369" s="928"/>
      <c r="L369" s="928"/>
      <c r="M369" s="928"/>
      <c r="N369" s="928"/>
      <c r="O369" s="928"/>
      <c r="P369" s="928"/>
      <c r="Q369" s="928"/>
      <c r="R369" s="928"/>
      <c r="S369" s="928"/>
      <c r="T369" s="928"/>
      <c r="U369" s="928"/>
      <c r="V369" s="928"/>
      <c r="W369" s="928"/>
      <c r="X369" s="928"/>
      <c r="Y369" s="928"/>
      <c r="Z369" s="928"/>
      <c r="AA369" s="928"/>
      <c r="AB369" s="928"/>
      <c r="AC369" s="928"/>
      <c r="AD369" s="928"/>
      <c r="AE369" s="928"/>
      <c r="AF369" s="928"/>
      <c r="AG369" s="928"/>
      <c r="AH369" s="928"/>
      <c r="AI369" s="928"/>
      <c r="AJ369" s="928"/>
      <c r="AK369" s="928"/>
      <c r="AL369" s="928"/>
      <c r="AM369" s="928"/>
      <c r="AN369" s="928"/>
      <c r="AO369" s="928"/>
      <c r="AP369" s="928"/>
      <c r="AQ369" s="928"/>
      <c r="AR369" s="928"/>
      <c r="AS369" s="928"/>
      <c r="AT369" s="928"/>
      <c r="AU369" s="928"/>
      <c r="AV369" s="928"/>
      <c r="AW369" s="928"/>
      <c r="AX369" s="928"/>
      <c r="AY369" s="928"/>
      <c r="AZ369" s="928"/>
      <c r="BA369" s="928"/>
      <c r="BB369" s="928"/>
      <c r="BC369" s="928"/>
      <c r="BD369" s="928"/>
      <c r="BE369" s="928"/>
      <c r="BF369" s="928"/>
      <c r="BG369" s="928"/>
      <c r="BH369" s="928"/>
      <c r="BI369" s="928"/>
      <c r="BJ369" s="928"/>
      <c r="BK369" s="928"/>
      <c r="BL369" s="928"/>
      <c r="BM369" s="928"/>
      <c r="BN369" s="928"/>
      <c r="BO369" s="928"/>
      <c r="BP369" s="928"/>
      <c r="BQ369" s="928"/>
      <c r="BR369" s="928"/>
      <c r="BS369" s="928"/>
      <c r="BT369" s="928"/>
      <c r="BU369" s="928"/>
      <c r="BV369" s="928"/>
      <c r="BW369" s="928"/>
      <c r="BX369" s="928"/>
      <c r="BY369" s="928"/>
      <c r="BZ369" s="928"/>
      <c r="CA369" s="928"/>
      <c r="CB369" s="928"/>
      <c r="CC369" s="928"/>
      <c r="CD369" s="928"/>
      <c r="CE369" s="928"/>
      <c r="CF369" s="928"/>
      <c r="CG369" s="928"/>
      <c r="CH369" s="928"/>
      <c r="CI369" s="928"/>
      <c r="CJ369" s="928"/>
      <c r="CK369" s="928"/>
      <c r="CL369" s="928"/>
      <c r="CM369" s="928"/>
      <c r="CN369" s="928"/>
      <c r="CO369" s="928"/>
      <c r="CP369" s="928"/>
      <c r="CQ369" s="928"/>
      <c r="CR369" s="928"/>
      <c r="CS369" s="928"/>
      <c r="CT369" s="928"/>
      <c r="CU369" s="928"/>
      <c r="CV369" s="928"/>
      <c r="CW369" s="928"/>
      <c r="CX369" s="928"/>
      <c r="CY369" s="928"/>
      <c r="CZ369" s="928"/>
      <c r="DA369" s="928"/>
      <c r="DB369" s="928"/>
      <c r="DC369" s="928"/>
      <c r="DD369" s="928"/>
      <c r="DE369" s="928"/>
      <c r="DF369" s="928"/>
      <c r="DG369" s="928"/>
      <c r="DH369" s="928"/>
      <c r="DI369" s="928"/>
      <c r="DJ369" s="928"/>
      <c r="DK369" s="928"/>
      <c r="DL369" s="928"/>
      <c r="DM369" s="928"/>
      <c r="DN369" s="928"/>
      <c r="DO369" s="928"/>
      <c r="DP369" s="928"/>
      <c r="DQ369" s="928"/>
      <c r="DR369" s="928"/>
      <c r="DS369" s="928"/>
      <c r="DT369" s="928"/>
      <c r="DU369" s="928"/>
      <c r="DV369" s="928"/>
      <c r="DW369" s="928"/>
      <c r="DX369" s="928"/>
      <c r="DY369" s="928"/>
      <c r="DZ369" s="928"/>
      <c r="EA369" s="928"/>
      <c r="EB369" s="928"/>
      <c r="EC369" s="928"/>
      <c r="ED369" s="928"/>
      <c r="EE369" s="928"/>
      <c r="EF369" s="928"/>
      <c r="EG369" s="928"/>
      <c r="EH369" s="928"/>
      <c r="EI369" s="928"/>
      <c r="EJ369" s="928"/>
      <c r="EK369" s="928"/>
      <c r="EL369" s="928"/>
      <c r="EM369" s="928"/>
      <c r="EN369" s="928"/>
      <c r="EO369" s="928"/>
      <c r="EP369" s="928"/>
      <c r="EQ369" s="928"/>
      <c r="ER369" s="928"/>
      <c r="ES369" s="928"/>
      <c r="ET369" s="928"/>
      <c r="EU369" s="928"/>
      <c r="EV369" s="928"/>
      <c r="EW369" s="928"/>
      <c r="EX369" s="928"/>
      <c r="EY369" s="928"/>
      <c r="EZ369" s="928"/>
      <c r="FA369" s="928"/>
      <c r="FB369" s="928"/>
      <c r="FC369" s="928"/>
      <c r="FD369" s="928"/>
      <c r="FE369" s="928"/>
      <c r="FF369" s="928"/>
      <c r="FG369" s="928"/>
      <c r="FH369" s="928"/>
      <c r="FI369" s="928"/>
      <c r="FJ369" s="928"/>
      <c r="FK369" s="928"/>
      <c r="FL369" s="928"/>
      <c r="FM369" s="928"/>
      <c r="FN369" s="928"/>
      <c r="FO369" s="928"/>
      <c r="FP369" s="928"/>
      <c r="FQ369" s="928"/>
    </row>
    <row r="370" spans="1:173">
      <c r="A370" s="928"/>
      <c r="B370" s="928"/>
      <c r="C370" s="928"/>
      <c r="D370" s="928"/>
      <c r="E370" s="928"/>
      <c r="F370" s="928"/>
      <c r="G370" s="928"/>
      <c r="H370" s="928"/>
      <c r="I370" s="928"/>
      <c r="J370" s="928"/>
      <c r="K370" s="928"/>
      <c r="L370" s="928"/>
      <c r="M370" s="928"/>
      <c r="N370" s="928"/>
      <c r="O370" s="928"/>
      <c r="P370" s="928"/>
      <c r="Q370" s="928"/>
      <c r="R370" s="928"/>
      <c r="S370" s="928"/>
      <c r="T370" s="928"/>
      <c r="U370" s="928"/>
      <c r="V370" s="928"/>
      <c r="W370" s="928"/>
      <c r="X370" s="928"/>
      <c r="Y370" s="928"/>
      <c r="Z370" s="928"/>
      <c r="AA370" s="928"/>
      <c r="AB370" s="928"/>
      <c r="AC370" s="928"/>
      <c r="AD370" s="928"/>
      <c r="AE370" s="928"/>
      <c r="AF370" s="928"/>
      <c r="AG370" s="928"/>
      <c r="AH370" s="928"/>
      <c r="AI370" s="928"/>
      <c r="AJ370" s="928"/>
      <c r="AK370" s="928"/>
      <c r="AL370" s="928"/>
      <c r="AM370" s="928"/>
      <c r="AN370" s="928"/>
      <c r="AO370" s="928"/>
      <c r="AP370" s="928"/>
      <c r="AQ370" s="928"/>
      <c r="AR370" s="928"/>
      <c r="AS370" s="928"/>
      <c r="AT370" s="928"/>
      <c r="AU370" s="928"/>
      <c r="AV370" s="928"/>
      <c r="AW370" s="928"/>
      <c r="AX370" s="928"/>
      <c r="AY370" s="928"/>
      <c r="AZ370" s="928"/>
      <c r="BA370" s="928"/>
      <c r="BB370" s="928"/>
      <c r="BC370" s="928"/>
      <c r="BD370" s="928"/>
      <c r="BE370" s="928"/>
      <c r="BF370" s="928"/>
      <c r="BG370" s="928"/>
      <c r="BH370" s="928"/>
      <c r="BI370" s="928"/>
      <c r="BJ370" s="928"/>
      <c r="BK370" s="928"/>
      <c r="BL370" s="928"/>
      <c r="BM370" s="928"/>
      <c r="BN370" s="928"/>
      <c r="BO370" s="928"/>
      <c r="BP370" s="928"/>
      <c r="BQ370" s="928"/>
      <c r="BR370" s="928"/>
      <c r="BS370" s="928"/>
      <c r="BT370" s="928"/>
      <c r="BU370" s="928"/>
      <c r="BV370" s="928"/>
      <c r="BW370" s="928"/>
      <c r="BX370" s="928"/>
      <c r="BY370" s="928"/>
      <c r="BZ370" s="928"/>
      <c r="CA370" s="928"/>
      <c r="CB370" s="928"/>
      <c r="CC370" s="928"/>
      <c r="CD370" s="928"/>
      <c r="CE370" s="928"/>
      <c r="CF370" s="928"/>
      <c r="CG370" s="928"/>
      <c r="CH370" s="928"/>
      <c r="CI370" s="928"/>
      <c r="CJ370" s="928"/>
      <c r="CK370" s="928"/>
      <c r="CL370" s="928"/>
      <c r="CM370" s="928"/>
      <c r="CN370" s="928"/>
      <c r="CO370" s="928"/>
      <c r="CP370" s="928"/>
      <c r="CQ370" s="928"/>
      <c r="CR370" s="928"/>
      <c r="CS370" s="928"/>
      <c r="CT370" s="928"/>
      <c r="CU370" s="928"/>
      <c r="CV370" s="928"/>
      <c r="CW370" s="928"/>
      <c r="CX370" s="928"/>
      <c r="CY370" s="928"/>
      <c r="CZ370" s="928"/>
      <c r="DA370" s="928"/>
      <c r="DB370" s="928"/>
      <c r="DC370" s="928"/>
      <c r="DD370" s="928"/>
      <c r="DE370" s="928"/>
      <c r="DF370" s="928"/>
      <c r="DG370" s="928"/>
      <c r="DH370" s="928"/>
      <c r="DI370" s="928"/>
      <c r="DJ370" s="928"/>
      <c r="DK370" s="928"/>
      <c r="DL370" s="928"/>
      <c r="DM370" s="928"/>
      <c r="DN370" s="928"/>
      <c r="DO370" s="928"/>
      <c r="DP370" s="928"/>
      <c r="DQ370" s="928"/>
      <c r="DR370" s="928"/>
      <c r="DS370" s="928"/>
      <c r="DT370" s="928"/>
      <c r="DU370" s="928"/>
      <c r="DV370" s="928"/>
      <c r="DW370" s="928"/>
      <c r="DX370" s="928"/>
      <c r="DY370" s="928"/>
      <c r="DZ370" s="928"/>
      <c r="EA370" s="928"/>
      <c r="EB370" s="928"/>
      <c r="EC370" s="928"/>
      <c r="ED370" s="928"/>
      <c r="EE370" s="928"/>
      <c r="EF370" s="928"/>
      <c r="EG370" s="928"/>
      <c r="EH370" s="928"/>
      <c r="EI370" s="928"/>
      <c r="EJ370" s="928"/>
      <c r="EK370" s="928"/>
      <c r="EL370" s="928"/>
      <c r="EM370" s="928"/>
      <c r="EN370" s="928"/>
      <c r="EO370" s="928"/>
      <c r="EP370" s="928"/>
      <c r="EQ370" s="928"/>
      <c r="ER370" s="928"/>
      <c r="ES370" s="928"/>
      <c r="ET370" s="928"/>
      <c r="EU370" s="928"/>
      <c r="EV370" s="928"/>
      <c r="EW370" s="928"/>
      <c r="EX370" s="928"/>
      <c r="EY370" s="928"/>
      <c r="EZ370" s="928"/>
      <c r="FA370" s="928"/>
      <c r="FB370" s="928"/>
      <c r="FC370" s="928"/>
      <c r="FD370" s="928"/>
      <c r="FE370" s="928"/>
      <c r="FF370" s="928"/>
      <c r="FG370" s="928"/>
      <c r="FH370" s="928"/>
      <c r="FI370" s="928"/>
      <c r="FJ370" s="928"/>
      <c r="FK370" s="928"/>
      <c r="FL370" s="928"/>
      <c r="FM370" s="928"/>
      <c r="FN370" s="928"/>
      <c r="FO370" s="928"/>
      <c r="FP370" s="928"/>
      <c r="FQ370" s="928"/>
    </row>
  </sheetData>
  <mergeCells count="28">
    <mergeCell ref="B3:F3"/>
    <mergeCell ref="G3:K3"/>
    <mergeCell ref="L3:P3"/>
    <mergeCell ref="CA3:CE3"/>
    <mergeCell ref="Q3:U3"/>
    <mergeCell ref="V3:Z3"/>
    <mergeCell ref="AA3:AE3"/>
    <mergeCell ref="AK3:AO3"/>
    <mergeCell ref="AF3:AJ3"/>
    <mergeCell ref="AU3:AY3"/>
    <mergeCell ref="AP3:AT3"/>
    <mergeCell ref="AZ3:BD3"/>
    <mergeCell ref="BE3:BI3"/>
    <mergeCell ref="BJ3:BN3"/>
    <mergeCell ref="EI3:EM3"/>
    <mergeCell ref="BO3:BS3"/>
    <mergeCell ref="DY3:EC3"/>
    <mergeCell ref="CF3:CJ3"/>
    <mergeCell ref="DT3:DX3"/>
    <mergeCell ref="CK3:CO3"/>
    <mergeCell ref="CZ3:DD3"/>
    <mergeCell ref="DE3:DI3"/>
    <mergeCell ref="CP3:CT3"/>
    <mergeCell ref="DJ3:DN3"/>
    <mergeCell ref="CU3:CY3"/>
    <mergeCell ref="DO3:DS3"/>
    <mergeCell ref="BT3:BX3"/>
    <mergeCell ref="ED3:EH3"/>
  </mergeCells>
  <phoneticPr fontId="157" type="noConversion"/>
  <pageMargins left="0.74803149606299213" right="0.74803149606299213" top="0.98425196850393704" bottom="0.98425196850393704" header="0" footer="0"/>
  <pageSetup scale="10" fitToHeight="2" orientation="landscape"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4781D-B6F1-413E-B05E-B3AF2B75A9E7}">
  <dimension ref="A1:FB176"/>
  <sheetViews>
    <sheetView showGridLines="0" topLeftCell="A21" zoomScale="72" zoomScaleNormal="72" workbookViewId="0">
      <pane xSplit="1" topLeftCell="BO1" activePane="topRight" state="frozen"/>
      <selection pane="topRight" activeCell="BP25" sqref="BP25"/>
    </sheetView>
  </sheetViews>
  <sheetFormatPr defaultColWidth="8.85546875" defaultRowHeight="15" outlineLevelCol="1"/>
  <cols>
    <col min="1" max="1" width="34.7109375" style="685" bestFit="1" customWidth="1"/>
    <col min="2" max="29" width="9.140625" style="685" hidden="1" customWidth="1" outlineLevel="1"/>
    <col min="30" max="30" width="8.85546875" style="685" collapsed="1"/>
    <col min="31" max="64" width="8.85546875" style="685"/>
    <col min="65" max="65" width="8.7109375" style="685" customWidth="1"/>
    <col min="66" max="66" width="6.140625" style="685" bestFit="1" customWidth="1"/>
    <col min="67" max="67" width="32.28515625" style="685" customWidth="1"/>
    <col min="68" max="68" width="35.7109375" style="685" customWidth="1"/>
    <col min="69" max="76" width="10.7109375" style="685" customWidth="1"/>
    <col min="77" max="77" width="47.7109375" style="685" customWidth="1"/>
    <col min="78" max="81" width="8.85546875" style="685" bestFit="1" customWidth="1"/>
    <col min="82" max="83" width="9.28515625" style="685" bestFit="1" customWidth="1"/>
    <col min="84" max="85" width="10.7109375" style="685" customWidth="1"/>
    <col min="86" max="86" width="24.5703125" style="685" customWidth="1"/>
    <col min="87" max="87" width="31" style="685" bestFit="1" customWidth="1"/>
    <col min="88" max="88" width="8.7109375" style="685" bestFit="1" customWidth="1"/>
    <col min="89" max="90" width="9.28515625" style="685" bestFit="1" customWidth="1"/>
    <col min="91" max="91" width="8" style="685" bestFit="1" customWidth="1"/>
    <col min="92" max="92" width="6.5703125" style="685" bestFit="1" customWidth="1"/>
    <col min="93" max="16384" width="8.85546875" style="685"/>
  </cols>
  <sheetData>
    <row r="1" spans="1:92">
      <c r="A1" s="683" t="s">
        <v>1103</v>
      </c>
      <c r="B1" s="684"/>
      <c r="C1" s="684"/>
      <c r="D1" s="684"/>
      <c r="E1" s="684"/>
      <c r="F1" s="684"/>
      <c r="G1" s="684"/>
      <c r="H1" s="684"/>
      <c r="I1" s="684"/>
      <c r="J1" s="684"/>
      <c r="K1" s="684"/>
      <c r="L1" s="684"/>
      <c r="M1" s="684"/>
      <c r="N1" s="684"/>
      <c r="O1" s="684"/>
      <c r="P1" s="684"/>
      <c r="Q1" s="684"/>
      <c r="R1" s="684"/>
      <c r="S1" s="684"/>
      <c r="T1" s="684"/>
      <c r="U1" s="684"/>
      <c r="V1" s="684"/>
      <c r="W1" s="684"/>
      <c r="X1" s="684"/>
      <c r="Y1" s="684"/>
      <c r="Z1" s="684"/>
      <c r="AA1" s="684"/>
      <c r="AB1" s="684"/>
      <c r="AC1" s="684"/>
      <c r="AD1" s="684"/>
      <c r="AE1" s="684"/>
      <c r="AF1" s="684"/>
      <c r="AG1" s="684"/>
      <c r="AH1" s="684"/>
      <c r="AI1" s="684"/>
      <c r="AJ1" s="684"/>
      <c r="AK1" s="684"/>
      <c r="AL1" s="684"/>
      <c r="AM1" s="684"/>
      <c r="AN1" s="684"/>
      <c r="AO1" s="684"/>
      <c r="AP1" s="684"/>
      <c r="AQ1" s="684"/>
      <c r="AR1" s="684"/>
      <c r="AS1" s="684"/>
      <c r="AT1" s="684"/>
      <c r="AU1" s="684"/>
      <c r="AV1" s="684"/>
      <c r="AW1" s="684"/>
      <c r="AX1" s="684"/>
      <c r="AY1" s="684"/>
      <c r="AZ1" s="684"/>
      <c r="BA1" s="684"/>
      <c r="BB1" s="684"/>
      <c r="BC1" s="684"/>
    </row>
    <row r="2" spans="1:92">
      <c r="A2" s="684"/>
      <c r="B2" s="684"/>
      <c r="C2" s="684"/>
      <c r="D2" s="684"/>
      <c r="E2" s="684"/>
      <c r="F2" s="684"/>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684"/>
      <c r="BB2" s="684"/>
      <c r="BC2" s="684"/>
    </row>
    <row r="3" spans="1:92">
      <c r="A3" s="684"/>
      <c r="B3" s="684"/>
      <c r="C3" s="684"/>
      <c r="D3" s="684"/>
      <c r="E3" s="684"/>
      <c r="F3" s="684"/>
      <c r="G3" s="684"/>
      <c r="H3" s="684"/>
      <c r="I3" s="684"/>
      <c r="J3" s="684"/>
      <c r="K3" s="684"/>
      <c r="L3" s="684"/>
      <c r="M3" s="684"/>
      <c r="N3" s="684"/>
      <c r="O3" s="684"/>
      <c r="P3" s="684"/>
      <c r="Q3" s="684"/>
      <c r="R3" s="684"/>
      <c r="S3" s="684"/>
      <c r="T3" s="684"/>
      <c r="U3" s="684"/>
      <c r="V3" s="686" t="str">
        <f t="shared" ref="V3:AC3" si="0">V6</f>
        <v>Q1 15</v>
      </c>
      <c r="W3" s="686" t="str">
        <f t="shared" si="0"/>
        <v>Q2 15</v>
      </c>
      <c r="X3" s="686" t="str">
        <f t="shared" si="0"/>
        <v>Q3 15</v>
      </c>
      <c r="Y3" s="686" t="str">
        <f t="shared" si="0"/>
        <v>Q4 15</v>
      </c>
      <c r="Z3" s="686" t="str">
        <f t="shared" si="0"/>
        <v>Q1 16</v>
      </c>
      <c r="AA3" s="686" t="str">
        <f t="shared" si="0"/>
        <v>Q2 16</v>
      </c>
      <c r="AB3" s="686" t="str">
        <f t="shared" si="0"/>
        <v>Q3 16</v>
      </c>
      <c r="AC3" s="686" t="str">
        <f t="shared" si="0"/>
        <v>Q4 16</v>
      </c>
      <c r="AD3" s="684"/>
      <c r="AE3" s="684"/>
      <c r="AF3" s="684"/>
      <c r="AG3" s="684"/>
      <c r="AH3" s="684"/>
      <c r="AI3" s="684"/>
      <c r="AJ3" s="684"/>
      <c r="AK3" s="684"/>
      <c r="AL3" s="684"/>
      <c r="AM3" s="684"/>
      <c r="AN3" s="684"/>
      <c r="AO3" s="684"/>
      <c r="AP3" s="684"/>
      <c r="AQ3" s="684"/>
      <c r="AR3" s="684"/>
      <c r="AS3" s="684"/>
      <c r="AT3" s="684"/>
      <c r="AU3" s="684"/>
      <c r="AV3" s="684"/>
      <c r="AW3" s="684"/>
      <c r="AX3" s="684"/>
      <c r="AY3" s="684"/>
      <c r="AZ3" s="684"/>
      <c r="BA3" s="684"/>
      <c r="BB3" s="684"/>
      <c r="BC3" s="684"/>
    </row>
    <row r="4" spans="1:92">
      <c r="A4" s="684"/>
      <c r="B4" s="684"/>
      <c r="C4" s="684"/>
      <c r="D4" s="684"/>
      <c r="E4" s="684"/>
      <c r="F4" s="684"/>
      <c r="G4" s="684"/>
      <c r="H4" s="684"/>
      <c r="I4" s="684"/>
      <c r="J4" s="684"/>
      <c r="K4" s="684"/>
      <c r="L4" s="684"/>
      <c r="M4" s="684"/>
      <c r="N4" s="684"/>
      <c r="O4" s="684"/>
      <c r="P4" s="684"/>
      <c r="Q4" s="684"/>
      <c r="R4" s="684"/>
      <c r="S4" s="684"/>
      <c r="T4" s="684"/>
      <c r="U4" s="684"/>
      <c r="V4" s="687">
        <f>Interims!AA169</f>
        <v>1.2455861497901339</v>
      </c>
      <c r="W4" s="687">
        <f>Interims!AB169</f>
        <v>1.366647053085678</v>
      </c>
      <c r="X4" s="687">
        <f>Interims!AC169</f>
        <v>1.4653803995738373</v>
      </c>
      <c r="Y4" s="687">
        <f>Interims!AD169</f>
        <v>1.7136829620111627</v>
      </c>
      <c r="Z4" s="687">
        <f>Interims!AF169</f>
        <v>1.6261405641724693</v>
      </c>
      <c r="AA4" s="687">
        <f>Interims!AG169</f>
        <v>1.8553413615876433</v>
      </c>
      <c r="AB4" s="687">
        <f>Interims!AH169</f>
        <v>2.1797253902305793</v>
      </c>
      <c r="AC4" s="687">
        <f>Interims!AI169</f>
        <v>2.3062268144580127</v>
      </c>
      <c r="AD4" s="684"/>
      <c r="AE4" s="684"/>
      <c r="AF4" s="688"/>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K4" s="689" t="s">
        <v>6562</v>
      </c>
    </row>
    <row r="5" spans="1:92">
      <c r="A5" s="684"/>
      <c r="B5" s="684"/>
      <c r="C5" s="684"/>
      <c r="D5" s="684"/>
      <c r="E5" s="684"/>
      <c r="F5" s="684"/>
      <c r="G5" s="684"/>
      <c r="H5" s="684"/>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c r="AT5" s="684"/>
      <c r="AU5" s="684"/>
      <c r="AV5" s="684"/>
      <c r="AW5" s="684"/>
      <c r="AX5" s="684"/>
      <c r="AY5" s="684"/>
      <c r="AZ5" s="684"/>
      <c r="BA5" s="684"/>
      <c r="BB5" s="684"/>
      <c r="BC5" s="684"/>
      <c r="BO5" s="684"/>
      <c r="BP5" s="690"/>
      <c r="BQ5" s="690"/>
      <c r="BR5" s="690"/>
      <c r="BS5" s="690"/>
      <c r="BT5" s="690"/>
      <c r="BU5" s="684"/>
    </row>
    <row r="6" spans="1:92" ht="15.75">
      <c r="A6" s="691" t="s">
        <v>3293</v>
      </c>
      <c r="B6" s="686" t="s">
        <v>573</v>
      </c>
      <c r="C6" s="686" t="s">
        <v>572</v>
      </c>
      <c r="D6" s="686" t="s">
        <v>571</v>
      </c>
      <c r="E6" s="686" t="s">
        <v>568</v>
      </c>
      <c r="F6" s="686" t="s">
        <v>557</v>
      </c>
      <c r="G6" s="686" t="s">
        <v>556</v>
      </c>
      <c r="H6" s="686" t="s">
        <v>558</v>
      </c>
      <c r="I6" s="686" t="s">
        <v>559</v>
      </c>
      <c r="J6" s="686" t="s">
        <v>555</v>
      </c>
      <c r="K6" s="686" t="s">
        <v>554</v>
      </c>
      <c r="L6" s="686" t="s">
        <v>1101</v>
      </c>
      <c r="M6" s="686" t="s">
        <v>1196</v>
      </c>
      <c r="N6" s="686" t="s">
        <v>1243</v>
      </c>
      <c r="O6" s="686" t="s">
        <v>1249</v>
      </c>
      <c r="P6" s="686" t="s">
        <v>1331</v>
      </c>
      <c r="Q6" s="686" t="s">
        <v>1332</v>
      </c>
      <c r="R6" s="686" t="s">
        <v>1619</v>
      </c>
      <c r="S6" s="686" t="s">
        <v>1719</v>
      </c>
      <c r="T6" s="686" t="s">
        <v>1823</v>
      </c>
      <c r="U6" s="686" t="s">
        <v>2007</v>
      </c>
      <c r="V6" s="686" t="s">
        <v>2118</v>
      </c>
      <c r="W6" s="686" t="s">
        <v>2143</v>
      </c>
      <c r="X6" s="686" t="s">
        <v>2232</v>
      </c>
      <c r="Y6" s="686" t="s">
        <v>2378</v>
      </c>
      <c r="Z6" s="686" t="s">
        <v>2515</v>
      </c>
      <c r="AA6" s="686" t="s">
        <v>2596</v>
      </c>
      <c r="AB6" s="686" t="s">
        <v>2759</v>
      </c>
      <c r="AC6" s="686" t="s">
        <v>3096</v>
      </c>
      <c r="AD6" s="686" t="s">
        <v>3256</v>
      </c>
      <c r="AE6" s="686" t="s">
        <v>3257</v>
      </c>
      <c r="AF6" s="686" t="s">
        <v>3258</v>
      </c>
      <c r="AG6" s="686" t="s">
        <v>3259</v>
      </c>
      <c r="AH6" s="686" t="s">
        <v>3805</v>
      </c>
      <c r="AI6" s="686" t="s">
        <v>3806</v>
      </c>
      <c r="AJ6" s="686" t="s">
        <v>3807</v>
      </c>
      <c r="AK6" s="686" t="s">
        <v>3808</v>
      </c>
      <c r="AL6" s="686" t="s">
        <v>4551</v>
      </c>
      <c r="AM6" s="686" t="s">
        <v>4594</v>
      </c>
      <c r="AN6" s="686" t="s">
        <v>4595</v>
      </c>
      <c r="AO6" s="686" t="s">
        <v>4596</v>
      </c>
      <c r="AP6" s="686" t="s">
        <v>5307</v>
      </c>
      <c r="AQ6" s="686" t="s">
        <v>5308</v>
      </c>
      <c r="AR6" s="686" t="s">
        <v>5309</v>
      </c>
      <c r="AS6" s="686" t="s">
        <v>5310</v>
      </c>
      <c r="AT6" s="686" t="s">
        <v>6007</v>
      </c>
      <c r="AU6" s="686" t="s">
        <v>6242</v>
      </c>
      <c r="AV6" s="686" t="s">
        <v>6243</v>
      </c>
      <c r="AW6" s="686" t="s">
        <v>6244</v>
      </c>
      <c r="AX6" s="686" t="s">
        <v>6473</v>
      </c>
      <c r="AY6" s="686" t="s">
        <v>6474</v>
      </c>
      <c r="AZ6" s="686" t="s">
        <v>6475</v>
      </c>
      <c r="BA6" s="686" t="s">
        <v>6476</v>
      </c>
      <c r="BB6" s="686" t="s">
        <v>7046</v>
      </c>
      <c r="BC6" s="686" t="s">
        <v>7463</v>
      </c>
      <c r="BD6" s="686" t="s">
        <v>7592</v>
      </c>
      <c r="BE6" s="686" t="s">
        <v>7615</v>
      </c>
      <c r="BF6" s="686" t="s">
        <v>7687</v>
      </c>
      <c r="BP6" s="781"/>
      <c r="BQ6" s="782"/>
      <c r="BR6" s="782" t="s">
        <v>946</v>
      </c>
      <c r="BS6" s="782"/>
      <c r="BT6" s="782" t="s">
        <v>6359</v>
      </c>
      <c r="BU6" s="782"/>
      <c r="BV6" s="782"/>
      <c r="BW6" s="759"/>
      <c r="BY6" s="781"/>
      <c r="BZ6" s="782"/>
      <c r="CA6" s="782" t="s">
        <v>946</v>
      </c>
      <c r="CB6" s="782" t="s">
        <v>946</v>
      </c>
      <c r="CC6" s="782" t="s">
        <v>6359</v>
      </c>
      <c r="CD6" s="782" t="s">
        <v>6359</v>
      </c>
      <c r="CE6" s="782" t="s">
        <v>7593</v>
      </c>
      <c r="CF6" s="759"/>
    </row>
    <row r="7" spans="1:92" ht="15.75">
      <c r="A7" s="693" t="s">
        <v>200</v>
      </c>
      <c r="B7" s="694">
        <f>SEGMENTOS!W11</f>
        <v>2645.9</v>
      </c>
      <c r="C7" s="694">
        <f>SEGMENTOS!X11</f>
        <v>2832.6</v>
      </c>
      <c r="D7" s="694">
        <f>SEGMENTOS!Y11</f>
        <v>2894.9</v>
      </c>
      <c r="E7" s="694">
        <f>SEGMENTOS!Z11</f>
        <v>2874.8000000000011</v>
      </c>
      <c r="F7" s="694">
        <f>Interims!G13</f>
        <v>3028.9</v>
      </c>
      <c r="G7" s="694">
        <f>Interims!H13</f>
        <v>3122.4</v>
      </c>
      <c r="H7" s="694">
        <f>Interims!I13</f>
        <v>3131.7</v>
      </c>
      <c r="I7" s="694">
        <f>Interims!J13</f>
        <v>3196.2</v>
      </c>
      <c r="J7" s="694">
        <f>Interims!L13</f>
        <v>3386.7</v>
      </c>
      <c r="K7" s="694">
        <f>Interims!M13</f>
        <v>3545.5</v>
      </c>
      <c r="L7" s="694">
        <f>Interims!N13</f>
        <v>3722.7</v>
      </c>
      <c r="M7" s="694">
        <f>Interims!O13</f>
        <v>3810.5</v>
      </c>
      <c r="N7" s="694">
        <f>Interims!Q13</f>
        <v>3826.8</v>
      </c>
      <c r="O7" s="694">
        <f>Interims!R13</f>
        <v>4000.9</v>
      </c>
      <c r="P7" s="694">
        <f>Interims!S13</f>
        <v>4089.8</v>
      </c>
      <c r="Q7" s="694">
        <f>Interims!T13</f>
        <v>4180.8</v>
      </c>
      <c r="R7" s="694">
        <f>Interims!V13</f>
        <v>4199.2</v>
      </c>
      <c r="S7" s="694">
        <f>Interims!W13</f>
        <v>4333.1000000000004</v>
      </c>
      <c r="T7" s="694">
        <f>Interims!X13</f>
        <v>4476.8</v>
      </c>
      <c r="U7" s="694">
        <f>Interims!Y13</f>
        <v>4489.3999999999996</v>
      </c>
      <c r="V7" s="694">
        <f>Interims!AA13</f>
        <v>4621.7</v>
      </c>
      <c r="W7" s="694">
        <f>Interims!AB13</f>
        <v>4724.5</v>
      </c>
      <c r="X7" s="694">
        <f>Interims!AC13</f>
        <v>4895</v>
      </c>
      <c r="Y7" s="694">
        <f>Interims!AD13</f>
        <v>5012.2999999999993</v>
      </c>
      <c r="Z7" s="694">
        <f>Interims!AF13</f>
        <v>5349.6</v>
      </c>
      <c r="AA7" s="694">
        <f>Interims!AG13</f>
        <v>5580.7</v>
      </c>
      <c r="AB7" s="694">
        <f>Interims!AH13</f>
        <v>5505.8</v>
      </c>
      <c r="AC7" s="694">
        <f>Interims!AI13</f>
        <v>5505.1</v>
      </c>
      <c r="AD7" s="694">
        <f>Interims!AK13</f>
        <v>5540.6</v>
      </c>
      <c r="AE7" s="694">
        <f>Interims!AL13</f>
        <v>5641.9</v>
      </c>
      <c r="AF7" s="694">
        <f>Interims!AM13</f>
        <v>5445.2</v>
      </c>
      <c r="AG7" s="694">
        <f>Interims!AN13</f>
        <v>5568.8</v>
      </c>
      <c r="AH7" s="694">
        <f>Interims!AP13</f>
        <v>5474.2</v>
      </c>
      <c r="AI7" s="694">
        <f>Interims!AQ13</f>
        <v>5658.8</v>
      </c>
      <c r="AJ7" s="694">
        <f>Interims!AR13</f>
        <v>5407.3</v>
      </c>
      <c r="AK7" s="694">
        <f>Interims!AS13</f>
        <v>5461.9</v>
      </c>
      <c r="AL7" s="694">
        <f>Interims!AU13</f>
        <v>5281.6</v>
      </c>
      <c r="AM7" s="694">
        <f>Interims!AV13</f>
        <v>5348.1</v>
      </c>
      <c r="AN7" s="694">
        <f>Interims!AW13</f>
        <v>5338.3</v>
      </c>
      <c r="AO7" s="694">
        <f>Interims!AX13</f>
        <v>5379.1</v>
      </c>
      <c r="AP7" s="694">
        <f>Interims!AZ13</f>
        <v>5405.3</v>
      </c>
      <c r="AQ7" s="694">
        <f>Interims!BA13</f>
        <v>5514.7</v>
      </c>
      <c r="AR7" s="694">
        <f>Interims!BB13</f>
        <v>5597.9</v>
      </c>
      <c r="AS7" s="694">
        <f>Interims!BC13</f>
        <v>5616.8000000000011</v>
      </c>
      <c r="AT7" s="694">
        <f>Interims!BE13</f>
        <v>5624.8</v>
      </c>
      <c r="AU7" s="694">
        <f>Interims!BF13</f>
        <v>5570.1</v>
      </c>
      <c r="AV7" s="694">
        <f>Interims!BG13</f>
        <v>5459.4</v>
      </c>
      <c r="AW7" s="694">
        <f>Interims!BH13</f>
        <v>5372.3</v>
      </c>
      <c r="AX7" s="694">
        <f>Interims!BJ13</f>
        <v>5275.7</v>
      </c>
      <c r="AY7" s="694">
        <f>Interims!BK13</f>
        <v>5140.1000000000004</v>
      </c>
      <c r="AZ7" s="694">
        <f>Interims!BL13</f>
        <v>4986.6000000000004</v>
      </c>
      <c r="BA7" s="694">
        <f>Interims!BM13</f>
        <v>4936.6000000000004</v>
      </c>
      <c r="BB7" s="694">
        <f>Interims!BO13</f>
        <v>4657.6000000000004</v>
      </c>
      <c r="BC7" s="694">
        <f>Interims!BP13</f>
        <v>4449.5</v>
      </c>
      <c r="BD7" s="694">
        <f>Interims!BQ13</f>
        <v>4296.6000000000004</v>
      </c>
      <c r="BE7" s="694">
        <f>Interims!BR13</f>
        <v>4181.6000000000004</v>
      </c>
      <c r="BF7" s="694">
        <f>Interims!BT13</f>
        <v>4083.6</v>
      </c>
      <c r="BP7" s="783" t="s">
        <v>6876</v>
      </c>
      <c r="BQ7" s="784" t="s">
        <v>7687</v>
      </c>
      <c r="BR7" s="784" t="s">
        <v>7689</v>
      </c>
      <c r="BS7" s="784" t="s">
        <v>6816</v>
      </c>
      <c r="BT7" s="784" t="s">
        <v>7689</v>
      </c>
      <c r="BU7" s="784" t="s">
        <v>6816</v>
      </c>
      <c r="BV7" s="784" t="s">
        <v>7046</v>
      </c>
      <c r="BW7" s="784" t="s">
        <v>564</v>
      </c>
      <c r="BX7" s="897"/>
      <c r="BY7" s="1061" t="s">
        <v>6876</v>
      </c>
      <c r="BZ7" s="1062" t="str">
        <f>BV7</f>
        <v>Q1 23</v>
      </c>
      <c r="CA7" s="1062" t="str">
        <f>BR7</f>
        <v>Q1 24e</v>
      </c>
      <c r="CB7" s="1062" t="s">
        <v>564</v>
      </c>
      <c r="CC7" s="1062" t="str">
        <f>BT7</f>
        <v>Q1 24e</v>
      </c>
      <c r="CD7" s="1062" t="s">
        <v>564</v>
      </c>
      <c r="CE7" s="1062" t="s">
        <v>6359</v>
      </c>
      <c r="CF7" s="759"/>
      <c r="CH7" s="684"/>
      <c r="CI7" s="684"/>
      <c r="CJ7" s="692"/>
      <c r="CK7" s="692" t="s">
        <v>946</v>
      </c>
      <c r="CL7" s="692" t="s">
        <v>6359</v>
      </c>
      <c r="CM7" s="692"/>
      <c r="CN7" s="692" t="s">
        <v>1720</v>
      </c>
    </row>
    <row r="8" spans="1:92" ht="15.75">
      <c r="A8" s="693" t="s">
        <v>57</v>
      </c>
      <c r="B8" s="694"/>
      <c r="C8" s="694"/>
      <c r="D8" s="694"/>
      <c r="E8" s="694"/>
      <c r="F8" s="694"/>
      <c r="G8" s="694"/>
      <c r="H8" s="694"/>
      <c r="I8" s="694"/>
      <c r="J8" s="694"/>
      <c r="K8" s="694"/>
      <c r="L8" s="694"/>
      <c r="M8" s="694"/>
      <c r="N8" s="694"/>
      <c r="O8" s="694"/>
      <c r="P8" s="694"/>
      <c r="Q8" s="694"/>
      <c r="R8" s="694"/>
      <c r="S8" s="694"/>
      <c r="T8" s="694"/>
      <c r="U8" s="694"/>
      <c r="V8" s="694"/>
      <c r="W8" s="694"/>
      <c r="X8" s="694"/>
      <c r="Y8" s="694"/>
      <c r="Z8" s="694"/>
      <c r="AA8" s="694"/>
      <c r="AB8" s="694"/>
      <c r="AC8" s="694"/>
      <c r="AD8" s="694">
        <f>Interims!AK25</f>
        <v>2466.3000000000002</v>
      </c>
      <c r="AE8" s="694">
        <f>Interims!AL25</f>
        <v>2655.9</v>
      </c>
      <c r="AF8" s="694">
        <f>Interims!AM25</f>
        <v>2660.4</v>
      </c>
      <c r="AG8" s="694">
        <f>Interims!AN25</f>
        <v>2324.1</v>
      </c>
      <c r="AH8" s="694">
        <f>Interims!AP25</f>
        <v>2441.9</v>
      </c>
      <c r="AI8" s="694">
        <f>Interims!AQ25</f>
        <v>2540.9</v>
      </c>
      <c r="AJ8" s="694">
        <f>Interims!AR25</f>
        <v>2569.9</v>
      </c>
      <c r="AK8" s="694">
        <f>Interims!AS25</f>
        <v>2214.6</v>
      </c>
      <c r="AL8" s="694">
        <f>Interims!AU25</f>
        <v>2306.9</v>
      </c>
      <c r="AM8" s="694">
        <f>Interims!AV25</f>
        <v>2305.6</v>
      </c>
      <c r="AN8" s="694">
        <f>Interims!AW25</f>
        <v>2399.9</v>
      </c>
      <c r="AO8" s="694">
        <f>Interims!AX25</f>
        <v>2108.9</v>
      </c>
      <c r="AP8" s="694">
        <f>Interims!AZ25</f>
        <v>2234</v>
      </c>
      <c r="AQ8" s="694">
        <f>Interims!BA25</f>
        <v>2321.4</v>
      </c>
      <c r="AR8" s="694">
        <f>Interims!BB25</f>
        <v>2436.6999999999998</v>
      </c>
      <c r="AS8" s="694">
        <f>Interims!BC25</f>
        <v>2143.6999999999998</v>
      </c>
      <c r="AT8" s="694">
        <f>Interims!BE25</f>
        <v>2154.5</v>
      </c>
      <c r="AU8" s="694">
        <f>Interims!BF25</f>
        <v>2242.6999999999998</v>
      </c>
      <c r="AV8" s="694">
        <f>Interims!BG25</f>
        <v>2261.6999999999998</v>
      </c>
      <c r="AW8" s="694">
        <f>Interims!BH25</f>
        <v>1845.4</v>
      </c>
      <c r="AX8" s="694">
        <f>Interims!BJ25</f>
        <v>1861.4</v>
      </c>
      <c r="AY8" s="694">
        <f>Interims!BK25</f>
        <v>1702.3</v>
      </c>
      <c r="AZ8" s="694">
        <f>Interims!BL25</f>
        <v>1701</v>
      </c>
      <c r="BA8" s="694">
        <f>Interims!BM25</f>
        <v>1151.5999999999999</v>
      </c>
      <c r="BB8" s="694">
        <f>Interims!BO25</f>
        <v>1608.9</v>
      </c>
      <c r="BC8" s="694">
        <f>Interims!BP25</f>
        <v>1448.4</v>
      </c>
      <c r="BD8" s="694">
        <f>Interims!BQ25</f>
        <v>1533.2</v>
      </c>
      <c r="BE8" s="694">
        <f>Interims!BR25</f>
        <v>1140.9000000000001</v>
      </c>
      <c r="BF8" s="694">
        <f>Interims!BT25</f>
        <v>1215.5999999999999</v>
      </c>
      <c r="BP8" s="891"/>
      <c r="BQ8" s="892"/>
      <c r="BR8" s="892"/>
      <c r="BS8" s="892"/>
      <c r="BT8" s="892"/>
      <c r="BU8" s="892"/>
      <c r="BV8" s="892"/>
      <c r="BW8" s="892"/>
      <c r="BX8" s="897"/>
      <c r="BY8" s="1051"/>
      <c r="BZ8" s="892"/>
      <c r="CA8" s="892"/>
      <c r="CB8" s="892"/>
      <c r="CC8" s="892"/>
      <c r="CD8" s="892"/>
      <c r="CE8" s="892"/>
      <c r="CF8" s="759"/>
      <c r="CH8" s="684"/>
      <c r="CI8" s="695" t="s">
        <v>6876</v>
      </c>
      <c r="CJ8" s="696" t="s">
        <v>6473</v>
      </c>
      <c r="CK8" s="696" t="s">
        <v>6887</v>
      </c>
      <c r="CL8" s="696" t="s">
        <v>6887</v>
      </c>
      <c r="CM8" s="733" t="s">
        <v>6242</v>
      </c>
      <c r="CN8" s="733" t="s">
        <v>1720</v>
      </c>
    </row>
    <row r="9" spans="1:92" ht="15.75">
      <c r="A9" s="693" t="s">
        <v>4776</v>
      </c>
      <c r="B9" s="69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7">
        <f t="shared" ref="AC9:BE9" si="1">AC7/Y7-1</f>
        <v>9.8318137382040316E-2</v>
      </c>
      <c r="AD9" s="697">
        <f t="shared" si="1"/>
        <v>3.570360400777628E-2</v>
      </c>
      <c r="AE9" s="697">
        <f t="shared" si="1"/>
        <v>1.0966366226458968E-2</v>
      </c>
      <c r="AF9" s="697">
        <f t="shared" si="1"/>
        <v>-1.1006574884667164E-2</v>
      </c>
      <c r="AG9" s="697">
        <f t="shared" si="1"/>
        <v>1.1571088626909587E-2</v>
      </c>
      <c r="AH9" s="697">
        <f t="shared" si="1"/>
        <v>-1.1984261632314253E-2</v>
      </c>
      <c r="AI9" s="697">
        <f t="shared" si="1"/>
        <v>2.9954447969655629E-3</v>
      </c>
      <c r="AJ9" s="697">
        <f t="shared" si="1"/>
        <v>-6.9602585763607339E-3</v>
      </c>
      <c r="AK9" s="697">
        <f t="shared" si="1"/>
        <v>-1.9196236172963732E-2</v>
      </c>
      <c r="AL9" s="697">
        <f t="shared" si="1"/>
        <v>-3.5183223119359841E-2</v>
      </c>
      <c r="AM9" s="697">
        <f t="shared" si="1"/>
        <v>-5.4905633703258627E-2</v>
      </c>
      <c r="AN9" s="697">
        <f t="shared" si="1"/>
        <v>-1.2760527435134006E-2</v>
      </c>
      <c r="AO9" s="697">
        <f t="shared" si="1"/>
        <v>-1.5159559860121852E-2</v>
      </c>
      <c r="AP9" s="697">
        <f t="shared" si="1"/>
        <v>2.3420933050590786E-2</v>
      </c>
      <c r="AQ9" s="697">
        <f t="shared" si="1"/>
        <v>3.1151249976627104E-2</v>
      </c>
      <c r="AR9" s="697">
        <f t="shared" si="1"/>
        <v>4.8629713579229294E-2</v>
      </c>
      <c r="AS9" s="697">
        <f t="shared" si="1"/>
        <v>4.4189548437471027E-2</v>
      </c>
      <c r="AT9" s="697">
        <f t="shared" si="1"/>
        <v>4.0608291861691237E-2</v>
      </c>
      <c r="AU9" s="697">
        <f t="shared" si="1"/>
        <v>1.0045877382269364E-2</v>
      </c>
      <c r="AV9" s="697">
        <f t="shared" si="1"/>
        <v>-2.4741420889976551E-2</v>
      </c>
      <c r="AW9" s="697">
        <f t="shared" si="1"/>
        <v>-4.3530123913972485E-2</v>
      </c>
      <c r="AX9" s="697">
        <f t="shared" si="1"/>
        <v>-6.2064428957474105E-2</v>
      </c>
      <c r="AY9" s="697">
        <f t="shared" si="1"/>
        <v>-7.719789590851156E-2</v>
      </c>
      <c r="AZ9" s="697">
        <f t="shared" si="1"/>
        <v>-8.6602923398175546E-2</v>
      </c>
      <c r="BA9" s="697">
        <f t="shared" si="1"/>
        <v>-8.110120432589385E-2</v>
      </c>
      <c r="BB9" s="697">
        <f t="shared" si="1"/>
        <v>-0.1171598081771138</v>
      </c>
      <c r="BC9" s="697">
        <f t="shared" si="1"/>
        <v>-0.13435536273613358</v>
      </c>
      <c r="BD9" s="697">
        <f t="shared" si="1"/>
        <v>-0.13837083383467697</v>
      </c>
      <c r="BE9" s="697">
        <f t="shared" si="1"/>
        <v>-0.15293926994287566</v>
      </c>
      <c r="BF9" s="697">
        <f>BF7/BC7-1</f>
        <v>-8.2233958871783419E-2</v>
      </c>
      <c r="BP9" s="785" t="s">
        <v>6878</v>
      </c>
      <c r="BQ9" s="893">
        <f>BQ10+BQ11+BQ12</f>
        <v>15992.300000000001</v>
      </c>
      <c r="BR9" s="893">
        <f>BR10+BR11+BR12</f>
        <v>16200</v>
      </c>
      <c r="BS9" s="786">
        <f>BQ9/BR9-1</f>
        <v>-1.2820987654320937E-2</v>
      </c>
      <c r="BT9" s="893">
        <f>BT10+BT11+BT12</f>
        <v>16157.5</v>
      </c>
      <c r="BU9" s="786">
        <f>BQ9/BT9-1</f>
        <v>-1.0224354015163195E-2</v>
      </c>
      <c r="BV9" s="893">
        <f>BV10+BV11+BV12</f>
        <v>18630.600000000002</v>
      </c>
      <c r="BW9" s="786">
        <f>BQ9/BV9-1</f>
        <v>-0.14161111290028239</v>
      </c>
      <c r="BX9" s="897"/>
      <c r="BY9" s="1052" t="s">
        <v>6878</v>
      </c>
      <c r="BZ9" s="893">
        <f>BV9</f>
        <v>18630.600000000002</v>
      </c>
      <c r="CA9" s="893">
        <f>BR9</f>
        <v>16200</v>
      </c>
      <c r="CB9" s="786">
        <f>CA9/BZ9-1</f>
        <v>-0.13046278702779313</v>
      </c>
      <c r="CC9" s="893">
        <f>BT9</f>
        <v>16157.5</v>
      </c>
      <c r="CD9" s="786">
        <f>CC9/BZ9-1</f>
        <v>-0.13274398033343004</v>
      </c>
      <c r="CE9" s="786">
        <f>CA9/CC9-1</f>
        <v>2.6303574191552936E-3</v>
      </c>
      <c r="CF9" s="759"/>
      <c r="CH9" s="684"/>
      <c r="CI9" s="744"/>
      <c r="CJ9" s="690"/>
      <c r="CK9" s="690"/>
      <c r="CL9" s="690"/>
      <c r="CM9" s="745"/>
      <c r="CN9" s="745"/>
    </row>
    <row r="10" spans="1:92" ht="15.75">
      <c r="A10" s="693" t="s">
        <v>6875</v>
      </c>
      <c r="B10" s="694"/>
      <c r="C10" s="694"/>
      <c r="D10" s="694"/>
      <c r="E10" s="694"/>
      <c r="F10" s="694"/>
      <c r="G10" s="694"/>
      <c r="H10" s="694"/>
      <c r="I10" s="694"/>
      <c r="J10" s="694"/>
      <c r="K10" s="694"/>
      <c r="L10" s="694"/>
      <c r="M10" s="694"/>
      <c r="N10" s="694"/>
      <c r="O10" s="694"/>
      <c r="P10" s="694"/>
      <c r="Q10" s="694"/>
      <c r="R10" s="694"/>
      <c r="S10" s="694"/>
      <c r="T10" s="694"/>
      <c r="U10" s="694"/>
      <c r="V10" s="694"/>
      <c r="W10" s="694"/>
      <c r="X10" s="694"/>
      <c r="Y10" s="694"/>
      <c r="Z10" s="694"/>
      <c r="AA10" s="694"/>
      <c r="AB10" s="694"/>
      <c r="AC10" s="697"/>
      <c r="AD10" s="697"/>
      <c r="AE10" s="697"/>
      <c r="AF10" s="697"/>
      <c r="AG10" s="697"/>
      <c r="AH10" s="697">
        <f>AH8/AD8-1</f>
        <v>-9.8933625268621261E-3</v>
      </c>
      <c r="AI10" s="697">
        <f t="shared" ref="AI10:BE10" si="2">AI8/AE8-1</f>
        <v>-4.3299823035505836E-2</v>
      </c>
      <c r="AJ10" s="697">
        <f t="shared" si="2"/>
        <v>-3.4017440986317871E-2</v>
      </c>
      <c r="AK10" s="697">
        <f t="shared" si="2"/>
        <v>-4.7115012262811451E-2</v>
      </c>
      <c r="AL10" s="697">
        <f t="shared" si="2"/>
        <v>-5.5284819198165414E-2</v>
      </c>
      <c r="AM10" s="697">
        <f t="shared" si="2"/>
        <v>-9.2604982486520604E-2</v>
      </c>
      <c r="AN10" s="697">
        <f t="shared" si="2"/>
        <v>-6.6150433869022085E-2</v>
      </c>
      <c r="AO10" s="697">
        <f t="shared" si="2"/>
        <v>-4.7728709473494058E-2</v>
      </c>
      <c r="AP10" s="697">
        <f t="shared" si="2"/>
        <v>-3.1600849625037952E-2</v>
      </c>
      <c r="AQ10" s="697">
        <f t="shared" si="2"/>
        <v>6.8528799444831368E-3</v>
      </c>
      <c r="AR10" s="697">
        <f t="shared" si="2"/>
        <v>1.5333972248843697E-2</v>
      </c>
      <c r="AS10" s="697">
        <f t="shared" si="2"/>
        <v>1.6501493669685452E-2</v>
      </c>
      <c r="AT10" s="697">
        <f t="shared" si="2"/>
        <v>-3.558639212175474E-2</v>
      </c>
      <c r="AU10" s="697">
        <f t="shared" si="2"/>
        <v>-3.3901955716378218E-2</v>
      </c>
      <c r="AV10" s="697">
        <f t="shared" si="2"/>
        <v>-7.1818442976156249E-2</v>
      </c>
      <c r="AW10" s="697">
        <f t="shared" si="2"/>
        <v>-0.13915193357279454</v>
      </c>
      <c r="AX10" s="697">
        <f t="shared" si="2"/>
        <v>-0.13604084474355993</v>
      </c>
      <c r="AY10" s="697">
        <f t="shared" si="2"/>
        <v>-0.24095955767601551</v>
      </c>
      <c r="AZ10" s="697">
        <f t="shared" si="2"/>
        <v>-0.24791086350974922</v>
      </c>
      <c r="BA10" s="697">
        <f t="shared" si="2"/>
        <v>-0.37596185108919489</v>
      </c>
      <c r="BB10" s="697">
        <f t="shared" si="2"/>
        <v>-0.13565058558074572</v>
      </c>
      <c r="BC10" s="697">
        <f t="shared" si="2"/>
        <v>-0.14915114844621979</v>
      </c>
      <c r="BD10" s="697">
        <f t="shared" si="2"/>
        <v>-9.8647854203409713E-2</v>
      </c>
      <c r="BE10" s="697">
        <f t="shared" si="2"/>
        <v>-9.291420632163816E-3</v>
      </c>
      <c r="BF10" s="697">
        <f>BF8/BC8-1</f>
        <v>-0.16072908036454026</v>
      </c>
      <c r="BP10" s="787" t="s">
        <v>6879</v>
      </c>
      <c r="BQ10" s="894">
        <f>Interims!BT14</f>
        <v>11908.7</v>
      </c>
      <c r="BR10" s="894">
        <f>Interims!FJ14</f>
        <v>12200</v>
      </c>
      <c r="BS10" s="788">
        <f t="shared" ref="BS10:BS16" si="3">BQ10/BR10-1</f>
        <v>-2.3877049180327847E-2</v>
      </c>
      <c r="BT10" s="894">
        <v>12094</v>
      </c>
      <c r="BU10" s="788">
        <f t="shared" ref="BU10:BU11" si="4">BQ10/BT10-1</f>
        <v>-1.5321647097734314E-2</v>
      </c>
      <c r="BV10" s="894">
        <f>Interims!BO14</f>
        <v>12122.7</v>
      </c>
      <c r="BW10" s="788">
        <f t="shared" ref="BW10:BW17" si="5">BQ10/BV10-1</f>
        <v>-1.76528331147352E-2</v>
      </c>
      <c r="BX10" s="897"/>
      <c r="BY10" s="1053" t="s">
        <v>6879</v>
      </c>
      <c r="BZ10" s="894">
        <f t="shared" ref="BZ10:BZ27" si="6">BV10</f>
        <v>12122.7</v>
      </c>
      <c r="CA10" s="894">
        <f t="shared" ref="CA10:CA27" si="7">BR10</f>
        <v>12200</v>
      </c>
      <c r="CB10" s="788">
        <f t="shared" ref="CB10:CB26" si="8">CA10/BZ10-1</f>
        <v>6.3764672886401641E-3</v>
      </c>
      <c r="CC10" s="894">
        <f t="shared" ref="CC10:CC24" si="9">BT10</f>
        <v>12094</v>
      </c>
      <c r="CD10" s="788">
        <f t="shared" ref="CD10:CD24" si="10">CC10/BZ10-1</f>
        <v>-2.3674593943594502E-3</v>
      </c>
      <c r="CE10" s="788">
        <f t="shared" ref="CE10:CE24" si="11">CA10/CC10-1</f>
        <v>8.7646766991897884E-3</v>
      </c>
      <c r="CF10" s="759"/>
      <c r="CH10" s="684"/>
      <c r="CI10" s="729" t="s">
        <v>6878</v>
      </c>
      <c r="CJ10" s="730">
        <f>BQ9</f>
        <v>15992.300000000001</v>
      </c>
      <c r="CK10" s="730">
        <f>BR9</f>
        <v>16200</v>
      </c>
      <c r="CL10" s="730">
        <f>BT9</f>
        <v>16157.5</v>
      </c>
      <c r="CM10" s="738">
        <f>BV9</f>
        <v>18630.600000000002</v>
      </c>
      <c r="CN10" s="734">
        <f>CK10/CM10-1</f>
        <v>-0.13046278702779313</v>
      </c>
    </row>
    <row r="11" spans="1:92" ht="15.75">
      <c r="A11" s="684" t="s">
        <v>508</v>
      </c>
      <c r="B11" s="694">
        <v>2197</v>
      </c>
      <c r="C11" s="694">
        <v>2449</v>
      </c>
      <c r="D11" s="694">
        <v>2753</v>
      </c>
      <c r="E11" s="694">
        <v>3044</v>
      </c>
      <c r="F11" s="694">
        <v>3312</v>
      </c>
      <c r="G11" s="694">
        <v>3586</v>
      </c>
      <c r="H11" s="694">
        <v>3824</v>
      </c>
      <c r="I11" s="694">
        <v>4008</v>
      </c>
      <c r="J11" s="694">
        <v>4283.7</v>
      </c>
      <c r="K11" s="694">
        <v>4550.7</v>
      </c>
      <c r="L11" s="694">
        <v>4883.3879999999999</v>
      </c>
      <c r="M11" s="694">
        <v>5153.4449999999997</v>
      </c>
      <c r="N11" s="694">
        <v>5413.0119999999997</v>
      </c>
      <c r="O11" s="694">
        <v>5646</v>
      </c>
      <c r="P11" s="694">
        <v>5878.9250000000002</v>
      </c>
      <c r="Q11" s="694">
        <v>6015</v>
      </c>
      <c r="R11" s="694">
        <v>6154.29</v>
      </c>
      <c r="S11" s="694">
        <v>6357.5519999999997</v>
      </c>
      <c r="T11" s="684">
        <v>6518</v>
      </c>
      <c r="U11" s="684">
        <v>6638</v>
      </c>
      <c r="V11" s="694">
        <v>6767</v>
      </c>
      <c r="W11" s="694">
        <v>6887</v>
      </c>
      <c r="X11" s="694">
        <v>7053.7</v>
      </c>
      <c r="Y11" s="694">
        <v>7284.1620000000003</v>
      </c>
      <c r="Z11" s="694">
        <v>7682.3789999999999</v>
      </c>
      <c r="AA11" s="694">
        <v>7803.6139999999996</v>
      </c>
      <c r="AB11" s="694">
        <v>7926.6779999999999</v>
      </c>
      <c r="AC11" s="694">
        <f>AB11+99.8</f>
        <v>8026.4780000000001</v>
      </c>
      <c r="AD11" s="779">
        <v>8008.1480000000001</v>
      </c>
      <c r="AE11" s="779">
        <v>8013.97</v>
      </c>
      <c r="AF11" s="780">
        <v>8015</v>
      </c>
      <c r="AG11" s="779">
        <v>8002.5259999999998</v>
      </c>
      <c r="AH11" s="779">
        <v>7910.2250000000004</v>
      </c>
      <c r="AI11" s="779">
        <v>7961.4809999999998</v>
      </c>
      <c r="AJ11" s="779">
        <v>7835.6570000000002</v>
      </c>
      <c r="AK11" s="779">
        <f>7637.04</f>
        <v>7637.04</v>
      </c>
      <c r="AL11" s="779">
        <f>7386.347</f>
        <v>7386.3469999999998</v>
      </c>
      <c r="AM11" s="779">
        <f>7393.726</f>
        <v>7393.7259999999997</v>
      </c>
      <c r="AN11" s="779">
        <v>7412.7280000000001</v>
      </c>
      <c r="AO11" s="779">
        <v>7429.3509999999997</v>
      </c>
      <c r="AP11" s="779">
        <v>7437.4690000000001</v>
      </c>
      <c r="AQ11" s="779">
        <v>7457.1620000000003</v>
      </c>
      <c r="AR11" s="779">
        <v>7472</v>
      </c>
      <c r="AS11" s="779">
        <v>7477</v>
      </c>
      <c r="AT11" s="779">
        <v>7487</v>
      </c>
      <c r="AU11" s="779">
        <v>7489.8760000000002</v>
      </c>
      <c r="AV11" s="779">
        <f>AW11+80.203</f>
        <v>7488.2780000000002</v>
      </c>
      <c r="AW11" s="779">
        <v>7408.0749999999998</v>
      </c>
      <c r="AX11" s="779">
        <v>7244.2460000000001</v>
      </c>
      <c r="AY11" s="779">
        <v>7019.3689999999997</v>
      </c>
      <c r="AZ11" s="779">
        <v>6638.6019999999999</v>
      </c>
      <c r="BA11" s="779">
        <v>6257</v>
      </c>
      <c r="BB11" s="779">
        <v>6073.3220000000001</v>
      </c>
      <c r="BC11" s="779">
        <v>5909.2280000000001</v>
      </c>
      <c r="BD11" s="779">
        <v>5697.9470000000001</v>
      </c>
      <c r="BE11" s="779">
        <v>5567.4260000000004</v>
      </c>
      <c r="BF11" s="779">
        <v>5354.9939999999997</v>
      </c>
      <c r="BP11" s="789" t="s">
        <v>6880</v>
      </c>
      <c r="BQ11" s="790">
        <f>Interims!BT13</f>
        <v>4083.6</v>
      </c>
      <c r="BR11" s="790">
        <f>Interims!FJ13</f>
        <v>4000</v>
      </c>
      <c r="BS11" s="791">
        <f t="shared" si="3"/>
        <v>2.0899999999999919E-2</v>
      </c>
      <c r="BT11" s="790">
        <v>4063.5</v>
      </c>
      <c r="BU11" s="791">
        <f t="shared" si="4"/>
        <v>4.9464747139165155E-3</v>
      </c>
      <c r="BV11" s="790">
        <f>Interims!BO13</f>
        <v>4657.6000000000004</v>
      </c>
      <c r="BW11" s="791">
        <f t="shared" si="5"/>
        <v>-0.12323943661971837</v>
      </c>
      <c r="BX11" s="897"/>
      <c r="BY11" s="1054" t="s">
        <v>6880</v>
      </c>
      <c r="BZ11" s="790">
        <f t="shared" si="6"/>
        <v>4657.6000000000004</v>
      </c>
      <c r="CA11" s="790">
        <f t="shared" si="7"/>
        <v>4000</v>
      </c>
      <c r="CB11" s="791">
        <f t="shared" si="8"/>
        <v>-0.1411885949845415</v>
      </c>
      <c r="CC11" s="790">
        <f t="shared" si="9"/>
        <v>4063.5</v>
      </c>
      <c r="CD11" s="791">
        <f t="shared" si="10"/>
        <v>-0.12755496392992105</v>
      </c>
      <c r="CE11" s="791">
        <f t="shared" si="11"/>
        <v>-1.5626922603666826E-2</v>
      </c>
      <c r="CF11" s="759"/>
      <c r="CH11" s="684"/>
      <c r="CI11" s="700" t="s">
        <v>6879</v>
      </c>
      <c r="CJ11" s="701">
        <f>BQ10</f>
        <v>11908.7</v>
      </c>
      <c r="CK11" s="701">
        <f>BR10</f>
        <v>12200</v>
      </c>
      <c r="CL11" s="701"/>
      <c r="CM11" s="739">
        <f>Interims!BF14</f>
        <v>11981.6</v>
      </c>
      <c r="CN11" s="735" t="e">
        <f>Interims!#REF!</f>
        <v>#REF!</v>
      </c>
    </row>
    <row r="12" spans="1:92" ht="15.75">
      <c r="A12" s="684" t="s">
        <v>4778</v>
      </c>
      <c r="B12" s="694"/>
      <c r="C12" s="694">
        <f t="shared" ref="C12:AH12" si="12">C11-B11</f>
        <v>252</v>
      </c>
      <c r="D12" s="694">
        <f t="shared" si="12"/>
        <v>304</v>
      </c>
      <c r="E12" s="694">
        <f t="shared" si="12"/>
        <v>291</v>
      </c>
      <c r="F12" s="694">
        <f t="shared" si="12"/>
        <v>268</v>
      </c>
      <c r="G12" s="694">
        <f t="shared" si="12"/>
        <v>274</v>
      </c>
      <c r="H12" s="694">
        <f t="shared" si="12"/>
        <v>238</v>
      </c>
      <c r="I12" s="694">
        <f t="shared" si="12"/>
        <v>184</v>
      </c>
      <c r="J12" s="694">
        <f t="shared" si="12"/>
        <v>275.69999999999982</v>
      </c>
      <c r="K12" s="694">
        <f t="shared" si="12"/>
        <v>267</v>
      </c>
      <c r="L12" s="694">
        <f t="shared" si="12"/>
        <v>332.6880000000001</v>
      </c>
      <c r="M12" s="694">
        <f t="shared" si="12"/>
        <v>270.05699999999979</v>
      </c>
      <c r="N12" s="694">
        <f t="shared" si="12"/>
        <v>259.56700000000001</v>
      </c>
      <c r="O12" s="694">
        <f t="shared" si="12"/>
        <v>232.98800000000028</v>
      </c>
      <c r="P12" s="694">
        <f t="shared" si="12"/>
        <v>232.92500000000018</v>
      </c>
      <c r="Q12" s="694">
        <f t="shared" si="12"/>
        <v>136.07499999999982</v>
      </c>
      <c r="R12" s="694">
        <f t="shared" si="12"/>
        <v>139.28999999999996</v>
      </c>
      <c r="S12" s="694">
        <f t="shared" si="12"/>
        <v>203.26199999999972</v>
      </c>
      <c r="T12" s="694">
        <f t="shared" si="12"/>
        <v>160.44800000000032</v>
      </c>
      <c r="U12" s="694">
        <f t="shared" si="12"/>
        <v>120</v>
      </c>
      <c r="V12" s="694">
        <f t="shared" si="12"/>
        <v>129</v>
      </c>
      <c r="W12" s="694">
        <f t="shared" si="12"/>
        <v>120</v>
      </c>
      <c r="X12" s="694">
        <f t="shared" si="12"/>
        <v>166.69999999999982</v>
      </c>
      <c r="Y12" s="694">
        <f t="shared" si="12"/>
        <v>230.46200000000044</v>
      </c>
      <c r="Z12" s="694">
        <f t="shared" si="12"/>
        <v>398.21699999999964</v>
      </c>
      <c r="AA12" s="694">
        <f t="shared" si="12"/>
        <v>121.23499999999967</v>
      </c>
      <c r="AB12" s="694">
        <f t="shared" si="12"/>
        <v>123.06400000000031</v>
      </c>
      <c r="AC12" s="694">
        <f t="shared" si="12"/>
        <v>99.800000000000182</v>
      </c>
      <c r="AD12" s="694">
        <f t="shared" si="12"/>
        <v>-18.329999999999927</v>
      </c>
      <c r="AE12" s="694">
        <f t="shared" si="12"/>
        <v>5.8220000000001164</v>
      </c>
      <c r="AF12" s="694">
        <f t="shared" si="12"/>
        <v>1.0299999999997453</v>
      </c>
      <c r="AG12" s="694">
        <f t="shared" si="12"/>
        <v>-12.47400000000016</v>
      </c>
      <c r="AH12" s="694">
        <f t="shared" si="12"/>
        <v>-92.300999999999476</v>
      </c>
      <c r="AI12" s="694">
        <f t="shared" ref="AI12:AY12" si="13">AI11-AH11</f>
        <v>51.255999999999403</v>
      </c>
      <c r="AJ12" s="694">
        <f t="shared" si="13"/>
        <v>-125.82399999999961</v>
      </c>
      <c r="AK12" s="694">
        <f t="shared" si="13"/>
        <v>-198.61700000000019</v>
      </c>
      <c r="AL12" s="694">
        <f t="shared" si="13"/>
        <v>-250.69300000000021</v>
      </c>
      <c r="AM12" s="694">
        <f t="shared" si="13"/>
        <v>7.3789999999999054</v>
      </c>
      <c r="AN12" s="694">
        <f t="shared" si="13"/>
        <v>19.002000000000407</v>
      </c>
      <c r="AO12" s="694">
        <f t="shared" si="13"/>
        <v>16.622999999999593</v>
      </c>
      <c r="AP12" s="694">
        <f t="shared" si="13"/>
        <v>8.1180000000003929</v>
      </c>
      <c r="AQ12" s="694">
        <f t="shared" si="13"/>
        <v>19.693000000000211</v>
      </c>
      <c r="AR12" s="694">
        <f t="shared" si="13"/>
        <v>14.837999999999738</v>
      </c>
      <c r="AS12" s="694">
        <f t="shared" si="13"/>
        <v>5</v>
      </c>
      <c r="AT12" s="694">
        <f t="shared" si="13"/>
        <v>10</v>
      </c>
      <c r="AU12" s="694">
        <f t="shared" si="13"/>
        <v>2.8760000000002037</v>
      </c>
      <c r="AV12" s="694">
        <f t="shared" si="13"/>
        <v>-1.5979999999999563</v>
      </c>
      <c r="AW12" s="694">
        <f t="shared" si="13"/>
        <v>-80.203000000000429</v>
      </c>
      <c r="AX12" s="694">
        <f t="shared" si="13"/>
        <v>-163.82899999999972</v>
      </c>
      <c r="AY12" s="694">
        <f t="shared" si="13"/>
        <v>-224.87700000000041</v>
      </c>
      <c r="AZ12" s="694">
        <f t="shared" ref="AZ12:BF12" si="14">AZ11-AY11</f>
        <v>-380.76699999999983</v>
      </c>
      <c r="BA12" s="694">
        <f t="shared" si="14"/>
        <v>-381.60199999999986</v>
      </c>
      <c r="BB12" s="694">
        <f t="shared" si="14"/>
        <v>-183.67799999999988</v>
      </c>
      <c r="BC12" s="694">
        <f t="shared" si="14"/>
        <v>-164.09400000000005</v>
      </c>
      <c r="BD12" s="694">
        <f t="shared" si="14"/>
        <v>-211.28099999999995</v>
      </c>
      <c r="BE12" s="694">
        <f t="shared" si="14"/>
        <v>-130.52099999999973</v>
      </c>
      <c r="BF12" s="694">
        <f t="shared" si="14"/>
        <v>-212.4320000000007</v>
      </c>
      <c r="BP12" s="787" t="s">
        <v>6886</v>
      </c>
      <c r="BQ12" s="894"/>
      <c r="BR12" s="894"/>
      <c r="BS12" s="788"/>
      <c r="BT12" s="894"/>
      <c r="BU12" s="788"/>
      <c r="BV12" s="894">
        <f>Interims!BO15</f>
        <v>1850.3</v>
      </c>
      <c r="BW12" s="788">
        <f t="shared" si="5"/>
        <v>-1</v>
      </c>
      <c r="BX12" s="897"/>
      <c r="BY12" s="1053" t="s">
        <v>6886</v>
      </c>
      <c r="BZ12" s="894">
        <f t="shared" si="6"/>
        <v>1850.3</v>
      </c>
      <c r="CA12" s="894">
        <f t="shared" si="7"/>
        <v>0</v>
      </c>
      <c r="CB12" s="788">
        <f t="shared" si="8"/>
        <v>-1</v>
      </c>
      <c r="CC12" s="894">
        <f t="shared" si="9"/>
        <v>0</v>
      </c>
      <c r="CD12" s="788">
        <f t="shared" si="10"/>
        <v>-1</v>
      </c>
      <c r="CE12" s="788" t="e">
        <f t="shared" si="11"/>
        <v>#DIV/0!</v>
      </c>
      <c r="CF12" s="759"/>
      <c r="CH12" s="684"/>
      <c r="CI12" s="731"/>
      <c r="CJ12" s="732"/>
      <c r="CK12" s="732"/>
      <c r="CL12" s="732"/>
      <c r="CM12" s="740"/>
      <c r="CN12" s="736"/>
    </row>
    <row r="13" spans="1:92" ht="15.75">
      <c r="A13" s="684" t="s">
        <v>608</v>
      </c>
      <c r="B13" s="694"/>
      <c r="C13" s="694">
        <f t="shared" ref="C13:AH13" si="15">C7/AVERAGE(B11,C11)/3*1000</f>
        <v>406.45716745587595</v>
      </c>
      <c r="D13" s="694">
        <f t="shared" si="15"/>
        <v>370.99833397411254</v>
      </c>
      <c r="E13" s="694">
        <f t="shared" si="15"/>
        <v>330.60778563624876</v>
      </c>
      <c r="F13" s="694">
        <f t="shared" si="15"/>
        <v>317.69456681350954</v>
      </c>
      <c r="G13" s="694">
        <f t="shared" si="15"/>
        <v>301.76862858799655</v>
      </c>
      <c r="H13" s="694">
        <f t="shared" si="15"/>
        <v>281.75438596491227</v>
      </c>
      <c r="I13" s="694">
        <f t="shared" si="15"/>
        <v>272.06332992849849</v>
      </c>
      <c r="J13" s="694">
        <f t="shared" si="15"/>
        <v>272.29639277832047</v>
      </c>
      <c r="K13" s="694">
        <f t="shared" si="15"/>
        <v>267.55259742219812</v>
      </c>
      <c r="L13" s="694">
        <f t="shared" si="15"/>
        <v>263.06729383910772</v>
      </c>
      <c r="M13" s="694">
        <f t="shared" si="15"/>
        <v>253.10108610289055</v>
      </c>
      <c r="N13" s="694">
        <f t="shared" si="15"/>
        <v>241.44327658741247</v>
      </c>
      <c r="O13" s="694">
        <f t="shared" si="15"/>
        <v>241.18489668576785</v>
      </c>
      <c r="P13" s="694">
        <f t="shared" si="15"/>
        <v>236.57709992328225</v>
      </c>
      <c r="Q13" s="694">
        <f t="shared" si="15"/>
        <v>234.33811798880521</v>
      </c>
      <c r="R13" s="694">
        <f t="shared" si="15"/>
        <v>230.04354951411844</v>
      </c>
      <c r="S13" s="694">
        <f t="shared" si="15"/>
        <v>230.87994024647477</v>
      </c>
      <c r="T13" s="694">
        <f t="shared" si="15"/>
        <v>231.79847616112562</v>
      </c>
      <c r="U13" s="694">
        <f t="shared" si="15"/>
        <v>227.495692713084</v>
      </c>
      <c r="V13" s="694">
        <f t="shared" si="15"/>
        <v>229.84955862240454</v>
      </c>
      <c r="W13" s="694">
        <f t="shared" si="15"/>
        <v>230.67721302670765</v>
      </c>
      <c r="X13" s="694">
        <f t="shared" si="15"/>
        <v>234.08676274027366</v>
      </c>
      <c r="Y13" s="694">
        <f t="shared" si="15"/>
        <v>233.05659751316708</v>
      </c>
      <c r="Z13" s="694">
        <f t="shared" si="15"/>
        <v>238.29153309371887</v>
      </c>
      <c r="AA13" s="694">
        <f t="shared" si="15"/>
        <v>240.24721350879256</v>
      </c>
      <c r="AB13" s="694">
        <f t="shared" si="15"/>
        <v>233.34171630973751</v>
      </c>
      <c r="AC13" s="694">
        <f t="shared" si="15"/>
        <v>230.05270346924877</v>
      </c>
      <c r="AD13" s="694">
        <f t="shared" si="15"/>
        <v>230.35980591835028</v>
      </c>
      <c r="AE13" s="694">
        <f t="shared" si="15"/>
        <v>234.75464771053777</v>
      </c>
      <c r="AF13" s="694">
        <f t="shared" si="15"/>
        <v>226.47327515949763</v>
      </c>
      <c r="AG13" s="694">
        <f t="shared" si="15"/>
        <v>231.77944792056735</v>
      </c>
      <c r="AH13" s="694">
        <f t="shared" si="15"/>
        <v>229.34228447781697</v>
      </c>
      <c r="AI13" s="694">
        <f t="shared" ref="AI13:BF13" si="16">AI7/AVERAGE(AH11,AI11)/3*1000</f>
        <v>237.68921458936634</v>
      </c>
      <c r="AJ13" s="694">
        <f t="shared" si="16"/>
        <v>228.19745365690085</v>
      </c>
      <c r="AK13" s="694">
        <f t="shared" si="16"/>
        <v>235.33496885944749</v>
      </c>
      <c r="AL13" s="694">
        <f t="shared" si="16"/>
        <v>234.37236001886041</v>
      </c>
      <c r="AM13" s="694">
        <f t="shared" si="16"/>
        <v>241.23020231361511</v>
      </c>
      <c r="AN13" s="694">
        <f t="shared" si="16"/>
        <v>240.3591478869057</v>
      </c>
      <c r="AO13" s="694">
        <f t="shared" si="16"/>
        <v>241.61484834211345</v>
      </c>
      <c r="AP13" s="694">
        <f t="shared" si="16"/>
        <v>242.38763456699775</v>
      </c>
      <c r="AQ13" s="694">
        <f t="shared" si="16"/>
        <v>246.83167153766121</v>
      </c>
      <c r="AR13" s="694">
        <f t="shared" si="16"/>
        <v>249.97607590656011</v>
      </c>
      <c r="AS13" s="694">
        <f t="shared" si="16"/>
        <v>250.48721207661612</v>
      </c>
      <c r="AT13" s="694">
        <f t="shared" si="16"/>
        <v>250.59253319076896</v>
      </c>
      <c r="AU13" s="694">
        <f t="shared" si="16"/>
        <v>247.94222773828133</v>
      </c>
      <c r="AV13" s="694">
        <f t="shared" si="16"/>
        <v>242.99389631058673</v>
      </c>
      <c r="AW13" s="694">
        <f t="shared" si="16"/>
        <v>240.43021357867485</v>
      </c>
      <c r="AX13" s="694">
        <f t="shared" si="16"/>
        <v>240.0393311976535</v>
      </c>
      <c r="AY13" s="694">
        <f t="shared" si="16"/>
        <v>240.2429772069236</v>
      </c>
      <c r="AZ13" s="694">
        <f t="shared" si="16"/>
        <v>243.40365051294958</v>
      </c>
      <c r="BA13" s="694">
        <f t="shared" si="16"/>
        <v>255.20845530644226</v>
      </c>
      <c r="BB13" s="694">
        <f t="shared" si="16"/>
        <v>251.82364796853375</v>
      </c>
      <c r="BC13" s="694">
        <f t="shared" si="16"/>
        <v>247.55442984451</v>
      </c>
      <c r="BD13" s="694">
        <f t="shared" si="16"/>
        <v>246.77839353675637</v>
      </c>
      <c r="BE13" s="694">
        <f t="shared" si="16"/>
        <v>247.46036667701401</v>
      </c>
      <c r="BF13" s="694">
        <f t="shared" si="16"/>
        <v>249.24879284993617</v>
      </c>
      <c r="BP13" s="789"/>
      <c r="BQ13" s="791"/>
      <c r="BR13" s="791"/>
      <c r="BS13" s="791"/>
      <c r="BT13" s="790"/>
      <c r="BU13" s="791"/>
      <c r="BV13" s="790"/>
      <c r="BW13" s="791"/>
      <c r="BX13" s="897"/>
      <c r="BY13" s="1054"/>
      <c r="BZ13" s="791"/>
      <c r="CA13" s="791"/>
      <c r="CB13" s="791"/>
      <c r="CC13" s="791"/>
      <c r="CD13" s="791"/>
      <c r="CE13" s="791"/>
      <c r="CF13" s="759"/>
      <c r="CH13" s="684"/>
      <c r="CI13" s="702" t="s">
        <v>519</v>
      </c>
      <c r="CJ13" s="698">
        <f>CJ14+CJ15+CJ16</f>
        <v>319.29199999999946</v>
      </c>
      <c r="CK13" s="698" t="e">
        <f>Interims!#REF!</f>
        <v>#REF!</v>
      </c>
      <c r="CL13" s="698"/>
      <c r="CM13" s="741">
        <f>CM14+CM15+CM16</f>
        <v>34.896999999999935</v>
      </c>
      <c r="CN13" s="737"/>
    </row>
    <row r="14" spans="1:92" ht="15.75">
      <c r="A14" s="684" t="s">
        <v>4777</v>
      </c>
      <c r="B14" s="694"/>
      <c r="C14" s="694"/>
      <c r="D14" s="694"/>
      <c r="E14" s="694"/>
      <c r="F14" s="694"/>
      <c r="G14" s="694"/>
      <c r="H14" s="694"/>
      <c r="I14" s="694"/>
      <c r="J14" s="694"/>
      <c r="K14" s="694"/>
      <c r="L14" s="694"/>
      <c r="M14" s="694"/>
      <c r="N14" s="694"/>
      <c r="O14" s="694"/>
      <c r="P14" s="694"/>
      <c r="Q14" s="694"/>
      <c r="R14" s="694"/>
      <c r="S14" s="694"/>
      <c r="T14" s="694"/>
      <c r="U14" s="694"/>
      <c r="V14" s="694"/>
      <c r="W14" s="694"/>
      <c r="X14" s="694"/>
      <c r="Y14" s="694"/>
      <c r="Z14" s="694"/>
      <c r="AA14" s="694"/>
      <c r="AB14" s="694"/>
      <c r="AC14" s="694"/>
      <c r="AD14" s="694"/>
      <c r="AE14" s="694"/>
      <c r="AF14" s="694"/>
      <c r="AG14" s="694"/>
      <c r="AH14" s="697">
        <f t="shared" ref="AH14:BF14" si="17">AH13/AD13-1</f>
        <v>-4.4170962745729847E-3</v>
      </c>
      <c r="AI14" s="697">
        <f t="shared" si="17"/>
        <v>1.2500569881994439E-2</v>
      </c>
      <c r="AJ14" s="697">
        <f t="shared" si="17"/>
        <v>7.613165377631903E-3</v>
      </c>
      <c r="AK14" s="697">
        <f t="shared" si="17"/>
        <v>1.5340104443162916E-2</v>
      </c>
      <c r="AL14" s="697">
        <f t="shared" si="17"/>
        <v>2.1932612873793778E-2</v>
      </c>
      <c r="AM14" s="697">
        <f t="shared" si="17"/>
        <v>1.4897553220352133E-2</v>
      </c>
      <c r="AN14" s="697">
        <f t="shared" si="17"/>
        <v>5.3294609712386087E-2</v>
      </c>
      <c r="AO14" s="697">
        <f t="shared" si="17"/>
        <v>2.6684854839471805E-2</v>
      </c>
      <c r="AP14" s="697">
        <f t="shared" si="17"/>
        <v>3.4198889952263833E-2</v>
      </c>
      <c r="AQ14" s="697">
        <f t="shared" si="17"/>
        <v>2.3220430818044147E-2</v>
      </c>
      <c r="AR14" s="697">
        <f t="shared" si="17"/>
        <v>4.0010659482697886E-2</v>
      </c>
      <c r="AS14" s="697">
        <f t="shared" si="17"/>
        <v>3.6721103009115907E-2</v>
      </c>
      <c r="AT14" s="697">
        <f t="shared" si="17"/>
        <v>3.3850318472014695E-2</v>
      </c>
      <c r="AU14" s="697">
        <f t="shared" si="17"/>
        <v>4.4992451483305551E-3</v>
      </c>
      <c r="AV14" s="697">
        <f t="shared" si="17"/>
        <v>-2.7931391316756593E-2</v>
      </c>
      <c r="AW14" s="697">
        <f t="shared" si="17"/>
        <v>-4.0149748222935822E-2</v>
      </c>
      <c r="AX14" s="697">
        <f t="shared" si="17"/>
        <v>-4.2112994584246555E-2</v>
      </c>
      <c r="AY14" s="697">
        <f t="shared" si="17"/>
        <v>-3.1052598831550315E-2</v>
      </c>
      <c r="AZ14" s="697">
        <f t="shared" si="17"/>
        <v>1.6862736413720825E-3</v>
      </c>
      <c r="BA14" s="697">
        <f t="shared" si="17"/>
        <v>6.1465826227915299E-2</v>
      </c>
      <c r="BB14" s="697">
        <f t="shared" si="17"/>
        <v>4.9093274473327009E-2</v>
      </c>
      <c r="BC14" s="697">
        <f t="shared" si="17"/>
        <v>3.0433574885683212E-2</v>
      </c>
      <c r="BD14" s="697">
        <f t="shared" si="17"/>
        <v>1.3864800370474439E-2</v>
      </c>
      <c r="BE14" s="697">
        <f t="shared" si="17"/>
        <v>-3.035984297669414E-2</v>
      </c>
      <c r="BF14" s="697">
        <f t="shared" si="17"/>
        <v>-1.0224834479878986E-2</v>
      </c>
      <c r="BP14" s="792" t="s">
        <v>7276</v>
      </c>
      <c r="BQ14" s="895">
        <f>BQ15+BQ16+BQ17</f>
        <v>5883.4</v>
      </c>
      <c r="BR14" s="895">
        <f>BR15+BR16+BR17</f>
        <v>6235.8320000000003</v>
      </c>
      <c r="BS14" s="793">
        <f t="shared" si="3"/>
        <v>-5.6517237796015141E-2</v>
      </c>
      <c r="BT14" s="895">
        <f>BT15+BT16+BT17</f>
        <v>5907</v>
      </c>
      <c r="BU14" s="793">
        <f t="shared" ref="BU14:BU16" si="18">BQ14/BT14-1</f>
        <v>-3.9952598611817658E-3</v>
      </c>
      <c r="BV14" s="895">
        <f>Interims!BO28</f>
        <v>6969.7999999999993</v>
      </c>
      <c r="BW14" s="793">
        <f t="shared" si="5"/>
        <v>-0.15587247840684093</v>
      </c>
      <c r="BX14" s="897"/>
      <c r="BY14" s="1055" t="s">
        <v>7276</v>
      </c>
      <c r="BZ14" s="895">
        <f t="shared" si="6"/>
        <v>6969.7999999999993</v>
      </c>
      <c r="CA14" s="895">
        <f t="shared" si="7"/>
        <v>6235.8320000000003</v>
      </c>
      <c r="CB14" s="793">
        <f t="shared" si="8"/>
        <v>-0.10530689546328431</v>
      </c>
      <c r="CC14" s="895">
        <f t="shared" si="9"/>
        <v>5907</v>
      </c>
      <c r="CD14" s="793">
        <f t="shared" si="10"/>
        <v>-0.15248644150477764</v>
      </c>
      <c r="CE14" s="793">
        <f t="shared" si="11"/>
        <v>5.5668190282715413E-2</v>
      </c>
      <c r="CF14" s="759"/>
      <c r="CH14" s="684"/>
      <c r="CI14" s="731" t="s">
        <v>74</v>
      </c>
      <c r="CJ14" s="746">
        <f>Interims!BJ245</f>
        <v>89.041000000000167</v>
      </c>
      <c r="CK14" s="746" t="e">
        <f>Interims!#REF!</f>
        <v>#REF!</v>
      </c>
      <c r="CL14" s="746"/>
      <c r="CM14" s="740">
        <f>Interims!BF245</f>
        <v>-31.505000000000109</v>
      </c>
      <c r="CN14" s="736"/>
    </row>
    <row r="15" spans="1:92" ht="15.75">
      <c r="A15" s="684"/>
      <c r="B15" s="684"/>
      <c r="C15" s="684"/>
      <c r="D15" s="684"/>
      <c r="E15" s="684"/>
      <c r="F15" s="684"/>
      <c r="G15" s="684"/>
      <c r="H15" s="684"/>
      <c r="I15" s="684"/>
      <c r="J15" s="684"/>
      <c r="K15" s="684"/>
      <c r="L15" s="684"/>
      <c r="M15" s="684"/>
      <c r="N15" s="684"/>
      <c r="O15" s="684"/>
      <c r="P15" s="684"/>
      <c r="Q15" s="684"/>
      <c r="R15" s="684"/>
      <c r="S15" s="684"/>
      <c r="T15" s="684"/>
      <c r="U15" s="684"/>
      <c r="V15" s="684"/>
      <c r="W15" s="684"/>
      <c r="X15" s="684"/>
      <c r="Y15" s="684"/>
      <c r="Z15" s="688"/>
      <c r="AA15" s="688"/>
      <c r="AB15" s="688"/>
      <c r="AC15" s="684"/>
      <c r="AD15" s="684"/>
      <c r="AE15" s="684"/>
      <c r="AF15" s="684"/>
      <c r="AG15" s="684"/>
      <c r="AH15" s="684"/>
      <c r="AI15" s="684"/>
      <c r="AJ15" s="684"/>
      <c r="AK15" s="684"/>
      <c r="AL15" s="684"/>
      <c r="AM15" s="684"/>
      <c r="AN15" s="684"/>
      <c r="AO15" s="684"/>
      <c r="AP15" s="684"/>
      <c r="AQ15" s="684"/>
      <c r="AR15" s="684"/>
      <c r="AS15" s="684"/>
      <c r="AT15" s="684"/>
      <c r="AU15" s="684"/>
      <c r="AV15" s="684"/>
      <c r="AW15" s="684"/>
      <c r="AX15" s="684"/>
      <c r="AY15" s="684"/>
      <c r="AZ15" s="684"/>
      <c r="BA15" s="684"/>
      <c r="BB15" s="684"/>
      <c r="BC15" s="684"/>
      <c r="BD15" s="684"/>
      <c r="BE15" s="684"/>
      <c r="BF15" s="684"/>
      <c r="BP15" s="789" t="s">
        <v>7277</v>
      </c>
      <c r="BQ15" s="790">
        <f>Interims!BT26</f>
        <v>4667.8</v>
      </c>
      <c r="BR15" s="790">
        <f>Interims!FJ26</f>
        <v>4820</v>
      </c>
      <c r="BS15" s="791">
        <f t="shared" si="3"/>
        <v>-3.1576763485477111E-2</v>
      </c>
      <c r="BT15" s="790">
        <v>4689.8999999999996</v>
      </c>
      <c r="BU15" s="791">
        <f t="shared" si="18"/>
        <v>-4.7122539926223173E-3</v>
      </c>
      <c r="BV15" s="790">
        <f>Interims!BO26</f>
        <v>4957</v>
      </c>
      <c r="BW15" s="791">
        <f t="shared" si="5"/>
        <v>-5.8341738955013045E-2</v>
      </c>
      <c r="BX15" s="897"/>
      <c r="BY15" s="1054" t="s">
        <v>7277</v>
      </c>
      <c r="BZ15" s="790">
        <f t="shared" si="6"/>
        <v>4957</v>
      </c>
      <c r="CA15" s="790">
        <f t="shared" si="7"/>
        <v>4820</v>
      </c>
      <c r="CB15" s="791">
        <f t="shared" si="8"/>
        <v>-2.7637684083114733E-2</v>
      </c>
      <c r="CC15" s="790">
        <f t="shared" si="9"/>
        <v>4689.8999999999996</v>
      </c>
      <c r="CD15" s="791">
        <f t="shared" si="10"/>
        <v>-5.3883397216058171E-2</v>
      </c>
      <c r="CE15" s="791">
        <f t="shared" si="11"/>
        <v>2.7740463549329464E-2</v>
      </c>
      <c r="CF15" s="759"/>
      <c r="CH15" s="684"/>
      <c r="CI15" s="700" t="s">
        <v>611</v>
      </c>
      <c r="CJ15" s="701">
        <f>Interims!BJ246</f>
        <v>82.923999999999978</v>
      </c>
      <c r="CK15" s="701" t="e">
        <f>Interims!#REF!</f>
        <v>#REF!</v>
      </c>
      <c r="CL15" s="701"/>
      <c r="CM15" s="741">
        <f>Interims!BF246</f>
        <v>31.368999999999687</v>
      </c>
      <c r="CN15" s="737"/>
    </row>
    <row r="16" spans="1:92" ht="15.75">
      <c r="A16" s="684" t="s">
        <v>4779</v>
      </c>
      <c r="B16" s="684"/>
      <c r="C16" s="684"/>
      <c r="D16" s="684"/>
      <c r="E16" s="684"/>
      <c r="F16" s="684"/>
      <c r="G16" s="684"/>
      <c r="H16" s="684"/>
      <c r="I16" s="684"/>
      <c r="J16" s="684"/>
      <c r="K16" s="684"/>
      <c r="L16" s="684"/>
      <c r="M16" s="684"/>
      <c r="N16" s="684"/>
      <c r="O16" s="684"/>
      <c r="P16" s="684"/>
      <c r="Q16" s="684"/>
      <c r="R16" s="684"/>
      <c r="S16" s="684"/>
      <c r="T16" s="684"/>
      <c r="U16" s="684"/>
      <c r="V16" s="684"/>
      <c r="W16" s="684"/>
      <c r="X16" s="684"/>
      <c r="Y16" s="684"/>
      <c r="Z16" s="688"/>
      <c r="AA16" s="688"/>
      <c r="AB16" s="688"/>
      <c r="AC16" s="684"/>
      <c r="AD16" s="684"/>
      <c r="AE16" s="684"/>
      <c r="AF16" s="684"/>
      <c r="AG16" s="684"/>
      <c r="AH16" s="684"/>
      <c r="AI16" s="684"/>
      <c r="AJ16" s="780">
        <v>0</v>
      </c>
      <c r="AK16" s="776">
        <f>AL16-73</f>
        <v>92.262</v>
      </c>
      <c r="AL16" s="776">
        <v>165.262</v>
      </c>
      <c r="AM16" s="776">
        <v>238.36099999999999</v>
      </c>
      <c r="AN16" s="780">
        <v>319</v>
      </c>
      <c r="AO16" s="776">
        <v>386.11399999999998</v>
      </c>
      <c r="AP16" s="776">
        <v>430.41199999999998</v>
      </c>
      <c r="AQ16" s="776">
        <v>502.42899999999997</v>
      </c>
      <c r="AR16" s="776">
        <v>594</v>
      </c>
      <c r="AS16" s="776">
        <v>666</v>
      </c>
      <c r="AT16" s="776">
        <v>698</v>
      </c>
      <c r="AU16" s="776">
        <v>707</v>
      </c>
      <c r="AV16" s="776">
        <f>AW16-4.745</f>
        <v>722.48099999999999</v>
      </c>
      <c r="AW16" s="776">
        <v>727.226</v>
      </c>
      <c r="AX16" s="776">
        <v>719.22299999999996</v>
      </c>
      <c r="AY16" s="776">
        <v>692.76700000000005</v>
      </c>
      <c r="AZ16" s="776">
        <v>667.01300000000003</v>
      </c>
      <c r="BA16" s="776">
        <v>640.29399999999998</v>
      </c>
      <c r="BB16" s="776">
        <v>608.12199999999996</v>
      </c>
      <c r="BC16" s="776">
        <v>575.26199999999994</v>
      </c>
      <c r="BD16" s="776">
        <v>544.95399999999995</v>
      </c>
      <c r="BE16" s="776">
        <v>515.08900000000006</v>
      </c>
      <c r="BF16" s="776">
        <v>480.875</v>
      </c>
      <c r="BP16" s="787" t="s">
        <v>7278</v>
      </c>
      <c r="BQ16" s="894">
        <f>Interims!BT25</f>
        <v>1215.5999999999999</v>
      </c>
      <c r="BR16" s="894">
        <f>Interims!FJ25</f>
        <v>1415.8320000000001</v>
      </c>
      <c r="BS16" s="788">
        <f t="shared" si="3"/>
        <v>-0.14142355872730672</v>
      </c>
      <c r="BT16" s="894">
        <v>1217.0999999999999</v>
      </c>
      <c r="BU16" s="788">
        <f t="shared" si="18"/>
        <v>-1.2324377618930793E-3</v>
      </c>
      <c r="BV16" s="894">
        <f>Interims!BO25</f>
        <v>1608.9</v>
      </c>
      <c r="BW16" s="788">
        <f t="shared" si="5"/>
        <v>-0.2444527316800299</v>
      </c>
      <c r="BX16" s="897"/>
      <c r="BY16" s="1053" t="s">
        <v>7278</v>
      </c>
      <c r="BZ16" s="894">
        <f t="shared" si="6"/>
        <v>1608.9</v>
      </c>
      <c r="CA16" s="894">
        <f t="shared" si="7"/>
        <v>1415.8320000000001</v>
      </c>
      <c r="CB16" s="788">
        <f t="shared" si="8"/>
        <v>-0.12</v>
      </c>
      <c r="CC16" s="894">
        <f t="shared" si="9"/>
        <v>1217.0999999999999</v>
      </c>
      <c r="CD16" s="788">
        <f t="shared" si="10"/>
        <v>-0.24352041767667365</v>
      </c>
      <c r="CE16" s="788">
        <f t="shared" si="11"/>
        <v>0.16328321419768321</v>
      </c>
      <c r="CF16" s="759"/>
      <c r="CH16" s="684"/>
      <c r="CI16" s="731" t="s">
        <v>612</v>
      </c>
      <c r="CJ16" s="732">
        <f>Interims!BJ248</f>
        <v>147.32699999999932</v>
      </c>
      <c r="CK16" s="732" t="e">
        <f>Interims!#REF!</f>
        <v>#REF!</v>
      </c>
      <c r="CL16" s="732"/>
      <c r="CM16" s="740">
        <f>Interims!BF248</f>
        <v>35.033000000000357</v>
      </c>
      <c r="CN16" s="736"/>
    </row>
    <row r="17" spans="1:154" ht="15.75">
      <c r="A17" s="684" t="s">
        <v>4780</v>
      </c>
      <c r="B17" s="684"/>
      <c r="C17" s="684"/>
      <c r="D17" s="684"/>
      <c r="E17" s="684"/>
      <c r="F17" s="684"/>
      <c r="G17" s="684"/>
      <c r="H17" s="684"/>
      <c r="I17" s="684"/>
      <c r="J17" s="684"/>
      <c r="K17" s="684"/>
      <c r="L17" s="684"/>
      <c r="M17" s="684"/>
      <c r="N17" s="684"/>
      <c r="O17" s="684"/>
      <c r="P17" s="684"/>
      <c r="Q17" s="684"/>
      <c r="R17" s="684"/>
      <c r="S17" s="684"/>
      <c r="T17" s="684"/>
      <c r="U17" s="684"/>
      <c r="V17" s="684"/>
      <c r="W17" s="684"/>
      <c r="X17" s="684"/>
      <c r="Y17" s="684"/>
      <c r="Z17" s="688"/>
      <c r="AA17" s="688"/>
      <c r="AB17" s="688"/>
      <c r="AC17" s="684"/>
      <c r="AD17" s="684"/>
      <c r="AE17" s="684"/>
      <c r="AF17" s="684"/>
      <c r="AG17" s="684"/>
      <c r="AH17" s="684"/>
      <c r="AI17" s="684"/>
      <c r="AJ17" s="684"/>
      <c r="AK17" s="703">
        <f t="shared" ref="AK17:BF17" si="19">AK16-AJ16</f>
        <v>92.262</v>
      </c>
      <c r="AL17" s="703">
        <f t="shared" si="19"/>
        <v>73</v>
      </c>
      <c r="AM17" s="703">
        <f t="shared" si="19"/>
        <v>73.09899999999999</v>
      </c>
      <c r="AN17" s="703">
        <f t="shared" si="19"/>
        <v>80.63900000000001</v>
      </c>
      <c r="AO17" s="703">
        <f t="shared" si="19"/>
        <v>67.113999999999976</v>
      </c>
      <c r="AP17" s="703">
        <f t="shared" si="19"/>
        <v>44.298000000000002</v>
      </c>
      <c r="AQ17" s="703">
        <f t="shared" si="19"/>
        <v>72.016999999999996</v>
      </c>
      <c r="AR17" s="703">
        <f t="shared" si="19"/>
        <v>91.571000000000026</v>
      </c>
      <c r="AS17" s="703">
        <f t="shared" si="19"/>
        <v>72</v>
      </c>
      <c r="AT17" s="703">
        <f t="shared" si="19"/>
        <v>32</v>
      </c>
      <c r="AU17" s="703">
        <f t="shared" si="19"/>
        <v>9</v>
      </c>
      <c r="AV17" s="703">
        <f t="shared" si="19"/>
        <v>15.480999999999995</v>
      </c>
      <c r="AW17" s="703">
        <f t="shared" si="19"/>
        <v>4.7450000000000045</v>
      </c>
      <c r="AX17" s="703">
        <f t="shared" si="19"/>
        <v>-8.0030000000000427</v>
      </c>
      <c r="AY17" s="703">
        <f t="shared" si="19"/>
        <v>-26.455999999999904</v>
      </c>
      <c r="AZ17" s="703">
        <f t="shared" si="19"/>
        <v>-25.754000000000019</v>
      </c>
      <c r="BA17" s="703">
        <f t="shared" si="19"/>
        <v>-26.719000000000051</v>
      </c>
      <c r="BB17" s="703">
        <f t="shared" si="19"/>
        <v>-32.172000000000025</v>
      </c>
      <c r="BC17" s="703">
        <f t="shared" si="19"/>
        <v>-32.860000000000014</v>
      </c>
      <c r="BD17" s="703">
        <f t="shared" si="19"/>
        <v>-30.307999999999993</v>
      </c>
      <c r="BE17" s="703">
        <f t="shared" si="19"/>
        <v>-29.864999999999895</v>
      </c>
      <c r="BF17" s="703">
        <f t="shared" si="19"/>
        <v>-34.214000000000055</v>
      </c>
      <c r="BP17" s="789" t="s">
        <v>7279</v>
      </c>
      <c r="BQ17" s="790"/>
      <c r="BR17" s="790"/>
      <c r="BS17" s="791"/>
      <c r="BT17" s="790"/>
      <c r="BU17" s="791"/>
      <c r="BV17" s="790">
        <f>Interims!BO27</f>
        <v>403.9</v>
      </c>
      <c r="BW17" s="791">
        <f t="shared" si="5"/>
        <v>-1</v>
      </c>
      <c r="BX17" s="897"/>
      <c r="BY17" s="1054" t="s">
        <v>7279</v>
      </c>
      <c r="BZ17" s="790">
        <f t="shared" si="6"/>
        <v>403.9</v>
      </c>
      <c r="CA17" s="790">
        <f t="shared" si="7"/>
        <v>0</v>
      </c>
      <c r="CB17" s="791">
        <f t="shared" si="8"/>
        <v>-1</v>
      </c>
      <c r="CC17" s="790">
        <f t="shared" si="9"/>
        <v>0</v>
      </c>
      <c r="CD17" s="791">
        <f t="shared" si="10"/>
        <v>-1</v>
      </c>
      <c r="CE17" s="791" t="e">
        <f t="shared" si="11"/>
        <v>#DIV/0!</v>
      </c>
      <c r="CF17" s="759"/>
      <c r="CH17" s="684"/>
      <c r="CI17" s="700"/>
      <c r="CJ17" s="701"/>
      <c r="CK17" s="701"/>
      <c r="CL17" s="701"/>
      <c r="CM17" s="739"/>
      <c r="CN17" s="735"/>
    </row>
    <row r="18" spans="1:154" ht="15.75">
      <c r="A18" s="684" t="s">
        <v>3276</v>
      </c>
      <c r="B18" s="684"/>
      <c r="C18" s="684"/>
      <c r="D18" s="684"/>
      <c r="E18" s="684"/>
      <c r="F18" s="684"/>
      <c r="G18" s="684"/>
      <c r="H18" s="684"/>
      <c r="I18" s="684"/>
      <c r="J18" s="684"/>
      <c r="K18" s="684"/>
      <c r="L18" s="684"/>
      <c r="M18" s="684"/>
      <c r="N18" s="684"/>
      <c r="O18" s="684"/>
      <c r="P18" s="684"/>
      <c r="Q18" s="684"/>
      <c r="R18" s="684"/>
      <c r="S18" s="684"/>
      <c r="T18" s="684"/>
      <c r="U18" s="684"/>
      <c r="V18" s="684"/>
      <c r="W18" s="684"/>
      <c r="X18" s="684"/>
      <c r="Y18" s="684"/>
      <c r="Z18" s="688"/>
      <c r="AA18" s="688"/>
      <c r="AB18" s="688"/>
      <c r="AC18" s="684"/>
      <c r="AD18" s="684"/>
      <c r="AE18" s="684"/>
      <c r="AF18" s="684"/>
      <c r="AG18" s="684"/>
      <c r="AH18" s="684"/>
      <c r="AI18" s="684"/>
      <c r="AJ18" s="684"/>
      <c r="AK18" s="684"/>
      <c r="AL18" s="880">
        <v>1.4930000000000001</v>
      </c>
      <c r="AM18" s="880">
        <v>1.329</v>
      </c>
      <c r="AN18" s="880">
        <v>1.252</v>
      </c>
      <c r="AO18" s="880">
        <v>1.145</v>
      </c>
      <c r="AP18" s="880">
        <v>1.052</v>
      </c>
      <c r="AQ18" s="880">
        <v>0.94499999999999995</v>
      </c>
      <c r="AR18" s="880">
        <v>0.83699999999999997</v>
      </c>
      <c r="AS18" s="880">
        <v>0.89200000000000002</v>
      </c>
      <c r="AT18" s="880">
        <v>7.5380000000000003</v>
      </c>
      <c r="AU18" s="880">
        <v>0.68500000000000005</v>
      </c>
      <c r="AV18" s="880">
        <f>AW18+0.048</f>
        <v>0.64900000000000002</v>
      </c>
      <c r="AW18" s="880">
        <v>0.60099999999999998</v>
      </c>
      <c r="AX18" s="880">
        <v>0.55900000000000005</v>
      </c>
      <c r="AY18" s="880">
        <v>0.53100000000000003</v>
      </c>
      <c r="AZ18" s="880">
        <v>0.48899999999999999</v>
      </c>
      <c r="BA18" s="880">
        <v>0.45300000000000001</v>
      </c>
      <c r="BB18" s="880">
        <v>0.42699999999999999</v>
      </c>
      <c r="BC18" s="880">
        <v>0.39800000000000002</v>
      </c>
      <c r="BD18" s="880">
        <v>0.36499999999999999</v>
      </c>
      <c r="BE18" s="880">
        <v>0.34399999999999997</v>
      </c>
      <c r="BF18" s="880">
        <v>0.32300000000000001</v>
      </c>
      <c r="BP18" s="897"/>
      <c r="BX18" s="897"/>
      <c r="BY18" s="759"/>
      <c r="BZ18" s="759"/>
      <c r="CA18" s="759"/>
      <c r="CB18" s="759"/>
      <c r="CC18" s="759"/>
      <c r="CD18" s="759"/>
      <c r="CE18" s="759"/>
      <c r="CF18" s="759"/>
      <c r="CH18" s="684"/>
      <c r="CI18" s="729" t="s">
        <v>6881</v>
      </c>
      <c r="CJ18" s="730">
        <f>BQ14</f>
        <v>5883.4</v>
      </c>
      <c r="CK18" s="730">
        <f>BR14</f>
        <v>6235.8320000000003</v>
      </c>
      <c r="CL18" s="730">
        <f>BT14</f>
        <v>5907</v>
      </c>
      <c r="CM18" s="738"/>
      <c r="CN18" s="734"/>
    </row>
    <row r="19" spans="1:154" ht="15.75">
      <c r="A19" s="684"/>
      <c r="B19" s="684"/>
      <c r="C19" s="684"/>
      <c r="D19" s="684"/>
      <c r="E19" s="684"/>
      <c r="F19" s="684"/>
      <c r="G19" s="684"/>
      <c r="H19" s="684"/>
      <c r="I19" s="684"/>
      <c r="J19" s="684"/>
      <c r="K19" s="684"/>
      <c r="L19" s="684"/>
      <c r="M19" s="684"/>
      <c r="N19" s="684"/>
      <c r="O19" s="684"/>
      <c r="P19" s="684"/>
      <c r="Q19" s="684"/>
      <c r="R19" s="684"/>
      <c r="S19" s="684"/>
      <c r="T19" s="684"/>
      <c r="U19" s="684"/>
      <c r="V19" s="684"/>
      <c r="W19" s="684"/>
      <c r="X19" s="684"/>
      <c r="Y19" s="684"/>
      <c r="Z19" s="688"/>
      <c r="AA19" s="688"/>
      <c r="AB19" s="688"/>
      <c r="AC19" s="684"/>
      <c r="AD19" s="684"/>
      <c r="AE19" s="684"/>
      <c r="AF19" s="684"/>
      <c r="AG19" s="684"/>
      <c r="AH19" s="684"/>
      <c r="AI19" s="684"/>
      <c r="AJ19" s="684"/>
      <c r="AK19" s="684"/>
      <c r="AL19" s="703"/>
      <c r="AM19" s="703"/>
      <c r="AN19" s="703"/>
      <c r="AO19" s="703"/>
      <c r="AP19" s="703"/>
      <c r="AQ19" s="703"/>
      <c r="AR19" s="703"/>
      <c r="AS19" s="703"/>
      <c r="AT19" s="703"/>
      <c r="AU19" s="703"/>
      <c r="AV19" s="703"/>
      <c r="AW19" s="703"/>
      <c r="AX19" s="703"/>
      <c r="AY19" s="703"/>
      <c r="AZ19" s="703"/>
      <c r="BA19" s="703"/>
      <c r="BB19" s="703"/>
      <c r="BC19" s="703"/>
      <c r="BD19" s="703"/>
      <c r="BE19" s="703"/>
      <c r="BF19" s="703"/>
      <c r="BP19" s="898" t="s">
        <v>57</v>
      </c>
      <c r="BQ19" s="893">
        <f>Interims!BT32</f>
        <v>7961.1999999999989</v>
      </c>
      <c r="BR19" s="893">
        <f>Interims!FJ32</f>
        <v>5955.5520000000006</v>
      </c>
      <c r="BS19" s="786">
        <f t="shared" ref="BS19" si="20">BQ19/BR19-1</f>
        <v>0.33676945478773379</v>
      </c>
      <c r="BT19" s="893">
        <v>5621.3</v>
      </c>
      <c r="BU19" s="786">
        <f>BQ19/BT19-1</f>
        <v>0.41625602618611324</v>
      </c>
      <c r="BV19" s="893">
        <f>Interims!BO32</f>
        <v>6515.4</v>
      </c>
      <c r="BW19" s="786">
        <f t="shared" ref="BW19" si="21">BQ19/BV19-1</f>
        <v>0.22190502501765041</v>
      </c>
      <c r="BX19" s="897"/>
      <c r="BY19" s="1056" t="s">
        <v>57</v>
      </c>
      <c r="BZ19" s="893">
        <f t="shared" si="6"/>
        <v>6515.4</v>
      </c>
      <c r="CA19" s="893">
        <f t="shared" si="7"/>
        <v>5955.5520000000006</v>
      </c>
      <c r="CB19" s="786">
        <f t="shared" si="8"/>
        <v>-8.5926880928262173E-2</v>
      </c>
      <c r="CC19" s="893">
        <f t="shared" si="9"/>
        <v>5621.3</v>
      </c>
      <c r="CD19" s="786">
        <f t="shared" si="10"/>
        <v>-0.13722871964883188</v>
      </c>
      <c r="CE19" s="786">
        <f t="shared" si="11"/>
        <v>5.9461690356323427E-2</v>
      </c>
      <c r="CF19" s="759"/>
      <c r="CH19" s="684"/>
      <c r="CI19" s="747" t="s">
        <v>6882</v>
      </c>
      <c r="CJ19" s="709">
        <f>BQ15</f>
        <v>4667.8</v>
      </c>
      <c r="CK19" s="709">
        <f>BR15</f>
        <v>4820</v>
      </c>
      <c r="CL19" s="709">
        <f>Interims!BF26</f>
        <v>5020.1000000000004</v>
      </c>
      <c r="CM19" s="742"/>
      <c r="CN19" s="748"/>
    </row>
    <row r="20" spans="1:154" ht="15.75">
      <c r="A20" s="684"/>
      <c r="B20" s="684"/>
      <c r="C20" s="684"/>
      <c r="D20" s="684"/>
      <c r="E20" s="684"/>
      <c r="F20" s="684"/>
      <c r="G20" s="684"/>
      <c r="H20" s="684"/>
      <c r="I20" s="684"/>
      <c r="J20" s="684"/>
      <c r="K20" s="684"/>
      <c r="L20" s="684"/>
      <c r="M20" s="684"/>
      <c r="N20" s="684"/>
      <c r="O20" s="684"/>
      <c r="P20" s="684"/>
      <c r="Q20" s="684"/>
      <c r="R20" s="684"/>
      <c r="S20" s="684"/>
      <c r="T20" s="684"/>
      <c r="U20" s="684"/>
      <c r="V20" s="684"/>
      <c r="W20" s="684"/>
      <c r="X20" s="684"/>
      <c r="Y20" s="684"/>
      <c r="Z20" s="688"/>
      <c r="AA20" s="688"/>
      <c r="AB20" s="688"/>
      <c r="AC20" s="684"/>
      <c r="AD20" s="684"/>
      <c r="AE20" s="684"/>
      <c r="AF20" s="684"/>
      <c r="AG20" s="684"/>
      <c r="AH20" s="684"/>
      <c r="AI20" s="684"/>
      <c r="AJ20" s="684"/>
      <c r="AK20" s="684"/>
      <c r="AL20" s="703"/>
      <c r="AM20" s="703"/>
      <c r="AN20" s="703"/>
      <c r="AO20" s="703"/>
      <c r="AP20" s="703"/>
      <c r="AQ20" s="703"/>
      <c r="AR20" s="703"/>
      <c r="AS20" s="703"/>
      <c r="AT20" s="703"/>
      <c r="AU20" s="703"/>
      <c r="AV20" s="703"/>
      <c r="AW20" s="703"/>
      <c r="AX20" s="703"/>
      <c r="AY20" s="703"/>
      <c r="AZ20" s="703"/>
      <c r="BA20" s="703"/>
      <c r="BB20" s="703"/>
      <c r="BC20" s="703"/>
      <c r="BD20" s="703"/>
      <c r="BE20" s="703"/>
      <c r="BF20" s="703"/>
      <c r="BP20" s="794"/>
      <c r="BQ20" s="896"/>
      <c r="BR20" s="896"/>
      <c r="BS20" s="795"/>
      <c r="BT20" s="896"/>
      <c r="BU20" s="795"/>
      <c r="BV20" s="896"/>
      <c r="BW20" s="795"/>
      <c r="BX20" s="897"/>
      <c r="BY20" s="1057"/>
      <c r="BZ20" s="896"/>
      <c r="CA20" s="896"/>
      <c r="CB20" s="795"/>
      <c r="CC20" s="896"/>
      <c r="CD20" s="795"/>
      <c r="CE20" s="795"/>
      <c r="CF20" s="759"/>
    </row>
    <row r="21" spans="1:154" ht="15.75">
      <c r="A21" s="693" t="s">
        <v>6875</v>
      </c>
      <c r="B21" s="694"/>
      <c r="C21" s="694"/>
      <c r="D21" s="694"/>
      <c r="E21" s="694"/>
      <c r="F21" s="694"/>
      <c r="G21" s="694"/>
      <c r="H21" s="694"/>
      <c r="I21" s="694"/>
      <c r="J21" s="694"/>
      <c r="K21" s="694"/>
      <c r="L21" s="694"/>
      <c r="M21" s="694"/>
      <c r="N21" s="694"/>
      <c r="O21" s="694"/>
      <c r="P21" s="694"/>
      <c r="Q21" s="694"/>
      <c r="R21" s="694"/>
      <c r="S21" s="694"/>
      <c r="T21" s="694"/>
      <c r="U21" s="694"/>
      <c r="V21" s="694"/>
      <c r="W21" s="694"/>
      <c r="X21" s="694"/>
      <c r="Y21" s="694"/>
      <c r="Z21" s="694"/>
      <c r="AA21" s="694"/>
      <c r="AB21" s="694"/>
      <c r="AC21" s="697"/>
      <c r="AD21" s="697"/>
      <c r="AE21" s="697"/>
      <c r="AF21" s="697"/>
      <c r="AG21" s="697"/>
      <c r="AH21" s="697"/>
      <c r="AI21" s="697"/>
      <c r="AJ21" s="697"/>
      <c r="AK21" s="697"/>
      <c r="AL21" s="697"/>
      <c r="AM21" s="697"/>
      <c r="AN21" s="697"/>
      <c r="AO21" s="697"/>
      <c r="AP21" s="697"/>
      <c r="AQ21" s="697"/>
      <c r="AR21" s="697"/>
      <c r="AS21" s="697"/>
      <c r="AT21" s="697"/>
      <c r="AU21" s="697"/>
      <c r="AV21" s="697"/>
      <c r="AW21" s="697"/>
      <c r="AX21" s="697"/>
      <c r="AY21" s="697"/>
      <c r="AZ21" s="697"/>
      <c r="BA21" s="697"/>
      <c r="BB21" s="697"/>
      <c r="BC21" s="697"/>
      <c r="BD21" s="697"/>
      <c r="BP21" s="796" t="s">
        <v>1106</v>
      </c>
      <c r="BQ21" s="790">
        <f>Interims!BT34</f>
        <v>2926.1999999999994</v>
      </c>
      <c r="BR21" s="790">
        <f>Interims!FJ34</f>
        <v>705.55200000000059</v>
      </c>
      <c r="BS21" s="879">
        <f t="shared" ref="BS21:BS27" si="22">BQ21/BR21-1</f>
        <v>3.1473909789781578</v>
      </c>
      <c r="BT21" s="790">
        <v>579.79999999999995</v>
      </c>
      <c r="BU21" s="879">
        <f t="shared" ref="BU21" si="23">BQ21/BT21-1</f>
        <v>4.0469127285270776</v>
      </c>
      <c r="BV21" s="790">
        <f>Interims!BO34</f>
        <v>1203.6999999999998</v>
      </c>
      <c r="BW21" s="879"/>
      <c r="BX21" s="897"/>
      <c r="BY21" s="1058" t="s">
        <v>1106</v>
      </c>
      <c r="BZ21" s="790">
        <f t="shared" si="6"/>
        <v>1203.6999999999998</v>
      </c>
      <c r="CA21" s="790">
        <f t="shared" si="7"/>
        <v>705.55200000000059</v>
      </c>
      <c r="CB21" s="879">
        <f t="shared" si="8"/>
        <v>-0.4138473041455506</v>
      </c>
      <c r="CC21" s="790">
        <f t="shared" si="9"/>
        <v>579.79999999999995</v>
      </c>
      <c r="CD21" s="879">
        <f t="shared" si="10"/>
        <v>-0.51831851790313199</v>
      </c>
      <c r="CE21" s="879">
        <f t="shared" si="11"/>
        <v>0.21688858226974927</v>
      </c>
      <c r="CF21" s="759"/>
    </row>
    <row r="22" spans="1:154" ht="15.75">
      <c r="A22" s="684" t="s">
        <v>5300</v>
      </c>
      <c r="B22" s="684"/>
      <c r="C22" s="684"/>
      <c r="D22" s="684"/>
      <c r="E22" s="684"/>
      <c r="F22" s="684"/>
      <c r="G22" s="684"/>
      <c r="H22" s="684"/>
      <c r="I22" s="684"/>
      <c r="J22" s="684"/>
      <c r="K22" s="684"/>
      <c r="L22" s="684"/>
      <c r="M22" s="684"/>
      <c r="N22" s="684"/>
      <c r="O22" s="684"/>
      <c r="P22" s="684"/>
      <c r="Q22" s="684"/>
      <c r="R22" s="684"/>
      <c r="S22" s="684"/>
      <c r="T22" s="684"/>
      <c r="U22" s="684"/>
      <c r="V22" s="684"/>
      <c r="W22" s="684"/>
      <c r="X22" s="684"/>
      <c r="Y22" s="684"/>
      <c r="Z22" s="688"/>
      <c r="AA22" s="688"/>
      <c r="AB22" s="688"/>
      <c r="AC22" s="684"/>
      <c r="AD22" s="684"/>
      <c r="AE22" s="684"/>
      <c r="AF22" s="684"/>
      <c r="AG22" s="684"/>
      <c r="AH22" s="684"/>
      <c r="AI22" s="684"/>
      <c r="AJ22" s="684"/>
      <c r="AK22" s="703">
        <f t="shared" ref="AK22:AU22" si="24">249*0.8</f>
        <v>199.20000000000002</v>
      </c>
      <c r="AL22" s="703">
        <f t="shared" si="24"/>
        <v>199.20000000000002</v>
      </c>
      <c r="AM22" s="703">
        <f t="shared" si="24"/>
        <v>199.20000000000002</v>
      </c>
      <c r="AN22" s="703">
        <f t="shared" si="24"/>
        <v>199.20000000000002</v>
      </c>
      <c r="AO22" s="703">
        <f t="shared" si="24"/>
        <v>199.20000000000002</v>
      </c>
      <c r="AP22" s="703">
        <f t="shared" si="24"/>
        <v>199.20000000000002</v>
      </c>
      <c r="AQ22" s="703">
        <f t="shared" si="24"/>
        <v>199.20000000000002</v>
      </c>
      <c r="AR22" s="703">
        <f t="shared" si="24"/>
        <v>199.20000000000002</v>
      </c>
      <c r="AS22" s="703">
        <f t="shared" si="24"/>
        <v>199.20000000000002</v>
      </c>
      <c r="AT22" s="703">
        <f t="shared" si="24"/>
        <v>199.20000000000002</v>
      </c>
      <c r="AU22" s="703">
        <f t="shared" si="24"/>
        <v>199.20000000000002</v>
      </c>
      <c r="AV22" s="684"/>
      <c r="AW22" s="684"/>
      <c r="AX22" s="684"/>
      <c r="AY22" s="684"/>
      <c r="AZ22" s="684"/>
      <c r="BA22" s="684"/>
      <c r="BB22" s="684"/>
      <c r="BC22" s="684"/>
      <c r="BD22" s="684"/>
      <c r="BP22" s="881" t="s">
        <v>1497</v>
      </c>
      <c r="BQ22" s="896">
        <f>Interims!BT70</f>
        <v>-356.6</v>
      </c>
      <c r="BR22" s="896">
        <f>Interims!FJ70</f>
        <v>500</v>
      </c>
      <c r="BS22" s="900"/>
      <c r="BT22" s="896">
        <v>105.2</v>
      </c>
      <c r="BU22" s="900"/>
      <c r="BV22" s="896">
        <f>Interims!BO70</f>
        <v>96.8</v>
      </c>
      <c r="BW22" s="882"/>
      <c r="BX22" s="897"/>
      <c r="BY22" s="1059" t="s">
        <v>1497</v>
      </c>
      <c r="BZ22" s="896">
        <f t="shared" si="6"/>
        <v>96.8</v>
      </c>
      <c r="CA22" s="896">
        <f t="shared" si="7"/>
        <v>500</v>
      </c>
      <c r="CB22" s="882">
        <f t="shared" si="8"/>
        <v>4.1652892561983474</v>
      </c>
      <c r="CC22" s="896">
        <f t="shared" si="9"/>
        <v>105.2</v>
      </c>
      <c r="CD22" s="882">
        <f t="shared" si="10"/>
        <v>8.6776859504132275E-2</v>
      </c>
      <c r="CE22" s="882">
        <f t="shared" si="11"/>
        <v>3.752851711026616</v>
      </c>
      <c r="CF22" s="759"/>
      <c r="CI22" s="684"/>
      <c r="CJ22" s="692"/>
      <c r="CK22" s="692" t="s">
        <v>946</v>
      </c>
      <c r="CL22" s="692" t="s">
        <v>6359</v>
      </c>
      <c r="CM22" s="692"/>
      <c r="CN22" s="692" t="s">
        <v>1720</v>
      </c>
    </row>
    <row r="23" spans="1:154" ht="15.75">
      <c r="A23" s="684" t="s">
        <v>653</v>
      </c>
      <c r="B23" s="684"/>
      <c r="C23" s="684"/>
      <c r="D23" s="684"/>
      <c r="E23" s="684"/>
      <c r="F23" s="684"/>
      <c r="G23" s="684"/>
      <c r="H23" s="684"/>
      <c r="I23" s="684"/>
      <c r="J23" s="684"/>
      <c r="K23" s="684"/>
      <c r="L23" s="684"/>
      <c r="M23" s="684"/>
      <c r="N23" s="684"/>
      <c r="O23" s="684"/>
      <c r="P23" s="684"/>
      <c r="Q23" s="684"/>
      <c r="R23" s="684"/>
      <c r="S23" s="684"/>
      <c r="T23" s="684"/>
      <c r="U23" s="684"/>
      <c r="V23" s="684"/>
      <c r="W23" s="684"/>
      <c r="X23" s="684"/>
      <c r="Y23" s="684"/>
      <c r="Z23" s="688"/>
      <c r="AA23" s="688"/>
      <c r="AB23" s="688"/>
      <c r="AC23" s="684"/>
      <c r="AD23" s="684"/>
      <c r="AE23" s="684"/>
      <c r="AF23" s="684"/>
      <c r="AG23" s="684"/>
      <c r="AH23" s="684"/>
      <c r="AI23" s="684"/>
      <c r="AJ23" s="684"/>
      <c r="AK23" s="703">
        <f t="shared" ref="AK23:AU23" si="25">AK22*3*AVERAGE(AJ16,AK16)/1000</f>
        <v>27.5678856</v>
      </c>
      <c r="AL23" s="703">
        <f t="shared" si="25"/>
        <v>76.94817119999999</v>
      </c>
      <c r="AM23" s="703">
        <f t="shared" si="25"/>
        <v>120.60255240000001</v>
      </c>
      <c r="AN23" s="703">
        <f t="shared" si="25"/>
        <v>166.53946679999999</v>
      </c>
      <c r="AO23" s="703">
        <f t="shared" si="25"/>
        <v>210.68806320000002</v>
      </c>
      <c r="AP23" s="703">
        <f t="shared" si="25"/>
        <v>243.97796880000001</v>
      </c>
      <c r="AQ23" s="703">
        <f t="shared" si="25"/>
        <v>278.73289080000001</v>
      </c>
      <c r="AR23" s="703">
        <f t="shared" si="25"/>
        <v>327.61298520000003</v>
      </c>
      <c r="AS23" s="703">
        <f t="shared" si="25"/>
        <v>376.488</v>
      </c>
      <c r="AT23" s="703">
        <f t="shared" si="25"/>
        <v>407.56319999999999</v>
      </c>
      <c r="AU23" s="703">
        <f t="shared" si="25"/>
        <v>419.81400000000002</v>
      </c>
      <c r="AV23" s="684"/>
      <c r="AW23" s="684"/>
      <c r="AX23" s="684"/>
      <c r="AY23" s="684"/>
      <c r="AZ23" s="684"/>
      <c r="BA23" s="684"/>
      <c r="BB23" s="684"/>
      <c r="BC23" s="684"/>
      <c r="BD23" s="684"/>
      <c r="BP23" s="796" t="str">
        <f>Interims!A71</f>
        <v>PBT</v>
      </c>
      <c r="BQ23" s="790">
        <f>Interims!BT71</f>
        <v>1436.1999999999994</v>
      </c>
      <c r="BR23" s="790">
        <f>Interims!FJ71</f>
        <v>55.552000000000589</v>
      </c>
      <c r="BS23" s="879"/>
      <c r="BT23" s="790">
        <v>-426.7</v>
      </c>
      <c r="BU23" s="879"/>
      <c r="BV23" s="790">
        <f>Interims!BO71</f>
        <v>-898.10000000000014</v>
      </c>
      <c r="BW23" s="879"/>
      <c r="BX23" s="897"/>
      <c r="BY23" s="1058" t="s">
        <v>191</v>
      </c>
      <c r="BZ23" s="790">
        <f t="shared" si="6"/>
        <v>-898.10000000000014</v>
      </c>
      <c r="CA23" s="790">
        <f t="shared" si="7"/>
        <v>55.552000000000589</v>
      </c>
      <c r="CB23" s="879">
        <f t="shared" si="8"/>
        <v>-1.0618550272798135</v>
      </c>
      <c r="CC23" s="790">
        <f t="shared" si="9"/>
        <v>-426.7</v>
      </c>
      <c r="CD23" s="879">
        <f t="shared" si="10"/>
        <v>-0.52488587017035981</v>
      </c>
      <c r="CE23" s="879">
        <f t="shared" si="11"/>
        <v>-1.1301898289196171</v>
      </c>
      <c r="CF23" s="759"/>
      <c r="CI23" s="695" t="s">
        <v>7048</v>
      </c>
      <c r="CJ23" s="696" t="s">
        <v>6473</v>
      </c>
      <c r="CK23" s="696" t="s">
        <v>6887</v>
      </c>
      <c r="CL23" s="696" t="s">
        <v>6887</v>
      </c>
      <c r="CM23" s="733" t="s">
        <v>6242</v>
      </c>
      <c r="CN23" s="733" t="s">
        <v>1720</v>
      </c>
    </row>
    <row r="24" spans="1:154" ht="15.75">
      <c r="A24" s="684" t="s">
        <v>5740</v>
      </c>
      <c r="B24" s="684"/>
      <c r="C24" s="684"/>
      <c r="D24" s="684"/>
      <c r="E24" s="684"/>
      <c r="F24" s="684"/>
      <c r="G24" s="684"/>
      <c r="H24" s="684"/>
      <c r="I24" s="684"/>
      <c r="J24" s="684"/>
      <c r="K24" s="684"/>
      <c r="L24" s="684"/>
      <c r="M24" s="684"/>
      <c r="N24" s="684"/>
      <c r="O24" s="684"/>
      <c r="P24" s="684"/>
      <c r="Q24" s="684"/>
      <c r="R24" s="684"/>
      <c r="S24" s="684"/>
      <c r="T24" s="684"/>
      <c r="U24" s="684"/>
      <c r="V24" s="684"/>
      <c r="W24" s="684"/>
      <c r="X24" s="684"/>
      <c r="Y24" s="684"/>
      <c r="Z24" s="688"/>
      <c r="AA24" s="688"/>
      <c r="AB24" s="688"/>
      <c r="AC24" s="684"/>
      <c r="AD24" s="684"/>
      <c r="AE24" s="684"/>
      <c r="AF24" s="684"/>
      <c r="AG24" s="684"/>
      <c r="AH24" s="684"/>
      <c r="AI24" s="684"/>
      <c r="AJ24" s="684"/>
      <c r="AK24" s="703"/>
      <c r="AL24" s="703"/>
      <c r="AM24" s="703"/>
      <c r="AN24" s="703">
        <f t="shared" ref="AN24:AU24" si="26">AN23-AJ23</f>
        <v>166.53946679999999</v>
      </c>
      <c r="AO24" s="703">
        <f t="shared" si="26"/>
        <v>183.12017760000001</v>
      </c>
      <c r="AP24" s="703">
        <f t="shared" si="26"/>
        <v>167.02979760000002</v>
      </c>
      <c r="AQ24" s="703">
        <f t="shared" si="26"/>
        <v>158.1303384</v>
      </c>
      <c r="AR24" s="703">
        <f t="shared" si="26"/>
        <v>161.07351840000004</v>
      </c>
      <c r="AS24" s="703">
        <f t="shared" si="26"/>
        <v>165.79993679999998</v>
      </c>
      <c r="AT24" s="703">
        <f t="shared" si="26"/>
        <v>163.58523119999998</v>
      </c>
      <c r="AU24" s="703">
        <f t="shared" si="26"/>
        <v>141.08110920000001</v>
      </c>
      <c r="AV24" s="684"/>
      <c r="AW24" s="684"/>
      <c r="AX24" s="684"/>
      <c r="AY24" s="684"/>
      <c r="AZ24" s="684"/>
      <c r="BA24" s="684"/>
      <c r="BB24" s="684"/>
      <c r="BC24" s="684"/>
      <c r="BD24" s="684"/>
      <c r="BP24" s="881" t="s">
        <v>1107</v>
      </c>
      <c r="BQ24" s="896">
        <f>Interims!BT78</f>
        <v>952.09999999999934</v>
      </c>
      <c r="BR24" s="896">
        <f>Interims!FJ78</f>
        <v>92.552000000000589</v>
      </c>
      <c r="BS24" s="788"/>
      <c r="BT24" s="896">
        <v>-242.6</v>
      </c>
      <c r="BU24" s="900"/>
      <c r="BV24" s="896">
        <f>Interims!BO78</f>
        <v>-788.90000000000009</v>
      </c>
      <c r="BW24" s="882"/>
      <c r="BX24" s="897"/>
      <c r="BY24" s="1059" t="s">
        <v>1107</v>
      </c>
      <c r="BZ24" s="896">
        <f t="shared" si="6"/>
        <v>-788.90000000000009</v>
      </c>
      <c r="CA24" s="896">
        <f t="shared" si="7"/>
        <v>92.552000000000589</v>
      </c>
      <c r="CB24" s="882">
        <f t="shared" si="8"/>
        <v>-1.1173177842565605</v>
      </c>
      <c r="CC24" s="896">
        <f t="shared" si="9"/>
        <v>-242.6</v>
      </c>
      <c r="CD24" s="882">
        <f t="shared" si="10"/>
        <v>-0.69248320446190903</v>
      </c>
      <c r="CE24" s="882">
        <f t="shared" si="11"/>
        <v>-1.3815004122011567</v>
      </c>
      <c r="CF24" s="759"/>
      <c r="CI24" s="744"/>
      <c r="CJ24" s="690"/>
      <c r="CK24" s="690"/>
      <c r="CL24" s="690"/>
      <c r="CM24" s="745"/>
      <c r="CN24" s="745"/>
    </row>
    <row r="25" spans="1:154" ht="15.75">
      <c r="A25" s="684" t="s">
        <v>5301</v>
      </c>
      <c r="B25" s="684"/>
      <c r="C25" s="684"/>
      <c r="D25" s="684"/>
      <c r="E25" s="684"/>
      <c r="F25" s="684"/>
      <c r="G25" s="684"/>
      <c r="H25" s="684"/>
      <c r="I25" s="684"/>
      <c r="J25" s="684"/>
      <c r="K25" s="684"/>
      <c r="L25" s="684"/>
      <c r="M25" s="684"/>
      <c r="N25" s="684"/>
      <c r="O25" s="684"/>
      <c r="P25" s="684"/>
      <c r="Q25" s="684"/>
      <c r="R25" s="684"/>
      <c r="S25" s="684"/>
      <c r="T25" s="684"/>
      <c r="U25" s="684"/>
      <c r="V25" s="684"/>
      <c r="W25" s="684"/>
      <c r="X25" s="684"/>
      <c r="Y25" s="684"/>
      <c r="Z25" s="688"/>
      <c r="AA25" s="688"/>
      <c r="AB25" s="688"/>
      <c r="AC25" s="684"/>
      <c r="AD25" s="684"/>
      <c r="AE25" s="684"/>
      <c r="AF25" s="684"/>
      <c r="AG25" s="684"/>
      <c r="AH25" s="684"/>
      <c r="AI25" s="684"/>
      <c r="AJ25" s="684"/>
      <c r="AK25" s="697"/>
      <c r="AL25" s="697"/>
      <c r="AM25" s="697"/>
      <c r="AN25" s="697">
        <f t="shared" ref="AN25:AU25" si="27">AN24/AJ7</f>
        <v>3.0799006306289643E-2</v>
      </c>
      <c r="AO25" s="697">
        <f t="shared" si="27"/>
        <v>3.3526827221296622E-2</v>
      </c>
      <c r="AP25" s="697">
        <f t="shared" si="27"/>
        <v>3.1624848076340507E-2</v>
      </c>
      <c r="AQ25" s="697">
        <f t="shared" si="27"/>
        <v>2.9567573231614963E-2</v>
      </c>
      <c r="AR25" s="697">
        <f t="shared" si="27"/>
        <v>3.0173185920611436E-2</v>
      </c>
      <c r="AS25" s="697">
        <f t="shared" si="27"/>
        <v>3.0822988380955915E-2</v>
      </c>
      <c r="AT25" s="697">
        <f t="shared" si="27"/>
        <v>3.0263857917229381E-2</v>
      </c>
      <c r="AU25" s="697">
        <f t="shared" si="27"/>
        <v>2.5582735089850765E-2</v>
      </c>
      <c r="AV25" s="684"/>
      <c r="AW25" s="684"/>
      <c r="AX25" s="684"/>
      <c r="AY25" s="684"/>
      <c r="AZ25" s="684"/>
      <c r="BA25" s="684"/>
      <c r="BB25" s="684"/>
      <c r="BC25" s="684"/>
      <c r="BD25" s="684"/>
      <c r="BP25" s="796" t="s">
        <v>1108</v>
      </c>
      <c r="BQ25" s="790">
        <f>Interims!BT79</f>
        <v>860.59999999999934</v>
      </c>
      <c r="BR25" s="790">
        <f>Interims!FJ79</f>
        <v>92.552000000000589</v>
      </c>
      <c r="BS25" s="879"/>
      <c r="BT25" s="790"/>
      <c r="BU25" s="879"/>
      <c r="BV25" s="790">
        <f>Interims!BO79</f>
        <v>181.89999999999998</v>
      </c>
      <c r="BW25" s="879"/>
      <c r="BX25" s="897"/>
      <c r="BY25" s="1058" t="s">
        <v>1108</v>
      </c>
      <c r="BZ25" s="790">
        <f t="shared" si="6"/>
        <v>181.89999999999998</v>
      </c>
      <c r="CA25" s="790">
        <f t="shared" si="7"/>
        <v>92.552000000000589</v>
      </c>
      <c r="CB25" s="879">
        <f t="shared" si="8"/>
        <v>-0.49119296316657168</v>
      </c>
      <c r="CC25" s="790"/>
      <c r="CD25" s="879"/>
      <c r="CE25" s="879"/>
      <c r="CF25" s="759"/>
      <c r="CI25" s="729" t="s">
        <v>6885</v>
      </c>
      <c r="CJ25" s="730">
        <v>6562.4260000000004</v>
      </c>
      <c r="CK25" s="730">
        <v>6662.7151180000001</v>
      </c>
      <c r="CL25" s="730">
        <v>6564</v>
      </c>
      <c r="CM25" s="738">
        <v>6063.8</v>
      </c>
      <c r="CN25" s="734">
        <f>CK25/CM25-1</f>
        <v>9.8768943236914097E-2</v>
      </c>
    </row>
    <row r="26" spans="1:154" ht="15.75">
      <c r="A26" s="684"/>
      <c r="B26" s="684"/>
      <c r="C26" s="684"/>
      <c r="D26" s="684"/>
      <c r="E26" s="684"/>
      <c r="F26" s="684"/>
      <c r="G26" s="684"/>
      <c r="H26" s="684"/>
      <c r="I26" s="684"/>
      <c r="J26" s="684"/>
      <c r="K26" s="684"/>
      <c r="L26" s="684"/>
      <c r="M26" s="684"/>
      <c r="N26" s="684"/>
      <c r="O26" s="684"/>
      <c r="P26" s="684"/>
      <c r="Q26" s="684"/>
      <c r="R26" s="684"/>
      <c r="S26" s="684"/>
      <c r="T26" s="684"/>
      <c r="U26" s="684"/>
      <c r="V26" s="684"/>
      <c r="W26" s="684"/>
      <c r="X26" s="684"/>
      <c r="Y26" s="684"/>
      <c r="Z26" s="688"/>
      <c r="AA26" s="688"/>
      <c r="AB26" s="688"/>
      <c r="AC26" s="684"/>
      <c r="AD26" s="684"/>
      <c r="AE26" s="684"/>
      <c r="AF26" s="684"/>
      <c r="AG26" s="684"/>
      <c r="AH26" s="684"/>
      <c r="AI26" s="684"/>
      <c r="AJ26" s="684"/>
      <c r="AK26" s="684"/>
      <c r="AL26" s="684"/>
      <c r="AM26" s="684"/>
      <c r="AN26" s="684"/>
      <c r="AO26" s="684"/>
      <c r="AP26" s="684"/>
      <c r="AQ26" s="697"/>
      <c r="AR26" s="684"/>
      <c r="AS26" s="684"/>
      <c r="AT26" s="684"/>
      <c r="AU26" s="684"/>
      <c r="AV26" s="684"/>
      <c r="AW26" s="684"/>
      <c r="AX26" s="684"/>
      <c r="AY26" s="684"/>
      <c r="AZ26" s="684"/>
      <c r="BA26" s="684"/>
      <c r="BB26" s="684"/>
      <c r="BC26" s="684"/>
      <c r="BD26" s="684"/>
      <c r="BP26" s="881" t="s">
        <v>224</v>
      </c>
      <c r="BQ26" s="896">
        <f>Interims!BT160</f>
        <v>57456.3</v>
      </c>
      <c r="BR26" s="896">
        <f>Interims!FJ160</f>
        <v>61000</v>
      </c>
      <c r="BS26" s="1640">
        <f t="shared" si="22"/>
        <v>-5.8093442622950797E-2</v>
      </c>
      <c r="BT26" s="896"/>
      <c r="BU26" s="896"/>
      <c r="BV26" s="896">
        <f>Interims!BO160</f>
        <v>60383.199999999997</v>
      </c>
      <c r="BW26" s="882">
        <f t="shared" ref="BW26:BW27" si="28">BQ26/BV26-1</f>
        <v>-4.8472091575139986E-2</v>
      </c>
      <c r="BX26" s="897"/>
      <c r="BY26" s="1059" t="s">
        <v>224</v>
      </c>
      <c r="BZ26" s="896">
        <f t="shared" si="6"/>
        <v>60383.199999999997</v>
      </c>
      <c r="CA26" s="896">
        <f t="shared" si="7"/>
        <v>61000</v>
      </c>
      <c r="CB26" s="882">
        <f t="shared" si="8"/>
        <v>1.0214761721803356E-2</v>
      </c>
      <c r="CC26" s="896"/>
      <c r="CD26" s="882"/>
      <c r="CE26" s="882"/>
      <c r="CF26" s="759"/>
      <c r="CI26" s="700" t="s">
        <v>6879</v>
      </c>
      <c r="CJ26" s="701">
        <v>6022.0550000000003</v>
      </c>
      <c r="CK26" s="701">
        <v>6080.0351180000007</v>
      </c>
      <c r="CL26" s="701"/>
      <c r="CM26" s="739">
        <v>5544</v>
      </c>
      <c r="CN26" s="735">
        <f>CK26/CM26-1</f>
        <v>9.6687431096681209E-2</v>
      </c>
    </row>
    <row r="27" spans="1:154" ht="15.75">
      <c r="L27" s="684"/>
      <c r="M27" s="684"/>
      <c r="N27" s="684"/>
      <c r="O27" s="684"/>
      <c r="P27" s="684"/>
      <c r="Q27" s="684"/>
      <c r="R27" s="684"/>
      <c r="S27" s="684"/>
      <c r="T27" s="684"/>
      <c r="BP27" s="796" t="s">
        <v>4754</v>
      </c>
      <c r="BQ27" s="899">
        <f>Interims!BT169</f>
        <v>2.2387984678867987</v>
      </c>
      <c r="BR27" s="899">
        <f>Interims!FJ169</f>
        <v>2.5783815304697915</v>
      </c>
      <c r="BS27" s="1639">
        <f t="shared" si="22"/>
        <v>-0.13170396179541333</v>
      </c>
      <c r="BT27" s="899"/>
      <c r="BU27" s="899"/>
      <c r="BV27" s="899">
        <f>Interims!BO169</f>
        <v>2.3832494622382727</v>
      </c>
      <c r="BW27" s="1639">
        <f t="shared" si="28"/>
        <v>-6.0610941758404979E-2</v>
      </c>
      <c r="BX27" s="897"/>
      <c r="BY27" s="1060" t="s">
        <v>4754</v>
      </c>
      <c r="BZ27" s="1050">
        <f t="shared" si="6"/>
        <v>2.3832494622382727</v>
      </c>
      <c r="CA27" s="1050">
        <f t="shared" si="7"/>
        <v>2.5783815304697915</v>
      </c>
      <c r="CB27" s="1050">
        <f>CA27-BZ27</f>
        <v>0.19513206823151874</v>
      </c>
      <c r="CC27" s="1050"/>
      <c r="CD27" s="1050"/>
      <c r="CE27" s="1050"/>
      <c r="CF27" s="759"/>
      <c r="CI27" s="731"/>
      <c r="CJ27" s="732"/>
      <c r="CK27" s="732"/>
      <c r="CL27" s="732"/>
      <c r="CM27" s="740"/>
      <c r="CN27" s="736"/>
    </row>
    <row r="28" spans="1:154" ht="15.75">
      <c r="A28" s="704"/>
      <c r="B28" s="690" t="s">
        <v>564</v>
      </c>
      <c r="C28" s="690" t="s">
        <v>564</v>
      </c>
      <c r="D28" s="690" t="s">
        <v>564</v>
      </c>
      <c r="E28" s="690" t="s">
        <v>564</v>
      </c>
      <c r="F28" s="690" t="s">
        <v>564</v>
      </c>
      <c r="G28" s="690" t="s">
        <v>564</v>
      </c>
      <c r="H28" s="690" t="s">
        <v>564</v>
      </c>
      <c r="I28" s="690" t="s">
        <v>564</v>
      </c>
      <c r="J28" s="690" t="s">
        <v>564</v>
      </c>
      <c r="K28" s="690" t="s">
        <v>564</v>
      </c>
      <c r="L28" s="690" t="s">
        <v>564</v>
      </c>
      <c r="M28" s="690" t="s">
        <v>564</v>
      </c>
      <c r="N28" s="690" t="s">
        <v>564</v>
      </c>
      <c r="O28" s="690" t="s">
        <v>564</v>
      </c>
      <c r="P28" s="690" t="s">
        <v>564</v>
      </c>
      <c r="Q28" s="690" t="s">
        <v>564</v>
      </c>
      <c r="R28" s="690" t="s">
        <v>564</v>
      </c>
      <c r="S28" s="690" t="s">
        <v>564</v>
      </c>
      <c r="T28" s="690" t="s">
        <v>564</v>
      </c>
      <c r="U28" s="690" t="s">
        <v>564</v>
      </c>
      <c r="V28" s="690" t="s">
        <v>564</v>
      </c>
      <c r="W28" s="690" t="s">
        <v>564</v>
      </c>
      <c r="X28" s="690" t="s">
        <v>564</v>
      </c>
      <c r="Y28" s="690" t="s">
        <v>564</v>
      </c>
      <c r="Z28" s="690" t="s">
        <v>564</v>
      </c>
      <c r="AA28" s="690" t="s">
        <v>564</v>
      </c>
      <c r="AB28" s="690" t="s">
        <v>564</v>
      </c>
      <c r="AC28" s="690" t="s">
        <v>564</v>
      </c>
      <c r="AD28" s="690" t="s">
        <v>564</v>
      </c>
      <c r="AE28" s="690" t="s">
        <v>564</v>
      </c>
      <c r="AF28" s="690" t="s">
        <v>564</v>
      </c>
      <c r="AG28" s="690" t="s">
        <v>564</v>
      </c>
      <c r="AH28" s="684"/>
      <c r="AI28" s="684"/>
      <c r="AJ28" s="684"/>
      <c r="AK28" s="684"/>
      <c r="AL28" s="684"/>
      <c r="AM28" s="684"/>
      <c r="AN28" s="684"/>
      <c r="AO28" s="684"/>
      <c r="AP28" s="684"/>
      <c r="AQ28" s="684"/>
      <c r="AR28" s="684"/>
      <c r="AS28" s="684"/>
      <c r="AT28" s="684"/>
      <c r="AU28" s="684"/>
      <c r="AV28" s="684"/>
      <c r="AW28" s="684"/>
      <c r="AX28" s="684"/>
      <c r="AY28" s="684"/>
      <c r="AZ28" s="684"/>
      <c r="BA28" s="684"/>
      <c r="BB28" s="684"/>
      <c r="BC28" s="684"/>
      <c r="BD28" s="684"/>
      <c r="BE28" s="684"/>
      <c r="BF28" s="684"/>
      <c r="BG28" s="684"/>
      <c r="BH28" s="684"/>
      <c r="BI28" s="684"/>
      <c r="BJ28" s="684"/>
      <c r="BK28" s="684"/>
      <c r="BL28" s="684"/>
      <c r="BM28" s="684"/>
      <c r="BN28" s="684"/>
      <c r="BP28" s="885" t="s">
        <v>6877</v>
      </c>
      <c r="BQ28" s="886"/>
      <c r="BR28" s="886"/>
      <c r="BS28" s="886"/>
      <c r="BT28" s="886"/>
      <c r="BU28" s="886"/>
      <c r="BV28" s="886"/>
      <c r="BW28" s="887"/>
      <c r="BX28" s="684"/>
      <c r="BY28" s="684"/>
      <c r="BZ28" s="684"/>
      <c r="CA28" s="684"/>
      <c r="CB28" s="684"/>
      <c r="CC28" s="684"/>
      <c r="CD28" s="684"/>
      <c r="CE28" s="684"/>
      <c r="CF28" s="759"/>
      <c r="CG28" s="684"/>
      <c r="CH28" s="684"/>
      <c r="CI28" s="702" t="s">
        <v>519</v>
      </c>
      <c r="CJ28" s="698">
        <f>CJ29+CJ30+CJ31</f>
        <v>119.67899999999963</v>
      </c>
      <c r="CK28" s="698">
        <f t="shared" ref="CK28:CM28" si="29">CK29+CK30+CK31</f>
        <v>100</v>
      </c>
      <c r="CL28" s="698"/>
      <c r="CM28" s="741">
        <f t="shared" si="29"/>
        <v>158.1560000000004</v>
      </c>
      <c r="CN28" s="737"/>
      <c r="CO28" s="684"/>
      <c r="CP28" s="684"/>
      <c r="CQ28" s="684"/>
      <c r="CR28" s="684"/>
      <c r="CS28" s="684"/>
      <c r="CT28" s="684"/>
      <c r="CU28" s="684"/>
      <c r="CV28" s="684"/>
      <c r="CW28" s="684"/>
      <c r="CX28" s="684"/>
      <c r="CY28" s="684"/>
      <c r="CZ28" s="684"/>
      <c r="DA28" s="684"/>
      <c r="DB28" s="684"/>
      <c r="DC28" s="684"/>
      <c r="DD28" s="684"/>
      <c r="DE28" s="684"/>
      <c r="DF28" s="684"/>
      <c r="DG28" s="684"/>
      <c r="DH28" s="684"/>
      <c r="DI28" s="684"/>
      <c r="DJ28" s="684"/>
      <c r="DK28" s="684"/>
      <c r="DL28" s="684"/>
      <c r="DM28" s="684"/>
      <c r="DN28" s="684"/>
      <c r="DO28" s="684"/>
      <c r="DP28" s="684"/>
      <c r="DQ28" s="684"/>
      <c r="DR28" s="684"/>
      <c r="DS28" s="684"/>
      <c r="DT28" s="684"/>
      <c r="DU28" s="684"/>
      <c r="DV28" s="684"/>
      <c r="DW28" s="684"/>
      <c r="DX28" s="684"/>
      <c r="DY28" s="684"/>
      <c r="DZ28" s="684"/>
      <c r="EA28" s="684"/>
      <c r="EB28" s="684"/>
      <c r="EC28" s="684"/>
      <c r="ED28" s="684"/>
      <c r="EE28" s="684"/>
      <c r="EF28" s="684"/>
      <c r="EG28" s="684"/>
      <c r="EH28" s="684"/>
      <c r="EI28" s="684"/>
      <c r="EJ28" s="684"/>
      <c r="EK28" s="684"/>
      <c r="EL28" s="684"/>
      <c r="EM28" s="684"/>
      <c r="EN28" s="684"/>
      <c r="EO28" s="684"/>
      <c r="EP28" s="684"/>
      <c r="EQ28" s="684"/>
      <c r="ER28" s="684"/>
      <c r="ES28" s="684"/>
      <c r="ET28" s="684"/>
      <c r="EU28" s="684"/>
      <c r="EV28" s="684"/>
      <c r="EW28" s="684"/>
      <c r="EX28" s="684"/>
    </row>
    <row r="29" spans="1:154" ht="15.75">
      <c r="A29" s="706" t="s">
        <v>564</v>
      </c>
      <c r="B29" s="692" t="s">
        <v>2118</v>
      </c>
      <c r="C29" s="692" t="s">
        <v>2143</v>
      </c>
      <c r="D29" s="692" t="s">
        <v>2232</v>
      </c>
      <c r="E29" s="692" t="s">
        <v>2378</v>
      </c>
      <c r="F29" s="692" t="s">
        <v>2515</v>
      </c>
      <c r="G29" s="692" t="s">
        <v>2596</v>
      </c>
      <c r="H29" s="692" t="s">
        <v>2759</v>
      </c>
      <c r="I29" s="692" t="s">
        <v>3096</v>
      </c>
      <c r="J29" s="692" t="s">
        <v>3256</v>
      </c>
      <c r="K29" s="692" t="s">
        <v>3257</v>
      </c>
      <c r="L29" s="692" t="s">
        <v>3258</v>
      </c>
      <c r="M29" s="692" t="s">
        <v>3259</v>
      </c>
      <c r="N29" s="692" t="s">
        <v>3805</v>
      </c>
      <c r="O29" s="692" t="s">
        <v>3806</v>
      </c>
      <c r="P29" s="692" t="s">
        <v>3807</v>
      </c>
      <c r="Q29" s="692" t="s">
        <v>3808</v>
      </c>
      <c r="R29" s="692" t="s">
        <v>4551</v>
      </c>
      <c r="S29" s="692" t="s">
        <v>4594</v>
      </c>
      <c r="T29" s="692" t="s">
        <v>4594</v>
      </c>
      <c r="U29" s="692" t="s">
        <v>4595</v>
      </c>
      <c r="V29" s="692" t="s">
        <v>5307</v>
      </c>
      <c r="W29" s="692" t="s">
        <v>5308</v>
      </c>
      <c r="X29" s="692" t="s">
        <v>5309</v>
      </c>
      <c r="Y29" s="692" t="s">
        <v>5310</v>
      </c>
      <c r="Z29" s="692" t="s">
        <v>6007</v>
      </c>
      <c r="AA29" s="692" t="s">
        <v>6242</v>
      </c>
      <c r="AB29" s="692" t="s">
        <v>6243</v>
      </c>
      <c r="AC29" s="692" t="s">
        <v>6244</v>
      </c>
      <c r="AD29" s="692" t="s">
        <v>6473</v>
      </c>
      <c r="AE29" s="692" t="s">
        <v>6474</v>
      </c>
      <c r="AF29" s="692" t="s">
        <v>6475</v>
      </c>
      <c r="AG29" s="692" t="s">
        <v>6476</v>
      </c>
      <c r="AH29" s="684"/>
      <c r="AI29" s="684"/>
      <c r="AJ29" s="684"/>
      <c r="AK29" s="684"/>
      <c r="AL29" s="684"/>
      <c r="AM29" s="684"/>
      <c r="AN29" s="684"/>
      <c r="AO29" s="684"/>
      <c r="AP29" s="684"/>
      <c r="AQ29" s="684"/>
      <c r="AR29" s="684"/>
      <c r="AS29" s="684"/>
      <c r="AT29" s="684"/>
      <c r="AU29" s="684"/>
      <c r="AV29" s="684"/>
      <c r="AW29" s="684"/>
      <c r="AX29" s="684"/>
      <c r="AY29" s="684"/>
      <c r="AZ29" s="684"/>
      <c r="BA29" s="684"/>
      <c r="BB29" s="684"/>
      <c r="BC29" s="684"/>
      <c r="BD29" s="684"/>
      <c r="BE29" s="684"/>
      <c r="BF29" s="684"/>
      <c r="BG29" s="684"/>
      <c r="BH29" s="684"/>
      <c r="BI29" s="684"/>
      <c r="BJ29" s="684"/>
      <c r="BK29" s="684"/>
      <c r="BL29" s="684"/>
      <c r="BM29" s="684"/>
      <c r="BN29" s="684"/>
      <c r="BO29" s="684"/>
      <c r="BP29" s="797" t="s">
        <v>200</v>
      </c>
      <c r="BQ29" s="790">
        <f>'VOD-quarts'!O3</f>
        <v>1149</v>
      </c>
      <c r="BR29" s="790"/>
      <c r="BS29" s="798"/>
      <c r="BT29" s="799"/>
      <c r="BU29" s="799"/>
      <c r="BV29" s="800"/>
      <c r="BW29" s="801"/>
      <c r="BX29" s="684"/>
      <c r="BY29" s="684"/>
      <c r="BZ29" s="684"/>
      <c r="CA29" s="684"/>
      <c r="CB29" s="684"/>
      <c r="CC29" s="684"/>
      <c r="CD29" s="684"/>
      <c r="CE29" s="684"/>
      <c r="CF29" s="684"/>
      <c r="CG29" s="684"/>
      <c r="CH29" s="684"/>
      <c r="CI29" s="731" t="s">
        <v>74</v>
      </c>
      <c r="CJ29" s="746">
        <v>2.1779999999998836</v>
      </c>
      <c r="CK29" s="746">
        <v>10</v>
      </c>
      <c r="CL29" s="746"/>
      <c r="CM29" s="740">
        <v>21.733000000000175</v>
      </c>
      <c r="CN29" s="736"/>
      <c r="CO29" s="684"/>
      <c r="CP29" s="684"/>
      <c r="CQ29" s="684"/>
      <c r="CR29" s="684"/>
      <c r="CS29" s="684"/>
      <c r="CT29" s="684"/>
      <c r="CU29" s="684"/>
      <c r="CV29" s="684"/>
      <c r="CW29" s="684"/>
      <c r="CX29" s="684"/>
      <c r="CY29" s="684"/>
      <c r="CZ29" s="684"/>
      <c r="DA29" s="684"/>
      <c r="DB29" s="684"/>
      <c r="DC29" s="684"/>
      <c r="DD29" s="684"/>
      <c r="DE29" s="684"/>
      <c r="DF29" s="684"/>
      <c r="DG29" s="684"/>
      <c r="DH29" s="684"/>
      <c r="DI29" s="684"/>
      <c r="DJ29" s="684"/>
      <c r="DK29" s="684"/>
      <c r="DL29" s="684"/>
      <c r="DM29" s="684"/>
      <c r="DN29" s="684"/>
      <c r="DO29" s="684"/>
      <c r="DP29" s="684"/>
      <c r="DQ29" s="684"/>
      <c r="DR29" s="684"/>
      <c r="DS29" s="684"/>
      <c r="DT29" s="684"/>
      <c r="DU29" s="684"/>
      <c r="DV29" s="684"/>
      <c r="DW29" s="684"/>
      <c r="DX29" s="684"/>
      <c r="DY29" s="684"/>
      <c r="DZ29" s="684"/>
      <c r="EA29" s="684"/>
      <c r="EB29" s="684"/>
      <c r="EC29" s="684"/>
      <c r="ED29" s="684"/>
      <c r="EE29" s="684"/>
      <c r="EF29" s="684"/>
      <c r="EG29" s="684"/>
      <c r="EH29" s="684"/>
      <c r="EI29" s="684"/>
      <c r="EJ29" s="684"/>
      <c r="EK29" s="684"/>
      <c r="EL29" s="684"/>
      <c r="EM29" s="684"/>
      <c r="EN29" s="684"/>
      <c r="EO29" s="684"/>
      <c r="EP29" s="684"/>
      <c r="EQ29" s="684"/>
      <c r="ER29" s="684"/>
      <c r="ES29" s="684"/>
      <c r="ET29" s="684"/>
      <c r="EU29" s="684"/>
      <c r="EV29" s="684"/>
      <c r="EW29" s="684"/>
      <c r="EX29" s="684"/>
    </row>
    <row r="30" spans="1:154" ht="15.75">
      <c r="A30" s="707" t="str">
        <f>Interims!A7</f>
        <v>Content</v>
      </c>
      <c r="B30" s="697">
        <f>Interims!CP7</f>
        <v>5.7092956728597599E-2</v>
      </c>
      <c r="C30" s="697">
        <f>Interims!CQ7</f>
        <v>-9.178157063636172E-2</v>
      </c>
      <c r="D30" s="697">
        <f>Interims!CR7</f>
        <v>3.0237377452765335E-2</v>
      </c>
      <c r="E30" s="697">
        <f>Interims!CS7</f>
        <v>-3.2992506603892191E-2</v>
      </c>
      <c r="F30" s="697">
        <f>Interims!CU7</f>
        <v>7.1984047856430866E-2</v>
      </c>
      <c r="G30" s="697">
        <f>Interims!CV7</f>
        <v>0.10980689132904198</v>
      </c>
      <c r="H30" s="697">
        <f>Interims!CW7</f>
        <v>5.8080222582890251E-3</v>
      </c>
      <c r="I30" s="697">
        <f>Interims!CX7</f>
        <v>8.6280266850017773E-2</v>
      </c>
      <c r="J30" s="697">
        <f>Interims!CZ7</f>
        <v>-3.1316432823129348E-2</v>
      </c>
      <c r="K30" s="697">
        <f>Interims!DA7</f>
        <v>-8.1553508472648639E-2</v>
      </c>
      <c r="L30" s="697">
        <f>Interims!DB7</f>
        <v>-7.5045239220387083E-2</v>
      </c>
      <c r="M30" s="697">
        <f>Interims!DC7</f>
        <v>-9.2839058437115263E-2</v>
      </c>
      <c r="N30" s="697">
        <f>Interims!DE7</f>
        <v>8.3489925521554875E-2</v>
      </c>
      <c r="O30" s="697">
        <f>Interims!DF7</f>
        <v>0.35853589073663628</v>
      </c>
      <c r="P30" s="697">
        <f>Interims!DG7</f>
        <v>0.20998130841121498</v>
      </c>
      <c r="Q30" s="697">
        <f>Interims!DH7</f>
        <v>3.4886571498615737E-3</v>
      </c>
      <c r="R30" s="697">
        <f>Interims!DJ7</f>
        <v>-9.0449907587918044E-2</v>
      </c>
      <c r="S30" s="697">
        <f>Interims!DK7</f>
        <v>-0.26627413092221608</v>
      </c>
      <c r="T30" s="697">
        <f>Interims!DL7</f>
        <v>-0.10821721712443755</v>
      </c>
      <c r="U30" s="697">
        <f>Interims!DM7</f>
        <v>4.921637163152548E-2</v>
      </c>
      <c r="V30" s="697">
        <f>Interims!DO7</f>
        <v>-6.3647371570933364E-2</v>
      </c>
      <c r="W30" s="697">
        <f>Interims!DP7</f>
        <v>-0.16265838509316777</v>
      </c>
      <c r="X30" s="697">
        <f>Interims!DQ7</f>
        <v>-7.2280669338168124E-2</v>
      </c>
      <c r="Y30" s="697">
        <f>Interims!DR7</f>
        <v>-4.9433130944064319E-3</v>
      </c>
      <c r="Z30" s="697">
        <f>Interims!DT7</f>
        <v>0.10232475176883282</v>
      </c>
      <c r="AA30" s="697">
        <f>Interims!DU7</f>
        <v>0.16547488354152451</v>
      </c>
      <c r="AB30" s="697">
        <f>Interims!DV7</f>
        <v>0.13399058928971552</v>
      </c>
      <c r="AC30" s="697">
        <f>Interims!DW7</f>
        <v>4.0309951941249533E-2</v>
      </c>
      <c r="AD30" s="697">
        <f>Interims!DY7</f>
        <v>0</v>
      </c>
      <c r="AE30" s="697"/>
      <c r="AF30" s="697"/>
      <c r="AG30" s="697"/>
      <c r="AH30" s="684"/>
      <c r="AI30" s="684"/>
      <c r="AJ30" s="684"/>
      <c r="AK30" s="684"/>
      <c r="AL30" s="684"/>
      <c r="AM30" s="684"/>
      <c r="AN30" s="684"/>
      <c r="AO30" s="684"/>
      <c r="AP30" s="684"/>
      <c r="AQ30" s="684"/>
      <c r="AR30" s="684"/>
      <c r="AS30" s="684"/>
      <c r="AT30" s="684"/>
      <c r="AU30" s="684"/>
      <c r="AV30" s="684"/>
      <c r="AW30" s="684"/>
      <c r="AX30" s="684"/>
      <c r="AY30" s="684"/>
      <c r="AZ30" s="684"/>
      <c r="BA30" s="684"/>
      <c r="BB30" s="684"/>
      <c r="BC30" s="684"/>
      <c r="BD30" s="684"/>
      <c r="BE30" s="684"/>
      <c r="BF30" s="684"/>
      <c r="BG30" s="684"/>
      <c r="BH30" s="684"/>
      <c r="BI30" s="684"/>
      <c r="BJ30" s="684"/>
      <c r="BK30" s="684"/>
      <c r="BL30" s="684"/>
      <c r="BM30" s="684"/>
      <c r="BN30" s="684"/>
      <c r="BO30" s="684"/>
      <c r="BP30" s="883" t="s">
        <v>6817</v>
      </c>
      <c r="BQ30" s="888">
        <f>'VOD-quarts'!O12</f>
        <v>328.5</v>
      </c>
      <c r="BR30" s="888"/>
      <c r="BS30" s="889"/>
      <c r="BT30" s="884"/>
      <c r="BU30" s="884"/>
      <c r="BV30" s="888"/>
      <c r="BW30" s="890"/>
      <c r="BX30" s="684"/>
      <c r="BY30" s="684"/>
      <c r="BZ30" s="684"/>
      <c r="CA30" s="684"/>
      <c r="CB30" s="684"/>
      <c r="CC30" s="684"/>
      <c r="CD30" s="684"/>
      <c r="CE30" s="684"/>
      <c r="CF30" s="684"/>
      <c r="CG30" s="684"/>
      <c r="CH30" s="684"/>
      <c r="CI30" s="700" t="s">
        <v>611</v>
      </c>
      <c r="CJ30" s="701">
        <v>59.403999999999996</v>
      </c>
      <c r="CK30" s="701">
        <v>50</v>
      </c>
      <c r="CL30" s="701"/>
      <c r="CM30" s="739">
        <v>58</v>
      </c>
      <c r="CN30" s="737"/>
      <c r="CO30" s="684"/>
      <c r="CP30" s="684"/>
      <c r="CQ30" s="684"/>
      <c r="CR30" s="684"/>
      <c r="CS30" s="684"/>
      <c r="CT30" s="684"/>
      <c r="CU30" s="684"/>
      <c r="CV30" s="684"/>
      <c r="CW30" s="684"/>
      <c r="CX30" s="684"/>
      <c r="CY30" s="684"/>
      <c r="CZ30" s="684"/>
      <c r="DA30" s="684"/>
      <c r="DB30" s="684"/>
      <c r="DC30" s="684"/>
      <c r="DD30" s="684"/>
      <c r="DE30" s="684"/>
      <c r="DF30" s="684"/>
      <c r="DG30" s="684"/>
      <c r="DH30" s="684"/>
      <c r="DI30" s="684"/>
      <c r="DJ30" s="684"/>
      <c r="DK30" s="684"/>
      <c r="DL30" s="684"/>
      <c r="DM30" s="684"/>
      <c r="DN30" s="684"/>
      <c r="DO30" s="684"/>
      <c r="DP30" s="684"/>
      <c r="DQ30" s="684"/>
      <c r="DR30" s="684"/>
      <c r="DS30" s="684"/>
      <c r="DT30" s="684"/>
      <c r="DU30" s="684"/>
      <c r="DV30" s="684"/>
      <c r="DW30" s="684"/>
      <c r="DX30" s="684"/>
      <c r="DY30" s="684"/>
      <c r="DZ30" s="684"/>
      <c r="EA30" s="684"/>
      <c r="EB30" s="684"/>
      <c r="EC30" s="684"/>
      <c r="ED30" s="684"/>
      <c r="EE30" s="684"/>
      <c r="EF30" s="684"/>
      <c r="EG30" s="684"/>
      <c r="EH30" s="684"/>
      <c r="EI30" s="684"/>
      <c r="EJ30" s="684"/>
      <c r="EK30" s="684"/>
      <c r="EL30" s="684"/>
      <c r="EM30" s="684"/>
      <c r="EN30" s="684"/>
      <c r="EO30" s="684"/>
      <c r="EP30" s="684"/>
      <c r="EQ30" s="684"/>
      <c r="ER30" s="684"/>
      <c r="ES30" s="684"/>
      <c r="ET30" s="684"/>
      <c r="EU30" s="684"/>
      <c r="EV30" s="684"/>
      <c r="EW30" s="684"/>
      <c r="EX30" s="684"/>
    </row>
    <row r="31" spans="1:154" ht="15.75" thickBot="1">
      <c r="A31" s="708" t="s">
        <v>1104</v>
      </c>
      <c r="B31" s="697"/>
      <c r="C31" s="697"/>
      <c r="D31" s="697"/>
      <c r="E31" s="697"/>
      <c r="F31" s="697"/>
      <c r="G31" s="697"/>
      <c r="H31" s="697"/>
      <c r="I31" s="697"/>
      <c r="J31" s="697"/>
      <c r="K31" s="697"/>
      <c r="L31" s="697"/>
      <c r="M31" s="697"/>
      <c r="N31" s="697"/>
      <c r="O31" s="697"/>
      <c r="P31" s="697"/>
      <c r="Q31" s="697"/>
      <c r="R31" s="697"/>
      <c r="S31" s="697"/>
      <c r="T31" s="697"/>
      <c r="U31" s="697"/>
      <c r="V31" s="697"/>
      <c r="W31" s="697"/>
      <c r="X31" s="697"/>
      <c r="Y31" s="697"/>
      <c r="Z31" s="697"/>
      <c r="AA31" s="697"/>
      <c r="AB31" s="697"/>
      <c r="AC31" s="697"/>
      <c r="AD31" s="697"/>
      <c r="AE31" s="697"/>
      <c r="AF31" s="697"/>
      <c r="AG31" s="697"/>
      <c r="AH31" s="684"/>
      <c r="AI31" s="684"/>
      <c r="AJ31" s="684"/>
      <c r="AK31" s="684"/>
      <c r="AL31" s="684"/>
      <c r="AM31" s="684"/>
      <c r="AN31" s="684"/>
      <c r="AO31" s="684"/>
      <c r="AP31" s="684"/>
      <c r="AQ31" s="684"/>
      <c r="AR31" s="684"/>
      <c r="AS31" s="684"/>
      <c r="AT31" s="684"/>
      <c r="AU31" s="684"/>
      <c r="AV31" s="684"/>
      <c r="AW31" s="684"/>
      <c r="AX31" s="684"/>
      <c r="AY31" s="684"/>
      <c r="AZ31" s="684"/>
      <c r="BA31" s="684"/>
      <c r="BB31" s="684"/>
      <c r="BC31" s="684"/>
      <c r="BD31" s="684"/>
      <c r="BE31" s="684"/>
      <c r="BF31" s="684"/>
      <c r="BG31" s="684"/>
      <c r="BH31" s="684"/>
      <c r="BI31" s="684"/>
      <c r="BJ31" s="684"/>
      <c r="BK31" s="684"/>
      <c r="BL31" s="684"/>
      <c r="BM31" s="684"/>
      <c r="BN31" s="684"/>
      <c r="BX31" s="684"/>
      <c r="BY31" s="684"/>
      <c r="BZ31" s="684"/>
      <c r="CA31" s="684"/>
      <c r="CB31" s="684"/>
      <c r="CC31" s="684"/>
      <c r="CD31" s="684"/>
      <c r="CE31" s="684"/>
      <c r="CF31" s="684"/>
      <c r="CG31" s="684"/>
      <c r="CH31" s="684"/>
      <c r="CI31" s="731" t="s">
        <v>612</v>
      </c>
      <c r="CJ31" s="732">
        <v>58.096999999999753</v>
      </c>
      <c r="CK31" s="732">
        <v>40</v>
      </c>
      <c r="CL31" s="732"/>
      <c r="CM31" s="740">
        <v>78.423000000000229</v>
      </c>
      <c r="CN31" s="736"/>
      <c r="CO31" s="684"/>
      <c r="CP31" s="684"/>
      <c r="CQ31" s="684"/>
      <c r="CR31" s="684"/>
      <c r="CS31" s="684"/>
      <c r="CT31" s="684"/>
      <c r="CU31" s="684"/>
      <c r="CV31" s="684"/>
      <c r="CW31" s="684"/>
      <c r="CX31" s="684"/>
      <c r="CY31" s="684"/>
      <c r="CZ31" s="684"/>
      <c r="DA31" s="684"/>
      <c r="DB31" s="684"/>
      <c r="DC31" s="684"/>
      <c r="DD31" s="684"/>
      <c r="DE31" s="684"/>
      <c r="DF31" s="684"/>
      <c r="DG31" s="684"/>
      <c r="DH31" s="684"/>
      <c r="DI31" s="684"/>
      <c r="DJ31" s="684"/>
      <c r="DK31" s="684"/>
      <c r="DL31" s="684"/>
      <c r="DM31" s="684"/>
      <c r="DN31" s="684"/>
      <c r="DO31" s="684"/>
      <c r="DP31" s="684"/>
      <c r="DQ31" s="684"/>
      <c r="DR31" s="684"/>
      <c r="DS31" s="684"/>
      <c r="DT31" s="684"/>
      <c r="DU31" s="684"/>
      <c r="DV31" s="684"/>
      <c r="DW31" s="684"/>
      <c r="DX31" s="684"/>
      <c r="DY31" s="684"/>
      <c r="DZ31" s="684"/>
      <c r="EA31" s="684"/>
      <c r="EB31" s="684"/>
      <c r="EC31" s="684"/>
      <c r="ED31" s="684"/>
      <c r="EE31" s="684"/>
      <c r="EF31" s="684"/>
      <c r="EG31" s="684"/>
      <c r="EH31" s="684"/>
      <c r="EI31" s="684"/>
      <c r="EJ31" s="684"/>
      <c r="EK31" s="684"/>
      <c r="EL31" s="684"/>
      <c r="EM31" s="684"/>
      <c r="EN31" s="684"/>
      <c r="EO31" s="684"/>
      <c r="EP31" s="684"/>
      <c r="EQ31" s="684"/>
      <c r="ER31" s="684"/>
      <c r="ES31" s="684"/>
      <c r="ET31" s="684"/>
      <c r="EU31" s="684"/>
      <c r="EV31" s="684"/>
      <c r="EW31" s="684"/>
      <c r="EX31" s="684"/>
    </row>
    <row r="32" spans="1:154" ht="16.5" thickBot="1">
      <c r="A32" s="710" t="str">
        <f>Interims!A8</f>
        <v>Advertising</v>
      </c>
      <c r="B32" s="711">
        <f>Interims!CP8</f>
        <v>1.5661380310152184E-2</v>
      </c>
      <c r="C32" s="711">
        <f>Interims!CQ8</f>
        <v>-0.16380672657908601</v>
      </c>
      <c r="D32" s="711">
        <f>Interims!CR8</f>
        <v>-8.9004887455530701E-2</v>
      </c>
      <c r="E32" s="711">
        <f>Interims!CS8</f>
        <v>-0.10959110390362525</v>
      </c>
      <c r="F32" s="711">
        <f>Interims!CU8</f>
        <v>-3.1402063193408103E-2</v>
      </c>
      <c r="G32" s="711">
        <f>Interims!CV8</f>
        <v>2.1475613248067127E-2</v>
      </c>
      <c r="H32" s="711">
        <f>Interims!CW8</f>
        <v>-1.5018248175182491E-2</v>
      </c>
      <c r="I32" s="711">
        <f>Interims!CX8</f>
        <v>4.0185250230912128E-2</v>
      </c>
      <c r="J32" s="711">
        <f>Interims!CZ8</f>
        <v>-7.8259316319467698E-2</v>
      </c>
      <c r="K32" s="711">
        <f>Interims!DA8</f>
        <v>-9.8000373761913617E-2</v>
      </c>
      <c r="L32" s="711">
        <f>Interims!DB8</f>
        <v>-8.4091372251143937E-2</v>
      </c>
      <c r="M32" s="711">
        <f>Interims!DC8</f>
        <v>-0.1469896695765277</v>
      </c>
      <c r="N32" s="711">
        <f>Interims!DE8</f>
        <v>3.5003149072234896E-2</v>
      </c>
      <c r="O32" s="711">
        <f>Interims!DF8</f>
        <v>9.0995731985248351E-2</v>
      </c>
      <c r="P32" s="711">
        <f>Interims!DG8</f>
        <v>2.1724179780735486E-2</v>
      </c>
      <c r="Q32" s="711">
        <f>Interims!DH8</f>
        <v>-3.7431273367054985E-2</v>
      </c>
      <c r="R32" s="711">
        <f>Interims!DJ8</f>
        <v>-0.13827322302057243</v>
      </c>
      <c r="S32" s="711">
        <f>Interims!DK8</f>
        <v>-0.17005963006570701</v>
      </c>
      <c r="T32" s="711">
        <f>Interims!DL8</f>
        <v>-5.2324200190053904E-2</v>
      </c>
      <c r="U32" s="711">
        <f>Interims!DM8</f>
        <v>8.4384329494910926E-3</v>
      </c>
      <c r="V32" s="711">
        <f>Interims!DO8</f>
        <v>-0.28430973138868521</v>
      </c>
      <c r="W32" s="711">
        <f>Interims!DP8</f>
        <v>-0.33135025055488188</v>
      </c>
      <c r="X32" s="711">
        <f>Interims!DQ8</f>
        <v>-0.13004240740353878</v>
      </c>
      <c r="Y32" s="711">
        <f>Interims!DR8</f>
        <v>1.1328278403770486E-3</v>
      </c>
      <c r="Z32" s="711">
        <f>Interims!DT8</f>
        <v>0.28074835869606485</v>
      </c>
      <c r="AA32" s="711">
        <f>Interims!DU8</f>
        <v>0.32092259256724387</v>
      </c>
      <c r="AB32" s="711">
        <f>Interims!DV8</f>
        <v>0.15834213812313913</v>
      </c>
      <c r="AC32" s="711">
        <f>Interims!DW8</f>
        <v>7.1679666872859427E-2</v>
      </c>
      <c r="AD32" s="711">
        <f>Interims!DY8</f>
        <v>0</v>
      </c>
      <c r="AE32" s="712"/>
      <c r="AF32" s="712"/>
      <c r="AG32" s="712"/>
      <c r="AH32" s="684"/>
      <c r="AI32" s="684"/>
      <c r="AJ32" s="684"/>
      <c r="AK32" s="684"/>
      <c r="AL32" s="684"/>
      <c r="AM32" s="684"/>
      <c r="AN32" s="684"/>
      <c r="AO32" s="684"/>
      <c r="AP32" s="684"/>
      <c r="AQ32" s="684"/>
      <c r="AR32" s="684"/>
      <c r="AS32" s="684"/>
      <c r="AT32" s="684"/>
      <c r="AU32" s="684"/>
      <c r="AV32" s="684"/>
      <c r="AW32" s="684"/>
      <c r="AX32" s="684"/>
      <c r="AY32" s="684"/>
      <c r="AZ32" s="684"/>
      <c r="BA32" s="684"/>
      <c r="BB32" s="684"/>
      <c r="BC32" s="684"/>
      <c r="BD32" s="684"/>
      <c r="BE32" s="684"/>
      <c r="BF32" s="684"/>
      <c r="BG32" s="684"/>
      <c r="BH32" s="684"/>
      <c r="BI32" s="684"/>
      <c r="BJ32" s="684"/>
      <c r="BK32" s="684"/>
      <c r="BL32" s="684"/>
      <c r="BM32" s="684"/>
      <c r="BN32" s="684"/>
      <c r="BP32" s="1642" t="str">
        <f>BP19</f>
        <v>EBITDA</v>
      </c>
      <c r="BQ32" s="894">
        <f>BQ19-2472.4</f>
        <v>5488.7999999999993</v>
      </c>
      <c r="BR32" s="1641">
        <f>BR19</f>
        <v>5955.5520000000006</v>
      </c>
      <c r="BS32" s="807">
        <f>BQ32/BR32-1</f>
        <v>-7.8372584103035492E-2</v>
      </c>
      <c r="BT32" s="1641">
        <f>BT19</f>
        <v>5621.3</v>
      </c>
      <c r="BU32" s="807">
        <f>BQ32/BT32-1</f>
        <v>-2.3571060075071815E-2</v>
      </c>
      <c r="BV32" s="684"/>
      <c r="BW32" s="684"/>
      <c r="BX32" s="684"/>
      <c r="BY32" s="684"/>
      <c r="BZ32" s="684"/>
      <c r="CA32" s="684"/>
      <c r="CB32" s="684"/>
      <c r="CC32" s="684"/>
      <c r="CD32" s="684"/>
      <c r="CE32" s="684"/>
      <c r="CF32" s="684"/>
      <c r="CG32" s="684"/>
      <c r="CH32" s="684"/>
      <c r="CI32" s="700"/>
      <c r="CJ32" s="701"/>
      <c r="CK32" s="701"/>
      <c r="CL32" s="701"/>
      <c r="CM32" s="739"/>
      <c r="CN32" s="735"/>
      <c r="CO32" s="684"/>
      <c r="CP32" s="684"/>
      <c r="CQ32" s="684"/>
      <c r="CR32" s="684"/>
      <c r="CS32" s="684"/>
      <c r="CT32" s="684"/>
      <c r="CU32" s="684"/>
      <c r="CV32" s="684"/>
      <c r="CW32" s="684"/>
      <c r="CX32" s="684"/>
      <c r="CY32" s="684"/>
      <c r="CZ32" s="684"/>
      <c r="DA32" s="684"/>
      <c r="DB32" s="684"/>
      <c r="DC32" s="684"/>
      <c r="DD32" s="684"/>
      <c r="DE32" s="684"/>
      <c r="DF32" s="684"/>
      <c r="DG32" s="684"/>
      <c r="DH32" s="684"/>
      <c r="DI32" s="684"/>
      <c r="DJ32" s="684"/>
      <c r="DK32" s="684"/>
      <c r="DL32" s="684"/>
      <c r="DM32" s="684"/>
      <c r="DN32" s="684"/>
      <c r="DO32" s="684"/>
      <c r="DP32" s="684"/>
      <c r="DQ32" s="684"/>
      <c r="DR32" s="684"/>
      <c r="DS32" s="684"/>
      <c r="DT32" s="684"/>
      <c r="DU32" s="684"/>
      <c r="DV32" s="684"/>
      <c r="DW32" s="684"/>
      <c r="DX32" s="684"/>
      <c r="DY32" s="684"/>
      <c r="DZ32" s="684"/>
      <c r="EA32" s="684"/>
      <c r="EB32" s="684"/>
      <c r="EC32" s="684"/>
      <c r="ED32" s="684"/>
      <c r="EE32" s="684"/>
      <c r="EF32" s="684"/>
      <c r="EG32" s="684"/>
      <c r="EH32" s="684"/>
      <c r="EI32" s="684"/>
      <c r="EJ32" s="684"/>
      <c r="EK32" s="684"/>
      <c r="EL32" s="684"/>
      <c r="EM32" s="684"/>
      <c r="EN32" s="684"/>
      <c r="EO32" s="684"/>
      <c r="EP32" s="684"/>
      <c r="EQ32" s="684"/>
      <c r="ER32" s="684"/>
      <c r="ES32" s="684"/>
      <c r="ET32" s="684"/>
      <c r="EU32" s="684"/>
      <c r="EV32" s="684"/>
      <c r="EW32" s="684"/>
      <c r="EX32" s="684"/>
    </row>
    <row r="33" spans="1:152" ht="15.75">
      <c r="A33" s="707" t="s">
        <v>1627</v>
      </c>
      <c r="B33" s="697">
        <f>Interims!CP9</f>
        <v>0.1943031536113935</v>
      </c>
      <c r="C33" s="697">
        <f>Interims!CQ9</f>
        <v>0.27098214285714284</v>
      </c>
      <c r="D33" s="697">
        <f>Interims!CR9</f>
        <v>0.30132219902574819</v>
      </c>
      <c r="E33" s="697">
        <f>Interims!CS9</f>
        <v>0.26901263212168103</v>
      </c>
      <c r="F33" s="697">
        <f>Interims!CU9</f>
        <v>0.31163300073010491</v>
      </c>
      <c r="G33" s="697">
        <f>Interims!CV9</f>
        <v>0.34679779885259321</v>
      </c>
      <c r="H33" s="697">
        <f>Interims!CW9</f>
        <v>0.20406417112299469</v>
      </c>
      <c r="I33" s="697">
        <f>Interims!CX9</f>
        <v>6.1757237176231605E-2</v>
      </c>
      <c r="J33" s="697">
        <f>Interims!CZ9</f>
        <v>-3.3027182484460682E-2</v>
      </c>
      <c r="K33" s="697">
        <f>Interims!DA9</f>
        <v>-0.18186560027818821</v>
      </c>
      <c r="L33" s="697">
        <f>Interims!DB9</f>
        <v>-0.17418724462604362</v>
      </c>
      <c r="M33" s="697">
        <f>Interims!DC9</f>
        <v>9.5474983258394097E-2</v>
      </c>
      <c r="N33" s="697">
        <f>Interims!DE9</f>
        <v>0.13124820109373503</v>
      </c>
      <c r="O33" s="697">
        <f>Interims!DF9</f>
        <v>0.27595367123578773</v>
      </c>
      <c r="P33" s="697">
        <f>Interims!DG9</f>
        <v>0.27223835645907268</v>
      </c>
      <c r="Q33" s="697">
        <f>Interims!DH9</f>
        <v>9.3004977731203198E-2</v>
      </c>
      <c r="R33" s="697">
        <f>Interims!DJ9</f>
        <v>3.324569586973114E-2</v>
      </c>
      <c r="S33" s="697">
        <f>Interims!DK9</f>
        <v>4.3304463690874151E-3</v>
      </c>
      <c r="T33" s="697">
        <f>Interims!DL9</f>
        <v>4.7429827527899926E-2</v>
      </c>
      <c r="U33" s="697">
        <f>Interims!DM9</f>
        <v>6.2639821029082166E-2</v>
      </c>
      <c r="V33" s="697">
        <f>Interims!DO9</f>
        <v>9.3408848395304833E-2</v>
      </c>
      <c r="W33" s="697">
        <f>Interims!DP9</f>
        <v>0.16144278606965168</v>
      </c>
      <c r="X33" s="697">
        <f>Interims!DQ9</f>
        <v>7.4905157801275379E-2</v>
      </c>
      <c r="Y33" s="697">
        <f>Interims!DR9</f>
        <v>5.3909774436090574E-2</v>
      </c>
      <c r="Z33" s="697">
        <f>Interims!DT9</f>
        <v>9.5338187823736931E-3</v>
      </c>
      <c r="AA33" s="697">
        <f>Interims!DU9</f>
        <v>-5.1188691368601491E-2</v>
      </c>
      <c r="AB33" s="697">
        <f>Interims!DV9</f>
        <v>-5.8571750394232902E-3</v>
      </c>
      <c r="AC33" s="697">
        <f>Interims!DW9</f>
        <v>-6.5634586573449782E-3</v>
      </c>
      <c r="AD33" s="697">
        <f>Interims!DY9</f>
        <v>0</v>
      </c>
      <c r="AE33" s="697"/>
      <c r="AF33" s="697"/>
      <c r="AG33" s="697"/>
      <c r="AH33" s="684"/>
      <c r="AI33" s="684"/>
      <c r="AJ33" s="684"/>
      <c r="AK33" s="684"/>
      <c r="AL33" s="684"/>
      <c r="AM33" s="684"/>
      <c r="AN33" s="684"/>
      <c r="AO33" s="684"/>
      <c r="AP33" s="684"/>
      <c r="AQ33" s="684"/>
      <c r="AR33" s="684"/>
      <c r="AS33" s="684"/>
      <c r="AT33" s="684"/>
      <c r="AU33" s="684"/>
      <c r="AV33" s="684"/>
      <c r="AW33" s="684"/>
      <c r="AX33" s="684"/>
      <c r="AY33" s="684"/>
      <c r="AZ33" s="684"/>
      <c r="BA33" s="684"/>
      <c r="BB33" s="684"/>
      <c r="BC33" s="684"/>
      <c r="BD33" s="684"/>
      <c r="BE33" s="684"/>
      <c r="BF33" s="684"/>
      <c r="BG33" s="684"/>
      <c r="BH33" s="684"/>
      <c r="BI33" s="684"/>
      <c r="BJ33" s="684"/>
      <c r="BK33" s="684"/>
      <c r="BL33" s="684"/>
      <c r="BM33" s="684"/>
      <c r="BN33" s="684"/>
      <c r="BP33" s="685" t="str">
        <f>BP21</f>
        <v>Operating income</v>
      </c>
      <c r="BQ33" s="894">
        <f>BQ21-2472.4</f>
        <v>453.79999999999927</v>
      </c>
      <c r="BR33" s="1641">
        <f>BR21</f>
        <v>705.55200000000059</v>
      </c>
      <c r="BS33" s="807">
        <f>BQ33/BR33-1</f>
        <v>-0.35681565639386059</v>
      </c>
      <c r="BT33" s="1641">
        <f>BT21</f>
        <v>579.79999999999995</v>
      </c>
      <c r="BU33" s="807">
        <f>BQ33/BT33-1</f>
        <v>-0.21731631597102563</v>
      </c>
      <c r="BV33" s="684"/>
      <c r="BW33" s="684"/>
      <c r="BX33" s="684"/>
      <c r="BY33" s="684"/>
      <c r="BZ33" s="684"/>
      <c r="CA33" s="684"/>
      <c r="CB33" s="684"/>
      <c r="CC33" s="684"/>
      <c r="CD33" s="684"/>
      <c r="CE33" s="684"/>
      <c r="CF33" s="684"/>
      <c r="CG33" s="684"/>
      <c r="CH33" s="684"/>
      <c r="CI33" s="729" t="s">
        <v>6881</v>
      </c>
      <c r="CJ33" s="730">
        <v>3228.4879999999998</v>
      </c>
      <c r="CK33" s="730">
        <v>3299.8430155340002</v>
      </c>
      <c r="CL33" s="730">
        <v>3218</v>
      </c>
      <c r="CM33" s="738">
        <v>3011</v>
      </c>
      <c r="CN33" s="734">
        <f>CK33/CM33-1</f>
        <v>9.5929264541348536E-2</v>
      </c>
      <c r="CO33" s="684"/>
      <c r="CP33" s="684"/>
      <c r="CQ33" s="684"/>
      <c r="CR33" s="684"/>
      <c r="CS33" s="684"/>
      <c r="CT33" s="684"/>
      <c r="CU33" s="684"/>
      <c r="CV33" s="684"/>
      <c r="CW33" s="684"/>
      <c r="CX33" s="684"/>
      <c r="CY33" s="684"/>
      <c r="CZ33" s="684"/>
      <c r="DA33" s="684"/>
      <c r="DB33" s="684"/>
      <c r="DC33" s="684"/>
      <c r="DD33" s="684"/>
      <c r="DE33" s="684"/>
      <c r="DF33" s="684"/>
      <c r="DG33" s="684"/>
      <c r="DH33" s="684"/>
      <c r="DI33" s="684"/>
      <c r="DJ33" s="684"/>
      <c r="DK33" s="684"/>
      <c r="DL33" s="684"/>
      <c r="DM33" s="684"/>
      <c r="DN33" s="684"/>
      <c r="DO33" s="684"/>
      <c r="DP33" s="684"/>
      <c r="DQ33" s="684"/>
      <c r="DR33" s="684"/>
      <c r="DS33" s="684"/>
      <c r="DT33" s="684"/>
      <c r="DU33" s="684"/>
      <c r="DV33" s="684"/>
      <c r="DW33" s="684"/>
      <c r="DX33" s="684"/>
      <c r="DY33" s="684"/>
      <c r="DZ33" s="684"/>
      <c r="EA33" s="684"/>
      <c r="EB33" s="684"/>
      <c r="EC33" s="684"/>
      <c r="ED33" s="684"/>
      <c r="EE33" s="684"/>
      <c r="EF33" s="684"/>
      <c r="EG33" s="684"/>
      <c r="EH33" s="684"/>
      <c r="EI33" s="684"/>
      <c r="EJ33" s="684"/>
      <c r="EK33" s="684"/>
      <c r="EL33" s="684"/>
      <c r="EM33" s="684"/>
      <c r="EN33" s="684"/>
      <c r="EO33" s="684"/>
      <c r="EP33" s="684"/>
      <c r="EQ33" s="684"/>
      <c r="ER33" s="684"/>
      <c r="ES33" s="684"/>
      <c r="ET33" s="684"/>
      <c r="EU33" s="684"/>
      <c r="EV33" s="684"/>
    </row>
    <row r="34" spans="1:152" ht="15.75">
      <c r="A34" s="707" t="str">
        <f>Interims!A10</f>
        <v>Licensing and Syndication</v>
      </c>
      <c r="B34" s="697">
        <f>Interims!CP10</f>
        <v>0.12433088287773897</v>
      </c>
      <c r="C34" s="697">
        <f>Interims!CQ10</f>
        <v>2.4302362596712923E-2</v>
      </c>
      <c r="D34" s="697">
        <f>Interims!CR10</f>
        <v>0.34905283951979205</v>
      </c>
      <c r="E34" s="697">
        <f>Interims!CS10</f>
        <v>0.21510749564206821</v>
      </c>
      <c r="F34" s="697">
        <f>Interims!CU10</f>
        <v>0.25042848981146459</v>
      </c>
      <c r="G34" s="697">
        <f>Interims!CV10</f>
        <v>0.25202141608391582</v>
      </c>
      <c r="H34" s="697">
        <f>Interims!CW10</f>
        <v>-2.6413387607417516E-2</v>
      </c>
      <c r="I34" s="697">
        <f>Interims!CX10</f>
        <v>0.26726281560826415</v>
      </c>
      <c r="J34" s="697">
        <f>Interims!CZ10</f>
        <v>7.6352929231394029E-2</v>
      </c>
      <c r="K34" s="697">
        <f>Interims!DA10</f>
        <v>7.1998952742504674E-3</v>
      </c>
      <c r="L34" s="697">
        <f>Interims!DB10</f>
        <v>-5.1100994146613399E-4</v>
      </c>
      <c r="M34" s="697">
        <f>Interims!DC10</f>
        <v>-3.7357080864877101E-3</v>
      </c>
      <c r="N34" s="697">
        <f>Interims!DE10</f>
        <v>0.15441939439675512</v>
      </c>
      <c r="O34" s="697">
        <f>Interims!DF10</f>
        <v>0.20496490772030174</v>
      </c>
      <c r="P34" s="697">
        <f>Interims!DG10</f>
        <v>0.14617708575412514</v>
      </c>
      <c r="Q34" s="697">
        <f>Interims!DH10</f>
        <v>7.0373456556321212E-2</v>
      </c>
      <c r="R34" s="697">
        <f>Interims!DJ10</f>
        <v>-6.6554992645857181E-2</v>
      </c>
      <c r="S34" s="697">
        <f>Interims!DK10</f>
        <v>-0.11059576457052467</v>
      </c>
      <c r="T34" s="697">
        <f>Interims!DL10</f>
        <v>6.792376317923754E-2</v>
      </c>
      <c r="U34" s="697">
        <f>Interims!DM10</f>
        <v>0.13800424628450148</v>
      </c>
      <c r="V34" s="697">
        <f>Interims!DO10</f>
        <v>0.2082111436950147</v>
      </c>
      <c r="W34" s="697">
        <f>Interims!DP10</f>
        <v>-2.2638153373489067E-2</v>
      </c>
      <c r="X34" s="697">
        <f>Interims!DQ10</f>
        <v>-3.6529333586481805E-2</v>
      </c>
      <c r="Y34" s="697">
        <f>Interims!DR10</f>
        <v>-4.1791044776119279E-2</v>
      </c>
      <c r="Z34" s="697">
        <f>Interims!DT10</f>
        <v>-2.3185045645558566E-2</v>
      </c>
      <c r="AA34" s="697">
        <f>Interims!DU10</f>
        <v>0.10311453033875173</v>
      </c>
      <c r="AB34" s="697">
        <f>Interims!DV10</f>
        <v>0.16742206282268546</v>
      </c>
      <c r="AC34" s="697">
        <f>Interims!DW10</f>
        <v>-5.8411214953272284E-3</v>
      </c>
      <c r="AD34" s="697">
        <f>Interims!DY10</f>
        <v>0</v>
      </c>
      <c r="AE34" s="697"/>
      <c r="AF34" s="697"/>
      <c r="AG34" s="697"/>
      <c r="AH34" s="684"/>
      <c r="AI34" s="684"/>
      <c r="AJ34" s="684"/>
      <c r="AK34" s="684"/>
      <c r="AL34" s="684"/>
      <c r="AM34" s="684"/>
      <c r="AN34" s="684"/>
      <c r="AO34" s="684"/>
      <c r="AP34" s="684"/>
      <c r="AQ34" s="684"/>
      <c r="AR34" s="684"/>
      <c r="AS34" s="684"/>
      <c r="AT34" s="684"/>
      <c r="AU34" s="684"/>
      <c r="AV34" s="684"/>
      <c r="AW34" s="684"/>
      <c r="AX34" s="684"/>
      <c r="AY34" s="684"/>
      <c r="AZ34" s="684"/>
      <c r="BA34" s="684"/>
      <c r="BB34" s="684"/>
      <c r="BC34" s="684"/>
      <c r="BD34" s="684"/>
      <c r="BE34" s="684"/>
      <c r="BF34" s="684"/>
      <c r="BG34" s="684"/>
      <c r="BH34" s="684"/>
      <c r="BI34" s="684"/>
      <c r="BJ34" s="684"/>
      <c r="BK34" s="684"/>
      <c r="BL34" s="684"/>
      <c r="BM34" s="684"/>
      <c r="BN34" s="684"/>
      <c r="BP34" s="685" t="str">
        <f>BP24</f>
        <v>Rep net income</v>
      </c>
      <c r="BQ34" s="894">
        <f>BQ25-2472.4</f>
        <v>-1611.8000000000006</v>
      </c>
      <c r="BR34" s="1641">
        <f>BR24</f>
        <v>92.552000000000589</v>
      </c>
      <c r="BS34" s="807">
        <f>BQ34/BR34-1</f>
        <v>-18.415074768778528</v>
      </c>
      <c r="BT34" s="1641">
        <f>BT24</f>
        <v>-242.6</v>
      </c>
      <c r="BU34" s="807">
        <f>BQ34/BT34-1</f>
        <v>5.6438582028029707</v>
      </c>
      <c r="BV34" s="684"/>
      <c r="BW34" s="684"/>
      <c r="BX34" s="684"/>
      <c r="BY34" s="684"/>
      <c r="BZ34" s="684"/>
      <c r="CA34" s="684"/>
      <c r="CB34" s="684"/>
      <c r="CC34" s="684"/>
      <c r="CD34" s="684"/>
      <c r="CE34" s="684"/>
      <c r="CF34" s="684"/>
      <c r="CG34" s="684"/>
      <c r="CH34" s="684"/>
      <c r="CI34" s="747" t="s">
        <v>6882</v>
      </c>
      <c r="CJ34" s="709">
        <v>3060.01</v>
      </c>
      <c r="CK34" s="709">
        <v>3119.0580155340003</v>
      </c>
      <c r="CL34" s="709"/>
      <c r="CM34" s="742">
        <v>2838</v>
      </c>
      <c r="CN34" s="748">
        <f>CK34/CM34-1</f>
        <v>9.9033832112050968E-2</v>
      </c>
      <c r="CO34" s="684"/>
      <c r="CP34" s="684"/>
      <c r="CQ34" s="684"/>
      <c r="CR34" s="684"/>
      <c r="CS34" s="684"/>
      <c r="CT34" s="684"/>
      <c r="CU34" s="684"/>
      <c r="CV34" s="684"/>
      <c r="CW34" s="684"/>
      <c r="CX34" s="684"/>
      <c r="CY34" s="684"/>
      <c r="CZ34" s="684"/>
      <c r="DA34" s="684"/>
      <c r="DB34" s="684"/>
      <c r="DC34" s="684"/>
      <c r="DD34" s="684"/>
      <c r="DE34" s="684"/>
      <c r="DF34" s="684"/>
      <c r="DG34" s="684"/>
      <c r="DH34" s="684"/>
      <c r="DI34" s="684"/>
      <c r="DJ34" s="684"/>
      <c r="DK34" s="684"/>
      <c r="DL34" s="684"/>
      <c r="DM34" s="684"/>
      <c r="DN34" s="684"/>
      <c r="DO34" s="684"/>
      <c r="DP34" s="684"/>
      <c r="DQ34" s="684"/>
      <c r="DR34" s="684"/>
      <c r="DS34" s="684"/>
      <c r="DT34" s="684"/>
      <c r="DU34" s="684"/>
      <c r="DV34" s="684"/>
      <c r="DW34" s="684"/>
      <c r="DX34" s="684"/>
      <c r="DY34" s="684"/>
      <c r="DZ34" s="684"/>
      <c r="EA34" s="684"/>
      <c r="EB34" s="684"/>
      <c r="EC34" s="684"/>
      <c r="ED34" s="684"/>
      <c r="EE34" s="684"/>
      <c r="EF34" s="684"/>
      <c r="EG34" s="684"/>
      <c r="EH34" s="684"/>
      <c r="EI34" s="684"/>
      <c r="EJ34" s="684"/>
      <c r="EK34" s="684"/>
      <c r="EL34" s="684"/>
      <c r="EM34" s="684"/>
      <c r="EN34" s="684"/>
      <c r="EO34" s="684"/>
      <c r="EP34" s="684"/>
      <c r="EQ34" s="684"/>
      <c r="ER34" s="684"/>
      <c r="ES34" s="684"/>
      <c r="ET34" s="684"/>
      <c r="EU34" s="684"/>
      <c r="EV34" s="684"/>
    </row>
    <row r="35" spans="1:152">
      <c r="A35" s="707"/>
      <c r="B35" s="697"/>
      <c r="C35" s="697"/>
      <c r="D35" s="697"/>
      <c r="E35" s="697"/>
      <c r="F35" s="697"/>
      <c r="G35" s="697"/>
      <c r="H35" s="697"/>
      <c r="I35" s="697"/>
      <c r="J35" s="697"/>
      <c r="K35" s="697"/>
      <c r="L35" s="697"/>
      <c r="M35" s="697"/>
      <c r="N35" s="697"/>
      <c r="O35" s="697"/>
      <c r="P35" s="697"/>
      <c r="Q35" s="697"/>
      <c r="R35" s="697"/>
      <c r="S35" s="697"/>
      <c r="T35" s="697"/>
      <c r="U35" s="697"/>
      <c r="V35" s="697"/>
      <c r="W35" s="697"/>
      <c r="X35" s="697"/>
      <c r="Y35" s="697"/>
      <c r="Z35" s="697"/>
      <c r="AA35" s="697"/>
      <c r="AB35" s="697"/>
      <c r="AC35" s="697"/>
      <c r="AD35" s="697"/>
      <c r="AE35" s="697"/>
      <c r="AF35" s="697"/>
      <c r="AG35" s="697"/>
      <c r="AH35" s="684"/>
      <c r="AI35" s="684"/>
      <c r="AJ35" s="684"/>
      <c r="AK35" s="684"/>
      <c r="AL35" s="684"/>
      <c r="AM35" s="684"/>
      <c r="AN35" s="684"/>
      <c r="AO35" s="684"/>
      <c r="AP35" s="684"/>
      <c r="AQ35" s="684"/>
      <c r="AR35" s="684"/>
      <c r="AS35" s="684"/>
      <c r="AT35" s="684"/>
      <c r="AU35" s="684"/>
      <c r="AV35" s="684"/>
      <c r="AW35" s="684"/>
      <c r="AX35" s="684"/>
      <c r="AY35" s="684"/>
      <c r="AZ35" s="684"/>
      <c r="BA35" s="684"/>
      <c r="BB35" s="684"/>
      <c r="BC35" s="684"/>
      <c r="BD35" s="684"/>
      <c r="BE35" s="684"/>
      <c r="BF35" s="684"/>
      <c r="BG35" s="684"/>
      <c r="BH35" s="684"/>
      <c r="BI35" s="684"/>
      <c r="BJ35" s="684"/>
      <c r="BK35" s="684"/>
      <c r="BL35" s="684"/>
      <c r="BM35" s="684"/>
      <c r="BN35" s="684"/>
      <c r="BV35" s="684"/>
      <c r="BW35" s="684"/>
      <c r="BX35" s="684"/>
      <c r="BY35" s="684"/>
      <c r="BZ35" s="684"/>
      <c r="CA35" s="684"/>
      <c r="CB35" s="684"/>
      <c r="CC35" s="684"/>
      <c r="CD35" s="684"/>
      <c r="CE35" s="684"/>
      <c r="CF35" s="684"/>
      <c r="CG35" s="684"/>
      <c r="CH35" s="684"/>
      <c r="CI35" s="684"/>
      <c r="CJ35" s="684"/>
      <c r="CK35" s="684"/>
      <c r="CL35" s="684"/>
      <c r="CM35" s="684"/>
      <c r="CN35" s="684"/>
      <c r="CO35" s="684"/>
      <c r="CP35" s="684"/>
      <c r="CQ35" s="684"/>
      <c r="CR35" s="684"/>
      <c r="CS35" s="684"/>
      <c r="CT35" s="684"/>
      <c r="CU35" s="684"/>
      <c r="CV35" s="684"/>
      <c r="CW35" s="684"/>
      <c r="CX35" s="684"/>
      <c r="CY35" s="684"/>
      <c r="CZ35" s="684"/>
      <c r="DA35" s="684"/>
      <c r="DB35" s="684"/>
      <c r="DC35" s="684"/>
      <c r="DD35" s="684"/>
      <c r="DE35" s="684"/>
      <c r="DF35" s="684"/>
      <c r="DG35" s="684"/>
      <c r="DH35" s="684"/>
      <c r="DI35" s="684"/>
      <c r="DJ35" s="684"/>
      <c r="DK35" s="684"/>
      <c r="DL35" s="684"/>
      <c r="DM35" s="684"/>
      <c r="DN35" s="684"/>
      <c r="DO35" s="684"/>
      <c r="DP35" s="684"/>
      <c r="DQ35" s="684"/>
      <c r="DR35" s="684"/>
      <c r="DS35" s="684"/>
      <c r="DT35" s="684"/>
      <c r="DU35" s="684"/>
      <c r="DV35" s="684"/>
      <c r="DW35" s="684"/>
      <c r="DX35" s="684"/>
      <c r="DY35" s="684"/>
      <c r="DZ35" s="684"/>
      <c r="EA35" s="684"/>
      <c r="EB35" s="684"/>
      <c r="EC35" s="684"/>
      <c r="ED35" s="684"/>
      <c r="EE35" s="684"/>
      <c r="EF35" s="684"/>
      <c r="EG35" s="684"/>
      <c r="EH35" s="684"/>
      <c r="EI35" s="684"/>
      <c r="EJ35" s="684"/>
      <c r="EK35" s="684"/>
      <c r="EL35" s="684"/>
      <c r="EM35" s="684"/>
      <c r="EN35" s="684"/>
      <c r="EO35" s="684"/>
      <c r="EP35" s="684"/>
      <c r="EQ35" s="684"/>
      <c r="ER35" s="684"/>
      <c r="ES35" s="684"/>
      <c r="ET35" s="684"/>
      <c r="EU35" s="684"/>
      <c r="EV35" s="684"/>
    </row>
    <row r="36" spans="1:152" ht="15.75" thickBot="1">
      <c r="A36" s="707" t="str">
        <f>Interims!A13</f>
        <v>Sky</v>
      </c>
      <c r="B36" s="697">
        <f>Interims!CP13</f>
        <v>0.10061440274337974</v>
      </c>
      <c r="C36" s="697">
        <f>Interims!CQ13</f>
        <v>9.0327940735270174E-2</v>
      </c>
      <c r="D36" s="697">
        <f>Interims!CR13</f>
        <v>9.3414939242315809E-2</v>
      </c>
      <c r="E36" s="697">
        <f>Interims!CS13</f>
        <v>0.11647436183008852</v>
      </c>
      <c r="F36" s="697">
        <f>Interims!CU13</f>
        <v>0.1574961594218578</v>
      </c>
      <c r="G36" s="697">
        <f>Interims!CV13</f>
        <v>0.18122552651074186</v>
      </c>
      <c r="H36" s="697">
        <f>Interims!CW13</f>
        <v>0.12478038815117465</v>
      </c>
      <c r="I36" s="697">
        <f>Interims!CX13</f>
        <v>9.8318137382040316E-2</v>
      </c>
      <c r="J36" s="697">
        <f>Interims!CZ13</f>
        <v>3.570360400777628E-2</v>
      </c>
      <c r="K36" s="697">
        <f>Interims!DA13</f>
        <v>1.0966366226458968E-2</v>
      </c>
      <c r="L36" s="697">
        <f>Interims!DB13</f>
        <v>-1.1006574884667164E-2</v>
      </c>
      <c r="M36" s="697">
        <f>Interims!DC13</f>
        <v>1.1571088626909587E-2</v>
      </c>
      <c r="N36" s="697">
        <f>Interims!DE13</f>
        <v>-1.1984261632314253E-2</v>
      </c>
      <c r="O36" s="697">
        <f>Interims!DF13</f>
        <v>2.9954447969655629E-3</v>
      </c>
      <c r="P36" s="697">
        <f>Interims!DG13</f>
        <v>-6.9602585763607339E-3</v>
      </c>
      <c r="Q36" s="697">
        <f>Interims!DH13</f>
        <v>-1.9196236172963732E-2</v>
      </c>
      <c r="R36" s="697">
        <f>Interims!DJ13</f>
        <v>-3.5183223119359841E-2</v>
      </c>
      <c r="S36" s="697">
        <f>Interims!DK13</f>
        <v>-5.4905633703258627E-2</v>
      </c>
      <c r="T36" s="697">
        <f>Interims!DL13</f>
        <v>-1.2760527435134006E-2</v>
      </c>
      <c r="U36" s="697">
        <f>Interims!DM13</f>
        <v>-1.5159559860121852E-2</v>
      </c>
      <c r="V36" s="697">
        <f>Interims!DO13</f>
        <v>2.3420933050590786E-2</v>
      </c>
      <c r="W36" s="697">
        <f>Interims!DP13</f>
        <v>3.1151249976627104E-2</v>
      </c>
      <c r="X36" s="697">
        <f>Interims!DQ13</f>
        <v>4.8629713579229294E-2</v>
      </c>
      <c r="Y36" s="697">
        <f>Interims!DR13</f>
        <v>4.4189548437471027E-2</v>
      </c>
      <c r="Z36" s="697">
        <f>Interims!DT13</f>
        <v>4.0608291861691237E-2</v>
      </c>
      <c r="AA36" s="697">
        <f>Interims!DU13</f>
        <v>1.0045877382269364E-2</v>
      </c>
      <c r="AB36" s="697">
        <f>Interims!DV13</f>
        <v>-2.4741420889976551E-2</v>
      </c>
      <c r="AC36" s="697">
        <f>Interims!DW13</f>
        <v>-4.3530123913972485E-2</v>
      </c>
      <c r="AD36" s="697">
        <f>Interims!DY13</f>
        <v>-6.2064428957474105E-2</v>
      </c>
      <c r="AE36" s="697">
        <f>Interims!DZ13</f>
        <v>-7.719789590851156E-2</v>
      </c>
      <c r="AF36" s="697" t="e">
        <f>Interims!#REF!</f>
        <v>#REF!</v>
      </c>
      <c r="AG36" s="697">
        <f>Interims!EB13</f>
        <v>-8.110120432589385E-2</v>
      </c>
      <c r="AH36" s="684"/>
      <c r="AI36" s="684"/>
      <c r="AJ36" s="684"/>
      <c r="AK36" s="684"/>
      <c r="AL36" s="684"/>
      <c r="AM36" s="684"/>
      <c r="AN36" s="684"/>
      <c r="AO36" s="684"/>
      <c r="AP36" s="684"/>
      <c r="AQ36" s="684"/>
      <c r="AR36" s="684"/>
      <c r="AS36" s="684"/>
      <c r="AT36" s="684"/>
      <c r="AU36" s="684"/>
      <c r="AV36" s="684"/>
      <c r="AW36" s="684"/>
      <c r="AX36" s="684"/>
      <c r="AY36" s="684"/>
      <c r="AZ36" s="684"/>
      <c r="BA36" s="684"/>
      <c r="BB36" s="684"/>
      <c r="BC36" s="684"/>
      <c r="BD36" s="684"/>
      <c r="BE36" s="684"/>
      <c r="BF36" s="684"/>
      <c r="BG36" s="684"/>
      <c r="BH36" s="684"/>
      <c r="BI36" s="684"/>
      <c r="BJ36" s="684"/>
      <c r="BK36" s="684"/>
      <c r="BL36" s="684"/>
      <c r="BM36" s="684"/>
      <c r="BN36" s="684"/>
      <c r="BV36" s="684"/>
      <c r="BW36" s="684"/>
      <c r="BX36" s="684"/>
      <c r="BY36" s="684"/>
      <c r="BZ36" s="684"/>
      <c r="CA36" s="684"/>
      <c r="CB36" s="684"/>
      <c r="CC36" s="684"/>
      <c r="CD36" s="684"/>
      <c r="CE36" s="684"/>
      <c r="CF36" s="684"/>
      <c r="CG36" s="684"/>
      <c r="CH36" s="684"/>
      <c r="CI36" s="684"/>
      <c r="CJ36" s="684"/>
      <c r="CK36" s="684"/>
      <c r="CL36" s="684"/>
      <c r="CM36" s="684"/>
      <c r="CN36" s="684"/>
      <c r="CO36" s="684"/>
      <c r="CP36" s="684"/>
      <c r="CQ36" s="684"/>
      <c r="CR36" s="684"/>
      <c r="CS36" s="684"/>
      <c r="CT36" s="684"/>
      <c r="CU36" s="684"/>
      <c r="CV36" s="684"/>
      <c r="CW36" s="684"/>
      <c r="CX36" s="684"/>
      <c r="CY36" s="684"/>
      <c r="CZ36" s="684"/>
      <c r="DA36" s="684"/>
      <c r="DB36" s="684"/>
      <c r="DC36" s="684"/>
      <c r="DD36" s="684"/>
      <c r="DE36" s="684"/>
      <c r="DF36" s="684"/>
      <c r="DG36" s="684"/>
      <c r="DH36" s="684"/>
      <c r="DI36" s="684"/>
      <c r="DJ36" s="684"/>
      <c r="DK36" s="684"/>
      <c r="DL36" s="684"/>
      <c r="DM36" s="684"/>
      <c r="DN36" s="684"/>
      <c r="DO36" s="684"/>
      <c r="DP36" s="684"/>
      <c r="DQ36" s="684"/>
      <c r="DR36" s="684"/>
      <c r="DS36" s="684"/>
      <c r="DT36" s="684"/>
      <c r="DU36" s="684"/>
      <c r="DV36" s="684"/>
      <c r="DW36" s="684"/>
      <c r="DX36" s="684"/>
      <c r="DY36" s="684"/>
      <c r="DZ36" s="684"/>
      <c r="EA36" s="684"/>
      <c r="EB36" s="684"/>
      <c r="EC36" s="684"/>
      <c r="ED36" s="684"/>
      <c r="EE36" s="684"/>
      <c r="EF36" s="684"/>
      <c r="EG36" s="684"/>
      <c r="EH36" s="684"/>
      <c r="EI36" s="684"/>
      <c r="EJ36" s="684"/>
      <c r="EK36" s="684"/>
      <c r="EL36" s="684"/>
      <c r="EM36" s="684"/>
      <c r="EN36" s="684"/>
      <c r="EO36" s="684"/>
      <c r="EP36" s="684"/>
      <c r="EQ36" s="684"/>
      <c r="ER36" s="684"/>
      <c r="ES36" s="684"/>
      <c r="ET36" s="684"/>
      <c r="EU36" s="684"/>
      <c r="EV36" s="684"/>
    </row>
    <row r="37" spans="1:152" ht="15.75" thickBot="1">
      <c r="A37" s="710" t="str">
        <f>Interims!A14</f>
        <v>Cable and Telecom</v>
      </c>
      <c r="B37" s="711">
        <f>Interims!CP14</f>
        <v>0.12365778376733472</v>
      </c>
      <c r="C37" s="711">
        <f>Interims!CQ14</f>
        <v>0.10564772987488813</v>
      </c>
      <c r="D37" s="711">
        <f>Interims!CR14</f>
        <v>0.13799895485790081</v>
      </c>
      <c r="E37" s="711">
        <f>Interims!CS14</f>
        <v>0.12566235267670733</v>
      </c>
      <c r="F37" s="711">
        <f>Interims!CU14</f>
        <v>0.13502122272693429</v>
      </c>
      <c r="G37" s="711">
        <f>Interims!CV14</f>
        <v>0.12915177214640305</v>
      </c>
      <c r="H37" s="711">
        <f>Interims!CW14</f>
        <v>0.11806964628461758</v>
      </c>
      <c r="I37" s="711">
        <f>Interims!CX14</f>
        <v>9.8162507760796158E-2</v>
      </c>
      <c r="J37" s="711">
        <f>Interims!CZ14</f>
        <v>6.2353203605778562E-2</v>
      </c>
      <c r="K37" s="711">
        <f>Interims!DA14</f>
        <v>3.0068827623332073E-2</v>
      </c>
      <c r="L37" s="711">
        <f>Interims!DB14</f>
        <v>2.0514518344123989E-2</v>
      </c>
      <c r="M37" s="711">
        <f>Interims!DC14</f>
        <v>3.3645287013424285E-2</v>
      </c>
      <c r="N37" s="711">
        <f>Interims!DE14</f>
        <v>7.082247446364387E-2</v>
      </c>
      <c r="O37" s="711">
        <f>Interims!DF14</f>
        <v>9.8174623912800074E-2</v>
      </c>
      <c r="P37" s="711">
        <f>Interims!DG14</f>
        <v>0.10782817662961852</v>
      </c>
      <c r="Q37" s="711">
        <f>Interims!DH14</f>
        <v>0.10762373587496676</v>
      </c>
      <c r="R37" s="711">
        <f>Interims!DJ14</f>
        <v>0.14168887043380973</v>
      </c>
      <c r="S37" s="711">
        <f>Interims!DK14</f>
        <v>0.15749458966427587</v>
      </c>
      <c r="T37" s="711">
        <f>Interims!DL14</f>
        <v>0.14666102669226366</v>
      </c>
      <c r="U37" s="711">
        <f>Interims!DM14</f>
        <v>0.15743299326517946</v>
      </c>
      <c r="V37" s="711">
        <f>Interims!DO14</f>
        <v>9.3613925904971751E-2</v>
      </c>
      <c r="W37" s="711">
        <f>Interims!DP14</f>
        <v>0.10700196755973623</v>
      </c>
      <c r="X37" s="711">
        <f>Interims!DQ14</f>
        <v>7.9057140965371087E-2</v>
      </c>
      <c r="Y37" s="711">
        <f>Interims!DR14</f>
        <v>7.3492433801435553E-2</v>
      </c>
      <c r="Z37" s="711">
        <f>Interims!DT14</f>
        <v>7.8690402505381174E-2</v>
      </c>
      <c r="AA37" s="711">
        <f>Interims!DU14</f>
        <v>5.9493491794001319E-2</v>
      </c>
      <c r="AB37" s="711">
        <f>Interims!DV14</f>
        <v>5.7740688470270696E-2</v>
      </c>
      <c r="AC37" s="711">
        <f>Interims!DW14</f>
        <v>3.9786228299382387E-2</v>
      </c>
      <c r="AD37" s="711">
        <f>Interims!DY14</f>
        <v>1.0962189012118317E-2</v>
      </c>
      <c r="AE37" s="711">
        <f>Interims!DZ14</f>
        <v>-1.9329638779461922E-2</v>
      </c>
      <c r="AF37" s="711" t="e">
        <f>Interims!#REF!</f>
        <v>#REF!</v>
      </c>
      <c r="AG37" s="711">
        <f>Interims!EB14</f>
        <v>1.3589564255623632E-2</v>
      </c>
      <c r="AH37" s="684"/>
      <c r="AI37" s="684"/>
      <c r="AJ37" s="684"/>
      <c r="AK37" s="684"/>
      <c r="AL37" s="684"/>
      <c r="AM37" s="684"/>
      <c r="AN37" s="684"/>
      <c r="AO37" s="684"/>
      <c r="AP37" s="684"/>
      <c r="AQ37" s="684"/>
      <c r="AR37" s="684"/>
      <c r="AS37" s="684"/>
      <c r="AT37" s="684"/>
      <c r="AU37" s="684"/>
      <c r="AV37" s="684"/>
      <c r="AW37" s="684"/>
      <c r="AX37" s="684"/>
      <c r="AY37" s="684"/>
      <c r="AZ37" s="684"/>
      <c r="BA37" s="684"/>
      <c r="BB37" s="684"/>
      <c r="BC37" s="684"/>
      <c r="BD37" s="684"/>
      <c r="BE37" s="684"/>
      <c r="BF37" s="684"/>
      <c r="BG37" s="684"/>
      <c r="BH37" s="684"/>
      <c r="BI37" s="684"/>
      <c r="BJ37" s="684"/>
      <c r="BK37" s="684"/>
      <c r="BL37" s="684"/>
      <c r="BM37" s="684"/>
      <c r="BN37" s="684"/>
      <c r="BV37" s="684"/>
      <c r="BW37" s="684"/>
      <c r="BX37" s="684"/>
      <c r="BY37" s="684"/>
      <c r="BZ37" s="684"/>
      <c r="CA37" s="684"/>
      <c r="CB37" s="684"/>
      <c r="CC37" s="684"/>
      <c r="CD37" s="684"/>
      <c r="CE37" s="684"/>
      <c r="CF37" s="684"/>
      <c r="CG37" s="684"/>
      <c r="CH37" s="684"/>
      <c r="CI37" s="684"/>
      <c r="CJ37" s="684"/>
      <c r="CK37" s="684"/>
      <c r="CL37" s="684"/>
      <c r="CM37" s="684"/>
      <c r="CN37" s="684"/>
      <c r="CO37" s="684"/>
      <c r="CP37" s="684"/>
      <c r="CQ37" s="684"/>
      <c r="CR37" s="684"/>
      <c r="CS37" s="684"/>
      <c r="CT37" s="684"/>
      <c r="CU37" s="684"/>
      <c r="CV37" s="684"/>
      <c r="CW37" s="684"/>
      <c r="CX37" s="684"/>
      <c r="CY37" s="684"/>
      <c r="CZ37" s="684"/>
      <c r="DA37" s="684"/>
      <c r="DB37" s="684"/>
      <c r="DC37" s="684"/>
      <c r="DD37" s="684"/>
      <c r="DE37" s="684"/>
      <c r="DF37" s="684"/>
      <c r="DG37" s="684"/>
      <c r="DH37" s="684"/>
      <c r="DI37" s="684"/>
      <c r="DJ37" s="684"/>
      <c r="DK37" s="684"/>
      <c r="DL37" s="684"/>
      <c r="DM37" s="684"/>
      <c r="DN37" s="684"/>
      <c r="DO37" s="684"/>
      <c r="DP37" s="684"/>
      <c r="DQ37" s="684"/>
      <c r="DR37" s="684"/>
      <c r="DS37" s="684"/>
      <c r="DT37" s="684"/>
      <c r="DU37" s="684"/>
      <c r="DV37" s="684"/>
      <c r="DW37" s="684"/>
      <c r="DX37" s="684"/>
      <c r="DY37" s="684"/>
      <c r="DZ37" s="684"/>
      <c r="EA37" s="684"/>
      <c r="EB37" s="684"/>
      <c r="EC37" s="684"/>
      <c r="ED37" s="684"/>
      <c r="EE37" s="684"/>
      <c r="EF37" s="684"/>
      <c r="EG37" s="684"/>
      <c r="EH37" s="684"/>
      <c r="EI37" s="684"/>
      <c r="EJ37" s="684"/>
      <c r="EK37" s="684"/>
      <c r="EL37" s="684"/>
      <c r="EM37" s="684"/>
      <c r="EN37" s="684"/>
      <c r="EO37" s="684"/>
      <c r="EP37" s="684"/>
      <c r="EQ37" s="684"/>
      <c r="ER37" s="684"/>
      <c r="ES37" s="684"/>
      <c r="ET37" s="684"/>
      <c r="EU37" s="684"/>
      <c r="EV37" s="684"/>
    </row>
    <row r="38" spans="1:152">
      <c r="A38" s="707" t="str">
        <f>Interims!A15</f>
        <v>Other Businesses</v>
      </c>
      <c r="B38" s="697">
        <f>Interims!CP15</f>
        <v>7.323076923076921E-2</v>
      </c>
      <c r="C38" s="697">
        <f>Interims!CQ15</f>
        <v>-2.5887308028147316E-2</v>
      </c>
      <c r="D38" s="697">
        <f>Interims!CR15</f>
        <v>3.7385107921098948E-2</v>
      </c>
      <c r="E38" s="697">
        <f>Interims!CS15</f>
        <v>-9.1899573661771705E-2</v>
      </c>
      <c r="F38" s="697">
        <f>Interims!CU15</f>
        <v>-7.4697664720600576E-2</v>
      </c>
      <c r="G38" s="697">
        <f>Interims!CV15</f>
        <v>7.8143949380437672E-2</v>
      </c>
      <c r="H38" s="697">
        <f>Interims!CW15</f>
        <v>0.1078646092583373</v>
      </c>
      <c r="I38" s="697">
        <f>Interims!CX15</f>
        <v>0.20978960180838135</v>
      </c>
      <c r="J38" s="697">
        <f>Interims!CZ15</f>
        <v>0.11621880457439038</v>
      </c>
      <c r="K38" s="697">
        <f>Interims!DA15</f>
        <v>7.3311488237883138E-2</v>
      </c>
      <c r="L38" s="697">
        <f>Interims!DB15</f>
        <v>-0.11448083748932913</v>
      </c>
      <c r="M38" s="697">
        <f>Interims!DC15</f>
        <v>-0.19899389148401014</v>
      </c>
      <c r="N38" s="697">
        <f>Interims!DE15</f>
        <v>-0.1024528111436358</v>
      </c>
      <c r="O38" s="697">
        <f>Interims!DF15</f>
        <v>5.376834047206791E-2</v>
      </c>
      <c r="P38" s="697">
        <f>Interims!DG15</f>
        <v>-1.2380130904662945E-2</v>
      </c>
      <c r="Q38" s="697">
        <f>Interims!DH15</f>
        <v>0.16544051677731941</v>
      </c>
      <c r="R38" s="697">
        <f>Interims!DJ15</f>
        <v>0.27097390913180397</v>
      </c>
      <c r="S38" s="697">
        <f>Interims!DK15</f>
        <v>-0.15830666781976988</v>
      </c>
      <c r="T38" s="697">
        <f>Interims!DL15</f>
        <v>0.35273567942460815</v>
      </c>
      <c r="U38" s="697">
        <f>Interims!DM15</f>
        <v>-0.25561970746728235</v>
      </c>
      <c r="V38" s="697">
        <f>Interims!DO15</f>
        <v>-0.15763394239702699</v>
      </c>
      <c r="W38" s="697">
        <f>Interims!DP15</f>
        <v>-0.70865656306190594</v>
      </c>
      <c r="X38" s="697">
        <f>Interims!DQ15</f>
        <v>-0.70282176901750781</v>
      </c>
      <c r="Y38" s="697">
        <f>Interims!DR15</f>
        <v>-0.47132736956409327</v>
      </c>
      <c r="Z38" s="697">
        <f>Interims!DT15</f>
        <v>-0.50026260504201681</v>
      </c>
      <c r="AA38" s="697">
        <f>Interims!DU15</f>
        <v>1.1516487391994357</v>
      </c>
      <c r="AB38" s="697">
        <f>Interims!DV15</f>
        <v>0.80076677316293909</v>
      </c>
      <c r="AC38" s="697">
        <f>Interims!DW15</f>
        <v>0.41647104851330186</v>
      </c>
      <c r="AD38" s="697">
        <f>Interims!DY15</f>
        <v>0.74576983709931688</v>
      </c>
      <c r="AE38" s="697">
        <f>Interims!DZ15</f>
        <v>0.42820849041140785</v>
      </c>
      <c r="AF38" s="697" t="e">
        <f>Interims!#REF!</f>
        <v>#REF!</v>
      </c>
      <c r="AG38" s="697">
        <f>Interims!EB15</f>
        <v>0.38261289877088789</v>
      </c>
      <c r="AH38" s="684"/>
      <c r="AI38" s="684"/>
      <c r="AJ38" s="684"/>
      <c r="AK38" s="684"/>
      <c r="AL38" s="684"/>
      <c r="AM38" s="684"/>
      <c r="AN38" s="684"/>
      <c r="AO38" s="684"/>
      <c r="AP38" s="684"/>
      <c r="AQ38" s="684"/>
      <c r="AR38" s="684"/>
      <c r="AS38" s="684"/>
      <c r="AT38" s="684"/>
      <c r="AU38" s="684"/>
      <c r="AV38" s="684"/>
      <c r="AW38" s="684"/>
      <c r="AX38" s="684"/>
      <c r="AY38" s="684"/>
      <c r="AZ38" s="684"/>
      <c r="BA38" s="684"/>
      <c r="BB38" s="684"/>
      <c r="BC38" s="684"/>
      <c r="BD38" s="684"/>
      <c r="BE38" s="684"/>
      <c r="BF38" s="684"/>
      <c r="BG38" s="684"/>
      <c r="BH38" s="684"/>
      <c r="BI38" s="684"/>
      <c r="BJ38" s="684"/>
      <c r="BK38" s="684"/>
      <c r="BL38" s="684"/>
      <c r="BM38" s="684"/>
      <c r="BN38" s="684"/>
      <c r="BV38" s="684"/>
      <c r="BW38" s="684"/>
      <c r="BX38" s="684"/>
      <c r="BY38" s="684"/>
      <c r="BZ38" s="684"/>
      <c r="CA38" s="684"/>
      <c r="CB38" s="684"/>
      <c r="CC38" s="684"/>
      <c r="CD38" s="684"/>
      <c r="CE38" s="684"/>
      <c r="CF38" s="684"/>
      <c r="CG38" s="684"/>
      <c r="CH38" s="684"/>
      <c r="CI38" s="684"/>
      <c r="CJ38" s="684"/>
      <c r="CK38" s="684"/>
      <c r="CL38" s="684"/>
      <c r="CM38" s="684"/>
      <c r="CN38" s="684"/>
      <c r="CO38" s="684"/>
      <c r="CP38" s="684"/>
      <c r="CQ38" s="684"/>
      <c r="CR38" s="684"/>
      <c r="CS38" s="684"/>
      <c r="CT38" s="684"/>
      <c r="CU38" s="684"/>
      <c r="CV38" s="684"/>
      <c r="CW38" s="684"/>
      <c r="CX38" s="684"/>
      <c r="CY38" s="684"/>
      <c r="CZ38" s="684"/>
      <c r="DA38" s="684"/>
      <c r="DB38" s="684"/>
      <c r="DC38" s="684"/>
      <c r="DD38" s="684"/>
      <c r="DE38" s="684"/>
      <c r="DF38" s="684"/>
      <c r="DG38" s="684"/>
      <c r="DH38" s="684"/>
      <c r="DI38" s="684"/>
      <c r="DJ38" s="684"/>
      <c r="DK38" s="684"/>
      <c r="DL38" s="684"/>
      <c r="DM38" s="684"/>
      <c r="DN38" s="684"/>
      <c r="DO38" s="684"/>
      <c r="DP38" s="684"/>
      <c r="DQ38" s="684"/>
      <c r="DR38" s="684"/>
      <c r="DS38" s="684"/>
      <c r="DT38" s="684"/>
      <c r="DU38" s="684"/>
      <c r="DV38" s="684"/>
      <c r="DW38" s="684"/>
      <c r="DX38" s="684"/>
      <c r="DY38" s="684"/>
      <c r="DZ38" s="684"/>
      <c r="EA38" s="684"/>
      <c r="EB38" s="684"/>
      <c r="EC38" s="684"/>
      <c r="ED38" s="684"/>
      <c r="EE38" s="684"/>
      <c r="EF38" s="684"/>
      <c r="EG38" s="684"/>
      <c r="EH38" s="684"/>
      <c r="EI38" s="684"/>
      <c r="EJ38" s="684"/>
      <c r="EK38" s="684"/>
      <c r="EL38" s="684"/>
      <c r="EM38" s="684"/>
      <c r="EN38" s="684"/>
      <c r="EO38" s="684"/>
      <c r="EP38" s="684"/>
      <c r="EQ38" s="684"/>
      <c r="ER38" s="684"/>
      <c r="ES38" s="684"/>
      <c r="ET38" s="684"/>
      <c r="EU38" s="684"/>
      <c r="EV38" s="684"/>
    </row>
    <row r="39" spans="1:152">
      <c r="A39" s="713" t="str">
        <f>Interims!A16</f>
        <v>Segment Net Sales</v>
      </c>
      <c r="B39" s="714">
        <f>Interims!CP16</f>
        <v>8.7149067565920557E-2</v>
      </c>
      <c r="C39" s="714">
        <f>Interims!CQ16</f>
        <v>2.4146388099781646E-3</v>
      </c>
      <c r="D39" s="714">
        <f>Interims!CR16</f>
        <v>5.4783455288481164E-2</v>
      </c>
      <c r="E39" s="714">
        <f>Interims!CS16</f>
        <v>2.8937416428085116E-2</v>
      </c>
      <c r="F39" s="714">
        <f>Interims!CU16</f>
        <v>9.8473041488291058E-2</v>
      </c>
      <c r="G39" s="714">
        <f>Interims!CV16</f>
        <v>0.12896609908780321</v>
      </c>
      <c r="H39" s="714">
        <f>Interims!CW16</f>
        <v>7.6182965299684602E-2</v>
      </c>
      <c r="I39" s="714">
        <f>Interims!CX16</f>
        <v>0.1032192907889915</v>
      </c>
      <c r="J39" s="714">
        <f>Interims!CZ16</f>
        <v>2.8591697272833505E-2</v>
      </c>
      <c r="K39" s="714">
        <f>Interims!DA16</f>
        <v>-1.12053838690368E-2</v>
      </c>
      <c r="L39" s="714">
        <f>Interims!DB16</f>
        <v>-3.2537007181591693E-2</v>
      </c>
      <c r="M39" s="714">
        <f>Interims!DC16</f>
        <v>-4.5800123707696483E-2</v>
      </c>
      <c r="N39" s="714">
        <f>Interims!DE16</f>
        <v>3.9840237461259864E-2</v>
      </c>
      <c r="O39" s="714">
        <f>Interims!DF16</f>
        <v>0.15947989694811082</v>
      </c>
      <c r="P39" s="714">
        <f>Interims!DG16</f>
        <v>0.1060529549394873</v>
      </c>
      <c r="Q39" s="714">
        <f>Interims!DH16</f>
        <v>4.5327762282056705E-2</v>
      </c>
      <c r="R39" s="714">
        <f>Interims!DJ16</f>
        <v>3.3717157045886514E-2</v>
      </c>
      <c r="S39" s="714">
        <f>Interims!DK16</f>
        <v>-7.9521760267929342E-2</v>
      </c>
      <c r="T39" s="714">
        <f>Interims!DL16</f>
        <v>3.4964502849663681E-2</v>
      </c>
      <c r="U39" s="714">
        <f>Interims!DM16</f>
        <v>4.5190713101161073E-2</v>
      </c>
      <c r="V39" s="714">
        <f>Interims!DO16</f>
        <v>9.6122217755201245E-3</v>
      </c>
      <c r="W39" s="714">
        <f>Interims!DP16</f>
        <v>-5.5910924363172798E-2</v>
      </c>
      <c r="X39" s="714">
        <f>Interims!DQ16</f>
        <v>-5.0770508918199564E-2</v>
      </c>
      <c r="Y39" s="714">
        <f>Interims!DR16</f>
        <v>2.7326017012647696E-3</v>
      </c>
      <c r="Z39" s="714">
        <f>Interims!DT16</f>
        <v>3.2467741416481566E-2</v>
      </c>
      <c r="AA39" s="714">
        <f>Interims!DU16</f>
        <v>0.10346356584007443</v>
      </c>
      <c r="AB39" s="714">
        <f>Interims!DV16</f>
        <v>8.6098126769345251E-2</v>
      </c>
      <c r="AC39" s="714">
        <f>Interims!DW16</f>
        <v>3.7181797587933607E-2</v>
      </c>
      <c r="AD39" s="714">
        <f>Interims!DY16</f>
        <v>-0.26988016580440066</v>
      </c>
      <c r="AE39" s="714">
        <f>Interims!DZ16</f>
        <v>-0.30025274242429945</v>
      </c>
      <c r="AF39" s="714" t="e">
        <f>Interims!#REF!</f>
        <v>#REF!</v>
      </c>
      <c r="AG39" s="714">
        <f>Interims!EB16</f>
        <v>-0.36751206154648586</v>
      </c>
      <c r="AH39" s="684"/>
      <c r="AI39" s="684"/>
      <c r="AJ39" s="684"/>
      <c r="AK39" s="684"/>
      <c r="AL39" s="684"/>
      <c r="AM39" s="684"/>
      <c r="AN39" s="684"/>
      <c r="AO39" s="684"/>
      <c r="AP39" s="684"/>
      <c r="AQ39" s="684"/>
      <c r="AR39" s="684"/>
      <c r="AS39" s="684"/>
      <c r="AT39" s="684"/>
      <c r="AU39" s="684"/>
      <c r="AV39" s="684"/>
      <c r="AW39" s="684"/>
      <c r="AX39" s="684"/>
      <c r="AY39" s="684"/>
      <c r="AZ39" s="684"/>
      <c r="BA39" s="684"/>
      <c r="BB39" s="684"/>
      <c r="BC39" s="684"/>
      <c r="BD39" s="684"/>
      <c r="BE39" s="684"/>
      <c r="BF39" s="684"/>
      <c r="BG39" s="684"/>
      <c r="BH39" s="684"/>
      <c r="BI39" s="684"/>
      <c r="BJ39" s="684"/>
      <c r="BK39" s="684"/>
      <c r="BL39" s="684"/>
      <c r="BM39" s="684"/>
      <c r="BN39" s="684"/>
      <c r="BV39" s="684"/>
      <c r="BW39" s="684"/>
      <c r="BX39" s="684"/>
      <c r="BY39" s="684"/>
      <c r="BZ39" s="684"/>
      <c r="CA39" s="684"/>
      <c r="CB39" s="684"/>
      <c r="CC39" s="684"/>
      <c r="CD39" s="684"/>
      <c r="CE39" s="684"/>
      <c r="CF39" s="684"/>
      <c r="CG39" s="684"/>
      <c r="CH39" s="684"/>
      <c r="CI39" s="684"/>
      <c r="CJ39" s="684"/>
      <c r="CK39" s="684"/>
      <c r="CL39" s="684"/>
      <c r="CM39" s="684"/>
      <c r="CN39" s="684"/>
      <c r="CO39" s="684"/>
      <c r="CP39" s="684"/>
      <c r="CQ39" s="684"/>
      <c r="CR39" s="684"/>
      <c r="CS39" s="684"/>
      <c r="CT39" s="684"/>
      <c r="CU39" s="684"/>
      <c r="CV39" s="684"/>
      <c r="CW39" s="684"/>
      <c r="CX39" s="684"/>
      <c r="CY39" s="684"/>
      <c r="CZ39" s="684"/>
      <c r="DA39" s="684"/>
      <c r="DB39" s="684"/>
      <c r="DC39" s="684"/>
      <c r="DD39" s="684"/>
      <c r="DE39" s="684"/>
      <c r="DF39" s="684"/>
      <c r="DG39" s="684"/>
      <c r="DH39" s="684"/>
      <c r="DI39" s="684"/>
      <c r="DJ39" s="684"/>
      <c r="DK39" s="684"/>
      <c r="DL39" s="684"/>
      <c r="DM39" s="684"/>
      <c r="DN39" s="684"/>
      <c r="DO39" s="684"/>
      <c r="DP39" s="684"/>
      <c r="DQ39" s="684"/>
      <c r="DR39" s="684"/>
      <c r="DS39" s="684"/>
      <c r="DT39" s="684"/>
      <c r="DU39" s="684"/>
      <c r="DV39" s="684"/>
      <c r="DW39" s="684"/>
      <c r="DX39" s="684"/>
      <c r="DY39" s="684"/>
      <c r="DZ39" s="684"/>
      <c r="EA39" s="684"/>
      <c r="EB39" s="684"/>
      <c r="EC39" s="684"/>
      <c r="ED39" s="684"/>
      <c r="EE39" s="684"/>
      <c r="EF39" s="684"/>
      <c r="EG39" s="684"/>
      <c r="EH39" s="684"/>
      <c r="EI39" s="684"/>
      <c r="EJ39" s="684"/>
      <c r="EK39" s="684"/>
      <c r="EL39" s="684"/>
      <c r="EM39" s="684"/>
      <c r="EN39" s="684"/>
      <c r="EO39" s="684"/>
      <c r="EP39" s="684"/>
      <c r="EQ39" s="684"/>
      <c r="ER39" s="684"/>
      <c r="ES39" s="684"/>
      <c r="ET39" s="684"/>
      <c r="EU39" s="684"/>
      <c r="EV39" s="684"/>
    </row>
    <row r="40" spans="1:152">
      <c r="A40" s="707" t="str">
        <f>Interims!A17</f>
        <v>Intersegment Operations</v>
      </c>
      <c r="B40" s="697">
        <f>Interims!CP17</f>
        <v>0.3641429039659152</v>
      </c>
      <c r="C40" s="697">
        <f>Interims!CQ17</f>
        <v>0.35691504783995365</v>
      </c>
      <c r="D40" s="697">
        <f>Interims!CR17</f>
        <v>0.49106673673147649</v>
      </c>
      <c r="E40" s="697">
        <f>Interims!CS17</f>
        <v>0.9364902506963575</v>
      </c>
      <c r="F40" s="697">
        <f>Interims!CU17</f>
        <v>0.2763094666025927</v>
      </c>
      <c r="G40" s="697">
        <f>Interims!CV17</f>
        <v>0.48931623931623935</v>
      </c>
      <c r="H40" s="697">
        <f>Interims!CW17</f>
        <v>0.48140969162995595</v>
      </c>
      <c r="I40" s="697">
        <f>Interims!CX17</f>
        <v>0.4262082853855016</v>
      </c>
      <c r="J40" s="697">
        <f>Interims!CZ17</f>
        <v>0.37782379518072262</v>
      </c>
      <c r="K40" s="697">
        <f>Interims!DA17</f>
        <v>0.12955523672883773</v>
      </c>
      <c r="L40" s="697">
        <f>Interims!DB17</f>
        <v>0.10776733674319017</v>
      </c>
      <c r="M40" s="697">
        <f>Interims!DC17</f>
        <v>-9.8638426626323716E-2</v>
      </c>
      <c r="N40" s="697">
        <f>Interims!DE17</f>
        <v>0.37956004918704744</v>
      </c>
      <c r="O40" s="697">
        <f>Interims!DF17</f>
        <v>0.35488378000762122</v>
      </c>
      <c r="P40" s="697">
        <f>Interims!DG17</f>
        <v>0.34285407494899589</v>
      </c>
      <c r="Q40" s="697">
        <f>Interims!DH17</f>
        <v>0.66174331431129141</v>
      </c>
      <c r="R40" s="697">
        <f>Interims!DJ17</f>
        <v>0.21788650094087347</v>
      </c>
      <c r="S40" s="697">
        <f>Interims!DK17</f>
        <v>0.17436955095153284</v>
      </c>
      <c r="T40" s="697">
        <f>Interims!DL17</f>
        <v>0.13257636334559431</v>
      </c>
      <c r="U40" s="697">
        <f>Interims!DM17</f>
        <v>6.868224361995301E-3</v>
      </c>
      <c r="V40" s="697">
        <f>Interims!DO17</f>
        <v>0.32780352931609325</v>
      </c>
      <c r="W40" s="697">
        <f>Interims!DP17</f>
        <v>0.43673664883850871</v>
      </c>
      <c r="X40" s="697">
        <f>Interims!DQ17</f>
        <v>0.3263908500423609</v>
      </c>
      <c r="Y40" s="697">
        <f>Interims!DR17</f>
        <v>0.29820102989366659</v>
      </c>
      <c r="Z40" s="697">
        <f>Interims!DT17</f>
        <v>0.1268985791278785</v>
      </c>
      <c r="AA40" s="697">
        <f>Interims!DU17</f>
        <v>4.2060228914323927E-2</v>
      </c>
      <c r="AB40" s="697">
        <f>Interims!DV17</f>
        <v>2.0386437430137905E-2</v>
      </c>
      <c r="AC40" s="697">
        <f>Interims!DW17</f>
        <v>-3.9666185864413506E-2</v>
      </c>
      <c r="AD40" s="697">
        <f>Interims!DY17</f>
        <v>-0.92820652173913043</v>
      </c>
      <c r="AE40" s="697">
        <f>Interims!DZ17</f>
        <v>-0.94705411890162627</v>
      </c>
      <c r="AF40" s="697" t="e">
        <f>Interims!#REF!</f>
        <v>#REF!</v>
      </c>
      <c r="AG40" s="697">
        <f>Interims!EB17</f>
        <v>-0.85521939706040129</v>
      </c>
      <c r="AH40" s="684"/>
      <c r="AI40" s="684"/>
      <c r="AJ40" s="684"/>
      <c r="AK40" s="684"/>
      <c r="AL40" s="684"/>
      <c r="AM40" s="684"/>
      <c r="AN40" s="684"/>
      <c r="AO40" s="684"/>
      <c r="AP40" s="684"/>
      <c r="AQ40" s="684"/>
      <c r="AR40" s="684"/>
      <c r="AS40" s="684"/>
      <c r="AT40" s="684"/>
      <c r="AU40" s="684"/>
      <c r="AV40" s="684"/>
      <c r="AW40" s="684"/>
      <c r="AX40" s="684"/>
      <c r="AY40" s="684"/>
      <c r="AZ40" s="684"/>
      <c r="BA40" s="684"/>
      <c r="BB40" s="684"/>
      <c r="BC40" s="684"/>
      <c r="BD40" s="684"/>
      <c r="BE40" s="684"/>
      <c r="BF40" s="684"/>
      <c r="BG40" s="684"/>
      <c r="BH40" s="684"/>
      <c r="BI40" s="684"/>
      <c r="BJ40" s="684"/>
      <c r="BK40" s="684"/>
      <c r="BL40" s="684"/>
      <c r="BM40" s="684"/>
      <c r="BN40" s="684"/>
      <c r="BV40" s="684"/>
      <c r="BW40" s="684"/>
      <c r="BX40" s="684"/>
      <c r="BY40" s="684"/>
      <c r="BZ40" s="684"/>
      <c r="CA40" s="684"/>
      <c r="CB40" s="684"/>
      <c r="CC40" s="684"/>
      <c r="CD40" s="684"/>
      <c r="CE40" s="684"/>
      <c r="CF40" s="684"/>
      <c r="CG40" s="684"/>
      <c r="CH40" s="684"/>
      <c r="CI40" s="684"/>
      <c r="CJ40" s="684"/>
      <c r="CK40" s="684"/>
      <c r="CL40" s="684"/>
      <c r="CM40" s="684"/>
      <c r="CN40" s="684"/>
      <c r="CO40" s="684"/>
      <c r="CP40" s="684"/>
      <c r="CQ40" s="684"/>
      <c r="CR40" s="684"/>
      <c r="CS40" s="684"/>
      <c r="CT40" s="684"/>
      <c r="CU40" s="684"/>
      <c r="CV40" s="684"/>
      <c r="CW40" s="684"/>
      <c r="CX40" s="684"/>
      <c r="CY40" s="684"/>
      <c r="CZ40" s="684"/>
      <c r="DA40" s="684"/>
      <c r="DB40" s="684"/>
      <c r="DC40" s="684"/>
      <c r="DD40" s="684"/>
      <c r="DE40" s="684"/>
      <c r="DF40" s="684"/>
      <c r="DG40" s="684"/>
      <c r="DH40" s="684"/>
      <c r="DI40" s="684"/>
      <c r="DJ40" s="684"/>
      <c r="DK40" s="684"/>
      <c r="DL40" s="684"/>
      <c r="DM40" s="684"/>
      <c r="DN40" s="684"/>
      <c r="DO40" s="684"/>
      <c r="DP40" s="684"/>
      <c r="DQ40" s="684"/>
      <c r="DR40" s="684"/>
      <c r="DS40" s="684"/>
      <c r="DT40" s="684"/>
      <c r="DU40" s="684"/>
      <c r="DV40" s="684"/>
      <c r="DW40" s="684"/>
      <c r="DX40" s="684"/>
      <c r="DY40" s="684"/>
      <c r="DZ40" s="684"/>
      <c r="EA40" s="684"/>
      <c r="EB40" s="684"/>
      <c r="EC40" s="684"/>
      <c r="ED40" s="684"/>
      <c r="EE40" s="684"/>
      <c r="EF40" s="684"/>
      <c r="EG40" s="684"/>
      <c r="EH40" s="684"/>
      <c r="EI40" s="684"/>
      <c r="EJ40" s="684"/>
      <c r="EK40" s="684"/>
      <c r="EL40" s="684"/>
      <c r="EM40" s="684"/>
      <c r="EN40" s="684"/>
      <c r="EO40" s="684"/>
      <c r="EP40" s="684"/>
      <c r="EQ40" s="684"/>
      <c r="ER40" s="684"/>
      <c r="ES40" s="684"/>
      <c r="ET40" s="684"/>
      <c r="EU40" s="684"/>
      <c r="EV40" s="684"/>
    </row>
    <row r="41" spans="1:152">
      <c r="A41" s="713" t="str">
        <f>Interims!A18</f>
        <v>Consolidated Net Sales</v>
      </c>
      <c r="B41" s="714">
        <f>Interims!CP18</f>
        <v>8.2155518789884363E-2</v>
      </c>
      <c r="C41" s="714">
        <f>Interims!CQ18</f>
        <v>-3.8675636191719542E-3</v>
      </c>
      <c r="D41" s="714">
        <f>Interims!CR18</f>
        <v>4.6359138344646444E-2</v>
      </c>
      <c r="E41" s="714">
        <f>Interims!CS18</f>
        <v>1.5373919704261274E-2</v>
      </c>
      <c r="F41" s="714">
        <f>Interims!CU18</f>
        <v>9.4746064835795396E-2</v>
      </c>
      <c r="G41" s="714">
        <f>Interims!CV18</f>
        <v>0.12092996659630151</v>
      </c>
      <c r="H41" s="714">
        <f>Interims!CW18</f>
        <v>6.5850425718329664E-2</v>
      </c>
      <c r="I41" s="714">
        <f>Interims!CX18</f>
        <v>9.4219685613742721E-2</v>
      </c>
      <c r="J41" s="714">
        <f>Interims!CZ18</f>
        <v>2.0058874936755622E-2</v>
      </c>
      <c r="K41" s="714">
        <f>Interims!DA18</f>
        <v>-1.5376113248453893E-2</v>
      </c>
      <c r="L41" s="714">
        <f>Interims!DB18</f>
        <v>-3.7509326745945759E-2</v>
      </c>
      <c r="M41" s="714">
        <f>Interims!DC18</f>
        <v>-4.3881176513680953E-2</v>
      </c>
      <c r="N41" s="714">
        <f>Interims!DE18</f>
        <v>2.862863043409658E-2</v>
      </c>
      <c r="O41" s="714">
        <f>Interims!DF18</f>
        <v>0.15283786234230501</v>
      </c>
      <c r="P41" s="714">
        <f>Interims!DG18</f>
        <v>9.639414338459118E-2</v>
      </c>
      <c r="Q41" s="714">
        <f>Interims!DH18</f>
        <v>2.4223269356012711E-2</v>
      </c>
      <c r="R41" s="714">
        <f>Interims!DJ18</f>
        <v>2.556549184639656E-2</v>
      </c>
      <c r="S41" s="714">
        <f>Interims!DK18</f>
        <v>-8.9664367196218842E-2</v>
      </c>
      <c r="T41" s="714">
        <f>Interims!DL18</f>
        <v>3.0088043078790871E-2</v>
      </c>
      <c r="U41" s="714">
        <f>Interims!DM18</f>
        <v>4.7319461535872298E-2</v>
      </c>
      <c r="V41" s="714">
        <f>Interims!DO18</f>
        <v>-7.1125700998493357E-3</v>
      </c>
      <c r="W41" s="714">
        <f>Interims!DP18</f>
        <v>-8.1299675821553952E-2</v>
      </c>
      <c r="X41" s="714">
        <f>Interims!DQ18</f>
        <v>-7.1487295628703484E-2</v>
      </c>
      <c r="Y41" s="714">
        <f>Interims!DR18</f>
        <v>-1.3046242196540159E-2</v>
      </c>
      <c r="Z41" s="714">
        <f>Interims!DT18</f>
        <v>2.5830004132800566E-2</v>
      </c>
      <c r="AA41" s="714">
        <f>Interims!DU18</f>
        <v>0.10841237002606219</v>
      </c>
      <c r="AB41" s="714">
        <f>Interims!DV18</f>
        <v>9.1254228793384407E-2</v>
      </c>
      <c r="AC41" s="714">
        <f>Interims!DW18</f>
        <v>4.2579907436557152E-2</v>
      </c>
      <c r="AD41" s="714">
        <f>Interims!DY18</f>
        <v>-0.21904586047136232</v>
      </c>
      <c r="AE41" s="714">
        <f>Interims!DZ18</f>
        <v>-0.25124432378274431</v>
      </c>
      <c r="AF41" s="714" t="e">
        <f>Interims!#REF!</f>
        <v>#REF!</v>
      </c>
      <c r="AG41" s="714">
        <f>Interims!EB18</f>
        <v>-0.3359561013195983</v>
      </c>
      <c r="AH41" s="684"/>
      <c r="AI41" s="684"/>
      <c r="AJ41" s="684"/>
      <c r="AK41" s="684"/>
      <c r="AL41" s="684"/>
      <c r="AM41" s="684"/>
      <c r="AN41" s="684"/>
      <c r="AO41" s="684"/>
      <c r="AP41" s="684"/>
      <c r="AQ41" s="684"/>
      <c r="AR41" s="684"/>
      <c r="AS41" s="684"/>
      <c r="AT41" s="684"/>
      <c r="AU41" s="684"/>
      <c r="AV41" s="684"/>
      <c r="AW41" s="684"/>
      <c r="AX41" s="684"/>
      <c r="AY41" s="684"/>
      <c r="AZ41" s="684"/>
      <c r="BA41" s="684"/>
      <c r="BB41" s="684"/>
      <c r="BC41" s="684"/>
      <c r="BD41" s="684"/>
      <c r="BE41" s="684"/>
      <c r="BF41" s="684"/>
      <c r="BG41" s="684"/>
      <c r="BH41" s="684"/>
      <c r="BI41" s="684"/>
      <c r="BJ41" s="684"/>
      <c r="BK41" s="684"/>
      <c r="BL41" s="684"/>
      <c r="BM41" s="684"/>
      <c r="BN41" s="684"/>
      <c r="BV41" s="684"/>
      <c r="BW41" s="684"/>
      <c r="BX41" s="684"/>
      <c r="BY41" s="684"/>
      <c r="BZ41" s="684"/>
      <c r="CA41" s="684"/>
      <c r="CB41" s="684"/>
      <c r="CC41" s="684"/>
      <c r="CD41" s="684"/>
      <c r="CE41" s="684"/>
      <c r="CF41" s="684"/>
      <c r="CG41" s="684"/>
      <c r="CH41" s="684"/>
      <c r="CI41" s="684"/>
      <c r="CJ41" s="684"/>
      <c r="CK41" s="684"/>
      <c r="CL41" s="684"/>
      <c r="CM41" s="684"/>
      <c r="CN41" s="684"/>
      <c r="CO41" s="684"/>
      <c r="CP41" s="684"/>
      <c r="CQ41" s="684"/>
      <c r="CR41" s="684"/>
      <c r="CS41" s="684"/>
      <c r="CT41" s="684"/>
      <c r="CU41" s="684"/>
      <c r="CV41" s="684"/>
      <c r="CW41" s="684"/>
      <c r="CX41" s="684"/>
      <c r="CY41" s="684"/>
      <c r="CZ41" s="684"/>
      <c r="DA41" s="684"/>
      <c r="DB41" s="684"/>
      <c r="DC41" s="684"/>
      <c r="DD41" s="684"/>
      <c r="DE41" s="684"/>
      <c r="DF41" s="684"/>
      <c r="DG41" s="684"/>
      <c r="DH41" s="684"/>
      <c r="DI41" s="684"/>
      <c r="DJ41" s="684"/>
      <c r="DK41" s="684"/>
      <c r="DL41" s="684"/>
      <c r="DM41" s="684"/>
      <c r="DN41" s="684"/>
      <c r="DO41" s="684"/>
      <c r="DP41" s="684"/>
      <c r="DQ41" s="684"/>
      <c r="DR41" s="684"/>
      <c r="DS41" s="684"/>
      <c r="DT41" s="684"/>
      <c r="DU41" s="684"/>
      <c r="DV41" s="684"/>
      <c r="DW41" s="684"/>
      <c r="DX41" s="684"/>
      <c r="DY41" s="684"/>
      <c r="DZ41" s="684"/>
      <c r="EA41" s="684"/>
      <c r="EB41" s="684"/>
      <c r="EC41" s="684"/>
      <c r="ED41" s="684"/>
      <c r="EE41" s="684"/>
      <c r="EF41" s="684"/>
      <c r="EG41" s="684"/>
      <c r="EH41" s="684"/>
      <c r="EI41" s="684"/>
      <c r="EJ41" s="684"/>
      <c r="EK41" s="684"/>
      <c r="EL41" s="684"/>
      <c r="EM41" s="684"/>
      <c r="EN41" s="684"/>
      <c r="EO41" s="684"/>
      <c r="EP41" s="684"/>
      <c r="EQ41" s="684"/>
      <c r="ER41" s="684"/>
      <c r="ES41" s="684"/>
      <c r="ET41" s="684"/>
      <c r="EU41" s="684"/>
      <c r="EV41" s="684"/>
    </row>
    <row r="42" spans="1:152">
      <c r="A42" s="715" t="s">
        <v>4755</v>
      </c>
      <c r="B42" s="716"/>
      <c r="C42" s="716"/>
      <c r="D42" s="716"/>
      <c r="E42" s="716"/>
      <c r="F42" s="716"/>
      <c r="G42" s="716"/>
      <c r="H42" s="716"/>
      <c r="I42" s="716"/>
      <c r="J42" s="716"/>
      <c r="K42" s="716"/>
      <c r="L42" s="716"/>
      <c r="M42" s="716"/>
      <c r="N42" s="716">
        <f>Interims!DE19</f>
        <v>2.862863043409658E-2</v>
      </c>
      <c r="O42" s="716">
        <f>Interims!DF19</f>
        <v>7.8426547159547111E-2</v>
      </c>
      <c r="P42" s="716">
        <f>Interims!DG19</f>
        <v>5.2154185079908766E-2</v>
      </c>
      <c r="Q42" s="716">
        <f>Interims!DH19</f>
        <v>2.4223269356012711E-2</v>
      </c>
      <c r="R42" s="716">
        <f>Interims!DJ19</f>
        <v>2.556549184639656E-2</v>
      </c>
      <c r="S42" s="716">
        <f>Interims!DK19</f>
        <v>-2.685130693441895E-2</v>
      </c>
      <c r="T42" s="716">
        <f>Interims!DL19</f>
        <v>7.3400185654640238E-2</v>
      </c>
      <c r="U42" s="716">
        <f>Interims!DM19</f>
        <v>4.7319461535872298E-2</v>
      </c>
      <c r="V42" s="716">
        <f>Interims!DO18</f>
        <v>-7.1125700998493357E-3</v>
      </c>
      <c r="W42" s="716">
        <f>Interims!DP18</f>
        <v>-8.1299675821553952E-2</v>
      </c>
      <c r="X42" s="716">
        <f>Interims!DQ18</f>
        <v>-7.1487295628703484E-2</v>
      </c>
      <c r="Y42" s="716">
        <f>Interims!DR18</f>
        <v>-1.3046242196540159E-2</v>
      </c>
      <c r="Z42" s="716">
        <f>Interims!DT18</f>
        <v>2.5830004132800566E-2</v>
      </c>
      <c r="AA42" s="716">
        <f>Interims!DU18</f>
        <v>0.10841237002606219</v>
      </c>
      <c r="AB42" s="716">
        <f>Interims!DV18</f>
        <v>9.1254228793384407E-2</v>
      </c>
      <c r="AC42" s="716">
        <f>Interims!DW18</f>
        <v>4.2579907436557152E-2</v>
      </c>
      <c r="AD42" s="716">
        <f>Interims!DY18</f>
        <v>-0.21904586047136232</v>
      </c>
      <c r="AE42" s="716">
        <f>Interims!DZ18</f>
        <v>-0.25124432378274431</v>
      </c>
      <c r="AF42" s="716" t="e">
        <f>Interims!#REF!</f>
        <v>#REF!</v>
      </c>
      <c r="AG42" s="716">
        <f>Interims!EB18</f>
        <v>-0.3359561013195983</v>
      </c>
      <c r="AH42" s="684"/>
      <c r="AI42" s="684"/>
      <c r="AJ42" s="684"/>
      <c r="AK42" s="684"/>
      <c r="AL42" s="684"/>
      <c r="AM42" s="684"/>
      <c r="AN42" s="684"/>
      <c r="AO42" s="684"/>
      <c r="AP42" s="684"/>
      <c r="AQ42" s="684"/>
      <c r="AR42" s="684"/>
      <c r="AS42" s="684"/>
      <c r="AT42" s="684"/>
      <c r="AU42" s="684"/>
      <c r="AV42" s="684"/>
      <c r="AW42" s="684"/>
      <c r="AX42" s="684"/>
      <c r="AY42" s="684"/>
      <c r="AZ42" s="684"/>
      <c r="BA42" s="684"/>
      <c r="BB42" s="684"/>
      <c r="BC42" s="684"/>
      <c r="BD42" s="684"/>
      <c r="BE42" s="684"/>
      <c r="BF42" s="684"/>
      <c r="BG42" s="684"/>
      <c r="BH42" s="684"/>
      <c r="BI42" s="684"/>
      <c r="BJ42" s="684"/>
      <c r="BK42" s="684"/>
      <c r="BL42" s="684"/>
      <c r="BM42" s="684"/>
      <c r="BN42" s="684"/>
      <c r="BV42" s="684"/>
      <c r="BW42" s="684"/>
      <c r="BX42" s="684"/>
      <c r="BY42" s="684"/>
      <c r="BZ42" s="684"/>
      <c r="CA42" s="684"/>
      <c r="CB42" s="684"/>
      <c r="CC42" s="684"/>
      <c r="CD42" s="684"/>
      <c r="CE42" s="684"/>
      <c r="CF42" s="684"/>
      <c r="CG42" s="684"/>
      <c r="CH42" s="684"/>
      <c r="CI42" s="684"/>
      <c r="CJ42" s="684"/>
      <c r="CK42" s="684"/>
      <c r="CL42" s="684"/>
      <c r="CM42" s="684"/>
      <c r="CN42" s="684"/>
      <c r="CO42" s="684"/>
      <c r="CP42" s="684"/>
      <c r="CQ42" s="684"/>
      <c r="CR42" s="684"/>
      <c r="CS42" s="684"/>
      <c r="CT42" s="684"/>
      <c r="CU42" s="684"/>
      <c r="CV42" s="684"/>
      <c r="CW42" s="684"/>
      <c r="CX42" s="684"/>
      <c r="CY42" s="684"/>
      <c r="CZ42" s="684"/>
      <c r="DA42" s="684"/>
      <c r="DB42" s="684"/>
      <c r="DC42" s="684"/>
      <c r="DD42" s="684"/>
      <c r="DE42" s="684"/>
      <c r="DF42" s="684"/>
      <c r="DG42" s="684"/>
      <c r="DH42" s="684"/>
      <c r="DI42" s="684"/>
      <c r="DJ42" s="684"/>
      <c r="DK42" s="684"/>
      <c r="DL42" s="684"/>
      <c r="DM42" s="684"/>
      <c r="DN42" s="684"/>
      <c r="DO42" s="684"/>
      <c r="DP42" s="684"/>
      <c r="DQ42" s="684"/>
      <c r="DR42" s="684"/>
      <c r="DS42" s="684"/>
      <c r="DT42" s="684"/>
      <c r="DU42" s="684"/>
      <c r="DV42" s="684"/>
      <c r="DW42" s="684"/>
      <c r="DX42" s="684"/>
      <c r="DY42" s="684"/>
      <c r="DZ42" s="684"/>
      <c r="EA42" s="684"/>
      <c r="EB42" s="684"/>
      <c r="EC42" s="684"/>
      <c r="ED42" s="684"/>
      <c r="EE42" s="684"/>
      <c r="EF42" s="684"/>
      <c r="EG42" s="684"/>
      <c r="EH42" s="684"/>
      <c r="EI42" s="684"/>
      <c r="EJ42" s="684"/>
      <c r="EK42" s="684"/>
      <c r="EL42" s="684"/>
      <c r="EM42" s="684"/>
      <c r="EN42" s="684"/>
      <c r="EO42" s="684"/>
      <c r="EP42" s="684"/>
      <c r="EQ42" s="684"/>
      <c r="ER42" s="684"/>
      <c r="ES42" s="684"/>
      <c r="ET42" s="684"/>
      <c r="EU42" s="684"/>
      <c r="EV42" s="684"/>
    </row>
    <row r="43" spans="1:152">
      <c r="A43" s="707"/>
      <c r="B43" s="688"/>
      <c r="C43" s="684"/>
      <c r="D43" s="684"/>
      <c r="E43" s="684"/>
      <c r="F43" s="684"/>
      <c r="G43" s="684"/>
      <c r="H43" s="684"/>
      <c r="I43" s="684"/>
      <c r="J43" s="684"/>
      <c r="K43" s="684"/>
      <c r="L43" s="684"/>
      <c r="M43" s="684"/>
      <c r="N43" s="684"/>
      <c r="O43" s="684"/>
      <c r="P43" s="684"/>
      <c r="Q43" s="684"/>
      <c r="R43" s="684"/>
      <c r="S43" s="684"/>
      <c r="T43" s="684"/>
      <c r="U43" s="684"/>
      <c r="V43" s="684"/>
      <c r="W43" s="684"/>
      <c r="X43" s="684"/>
      <c r="Y43" s="684"/>
      <c r="Z43" s="684"/>
      <c r="AA43" s="684"/>
      <c r="AB43" s="684"/>
      <c r="AC43" s="684"/>
      <c r="AD43" s="684"/>
      <c r="AE43" s="684"/>
      <c r="AF43" s="684"/>
      <c r="AG43" s="684"/>
      <c r="AH43" s="684"/>
      <c r="AI43" s="684"/>
      <c r="AJ43" s="684"/>
      <c r="AK43" s="684"/>
      <c r="AL43" s="684"/>
      <c r="AM43" s="684"/>
      <c r="AN43" s="684"/>
      <c r="AO43" s="684"/>
      <c r="AP43" s="684"/>
      <c r="AQ43" s="684"/>
      <c r="AR43" s="684"/>
      <c r="AS43" s="684"/>
      <c r="AT43" s="684"/>
      <c r="AU43" s="684"/>
      <c r="AV43" s="684"/>
      <c r="AW43" s="684"/>
      <c r="AX43" s="684"/>
      <c r="AY43" s="684"/>
      <c r="AZ43" s="684"/>
      <c r="BA43" s="684"/>
      <c r="BB43" s="684"/>
      <c r="BC43" s="684"/>
      <c r="BD43" s="684"/>
      <c r="BE43" s="684"/>
      <c r="BF43" s="684"/>
      <c r="BG43" s="684"/>
      <c r="BH43" s="684"/>
      <c r="BI43" s="684"/>
      <c r="BJ43" s="684"/>
      <c r="BK43" s="684"/>
      <c r="BL43" s="684"/>
      <c r="BM43" s="684"/>
      <c r="BN43" s="684"/>
      <c r="BV43" s="684"/>
      <c r="BW43" s="684"/>
      <c r="BX43" s="684"/>
      <c r="BY43" s="684"/>
      <c r="BZ43" s="684"/>
      <c r="CA43" s="684"/>
      <c r="CB43" s="684"/>
      <c r="CC43" s="684"/>
      <c r="CD43" s="684"/>
      <c r="CE43" s="684"/>
      <c r="CF43" s="684"/>
      <c r="CG43" s="684"/>
      <c r="CH43" s="684"/>
      <c r="CI43" s="684"/>
      <c r="CJ43" s="684"/>
      <c r="CK43" s="684"/>
      <c r="CL43" s="684"/>
      <c r="CM43" s="684"/>
      <c r="CN43" s="684"/>
      <c r="CO43" s="684"/>
      <c r="CP43" s="684"/>
      <c r="CQ43" s="684"/>
      <c r="CR43" s="684"/>
      <c r="CS43" s="684"/>
      <c r="CT43" s="684"/>
      <c r="CU43" s="684"/>
      <c r="CV43" s="684"/>
      <c r="CW43" s="684"/>
      <c r="CX43" s="684"/>
      <c r="CY43" s="684"/>
      <c r="CZ43" s="684"/>
      <c r="DA43" s="684"/>
      <c r="DB43" s="684"/>
      <c r="DC43" s="684"/>
      <c r="DD43" s="684"/>
      <c r="DE43" s="684"/>
      <c r="DF43" s="684"/>
      <c r="DG43" s="684"/>
      <c r="DH43" s="684"/>
      <c r="DI43" s="684"/>
      <c r="DJ43" s="684"/>
      <c r="DK43" s="684"/>
      <c r="DL43" s="684"/>
      <c r="DM43" s="684"/>
      <c r="DN43" s="684"/>
      <c r="DO43" s="684"/>
      <c r="DP43" s="684"/>
      <c r="DQ43" s="684"/>
      <c r="DR43" s="684"/>
      <c r="DS43" s="684"/>
      <c r="DT43" s="684"/>
      <c r="DU43" s="684"/>
      <c r="DV43" s="684"/>
      <c r="DW43" s="684"/>
      <c r="DX43" s="684"/>
      <c r="DY43" s="684"/>
      <c r="DZ43" s="684"/>
      <c r="EA43" s="684"/>
      <c r="EB43" s="684"/>
      <c r="EC43" s="684"/>
      <c r="ED43" s="684"/>
      <c r="EE43" s="684"/>
      <c r="EF43" s="684"/>
      <c r="EG43" s="684"/>
      <c r="EH43" s="684"/>
      <c r="EI43" s="684"/>
      <c r="EJ43" s="684"/>
      <c r="EK43" s="684"/>
      <c r="EL43" s="684"/>
      <c r="EM43" s="684"/>
      <c r="EN43" s="684"/>
      <c r="EO43" s="684"/>
      <c r="EP43" s="684"/>
      <c r="EQ43" s="684"/>
      <c r="ER43" s="684"/>
      <c r="ES43" s="684"/>
      <c r="ET43" s="684"/>
      <c r="EU43" s="684"/>
      <c r="EV43" s="684"/>
    </row>
    <row r="44" spans="1:152">
      <c r="A44" s="707" t="s">
        <v>1105</v>
      </c>
      <c r="B44" s="688"/>
      <c r="C44" s="684"/>
      <c r="D44" s="684"/>
      <c r="E44" s="684"/>
      <c r="F44" s="684"/>
      <c r="G44" s="684"/>
      <c r="H44" s="684"/>
      <c r="I44" s="684"/>
      <c r="J44" s="684"/>
      <c r="K44" s="684"/>
      <c r="L44" s="684"/>
      <c r="M44" s="684"/>
      <c r="N44" s="684"/>
      <c r="O44" s="684"/>
      <c r="P44" s="684"/>
      <c r="Q44" s="684"/>
      <c r="R44" s="684"/>
      <c r="S44" s="684"/>
      <c r="T44" s="684"/>
      <c r="U44" s="684"/>
      <c r="V44" s="684"/>
      <c r="W44" s="684"/>
      <c r="X44" s="684"/>
      <c r="Y44" s="684"/>
      <c r="Z44" s="684"/>
      <c r="AA44" s="684"/>
      <c r="AB44" s="684"/>
      <c r="AC44" s="684"/>
      <c r="AD44" s="684"/>
      <c r="AE44" s="684"/>
      <c r="AF44" s="684"/>
      <c r="AG44" s="684"/>
      <c r="AH44" s="684"/>
      <c r="AI44" s="684"/>
      <c r="AJ44" s="684"/>
      <c r="AK44" s="684"/>
      <c r="AL44" s="684"/>
      <c r="AM44" s="684"/>
      <c r="AN44" s="684"/>
      <c r="AO44" s="684"/>
      <c r="AP44" s="684"/>
      <c r="AQ44" s="684"/>
      <c r="AR44" s="684"/>
      <c r="AS44" s="684"/>
      <c r="AT44" s="684"/>
      <c r="AU44" s="684"/>
      <c r="AV44" s="684"/>
      <c r="AW44" s="684"/>
      <c r="AX44" s="684"/>
      <c r="AY44" s="684"/>
      <c r="AZ44" s="684"/>
      <c r="BA44" s="684"/>
      <c r="BB44" s="684"/>
      <c r="BC44" s="684"/>
      <c r="BD44" s="684"/>
      <c r="BE44" s="684"/>
      <c r="BF44" s="684"/>
      <c r="BG44" s="684"/>
      <c r="BH44" s="684"/>
      <c r="BI44" s="684"/>
      <c r="BJ44" s="684"/>
      <c r="BK44" s="684"/>
      <c r="BL44" s="684"/>
      <c r="BM44" s="684"/>
      <c r="BN44" s="684"/>
      <c r="BO44" s="684"/>
      <c r="BV44" s="684"/>
      <c r="BW44" s="684"/>
      <c r="BX44" s="684"/>
      <c r="BY44" s="684"/>
      <c r="BZ44" s="684"/>
      <c r="CA44" s="684"/>
      <c r="CB44" s="684"/>
      <c r="CC44" s="684"/>
      <c r="CD44" s="684"/>
      <c r="CE44" s="684"/>
      <c r="CF44" s="684"/>
      <c r="CG44" s="684"/>
      <c r="CH44" s="684"/>
      <c r="CI44" s="684"/>
      <c r="CJ44" s="684"/>
      <c r="CK44" s="684"/>
      <c r="CL44" s="684"/>
      <c r="CM44" s="684"/>
      <c r="CN44" s="684"/>
      <c r="CO44" s="684"/>
      <c r="CP44" s="684"/>
      <c r="CQ44" s="684"/>
      <c r="CR44" s="684"/>
      <c r="CS44" s="684"/>
      <c r="CT44" s="684"/>
      <c r="CU44" s="684"/>
      <c r="CV44" s="684"/>
      <c r="CW44" s="684"/>
      <c r="CX44" s="684"/>
      <c r="CY44" s="684"/>
      <c r="CZ44" s="684"/>
      <c r="DA44" s="684"/>
      <c r="DB44" s="684"/>
      <c r="DC44" s="684"/>
      <c r="DD44" s="684"/>
      <c r="DE44" s="684"/>
      <c r="DF44" s="684"/>
      <c r="DG44" s="684"/>
      <c r="DH44" s="684"/>
      <c r="DI44" s="684"/>
      <c r="DJ44" s="684"/>
      <c r="DK44" s="684"/>
      <c r="DL44" s="684"/>
      <c r="DM44" s="684"/>
      <c r="DN44" s="684"/>
      <c r="DO44" s="684"/>
      <c r="DP44" s="684"/>
      <c r="DQ44" s="684"/>
      <c r="DR44" s="684"/>
      <c r="DS44" s="684"/>
      <c r="DT44" s="684"/>
      <c r="DU44" s="684"/>
      <c r="DV44" s="684"/>
      <c r="DW44" s="684"/>
      <c r="DX44" s="684"/>
      <c r="DY44" s="684"/>
      <c r="DZ44" s="684"/>
      <c r="EA44" s="684"/>
      <c r="EB44" s="684"/>
      <c r="EC44" s="684"/>
      <c r="ED44" s="684"/>
      <c r="EE44" s="684"/>
      <c r="EF44" s="684"/>
      <c r="EG44" s="684"/>
      <c r="EH44" s="684"/>
      <c r="EI44" s="684"/>
      <c r="EJ44" s="684"/>
      <c r="EK44" s="684"/>
      <c r="EL44" s="684"/>
      <c r="EM44" s="684"/>
      <c r="EN44" s="684"/>
      <c r="EO44" s="684"/>
      <c r="EP44" s="684"/>
      <c r="EQ44" s="684"/>
      <c r="ER44" s="684"/>
      <c r="ES44" s="684"/>
      <c r="ET44" s="684"/>
      <c r="EU44" s="684"/>
      <c r="EV44" s="684"/>
    </row>
    <row r="45" spans="1:152">
      <c r="A45" s="684" t="s">
        <v>145</v>
      </c>
      <c r="B45" s="697">
        <f>Interims!X189</f>
        <v>-5.0829937547646531E-2</v>
      </c>
      <c r="C45" s="697"/>
      <c r="D45" s="684"/>
      <c r="E45" s="684"/>
      <c r="F45" s="684"/>
      <c r="G45" s="684"/>
      <c r="H45" s="684"/>
      <c r="I45" s="684"/>
      <c r="J45" s="684"/>
      <c r="K45" s="684"/>
      <c r="L45" s="684"/>
      <c r="M45" s="684"/>
      <c r="N45" s="684"/>
      <c r="O45" s="684"/>
      <c r="P45" s="684"/>
      <c r="Q45" s="684"/>
      <c r="R45" s="684"/>
      <c r="S45" s="684"/>
      <c r="T45" s="684"/>
      <c r="U45" s="684"/>
      <c r="V45" s="684"/>
      <c r="W45" s="684"/>
      <c r="X45" s="684"/>
      <c r="Y45" s="684"/>
      <c r="Z45" s="684"/>
      <c r="AA45" s="684"/>
      <c r="AB45" s="684"/>
      <c r="AC45" s="684"/>
      <c r="AD45" s="684"/>
      <c r="AE45" s="684"/>
      <c r="AF45" s="684"/>
      <c r="AG45" s="684"/>
      <c r="AH45" s="684"/>
      <c r="AI45" s="684"/>
      <c r="AJ45" s="684"/>
      <c r="AK45" s="684"/>
      <c r="AL45" s="684"/>
      <c r="AM45" s="684"/>
      <c r="AN45" s="684"/>
      <c r="AO45" s="684"/>
      <c r="AP45" s="684"/>
      <c r="AQ45" s="684"/>
      <c r="AR45" s="684"/>
      <c r="AS45" s="684"/>
      <c r="AT45" s="684"/>
      <c r="AU45" s="684"/>
      <c r="AV45" s="684"/>
      <c r="AW45" s="684"/>
      <c r="AX45" s="684"/>
      <c r="AY45" s="684"/>
      <c r="AZ45" s="684"/>
      <c r="BA45" s="684"/>
      <c r="BB45" s="684"/>
      <c r="BC45" s="684"/>
      <c r="BD45" s="684"/>
      <c r="BE45" s="684"/>
      <c r="BF45" s="684"/>
      <c r="BG45" s="684"/>
      <c r="BH45" s="684"/>
      <c r="BI45" s="684"/>
      <c r="BJ45" s="684"/>
      <c r="BK45" s="684"/>
      <c r="BL45" s="684"/>
      <c r="BM45" s="684"/>
      <c r="BN45" s="684"/>
      <c r="BV45" s="684"/>
      <c r="BW45" s="684"/>
      <c r="BX45" s="684"/>
      <c r="BY45" s="684"/>
      <c r="BZ45" s="684"/>
      <c r="CA45" s="684"/>
      <c r="CB45" s="684"/>
      <c r="CC45" s="684"/>
      <c r="CD45" s="684"/>
      <c r="CE45" s="684"/>
      <c r="CF45" s="684"/>
      <c r="CG45" s="684"/>
      <c r="CH45" s="684"/>
      <c r="CI45" s="684"/>
      <c r="CJ45" s="684"/>
      <c r="CK45" s="684"/>
      <c r="CL45" s="684"/>
      <c r="CM45" s="684"/>
      <c r="CN45" s="684"/>
      <c r="CO45" s="684"/>
      <c r="CP45" s="684"/>
      <c r="CQ45" s="684"/>
      <c r="CR45" s="684"/>
      <c r="CS45" s="684"/>
      <c r="CT45" s="684"/>
      <c r="CU45" s="684"/>
      <c r="CV45" s="684"/>
      <c r="CW45" s="684"/>
      <c r="CX45" s="684"/>
      <c r="CY45" s="684"/>
      <c r="CZ45" s="684"/>
      <c r="DA45" s="684"/>
      <c r="DB45" s="684"/>
      <c r="DC45" s="684"/>
      <c r="DD45" s="684"/>
      <c r="DE45" s="684"/>
      <c r="DF45" s="684"/>
      <c r="DG45" s="684"/>
      <c r="DH45" s="684"/>
      <c r="DI45" s="684"/>
      <c r="DJ45" s="684"/>
      <c r="DK45" s="684"/>
      <c r="DL45" s="684"/>
      <c r="DM45" s="684"/>
      <c r="DN45" s="684"/>
      <c r="DO45" s="684"/>
      <c r="DP45" s="684"/>
      <c r="DQ45" s="684"/>
      <c r="DR45" s="684"/>
      <c r="DS45" s="684"/>
      <c r="DT45" s="684"/>
      <c r="DU45" s="684"/>
      <c r="DV45" s="684"/>
      <c r="DW45" s="684"/>
      <c r="DX45" s="684"/>
      <c r="DY45" s="684"/>
      <c r="DZ45" s="684"/>
      <c r="EA45" s="684"/>
      <c r="EB45" s="684"/>
      <c r="EC45" s="684"/>
      <c r="ED45" s="684"/>
      <c r="EE45" s="684"/>
      <c r="EF45" s="684"/>
      <c r="EG45" s="684"/>
      <c r="EH45" s="684"/>
      <c r="EI45" s="684"/>
      <c r="EJ45" s="684"/>
      <c r="EK45" s="684"/>
      <c r="EL45" s="684"/>
      <c r="EM45" s="684"/>
      <c r="EN45" s="684"/>
      <c r="EO45" s="684"/>
      <c r="EP45" s="684"/>
      <c r="EQ45" s="684"/>
      <c r="ER45" s="684"/>
      <c r="ES45" s="684"/>
      <c r="ET45" s="684"/>
      <c r="EU45" s="684"/>
      <c r="EV45" s="684"/>
    </row>
    <row r="46" spans="1:152">
      <c r="A46" s="684" t="s">
        <v>1084</v>
      </c>
      <c r="B46" s="697">
        <f>Interims!X190</f>
        <v>4.9128423832202728E-2</v>
      </c>
      <c r="C46" s="697"/>
      <c r="D46" s="684"/>
      <c r="E46" s="684"/>
      <c r="F46" s="684"/>
      <c r="G46" s="684"/>
      <c r="H46" s="684"/>
      <c r="I46" s="684"/>
      <c r="J46" s="684"/>
      <c r="K46" s="684"/>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K46" s="684"/>
      <c r="AL46" s="684"/>
      <c r="AM46" s="684"/>
      <c r="AN46" s="684"/>
      <c r="AO46" s="684"/>
      <c r="AP46" s="684"/>
      <c r="AQ46" s="684"/>
      <c r="AR46" s="684"/>
      <c r="AS46" s="684"/>
      <c r="AT46" s="684"/>
      <c r="AU46" s="684"/>
      <c r="AV46" s="684"/>
      <c r="AW46" s="684"/>
      <c r="AX46" s="684"/>
      <c r="AY46" s="684"/>
      <c r="AZ46" s="684"/>
      <c r="BA46" s="684"/>
      <c r="BB46" s="684"/>
      <c r="BC46" s="684"/>
      <c r="BD46" s="684"/>
      <c r="BE46" s="684"/>
      <c r="BF46" s="684"/>
      <c r="BG46" s="684"/>
      <c r="BH46" s="684"/>
      <c r="BI46" s="684"/>
      <c r="BJ46" s="684"/>
      <c r="BK46" s="684"/>
      <c r="BL46" s="684"/>
      <c r="BM46" s="684"/>
      <c r="BN46" s="684"/>
      <c r="BV46" s="684"/>
      <c r="BW46" s="684"/>
      <c r="BX46" s="684"/>
      <c r="BY46" s="684"/>
      <c r="BZ46" s="684"/>
      <c r="CA46" s="684"/>
      <c r="CB46" s="684"/>
      <c r="CC46" s="684"/>
      <c r="CD46" s="684"/>
      <c r="CE46" s="684"/>
      <c r="CF46" s="684"/>
      <c r="CG46" s="684"/>
      <c r="CH46" s="684"/>
      <c r="CI46" s="684"/>
      <c r="CJ46" s="684"/>
      <c r="CK46" s="684"/>
      <c r="CL46" s="684"/>
      <c r="CM46" s="684"/>
      <c r="CN46" s="684"/>
      <c r="CO46" s="684"/>
      <c r="CP46" s="684"/>
      <c r="CQ46" s="684"/>
      <c r="CR46" s="684"/>
      <c r="CS46" s="684"/>
      <c r="CT46" s="684"/>
      <c r="CU46" s="684"/>
      <c r="CV46" s="684"/>
      <c r="CW46" s="684"/>
      <c r="CX46" s="684"/>
      <c r="CY46" s="684"/>
      <c r="CZ46" s="684"/>
      <c r="DA46" s="684"/>
      <c r="DB46" s="684"/>
      <c r="DC46" s="684"/>
      <c r="DD46" s="684"/>
      <c r="DE46" s="684"/>
      <c r="DF46" s="684"/>
      <c r="DG46" s="684"/>
      <c r="DH46" s="684"/>
      <c r="DI46" s="684"/>
      <c r="DJ46" s="684"/>
      <c r="DK46" s="684"/>
      <c r="DL46" s="684"/>
      <c r="DM46" s="684"/>
      <c r="DN46" s="684"/>
      <c r="DO46" s="684"/>
      <c r="DP46" s="684"/>
      <c r="DQ46" s="684"/>
      <c r="DR46" s="684"/>
      <c r="DS46" s="684"/>
      <c r="DT46" s="684"/>
      <c r="DU46" s="684"/>
      <c r="DV46" s="684"/>
      <c r="DW46" s="684"/>
      <c r="DX46" s="684"/>
      <c r="DY46" s="684"/>
      <c r="DZ46" s="684"/>
      <c r="EA46" s="684"/>
      <c r="EB46" s="684"/>
      <c r="EC46" s="684"/>
      <c r="ED46" s="684"/>
      <c r="EE46" s="684"/>
      <c r="EF46" s="684"/>
      <c r="EG46" s="684"/>
      <c r="EH46" s="684"/>
      <c r="EI46" s="684"/>
      <c r="EJ46" s="684"/>
      <c r="EK46" s="684"/>
      <c r="EL46" s="684"/>
      <c r="EM46" s="684"/>
      <c r="EN46" s="684"/>
      <c r="EO46" s="684"/>
      <c r="EP46" s="684"/>
      <c r="EQ46" s="684"/>
      <c r="ER46" s="684"/>
      <c r="ES46" s="684"/>
      <c r="ET46" s="684"/>
      <c r="EU46" s="684"/>
      <c r="EV46" s="684"/>
    </row>
    <row r="47" spans="1:152">
      <c r="A47" s="684"/>
      <c r="B47" s="688"/>
      <c r="C47" s="684"/>
      <c r="D47" s="684"/>
      <c r="E47" s="684"/>
      <c r="F47" s="684"/>
      <c r="G47" s="684"/>
      <c r="H47" s="684"/>
      <c r="I47" s="684"/>
      <c r="J47" s="684"/>
      <c r="K47" s="684"/>
      <c r="L47" s="684"/>
      <c r="M47" s="684"/>
      <c r="N47" s="684"/>
      <c r="O47" s="684"/>
      <c r="P47" s="684"/>
      <c r="Q47" s="684"/>
      <c r="R47" s="684"/>
      <c r="S47" s="684"/>
      <c r="T47" s="684"/>
      <c r="U47" s="684"/>
      <c r="V47" s="684"/>
      <c r="W47" s="684"/>
      <c r="X47" s="684"/>
      <c r="Y47" s="684"/>
      <c r="Z47" s="684"/>
      <c r="AA47" s="684"/>
      <c r="AB47" s="684"/>
      <c r="AC47" s="684"/>
      <c r="AD47" s="684"/>
      <c r="AE47" s="684"/>
      <c r="AF47" s="684"/>
      <c r="AG47" s="684"/>
      <c r="AH47" s="684"/>
      <c r="AI47" s="684"/>
      <c r="AJ47" s="684"/>
      <c r="AK47" s="684"/>
      <c r="AL47" s="684"/>
      <c r="AM47" s="684"/>
      <c r="AN47" s="684"/>
      <c r="AO47" s="684"/>
      <c r="AP47" s="684"/>
      <c r="AQ47" s="684"/>
      <c r="AR47" s="684"/>
      <c r="AS47" s="684"/>
      <c r="AT47" s="684"/>
      <c r="AU47" s="684"/>
      <c r="AV47" s="684"/>
      <c r="AW47" s="684"/>
      <c r="AX47" s="684"/>
      <c r="AY47" s="684"/>
      <c r="AZ47" s="684"/>
      <c r="BA47" s="684"/>
      <c r="BB47" s="684"/>
      <c r="BC47" s="684"/>
      <c r="BD47" s="684"/>
      <c r="BE47" s="684"/>
      <c r="BF47" s="684"/>
      <c r="BG47" s="684"/>
      <c r="BH47" s="684"/>
      <c r="BI47" s="684"/>
      <c r="BJ47" s="684"/>
      <c r="BK47" s="684"/>
      <c r="BL47" s="684"/>
      <c r="BM47" s="684"/>
      <c r="BN47" s="684"/>
      <c r="BZ47" s="684"/>
      <c r="CA47" s="684"/>
      <c r="CB47" s="684"/>
      <c r="CC47" s="684"/>
      <c r="CD47" s="684"/>
      <c r="CE47" s="684"/>
      <c r="CF47" s="684"/>
      <c r="CG47" s="684"/>
      <c r="CH47" s="684"/>
      <c r="CI47" s="684"/>
      <c r="CJ47" s="684"/>
      <c r="CK47" s="684"/>
      <c r="CL47" s="684"/>
      <c r="CM47" s="684"/>
      <c r="CN47" s="684"/>
      <c r="CO47" s="684"/>
      <c r="CP47" s="684"/>
      <c r="CQ47" s="684"/>
      <c r="CR47" s="684"/>
      <c r="CS47" s="684"/>
      <c r="CT47" s="684"/>
      <c r="CU47" s="684"/>
      <c r="CV47" s="684"/>
      <c r="CW47" s="684"/>
      <c r="CX47" s="684"/>
      <c r="CY47" s="684"/>
      <c r="CZ47" s="684"/>
      <c r="DA47" s="684"/>
      <c r="DB47" s="684"/>
      <c r="DC47" s="684"/>
      <c r="DD47" s="684"/>
      <c r="DE47" s="684"/>
      <c r="DF47" s="684"/>
      <c r="DG47" s="684"/>
      <c r="DH47" s="684"/>
      <c r="DI47" s="684"/>
      <c r="DJ47" s="684"/>
      <c r="DK47" s="684"/>
      <c r="DL47" s="684"/>
      <c r="DM47" s="684"/>
      <c r="DN47" s="684"/>
      <c r="DO47" s="684"/>
      <c r="DP47" s="684"/>
      <c r="DQ47" s="684"/>
      <c r="DR47" s="684"/>
      <c r="DS47" s="684"/>
      <c r="DT47" s="684"/>
      <c r="DU47" s="684"/>
      <c r="DV47" s="684"/>
      <c r="DW47" s="684"/>
      <c r="DX47" s="684"/>
      <c r="DY47" s="684"/>
      <c r="DZ47" s="684"/>
      <c r="EA47" s="684"/>
      <c r="EB47" s="684"/>
      <c r="EC47" s="684"/>
      <c r="ED47" s="684"/>
      <c r="EE47" s="684"/>
      <c r="EF47" s="684"/>
      <c r="EG47" s="684"/>
      <c r="EH47" s="684"/>
      <c r="EI47" s="684"/>
      <c r="EJ47" s="684"/>
      <c r="EK47" s="684"/>
      <c r="EL47" s="684"/>
      <c r="EM47" s="684"/>
      <c r="EN47" s="684"/>
      <c r="EO47" s="684"/>
      <c r="EP47" s="684"/>
      <c r="EQ47" s="684"/>
      <c r="ER47" s="684"/>
      <c r="ES47" s="684"/>
      <c r="ET47" s="684"/>
    </row>
    <row r="48" spans="1:152">
      <c r="A48" s="684"/>
      <c r="B48" s="684"/>
      <c r="C48" s="684"/>
      <c r="D48" s="684"/>
      <c r="E48" s="684"/>
      <c r="F48" s="684"/>
      <c r="G48" s="684"/>
      <c r="H48" s="684"/>
      <c r="I48" s="684"/>
      <c r="J48" s="684"/>
      <c r="K48" s="684"/>
      <c r="L48" s="697"/>
      <c r="M48" s="684"/>
      <c r="N48" s="684"/>
      <c r="O48" s="684"/>
      <c r="P48" s="684"/>
      <c r="Q48" s="684"/>
      <c r="R48" s="684"/>
      <c r="S48" s="684"/>
      <c r="T48" s="684"/>
      <c r="U48" s="684"/>
      <c r="V48" s="684"/>
      <c r="W48" s="684"/>
      <c r="X48" s="684"/>
      <c r="Y48" s="684"/>
      <c r="Z48" s="684"/>
      <c r="AA48" s="684"/>
      <c r="AB48" s="684"/>
      <c r="AC48" s="684"/>
      <c r="AD48" s="684"/>
      <c r="AE48" s="717" t="s">
        <v>6564</v>
      </c>
      <c r="AF48" s="684"/>
      <c r="AG48" s="684"/>
      <c r="AH48" s="684"/>
      <c r="AI48" s="684"/>
      <c r="AJ48" s="684"/>
      <c r="AK48" s="684"/>
      <c r="AL48" s="684"/>
      <c r="AM48" s="684"/>
      <c r="AN48" s="684"/>
      <c r="AO48" s="684"/>
      <c r="AP48" s="684"/>
      <c r="AQ48" s="684"/>
      <c r="AR48" s="684"/>
      <c r="AS48" s="684"/>
      <c r="AT48" s="684"/>
      <c r="AU48" s="684"/>
      <c r="AV48" s="684"/>
      <c r="AW48" s="684"/>
      <c r="AX48" s="684"/>
      <c r="AY48" s="684"/>
      <c r="AZ48" s="684"/>
      <c r="BA48" s="684"/>
      <c r="BB48" s="684"/>
      <c r="BC48" s="684"/>
      <c r="BD48" s="684"/>
      <c r="BE48" s="684"/>
      <c r="BF48" s="684"/>
      <c r="BG48" s="684"/>
      <c r="BH48" s="684"/>
      <c r="BI48" s="684"/>
      <c r="BJ48" s="684"/>
      <c r="BK48" s="684"/>
      <c r="BL48" s="684"/>
      <c r="BM48" s="684"/>
      <c r="BN48" s="684"/>
      <c r="BZ48" s="684"/>
      <c r="CA48" s="684"/>
      <c r="CB48" s="684"/>
      <c r="CC48" s="684"/>
      <c r="CD48" s="684"/>
      <c r="CE48" s="684"/>
      <c r="CF48" s="684"/>
      <c r="CG48" s="684"/>
      <c r="CH48" s="684"/>
      <c r="CI48" s="684"/>
      <c r="CJ48" s="684"/>
      <c r="CK48" s="684"/>
      <c r="CL48" s="684"/>
      <c r="CM48" s="684"/>
      <c r="CN48" s="684"/>
      <c r="CO48" s="684"/>
      <c r="CP48" s="684"/>
      <c r="CQ48" s="684"/>
      <c r="CR48" s="684"/>
      <c r="CS48" s="684"/>
      <c r="CT48" s="684"/>
      <c r="CU48" s="684"/>
      <c r="CV48" s="684"/>
      <c r="CW48" s="684"/>
      <c r="CX48" s="684"/>
      <c r="CY48" s="684"/>
      <c r="CZ48" s="684"/>
      <c r="DA48" s="684"/>
      <c r="DB48" s="684"/>
      <c r="DC48" s="684"/>
      <c r="DD48" s="684"/>
      <c r="DE48" s="684"/>
      <c r="DF48" s="684"/>
      <c r="DG48" s="684"/>
      <c r="DH48" s="684"/>
      <c r="DI48" s="684"/>
      <c r="DJ48" s="684"/>
      <c r="DK48" s="684"/>
      <c r="DL48" s="684"/>
      <c r="DM48" s="684"/>
      <c r="DN48" s="684"/>
      <c r="DO48" s="684"/>
      <c r="DP48" s="684"/>
      <c r="DQ48" s="684"/>
      <c r="DR48" s="684"/>
      <c r="DS48" s="684"/>
      <c r="DT48" s="684"/>
      <c r="DU48" s="684"/>
      <c r="DV48" s="684"/>
      <c r="DW48" s="684"/>
      <c r="DX48" s="684"/>
      <c r="DY48" s="684"/>
      <c r="DZ48" s="684"/>
      <c r="EA48" s="684"/>
      <c r="EB48" s="684"/>
      <c r="EC48" s="684"/>
      <c r="ED48" s="684"/>
      <c r="EE48" s="684"/>
      <c r="EF48" s="684"/>
      <c r="EG48" s="684"/>
      <c r="EH48" s="684"/>
      <c r="EI48" s="684"/>
      <c r="EJ48" s="684"/>
      <c r="EK48" s="684"/>
      <c r="EL48" s="684"/>
      <c r="EM48" s="684"/>
      <c r="EN48" s="684"/>
      <c r="EO48" s="684"/>
      <c r="EP48" s="684"/>
      <c r="EQ48" s="684"/>
      <c r="ER48" s="684"/>
      <c r="ES48" s="684"/>
      <c r="ET48" s="684"/>
    </row>
    <row r="49" spans="1:154">
      <c r="A49" s="718" t="s">
        <v>4327</v>
      </c>
      <c r="B49" s="686" t="str">
        <f t="shared" ref="B49:AG49" si="30">B59</f>
        <v>Q1 15</v>
      </c>
      <c r="C49" s="686" t="str">
        <f t="shared" si="30"/>
        <v>Q2 15</v>
      </c>
      <c r="D49" s="686" t="str">
        <f t="shared" si="30"/>
        <v>Q3 15</v>
      </c>
      <c r="E49" s="686" t="str">
        <f t="shared" si="30"/>
        <v>Q4 15</v>
      </c>
      <c r="F49" s="686" t="str">
        <f t="shared" si="30"/>
        <v>Q1 16</v>
      </c>
      <c r="G49" s="686" t="str">
        <f t="shared" si="30"/>
        <v>Q2 16</v>
      </c>
      <c r="H49" s="686" t="str">
        <f t="shared" si="30"/>
        <v>Q3 16</v>
      </c>
      <c r="I49" s="686" t="str">
        <f t="shared" si="30"/>
        <v>Q4 16</v>
      </c>
      <c r="J49" s="686" t="str">
        <f t="shared" si="30"/>
        <v>Q1 17</v>
      </c>
      <c r="K49" s="686" t="str">
        <f t="shared" si="30"/>
        <v>Q2 17</v>
      </c>
      <c r="L49" s="686" t="str">
        <f t="shared" si="30"/>
        <v>Q3 17</v>
      </c>
      <c r="M49" s="686" t="str">
        <f t="shared" si="30"/>
        <v>Q4 17</v>
      </c>
      <c r="N49" s="686" t="str">
        <f t="shared" si="30"/>
        <v>Q1 18</v>
      </c>
      <c r="O49" s="686" t="str">
        <f t="shared" si="30"/>
        <v>Q2 18</v>
      </c>
      <c r="P49" s="686" t="str">
        <f t="shared" si="30"/>
        <v>Q3 18</v>
      </c>
      <c r="Q49" s="686" t="str">
        <f t="shared" si="30"/>
        <v>Q4 18</v>
      </c>
      <c r="R49" s="686" t="str">
        <f t="shared" si="30"/>
        <v>Q1 19</v>
      </c>
      <c r="S49" s="686" t="str">
        <f t="shared" si="30"/>
        <v>Q2 19</v>
      </c>
      <c r="T49" s="686" t="str">
        <f t="shared" si="30"/>
        <v>Q2 19</v>
      </c>
      <c r="U49" s="686" t="str">
        <f t="shared" si="30"/>
        <v>Q3 19</v>
      </c>
      <c r="V49" s="686" t="str">
        <f t="shared" si="30"/>
        <v>Q1 20</v>
      </c>
      <c r="W49" s="686" t="str">
        <f t="shared" si="30"/>
        <v>Q2 20</v>
      </c>
      <c r="X49" s="686" t="str">
        <f t="shared" si="30"/>
        <v>Q3 20</v>
      </c>
      <c r="Y49" s="686" t="str">
        <f t="shared" si="30"/>
        <v>Q4 20</v>
      </c>
      <c r="Z49" s="686" t="str">
        <f t="shared" si="30"/>
        <v>Q1 21</v>
      </c>
      <c r="AA49" s="686" t="str">
        <f t="shared" si="30"/>
        <v>Q2 21</v>
      </c>
      <c r="AB49" s="686" t="str">
        <f t="shared" si="30"/>
        <v>Q3 21</v>
      </c>
      <c r="AC49" s="686" t="str">
        <f t="shared" si="30"/>
        <v>Q4 21</v>
      </c>
      <c r="AD49" s="686" t="str">
        <f t="shared" si="30"/>
        <v>Q1 22</v>
      </c>
      <c r="AE49" s="686" t="str">
        <f t="shared" si="30"/>
        <v>Q2 22</v>
      </c>
      <c r="AF49" s="686" t="str">
        <f t="shared" si="30"/>
        <v>Q3 22</v>
      </c>
      <c r="AG49" s="686" t="str">
        <f t="shared" si="30"/>
        <v>Q4 22</v>
      </c>
      <c r="AH49" s="684"/>
      <c r="AI49" s="684"/>
      <c r="AJ49" s="684"/>
      <c r="AK49" s="684"/>
      <c r="AL49" s="684"/>
      <c r="AM49" s="684"/>
      <c r="AN49" s="684"/>
      <c r="AO49" s="684"/>
      <c r="AP49" s="684"/>
      <c r="AQ49" s="684"/>
      <c r="AR49" s="684"/>
      <c r="AS49" s="684"/>
      <c r="AT49" s="684"/>
      <c r="AU49" s="684"/>
      <c r="AV49" s="684"/>
      <c r="AW49" s="684"/>
      <c r="AX49" s="684"/>
      <c r="AY49" s="684"/>
      <c r="AZ49" s="684"/>
      <c r="BA49" s="684"/>
      <c r="BB49" s="684"/>
      <c r="BC49" s="684"/>
      <c r="BD49" s="684"/>
      <c r="BE49" s="684"/>
      <c r="BF49" s="684"/>
      <c r="BG49" s="684"/>
      <c r="BH49" s="684"/>
      <c r="BI49" s="684"/>
      <c r="BJ49" s="684"/>
      <c r="BK49" s="684"/>
      <c r="BL49" s="684"/>
      <c r="BM49" s="684"/>
      <c r="BN49" s="684"/>
      <c r="BZ49" s="684"/>
      <c r="CA49" s="684"/>
      <c r="CB49" s="684"/>
      <c r="CC49" s="684"/>
      <c r="CD49" s="684"/>
      <c r="CE49" s="684"/>
      <c r="CF49" s="684"/>
      <c r="CG49" s="684"/>
      <c r="CH49" s="684"/>
      <c r="CI49" s="684"/>
      <c r="CJ49" s="684"/>
      <c r="CK49" s="684"/>
      <c r="CL49" s="684"/>
      <c r="CM49" s="684"/>
      <c r="CN49" s="684"/>
      <c r="CO49" s="684"/>
      <c r="CP49" s="684"/>
      <c r="CQ49" s="684"/>
      <c r="CR49" s="684"/>
      <c r="CS49" s="684"/>
      <c r="CT49" s="684"/>
      <c r="CU49" s="684"/>
      <c r="CV49" s="684"/>
      <c r="CW49" s="684"/>
      <c r="CX49" s="684"/>
      <c r="CY49" s="684"/>
      <c r="CZ49" s="684"/>
      <c r="DA49" s="684"/>
      <c r="DB49" s="684"/>
      <c r="DC49" s="684"/>
      <c r="DD49" s="684"/>
      <c r="DE49" s="684"/>
      <c r="DF49" s="684"/>
      <c r="DG49" s="684"/>
      <c r="DH49" s="684"/>
      <c r="DI49" s="684"/>
      <c r="DJ49" s="684"/>
      <c r="DK49" s="684"/>
      <c r="DL49" s="684"/>
      <c r="DM49" s="684"/>
      <c r="DN49" s="684"/>
      <c r="DO49" s="684"/>
      <c r="DP49" s="684"/>
      <c r="DQ49" s="684"/>
      <c r="DR49" s="684"/>
      <c r="DS49" s="684"/>
      <c r="DT49" s="684"/>
      <c r="DU49" s="684"/>
      <c r="DV49" s="684"/>
      <c r="DW49" s="684"/>
      <c r="DX49" s="684"/>
      <c r="DY49" s="684"/>
      <c r="DZ49" s="684"/>
      <c r="EA49" s="684"/>
      <c r="EB49" s="684"/>
      <c r="EC49" s="684"/>
      <c r="ED49" s="684"/>
      <c r="EE49" s="684"/>
      <c r="EF49" s="684"/>
      <c r="EG49" s="684"/>
      <c r="EH49" s="684"/>
      <c r="EI49" s="684"/>
      <c r="EJ49" s="684"/>
      <c r="EK49" s="684"/>
      <c r="EL49" s="684"/>
      <c r="EM49" s="684"/>
      <c r="EN49" s="684"/>
      <c r="EO49" s="684"/>
      <c r="EP49" s="684"/>
      <c r="EQ49" s="684"/>
      <c r="ER49" s="684"/>
      <c r="ES49" s="684"/>
      <c r="ET49" s="684"/>
    </row>
    <row r="50" spans="1:154">
      <c r="A50" s="707" t="str">
        <f>A60</f>
        <v>Content</v>
      </c>
      <c r="B50" s="701">
        <f>Interims!AA23</f>
        <v>2609</v>
      </c>
      <c r="C50" s="701">
        <f>Interims!AB23</f>
        <v>3378.5</v>
      </c>
      <c r="D50" s="701">
        <f>Interims!AC23</f>
        <v>4021.7</v>
      </c>
      <c r="E50" s="701">
        <f>Interims!AD23</f>
        <v>4555.0000000000009</v>
      </c>
      <c r="F50" s="701">
        <f>Interims!AF23</f>
        <v>2655</v>
      </c>
      <c r="G50" s="701">
        <f>Interims!AG23</f>
        <v>3682.6</v>
      </c>
      <c r="H50" s="701">
        <f>Interims!AH23</f>
        <v>3642.6</v>
      </c>
      <c r="I50" s="701">
        <f>Interims!AI23</f>
        <v>4767.8</v>
      </c>
      <c r="J50" s="701">
        <f>Interims!AK23</f>
        <v>2618.6</v>
      </c>
      <c r="K50" s="701">
        <f>Interims!AL23</f>
        <v>3185.1</v>
      </c>
      <c r="L50" s="701">
        <f>Interims!AM23</f>
        <v>3102.1</v>
      </c>
      <c r="M50" s="701">
        <f>Interims!AN23</f>
        <v>3919.5</v>
      </c>
      <c r="N50" s="701">
        <f>Interims!AP23</f>
        <v>2820.1</v>
      </c>
      <c r="O50" s="701">
        <f>Interims!AQ23</f>
        <v>4294.3</v>
      </c>
      <c r="P50" s="701">
        <f>Interims!AR23</f>
        <v>3704</v>
      </c>
      <c r="Q50" s="701">
        <f>Interims!AS23</f>
        <v>4036.7</v>
      </c>
      <c r="R50" s="701">
        <f>Interims!AU23</f>
        <v>2267.3000000000002</v>
      </c>
      <c r="S50" s="701">
        <f>Interims!AV23</f>
        <v>2928.3</v>
      </c>
      <c r="T50" s="701">
        <f>Interims!AW23</f>
        <v>3112.3</v>
      </c>
      <c r="U50" s="701">
        <f>Interims!AX23</f>
        <v>4545</v>
      </c>
      <c r="V50" s="701">
        <f>Interims!AZ23</f>
        <v>1613.9</v>
      </c>
      <c r="W50" s="701">
        <f>Interims!BA23</f>
        <v>2080.8000000000002</v>
      </c>
      <c r="X50" s="701">
        <f>Interims!BB23</f>
        <v>3294.7</v>
      </c>
      <c r="Y50" s="701">
        <f>Interims!BC23</f>
        <v>5371.3999999999987</v>
      </c>
      <c r="Z50" s="701">
        <f>Interims!BE23</f>
        <v>2376.5</v>
      </c>
      <c r="AA50" s="701">
        <f>Interims!BF23</f>
        <v>2569.1999999999998</v>
      </c>
      <c r="AB50" s="701">
        <f>Interims!BG23</f>
        <v>3389.6</v>
      </c>
      <c r="AC50" s="701">
        <f>Interims!BH23</f>
        <v>5443.7</v>
      </c>
      <c r="AD50" s="701">
        <f>Interims!BJ23</f>
        <v>0</v>
      </c>
      <c r="AE50" s="701" t="e">
        <f>Interims!#REF!</f>
        <v>#REF!</v>
      </c>
      <c r="AF50" s="701" t="e">
        <f>Interims!#REF!</f>
        <v>#REF!</v>
      </c>
      <c r="AG50" s="701" t="e">
        <f>Interims!#REF!</f>
        <v>#REF!</v>
      </c>
      <c r="AH50" s="684"/>
      <c r="AI50" s="684"/>
      <c r="AJ50" s="684"/>
      <c r="AK50" s="684"/>
      <c r="AL50" s="684"/>
      <c r="AM50" s="684"/>
      <c r="AN50" s="684"/>
      <c r="AO50" s="684"/>
      <c r="AP50" s="684"/>
      <c r="AQ50" s="684"/>
      <c r="AR50" s="684"/>
      <c r="AS50" s="684"/>
      <c r="AT50" s="684"/>
      <c r="AU50" s="684"/>
      <c r="AV50" s="684"/>
      <c r="AW50" s="684"/>
      <c r="AX50" s="684"/>
      <c r="AY50" s="684"/>
      <c r="AZ50" s="684"/>
      <c r="BA50" s="684"/>
      <c r="BB50" s="684"/>
      <c r="BC50" s="684"/>
      <c r="BD50" s="684"/>
      <c r="BE50" s="684"/>
      <c r="BF50" s="684"/>
      <c r="BG50" s="684"/>
      <c r="BH50" s="684"/>
      <c r="BI50" s="684"/>
      <c r="BJ50" s="684"/>
      <c r="BK50" s="684"/>
      <c r="BL50" s="684"/>
      <c r="BM50" s="684"/>
      <c r="BN50" s="684"/>
      <c r="BZ50" s="684"/>
      <c r="CA50" s="684"/>
      <c r="CB50" s="684"/>
      <c r="CC50" s="684"/>
      <c r="CD50" s="684"/>
      <c r="CE50" s="684"/>
      <c r="CF50" s="684"/>
      <c r="CG50" s="684"/>
      <c r="CH50" s="684"/>
      <c r="CI50" s="684"/>
      <c r="CJ50" s="684"/>
      <c r="CK50" s="684"/>
      <c r="CL50" s="684"/>
      <c r="CM50" s="684"/>
      <c r="CN50" s="684"/>
      <c r="CO50" s="684"/>
      <c r="CP50" s="684"/>
      <c r="CQ50" s="684"/>
      <c r="CR50" s="684"/>
      <c r="CS50" s="684"/>
      <c r="CT50" s="684"/>
      <c r="CU50" s="684"/>
      <c r="CV50" s="684"/>
      <c r="CW50" s="684"/>
      <c r="CX50" s="684"/>
      <c r="CY50" s="684"/>
      <c r="CZ50" s="684"/>
      <c r="DA50" s="684"/>
      <c r="DB50" s="684"/>
      <c r="DC50" s="684"/>
      <c r="DD50" s="684"/>
      <c r="DE50" s="684"/>
      <c r="DF50" s="684"/>
      <c r="DG50" s="684"/>
      <c r="DH50" s="684"/>
      <c r="DI50" s="684"/>
      <c r="DJ50" s="684"/>
      <c r="DK50" s="684"/>
      <c r="DL50" s="684"/>
      <c r="DM50" s="684"/>
      <c r="DN50" s="684"/>
      <c r="DO50" s="684"/>
      <c r="DP50" s="684"/>
      <c r="DQ50" s="684"/>
      <c r="DR50" s="684"/>
      <c r="DS50" s="684"/>
      <c r="DT50" s="684"/>
      <c r="DU50" s="684"/>
      <c r="DV50" s="684"/>
      <c r="DW50" s="684"/>
      <c r="DX50" s="684"/>
      <c r="DY50" s="684"/>
      <c r="DZ50" s="684"/>
      <c r="EA50" s="684"/>
      <c r="EB50" s="684"/>
      <c r="EC50" s="684"/>
      <c r="ED50" s="684"/>
      <c r="EE50" s="684"/>
      <c r="EF50" s="684"/>
      <c r="EG50" s="684"/>
      <c r="EH50" s="684"/>
      <c r="EI50" s="684"/>
      <c r="EJ50" s="684"/>
      <c r="EK50" s="684"/>
      <c r="EL50" s="684"/>
      <c r="EM50" s="684"/>
      <c r="EN50" s="684"/>
      <c r="EO50" s="684"/>
      <c r="EP50" s="684"/>
      <c r="EQ50" s="684"/>
      <c r="ER50" s="684"/>
      <c r="ES50" s="684"/>
      <c r="ET50" s="684"/>
    </row>
    <row r="51" spans="1:154">
      <c r="A51" s="707" t="str">
        <f>A61</f>
        <v>Sky</v>
      </c>
      <c r="B51" s="701">
        <f>Interims!AA25</f>
        <v>2149.1</v>
      </c>
      <c r="C51" s="701">
        <f>Interims!AB25</f>
        <v>2273.9</v>
      </c>
      <c r="D51" s="701">
        <f>Interims!AC25</f>
        <v>2332</v>
      </c>
      <c r="E51" s="701">
        <f>Interims!AD25</f>
        <v>2217.2999999999993</v>
      </c>
      <c r="F51" s="701">
        <f>Interims!AF25</f>
        <v>2409.4</v>
      </c>
      <c r="G51" s="701">
        <f>Interims!AG25</f>
        <v>2531.1999999999998</v>
      </c>
      <c r="H51" s="701">
        <f>Interims!AH25</f>
        <v>2534.1</v>
      </c>
      <c r="I51" s="701">
        <f>Interims!AI25</f>
        <v>2423.8000000000002</v>
      </c>
      <c r="J51" s="701">
        <f>Interims!AK25</f>
        <v>2466.3000000000002</v>
      </c>
      <c r="K51" s="701">
        <f>Interims!AL25</f>
        <v>2655.9</v>
      </c>
      <c r="L51" s="701">
        <f>Interims!AM25</f>
        <v>2660.4</v>
      </c>
      <c r="M51" s="701">
        <f>Interims!AN25</f>
        <v>2324.1</v>
      </c>
      <c r="N51" s="701">
        <f>Interims!AP25</f>
        <v>2441.9</v>
      </c>
      <c r="O51" s="701">
        <f>Interims!AQ25</f>
        <v>2540.9</v>
      </c>
      <c r="P51" s="701">
        <f>Interims!AR25</f>
        <v>2569.9</v>
      </c>
      <c r="Q51" s="701">
        <f>Interims!AS25</f>
        <v>2214.6</v>
      </c>
      <c r="R51" s="701">
        <f>Interims!AU25</f>
        <v>2306.9</v>
      </c>
      <c r="S51" s="701">
        <f>Interims!AV25</f>
        <v>2305.6</v>
      </c>
      <c r="T51" s="701">
        <f>Interims!AW25</f>
        <v>2399.9</v>
      </c>
      <c r="U51" s="701">
        <f>Interims!AX25</f>
        <v>2108.9</v>
      </c>
      <c r="V51" s="701">
        <f>Interims!AZ25</f>
        <v>2234</v>
      </c>
      <c r="W51" s="701">
        <f>Interims!BA25</f>
        <v>2321.4</v>
      </c>
      <c r="X51" s="701">
        <f>Interims!BB25</f>
        <v>2436.6999999999998</v>
      </c>
      <c r="Y51" s="701">
        <f>Interims!BC25</f>
        <v>2143.6999999999998</v>
      </c>
      <c r="Z51" s="701">
        <f>Interims!BE25</f>
        <v>2154.5</v>
      </c>
      <c r="AA51" s="701">
        <f>Interims!BF25</f>
        <v>2242.6999999999998</v>
      </c>
      <c r="AB51" s="701">
        <f>Interims!BG25</f>
        <v>2261.6999999999998</v>
      </c>
      <c r="AC51" s="701">
        <f>Interims!BH25</f>
        <v>1845.4</v>
      </c>
      <c r="AD51" s="701">
        <f>Interims!BJ25</f>
        <v>1861.4</v>
      </c>
      <c r="AE51" s="701" t="e">
        <f>Interims!#REF!</f>
        <v>#REF!</v>
      </c>
      <c r="AF51" s="701" t="e">
        <f>Interims!#REF!</f>
        <v>#REF!</v>
      </c>
      <c r="AG51" s="701" t="e">
        <f>Interims!#REF!</f>
        <v>#REF!</v>
      </c>
      <c r="AH51" s="684"/>
      <c r="AI51" s="684"/>
      <c r="AJ51" s="684"/>
      <c r="AK51" s="684"/>
      <c r="AL51" s="684"/>
      <c r="AM51" s="684"/>
      <c r="AN51" s="684"/>
      <c r="AO51" s="684"/>
      <c r="AP51" s="684"/>
      <c r="AQ51" s="684"/>
      <c r="AR51" s="684"/>
      <c r="AS51" s="684"/>
      <c r="AT51" s="684"/>
      <c r="AU51" s="684"/>
      <c r="AV51" s="684"/>
      <c r="AW51" s="684"/>
      <c r="AX51" s="684"/>
      <c r="AY51" s="684"/>
      <c r="AZ51" s="684"/>
      <c r="BA51" s="684"/>
      <c r="BB51" s="684"/>
      <c r="BC51" s="684"/>
      <c r="BD51" s="684"/>
      <c r="BE51" s="684"/>
      <c r="BF51" s="684"/>
      <c r="BG51" s="684"/>
      <c r="BH51" s="684"/>
      <c r="BI51" s="684"/>
      <c r="BJ51" s="684"/>
      <c r="BK51" s="684"/>
      <c r="BL51" s="684"/>
      <c r="BM51" s="684"/>
      <c r="BN51" s="684"/>
      <c r="BZ51" s="684"/>
      <c r="CA51" s="684"/>
      <c r="CB51" s="684"/>
      <c r="CC51" s="684"/>
      <c r="CD51" s="684"/>
      <c r="CE51" s="684"/>
      <c r="CF51" s="684"/>
      <c r="CG51" s="684"/>
      <c r="CH51" s="684"/>
      <c r="CI51" s="684"/>
      <c r="CJ51" s="684"/>
      <c r="CK51" s="684"/>
      <c r="CL51" s="684"/>
      <c r="CM51" s="684"/>
      <c r="CN51" s="684"/>
      <c r="CO51" s="684"/>
      <c r="CP51" s="684"/>
      <c r="CQ51" s="684"/>
      <c r="CR51" s="684"/>
      <c r="CS51" s="684"/>
      <c r="CT51" s="684"/>
      <c r="CU51" s="684"/>
      <c r="CV51" s="684"/>
      <c r="CW51" s="684"/>
      <c r="CX51" s="684"/>
      <c r="CY51" s="684"/>
      <c r="CZ51" s="684"/>
      <c r="DA51" s="684"/>
      <c r="DB51" s="684"/>
      <c r="DC51" s="684"/>
      <c r="DD51" s="684"/>
      <c r="DE51" s="684"/>
      <c r="DF51" s="684"/>
      <c r="DG51" s="684"/>
      <c r="DH51" s="684"/>
      <c r="DI51" s="684"/>
      <c r="DJ51" s="684"/>
      <c r="DK51" s="684"/>
      <c r="DL51" s="684"/>
      <c r="DM51" s="684"/>
      <c r="DN51" s="684"/>
      <c r="DO51" s="684"/>
      <c r="DP51" s="684"/>
      <c r="DQ51" s="684"/>
      <c r="DR51" s="684"/>
      <c r="DS51" s="684"/>
      <c r="DT51" s="684"/>
      <c r="DU51" s="684"/>
      <c r="DV51" s="684"/>
      <c r="DW51" s="684"/>
      <c r="DX51" s="684"/>
      <c r="DY51" s="684"/>
      <c r="DZ51" s="684"/>
      <c r="EA51" s="684"/>
      <c r="EB51" s="684"/>
      <c r="EC51" s="684"/>
      <c r="ED51" s="684"/>
      <c r="EE51" s="684"/>
      <c r="EF51" s="684"/>
      <c r="EG51" s="684"/>
      <c r="EH51" s="684"/>
      <c r="EI51" s="684"/>
      <c r="EJ51" s="684"/>
      <c r="EK51" s="684"/>
      <c r="EL51" s="684"/>
      <c r="EM51" s="684"/>
      <c r="EN51" s="684"/>
      <c r="EO51" s="684"/>
      <c r="EP51" s="684"/>
      <c r="EQ51" s="684"/>
      <c r="ER51" s="684"/>
      <c r="ES51" s="684"/>
      <c r="ET51" s="684"/>
    </row>
    <row r="52" spans="1:154">
      <c r="A52" s="707" t="str">
        <f>A62</f>
        <v>Cable and Telecom</v>
      </c>
      <c r="B52" s="701">
        <f>Interims!AA26</f>
        <v>2657.8</v>
      </c>
      <c r="C52" s="701">
        <f>Interims!AB26</f>
        <v>2764.2</v>
      </c>
      <c r="D52" s="701">
        <f>Interims!AC26</f>
        <v>2973</v>
      </c>
      <c r="E52" s="701">
        <f>Interims!AD26</f>
        <v>3010.5999999999995</v>
      </c>
      <c r="F52" s="701">
        <f>Interims!AF26</f>
        <v>3152.4</v>
      </c>
      <c r="G52" s="701">
        <f>Interims!AG26</f>
        <v>3294.2</v>
      </c>
      <c r="H52" s="701">
        <f>Interims!AH26</f>
        <v>3443.2</v>
      </c>
      <c r="I52" s="701">
        <f>Interims!AI26</f>
        <v>3346.2</v>
      </c>
      <c r="J52" s="701">
        <f>Interims!AK26</f>
        <v>3397.3</v>
      </c>
      <c r="K52" s="701">
        <f>Interims!AL26</f>
        <v>3442.3</v>
      </c>
      <c r="L52" s="701">
        <f>Interims!AM26</f>
        <v>3523.5</v>
      </c>
      <c r="M52" s="701">
        <f>Interims!AN26</f>
        <v>3671.7</v>
      </c>
      <c r="N52" s="701">
        <f>Interims!AP26</f>
        <v>3664.9</v>
      </c>
      <c r="O52" s="701">
        <f>Interims!AQ26</f>
        <v>3724.4</v>
      </c>
      <c r="P52" s="701">
        <f>Interims!AR26</f>
        <v>3907.5</v>
      </c>
      <c r="Q52" s="701">
        <f>Interims!AS26</f>
        <v>4005.7000000000007</v>
      </c>
      <c r="R52" s="701">
        <f>Interims!AU26</f>
        <v>4297.1000000000004</v>
      </c>
      <c r="S52" s="701">
        <f>Interims!AV26</f>
        <v>4473.7</v>
      </c>
      <c r="T52" s="701">
        <f>Interims!AW26</f>
        <v>4481.7</v>
      </c>
      <c r="U52" s="701">
        <f>Interims!AX26</f>
        <v>4545</v>
      </c>
      <c r="V52" s="701">
        <f>Interims!AZ26</f>
        <v>4490.3</v>
      </c>
      <c r="W52" s="701">
        <f>Interims!BA26</f>
        <v>4656.5</v>
      </c>
      <c r="X52" s="701">
        <f>Interims!BB26</f>
        <v>4796.7</v>
      </c>
      <c r="Y52" s="701">
        <f>Interims!BC26</f>
        <v>4954.8</v>
      </c>
      <c r="Z52" s="701">
        <f>Interims!BE26</f>
        <v>4834.6000000000004</v>
      </c>
      <c r="AA52" s="701">
        <f>Interims!BF26</f>
        <v>5020.1000000000004</v>
      </c>
      <c r="AB52" s="701">
        <f>Interims!BG26</f>
        <v>5064.5</v>
      </c>
      <c r="AC52" s="701">
        <f>Interims!BH26</f>
        <v>5365.8</v>
      </c>
      <c r="AD52" s="701">
        <f>Interims!BJ26</f>
        <v>4979.3</v>
      </c>
      <c r="AE52" s="701" t="e">
        <f>Interims!#REF!</f>
        <v>#REF!</v>
      </c>
      <c r="AF52" s="701" t="e">
        <f>Interims!#REF!</f>
        <v>#REF!</v>
      </c>
      <c r="AG52" s="701" t="e">
        <f>Interims!#REF!</f>
        <v>#REF!</v>
      </c>
      <c r="AH52" s="684"/>
      <c r="AI52" s="684"/>
      <c r="AJ52" s="684"/>
      <c r="AK52" s="684"/>
      <c r="AL52" s="684"/>
      <c r="AM52" s="684"/>
      <c r="AN52" s="684"/>
      <c r="AO52" s="684"/>
      <c r="AP52" s="684"/>
      <c r="AQ52" s="684"/>
      <c r="AR52" s="684"/>
      <c r="AS52" s="684"/>
      <c r="AT52" s="684"/>
      <c r="AU52" s="684"/>
      <c r="AV52" s="684"/>
      <c r="AW52" s="684"/>
      <c r="AX52" s="684"/>
      <c r="AY52" s="684"/>
      <c r="AZ52" s="684"/>
      <c r="BA52" s="684"/>
      <c r="BB52" s="684"/>
      <c r="BC52" s="684"/>
      <c r="BD52" s="684"/>
      <c r="BE52" s="684"/>
      <c r="BF52" s="684"/>
      <c r="BG52" s="684"/>
      <c r="BH52" s="684"/>
      <c r="BI52" s="684"/>
      <c r="BJ52" s="684"/>
      <c r="BK52" s="684"/>
      <c r="BL52" s="684"/>
      <c r="BM52" s="684"/>
      <c r="BN52" s="684"/>
      <c r="BZ52" s="684"/>
      <c r="CA52" s="684"/>
      <c r="CB52" s="684"/>
      <c r="CC52" s="684"/>
      <c r="CD52" s="684"/>
      <c r="CE52" s="684"/>
      <c r="CF52" s="684"/>
      <c r="CG52" s="684"/>
      <c r="CH52" s="684"/>
      <c r="CI52" s="684"/>
      <c r="CJ52" s="684"/>
      <c r="CK52" s="684"/>
      <c r="CL52" s="684"/>
      <c r="CM52" s="684"/>
      <c r="CN52" s="684"/>
      <c r="CO52" s="684"/>
      <c r="CP52" s="684"/>
      <c r="CQ52" s="684"/>
      <c r="CR52" s="684"/>
      <c r="CS52" s="684"/>
      <c r="CT52" s="684"/>
      <c r="CU52" s="684"/>
      <c r="CV52" s="684"/>
      <c r="CW52" s="684"/>
      <c r="CX52" s="684"/>
      <c r="CY52" s="684"/>
      <c r="CZ52" s="684"/>
      <c r="DA52" s="684"/>
      <c r="DB52" s="684"/>
      <c r="DC52" s="684"/>
      <c r="DD52" s="684"/>
      <c r="DE52" s="684"/>
      <c r="DF52" s="684"/>
      <c r="DG52" s="684"/>
      <c r="DH52" s="684"/>
      <c r="DI52" s="684"/>
      <c r="DJ52" s="684"/>
      <c r="DK52" s="684"/>
      <c r="DL52" s="684"/>
      <c r="DM52" s="684"/>
      <c r="DN52" s="684"/>
      <c r="DO52" s="684"/>
      <c r="DP52" s="684"/>
      <c r="DQ52" s="684"/>
      <c r="DR52" s="684"/>
      <c r="DS52" s="684"/>
      <c r="DT52" s="684"/>
      <c r="DU52" s="684"/>
      <c r="DV52" s="684"/>
      <c r="DW52" s="684"/>
      <c r="DX52" s="684"/>
      <c r="DY52" s="684"/>
      <c r="DZ52" s="684"/>
      <c r="EA52" s="684"/>
      <c r="EB52" s="684"/>
      <c r="EC52" s="684"/>
      <c r="ED52" s="684"/>
      <c r="EE52" s="684"/>
      <c r="EF52" s="684"/>
      <c r="EG52" s="684"/>
      <c r="EH52" s="684"/>
      <c r="EI52" s="684"/>
      <c r="EJ52" s="684"/>
      <c r="EK52" s="684"/>
      <c r="EL52" s="684"/>
      <c r="EM52" s="684"/>
      <c r="EN52" s="684"/>
      <c r="EO52" s="684"/>
      <c r="EP52" s="684"/>
      <c r="EQ52" s="684"/>
      <c r="ER52" s="684"/>
      <c r="ES52" s="684"/>
      <c r="ET52" s="684"/>
    </row>
    <row r="53" spans="1:154">
      <c r="A53" s="719" t="str">
        <f>A63</f>
        <v>Other Businesses</v>
      </c>
      <c r="B53" s="709">
        <f>Interims!AA27</f>
        <v>221.6</v>
      </c>
      <c r="C53" s="709">
        <f>Interims!AB27</f>
        <v>129</v>
      </c>
      <c r="D53" s="709">
        <f>Interims!AC27</f>
        <v>258</v>
      </c>
      <c r="E53" s="709">
        <f>Interims!AD27</f>
        <v>144.60000000000002</v>
      </c>
      <c r="F53" s="709">
        <f>Interims!AF27</f>
        <v>141.5</v>
      </c>
      <c r="G53" s="709">
        <f>Interims!AG27</f>
        <v>172</v>
      </c>
      <c r="H53" s="709">
        <f>Interims!AH27</f>
        <v>359.1</v>
      </c>
      <c r="I53" s="709">
        <f>Interims!AI27</f>
        <v>368.1</v>
      </c>
      <c r="J53" s="709">
        <f>Interims!AK27</f>
        <v>76.900000000000006</v>
      </c>
      <c r="K53" s="709">
        <f>Interims!AL27</f>
        <v>136.1</v>
      </c>
      <c r="L53" s="709">
        <f>Interims!AM27</f>
        <v>53.3</v>
      </c>
      <c r="M53" s="709">
        <f>Interims!AN27</f>
        <v>223.7</v>
      </c>
      <c r="N53" s="709">
        <f>Interims!AP27</f>
        <v>203.9</v>
      </c>
      <c r="O53" s="709">
        <f>Interims!AQ27</f>
        <v>193.2</v>
      </c>
      <c r="P53" s="709">
        <f>Interims!AR27</f>
        <v>126.7</v>
      </c>
      <c r="Q53" s="709">
        <f>Interims!AS27</f>
        <v>230.5</v>
      </c>
      <c r="R53" s="709">
        <f>Interims!AU27</f>
        <v>535.1</v>
      </c>
      <c r="S53" s="709">
        <f>Interims!AV27</f>
        <v>220.5</v>
      </c>
      <c r="T53" s="709">
        <f>Interims!AW27</f>
        <v>770.5</v>
      </c>
      <c r="U53" s="709">
        <f>Interims!AX27</f>
        <v>77.899999999999991</v>
      </c>
      <c r="V53" s="709">
        <f>Interims!AZ27</f>
        <v>371</v>
      </c>
      <c r="W53" s="709">
        <f>Interims!BA27</f>
        <v>-422.4</v>
      </c>
      <c r="X53" s="709">
        <f>Interims!BB27</f>
        <v>3.3</v>
      </c>
      <c r="Y53" s="709">
        <f>Interims!BC27</f>
        <v>164.59999999999997</v>
      </c>
      <c r="Z53" s="709">
        <f>Interims!BE27</f>
        <v>12.1</v>
      </c>
      <c r="AA53" s="709">
        <f>Interims!BF27</f>
        <v>273.5</v>
      </c>
      <c r="AB53" s="709">
        <f>Interims!BG27</f>
        <v>253.2</v>
      </c>
      <c r="AC53" s="709">
        <f>Interims!BH27</f>
        <v>368.5</v>
      </c>
      <c r="AD53" s="709">
        <f>Interims!BJ27</f>
        <v>376.4</v>
      </c>
      <c r="AE53" s="709" t="e">
        <f>Interims!#REF!</f>
        <v>#REF!</v>
      </c>
      <c r="AF53" s="709" t="e">
        <f>Interims!#REF!</f>
        <v>#REF!</v>
      </c>
      <c r="AG53" s="709" t="e">
        <f>Interims!#REF!</f>
        <v>#REF!</v>
      </c>
      <c r="AH53" s="684"/>
      <c r="AI53" s="684"/>
      <c r="AJ53" s="684"/>
      <c r="AK53" s="684"/>
      <c r="AL53" s="684"/>
      <c r="AM53" s="684"/>
      <c r="AN53" s="684"/>
      <c r="AO53" s="684"/>
      <c r="AP53" s="684"/>
      <c r="AQ53" s="684"/>
      <c r="AR53" s="684"/>
      <c r="AS53" s="684"/>
      <c r="AT53" s="684"/>
      <c r="AU53" s="684"/>
      <c r="AV53" s="684"/>
      <c r="AW53" s="684"/>
      <c r="AX53" s="684"/>
      <c r="AY53" s="684"/>
      <c r="AZ53" s="684"/>
      <c r="BA53" s="684"/>
      <c r="BB53" s="684"/>
      <c r="BC53" s="684"/>
      <c r="BD53" s="684"/>
      <c r="BE53" s="684"/>
      <c r="BF53" s="684"/>
      <c r="BG53" s="684"/>
      <c r="BH53" s="684"/>
      <c r="BI53" s="684"/>
      <c r="BJ53" s="684"/>
      <c r="BK53" s="684"/>
      <c r="BL53" s="684"/>
      <c r="BM53" s="684"/>
      <c r="BN53" s="684"/>
      <c r="BZ53" s="684"/>
      <c r="CA53" s="684"/>
      <c r="CB53" s="684"/>
      <c r="CC53" s="684"/>
      <c r="CD53" s="684"/>
      <c r="CE53" s="684"/>
      <c r="CF53" s="684"/>
      <c r="CG53" s="684"/>
      <c r="CH53" s="684"/>
      <c r="CI53" s="684"/>
      <c r="CJ53" s="684"/>
      <c r="CK53" s="684"/>
      <c r="CL53" s="684"/>
      <c r="CM53" s="684"/>
      <c r="CN53" s="684"/>
      <c r="CO53" s="684"/>
      <c r="CP53" s="684"/>
      <c r="CQ53" s="684"/>
      <c r="CR53" s="684"/>
      <c r="CS53" s="684"/>
      <c r="CT53" s="684"/>
      <c r="CU53" s="684"/>
      <c r="CV53" s="684"/>
      <c r="CW53" s="684"/>
      <c r="CX53" s="684"/>
      <c r="CY53" s="684"/>
      <c r="CZ53" s="684"/>
      <c r="DA53" s="684"/>
      <c r="DB53" s="684"/>
      <c r="DC53" s="684"/>
      <c r="DD53" s="684"/>
      <c r="DE53" s="684"/>
      <c r="DF53" s="684"/>
      <c r="DG53" s="684"/>
      <c r="DH53" s="684"/>
      <c r="DI53" s="684"/>
      <c r="DJ53" s="684"/>
      <c r="DK53" s="684"/>
      <c r="DL53" s="684"/>
      <c r="DM53" s="684"/>
      <c r="DN53" s="684"/>
      <c r="DO53" s="684"/>
      <c r="DP53" s="684"/>
      <c r="DQ53" s="684"/>
      <c r="DR53" s="684"/>
      <c r="DS53" s="684"/>
      <c r="DT53" s="684"/>
      <c r="DU53" s="684"/>
      <c r="DV53" s="684"/>
      <c r="DW53" s="684"/>
      <c r="DX53" s="684"/>
      <c r="DY53" s="684"/>
      <c r="DZ53" s="684"/>
      <c r="EA53" s="684"/>
      <c r="EB53" s="684"/>
      <c r="EC53" s="684"/>
      <c r="ED53" s="684"/>
      <c r="EE53" s="684"/>
      <c r="EF53" s="684"/>
      <c r="EG53" s="684"/>
      <c r="EH53" s="684"/>
      <c r="EI53" s="684"/>
      <c r="EJ53" s="684"/>
      <c r="EK53" s="684"/>
      <c r="EL53" s="684"/>
      <c r="EM53" s="684"/>
      <c r="EN53" s="684"/>
      <c r="EO53" s="684"/>
      <c r="EP53" s="684"/>
      <c r="EQ53" s="684"/>
      <c r="ER53" s="684"/>
      <c r="ES53" s="684"/>
      <c r="ET53" s="684"/>
    </row>
    <row r="54" spans="1:154">
      <c r="A54" s="720" t="str">
        <f>A64</f>
        <v>Rep EBITDA</v>
      </c>
      <c r="B54" s="698">
        <f t="shared" ref="B54:AG54" si="31">SUM(B50:B53)</f>
        <v>7637.5000000000009</v>
      </c>
      <c r="C54" s="698">
        <f t="shared" si="31"/>
        <v>8545.5999999999985</v>
      </c>
      <c r="D54" s="698">
        <f t="shared" si="31"/>
        <v>9584.7000000000007</v>
      </c>
      <c r="E54" s="698">
        <f t="shared" si="31"/>
        <v>9927.5</v>
      </c>
      <c r="F54" s="698">
        <f t="shared" si="31"/>
        <v>8358.2999999999993</v>
      </c>
      <c r="G54" s="698">
        <f t="shared" si="31"/>
        <v>9680</v>
      </c>
      <c r="H54" s="698">
        <f t="shared" si="31"/>
        <v>9979</v>
      </c>
      <c r="I54" s="698">
        <f t="shared" si="31"/>
        <v>10905.9</v>
      </c>
      <c r="J54" s="698">
        <f t="shared" si="31"/>
        <v>8559.1</v>
      </c>
      <c r="K54" s="698">
        <f t="shared" si="31"/>
        <v>9419.4</v>
      </c>
      <c r="L54" s="698">
        <f t="shared" si="31"/>
        <v>9339.2999999999993</v>
      </c>
      <c r="M54" s="698">
        <f t="shared" si="31"/>
        <v>10139</v>
      </c>
      <c r="N54" s="698">
        <f t="shared" si="31"/>
        <v>9130.7999999999993</v>
      </c>
      <c r="O54" s="698">
        <f t="shared" si="31"/>
        <v>10752.800000000001</v>
      </c>
      <c r="P54" s="698">
        <f t="shared" si="31"/>
        <v>10308.1</v>
      </c>
      <c r="Q54" s="698">
        <f t="shared" si="31"/>
        <v>10487.5</v>
      </c>
      <c r="R54" s="698">
        <f t="shared" si="31"/>
        <v>9406.4000000000015</v>
      </c>
      <c r="S54" s="698">
        <f t="shared" si="31"/>
        <v>9928.0999999999985</v>
      </c>
      <c r="T54" s="698">
        <f t="shared" si="31"/>
        <v>10764.400000000001</v>
      </c>
      <c r="U54" s="698">
        <f t="shared" si="31"/>
        <v>11276.8</v>
      </c>
      <c r="V54" s="698">
        <f t="shared" si="31"/>
        <v>8709.2000000000007</v>
      </c>
      <c r="W54" s="698">
        <f t="shared" si="31"/>
        <v>8636.3000000000011</v>
      </c>
      <c r="X54" s="698">
        <f t="shared" si="31"/>
        <v>10531.399999999998</v>
      </c>
      <c r="Y54" s="698">
        <f t="shared" si="31"/>
        <v>12634.499999999998</v>
      </c>
      <c r="Z54" s="698">
        <f t="shared" si="31"/>
        <v>9377.7000000000007</v>
      </c>
      <c r="AA54" s="698">
        <f t="shared" si="31"/>
        <v>10105.5</v>
      </c>
      <c r="AB54" s="698">
        <f t="shared" si="31"/>
        <v>10969</v>
      </c>
      <c r="AC54" s="698">
        <f t="shared" si="31"/>
        <v>13023.400000000001</v>
      </c>
      <c r="AD54" s="698">
        <f t="shared" si="31"/>
        <v>7217.1</v>
      </c>
      <c r="AE54" s="698" t="e">
        <f t="shared" si="31"/>
        <v>#REF!</v>
      </c>
      <c r="AF54" s="698" t="e">
        <f t="shared" si="31"/>
        <v>#REF!</v>
      </c>
      <c r="AG54" s="698" t="e">
        <f t="shared" si="31"/>
        <v>#REF!</v>
      </c>
      <c r="AH54" s="684"/>
      <c r="AI54" s="684"/>
      <c r="AJ54" s="684"/>
      <c r="AK54" s="684"/>
      <c r="AL54" s="684"/>
      <c r="AM54" s="684"/>
      <c r="AN54" s="684"/>
      <c r="AO54" s="684"/>
      <c r="AP54" s="684"/>
      <c r="AQ54" s="684"/>
      <c r="AR54" s="684"/>
      <c r="AS54" s="684"/>
      <c r="AT54" s="684"/>
      <c r="AU54" s="684"/>
      <c r="AV54" s="684"/>
      <c r="AW54" s="684"/>
      <c r="AX54" s="684"/>
      <c r="AY54" s="684"/>
      <c r="AZ54" s="684"/>
      <c r="BA54" s="684"/>
      <c r="BB54" s="684"/>
      <c r="BC54" s="684"/>
      <c r="BD54" s="684"/>
      <c r="BE54" s="684"/>
      <c r="BF54" s="684"/>
      <c r="BG54" s="684"/>
      <c r="BH54" s="684"/>
      <c r="BI54" s="684"/>
      <c r="BJ54" s="684"/>
      <c r="BK54" s="684"/>
      <c r="BL54" s="684"/>
      <c r="BM54" s="684"/>
      <c r="BN54" s="684"/>
      <c r="BZ54" s="684"/>
      <c r="CA54" s="684"/>
      <c r="CB54" s="684"/>
      <c r="CC54" s="684"/>
      <c r="CD54" s="684"/>
      <c r="CE54" s="684"/>
      <c r="CF54" s="684"/>
      <c r="CG54" s="684"/>
      <c r="CH54" s="684"/>
      <c r="CI54" s="684"/>
      <c r="CJ54" s="684"/>
      <c r="CK54" s="684"/>
      <c r="CL54" s="684"/>
      <c r="CM54" s="684"/>
      <c r="CN54" s="684"/>
      <c r="CO54" s="684"/>
      <c r="CP54" s="684"/>
      <c r="CQ54" s="684"/>
      <c r="CR54" s="684"/>
      <c r="CS54" s="684"/>
      <c r="CT54" s="684"/>
      <c r="CU54" s="684"/>
      <c r="CV54" s="684"/>
      <c r="CW54" s="684"/>
      <c r="CX54" s="684"/>
      <c r="CY54" s="684"/>
      <c r="CZ54" s="684"/>
      <c r="DA54" s="684"/>
      <c r="DB54" s="684"/>
      <c r="DC54" s="684"/>
      <c r="DD54" s="684"/>
      <c r="DE54" s="684"/>
      <c r="DF54" s="684"/>
      <c r="DG54" s="684"/>
      <c r="DH54" s="684"/>
      <c r="DI54" s="684"/>
      <c r="DJ54" s="684"/>
      <c r="DK54" s="684"/>
      <c r="DL54" s="684"/>
      <c r="DM54" s="684"/>
      <c r="DN54" s="684"/>
      <c r="DO54" s="684"/>
      <c r="DP54" s="684"/>
      <c r="DQ54" s="684"/>
      <c r="DR54" s="684"/>
      <c r="DS54" s="684"/>
      <c r="DT54" s="684"/>
      <c r="DU54" s="684"/>
      <c r="DV54" s="684"/>
      <c r="DW54" s="684"/>
      <c r="DX54" s="684"/>
      <c r="DY54" s="684"/>
      <c r="DZ54" s="684"/>
      <c r="EA54" s="684"/>
      <c r="EB54" s="684"/>
      <c r="EC54" s="684"/>
      <c r="ED54" s="684"/>
      <c r="EE54" s="684"/>
      <c r="EF54" s="684"/>
      <c r="EG54" s="684"/>
      <c r="EH54" s="684"/>
      <c r="EI54" s="684"/>
      <c r="EJ54" s="684"/>
      <c r="EK54" s="684"/>
      <c r="EL54" s="684"/>
      <c r="EM54" s="684"/>
      <c r="EN54" s="684"/>
      <c r="EO54" s="684"/>
      <c r="EP54" s="684"/>
      <c r="EQ54" s="684"/>
      <c r="ER54" s="684"/>
      <c r="ES54" s="684"/>
      <c r="ET54" s="684"/>
    </row>
    <row r="55" spans="1:154">
      <c r="A55" s="707" t="str">
        <f>Interims!A29</f>
        <v>Corporate Expenses</v>
      </c>
      <c r="B55" s="701">
        <f>Interims!AA29</f>
        <v>-410.6</v>
      </c>
      <c r="C55" s="701">
        <f>Interims!AB29</f>
        <v>-514.20000000000005</v>
      </c>
      <c r="D55" s="701">
        <f>Interims!AC29</f>
        <v>-496.3</v>
      </c>
      <c r="E55" s="701">
        <f>Interims!AD29</f>
        <v>-539.69999999999982</v>
      </c>
      <c r="F55" s="701">
        <f>Interims!AF29</f>
        <v>-544.20000000000005</v>
      </c>
      <c r="G55" s="701">
        <f>Interims!AG29</f>
        <v>-551.9</v>
      </c>
      <c r="H55" s="701">
        <f>Interims!AH29</f>
        <v>-518</v>
      </c>
      <c r="I55" s="701">
        <f>Interims!AI29</f>
        <v>-593.80000000000018</v>
      </c>
      <c r="J55" s="701">
        <f>Interims!AK29</f>
        <v>-580.70000000000005</v>
      </c>
      <c r="K55" s="701">
        <f>Interims!AL29</f>
        <v>-553.9</v>
      </c>
      <c r="L55" s="701">
        <f>Interims!AM29</f>
        <v>-550.20000000000005</v>
      </c>
      <c r="M55" s="701">
        <f>Interims!AN29</f>
        <v>-606.20000000000005</v>
      </c>
      <c r="N55" s="701">
        <f>Interims!AP29</f>
        <v>-551.70000000000005</v>
      </c>
      <c r="O55" s="701">
        <f>Interims!AQ29</f>
        <v>-520.29999999999995</v>
      </c>
      <c r="P55" s="701">
        <f>Interims!AR29</f>
        <v>-496</v>
      </c>
      <c r="Q55" s="701">
        <f>Interims!AS29</f>
        <v>-586.69999999999982</v>
      </c>
      <c r="R55" s="701">
        <f>Interims!AU29</f>
        <v>-516.1</v>
      </c>
      <c r="S55" s="701">
        <f>Interims!AV29</f>
        <v>-439.2</v>
      </c>
      <c r="T55" s="701">
        <f>Interims!AW29</f>
        <v>-436.3</v>
      </c>
      <c r="U55" s="701">
        <f>Interims!AX29</f>
        <v>-496.7</v>
      </c>
      <c r="V55" s="701">
        <f>Interims!AZ29</f>
        <v>-423.8</v>
      </c>
      <c r="W55" s="701">
        <f>Interims!BA29</f>
        <v>-366</v>
      </c>
      <c r="X55" s="701">
        <f>Interims!BB29</f>
        <v>-374.9</v>
      </c>
      <c r="Y55" s="701">
        <f>Interims!BC29</f>
        <v>-718.20000000000016</v>
      </c>
      <c r="Z55" s="701">
        <f>Interims!BE29</f>
        <v>-499.4</v>
      </c>
      <c r="AA55" s="701">
        <f>Interims!BF29</f>
        <v>-481.9</v>
      </c>
      <c r="AB55" s="701">
        <f>Interims!BG29</f>
        <v>-480.7</v>
      </c>
      <c r="AC55" s="701">
        <f>Interims!BH29</f>
        <v>-741.6</v>
      </c>
      <c r="AD55" s="701">
        <f>Interims!BJ29</f>
        <v>-333.7</v>
      </c>
      <c r="AE55" s="701" t="e">
        <f>Interims!#REF!</f>
        <v>#REF!</v>
      </c>
      <c r="AF55" s="701" t="e">
        <f>Interims!#REF!</f>
        <v>#REF!</v>
      </c>
      <c r="AG55" s="701" t="e">
        <f>Interims!#REF!</f>
        <v>#REF!</v>
      </c>
      <c r="AH55" s="684"/>
      <c r="AI55" s="684"/>
      <c r="AJ55" s="684"/>
      <c r="AK55" s="684"/>
      <c r="AL55" s="684"/>
      <c r="AM55" s="684"/>
      <c r="AN55" s="684"/>
      <c r="AO55" s="684"/>
      <c r="AP55" s="684"/>
      <c r="AQ55" s="684"/>
      <c r="AR55" s="684"/>
      <c r="AS55" s="684"/>
      <c r="AT55" s="684"/>
      <c r="AU55" s="684"/>
      <c r="AV55" s="684"/>
      <c r="AW55" s="684"/>
      <c r="AX55" s="684"/>
      <c r="AY55" s="684"/>
      <c r="AZ55" s="684"/>
      <c r="BA55" s="684"/>
      <c r="BB55" s="684"/>
      <c r="BC55" s="684"/>
      <c r="BD55" s="684"/>
      <c r="BE55" s="684"/>
      <c r="BF55" s="684"/>
      <c r="BG55" s="684"/>
      <c r="BH55" s="684"/>
      <c r="BI55" s="684"/>
      <c r="BJ55" s="684"/>
      <c r="BK55" s="684"/>
      <c r="BL55" s="684"/>
      <c r="BM55" s="684"/>
      <c r="BN55" s="684"/>
      <c r="BZ55" s="684"/>
      <c r="CA55" s="684"/>
      <c r="CB55" s="684"/>
      <c r="CC55" s="684"/>
      <c r="CD55" s="684"/>
      <c r="CE55" s="684"/>
      <c r="CF55" s="684"/>
      <c r="CG55" s="684"/>
      <c r="CH55" s="684"/>
      <c r="CI55" s="684"/>
      <c r="CJ55" s="684"/>
      <c r="CK55" s="684"/>
      <c r="CL55" s="684"/>
      <c r="CM55" s="684"/>
      <c r="CN55" s="684"/>
      <c r="CO55" s="684"/>
      <c r="CP55" s="684"/>
      <c r="CQ55" s="684"/>
      <c r="CR55" s="684"/>
      <c r="CS55" s="684"/>
      <c r="CT55" s="684"/>
      <c r="CU55" s="684"/>
      <c r="CV55" s="684"/>
      <c r="CW55" s="684"/>
      <c r="CX55" s="684"/>
      <c r="CY55" s="684"/>
      <c r="CZ55" s="684"/>
      <c r="DA55" s="684"/>
      <c r="DB55" s="684"/>
      <c r="DC55" s="684"/>
      <c r="DD55" s="684"/>
      <c r="DE55" s="684"/>
      <c r="DF55" s="684"/>
      <c r="DG55" s="684"/>
      <c r="DH55" s="684"/>
      <c r="DI55" s="684"/>
      <c r="DJ55" s="684"/>
      <c r="DK55" s="684"/>
      <c r="DL55" s="684"/>
      <c r="DM55" s="684"/>
      <c r="DN55" s="684"/>
      <c r="DO55" s="684"/>
      <c r="DP55" s="684"/>
      <c r="DQ55" s="684"/>
      <c r="DR55" s="684"/>
      <c r="DS55" s="684"/>
      <c r="DT55" s="684"/>
      <c r="DU55" s="684"/>
      <c r="DV55" s="684"/>
      <c r="DW55" s="684"/>
      <c r="DX55" s="684"/>
      <c r="DY55" s="684"/>
      <c r="DZ55" s="684"/>
      <c r="EA55" s="684"/>
      <c r="EB55" s="684"/>
      <c r="EC55" s="684"/>
      <c r="ED55" s="684"/>
      <c r="EE55" s="684"/>
      <c r="EF55" s="684"/>
      <c r="EG55" s="684"/>
      <c r="EH55" s="684"/>
      <c r="EI55" s="684"/>
      <c r="EJ55" s="684"/>
      <c r="EK55" s="684"/>
      <c r="EL55" s="684"/>
      <c r="EM55" s="684"/>
      <c r="EN55" s="684"/>
      <c r="EO55" s="684"/>
      <c r="EP55" s="684"/>
      <c r="EQ55" s="684"/>
      <c r="ER55" s="684"/>
      <c r="ES55" s="684"/>
      <c r="ET55" s="684"/>
    </row>
    <row r="56" spans="1:154">
      <c r="A56" s="719" t="str">
        <f>Interims!A31</f>
        <v>Other Expense, net</v>
      </c>
      <c r="B56" s="709">
        <f>Interims!AA31</f>
        <v>-104.30000000000007</v>
      </c>
      <c r="C56" s="709">
        <f>Interims!AB31</f>
        <v>-197.8</v>
      </c>
      <c r="D56" s="709">
        <f>Interims!AC31</f>
        <v>-693.7</v>
      </c>
      <c r="E56" s="709">
        <f>Interims!AD31</f>
        <v>-363.40000000000009</v>
      </c>
      <c r="F56" s="709">
        <f>Interims!AF31</f>
        <v>-495.2</v>
      </c>
      <c r="G56" s="709">
        <f>Interims!AG31</f>
        <v>-279.71999999999997</v>
      </c>
      <c r="H56" s="709">
        <f>Interims!AH31</f>
        <v>-821.4</v>
      </c>
      <c r="I56" s="709">
        <f>Interims!AI31</f>
        <v>-1121.5</v>
      </c>
      <c r="J56" s="709">
        <f>Interims!AK31</f>
        <v>-393.7</v>
      </c>
      <c r="K56" s="709">
        <f>Interims!AL31</f>
        <v>-370.9</v>
      </c>
      <c r="L56" s="709">
        <f>Interims!AM31</f>
        <v>-495.7</v>
      </c>
      <c r="M56" s="709">
        <f>Interims!AN31</f>
        <v>-1126.0000000000002</v>
      </c>
      <c r="N56" s="709">
        <f>Interims!AP31</f>
        <v>-154.1</v>
      </c>
      <c r="O56" s="709">
        <f>Interims!AQ31</f>
        <v>-275.90000000000009</v>
      </c>
      <c r="P56" s="709">
        <f>Interims!AR31</f>
        <v>-432.5</v>
      </c>
      <c r="Q56" s="709">
        <f>Interims!AS31</f>
        <v>-1089</v>
      </c>
      <c r="R56" s="709">
        <f>Interims!AU31</f>
        <v>-203.9</v>
      </c>
      <c r="S56" s="709">
        <f>Interims!AV31</f>
        <v>-283</v>
      </c>
      <c r="T56" s="709">
        <f>Interims!AW31</f>
        <v>-411.09999999999997</v>
      </c>
      <c r="U56" s="709">
        <f>Interims!AX31</f>
        <v>-234.3</v>
      </c>
      <c r="V56" s="709">
        <f>Interims!AZ31</f>
        <v>-93.300000000000011</v>
      </c>
      <c r="W56" s="709">
        <f>Interims!BA31</f>
        <v>-343</v>
      </c>
      <c r="X56" s="709">
        <f>Interims!BB31</f>
        <v>-267.5</v>
      </c>
      <c r="Y56" s="709">
        <f>Interims!BC31</f>
        <v>-416.2</v>
      </c>
      <c r="Z56" s="709">
        <f>Interims!BE31</f>
        <v>-167.9</v>
      </c>
      <c r="AA56" s="709">
        <f>Interims!BF31</f>
        <v>-413.79999999999995</v>
      </c>
      <c r="AB56" s="709">
        <f>Interims!BG31</f>
        <v>-309.3</v>
      </c>
      <c r="AC56" s="709">
        <f>Interims!BH31</f>
        <v>3220.7</v>
      </c>
      <c r="AD56" s="709">
        <f>Interims!BJ31</f>
        <v>-168.60000000000002</v>
      </c>
      <c r="AE56" s="709" t="e">
        <f>Interims!#REF!</f>
        <v>#REF!</v>
      </c>
      <c r="AF56" s="709" t="e">
        <f>Interims!#REF!</f>
        <v>#REF!</v>
      </c>
      <c r="AG56" s="709" t="e">
        <f>Interims!#REF!</f>
        <v>#REF!</v>
      </c>
      <c r="AH56" s="684"/>
      <c r="AI56" s="684"/>
      <c r="AJ56" s="684"/>
      <c r="AK56" s="684"/>
      <c r="AL56" s="684"/>
      <c r="AM56" s="684"/>
      <c r="AN56" s="684"/>
      <c r="AO56" s="684"/>
      <c r="AP56" s="684"/>
      <c r="AQ56" s="684"/>
      <c r="AR56" s="684"/>
      <c r="AS56" s="684"/>
      <c r="AT56" s="684"/>
      <c r="AU56" s="684"/>
      <c r="AV56" s="684"/>
      <c r="AW56" s="684"/>
      <c r="AX56" s="684"/>
      <c r="AY56" s="684"/>
      <c r="AZ56" s="684"/>
      <c r="BA56" s="684"/>
      <c r="BB56" s="684"/>
      <c r="BC56" s="684"/>
      <c r="BD56" s="684"/>
      <c r="BE56" s="684"/>
      <c r="BF56" s="684"/>
      <c r="BG56" s="684"/>
      <c r="BH56" s="684"/>
      <c r="BI56" s="684"/>
      <c r="BJ56" s="684"/>
      <c r="BK56" s="684"/>
      <c r="BL56" s="684"/>
      <c r="BM56" s="684"/>
      <c r="BN56" s="684"/>
      <c r="BZ56" s="684"/>
      <c r="CA56" s="684"/>
      <c r="CB56" s="684"/>
      <c r="CC56" s="684"/>
      <c r="CD56" s="684"/>
      <c r="CE56" s="684"/>
      <c r="CF56" s="684"/>
      <c r="CG56" s="684"/>
      <c r="CH56" s="684"/>
      <c r="CI56" s="684"/>
      <c r="CJ56" s="684"/>
      <c r="CK56" s="684"/>
      <c r="CL56" s="684"/>
      <c r="CM56" s="684"/>
      <c r="CN56" s="684"/>
      <c r="CO56" s="684"/>
      <c r="CP56" s="684"/>
      <c r="CQ56" s="684"/>
      <c r="CR56" s="684"/>
      <c r="CS56" s="684"/>
      <c r="CT56" s="684"/>
      <c r="CU56" s="684"/>
      <c r="CV56" s="684"/>
      <c r="CW56" s="684"/>
      <c r="CX56" s="684"/>
      <c r="CY56" s="684"/>
      <c r="CZ56" s="684"/>
      <c r="DA56" s="684"/>
      <c r="DB56" s="684"/>
      <c r="DC56" s="684"/>
      <c r="DD56" s="684"/>
      <c r="DE56" s="684"/>
      <c r="DF56" s="684"/>
      <c r="DG56" s="684"/>
      <c r="DH56" s="684"/>
      <c r="DI56" s="684"/>
      <c r="DJ56" s="684"/>
      <c r="DK56" s="684"/>
      <c r="DL56" s="684"/>
      <c r="DM56" s="684"/>
      <c r="DN56" s="684"/>
      <c r="DO56" s="684"/>
      <c r="DP56" s="684"/>
      <c r="DQ56" s="684"/>
      <c r="DR56" s="684"/>
      <c r="DS56" s="684"/>
      <c r="DT56" s="684"/>
      <c r="DU56" s="684"/>
      <c r="DV56" s="684"/>
      <c r="DW56" s="684"/>
      <c r="DX56" s="684"/>
      <c r="DY56" s="684"/>
      <c r="DZ56" s="684"/>
      <c r="EA56" s="684"/>
      <c r="EB56" s="684"/>
      <c r="EC56" s="684"/>
      <c r="ED56" s="684"/>
      <c r="EE56" s="684"/>
      <c r="EF56" s="684"/>
      <c r="EG56" s="684"/>
      <c r="EH56" s="684"/>
      <c r="EI56" s="684"/>
      <c r="EJ56" s="684"/>
      <c r="EK56" s="684"/>
      <c r="EL56" s="684"/>
      <c r="EM56" s="684"/>
      <c r="EN56" s="684"/>
      <c r="EO56" s="684"/>
      <c r="EP56" s="684"/>
      <c r="EQ56" s="684"/>
      <c r="ER56" s="684"/>
      <c r="ES56" s="684"/>
      <c r="ET56" s="684"/>
    </row>
    <row r="57" spans="1:154">
      <c r="A57" s="720" t="s">
        <v>2760</v>
      </c>
      <c r="B57" s="698">
        <f t="shared" ref="B57:AG57" si="32">B54+B55+B56</f>
        <v>7122.6</v>
      </c>
      <c r="C57" s="698">
        <f t="shared" si="32"/>
        <v>7833.5999999999985</v>
      </c>
      <c r="D57" s="698">
        <f t="shared" si="32"/>
        <v>8394.7000000000007</v>
      </c>
      <c r="E57" s="698">
        <f t="shared" si="32"/>
        <v>9024.4</v>
      </c>
      <c r="F57" s="698">
        <f t="shared" si="32"/>
        <v>7318.9</v>
      </c>
      <c r="G57" s="698">
        <f t="shared" si="32"/>
        <v>8848.380000000001</v>
      </c>
      <c r="H57" s="698">
        <f t="shared" si="32"/>
        <v>8639.6</v>
      </c>
      <c r="I57" s="698">
        <f t="shared" si="32"/>
        <v>9190.5999999999985</v>
      </c>
      <c r="J57" s="698">
        <f t="shared" si="32"/>
        <v>7584.7000000000007</v>
      </c>
      <c r="K57" s="698">
        <f t="shared" si="32"/>
        <v>8494.6</v>
      </c>
      <c r="L57" s="698">
        <f t="shared" si="32"/>
        <v>8293.3999999999978</v>
      </c>
      <c r="M57" s="698">
        <f t="shared" si="32"/>
        <v>8406.7999999999993</v>
      </c>
      <c r="N57" s="698">
        <f t="shared" si="32"/>
        <v>8424.9999999999982</v>
      </c>
      <c r="O57" s="698">
        <f t="shared" si="32"/>
        <v>9956.6000000000022</v>
      </c>
      <c r="P57" s="698">
        <f t="shared" si="32"/>
        <v>9379.6</v>
      </c>
      <c r="Q57" s="698">
        <f t="shared" si="32"/>
        <v>8811.7999999999993</v>
      </c>
      <c r="R57" s="698">
        <f t="shared" si="32"/>
        <v>8686.4000000000015</v>
      </c>
      <c r="S57" s="698">
        <f t="shared" si="32"/>
        <v>9205.8999999999978</v>
      </c>
      <c r="T57" s="698">
        <f t="shared" si="32"/>
        <v>9917.0000000000018</v>
      </c>
      <c r="U57" s="698">
        <f t="shared" si="32"/>
        <v>10545.8</v>
      </c>
      <c r="V57" s="698">
        <f t="shared" si="32"/>
        <v>8192.1000000000022</v>
      </c>
      <c r="W57" s="698">
        <f t="shared" si="32"/>
        <v>7927.3000000000011</v>
      </c>
      <c r="X57" s="698">
        <f t="shared" si="32"/>
        <v>9888.9999999999982</v>
      </c>
      <c r="Y57" s="698">
        <f t="shared" si="32"/>
        <v>11500.099999999997</v>
      </c>
      <c r="Z57" s="698">
        <f t="shared" si="32"/>
        <v>8710.4000000000015</v>
      </c>
      <c r="AA57" s="698">
        <f t="shared" si="32"/>
        <v>9209.8000000000011</v>
      </c>
      <c r="AB57" s="698">
        <f t="shared" si="32"/>
        <v>10179</v>
      </c>
      <c r="AC57" s="698">
        <f t="shared" si="32"/>
        <v>15502.5</v>
      </c>
      <c r="AD57" s="698">
        <f t="shared" si="32"/>
        <v>6714.8</v>
      </c>
      <c r="AE57" s="698" t="e">
        <f t="shared" si="32"/>
        <v>#REF!</v>
      </c>
      <c r="AF57" s="698" t="e">
        <f t="shared" si="32"/>
        <v>#REF!</v>
      </c>
      <c r="AG57" s="698" t="e">
        <f t="shared" si="32"/>
        <v>#REF!</v>
      </c>
      <c r="AH57" s="684"/>
      <c r="AI57" s="684"/>
      <c r="AJ57" s="684"/>
      <c r="AK57" s="684"/>
      <c r="AL57" s="684"/>
      <c r="AM57" s="684"/>
      <c r="AN57" s="684"/>
      <c r="AO57" s="684"/>
      <c r="AP57" s="684"/>
      <c r="AQ57" s="684"/>
      <c r="AR57" s="684"/>
      <c r="AS57" s="684"/>
      <c r="AT57" s="684"/>
      <c r="AU57" s="684"/>
      <c r="AV57" s="684"/>
      <c r="AW57" s="684"/>
      <c r="AX57" s="684"/>
      <c r="AY57" s="684"/>
      <c r="AZ57" s="684"/>
      <c r="BA57" s="684"/>
      <c r="BB57" s="684"/>
      <c r="BC57" s="684"/>
      <c r="BD57" s="684"/>
      <c r="BE57" s="684"/>
      <c r="BF57" s="684"/>
      <c r="BG57" s="684"/>
      <c r="BH57" s="684"/>
      <c r="BI57" s="684"/>
      <c r="BJ57" s="684"/>
      <c r="BK57" s="684"/>
      <c r="BL57" s="684"/>
      <c r="BM57" s="684"/>
      <c r="BN57" s="684"/>
      <c r="BZ57" s="684"/>
      <c r="CA57" s="684"/>
      <c r="CB57" s="684"/>
      <c r="CC57" s="684"/>
      <c r="CD57" s="684"/>
      <c r="CE57" s="684"/>
      <c r="CF57" s="684"/>
      <c r="CG57" s="684"/>
      <c r="CH57" s="684"/>
      <c r="CI57" s="684"/>
      <c r="CJ57" s="684"/>
      <c r="CK57" s="684"/>
      <c r="CL57" s="684"/>
      <c r="CM57" s="684"/>
      <c r="CN57" s="684"/>
      <c r="CO57" s="684"/>
      <c r="CP57" s="684"/>
      <c r="CQ57" s="684"/>
      <c r="CR57" s="684"/>
      <c r="CS57" s="684"/>
      <c r="CT57" s="684"/>
      <c r="CU57" s="684"/>
      <c r="CV57" s="684"/>
      <c r="CW57" s="684"/>
      <c r="CX57" s="684"/>
      <c r="CY57" s="684"/>
      <c r="CZ57" s="684"/>
      <c r="DA57" s="684"/>
      <c r="DB57" s="684"/>
      <c r="DC57" s="684"/>
      <c r="DD57" s="684"/>
      <c r="DE57" s="684"/>
      <c r="DF57" s="684"/>
      <c r="DG57" s="684"/>
      <c r="DH57" s="684"/>
      <c r="DI57" s="684"/>
      <c r="DJ57" s="684"/>
      <c r="DK57" s="684"/>
      <c r="DL57" s="684"/>
      <c r="DM57" s="684"/>
      <c r="DN57" s="684"/>
      <c r="DO57" s="684"/>
      <c r="DP57" s="684"/>
      <c r="DQ57" s="684"/>
      <c r="DR57" s="684"/>
      <c r="DS57" s="684"/>
      <c r="DT57" s="684"/>
      <c r="DU57" s="684"/>
      <c r="DV57" s="684"/>
      <c r="DW57" s="684"/>
      <c r="DX57" s="684"/>
      <c r="DY57" s="684"/>
      <c r="DZ57" s="684"/>
      <c r="EA57" s="684"/>
      <c r="EB57" s="684"/>
      <c r="EC57" s="684"/>
      <c r="ED57" s="684"/>
      <c r="EE57" s="684"/>
      <c r="EF57" s="684"/>
      <c r="EG57" s="684"/>
      <c r="EH57" s="684"/>
      <c r="EI57" s="684"/>
      <c r="EJ57" s="684"/>
      <c r="EK57" s="684"/>
      <c r="EL57" s="684"/>
      <c r="EM57" s="684"/>
      <c r="EN57" s="684"/>
      <c r="EO57" s="684"/>
      <c r="EP57" s="684"/>
      <c r="EQ57" s="684"/>
      <c r="ER57" s="684"/>
      <c r="ES57" s="684"/>
      <c r="ET57" s="684"/>
    </row>
    <row r="58" spans="1:154">
      <c r="A58" s="684"/>
      <c r="B58" s="684"/>
      <c r="C58" s="684"/>
      <c r="D58" s="684"/>
      <c r="E58" s="684"/>
      <c r="F58" s="684"/>
      <c r="G58" s="684"/>
      <c r="H58" s="684"/>
      <c r="I58" s="684"/>
      <c r="J58" s="684"/>
      <c r="K58" s="684"/>
      <c r="L58" s="684"/>
      <c r="M58" s="684"/>
      <c r="N58" s="684"/>
      <c r="O58" s="684"/>
      <c r="P58" s="684"/>
      <c r="Q58" s="684"/>
      <c r="R58" s="684"/>
      <c r="S58" s="684"/>
      <c r="T58" s="684"/>
      <c r="U58" s="684"/>
      <c r="V58" s="684"/>
      <c r="W58" s="684"/>
      <c r="X58" s="684"/>
      <c r="Y58" s="684"/>
      <c r="Z58" s="684"/>
      <c r="AA58" s="684"/>
      <c r="AB58" s="684"/>
      <c r="AC58" s="684"/>
      <c r="AD58" s="684"/>
      <c r="AE58" s="684"/>
      <c r="AF58" s="684"/>
      <c r="AG58" s="684"/>
      <c r="AH58" s="684"/>
      <c r="AI58" s="684"/>
      <c r="AJ58" s="684"/>
      <c r="AK58" s="684"/>
      <c r="AL58" s="684"/>
      <c r="AM58" s="684"/>
      <c r="AN58" s="684"/>
      <c r="AO58" s="684"/>
      <c r="AP58" s="684"/>
      <c r="AQ58" s="684"/>
      <c r="AR58" s="684"/>
      <c r="AS58" s="684"/>
      <c r="AT58" s="684"/>
      <c r="AU58" s="684"/>
      <c r="AV58" s="684"/>
      <c r="AW58" s="684"/>
      <c r="AX58" s="684"/>
      <c r="AY58" s="684"/>
      <c r="AZ58" s="684"/>
      <c r="BA58" s="684"/>
      <c r="BB58" s="684"/>
      <c r="BC58" s="684"/>
      <c r="BD58" s="684"/>
      <c r="BE58" s="684"/>
      <c r="BF58" s="684"/>
      <c r="BG58" s="684"/>
      <c r="BH58" s="684"/>
      <c r="BI58" s="684"/>
      <c r="BJ58" s="684"/>
      <c r="BK58" s="684"/>
      <c r="BL58" s="684"/>
      <c r="BM58" s="684"/>
      <c r="BN58" s="684"/>
      <c r="BO58" s="684"/>
      <c r="BP58" s="684"/>
      <c r="BQ58" s="684"/>
      <c r="BR58" s="684"/>
      <c r="BS58" s="684"/>
      <c r="BT58" s="684"/>
      <c r="BU58" s="684"/>
      <c r="BZ58" s="684"/>
      <c r="CA58" s="684"/>
      <c r="CB58" s="684"/>
      <c r="CC58" s="684"/>
      <c r="CD58" s="684"/>
      <c r="CE58" s="684"/>
      <c r="CF58" s="684"/>
      <c r="CG58" s="684"/>
      <c r="CH58" s="684"/>
      <c r="CI58" s="684"/>
      <c r="CJ58" s="684"/>
      <c r="CK58" s="684"/>
      <c r="CL58" s="684"/>
      <c r="CM58" s="684"/>
      <c r="CN58" s="684"/>
      <c r="CO58" s="684"/>
      <c r="CP58" s="684"/>
      <c r="CQ58" s="684"/>
      <c r="CR58" s="684"/>
      <c r="CS58" s="684"/>
      <c r="CT58" s="684"/>
      <c r="CU58" s="684"/>
      <c r="CV58" s="684"/>
      <c r="CW58" s="684"/>
      <c r="CX58" s="684"/>
      <c r="CY58" s="684"/>
      <c r="CZ58" s="684"/>
      <c r="DA58" s="684"/>
      <c r="DB58" s="684"/>
      <c r="DC58" s="684"/>
      <c r="DD58" s="684"/>
      <c r="DE58" s="684"/>
      <c r="DF58" s="684"/>
      <c r="DG58" s="684"/>
      <c r="DH58" s="684"/>
      <c r="DI58" s="684"/>
      <c r="DJ58" s="684"/>
      <c r="DK58" s="684"/>
      <c r="DL58" s="684"/>
      <c r="DM58" s="684"/>
      <c r="DN58" s="684"/>
      <c r="DO58" s="684"/>
      <c r="DP58" s="684"/>
      <c r="DQ58" s="684"/>
      <c r="DR58" s="684"/>
      <c r="DS58" s="684"/>
      <c r="DT58" s="684"/>
      <c r="DU58" s="684"/>
      <c r="DV58" s="684"/>
      <c r="DW58" s="684"/>
      <c r="DX58" s="684"/>
      <c r="DY58" s="684"/>
      <c r="DZ58" s="684"/>
      <c r="EA58" s="684"/>
      <c r="EB58" s="684"/>
      <c r="EC58" s="684"/>
      <c r="ED58" s="684"/>
      <c r="EE58" s="684"/>
      <c r="EF58" s="684"/>
      <c r="EG58" s="684"/>
      <c r="EH58" s="684"/>
      <c r="EI58" s="684"/>
      <c r="EJ58" s="684"/>
      <c r="EK58" s="684"/>
      <c r="EL58" s="684"/>
      <c r="EM58" s="684"/>
      <c r="EN58" s="684"/>
      <c r="EO58" s="684"/>
      <c r="EP58" s="684"/>
      <c r="EQ58" s="684"/>
      <c r="ER58" s="684"/>
      <c r="ES58" s="684"/>
      <c r="ET58" s="684"/>
    </row>
    <row r="59" spans="1:154">
      <c r="A59" s="718" t="s">
        <v>506</v>
      </c>
      <c r="B59" s="686" t="s">
        <v>2118</v>
      </c>
      <c r="C59" s="686" t="s">
        <v>2143</v>
      </c>
      <c r="D59" s="686" t="s">
        <v>2232</v>
      </c>
      <c r="E59" s="686" t="s">
        <v>2378</v>
      </c>
      <c r="F59" s="686" t="s">
        <v>2515</v>
      </c>
      <c r="G59" s="686" t="s">
        <v>2596</v>
      </c>
      <c r="H59" s="686" t="s">
        <v>2759</v>
      </c>
      <c r="I59" s="686" t="s">
        <v>3096</v>
      </c>
      <c r="J59" s="686" t="s">
        <v>3256</v>
      </c>
      <c r="K59" s="686" t="s">
        <v>3257</v>
      </c>
      <c r="L59" s="686" t="s">
        <v>3258</v>
      </c>
      <c r="M59" s="686" t="s">
        <v>3259</v>
      </c>
      <c r="N59" s="686" t="s">
        <v>3805</v>
      </c>
      <c r="O59" s="686" t="s">
        <v>3806</v>
      </c>
      <c r="P59" s="686" t="s">
        <v>3807</v>
      </c>
      <c r="Q59" s="686" t="s">
        <v>3808</v>
      </c>
      <c r="R59" s="686" t="str">
        <f t="shared" ref="R59:AG59" si="33">R29</f>
        <v>Q1 19</v>
      </c>
      <c r="S59" s="686" t="str">
        <f t="shared" si="33"/>
        <v>Q2 19</v>
      </c>
      <c r="T59" s="686" t="str">
        <f t="shared" si="33"/>
        <v>Q2 19</v>
      </c>
      <c r="U59" s="686" t="str">
        <f t="shared" si="33"/>
        <v>Q3 19</v>
      </c>
      <c r="V59" s="686" t="str">
        <f t="shared" si="33"/>
        <v>Q1 20</v>
      </c>
      <c r="W59" s="686" t="str">
        <f t="shared" si="33"/>
        <v>Q2 20</v>
      </c>
      <c r="X59" s="686" t="str">
        <f t="shared" si="33"/>
        <v>Q3 20</v>
      </c>
      <c r="Y59" s="686" t="str">
        <f t="shared" si="33"/>
        <v>Q4 20</v>
      </c>
      <c r="Z59" s="686" t="str">
        <f t="shared" si="33"/>
        <v>Q1 21</v>
      </c>
      <c r="AA59" s="686" t="str">
        <f t="shared" si="33"/>
        <v>Q2 21</v>
      </c>
      <c r="AB59" s="686" t="str">
        <f t="shared" si="33"/>
        <v>Q3 21</v>
      </c>
      <c r="AC59" s="686" t="str">
        <f t="shared" si="33"/>
        <v>Q4 21</v>
      </c>
      <c r="AD59" s="686" t="str">
        <f t="shared" si="33"/>
        <v>Q1 22</v>
      </c>
      <c r="AE59" s="686" t="str">
        <f t="shared" si="33"/>
        <v>Q2 22</v>
      </c>
      <c r="AF59" s="686" t="str">
        <f t="shared" si="33"/>
        <v>Q3 22</v>
      </c>
      <c r="AG59" s="686" t="str">
        <f t="shared" si="33"/>
        <v>Q4 22</v>
      </c>
      <c r="AH59" s="684"/>
      <c r="AI59" s="684"/>
      <c r="AJ59" s="684"/>
      <c r="AK59" s="684"/>
      <c r="AL59" s="684"/>
      <c r="AM59" s="684"/>
      <c r="AN59" s="684"/>
      <c r="AO59" s="684"/>
      <c r="AP59" s="684"/>
      <c r="AQ59" s="684"/>
      <c r="AR59" s="684"/>
      <c r="AS59" s="684"/>
      <c r="AT59" s="684"/>
      <c r="AU59" s="684"/>
      <c r="AV59" s="684"/>
      <c r="AW59" s="684"/>
      <c r="AX59" s="684"/>
      <c r="AY59" s="684"/>
      <c r="AZ59" s="684"/>
      <c r="BA59" s="684"/>
      <c r="BB59" s="684"/>
      <c r="BC59" s="684"/>
      <c r="BD59" s="684"/>
      <c r="BE59" s="684"/>
      <c r="BF59" s="684"/>
      <c r="BG59" s="684"/>
      <c r="BH59" s="684"/>
      <c r="BI59" s="684"/>
      <c r="BJ59" s="684"/>
      <c r="BK59" s="684"/>
      <c r="BL59" s="684"/>
      <c r="BM59" s="684"/>
      <c r="BN59" s="684"/>
      <c r="BO59" s="684"/>
      <c r="BP59" s="684"/>
      <c r="BQ59" s="684"/>
      <c r="BR59" s="684"/>
      <c r="BS59" s="684"/>
      <c r="BT59" s="684"/>
      <c r="BU59" s="684"/>
      <c r="BZ59" s="684"/>
      <c r="CA59" s="684"/>
      <c r="CB59" s="684"/>
      <c r="CC59" s="684"/>
      <c r="CD59" s="684"/>
      <c r="CE59" s="684"/>
      <c r="CF59" s="684"/>
      <c r="CG59" s="684"/>
      <c r="CH59" s="684"/>
      <c r="CI59" s="684"/>
      <c r="CJ59" s="684"/>
      <c r="CK59" s="684"/>
      <c r="CL59" s="684"/>
      <c r="CM59" s="684"/>
      <c r="CN59" s="684"/>
      <c r="CO59" s="684"/>
      <c r="CP59" s="684"/>
      <c r="CQ59" s="684"/>
      <c r="CR59" s="684"/>
      <c r="CS59" s="684"/>
      <c r="CT59" s="684"/>
      <c r="CU59" s="684"/>
      <c r="CV59" s="684"/>
      <c r="CW59" s="684"/>
      <c r="CX59" s="684"/>
      <c r="CY59" s="684"/>
      <c r="CZ59" s="684"/>
      <c r="DA59" s="684"/>
      <c r="DB59" s="684"/>
      <c r="DC59" s="684"/>
      <c r="DD59" s="684"/>
      <c r="DE59" s="684"/>
      <c r="DF59" s="684"/>
      <c r="DG59" s="684"/>
      <c r="DH59" s="684"/>
      <c r="DI59" s="684"/>
      <c r="DJ59" s="684"/>
      <c r="DK59" s="684"/>
      <c r="DL59" s="684"/>
      <c r="DM59" s="684"/>
      <c r="DN59" s="684"/>
      <c r="DO59" s="684"/>
      <c r="DP59" s="684"/>
      <c r="DQ59" s="684"/>
      <c r="DR59" s="684"/>
      <c r="DS59" s="684"/>
      <c r="DT59" s="684"/>
      <c r="DU59" s="684"/>
      <c r="DV59" s="684"/>
      <c r="DW59" s="684"/>
      <c r="DX59" s="684"/>
      <c r="DY59" s="684"/>
      <c r="DZ59" s="684"/>
      <c r="EA59" s="684"/>
      <c r="EB59" s="684"/>
      <c r="EC59" s="684"/>
      <c r="ED59" s="684"/>
      <c r="EE59" s="684"/>
      <c r="EF59" s="684"/>
      <c r="EG59" s="684"/>
      <c r="EH59" s="684"/>
      <c r="EI59" s="684"/>
      <c r="EJ59" s="684"/>
      <c r="EK59" s="684"/>
      <c r="EL59" s="684"/>
      <c r="EM59" s="684"/>
      <c r="EN59" s="684"/>
      <c r="EO59" s="684"/>
      <c r="EP59" s="684"/>
      <c r="EQ59" s="684"/>
      <c r="ER59" s="684"/>
      <c r="ES59" s="684"/>
      <c r="ET59" s="684"/>
    </row>
    <row r="60" spans="1:154">
      <c r="A60" s="707" t="str">
        <f>Interims!A23</f>
        <v>Content</v>
      </c>
      <c r="B60" s="697">
        <f>Interims!AA51</f>
        <v>0.37159948725252812</v>
      </c>
      <c r="C60" s="697">
        <f>Interims!AB51</f>
        <v>0.42641676132777989</v>
      </c>
      <c r="D60" s="697">
        <f>Interims!AC51</f>
        <v>0.46623000231857176</v>
      </c>
      <c r="E60" s="697">
        <f>Interims!AD51</f>
        <v>0.42322487131362319</v>
      </c>
      <c r="F60" s="697">
        <f>Interims!AF51</f>
        <v>0.35275829081632648</v>
      </c>
      <c r="G60" s="697">
        <f>Interims!AG51</f>
        <v>0.41881041737745933</v>
      </c>
      <c r="H60" s="697">
        <f>Interims!AH51</f>
        <v>0.41984301702377791</v>
      </c>
      <c r="I60" s="697">
        <f>Interims!AI51</f>
        <v>0.40781100314766661</v>
      </c>
      <c r="J60" s="697">
        <f>Interims!AK51</f>
        <v>0.35916990138121169</v>
      </c>
      <c r="K60" s="697">
        <f>Interims!AL51</f>
        <v>0.39439567107071655</v>
      </c>
      <c r="L60" s="697">
        <f>Interims!AM51</f>
        <v>0.38655451713395639</v>
      </c>
      <c r="M60" s="697">
        <f>Interims!AN51</f>
        <v>0.3695619378076147</v>
      </c>
      <c r="N60" s="697">
        <f>Interims!AP51</f>
        <v>0.35700179760488138</v>
      </c>
      <c r="O60" s="697">
        <f>Interims!AQ51</f>
        <v>0.39140857137648793</v>
      </c>
      <c r="P60" s="697">
        <f>Interims!AR51</f>
        <v>0.38145848137506305</v>
      </c>
      <c r="Q60" s="697">
        <f>Interims!AS51</f>
        <v>0.37928928477468332</v>
      </c>
      <c r="R60" s="697">
        <f>Interims!AU51</f>
        <v>0.3155645868418489</v>
      </c>
      <c r="S60" s="697">
        <f>Interims!AV51</f>
        <v>0.36376397515527953</v>
      </c>
      <c r="T60" s="697">
        <f>Interims!AW51</f>
        <v>0.35941704294804433</v>
      </c>
      <c r="U60" s="697">
        <f>Interims!AX51</f>
        <v>0.4070173553274945</v>
      </c>
      <c r="V60" s="697">
        <f>Interims!AZ51</f>
        <v>0.23989238361377013</v>
      </c>
      <c r="W60" s="697">
        <f>Interims!BA51</f>
        <v>0.30869655520280098</v>
      </c>
      <c r="X60" s="697">
        <f>Interims!BB51</f>
        <v>0.41012522717653793</v>
      </c>
      <c r="Y60" s="697">
        <f>Interims!BC51</f>
        <v>0.48341343125078728</v>
      </c>
      <c r="Z60" s="697">
        <f>Interims!BE51</f>
        <v>0.32045577130528585</v>
      </c>
      <c r="AA60" s="697">
        <f>Interims!BF51</f>
        <v>0.3270366598778004</v>
      </c>
      <c r="AB60" s="697">
        <f>Interims!BG51</f>
        <v>0.37208281191683673</v>
      </c>
      <c r="AC60" s="697">
        <f>Interims!BH51</f>
        <v>0.47093682143382376</v>
      </c>
      <c r="AD60" s="697">
        <f>Interims!BJ51</f>
        <v>0</v>
      </c>
      <c r="AE60" s="697" t="e">
        <f>Interims!#REF!</f>
        <v>#REF!</v>
      </c>
      <c r="AF60" s="697" t="e">
        <f>Interims!#REF!</f>
        <v>#REF!</v>
      </c>
      <c r="AG60" s="697" t="e">
        <f>Interims!#REF!</f>
        <v>#REF!</v>
      </c>
      <c r="AH60" s="684"/>
      <c r="AI60" s="684"/>
      <c r="AJ60" s="684"/>
      <c r="AK60" s="684"/>
      <c r="AL60" s="684"/>
      <c r="AM60" s="684"/>
      <c r="AN60" s="684"/>
      <c r="AO60" s="684"/>
      <c r="AP60" s="684"/>
      <c r="AQ60" s="684"/>
      <c r="AR60" s="684"/>
      <c r="AS60" s="684"/>
      <c r="AT60" s="684"/>
      <c r="AU60" s="684"/>
      <c r="AV60" s="684"/>
      <c r="AW60" s="684"/>
      <c r="AX60" s="684"/>
      <c r="AY60" s="684"/>
      <c r="AZ60" s="684"/>
      <c r="BA60" s="684"/>
      <c r="BB60" s="684"/>
      <c r="BC60" s="684"/>
      <c r="BD60" s="684"/>
      <c r="BE60" s="684"/>
      <c r="BF60" s="684"/>
      <c r="BG60" s="684"/>
      <c r="BH60" s="684"/>
      <c r="BI60" s="684"/>
      <c r="BJ60" s="684"/>
      <c r="BK60" s="684"/>
      <c r="BL60" s="684"/>
      <c r="BM60" s="684"/>
      <c r="BN60" s="684"/>
      <c r="BO60" s="684"/>
      <c r="BP60" s="684"/>
      <c r="BQ60" s="684"/>
      <c r="BR60" s="684"/>
      <c r="BS60" s="684"/>
      <c r="BT60" s="684"/>
      <c r="BU60" s="684"/>
      <c r="BV60" s="684"/>
      <c r="BW60" s="684"/>
      <c r="BX60" s="684"/>
      <c r="BY60" s="684"/>
      <c r="BZ60" s="684"/>
      <c r="CA60" s="684"/>
      <c r="CB60" s="684"/>
      <c r="CC60" s="684"/>
      <c r="CD60" s="684"/>
      <c r="CE60" s="684"/>
      <c r="CF60" s="684"/>
      <c r="CG60" s="684"/>
      <c r="CH60" s="684"/>
      <c r="CI60" s="684"/>
      <c r="CJ60" s="684"/>
      <c r="CK60" s="684"/>
      <c r="CL60" s="684"/>
      <c r="CM60" s="684"/>
      <c r="CN60" s="684"/>
      <c r="CO60" s="684"/>
      <c r="CP60" s="684"/>
      <c r="CQ60" s="684"/>
      <c r="CR60" s="684"/>
      <c r="CS60" s="684"/>
      <c r="CT60" s="684"/>
      <c r="CU60" s="684"/>
      <c r="CV60" s="684"/>
      <c r="CW60" s="684"/>
      <c r="CX60" s="684"/>
      <c r="CY60" s="684"/>
      <c r="CZ60" s="684"/>
      <c r="DA60" s="684"/>
      <c r="DB60" s="684"/>
      <c r="DC60" s="684"/>
      <c r="DD60" s="684"/>
      <c r="DE60" s="684"/>
      <c r="DF60" s="684"/>
      <c r="DG60" s="684"/>
      <c r="DH60" s="684"/>
      <c r="DI60" s="684"/>
      <c r="DJ60" s="684"/>
      <c r="DK60" s="684"/>
      <c r="DL60" s="684"/>
      <c r="DM60" s="684"/>
      <c r="DN60" s="684"/>
      <c r="DO60" s="684"/>
      <c r="DP60" s="684"/>
      <c r="DQ60" s="684"/>
      <c r="DR60" s="684"/>
      <c r="DS60" s="684"/>
      <c r="DT60" s="684"/>
      <c r="DU60" s="684"/>
      <c r="DV60" s="684"/>
      <c r="DW60" s="684"/>
      <c r="DX60" s="684"/>
      <c r="DY60" s="684"/>
      <c r="DZ60" s="684"/>
      <c r="EA60" s="684"/>
      <c r="EB60" s="684"/>
      <c r="EC60" s="684"/>
      <c r="ED60" s="684"/>
      <c r="EE60" s="684"/>
      <c r="EF60" s="684"/>
      <c r="EG60" s="684"/>
      <c r="EH60" s="684"/>
      <c r="EI60" s="684"/>
      <c r="EJ60" s="684"/>
      <c r="EK60" s="684"/>
      <c r="EL60" s="684"/>
      <c r="EM60" s="684"/>
      <c r="EN60" s="684"/>
      <c r="EO60" s="684"/>
      <c r="EP60" s="684"/>
      <c r="EQ60" s="684"/>
      <c r="ER60" s="684"/>
      <c r="ES60" s="684"/>
      <c r="ET60" s="684"/>
      <c r="EU60" s="684"/>
      <c r="EV60" s="684"/>
      <c r="EW60" s="684"/>
    </row>
    <row r="61" spans="1:154">
      <c r="A61" s="707" t="str">
        <f>Interims!A25</f>
        <v>Sky</v>
      </c>
      <c r="B61" s="697">
        <f>Interims!AA53</f>
        <v>0.46500205552069585</v>
      </c>
      <c r="C61" s="697">
        <f>Interims!AB53</f>
        <v>0.48129960842417191</v>
      </c>
      <c r="D61" s="697">
        <f>Interims!AC53</f>
        <v>0.47640449438202248</v>
      </c>
      <c r="E61" s="697">
        <f>Interims!AD53</f>
        <v>0.44237176545697576</v>
      </c>
      <c r="F61" s="697">
        <f>Interims!AF53</f>
        <v>0.45038881411694331</v>
      </c>
      <c r="G61" s="697">
        <f>Interims!AG53</f>
        <v>0.45356317307864602</v>
      </c>
      <c r="H61" s="697">
        <f>Interims!AH53</f>
        <v>0.46026008936031093</v>
      </c>
      <c r="I61" s="697">
        <f>Interims!AI53</f>
        <v>0.44028264700005448</v>
      </c>
      <c r="J61" s="697">
        <f>Interims!AK53</f>
        <v>0.44513229614121214</v>
      </c>
      <c r="K61" s="697">
        <f>Interims!AL53</f>
        <v>0.47074567078466478</v>
      </c>
      <c r="L61" s="697">
        <f>Interims!AM53</f>
        <v>0.48857709542349226</v>
      </c>
      <c r="M61" s="697">
        <f>Interims!AN53</f>
        <v>0.41734305415888517</v>
      </c>
      <c r="N61" s="697">
        <f>Interims!AP53</f>
        <v>0.44607431222827082</v>
      </c>
      <c r="O61" s="697">
        <f>Interims!AQ53</f>
        <v>0.4490174595320563</v>
      </c>
      <c r="P61" s="697">
        <f>Interims!AR53</f>
        <v>0.4752649196456642</v>
      </c>
      <c r="Q61" s="697">
        <f>Interims!AS53</f>
        <v>0.40546330031673961</v>
      </c>
      <c r="R61" s="697">
        <f>Interims!AU53</f>
        <v>0.43678052105422599</v>
      </c>
      <c r="S61" s="697">
        <f>Interims!AV53</f>
        <v>0.43110637422636072</v>
      </c>
      <c r="T61" s="697">
        <f>Interims!AW53</f>
        <v>0.44956259483356126</v>
      </c>
      <c r="U61" s="697">
        <f>Interims!AX53</f>
        <v>0.39205443289769665</v>
      </c>
      <c r="V61" s="697">
        <f>Interims!AZ53</f>
        <v>0.41329805931215657</v>
      </c>
      <c r="W61" s="697">
        <f>Interims!BA53</f>
        <v>0.42094764901082565</v>
      </c>
      <c r="X61" s="697">
        <f>Interims!BB53</f>
        <v>0.43528823308740777</v>
      </c>
      <c r="Y61" s="697">
        <f>Interims!BC53</f>
        <v>0.38165859564164639</v>
      </c>
      <c r="Z61" s="697">
        <f>Interims!BE53</f>
        <v>0.38303584127435641</v>
      </c>
      <c r="AA61" s="697">
        <f>Interims!BF53</f>
        <v>0.40263190966050871</v>
      </c>
      <c r="AB61" s="697">
        <f>Interims!BG53</f>
        <v>0.41427629409825256</v>
      </c>
      <c r="AC61" s="697">
        <f>Interims!BH53</f>
        <v>0.34350278279321705</v>
      </c>
      <c r="AD61" s="697">
        <f>Interims!BJ53</f>
        <v>0.35282521750668161</v>
      </c>
      <c r="AE61" s="697" t="e">
        <f>Interims!#REF!</f>
        <v>#REF!</v>
      </c>
      <c r="AF61" s="697" t="e">
        <f>Interims!#REF!</f>
        <v>#REF!</v>
      </c>
      <c r="AG61" s="697" t="e">
        <f>Interims!#REF!</f>
        <v>#REF!</v>
      </c>
      <c r="AH61" s="684"/>
      <c r="AI61" s="684"/>
      <c r="AJ61" s="684"/>
      <c r="AK61" s="684"/>
      <c r="AL61" s="684"/>
      <c r="AM61" s="684"/>
      <c r="AN61" s="684"/>
      <c r="AO61" s="684"/>
      <c r="AP61" s="684"/>
      <c r="AQ61" s="684"/>
      <c r="AR61" s="684"/>
      <c r="AS61" s="684"/>
      <c r="AT61" s="684"/>
      <c r="AU61" s="684"/>
      <c r="AV61" s="684"/>
      <c r="AW61" s="684"/>
      <c r="AX61" s="684"/>
      <c r="AY61" s="684"/>
      <c r="AZ61" s="684"/>
      <c r="BA61" s="684"/>
      <c r="BB61" s="684"/>
      <c r="BC61" s="684"/>
      <c r="BD61" s="684"/>
      <c r="BE61" s="684"/>
      <c r="BF61" s="684"/>
      <c r="BG61" s="684"/>
      <c r="BH61" s="684"/>
      <c r="BI61" s="684"/>
      <c r="BJ61" s="684"/>
      <c r="BK61" s="684"/>
      <c r="BL61" s="684"/>
      <c r="BM61" s="684"/>
      <c r="BN61" s="684"/>
      <c r="BO61" s="684"/>
      <c r="BP61" s="684"/>
      <c r="BQ61" s="684"/>
      <c r="BR61" s="684"/>
      <c r="BS61" s="684"/>
      <c r="BT61" s="684"/>
      <c r="BU61" s="684"/>
      <c r="BV61" s="684"/>
      <c r="BW61" s="684"/>
      <c r="BX61" s="684"/>
      <c r="BY61" s="684"/>
      <c r="BZ61" s="684"/>
      <c r="CA61" s="684"/>
      <c r="CB61" s="684"/>
      <c r="CC61" s="684"/>
      <c r="CD61" s="684"/>
      <c r="CE61" s="684"/>
      <c r="CF61" s="684"/>
      <c r="CG61" s="684"/>
      <c r="CH61" s="684"/>
      <c r="CI61" s="684"/>
      <c r="CJ61" s="684"/>
      <c r="CK61" s="684"/>
      <c r="CL61" s="684"/>
      <c r="CM61" s="684"/>
      <c r="CN61" s="684"/>
      <c r="CO61" s="684"/>
      <c r="CP61" s="684"/>
      <c r="CQ61" s="684"/>
      <c r="CR61" s="684"/>
      <c r="CS61" s="684"/>
      <c r="CT61" s="684"/>
      <c r="CU61" s="684"/>
      <c r="CV61" s="684"/>
      <c r="CW61" s="684"/>
      <c r="CX61" s="684"/>
      <c r="CY61" s="684"/>
      <c r="CZ61" s="684"/>
      <c r="DA61" s="684"/>
      <c r="DB61" s="684"/>
      <c r="DC61" s="684"/>
      <c r="DD61" s="684"/>
      <c r="DE61" s="684"/>
      <c r="DF61" s="684"/>
      <c r="DG61" s="684"/>
      <c r="DH61" s="684"/>
      <c r="DI61" s="684"/>
      <c r="DJ61" s="684"/>
      <c r="DK61" s="684"/>
      <c r="DL61" s="684"/>
      <c r="DM61" s="684"/>
      <c r="DN61" s="684"/>
      <c r="DO61" s="684"/>
      <c r="DP61" s="684"/>
      <c r="DQ61" s="684"/>
      <c r="DR61" s="684"/>
      <c r="DS61" s="684"/>
      <c r="DT61" s="684"/>
      <c r="DU61" s="684"/>
      <c r="DV61" s="684"/>
      <c r="DW61" s="684"/>
      <c r="DX61" s="684"/>
      <c r="DY61" s="684"/>
      <c r="DZ61" s="684"/>
      <c r="EA61" s="684"/>
      <c r="EB61" s="684"/>
      <c r="EC61" s="684"/>
      <c r="ED61" s="684"/>
      <c r="EE61" s="684"/>
      <c r="EF61" s="684"/>
      <c r="EG61" s="684"/>
      <c r="EH61" s="684"/>
      <c r="EI61" s="684"/>
      <c r="EJ61" s="684"/>
      <c r="EK61" s="684"/>
      <c r="EL61" s="684"/>
      <c r="EM61" s="684"/>
      <c r="EN61" s="684"/>
      <c r="EO61" s="684"/>
      <c r="EP61" s="684"/>
      <c r="EQ61" s="684"/>
      <c r="ER61" s="684"/>
      <c r="ES61" s="684"/>
      <c r="ET61" s="684"/>
      <c r="EU61" s="684"/>
      <c r="EV61" s="684"/>
      <c r="EW61" s="684"/>
      <c r="EX61" s="684"/>
    </row>
    <row r="62" spans="1:154">
      <c r="A62" s="707" t="str">
        <f>Interims!A26</f>
        <v>Cable and Telecom</v>
      </c>
      <c r="B62" s="697">
        <f>Interims!AA54</f>
        <v>0.3958299203216919</v>
      </c>
      <c r="C62" s="697">
        <f>Interims!AB54</f>
        <v>0.40004631170673111</v>
      </c>
      <c r="D62" s="697">
        <f>Interims!AC54</f>
        <v>0.4075952837948999</v>
      </c>
      <c r="E62" s="697">
        <f>Interims!AD54</f>
        <v>0.39769619952180291</v>
      </c>
      <c r="F62" s="697">
        <f>Interims!AF54</f>
        <v>0.41364107543530459</v>
      </c>
      <c r="G62" s="697">
        <f>Interims!AG54</f>
        <v>0.42221965880980755</v>
      </c>
      <c r="H62" s="697">
        <f>Interims!AH54</f>
        <v>0.42220914263292131</v>
      </c>
      <c r="I62" s="697">
        <f>Interims!AI54</f>
        <v>0.40251647981523353</v>
      </c>
      <c r="J62" s="697">
        <f>Interims!AK54</f>
        <v>0.41961142744216495</v>
      </c>
      <c r="K62" s="697">
        <f>Interims!AL54</f>
        <v>0.42832257020916548</v>
      </c>
      <c r="L62" s="697">
        <f>Interims!AM54</f>
        <v>0.42337038149594475</v>
      </c>
      <c r="M62" s="697">
        <f>Interims!AN54</f>
        <v>0.42729462695946652</v>
      </c>
      <c r="N62" s="697">
        <f>Interims!AP54</f>
        <v>0.42272512312998139</v>
      </c>
      <c r="O62" s="697">
        <f>Interims!AQ54</f>
        <v>0.42199485593210734</v>
      </c>
      <c r="P62" s="697">
        <f>Interims!AR54</f>
        <v>0.4238115380860964</v>
      </c>
      <c r="Q62" s="697">
        <f>Interims!AS54</f>
        <v>0.42086848713449682</v>
      </c>
      <c r="R62" s="697">
        <f>Interims!AU54</f>
        <v>0.43413382366312731</v>
      </c>
      <c r="S62" s="697">
        <f>Interims!AV54</f>
        <v>0.43792397975664904</v>
      </c>
      <c r="T62" s="697">
        <f>Interims!AW54</f>
        <v>0.42391767009392645</v>
      </c>
      <c r="U62" s="697">
        <f>Interims!AX54</f>
        <v>0.41257795408538411</v>
      </c>
      <c r="V62" s="697">
        <f>Interims!AZ54</f>
        <v>0.41481981024878284</v>
      </c>
      <c r="W62" s="697">
        <f>Interims!BA54</f>
        <v>0.41175898415393325</v>
      </c>
      <c r="X62" s="697">
        <f>Interims!BB54</f>
        <v>0.42047177832905269</v>
      </c>
      <c r="Y62" s="697">
        <f>Interims!BC54</f>
        <v>0.4189857682843301</v>
      </c>
      <c r="Z62" s="697">
        <f>Interims!BE54</f>
        <v>0.41404530467177669</v>
      </c>
      <c r="AA62" s="697">
        <f>Interims!BF54</f>
        <v>0.41898410896708288</v>
      </c>
      <c r="AB62" s="697">
        <f>Interims!BG54</f>
        <v>0.41971226360366631</v>
      </c>
      <c r="AC62" s="697">
        <f>Interims!BH54</f>
        <v>0.43637871862851935</v>
      </c>
      <c r="AD62" s="697">
        <f>Interims!BJ54</f>
        <v>0.42181371510864502</v>
      </c>
      <c r="AE62" s="697" t="e">
        <f>Interims!#REF!</f>
        <v>#REF!</v>
      </c>
      <c r="AF62" s="697" t="e">
        <f>Interims!#REF!</f>
        <v>#REF!</v>
      </c>
      <c r="AG62" s="697" t="e">
        <f>Interims!#REF!</f>
        <v>#REF!</v>
      </c>
      <c r="AH62" s="684"/>
      <c r="AI62" s="684"/>
      <c r="AJ62" s="684"/>
      <c r="AK62" s="684"/>
      <c r="AL62" s="684"/>
      <c r="AM62" s="684"/>
      <c r="AN62" s="684"/>
      <c r="AO62" s="684"/>
      <c r="AP62" s="684"/>
      <c r="AQ62" s="684"/>
      <c r="AR62" s="684"/>
      <c r="AS62" s="684"/>
      <c r="AT62" s="684"/>
      <c r="AU62" s="684"/>
      <c r="AV62" s="684"/>
      <c r="AW62" s="684"/>
      <c r="AX62" s="684"/>
      <c r="AY62" s="684"/>
      <c r="AZ62" s="684"/>
      <c r="BA62" s="684"/>
      <c r="BB62" s="684"/>
      <c r="BC62" s="684"/>
      <c r="BD62" s="684"/>
      <c r="BE62" s="684"/>
      <c r="BF62" s="684"/>
      <c r="BG62" s="684"/>
      <c r="BH62" s="684"/>
      <c r="BI62" s="684"/>
      <c r="BJ62" s="684"/>
      <c r="BK62" s="684"/>
      <c r="BL62" s="684"/>
      <c r="BM62" s="684"/>
      <c r="BN62" s="684"/>
      <c r="BO62" s="684"/>
      <c r="BP62" s="684"/>
      <c r="BQ62" s="684"/>
      <c r="BR62" s="684"/>
      <c r="BS62" s="684"/>
      <c r="BT62" s="684"/>
      <c r="BU62" s="684"/>
      <c r="BV62" s="684"/>
      <c r="BW62" s="684"/>
      <c r="BX62" s="684"/>
      <c r="BY62" s="684"/>
      <c r="BZ62" s="684"/>
      <c r="CA62" s="684"/>
      <c r="CB62" s="684"/>
      <c r="CC62" s="684"/>
      <c r="CD62" s="684"/>
      <c r="CE62" s="684"/>
      <c r="CF62" s="684"/>
      <c r="CG62" s="684"/>
      <c r="CH62" s="684"/>
      <c r="CI62" s="684"/>
      <c r="CJ62" s="684"/>
      <c r="CK62" s="684"/>
      <c r="CL62" s="684"/>
      <c r="CM62" s="684"/>
      <c r="CN62" s="684"/>
      <c r="CO62" s="684"/>
      <c r="CP62" s="684"/>
      <c r="CQ62" s="684"/>
      <c r="CR62" s="684"/>
      <c r="CS62" s="684"/>
      <c r="CT62" s="684"/>
      <c r="CU62" s="684"/>
      <c r="CV62" s="684"/>
      <c r="CW62" s="684"/>
      <c r="CX62" s="684"/>
      <c r="CY62" s="684"/>
      <c r="CZ62" s="684"/>
      <c r="DA62" s="684"/>
      <c r="DB62" s="684"/>
      <c r="DC62" s="684"/>
      <c r="DD62" s="684"/>
      <c r="DE62" s="684"/>
      <c r="DF62" s="684"/>
      <c r="DG62" s="684"/>
      <c r="DH62" s="684"/>
      <c r="DI62" s="684"/>
      <c r="DJ62" s="684"/>
      <c r="DK62" s="684"/>
      <c r="DL62" s="684"/>
      <c r="DM62" s="684"/>
      <c r="DN62" s="684"/>
      <c r="DO62" s="684"/>
      <c r="DP62" s="684"/>
      <c r="DQ62" s="684"/>
      <c r="DR62" s="684"/>
      <c r="DS62" s="684"/>
      <c r="DT62" s="684"/>
      <c r="DU62" s="684"/>
      <c r="DV62" s="684"/>
      <c r="DW62" s="684"/>
      <c r="DX62" s="684"/>
      <c r="DY62" s="684"/>
      <c r="DZ62" s="684"/>
      <c r="EA62" s="684"/>
      <c r="EB62" s="684"/>
      <c r="EC62" s="684"/>
      <c r="ED62" s="684"/>
      <c r="EE62" s="684"/>
      <c r="EF62" s="684"/>
      <c r="EG62" s="684"/>
      <c r="EH62" s="684"/>
      <c r="EI62" s="684"/>
      <c r="EJ62" s="684"/>
      <c r="EK62" s="684"/>
      <c r="EL62" s="684"/>
      <c r="EM62" s="684"/>
      <c r="EN62" s="684"/>
      <c r="EO62" s="684"/>
      <c r="EP62" s="684"/>
      <c r="EQ62" s="684"/>
      <c r="ER62" s="684"/>
      <c r="ES62" s="684"/>
      <c r="ET62" s="684"/>
      <c r="EU62" s="684"/>
      <c r="EV62" s="684"/>
      <c r="EW62" s="684"/>
      <c r="EX62" s="684"/>
    </row>
    <row r="63" spans="1:154">
      <c r="A63" s="719" t="str">
        <f>Interims!A27</f>
        <v>Other Businesses</v>
      </c>
      <c r="B63" s="705">
        <f>Interims!AA55</f>
        <v>0.11551292743953294</v>
      </c>
      <c r="C63" s="705">
        <f>Interims!AB55</f>
        <v>6.8020036910097545E-2</v>
      </c>
      <c r="D63" s="705">
        <f>Interims!AC55</f>
        <v>0.12842210054753608</v>
      </c>
      <c r="E63" s="705">
        <f>Interims!AD55</f>
        <v>6.2858633281168516E-2</v>
      </c>
      <c r="F63" s="705">
        <f>Interims!AF55</f>
        <v>7.9713818939778039E-2</v>
      </c>
      <c r="G63" s="705">
        <f>Interims!AG55</f>
        <v>8.4119919792634612E-2</v>
      </c>
      <c r="H63" s="705">
        <f>Interims!AH55</f>
        <v>0.16134249898908212</v>
      </c>
      <c r="I63" s="705">
        <f>Interims!AI55</f>
        <v>0.13226733740567734</v>
      </c>
      <c r="J63" s="705">
        <f>Interims!AK55</f>
        <v>3.8810941758352681E-2</v>
      </c>
      <c r="K63" s="705">
        <f>Interims!AL55</f>
        <v>6.201585710380024E-2</v>
      </c>
      <c r="L63" s="705">
        <f>Interims!AM55</f>
        <v>2.7043482672890556E-2</v>
      </c>
      <c r="M63" s="705">
        <f>Interims!AN55</f>
        <v>0.10034990130988695</v>
      </c>
      <c r="N63" s="705">
        <f>Interims!AP55</f>
        <v>0.1146536212325686</v>
      </c>
      <c r="O63" s="705">
        <f>Interims!AQ55</f>
        <v>8.354233330450575E-2</v>
      </c>
      <c r="P63" s="705">
        <f>Interims!AR55</f>
        <v>6.5091189314153614E-2</v>
      </c>
      <c r="Q63" s="705">
        <f>Interims!AS55</f>
        <v>8.8722093918398762E-2</v>
      </c>
      <c r="R63" s="705">
        <f>Interims!AU55</f>
        <v>0.23673848604167588</v>
      </c>
      <c r="S63" s="705">
        <f>Interims!AV55</f>
        <v>0.11328024659645518</v>
      </c>
      <c r="T63" s="705">
        <f>Interims!AW55</f>
        <v>0.29262086513994912</v>
      </c>
      <c r="U63" s="705">
        <f>Interims!AX55</f>
        <v>4.028129686126479E-2</v>
      </c>
      <c r="V63" s="705">
        <f>Interims!AZ55</f>
        <v>0.19485294117647059</v>
      </c>
      <c r="W63" s="705">
        <f>Interims!BA55</f>
        <v>-0.74484217950978659</v>
      </c>
      <c r="X63" s="705">
        <f>Interims!BB55</f>
        <v>4.2172523961661341E-3</v>
      </c>
      <c r="Y63" s="705">
        <f>Interims!BC55</f>
        <v>0.1609937402190923</v>
      </c>
      <c r="Z63" s="705">
        <f>Interims!BE55</f>
        <v>1.2716763005780346E-2</v>
      </c>
      <c r="AA63" s="705">
        <f>Interims!BF55</f>
        <v>0.22414358301917717</v>
      </c>
      <c r="AB63" s="705">
        <f>Interims!BG55</f>
        <v>0.17968916329572068</v>
      </c>
      <c r="AC63" s="705">
        <f>Interims!BH55</f>
        <v>0.25445380472310453</v>
      </c>
      <c r="AD63" s="705">
        <f>Interims!BJ55</f>
        <v>0.22659683342363493</v>
      </c>
      <c r="AE63" s="705" t="e">
        <f>Interims!#REF!</f>
        <v>#REF!</v>
      </c>
      <c r="AF63" s="705" t="e">
        <f>Interims!#REF!</f>
        <v>#REF!</v>
      </c>
      <c r="AG63" s="705" t="e">
        <f>Interims!#REF!</f>
        <v>#REF!</v>
      </c>
      <c r="AH63" s="684"/>
      <c r="AI63" s="684"/>
      <c r="AJ63" s="684"/>
      <c r="AK63" s="684"/>
      <c r="AL63" s="684"/>
      <c r="AM63" s="684"/>
      <c r="AN63" s="684"/>
      <c r="AO63" s="684"/>
      <c r="AP63" s="684"/>
      <c r="AQ63" s="684"/>
      <c r="AR63" s="684"/>
      <c r="AS63" s="684"/>
      <c r="AT63" s="684"/>
      <c r="AU63" s="684"/>
      <c r="AV63" s="684"/>
      <c r="AW63" s="684"/>
      <c r="AX63" s="684"/>
      <c r="AY63" s="684"/>
      <c r="AZ63" s="684"/>
      <c r="BA63" s="684"/>
      <c r="BB63" s="684"/>
      <c r="BC63" s="684"/>
      <c r="BD63" s="684"/>
      <c r="BE63" s="684"/>
      <c r="BF63" s="684"/>
      <c r="BG63" s="684"/>
      <c r="BH63" s="684"/>
      <c r="BI63" s="684"/>
      <c r="BJ63" s="684"/>
      <c r="BK63" s="684"/>
      <c r="BL63" s="684"/>
      <c r="BM63" s="684"/>
      <c r="BN63" s="684"/>
      <c r="BO63" s="684"/>
      <c r="BP63" s="684"/>
      <c r="BQ63" s="684"/>
      <c r="BR63" s="684"/>
      <c r="BS63" s="684"/>
      <c r="BT63" s="684"/>
      <c r="BU63" s="684"/>
      <c r="BV63" s="684"/>
      <c r="BW63" s="684"/>
      <c r="BX63" s="684"/>
      <c r="BY63" s="684"/>
      <c r="BZ63" s="684"/>
      <c r="CA63" s="684"/>
      <c r="CB63" s="684"/>
      <c r="CC63" s="684"/>
      <c r="CD63" s="684"/>
      <c r="CE63" s="684"/>
      <c r="CF63" s="684"/>
      <c r="CG63" s="684"/>
      <c r="CH63" s="684"/>
      <c r="CI63" s="684"/>
      <c r="CJ63" s="684"/>
      <c r="CK63" s="684"/>
      <c r="CL63" s="684"/>
      <c r="CM63" s="684"/>
      <c r="CN63" s="684"/>
      <c r="CO63" s="684"/>
      <c r="CP63" s="684"/>
      <c r="CQ63" s="684"/>
      <c r="CR63" s="684"/>
      <c r="CS63" s="684"/>
      <c r="CT63" s="684"/>
      <c r="CU63" s="684"/>
      <c r="CV63" s="684"/>
      <c r="CW63" s="684"/>
      <c r="CX63" s="684"/>
      <c r="CY63" s="684"/>
      <c r="CZ63" s="684"/>
      <c r="DA63" s="684"/>
      <c r="DB63" s="684"/>
      <c r="DC63" s="684"/>
      <c r="DD63" s="684"/>
      <c r="DE63" s="684"/>
      <c r="DF63" s="684"/>
      <c r="DG63" s="684"/>
      <c r="DH63" s="684"/>
      <c r="DI63" s="684"/>
      <c r="DJ63" s="684"/>
      <c r="DK63" s="684"/>
      <c r="DL63" s="684"/>
      <c r="DM63" s="684"/>
      <c r="DN63" s="684"/>
      <c r="DO63" s="684"/>
      <c r="DP63" s="684"/>
      <c r="DQ63" s="684"/>
      <c r="DR63" s="684"/>
      <c r="DS63" s="684"/>
      <c r="DT63" s="684"/>
      <c r="DU63" s="684"/>
      <c r="DV63" s="684"/>
      <c r="DW63" s="684"/>
      <c r="DX63" s="684"/>
      <c r="DY63" s="684"/>
      <c r="DZ63" s="684"/>
      <c r="EA63" s="684"/>
      <c r="EB63" s="684"/>
      <c r="EC63" s="684"/>
      <c r="ED63" s="684"/>
      <c r="EE63" s="684"/>
      <c r="EF63" s="684"/>
      <c r="EG63" s="684"/>
      <c r="EH63" s="684"/>
      <c r="EI63" s="684"/>
      <c r="EJ63" s="684"/>
      <c r="EK63" s="684"/>
      <c r="EL63" s="684"/>
      <c r="EM63" s="684"/>
      <c r="EN63" s="684"/>
      <c r="EO63" s="684"/>
      <c r="EP63" s="684"/>
      <c r="EQ63" s="684"/>
      <c r="ER63" s="684"/>
      <c r="ES63" s="684"/>
      <c r="ET63" s="684"/>
      <c r="EU63" s="684"/>
      <c r="EV63" s="684"/>
      <c r="EW63" s="684"/>
      <c r="EX63" s="684"/>
    </row>
    <row r="64" spans="1:154">
      <c r="A64" s="707" t="s">
        <v>1109</v>
      </c>
      <c r="B64" s="699">
        <f>Interims!AA56</f>
        <v>0.37668429047722385</v>
      </c>
      <c r="C64" s="699">
        <f>Interims!AB56</f>
        <v>0.39832756121321722</v>
      </c>
      <c r="D64" s="699">
        <f>Interims!AC56</f>
        <v>0.41993953732912725</v>
      </c>
      <c r="E64" s="699">
        <f>Interims!AD56</f>
        <v>0.38710645963798573</v>
      </c>
      <c r="F64" s="699">
        <f>Interims!AF56</f>
        <v>0.37527949641256814</v>
      </c>
      <c r="G64" s="699">
        <f>Interims!AG56</f>
        <v>0.39966144381825308</v>
      </c>
      <c r="H64" s="699">
        <f>Interims!AH56</f>
        <v>0.4062647580894686</v>
      </c>
      <c r="I64" s="699">
        <f>Interims!AI56</f>
        <v>0.38546964743306522</v>
      </c>
      <c r="J64" s="699">
        <f>Interims!AK56</f>
        <v>0.37361299052774022</v>
      </c>
      <c r="K64" s="699">
        <f>Interims!AL56</f>
        <v>0.3933091431410784</v>
      </c>
      <c r="L64" s="699">
        <f>Interims!AM56</f>
        <v>0.3930086350552946</v>
      </c>
      <c r="M64" s="699">
        <f>Interims!AN56</f>
        <v>0.37556442083662078</v>
      </c>
      <c r="N64" s="699">
        <f>Interims!AP56</f>
        <v>0.38329758161676114</v>
      </c>
      <c r="O64" s="699">
        <f>Interims!AQ56</f>
        <v>0.38723013486504498</v>
      </c>
      <c r="P64" s="699">
        <f>Interims!AR56</f>
        <v>0.3921845395262481</v>
      </c>
      <c r="Q64" s="699">
        <f>Interims!AS56</f>
        <v>0.37162832560842507</v>
      </c>
      <c r="R64" s="699">
        <f>Interims!AU56</f>
        <v>0.38198733801964685</v>
      </c>
      <c r="S64" s="699">
        <f>Interims!AV56</f>
        <v>0.38841875877826149</v>
      </c>
      <c r="T64" s="699">
        <f>Interims!AW56</f>
        <v>0.39570926522269778</v>
      </c>
      <c r="U64" s="699">
        <f>Interims!AX56</f>
        <v>0.38232013479930965</v>
      </c>
      <c r="V64" s="699">
        <f>Interims!AZ56</f>
        <v>0.35030730121955145</v>
      </c>
      <c r="W64" s="699">
        <f>Interims!BA56</f>
        <v>0.35788937143614913</v>
      </c>
      <c r="X64" s="699">
        <f>Interims!BB56</f>
        <v>0.40785076118148683</v>
      </c>
      <c r="Y64" s="699">
        <f>Interims!BC56</f>
        <v>0.42718325145471192</v>
      </c>
      <c r="Z64" s="699">
        <f>Interims!BE56</f>
        <v>0.36533456959421556</v>
      </c>
      <c r="AA64" s="699">
        <f>Interims!BF56</f>
        <v>0.37950795969640866</v>
      </c>
      <c r="AB64" s="699">
        <f>Interims!BG56</f>
        <v>0.39112280664220589</v>
      </c>
      <c r="AC64" s="699">
        <f>Interims!BH56</f>
        <v>0.42454687703742339</v>
      </c>
      <c r="AD64" s="699">
        <f>Interims!BJ56</f>
        <v>0.3850906820764835</v>
      </c>
      <c r="AE64" s="699" t="e">
        <f>Interims!#REF!</f>
        <v>#REF!</v>
      </c>
      <c r="AF64" s="699" t="e">
        <f>Interims!#REF!</f>
        <v>#REF!</v>
      </c>
      <c r="AG64" s="699" t="e">
        <f>Interims!#REF!</f>
        <v>#REF!</v>
      </c>
      <c r="AH64" s="684"/>
      <c r="AI64" s="684"/>
      <c r="AJ64" s="684"/>
      <c r="AK64" s="684"/>
      <c r="AL64" s="684"/>
      <c r="AM64" s="684"/>
      <c r="AN64" s="684"/>
      <c r="AO64" s="684"/>
      <c r="AP64" s="684"/>
      <c r="AQ64" s="684"/>
      <c r="AR64" s="684"/>
      <c r="AS64" s="684"/>
      <c r="AT64" s="684"/>
      <c r="AU64" s="684"/>
      <c r="AV64" s="684"/>
      <c r="AW64" s="684"/>
      <c r="AX64" s="684"/>
      <c r="AY64" s="684"/>
      <c r="AZ64" s="684"/>
      <c r="BA64" s="684"/>
      <c r="BB64" s="684"/>
      <c r="BC64" s="684"/>
      <c r="BD64" s="684"/>
      <c r="BE64" s="684"/>
      <c r="BF64" s="684"/>
      <c r="BG64" s="684"/>
      <c r="BH64" s="684"/>
      <c r="BI64" s="684"/>
      <c r="BJ64" s="684"/>
      <c r="BK64" s="684"/>
      <c r="BL64" s="684"/>
      <c r="BM64" s="684"/>
      <c r="BN64" s="684"/>
      <c r="BO64" s="684"/>
      <c r="BP64" s="684"/>
      <c r="BQ64" s="684"/>
      <c r="BR64" s="684"/>
      <c r="BS64" s="684"/>
      <c r="BT64" s="684"/>
      <c r="BU64" s="684"/>
      <c r="BV64" s="684"/>
      <c r="BW64" s="684"/>
      <c r="BX64" s="684"/>
      <c r="BY64" s="684"/>
      <c r="BZ64" s="684"/>
      <c r="CA64" s="684"/>
      <c r="CB64" s="684"/>
      <c r="CC64" s="684"/>
      <c r="CD64" s="684"/>
      <c r="CE64" s="684"/>
      <c r="CF64" s="684"/>
      <c r="CG64" s="684"/>
      <c r="CH64" s="684"/>
      <c r="CI64" s="684"/>
      <c r="CJ64" s="684"/>
      <c r="CK64" s="684"/>
      <c r="CL64" s="684"/>
      <c r="CM64" s="684"/>
      <c r="CN64" s="684"/>
      <c r="CO64" s="684"/>
      <c r="CP64" s="684"/>
      <c r="CQ64" s="684"/>
      <c r="CR64" s="684"/>
      <c r="CS64" s="684"/>
      <c r="CT64" s="684"/>
      <c r="CU64" s="684"/>
      <c r="CV64" s="684"/>
      <c r="CW64" s="684"/>
      <c r="CX64" s="684"/>
      <c r="CY64" s="684"/>
      <c r="CZ64" s="684"/>
      <c r="DA64" s="684"/>
      <c r="DB64" s="684"/>
      <c r="DC64" s="684"/>
      <c r="DD64" s="684"/>
      <c r="DE64" s="684"/>
      <c r="DF64" s="684"/>
      <c r="DG64" s="684"/>
      <c r="DH64" s="684"/>
      <c r="DI64" s="684"/>
      <c r="DJ64" s="684"/>
      <c r="DK64" s="684"/>
      <c r="DL64" s="684"/>
      <c r="DM64" s="684"/>
      <c r="DN64" s="684"/>
      <c r="DO64" s="684"/>
      <c r="DP64" s="684"/>
      <c r="DQ64" s="684"/>
      <c r="DR64" s="684"/>
      <c r="DS64" s="684"/>
      <c r="DT64" s="684"/>
      <c r="DU64" s="684"/>
      <c r="DV64" s="684"/>
      <c r="DW64" s="684"/>
      <c r="DX64" s="684"/>
      <c r="DY64" s="684"/>
      <c r="DZ64" s="684"/>
      <c r="EA64" s="684"/>
      <c r="EB64" s="684"/>
      <c r="EC64" s="684"/>
      <c r="ED64" s="684"/>
      <c r="EE64" s="684"/>
      <c r="EF64" s="684"/>
      <c r="EG64" s="684"/>
      <c r="EH64" s="684"/>
      <c r="EI64" s="684"/>
      <c r="EJ64" s="684"/>
      <c r="EK64" s="684"/>
      <c r="EL64" s="684"/>
      <c r="EM64" s="684"/>
      <c r="EN64" s="684"/>
      <c r="EO64" s="684"/>
      <c r="EP64" s="684"/>
      <c r="EQ64" s="684"/>
      <c r="ER64" s="684"/>
      <c r="ES64" s="684"/>
      <c r="ET64" s="684"/>
      <c r="EU64" s="684"/>
      <c r="EV64" s="684"/>
      <c r="EW64" s="684"/>
      <c r="EX64" s="684"/>
    </row>
    <row r="65" spans="1:154">
      <c r="A65" s="707"/>
      <c r="B65" s="697"/>
      <c r="C65" s="697"/>
      <c r="D65" s="697"/>
      <c r="E65" s="697"/>
      <c r="F65" s="697"/>
      <c r="G65" s="697"/>
      <c r="H65" s="697"/>
      <c r="I65" s="697"/>
      <c r="J65" s="697"/>
      <c r="K65" s="697"/>
      <c r="L65" s="697"/>
      <c r="M65" s="697"/>
      <c r="N65" s="697"/>
      <c r="O65" s="697"/>
      <c r="P65" s="697"/>
      <c r="Q65" s="697"/>
      <c r="R65" s="697"/>
      <c r="S65" s="684"/>
      <c r="T65" s="684"/>
      <c r="U65" s="684"/>
      <c r="V65" s="684"/>
      <c r="W65" s="684"/>
      <c r="X65" s="684"/>
      <c r="Y65" s="684"/>
      <c r="Z65" s="684"/>
      <c r="AA65" s="684"/>
      <c r="AB65" s="684"/>
      <c r="AC65" s="684"/>
      <c r="AD65" s="684"/>
      <c r="AE65" s="684"/>
      <c r="AF65" s="684"/>
      <c r="AG65" s="684"/>
      <c r="AH65" s="684"/>
      <c r="AI65" s="684"/>
      <c r="AJ65" s="684"/>
      <c r="AK65" s="684"/>
      <c r="AL65" s="684"/>
      <c r="AM65" s="684"/>
      <c r="AN65" s="684"/>
      <c r="AO65" s="684"/>
      <c r="AP65" s="684"/>
      <c r="AQ65" s="684"/>
      <c r="AS65" s="684"/>
      <c r="AT65" s="684"/>
      <c r="AU65" s="684"/>
      <c r="AV65" s="684"/>
      <c r="AW65" s="684"/>
      <c r="AX65" s="684"/>
      <c r="AY65" s="684"/>
      <c r="AZ65" s="684"/>
      <c r="BA65" s="684"/>
      <c r="BB65" s="684"/>
      <c r="BC65" s="684"/>
      <c r="BD65" s="684"/>
      <c r="BE65" s="684"/>
      <c r="BF65" s="684"/>
      <c r="BG65" s="684"/>
      <c r="BH65" s="684"/>
      <c r="BI65" s="684"/>
      <c r="BJ65" s="684"/>
      <c r="BK65" s="684"/>
      <c r="BL65" s="684"/>
      <c r="BM65" s="684"/>
      <c r="BN65" s="684"/>
      <c r="BO65" s="684"/>
      <c r="BP65" s="684"/>
      <c r="BQ65" s="684"/>
      <c r="BR65" s="684"/>
      <c r="BS65" s="684"/>
      <c r="BT65" s="684"/>
      <c r="BU65" s="684"/>
      <c r="BV65" s="684"/>
      <c r="BW65" s="684"/>
      <c r="BX65" s="684"/>
      <c r="BY65" s="684"/>
      <c r="BZ65" s="684"/>
      <c r="CA65" s="684"/>
      <c r="CB65" s="684"/>
      <c r="CC65" s="684"/>
      <c r="CD65" s="684"/>
      <c r="CE65" s="684"/>
      <c r="CF65" s="684"/>
      <c r="CG65" s="684"/>
      <c r="CH65" s="684"/>
      <c r="CI65" s="684"/>
      <c r="CJ65" s="684"/>
      <c r="CK65" s="684"/>
      <c r="CL65" s="684"/>
      <c r="CM65" s="684"/>
      <c r="CN65" s="684"/>
      <c r="CO65" s="684"/>
      <c r="CP65" s="684"/>
      <c r="CQ65" s="684"/>
      <c r="CR65" s="684"/>
      <c r="CS65" s="684"/>
      <c r="CT65" s="684"/>
      <c r="CU65" s="684"/>
      <c r="CV65" s="684"/>
      <c r="CW65" s="684"/>
      <c r="CX65" s="684"/>
      <c r="CY65" s="684"/>
      <c r="CZ65" s="684"/>
      <c r="DA65" s="684"/>
      <c r="DB65" s="684"/>
      <c r="DC65" s="684"/>
      <c r="DD65" s="684"/>
      <c r="DE65" s="684"/>
      <c r="DF65" s="684"/>
      <c r="DG65" s="684"/>
      <c r="DH65" s="684"/>
      <c r="DI65" s="684"/>
      <c r="DJ65" s="684"/>
      <c r="DK65" s="684"/>
      <c r="DL65" s="684"/>
      <c r="DM65" s="684"/>
      <c r="DN65" s="684"/>
      <c r="DO65" s="684"/>
      <c r="DP65" s="684"/>
      <c r="DQ65" s="684"/>
      <c r="DR65" s="684"/>
      <c r="DS65" s="684"/>
      <c r="DT65" s="684"/>
      <c r="DU65" s="684"/>
      <c r="DV65" s="684"/>
      <c r="DW65" s="684"/>
      <c r="DX65" s="684"/>
      <c r="DY65" s="684"/>
      <c r="DZ65" s="684"/>
      <c r="EA65" s="684"/>
      <c r="EB65" s="684"/>
      <c r="EC65" s="684"/>
      <c r="ED65" s="684"/>
      <c r="EE65" s="684"/>
      <c r="EF65" s="684"/>
      <c r="EG65" s="684"/>
      <c r="EH65" s="684"/>
      <c r="EI65" s="684"/>
      <c r="EJ65" s="684"/>
      <c r="EK65" s="684"/>
      <c r="EL65" s="684"/>
      <c r="EM65" s="684"/>
      <c r="EN65" s="684"/>
      <c r="EO65" s="684"/>
      <c r="EP65" s="684"/>
      <c r="EQ65" s="684"/>
      <c r="ER65" s="684"/>
      <c r="ES65" s="684"/>
      <c r="ET65" s="684"/>
      <c r="EU65" s="684"/>
      <c r="EV65" s="684"/>
      <c r="EW65" s="684"/>
      <c r="EX65" s="684"/>
    </row>
    <row r="66" spans="1:154">
      <c r="A66" s="720" t="str">
        <f>A57</f>
        <v>EBITDA after corp/other</v>
      </c>
      <c r="B66" s="699">
        <f>Interims!AA59</f>
        <v>0.35865131877095985</v>
      </c>
      <c r="C66" s="699">
        <f>Interims!AB59</f>
        <v>0.37328275921222537</v>
      </c>
      <c r="D66" s="699">
        <f>Interims!AC59</f>
        <v>0.37717970031226838</v>
      </c>
      <c r="E66" s="699">
        <f>Interims!AD59</f>
        <v>0.36169649942685828</v>
      </c>
      <c r="F66" s="699">
        <f>Interims!AF59</f>
        <v>0.33664044892139278</v>
      </c>
      <c r="G66" s="699">
        <f>Interims!AG59</f>
        <v>0.37615065785278551</v>
      </c>
      <c r="H66" s="699">
        <f>Interims!AH59</f>
        <v>0.36420047129048438</v>
      </c>
      <c r="I66" s="699">
        <f>Interims!AI59</f>
        <v>0.33663968352807577</v>
      </c>
      <c r="J66" s="699">
        <f>Interims!AK59</f>
        <v>0.3420059430673984</v>
      </c>
      <c r="K66" s="699">
        <f>Interims!AL59</f>
        <v>0.36675042526919327</v>
      </c>
      <c r="L66" s="699">
        <f>Interims!AM59</f>
        <v>0.36323103673304907</v>
      </c>
      <c r="M66" s="699">
        <f>Interims!AN59</f>
        <v>0.32206259816879285</v>
      </c>
      <c r="N66" s="699">
        <f>Interims!AP59</f>
        <v>0.36932316324741354</v>
      </c>
      <c r="O66" s="699">
        <f>Interims!AQ59</f>
        <v>0.37288122898081788</v>
      </c>
      <c r="P66" s="699">
        <f>Interims!AR59</f>
        <v>0.37468641643896899</v>
      </c>
      <c r="Q66" s="699">
        <f>Interims!AS59</f>
        <v>0.32959420690996544</v>
      </c>
      <c r="R66" s="699">
        <f>Interims!AU59</f>
        <v>0.371289837231569</v>
      </c>
      <c r="S66" s="699">
        <f>Interims!AV59</f>
        <v>0.37872517237407216</v>
      </c>
      <c r="T66" s="699">
        <f>Interims!AW59</f>
        <v>0.38458257065740098</v>
      </c>
      <c r="U66" s="699">
        <f>Interims!AX59</f>
        <v>0.37663033385237343</v>
      </c>
      <c r="V66" s="699">
        <f>Interims!AZ59</f>
        <v>0.35266996142719387</v>
      </c>
      <c r="W66" s="699">
        <f>Interims!BA59</f>
        <v>0.35498446134142964</v>
      </c>
      <c r="X66" s="699">
        <f>Interims!BB59</f>
        <v>0.41302259533057678</v>
      </c>
      <c r="Y66" s="699">
        <f>Interims!BC59</f>
        <v>0.41614106697641751</v>
      </c>
      <c r="Z66" s="699">
        <f>Interims!BE59</f>
        <v>0.36554085812126508</v>
      </c>
      <c r="AA66" s="699">
        <f>Interims!BF59</f>
        <v>0.37207705111423539</v>
      </c>
      <c r="AB66" s="699">
        <f>Interims!BG59</f>
        <v>0.3895835486204402</v>
      </c>
      <c r="AC66" s="699">
        <f>Interims!BH59</f>
        <v>0.53806079453557221</v>
      </c>
      <c r="AD66" s="699">
        <f>Interims!BJ59</f>
        <v>0.36083227650839367</v>
      </c>
      <c r="AE66" s="699" t="e">
        <f>Interims!#REF!</f>
        <v>#REF!</v>
      </c>
      <c r="AF66" s="699" t="e">
        <f>Interims!#REF!</f>
        <v>#REF!</v>
      </c>
      <c r="AG66" s="699" t="e">
        <f>Interims!#REF!</f>
        <v>#REF!</v>
      </c>
      <c r="AH66" s="684"/>
      <c r="AI66" s="684"/>
      <c r="AJ66" s="684"/>
      <c r="AK66" s="684"/>
      <c r="AL66" s="684"/>
      <c r="AM66" s="684"/>
      <c r="AN66" s="684"/>
      <c r="AO66" s="684"/>
      <c r="AP66" s="684"/>
      <c r="AQ66" s="684"/>
      <c r="AR66" s="684"/>
      <c r="AS66" s="684"/>
      <c r="AT66" s="684"/>
      <c r="AU66" s="684"/>
      <c r="AV66" s="684"/>
      <c r="AW66" s="684"/>
      <c r="AX66" s="684"/>
      <c r="AY66" s="684"/>
      <c r="AZ66" s="684"/>
      <c r="BA66" s="684"/>
      <c r="BB66" s="684"/>
      <c r="BC66" s="684"/>
      <c r="BD66" s="684"/>
      <c r="BE66" s="684"/>
      <c r="BF66" s="684"/>
      <c r="BG66" s="684"/>
      <c r="BH66" s="684"/>
      <c r="BI66" s="684"/>
      <c r="BJ66" s="684"/>
      <c r="BK66" s="684"/>
      <c r="BL66" s="684"/>
      <c r="BM66" s="684"/>
      <c r="BN66" s="684"/>
      <c r="BO66" s="684"/>
      <c r="BP66" s="684"/>
      <c r="BQ66" s="684"/>
      <c r="BR66" s="684"/>
      <c r="BS66" s="684"/>
      <c r="BT66" s="684"/>
      <c r="BU66" s="684"/>
      <c r="BV66" s="684"/>
      <c r="BW66" s="684"/>
      <c r="BX66" s="684"/>
      <c r="BY66" s="684"/>
      <c r="BZ66" s="684"/>
      <c r="CA66" s="684"/>
      <c r="CB66" s="684"/>
      <c r="CC66" s="684"/>
      <c r="CD66" s="684"/>
      <c r="CE66" s="684"/>
      <c r="CF66" s="684"/>
      <c r="CG66" s="684"/>
      <c r="CH66" s="684"/>
      <c r="CI66" s="684"/>
      <c r="CJ66" s="684"/>
      <c r="CK66" s="684"/>
      <c r="CL66" s="684"/>
      <c r="CM66" s="684"/>
      <c r="CN66" s="684"/>
      <c r="CO66" s="684"/>
      <c r="CP66" s="684"/>
      <c r="CQ66" s="684"/>
      <c r="CR66" s="684"/>
      <c r="CS66" s="684"/>
      <c r="CT66" s="684"/>
      <c r="CU66" s="684"/>
      <c r="CV66" s="684"/>
      <c r="CW66" s="684"/>
      <c r="CX66" s="684"/>
      <c r="CY66" s="684"/>
      <c r="CZ66" s="684"/>
      <c r="DA66" s="684"/>
      <c r="DB66" s="684"/>
      <c r="DC66" s="684"/>
      <c r="DD66" s="684"/>
      <c r="DE66" s="684"/>
      <c r="DF66" s="684"/>
      <c r="DG66" s="684"/>
      <c r="DH66" s="684"/>
      <c r="DI66" s="684"/>
      <c r="DJ66" s="684"/>
      <c r="DK66" s="684"/>
      <c r="DL66" s="684"/>
      <c r="DM66" s="684"/>
      <c r="DN66" s="684"/>
      <c r="DO66" s="684"/>
      <c r="DP66" s="684"/>
      <c r="DQ66" s="684"/>
      <c r="DR66" s="684"/>
      <c r="DS66" s="684"/>
      <c r="DT66" s="684"/>
      <c r="DU66" s="684"/>
      <c r="DV66" s="684"/>
      <c r="DW66" s="684"/>
      <c r="DX66" s="684"/>
      <c r="DY66" s="684"/>
      <c r="DZ66" s="684"/>
      <c r="EA66" s="684"/>
      <c r="EB66" s="684"/>
      <c r="EC66" s="684"/>
      <c r="ED66" s="684"/>
      <c r="EE66" s="684"/>
      <c r="EF66" s="684"/>
      <c r="EG66" s="684"/>
      <c r="EH66" s="684"/>
      <c r="EI66" s="684"/>
      <c r="EJ66" s="684"/>
      <c r="EK66" s="684"/>
      <c r="EL66" s="684"/>
      <c r="EM66" s="684"/>
      <c r="EN66" s="684"/>
      <c r="EO66" s="684"/>
      <c r="EP66" s="684"/>
      <c r="EQ66" s="684"/>
      <c r="ER66" s="684"/>
      <c r="ES66" s="684"/>
      <c r="ET66" s="684"/>
      <c r="EU66" s="684"/>
      <c r="EV66" s="684"/>
      <c r="EW66" s="684"/>
      <c r="EX66" s="684"/>
    </row>
    <row r="67" spans="1:154">
      <c r="A67" s="684"/>
      <c r="B67" s="684"/>
      <c r="C67" s="684"/>
      <c r="D67" s="684"/>
      <c r="E67" s="684"/>
      <c r="F67" s="684"/>
      <c r="G67" s="684"/>
      <c r="H67" s="684"/>
      <c r="I67" s="684"/>
      <c r="J67" s="697"/>
      <c r="K67" s="697"/>
      <c r="L67" s="684"/>
      <c r="M67" s="684"/>
      <c r="N67" s="684"/>
      <c r="O67" s="684"/>
      <c r="P67" s="684"/>
      <c r="Q67" s="684"/>
      <c r="R67" s="684"/>
      <c r="S67" s="684"/>
      <c r="T67" s="684"/>
      <c r="U67" s="684"/>
      <c r="V67" s="684"/>
      <c r="W67" s="684"/>
      <c r="X67" s="684"/>
      <c r="Y67" s="684"/>
      <c r="Z67" s="684"/>
      <c r="AA67" s="684"/>
      <c r="AB67" s="684"/>
      <c r="AC67" s="684"/>
      <c r="AD67" s="684"/>
      <c r="AE67" s="684"/>
      <c r="AF67" s="684"/>
      <c r="AG67" s="684"/>
      <c r="AH67" s="684"/>
      <c r="AI67" s="684"/>
      <c r="AJ67" s="684"/>
      <c r="AK67" s="684"/>
      <c r="AL67" s="684"/>
      <c r="AM67" s="684"/>
      <c r="AN67" s="684"/>
      <c r="AO67" s="684"/>
      <c r="AP67" s="684"/>
      <c r="AQ67" s="684"/>
      <c r="AR67" s="684"/>
      <c r="AS67" s="684"/>
      <c r="AT67" s="684"/>
      <c r="AU67" s="684"/>
      <c r="AV67" s="684"/>
      <c r="AW67" s="684"/>
      <c r="AX67" s="684"/>
      <c r="AY67" s="684"/>
      <c r="AZ67" s="684"/>
      <c r="BA67" s="684"/>
      <c r="BB67" s="684"/>
      <c r="BC67" s="684"/>
      <c r="BD67" s="684"/>
      <c r="BE67" s="684"/>
      <c r="BF67" s="684"/>
      <c r="BG67" s="684"/>
      <c r="BH67" s="684"/>
      <c r="BI67" s="684"/>
      <c r="BJ67" s="684"/>
      <c r="BK67" s="684"/>
      <c r="BL67" s="684"/>
      <c r="BM67" s="684"/>
      <c r="BN67" s="684"/>
      <c r="BO67" s="684"/>
      <c r="BP67" s="684"/>
      <c r="BQ67" s="684"/>
      <c r="BR67" s="684"/>
      <c r="BS67" s="684"/>
      <c r="BT67" s="684"/>
      <c r="BU67" s="684"/>
      <c r="BV67" s="684"/>
      <c r="BW67" s="684"/>
      <c r="BX67" s="684"/>
      <c r="BY67" s="684"/>
      <c r="BZ67" s="684"/>
      <c r="CA67" s="684"/>
      <c r="CB67" s="684"/>
      <c r="CC67" s="684"/>
      <c r="CD67" s="684"/>
      <c r="CE67" s="684"/>
      <c r="CF67" s="684"/>
      <c r="CG67" s="684"/>
      <c r="CH67" s="684"/>
      <c r="CI67" s="684"/>
      <c r="CJ67" s="684"/>
      <c r="CK67" s="684"/>
      <c r="CL67" s="684"/>
      <c r="CM67" s="684"/>
      <c r="CN67" s="684"/>
      <c r="CO67" s="684"/>
      <c r="CP67" s="684"/>
      <c r="CQ67" s="684"/>
      <c r="CR67" s="684"/>
      <c r="CS67" s="684"/>
      <c r="CT67" s="684"/>
      <c r="CU67" s="684"/>
      <c r="CV67" s="684"/>
      <c r="CW67" s="684"/>
      <c r="CX67" s="684"/>
      <c r="CY67" s="684"/>
      <c r="CZ67" s="684"/>
      <c r="DA67" s="684"/>
      <c r="DB67" s="684"/>
      <c r="DC67" s="684"/>
      <c r="DD67" s="684"/>
      <c r="DE67" s="684"/>
      <c r="DF67" s="684"/>
      <c r="DG67" s="684"/>
      <c r="DH67" s="684"/>
      <c r="DI67" s="684"/>
      <c r="DJ67" s="684"/>
      <c r="DK67" s="684"/>
      <c r="DL67" s="684"/>
      <c r="DM67" s="684"/>
      <c r="DN67" s="684"/>
      <c r="DO67" s="684"/>
      <c r="DP67" s="684"/>
      <c r="DQ67" s="684"/>
      <c r="DR67" s="684"/>
      <c r="DS67" s="684"/>
      <c r="DT67" s="684"/>
      <c r="DU67" s="684"/>
      <c r="DV67" s="684"/>
      <c r="DW67" s="684"/>
      <c r="DX67" s="684"/>
      <c r="DY67" s="684"/>
      <c r="DZ67" s="684"/>
      <c r="EA67" s="684"/>
      <c r="EB67" s="684"/>
      <c r="EC67" s="684"/>
      <c r="ED67" s="684"/>
      <c r="EE67" s="684"/>
      <c r="EF67" s="684"/>
      <c r="EG67" s="684"/>
      <c r="EH67" s="684"/>
      <c r="EI67" s="684"/>
      <c r="EJ67" s="684"/>
      <c r="EK67" s="684"/>
      <c r="EL67" s="684"/>
      <c r="EM67" s="684"/>
      <c r="EN67" s="684"/>
      <c r="EO67" s="684"/>
      <c r="EP67" s="684"/>
      <c r="EQ67" s="684"/>
      <c r="ER67" s="684"/>
      <c r="ES67" s="684"/>
      <c r="ET67" s="684"/>
      <c r="EU67" s="684"/>
      <c r="EV67" s="684"/>
      <c r="EW67" s="684"/>
      <c r="EX67" s="684"/>
    </row>
    <row r="68" spans="1:154">
      <c r="A68" s="684"/>
      <c r="B68" s="684"/>
      <c r="C68" s="684"/>
      <c r="D68" s="684"/>
      <c r="E68" s="684"/>
      <c r="F68" s="684"/>
      <c r="G68" s="684"/>
      <c r="H68" s="684"/>
      <c r="I68" s="684"/>
      <c r="J68" s="684"/>
      <c r="K68" s="684"/>
      <c r="L68" s="684"/>
      <c r="M68" s="684"/>
      <c r="N68" s="684"/>
      <c r="O68" s="684"/>
      <c r="P68" s="684"/>
      <c r="Q68" s="684"/>
      <c r="R68" s="684"/>
      <c r="S68" s="684"/>
      <c r="T68" s="684"/>
      <c r="U68" s="684"/>
      <c r="V68" s="684"/>
      <c r="W68" s="684"/>
      <c r="X68" s="684"/>
      <c r="Y68" s="684"/>
      <c r="Z68" s="684"/>
      <c r="AA68" s="684"/>
      <c r="AB68" s="684"/>
      <c r="AC68" s="684"/>
      <c r="AD68" s="684"/>
      <c r="AE68" s="684"/>
      <c r="AF68" s="684"/>
      <c r="AG68" s="684"/>
      <c r="AH68" s="684"/>
      <c r="AI68" s="684"/>
      <c r="AJ68" s="684"/>
      <c r="AK68" s="684"/>
      <c r="AL68" s="684"/>
      <c r="AM68" s="684"/>
      <c r="AN68" s="684"/>
      <c r="AO68" s="684"/>
      <c r="AP68" s="684"/>
      <c r="AQ68" s="684"/>
      <c r="AR68" s="684"/>
      <c r="AS68" s="684"/>
      <c r="AT68" s="684"/>
      <c r="AU68" s="684"/>
      <c r="AV68" s="684"/>
      <c r="AW68" s="684"/>
      <c r="AX68" s="684"/>
      <c r="AY68" s="684"/>
      <c r="AZ68" s="684"/>
      <c r="BA68" s="684"/>
      <c r="BB68" s="684"/>
      <c r="BC68" s="684"/>
      <c r="BD68" s="684"/>
      <c r="BE68" s="684"/>
      <c r="BF68" s="684"/>
      <c r="BG68" s="684"/>
      <c r="BH68" s="684"/>
      <c r="BI68" s="684"/>
      <c r="BJ68" s="684"/>
      <c r="BK68" s="684"/>
      <c r="BL68" s="684"/>
      <c r="BM68" s="684"/>
      <c r="BN68" s="684"/>
      <c r="BO68" s="684"/>
      <c r="BP68" s="684"/>
      <c r="BQ68" s="684"/>
      <c r="BR68" s="684"/>
      <c r="BS68" s="684"/>
      <c r="BT68" s="684"/>
      <c r="BU68" s="684"/>
      <c r="BV68" s="684"/>
      <c r="BW68" s="684"/>
      <c r="BX68" s="684"/>
      <c r="BY68" s="684"/>
      <c r="BZ68" s="684"/>
      <c r="CA68" s="684"/>
      <c r="CB68" s="684"/>
      <c r="CC68" s="684"/>
      <c r="CD68" s="684"/>
      <c r="CE68" s="684"/>
      <c r="CF68" s="684"/>
      <c r="CG68" s="684"/>
      <c r="CH68" s="684"/>
      <c r="CI68" s="684"/>
      <c r="CJ68" s="684"/>
      <c r="CK68" s="684"/>
      <c r="CL68" s="684"/>
      <c r="CM68" s="684"/>
      <c r="CN68" s="684"/>
      <c r="CO68" s="684"/>
      <c r="CP68" s="684"/>
      <c r="CQ68" s="684"/>
      <c r="CR68" s="684"/>
      <c r="CS68" s="684"/>
      <c r="CT68" s="684"/>
      <c r="CU68" s="684"/>
      <c r="CV68" s="684"/>
      <c r="CW68" s="684"/>
      <c r="CX68" s="684"/>
      <c r="CY68" s="684"/>
      <c r="CZ68" s="684"/>
      <c r="DA68" s="684"/>
      <c r="DB68" s="684"/>
      <c r="DC68" s="684"/>
      <c r="DD68" s="684"/>
      <c r="DE68" s="684"/>
      <c r="DF68" s="684"/>
      <c r="DG68" s="684"/>
      <c r="DH68" s="684"/>
      <c r="DI68" s="684"/>
      <c r="DJ68" s="684"/>
      <c r="DK68" s="684"/>
      <c r="DL68" s="684"/>
      <c r="DM68" s="684"/>
      <c r="DN68" s="684"/>
      <c r="DO68" s="684"/>
      <c r="DP68" s="684"/>
      <c r="DQ68" s="684"/>
      <c r="DR68" s="684"/>
      <c r="DS68" s="684"/>
      <c r="DT68" s="684"/>
      <c r="DU68" s="684"/>
      <c r="DV68" s="684"/>
      <c r="DW68" s="684"/>
      <c r="DX68" s="684"/>
      <c r="DY68" s="684"/>
      <c r="DZ68" s="684"/>
      <c r="EA68" s="684"/>
      <c r="EB68" s="684"/>
      <c r="EC68" s="684"/>
      <c r="ED68" s="684"/>
      <c r="EE68" s="684"/>
      <c r="EF68" s="684"/>
      <c r="EG68" s="684"/>
      <c r="EH68" s="684"/>
      <c r="EI68" s="684"/>
      <c r="EJ68" s="684"/>
      <c r="EK68" s="684"/>
      <c r="EL68" s="684"/>
      <c r="EM68" s="684"/>
      <c r="EN68" s="684"/>
      <c r="EO68" s="684"/>
      <c r="EP68" s="684"/>
      <c r="EQ68" s="684"/>
      <c r="ER68" s="684"/>
      <c r="ES68" s="684"/>
      <c r="ET68" s="684"/>
      <c r="EU68" s="684"/>
      <c r="EV68" s="684"/>
      <c r="EW68" s="684"/>
      <c r="EX68" s="684"/>
    </row>
    <row r="69" spans="1:154">
      <c r="A69" s="684"/>
      <c r="B69" s="684"/>
      <c r="C69" s="684"/>
      <c r="D69" s="684"/>
      <c r="E69" s="684"/>
      <c r="F69" s="684"/>
      <c r="G69" s="703"/>
      <c r="H69" s="703"/>
      <c r="I69" s="703"/>
      <c r="J69" s="703"/>
      <c r="K69" s="703"/>
      <c r="L69" s="703"/>
      <c r="M69" s="703"/>
      <c r="N69" s="703"/>
      <c r="O69" s="703"/>
      <c r="P69" s="684"/>
      <c r="Q69" s="684"/>
      <c r="R69" s="684"/>
      <c r="S69" s="684"/>
      <c r="T69" s="684"/>
      <c r="U69" s="684"/>
      <c r="V69" s="684"/>
      <c r="W69" s="684"/>
      <c r="X69" s="684"/>
      <c r="Y69" s="684"/>
      <c r="Z69" s="684"/>
      <c r="AA69" s="684"/>
      <c r="AB69" s="684"/>
      <c r="AC69" s="684"/>
      <c r="AD69" s="684"/>
      <c r="AE69" s="684"/>
      <c r="AF69" s="684"/>
      <c r="AG69" s="684"/>
      <c r="AH69" s="684"/>
      <c r="AI69" s="684"/>
      <c r="AJ69" s="684"/>
      <c r="AK69" s="684"/>
      <c r="AL69" s="684"/>
      <c r="AM69" s="684"/>
      <c r="AN69" s="684"/>
      <c r="AO69" s="684"/>
      <c r="AP69" s="684"/>
      <c r="AQ69" s="684"/>
      <c r="AR69" s="684"/>
      <c r="AS69" s="684"/>
      <c r="AT69" s="684"/>
      <c r="AU69" s="684"/>
      <c r="AV69" s="684"/>
      <c r="AW69" s="684"/>
      <c r="AX69" s="684"/>
      <c r="AY69" s="684"/>
      <c r="AZ69" s="684"/>
      <c r="BA69" s="684"/>
      <c r="BB69" s="684"/>
      <c r="BC69" s="684"/>
      <c r="BD69" s="684"/>
      <c r="BE69" s="684"/>
      <c r="BF69" s="684"/>
      <c r="BG69" s="684"/>
      <c r="BH69" s="684"/>
      <c r="BI69" s="684"/>
      <c r="BJ69" s="684"/>
      <c r="BK69" s="684"/>
      <c r="BL69" s="684"/>
      <c r="BM69" s="684"/>
      <c r="BN69" s="684"/>
      <c r="BO69" s="684"/>
      <c r="BP69" s="684"/>
      <c r="BQ69" s="684"/>
      <c r="BR69" s="684"/>
      <c r="BS69" s="684"/>
      <c r="BT69" s="684"/>
      <c r="BU69" s="684"/>
      <c r="BV69" s="684"/>
      <c r="BW69" s="684"/>
      <c r="BX69" s="684"/>
      <c r="BY69" s="684"/>
      <c r="BZ69" s="684"/>
      <c r="CA69" s="684"/>
      <c r="CB69" s="684"/>
      <c r="CC69" s="684"/>
      <c r="CD69" s="684"/>
      <c r="CE69" s="684"/>
      <c r="CF69" s="684"/>
      <c r="CG69" s="684"/>
      <c r="CH69" s="684"/>
      <c r="CI69" s="684"/>
      <c r="CJ69" s="684"/>
      <c r="CK69" s="684"/>
      <c r="CL69" s="684"/>
      <c r="CM69" s="684"/>
      <c r="CN69" s="684"/>
      <c r="CO69" s="684"/>
      <c r="CP69" s="684"/>
      <c r="CQ69" s="684"/>
      <c r="CR69" s="684"/>
      <c r="CS69" s="684"/>
      <c r="CT69" s="684"/>
      <c r="CU69" s="684"/>
      <c r="CV69" s="684"/>
      <c r="CW69" s="684"/>
      <c r="CX69" s="684"/>
      <c r="CY69" s="684"/>
      <c r="CZ69" s="684"/>
      <c r="DA69" s="684"/>
      <c r="DB69" s="684"/>
      <c r="DC69" s="684"/>
      <c r="DD69" s="684"/>
      <c r="DE69" s="684"/>
      <c r="DF69" s="684"/>
      <c r="DG69" s="684"/>
      <c r="DH69" s="684"/>
      <c r="DI69" s="684"/>
      <c r="DJ69" s="684"/>
      <c r="DK69" s="684"/>
      <c r="DL69" s="684"/>
      <c r="DM69" s="684"/>
      <c r="DN69" s="684"/>
      <c r="DO69" s="684"/>
      <c r="DP69" s="684"/>
      <c r="DQ69" s="684"/>
      <c r="DR69" s="684"/>
      <c r="DS69" s="684"/>
      <c r="DT69" s="684"/>
      <c r="DU69" s="684"/>
      <c r="DV69" s="684"/>
      <c r="DW69" s="684"/>
      <c r="DX69" s="684"/>
      <c r="DY69" s="684"/>
      <c r="DZ69" s="684"/>
      <c r="EA69" s="684"/>
      <c r="EB69" s="684"/>
      <c r="EC69" s="684"/>
      <c r="ED69" s="684"/>
      <c r="EE69" s="684"/>
      <c r="EF69" s="684"/>
      <c r="EG69" s="684"/>
      <c r="EH69" s="684"/>
      <c r="EI69" s="684"/>
      <c r="EJ69" s="684"/>
      <c r="EK69" s="684"/>
      <c r="EL69" s="684"/>
      <c r="EM69" s="684"/>
      <c r="EN69" s="684"/>
      <c r="EO69" s="684"/>
      <c r="EP69" s="684"/>
      <c r="EQ69" s="684"/>
      <c r="ER69" s="684"/>
      <c r="ES69" s="684"/>
      <c r="ET69" s="684"/>
      <c r="EU69" s="684"/>
      <c r="EV69" s="684"/>
      <c r="EW69" s="684"/>
      <c r="EX69" s="684"/>
    </row>
    <row r="70" spans="1:154">
      <c r="A70" s="684"/>
      <c r="B70" s="684"/>
      <c r="C70" s="684"/>
      <c r="D70" s="684"/>
      <c r="E70" s="684"/>
      <c r="F70" s="684"/>
      <c r="G70" s="703"/>
      <c r="H70" s="703"/>
      <c r="I70" s="703"/>
      <c r="J70" s="703"/>
      <c r="K70" s="703"/>
      <c r="L70" s="703"/>
      <c r="M70" s="703"/>
      <c r="N70" s="703"/>
      <c r="O70" s="703"/>
      <c r="P70" s="684"/>
      <c r="Q70" s="684"/>
      <c r="R70" s="684"/>
      <c r="S70" s="684"/>
      <c r="T70" s="684"/>
      <c r="U70" s="684"/>
      <c r="V70" s="684"/>
      <c r="W70" s="684"/>
      <c r="X70" s="684"/>
      <c r="Y70" s="684"/>
      <c r="Z70" s="684"/>
      <c r="AA70" s="684"/>
      <c r="AB70" s="684"/>
      <c r="AC70" s="684"/>
      <c r="AD70" s="684"/>
      <c r="AE70" s="684"/>
      <c r="AF70" s="684"/>
      <c r="AG70" s="684"/>
      <c r="AH70" s="684"/>
      <c r="AI70" s="684"/>
      <c r="AJ70" s="684"/>
      <c r="AK70" s="684"/>
      <c r="AL70" s="684"/>
      <c r="AM70" s="684"/>
      <c r="AN70" s="684"/>
      <c r="AO70" s="684"/>
      <c r="AP70" s="684"/>
      <c r="AQ70" s="684"/>
      <c r="AR70" s="684"/>
      <c r="AS70" s="684"/>
      <c r="AT70" s="684"/>
      <c r="AU70" s="684"/>
      <c r="AV70" s="684"/>
      <c r="AW70" s="684"/>
      <c r="AX70" s="684"/>
      <c r="AY70" s="684"/>
      <c r="AZ70" s="684"/>
      <c r="BA70" s="684"/>
      <c r="BB70" s="684"/>
      <c r="BC70" s="684"/>
      <c r="BD70" s="684"/>
      <c r="BE70" s="684"/>
      <c r="BF70" s="684"/>
      <c r="BG70" s="684"/>
      <c r="BH70" s="684"/>
      <c r="BI70" s="684"/>
      <c r="BJ70" s="684"/>
      <c r="BK70" s="684"/>
      <c r="BL70" s="684"/>
      <c r="BM70" s="684"/>
      <c r="BN70" s="684"/>
      <c r="BO70" s="684"/>
      <c r="BP70" s="684"/>
      <c r="BQ70" s="684"/>
      <c r="BR70" s="684"/>
      <c r="BS70" s="684"/>
      <c r="BT70" s="684"/>
      <c r="BU70" s="684"/>
      <c r="BV70" s="684"/>
      <c r="BW70" s="684"/>
      <c r="BX70" s="684"/>
      <c r="BY70" s="684"/>
      <c r="BZ70" s="684"/>
      <c r="CA70" s="684"/>
      <c r="CB70" s="684"/>
      <c r="CC70" s="684"/>
      <c r="CD70" s="684"/>
      <c r="CE70" s="684"/>
      <c r="CF70" s="684"/>
      <c r="CG70" s="684"/>
      <c r="CH70" s="684"/>
      <c r="CI70" s="684"/>
      <c r="CJ70" s="684"/>
      <c r="CK70" s="684"/>
      <c r="CL70" s="684"/>
      <c r="CM70" s="684"/>
      <c r="CN70" s="684"/>
      <c r="CO70" s="684"/>
      <c r="CP70" s="684"/>
      <c r="CQ70" s="684"/>
      <c r="CR70" s="684"/>
      <c r="CS70" s="684"/>
      <c r="CT70" s="684"/>
      <c r="CU70" s="684"/>
      <c r="CV70" s="684"/>
      <c r="CW70" s="684"/>
      <c r="CX70" s="684"/>
      <c r="CY70" s="684"/>
      <c r="CZ70" s="684"/>
      <c r="DA70" s="684"/>
      <c r="DB70" s="684"/>
      <c r="DC70" s="684"/>
      <c r="DD70" s="684"/>
      <c r="DE70" s="684"/>
      <c r="DF70" s="684"/>
      <c r="DG70" s="684"/>
      <c r="DH70" s="684"/>
      <c r="DI70" s="684"/>
      <c r="DJ70" s="684"/>
      <c r="DK70" s="684"/>
      <c r="DL70" s="684"/>
      <c r="DM70" s="684"/>
      <c r="DN70" s="684"/>
      <c r="DO70" s="684"/>
      <c r="DP70" s="684"/>
      <c r="DQ70" s="684"/>
      <c r="DR70" s="684"/>
      <c r="DS70" s="684"/>
      <c r="DT70" s="684"/>
      <c r="DU70" s="684"/>
      <c r="DV70" s="684"/>
      <c r="DW70" s="684"/>
      <c r="DX70" s="684"/>
      <c r="DY70" s="684"/>
      <c r="DZ70" s="684"/>
      <c r="EA70" s="684"/>
      <c r="EB70" s="684"/>
      <c r="EC70" s="684"/>
      <c r="ED70" s="684"/>
      <c r="EE70" s="684"/>
      <c r="EF70" s="684"/>
      <c r="EG70" s="684"/>
      <c r="EH70" s="684"/>
      <c r="EI70" s="684"/>
      <c r="EJ70" s="684"/>
      <c r="EK70" s="684"/>
      <c r="EL70" s="684"/>
      <c r="EM70" s="684"/>
      <c r="EN70" s="684"/>
      <c r="EO70" s="684"/>
      <c r="EP70" s="684"/>
      <c r="EQ70" s="684"/>
      <c r="ER70" s="684"/>
      <c r="ES70" s="684"/>
      <c r="ET70" s="684"/>
      <c r="EU70" s="684"/>
      <c r="EV70" s="684"/>
      <c r="EW70" s="684"/>
      <c r="EX70" s="684"/>
    </row>
    <row r="71" spans="1:154">
      <c r="A71" s="684"/>
      <c r="B71" s="684"/>
      <c r="C71" s="684"/>
      <c r="D71" s="684"/>
      <c r="E71" s="684"/>
      <c r="F71" s="684"/>
      <c r="G71" s="703"/>
      <c r="H71" s="703"/>
      <c r="I71" s="703"/>
      <c r="J71" s="703"/>
      <c r="K71" s="703"/>
      <c r="L71" s="703"/>
      <c r="M71" s="703"/>
      <c r="N71" s="703"/>
      <c r="O71" s="703"/>
      <c r="P71" s="684"/>
      <c r="Q71" s="684"/>
      <c r="R71" s="684"/>
      <c r="S71" s="684"/>
      <c r="T71" s="684"/>
      <c r="U71" s="684"/>
      <c r="V71" s="684"/>
      <c r="W71" s="684"/>
      <c r="X71" s="684"/>
      <c r="Y71" s="684"/>
      <c r="Z71" s="684"/>
      <c r="AA71" s="684"/>
      <c r="AB71" s="684"/>
      <c r="AC71" s="684"/>
      <c r="AD71" s="684"/>
      <c r="AE71" s="684"/>
      <c r="AF71" s="684"/>
      <c r="AG71" s="684"/>
      <c r="AH71" s="684"/>
      <c r="AI71" s="684"/>
      <c r="AJ71" s="684"/>
      <c r="AK71" s="684"/>
      <c r="AL71" s="684"/>
      <c r="AM71" s="684"/>
      <c r="AN71" s="684"/>
      <c r="AO71" s="684"/>
      <c r="AP71" s="684"/>
      <c r="AQ71" s="684"/>
      <c r="AR71" s="684"/>
      <c r="AS71" s="684"/>
      <c r="AT71" s="684"/>
      <c r="AU71" s="684"/>
      <c r="AV71" s="684"/>
      <c r="AW71" s="684"/>
      <c r="AX71" s="684"/>
      <c r="AY71" s="684"/>
      <c r="AZ71" s="684"/>
      <c r="BA71" s="684"/>
      <c r="BB71" s="684"/>
      <c r="BC71" s="684"/>
      <c r="BD71" s="684"/>
      <c r="BE71" s="684"/>
      <c r="BF71" s="684"/>
      <c r="BG71" s="684"/>
      <c r="BH71" s="684"/>
      <c r="BI71" s="684"/>
      <c r="BJ71" s="684"/>
      <c r="BK71" s="684"/>
      <c r="BL71" s="684"/>
      <c r="BM71" s="684"/>
      <c r="BN71" s="684"/>
      <c r="BO71" s="684"/>
      <c r="BP71" s="684"/>
      <c r="BQ71" s="684"/>
      <c r="BR71" s="684"/>
      <c r="BS71" s="684"/>
      <c r="BT71" s="684"/>
      <c r="BU71" s="684"/>
      <c r="BV71" s="684"/>
      <c r="BW71" s="684"/>
      <c r="BX71" s="684"/>
      <c r="BY71" s="684"/>
      <c r="BZ71" s="684"/>
      <c r="CA71" s="684"/>
      <c r="CB71" s="684"/>
      <c r="CC71" s="684"/>
      <c r="CD71" s="684"/>
      <c r="CE71" s="684"/>
      <c r="CF71" s="684"/>
      <c r="CG71" s="684"/>
      <c r="CH71" s="684"/>
      <c r="CI71" s="684"/>
      <c r="CJ71" s="684"/>
      <c r="CK71" s="684"/>
      <c r="CL71" s="684"/>
      <c r="CM71" s="684"/>
      <c r="CN71" s="684"/>
      <c r="CO71" s="684"/>
      <c r="CP71" s="684"/>
      <c r="CQ71" s="684"/>
      <c r="CR71" s="684"/>
      <c r="CS71" s="684"/>
      <c r="CT71" s="684"/>
      <c r="CU71" s="684"/>
      <c r="CV71" s="684"/>
      <c r="CW71" s="684"/>
      <c r="CX71" s="684"/>
      <c r="CY71" s="684"/>
      <c r="CZ71" s="684"/>
      <c r="DA71" s="684"/>
      <c r="DB71" s="684"/>
      <c r="DC71" s="684"/>
      <c r="DD71" s="684"/>
      <c r="DE71" s="684"/>
      <c r="DF71" s="684"/>
      <c r="DG71" s="684"/>
      <c r="DH71" s="684"/>
      <c r="DI71" s="684"/>
      <c r="DJ71" s="684"/>
      <c r="DK71" s="684"/>
      <c r="DL71" s="684"/>
      <c r="DM71" s="684"/>
      <c r="DN71" s="684"/>
      <c r="DO71" s="684"/>
      <c r="DP71" s="684"/>
      <c r="DQ71" s="684"/>
      <c r="DR71" s="684"/>
      <c r="DS71" s="684"/>
      <c r="DT71" s="684"/>
      <c r="DU71" s="684"/>
      <c r="DV71" s="684"/>
      <c r="DW71" s="684"/>
      <c r="DX71" s="684"/>
      <c r="DY71" s="684"/>
      <c r="DZ71" s="684"/>
      <c r="EA71" s="684"/>
      <c r="EB71" s="684"/>
      <c r="EC71" s="684"/>
      <c r="ED71" s="684"/>
      <c r="EE71" s="684"/>
      <c r="EF71" s="684"/>
      <c r="EG71" s="684"/>
      <c r="EH71" s="684"/>
      <c r="EI71" s="684"/>
      <c r="EJ71" s="684"/>
      <c r="EK71" s="684"/>
      <c r="EL71" s="684"/>
      <c r="EM71" s="684"/>
      <c r="EN71" s="684"/>
      <c r="EO71" s="684"/>
      <c r="EP71" s="684"/>
      <c r="EQ71" s="684"/>
      <c r="ER71" s="684"/>
      <c r="ES71" s="684"/>
      <c r="ET71" s="684"/>
      <c r="EU71" s="684"/>
      <c r="EV71" s="684"/>
      <c r="EW71" s="684"/>
      <c r="EX71" s="684"/>
    </row>
    <row r="72" spans="1:154">
      <c r="A72" s="684"/>
      <c r="B72" s="684"/>
      <c r="C72" s="684"/>
      <c r="D72" s="684"/>
      <c r="E72" s="684"/>
      <c r="F72" s="684"/>
      <c r="G72" s="703"/>
      <c r="H72" s="703"/>
      <c r="I72" s="703"/>
      <c r="J72" s="703"/>
      <c r="K72" s="703"/>
      <c r="L72" s="703"/>
      <c r="M72" s="703"/>
      <c r="N72" s="703"/>
      <c r="O72" s="703"/>
      <c r="P72" s="684"/>
      <c r="Q72" s="684"/>
      <c r="R72" s="684"/>
      <c r="S72" s="684"/>
      <c r="T72" s="684"/>
      <c r="U72" s="684"/>
      <c r="V72" s="684"/>
      <c r="W72" s="684"/>
      <c r="X72" s="684"/>
      <c r="Y72" s="684"/>
      <c r="Z72" s="684"/>
      <c r="AA72" s="684"/>
      <c r="AB72" s="684"/>
      <c r="AC72" s="684"/>
      <c r="AD72" s="684"/>
      <c r="AE72" s="684"/>
      <c r="AF72" s="684"/>
      <c r="AG72" s="684"/>
      <c r="AH72" s="684"/>
      <c r="AI72" s="684"/>
      <c r="AJ72" s="684"/>
      <c r="AK72" s="684"/>
      <c r="AL72" s="684"/>
      <c r="AM72" s="684"/>
      <c r="AN72" s="684"/>
      <c r="AO72" s="684"/>
      <c r="AP72" s="684"/>
      <c r="AQ72" s="684"/>
      <c r="AR72" s="684"/>
      <c r="AS72" s="684"/>
      <c r="AT72" s="684"/>
      <c r="AU72" s="684"/>
      <c r="AV72" s="684"/>
      <c r="AW72" s="684"/>
      <c r="AX72" s="684"/>
      <c r="AY72" s="684"/>
      <c r="AZ72" s="684"/>
      <c r="BA72" s="684"/>
      <c r="BB72" s="684"/>
      <c r="BC72" s="684"/>
      <c r="BD72" s="684"/>
      <c r="BE72" s="684"/>
      <c r="BF72" s="684"/>
      <c r="BG72" s="684"/>
      <c r="BH72" s="684"/>
      <c r="BI72" s="684"/>
      <c r="BJ72" s="684"/>
      <c r="BK72" s="684"/>
      <c r="BL72" s="684"/>
      <c r="BM72" s="684"/>
      <c r="BN72" s="684"/>
      <c r="BO72" s="684"/>
      <c r="BP72" s="684"/>
      <c r="BQ72" s="684"/>
      <c r="BR72" s="684"/>
      <c r="BS72" s="684"/>
      <c r="BT72" s="684"/>
      <c r="BU72" s="684"/>
      <c r="BV72" s="684"/>
      <c r="BW72" s="684"/>
      <c r="BX72" s="684"/>
      <c r="BY72" s="684"/>
      <c r="BZ72" s="684"/>
      <c r="CA72" s="684"/>
      <c r="CB72" s="684"/>
      <c r="CC72" s="684"/>
      <c r="CD72" s="684"/>
      <c r="CE72" s="684"/>
      <c r="CF72" s="684"/>
      <c r="CG72" s="684"/>
      <c r="CH72" s="684"/>
      <c r="CI72" s="684"/>
      <c r="CJ72" s="684"/>
      <c r="CK72" s="684"/>
      <c r="CL72" s="684"/>
      <c r="CM72" s="684"/>
      <c r="CN72" s="684"/>
      <c r="CO72" s="684"/>
      <c r="CP72" s="684"/>
      <c r="CQ72" s="684"/>
      <c r="CR72" s="684"/>
      <c r="CS72" s="684"/>
      <c r="CT72" s="684"/>
      <c r="CU72" s="684"/>
      <c r="CV72" s="684"/>
      <c r="CW72" s="684"/>
      <c r="CX72" s="684"/>
      <c r="CY72" s="684"/>
      <c r="CZ72" s="684"/>
      <c r="DA72" s="684"/>
      <c r="DB72" s="684"/>
      <c r="DC72" s="684"/>
      <c r="DD72" s="684"/>
      <c r="DE72" s="684"/>
      <c r="DF72" s="684"/>
      <c r="DG72" s="684"/>
      <c r="DH72" s="684"/>
      <c r="DI72" s="684"/>
      <c r="DJ72" s="684"/>
      <c r="DK72" s="684"/>
      <c r="DL72" s="684"/>
      <c r="DM72" s="684"/>
      <c r="DN72" s="684"/>
      <c r="DO72" s="684"/>
      <c r="DP72" s="684"/>
      <c r="DQ72" s="684"/>
      <c r="DR72" s="684"/>
      <c r="DS72" s="684"/>
      <c r="DT72" s="684"/>
      <c r="DU72" s="684"/>
      <c r="DV72" s="684"/>
      <c r="DW72" s="684"/>
      <c r="DX72" s="684"/>
      <c r="DY72" s="684"/>
      <c r="DZ72" s="684"/>
      <c r="EA72" s="684"/>
      <c r="EB72" s="684"/>
      <c r="EC72" s="684"/>
      <c r="ED72" s="684"/>
      <c r="EE72" s="684"/>
      <c r="EF72" s="684"/>
      <c r="EG72" s="684"/>
      <c r="EH72" s="684"/>
      <c r="EI72" s="684"/>
      <c r="EJ72" s="684"/>
      <c r="EK72" s="684"/>
      <c r="EL72" s="684"/>
      <c r="EM72" s="684"/>
      <c r="EN72" s="684"/>
      <c r="EO72" s="684"/>
      <c r="EP72" s="684"/>
      <c r="EQ72" s="684"/>
      <c r="ER72" s="684"/>
      <c r="ES72" s="684"/>
      <c r="ET72" s="684"/>
      <c r="EU72" s="684"/>
      <c r="EV72" s="684"/>
      <c r="EW72" s="684"/>
      <c r="EX72" s="684"/>
    </row>
    <row r="73" spans="1:154">
      <c r="A73" s="684"/>
      <c r="B73" s="684"/>
      <c r="C73" s="684"/>
      <c r="D73" s="684"/>
      <c r="E73" s="684"/>
      <c r="F73" s="684"/>
      <c r="G73" s="703"/>
      <c r="H73" s="703"/>
      <c r="I73" s="703"/>
      <c r="J73" s="703"/>
      <c r="K73" s="703"/>
      <c r="L73" s="703"/>
      <c r="M73" s="703"/>
      <c r="N73" s="703"/>
      <c r="O73" s="703"/>
      <c r="P73" s="684"/>
      <c r="Q73" s="684"/>
      <c r="R73" s="684"/>
      <c r="S73" s="684"/>
      <c r="T73" s="684"/>
      <c r="U73" s="684"/>
      <c r="V73" s="684"/>
      <c r="W73" s="684"/>
      <c r="X73" s="684"/>
      <c r="Y73" s="684"/>
      <c r="Z73" s="684"/>
      <c r="AA73" s="684"/>
      <c r="AB73" s="684"/>
      <c r="AC73" s="684"/>
      <c r="AD73" s="684"/>
      <c r="AE73" s="684"/>
      <c r="AF73" s="684"/>
      <c r="AG73" s="684"/>
      <c r="AH73" s="684"/>
      <c r="AI73" s="684"/>
      <c r="AJ73" s="684"/>
      <c r="AK73" s="684"/>
      <c r="AL73" s="684"/>
      <c r="AM73" s="684"/>
      <c r="AN73" s="684"/>
      <c r="AO73" s="684"/>
      <c r="AP73" s="684"/>
      <c r="AQ73" s="684"/>
      <c r="AR73" s="684"/>
      <c r="AS73" s="684"/>
      <c r="AT73" s="684"/>
      <c r="AU73" s="684"/>
      <c r="AV73" s="684"/>
      <c r="AW73" s="684"/>
      <c r="AX73" s="684"/>
      <c r="AY73" s="684"/>
      <c r="AZ73" s="684"/>
      <c r="BA73" s="684"/>
      <c r="BB73" s="684"/>
      <c r="BC73" s="684"/>
      <c r="BD73" s="684"/>
      <c r="BE73" s="684"/>
      <c r="BF73" s="684"/>
      <c r="BG73" s="684"/>
      <c r="BH73" s="684"/>
      <c r="BI73" s="684"/>
      <c r="BJ73" s="684"/>
      <c r="BK73" s="684"/>
      <c r="BL73" s="684"/>
      <c r="BM73" s="684"/>
      <c r="BN73" s="684"/>
      <c r="BO73" s="684"/>
      <c r="BP73" s="684"/>
      <c r="BQ73" s="684"/>
      <c r="BR73" s="684"/>
      <c r="BS73" s="684"/>
      <c r="BT73" s="684"/>
      <c r="BU73" s="684"/>
      <c r="BV73" s="684"/>
      <c r="BW73" s="684"/>
      <c r="BX73" s="684"/>
      <c r="BY73" s="684"/>
      <c r="BZ73" s="684"/>
      <c r="CA73" s="684"/>
      <c r="CB73" s="684"/>
      <c r="CC73" s="684"/>
      <c r="CD73" s="684"/>
      <c r="CE73" s="684"/>
      <c r="CF73" s="684"/>
      <c r="CG73" s="684"/>
      <c r="CH73" s="684"/>
      <c r="CI73" s="684"/>
      <c r="CJ73" s="684"/>
      <c r="CK73" s="684"/>
      <c r="CL73" s="684"/>
      <c r="CM73" s="684"/>
      <c r="CN73" s="684"/>
      <c r="CO73" s="684"/>
      <c r="CP73" s="684"/>
      <c r="CQ73" s="684"/>
      <c r="CR73" s="684"/>
      <c r="CS73" s="684"/>
      <c r="CT73" s="684"/>
      <c r="CU73" s="684"/>
      <c r="CV73" s="684"/>
      <c r="CW73" s="684"/>
      <c r="CX73" s="684"/>
      <c r="CY73" s="684"/>
      <c r="CZ73" s="684"/>
      <c r="DA73" s="684"/>
      <c r="DB73" s="684"/>
      <c r="DC73" s="684"/>
      <c r="DD73" s="684"/>
      <c r="DE73" s="684"/>
      <c r="DF73" s="684"/>
      <c r="DG73" s="684"/>
      <c r="DH73" s="684"/>
      <c r="DI73" s="684"/>
      <c r="DJ73" s="684"/>
      <c r="DK73" s="684"/>
      <c r="DL73" s="684"/>
      <c r="DM73" s="684"/>
      <c r="DN73" s="684"/>
      <c r="DO73" s="684"/>
      <c r="DP73" s="684"/>
      <c r="DQ73" s="684"/>
      <c r="DR73" s="684"/>
      <c r="DS73" s="684"/>
      <c r="DT73" s="684"/>
      <c r="DU73" s="684"/>
      <c r="DV73" s="684"/>
      <c r="DW73" s="684"/>
      <c r="DX73" s="684"/>
      <c r="DY73" s="684"/>
      <c r="DZ73" s="684"/>
      <c r="EA73" s="684"/>
      <c r="EB73" s="684"/>
      <c r="EC73" s="684"/>
      <c r="ED73" s="684"/>
      <c r="EE73" s="684"/>
      <c r="EF73" s="684"/>
      <c r="EG73" s="684"/>
      <c r="EH73" s="684"/>
      <c r="EI73" s="684"/>
      <c r="EJ73" s="684"/>
      <c r="EK73" s="684"/>
      <c r="EL73" s="684"/>
      <c r="EM73" s="684"/>
      <c r="EN73" s="684"/>
      <c r="EO73" s="684"/>
      <c r="EP73" s="684"/>
      <c r="EQ73" s="684"/>
      <c r="ER73" s="684"/>
      <c r="ES73" s="684"/>
      <c r="ET73" s="684"/>
      <c r="EU73" s="684"/>
      <c r="EV73" s="684"/>
      <c r="EW73" s="684"/>
      <c r="EX73" s="684"/>
    </row>
    <row r="74" spans="1:154">
      <c r="A74" s="684"/>
      <c r="B74" s="684"/>
      <c r="C74" s="684"/>
      <c r="D74" s="684"/>
      <c r="E74" s="684"/>
      <c r="F74" s="684"/>
      <c r="G74" s="684"/>
      <c r="H74" s="684"/>
      <c r="I74" s="684"/>
      <c r="J74" s="684"/>
      <c r="K74" s="684"/>
      <c r="L74" s="684"/>
      <c r="M74" s="684"/>
      <c r="N74" s="684"/>
      <c r="O74" s="684"/>
      <c r="P74" s="684"/>
      <c r="Q74" s="684"/>
      <c r="R74" s="684"/>
      <c r="S74" s="684"/>
      <c r="T74" s="684"/>
      <c r="U74" s="684"/>
      <c r="V74" s="684"/>
      <c r="W74" s="684"/>
      <c r="X74" s="684"/>
      <c r="Y74" s="684"/>
      <c r="Z74" s="684"/>
      <c r="AA74" s="684"/>
      <c r="AB74" s="684"/>
      <c r="AC74" s="684"/>
      <c r="AD74" s="684"/>
      <c r="AE74" s="684"/>
      <c r="AF74" s="684"/>
      <c r="AG74" s="684"/>
      <c r="AH74" s="684"/>
      <c r="AI74" s="684"/>
      <c r="AJ74" s="684"/>
      <c r="AK74" s="684"/>
      <c r="AL74" s="684"/>
      <c r="AM74" s="684"/>
      <c r="AN74" s="684"/>
      <c r="AO74" s="684"/>
      <c r="AP74" s="684"/>
      <c r="AQ74" s="684"/>
      <c r="AR74" s="684"/>
      <c r="AS74" s="684"/>
      <c r="AT74" s="684"/>
      <c r="AU74" s="684"/>
      <c r="AV74" s="684"/>
      <c r="AW74" s="684"/>
      <c r="AX74" s="684"/>
      <c r="AY74" s="684"/>
      <c r="AZ74" s="684"/>
      <c r="BA74" s="684"/>
      <c r="BB74" s="684"/>
      <c r="BC74" s="684"/>
      <c r="BD74" s="684"/>
      <c r="BE74" s="684"/>
      <c r="BF74" s="684"/>
      <c r="BG74" s="684"/>
      <c r="BH74" s="684"/>
      <c r="BI74" s="684"/>
      <c r="BJ74" s="684"/>
      <c r="BK74" s="684"/>
      <c r="BL74" s="684"/>
      <c r="BM74" s="684"/>
      <c r="BN74" s="684"/>
      <c r="BO74" s="684"/>
      <c r="BP74" s="684"/>
      <c r="BQ74" s="684"/>
      <c r="BR74" s="684"/>
      <c r="BS74" s="684"/>
      <c r="BT74" s="684"/>
      <c r="BU74" s="684"/>
      <c r="BV74" s="684"/>
      <c r="BW74" s="684"/>
      <c r="BX74" s="684"/>
      <c r="BY74" s="684"/>
      <c r="BZ74" s="684"/>
      <c r="CA74" s="684"/>
      <c r="CB74" s="684"/>
      <c r="CC74" s="684"/>
      <c r="CD74" s="684"/>
      <c r="CE74" s="684"/>
      <c r="CF74" s="684"/>
      <c r="CG74" s="684"/>
      <c r="CH74" s="684"/>
      <c r="CI74" s="684"/>
      <c r="CJ74" s="684"/>
      <c r="CK74" s="684"/>
      <c r="CL74" s="684"/>
      <c r="CM74" s="684"/>
      <c r="CN74" s="684"/>
      <c r="CO74" s="684"/>
      <c r="CP74" s="684"/>
      <c r="CQ74" s="684"/>
      <c r="CR74" s="684"/>
      <c r="CS74" s="684"/>
      <c r="CT74" s="684"/>
      <c r="CU74" s="684"/>
      <c r="CV74" s="684"/>
      <c r="CW74" s="684"/>
      <c r="CX74" s="684"/>
      <c r="CY74" s="684"/>
      <c r="CZ74" s="684"/>
      <c r="DA74" s="684"/>
      <c r="DB74" s="684"/>
      <c r="DC74" s="684"/>
      <c r="DD74" s="684"/>
      <c r="DE74" s="684"/>
      <c r="DF74" s="684"/>
      <c r="DG74" s="684"/>
      <c r="DH74" s="684"/>
      <c r="DI74" s="684"/>
      <c r="DJ74" s="684"/>
      <c r="DK74" s="684"/>
      <c r="DL74" s="684"/>
      <c r="DM74" s="684"/>
      <c r="DN74" s="684"/>
      <c r="DO74" s="684"/>
      <c r="DP74" s="684"/>
      <c r="DQ74" s="684"/>
      <c r="DR74" s="684"/>
      <c r="DS74" s="684"/>
      <c r="DT74" s="684"/>
      <c r="DU74" s="684"/>
      <c r="DV74" s="684"/>
      <c r="DW74" s="684"/>
      <c r="DX74" s="684"/>
      <c r="DY74" s="684"/>
      <c r="DZ74" s="684"/>
      <c r="EA74" s="684"/>
      <c r="EB74" s="684"/>
      <c r="EC74" s="684"/>
      <c r="ED74" s="684"/>
      <c r="EE74" s="684"/>
      <c r="EF74" s="684"/>
      <c r="EG74" s="684"/>
      <c r="EH74" s="684"/>
      <c r="EI74" s="684"/>
      <c r="EJ74" s="684"/>
      <c r="EK74" s="684"/>
      <c r="EL74" s="684"/>
      <c r="EM74" s="684"/>
      <c r="EN74" s="684"/>
      <c r="EO74" s="684"/>
      <c r="EP74" s="684"/>
      <c r="EQ74" s="684"/>
      <c r="ER74" s="684"/>
      <c r="ES74" s="684"/>
      <c r="ET74" s="684"/>
      <c r="EU74" s="684"/>
      <c r="EV74" s="684"/>
      <c r="EW74" s="684"/>
      <c r="EX74" s="684"/>
    </row>
    <row r="75" spans="1:154">
      <c r="A75" s="684"/>
      <c r="B75" s="684"/>
      <c r="C75" s="684"/>
      <c r="D75" s="684"/>
      <c r="E75" s="684"/>
      <c r="F75" s="684"/>
      <c r="G75" s="684"/>
      <c r="H75" s="684"/>
      <c r="I75" s="684"/>
      <c r="J75" s="684"/>
      <c r="K75" s="684"/>
      <c r="L75" s="684"/>
      <c r="M75" s="684"/>
      <c r="N75" s="684"/>
      <c r="O75" s="684"/>
      <c r="P75" s="684"/>
      <c r="Q75" s="684"/>
      <c r="R75" s="684"/>
      <c r="S75" s="684"/>
      <c r="T75" s="684"/>
      <c r="U75" s="684"/>
      <c r="V75" s="684"/>
      <c r="W75" s="684"/>
      <c r="X75" s="684"/>
      <c r="Y75" s="684"/>
      <c r="Z75" s="684"/>
      <c r="AA75" s="684"/>
      <c r="AB75" s="684"/>
      <c r="AC75" s="684"/>
      <c r="AD75" s="684"/>
      <c r="AE75" s="684"/>
      <c r="AF75" s="684"/>
      <c r="AG75" s="684"/>
      <c r="AH75" s="684"/>
      <c r="AI75" s="684"/>
      <c r="AJ75" s="684"/>
      <c r="AK75" s="684"/>
      <c r="AL75" s="684"/>
      <c r="AM75" s="684"/>
      <c r="AN75" s="684"/>
      <c r="AO75" s="684"/>
      <c r="AP75" s="684"/>
      <c r="AQ75" s="684"/>
      <c r="AR75" s="684"/>
      <c r="AS75" s="684"/>
      <c r="AT75" s="684"/>
      <c r="AU75" s="684"/>
      <c r="AV75" s="684"/>
      <c r="AW75" s="684"/>
      <c r="AX75" s="684"/>
      <c r="AY75" s="684"/>
      <c r="AZ75" s="684"/>
      <c r="BA75" s="684"/>
      <c r="BB75" s="684"/>
      <c r="BC75" s="684"/>
      <c r="BD75" s="684"/>
      <c r="BE75" s="684"/>
      <c r="BF75" s="684"/>
      <c r="BG75" s="684"/>
      <c r="BH75" s="684"/>
      <c r="BI75" s="684"/>
      <c r="BJ75" s="684"/>
      <c r="BK75" s="684"/>
      <c r="BL75" s="684"/>
      <c r="BM75" s="684"/>
      <c r="BN75" s="684"/>
      <c r="BO75" s="684"/>
      <c r="BP75" s="684"/>
      <c r="BQ75" s="684"/>
      <c r="BR75" s="684"/>
      <c r="BS75" s="684"/>
      <c r="BT75" s="684"/>
      <c r="BU75" s="684"/>
      <c r="BV75" s="684"/>
      <c r="BW75" s="684"/>
      <c r="BX75" s="684"/>
      <c r="BY75" s="684"/>
      <c r="BZ75" s="684"/>
      <c r="CA75" s="684"/>
      <c r="CB75" s="684"/>
      <c r="CC75" s="684"/>
      <c r="CD75" s="684"/>
      <c r="CE75" s="684"/>
      <c r="CF75" s="684"/>
      <c r="CG75" s="684"/>
      <c r="CH75" s="684"/>
      <c r="CI75" s="684"/>
      <c r="CJ75" s="684"/>
      <c r="CK75" s="684"/>
      <c r="CL75" s="684"/>
      <c r="CM75" s="684"/>
      <c r="CN75" s="684"/>
      <c r="CO75" s="684"/>
      <c r="CP75" s="684"/>
      <c r="CQ75" s="684"/>
      <c r="CR75" s="684"/>
      <c r="CS75" s="684"/>
      <c r="CT75" s="684"/>
      <c r="CU75" s="684"/>
      <c r="CV75" s="684"/>
      <c r="CW75" s="684"/>
      <c r="CX75" s="684"/>
      <c r="CY75" s="684"/>
      <c r="CZ75" s="684"/>
      <c r="DA75" s="684"/>
      <c r="DB75" s="684"/>
      <c r="DC75" s="684"/>
      <c r="DD75" s="684"/>
      <c r="DE75" s="684"/>
      <c r="DF75" s="684"/>
      <c r="DG75" s="684"/>
      <c r="DH75" s="684"/>
      <c r="DI75" s="684"/>
      <c r="DJ75" s="684"/>
      <c r="DK75" s="684"/>
      <c r="DL75" s="684"/>
      <c r="DM75" s="684"/>
      <c r="DN75" s="684"/>
      <c r="DO75" s="684"/>
      <c r="DP75" s="684"/>
      <c r="DQ75" s="684"/>
      <c r="DR75" s="684"/>
      <c r="DS75" s="684"/>
      <c r="DT75" s="684"/>
      <c r="DU75" s="684"/>
      <c r="DV75" s="684"/>
      <c r="DW75" s="684"/>
      <c r="DX75" s="684"/>
      <c r="DY75" s="684"/>
      <c r="DZ75" s="684"/>
      <c r="EA75" s="684"/>
      <c r="EB75" s="684"/>
      <c r="EC75" s="684"/>
      <c r="ED75" s="684"/>
      <c r="EE75" s="684"/>
      <c r="EF75" s="684"/>
      <c r="EG75" s="684"/>
      <c r="EH75" s="684"/>
      <c r="EI75" s="684"/>
      <c r="EJ75" s="684"/>
      <c r="EK75" s="684"/>
      <c r="EL75" s="684"/>
      <c r="EM75" s="684"/>
      <c r="EN75" s="684"/>
      <c r="EO75" s="684"/>
      <c r="EP75" s="684"/>
      <c r="EQ75" s="684"/>
      <c r="ER75" s="684"/>
      <c r="ES75" s="684"/>
      <c r="ET75" s="684"/>
      <c r="EU75" s="684"/>
      <c r="EV75" s="684"/>
      <c r="EW75" s="684"/>
      <c r="EX75" s="684"/>
    </row>
    <row r="76" spans="1:154">
      <c r="A76" s="684"/>
      <c r="B76" s="684"/>
      <c r="C76" s="703"/>
      <c r="D76" s="703"/>
      <c r="E76" s="703"/>
      <c r="F76" s="703"/>
      <c r="G76" s="703"/>
      <c r="H76" s="703"/>
      <c r="I76" s="703"/>
      <c r="J76" s="703"/>
      <c r="K76" s="703"/>
      <c r="L76" s="703"/>
      <c r="M76" s="703"/>
      <c r="N76" s="703"/>
      <c r="O76" s="703"/>
      <c r="P76" s="684"/>
      <c r="Q76" s="684"/>
      <c r="R76" s="684"/>
      <c r="S76" s="684"/>
      <c r="T76" s="684"/>
      <c r="U76" s="684"/>
      <c r="V76" s="684"/>
      <c r="W76" s="684"/>
      <c r="X76" s="684"/>
      <c r="Y76" s="684"/>
      <c r="Z76" s="684"/>
      <c r="AA76" s="684"/>
      <c r="AB76" s="684"/>
      <c r="AC76" s="684"/>
      <c r="AD76" s="684"/>
      <c r="AE76" s="684"/>
      <c r="AF76" s="684"/>
      <c r="AG76" s="684"/>
      <c r="AH76" s="684"/>
      <c r="AI76" s="684"/>
      <c r="AJ76" s="684"/>
      <c r="AK76" s="684"/>
      <c r="AL76" s="684"/>
      <c r="AM76" s="684"/>
      <c r="AN76" s="684"/>
      <c r="AO76" s="684"/>
      <c r="AP76" s="684"/>
      <c r="AQ76" s="684"/>
      <c r="AR76" s="684"/>
      <c r="AS76" s="684"/>
      <c r="AT76" s="684"/>
      <c r="AU76" s="684"/>
      <c r="AV76" s="684"/>
      <c r="AW76" s="684"/>
      <c r="AX76" s="684"/>
      <c r="AY76" s="684"/>
      <c r="AZ76" s="684"/>
      <c r="BA76" s="684"/>
      <c r="BB76" s="684"/>
      <c r="BC76" s="684"/>
      <c r="BD76" s="684"/>
      <c r="BE76" s="684"/>
      <c r="BF76" s="684"/>
      <c r="BG76" s="684"/>
      <c r="BH76" s="684"/>
      <c r="BI76" s="684"/>
      <c r="BJ76" s="684"/>
      <c r="BK76" s="684"/>
      <c r="BL76" s="684"/>
      <c r="BM76" s="684"/>
      <c r="BN76" s="684"/>
      <c r="BO76" s="684"/>
      <c r="BP76" s="684"/>
      <c r="BQ76" s="684"/>
      <c r="BR76" s="684"/>
      <c r="BS76" s="684"/>
      <c r="BT76" s="684"/>
      <c r="BU76" s="684"/>
      <c r="BV76" s="684"/>
      <c r="BW76" s="684"/>
      <c r="BX76" s="684"/>
      <c r="BY76" s="684"/>
      <c r="BZ76" s="684"/>
      <c r="CA76" s="684"/>
      <c r="CB76" s="684"/>
      <c r="CC76" s="684"/>
      <c r="CD76" s="684"/>
      <c r="CE76" s="684"/>
      <c r="CF76" s="684"/>
      <c r="CG76" s="684"/>
      <c r="CH76" s="684"/>
      <c r="CI76" s="684"/>
      <c r="CJ76" s="684"/>
      <c r="CK76" s="684"/>
      <c r="CL76" s="684"/>
      <c r="CM76" s="684"/>
      <c r="CN76" s="684"/>
      <c r="CO76" s="684"/>
      <c r="CP76" s="684"/>
      <c r="CQ76" s="684"/>
      <c r="CR76" s="684"/>
      <c r="CS76" s="684"/>
      <c r="CT76" s="684"/>
      <c r="CU76" s="684"/>
      <c r="CV76" s="684"/>
      <c r="CW76" s="684"/>
      <c r="CX76" s="684"/>
      <c r="CY76" s="684"/>
      <c r="CZ76" s="684"/>
      <c r="DA76" s="684"/>
      <c r="DB76" s="684"/>
      <c r="DC76" s="684"/>
      <c r="DD76" s="684"/>
      <c r="DE76" s="684"/>
      <c r="DF76" s="684"/>
      <c r="DG76" s="684"/>
      <c r="DH76" s="684"/>
      <c r="DI76" s="684"/>
      <c r="DJ76" s="684"/>
      <c r="DK76" s="684"/>
      <c r="DL76" s="684"/>
      <c r="DM76" s="684"/>
      <c r="DN76" s="684"/>
      <c r="DO76" s="684"/>
      <c r="DP76" s="684"/>
      <c r="DQ76" s="684"/>
      <c r="DR76" s="684"/>
      <c r="DS76" s="684"/>
      <c r="DT76" s="684"/>
      <c r="DU76" s="684"/>
      <c r="DV76" s="684"/>
      <c r="DW76" s="684"/>
      <c r="DX76" s="684"/>
      <c r="DY76" s="684"/>
      <c r="DZ76" s="684"/>
      <c r="EA76" s="684"/>
      <c r="EB76" s="684"/>
      <c r="EC76" s="684"/>
      <c r="ED76" s="684"/>
      <c r="EE76" s="684"/>
      <c r="EF76" s="684"/>
      <c r="EG76" s="684"/>
      <c r="EH76" s="684"/>
      <c r="EI76" s="684"/>
      <c r="EJ76" s="684"/>
      <c r="EK76" s="684"/>
      <c r="EL76" s="684"/>
      <c r="EM76" s="684"/>
      <c r="EN76" s="684"/>
      <c r="EO76" s="684"/>
      <c r="EP76" s="684"/>
      <c r="EQ76" s="684"/>
      <c r="ER76" s="684"/>
      <c r="ES76" s="684"/>
      <c r="ET76" s="684"/>
      <c r="EU76" s="684"/>
      <c r="EV76" s="684"/>
      <c r="EW76" s="684"/>
      <c r="EX76" s="684"/>
    </row>
    <row r="77" spans="1:154">
      <c r="A77" s="684"/>
      <c r="B77" s="684"/>
      <c r="C77" s="703"/>
      <c r="D77" s="703"/>
      <c r="E77" s="703"/>
      <c r="F77" s="703"/>
      <c r="G77" s="703"/>
      <c r="H77" s="703"/>
      <c r="I77" s="703"/>
      <c r="J77" s="703"/>
      <c r="K77" s="703"/>
      <c r="L77" s="703"/>
      <c r="M77" s="703"/>
      <c r="N77" s="703"/>
      <c r="O77" s="703"/>
      <c r="P77" s="684"/>
      <c r="Q77" s="684"/>
      <c r="R77" s="684"/>
      <c r="S77" s="684"/>
      <c r="T77" s="684"/>
      <c r="U77" s="684"/>
      <c r="V77" s="684"/>
      <c r="W77" s="684"/>
      <c r="X77" s="684"/>
      <c r="Y77" s="684"/>
      <c r="Z77" s="684"/>
      <c r="AA77" s="684"/>
      <c r="AB77" s="684"/>
      <c r="AC77" s="684"/>
      <c r="AD77" s="684"/>
      <c r="AE77" s="684"/>
      <c r="AF77" s="684"/>
      <c r="AG77" s="684"/>
      <c r="AH77" s="684"/>
      <c r="AI77" s="684"/>
      <c r="AJ77" s="684"/>
      <c r="AK77" s="684"/>
      <c r="AL77" s="684"/>
      <c r="AM77" s="684"/>
      <c r="AN77" s="684"/>
      <c r="AO77" s="684"/>
      <c r="AP77" s="684"/>
      <c r="AQ77" s="684"/>
      <c r="AR77" s="684"/>
      <c r="AS77" s="684"/>
      <c r="AT77" s="684"/>
      <c r="AU77" s="684"/>
      <c r="AV77" s="684"/>
      <c r="AW77" s="684"/>
      <c r="AX77" s="684"/>
      <c r="AY77" s="684"/>
      <c r="AZ77" s="684"/>
      <c r="BA77" s="684"/>
      <c r="BB77" s="684"/>
      <c r="BC77" s="684"/>
      <c r="BD77" s="684"/>
      <c r="BE77" s="684"/>
      <c r="BF77" s="684"/>
      <c r="BG77" s="684"/>
      <c r="BH77" s="684"/>
      <c r="BI77" s="684"/>
      <c r="BJ77" s="684"/>
      <c r="BK77" s="684"/>
      <c r="BL77" s="684"/>
      <c r="BM77" s="684"/>
      <c r="BN77" s="684"/>
      <c r="BO77" s="684"/>
      <c r="BP77" s="684"/>
      <c r="BQ77" s="684"/>
      <c r="BR77" s="684"/>
      <c r="BS77" s="684"/>
      <c r="BT77" s="684"/>
      <c r="BU77" s="684"/>
      <c r="BV77" s="684"/>
      <c r="BW77" s="684"/>
      <c r="BX77" s="684"/>
      <c r="BY77" s="684"/>
      <c r="BZ77" s="684"/>
      <c r="CA77" s="684"/>
      <c r="CB77" s="684"/>
      <c r="CC77" s="684"/>
      <c r="CD77" s="684"/>
      <c r="CE77" s="684"/>
      <c r="CF77" s="684"/>
      <c r="CG77" s="684"/>
      <c r="CH77" s="684"/>
      <c r="CI77" s="684"/>
      <c r="CJ77" s="684"/>
      <c r="CK77" s="684"/>
      <c r="CL77" s="684"/>
      <c r="CM77" s="684"/>
      <c r="CN77" s="684"/>
      <c r="CO77" s="684"/>
      <c r="CP77" s="684"/>
      <c r="CQ77" s="684"/>
      <c r="CR77" s="684"/>
      <c r="CS77" s="684"/>
      <c r="CT77" s="684"/>
      <c r="CU77" s="684"/>
      <c r="CV77" s="684"/>
      <c r="CW77" s="684"/>
      <c r="CX77" s="684"/>
      <c r="CY77" s="684"/>
      <c r="CZ77" s="684"/>
      <c r="DA77" s="684"/>
      <c r="DB77" s="684"/>
      <c r="DC77" s="684"/>
      <c r="DD77" s="684"/>
      <c r="DE77" s="684"/>
      <c r="DF77" s="684"/>
      <c r="DG77" s="684"/>
      <c r="DH77" s="684"/>
      <c r="DI77" s="684"/>
      <c r="DJ77" s="684"/>
      <c r="DK77" s="684"/>
      <c r="DL77" s="684"/>
      <c r="DM77" s="684"/>
      <c r="DN77" s="684"/>
      <c r="DO77" s="684"/>
      <c r="DP77" s="684"/>
      <c r="DQ77" s="684"/>
      <c r="DR77" s="684"/>
      <c r="DS77" s="684"/>
      <c r="DT77" s="684"/>
      <c r="DU77" s="684"/>
      <c r="DV77" s="684"/>
      <c r="DW77" s="684"/>
      <c r="DX77" s="684"/>
      <c r="DY77" s="684"/>
      <c r="DZ77" s="684"/>
      <c r="EA77" s="684"/>
      <c r="EB77" s="684"/>
      <c r="EC77" s="684"/>
      <c r="ED77" s="684"/>
      <c r="EE77" s="684"/>
      <c r="EF77" s="684"/>
      <c r="EG77" s="684"/>
      <c r="EH77" s="684"/>
      <c r="EI77" s="684"/>
      <c r="EJ77" s="684"/>
      <c r="EK77" s="684"/>
      <c r="EL77" s="684"/>
      <c r="EM77" s="684"/>
      <c r="EN77" s="684"/>
      <c r="EO77" s="684"/>
      <c r="EP77" s="684"/>
      <c r="EQ77" s="684"/>
      <c r="ER77" s="684"/>
      <c r="ES77" s="684"/>
      <c r="ET77" s="684"/>
      <c r="EU77" s="684"/>
      <c r="EV77" s="684"/>
      <c r="EW77" s="684"/>
      <c r="EX77" s="684"/>
    </row>
    <row r="78" spans="1:154">
      <c r="A78" s="684"/>
      <c r="B78" s="684"/>
      <c r="C78" s="703"/>
      <c r="D78" s="703"/>
      <c r="E78" s="703"/>
      <c r="F78" s="703"/>
      <c r="G78" s="703"/>
      <c r="H78" s="703"/>
      <c r="I78" s="703"/>
      <c r="J78" s="703"/>
      <c r="K78" s="703"/>
      <c r="L78" s="703"/>
      <c r="M78" s="703"/>
      <c r="N78" s="703"/>
      <c r="O78" s="703"/>
      <c r="P78" s="684"/>
      <c r="Q78" s="684"/>
      <c r="R78" s="684"/>
      <c r="S78" s="684"/>
      <c r="T78" s="684"/>
      <c r="U78" s="684"/>
      <c r="V78" s="684"/>
      <c r="W78" s="684"/>
      <c r="X78" s="684"/>
      <c r="Y78" s="684"/>
      <c r="Z78" s="684"/>
      <c r="AA78" s="684"/>
      <c r="AB78" s="684"/>
      <c r="AC78" s="684"/>
      <c r="AD78" s="684"/>
      <c r="AE78" s="684"/>
      <c r="AF78" s="684"/>
      <c r="AG78" s="684"/>
      <c r="AH78" s="684"/>
      <c r="AI78" s="684"/>
      <c r="AJ78" s="684"/>
      <c r="AK78" s="684"/>
      <c r="AL78" s="684"/>
      <c r="AM78" s="684"/>
      <c r="AN78" s="684"/>
      <c r="AO78" s="684"/>
      <c r="AP78" s="684"/>
      <c r="AQ78" s="684"/>
      <c r="AR78" s="684"/>
      <c r="AS78" s="684"/>
      <c r="AT78" s="684"/>
      <c r="AU78" s="684"/>
      <c r="AV78" s="684"/>
      <c r="AW78" s="684"/>
      <c r="AX78" s="684"/>
      <c r="AY78" s="684"/>
      <c r="AZ78" s="684"/>
      <c r="BA78" s="684"/>
      <c r="BB78" s="684"/>
      <c r="BC78" s="684"/>
      <c r="BD78" s="684"/>
      <c r="BE78" s="684"/>
      <c r="BF78" s="684"/>
      <c r="BG78" s="684"/>
      <c r="BH78" s="684"/>
      <c r="BI78" s="684"/>
      <c r="BJ78" s="684"/>
      <c r="BK78" s="684"/>
      <c r="BL78" s="684"/>
      <c r="BM78" s="684"/>
      <c r="BN78" s="684"/>
      <c r="BO78" s="684"/>
      <c r="BP78" s="684"/>
      <c r="BQ78" s="684"/>
      <c r="BR78" s="684"/>
      <c r="BS78" s="684"/>
      <c r="BT78" s="684"/>
      <c r="BU78" s="684"/>
      <c r="BV78" s="684"/>
      <c r="BW78" s="684"/>
      <c r="BX78" s="684"/>
      <c r="BY78" s="684"/>
      <c r="BZ78" s="684"/>
      <c r="CA78" s="684"/>
      <c r="CB78" s="684"/>
      <c r="CC78" s="684"/>
      <c r="CD78" s="684"/>
      <c r="CE78" s="684"/>
      <c r="CF78" s="684"/>
      <c r="CG78" s="684"/>
      <c r="CH78" s="684"/>
      <c r="CI78" s="684"/>
      <c r="CJ78" s="684"/>
      <c r="CK78" s="684"/>
      <c r="CL78" s="684"/>
      <c r="CM78" s="684"/>
      <c r="CN78" s="684"/>
      <c r="CO78" s="684"/>
      <c r="CP78" s="684"/>
      <c r="CQ78" s="684"/>
      <c r="CR78" s="684"/>
      <c r="CS78" s="684"/>
      <c r="CT78" s="684"/>
      <c r="CU78" s="684"/>
      <c r="CV78" s="684"/>
      <c r="CW78" s="684"/>
      <c r="CX78" s="684"/>
      <c r="CY78" s="684"/>
      <c r="CZ78" s="684"/>
      <c r="DA78" s="684"/>
      <c r="DB78" s="684"/>
      <c r="DC78" s="684"/>
      <c r="DD78" s="684"/>
      <c r="DE78" s="684"/>
      <c r="DF78" s="684"/>
      <c r="DG78" s="684"/>
      <c r="DH78" s="684"/>
      <c r="DI78" s="684"/>
      <c r="DJ78" s="684"/>
      <c r="DK78" s="684"/>
      <c r="DL78" s="684"/>
      <c r="DM78" s="684"/>
      <c r="DN78" s="684"/>
      <c r="DO78" s="684"/>
      <c r="DP78" s="684"/>
      <c r="DQ78" s="684"/>
      <c r="DR78" s="684"/>
      <c r="DS78" s="684"/>
      <c r="DT78" s="684"/>
      <c r="DU78" s="684"/>
      <c r="DV78" s="684"/>
      <c r="DW78" s="684"/>
      <c r="DX78" s="684"/>
      <c r="DY78" s="684"/>
      <c r="DZ78" s="684"/>
      <c r="EA78" s="684"/>
      <c r="EB78" s="684"/>
      <c r="EC78" s="684"/>
      <c r="ED78" s="684"/>
      <c r="EE78" s="684"/>
      <c r="EF78" s="684"/>
      <c r="EG78" s="684"/>
      <c r="EH78" s="684"/>
      <c r="EI78" s="684"/>
      <c r="EJ78" s="684"/>
      <c r="EK78" s="684"/>
      <c r="EL78" s="684"/>
      <c r="EM78" s="684"/>
      <c r="EN78" s="684"/>
      <c r="EO78" s="684"/>
      <c r="EP78" s="684"/>
      <c r="EQ78" s="684"/>
      <c r="ER78" s="684"/>
      <c r="ES78" s="684"/>
      <c r="ET78" s="684"/>
      <c r="EU78" s="684"/>
      <c r="EV78" s="684"/>
      <c r="EW78" s="684"/>
      <c r="EX78" s="684"/>
    </row>
    <row r="79" spans="1:154">
      <c r="A79" s="684"/>
      <c r="B79" s="684"/>
      <c r="C79" s="703"/>
      <c r="D79" s="703"/>
      <c r="E79" s="703"/>
      <c r="F79" s="703"/>
      <c r="G79" s="703"/>
      <c r="H79" s="703"/>
      <c r="I79" s="703"/>
      <c r="J79" s="703"/>
      <c r="K79" s="703"/>
      <c r="L79" s="703"/>
      <c r="M79" s="703"/>
      <c r="N79" s="703"/>
      <c r="O79" s="703"/>
      <c r="P79" s="684"/>
      <c r="Q79" s="684"/>
      <c r="R79" s="684"/>
      <c r="S79" s="684"/>
      <c r="T79" s="684"/>
      <c r="U79" s="684"/>
      <c r="V79" s="684"/>
      <c r="W79" s="684"/>
      <c r="X79" s="684"/>
      <c r="Y79" s="684"/>
      <c r="Z79" s="684"/>
      <c r="AA79" s="684"/>
      <c r="AB79" s="684"/>
      <c r="AC79" s="684"/>
      <c r="AD79" s="684"/>
      <c r="AE79" s="684"/>
      <c r="AF79" s="684"/>
      <c r="AG79" s="684"/>
      <c r="AH79" s="684"/>
      <c r="AI79" s="684"/>
      <c r="AJ79" s="684"/>
      <c r="AK79" s="684"/>
      <c r="AL79" s="684"/>
      <c r="AM79" s="684"/>
      <c r="AN79" s="684"/>
      <c r="AO79" s="684"/>
      <c r="AP79" s="684"/>
      <c r="AQ79" s="684"/>
      <c r="AR79" s="684"/>
      <c r="AS79" s="684"/>
      <c r="AT79" s="684"/>
      <c r="AU79" s="684"/>
      <c r="AV79" s="684"/>
      <c r="AW79" s="684"/>
      <c r="AX79" s="684"/>
      <c r="AY79" s="684"/>
      <c r="AZ79" s="684"/>
      <c r="BA79" s="684"/>
      <c r="BB79" s="684"/>
      <c r="BC79" s="684"/>
      <c r="BD79" s="684"/>
      <c r="BE79" s="684"/>
      <c r="BF79" s="684"/>
      <c r="BG79" s="684"/>
      <c r="BH79" s="684"/>
      <c r="BI79" s="684"/>
      <c r="BJ79" s="684"/>
      <c r="BK79" s="684"/>
      <c r="BL79" s="684"/>
      <c r="BM79" s="684"/>
      <c r="BN79" s="684"/>
      <c r="BO79" s="684"/>
      <c r="BP79" s="684"/>
      <c r="BQ79" s="684"/>
      <c r="BR79" s="684"/>
      <c r="BS79" s="684"/>
      <c r="BT79" s="684"/>
      <c r="BU79" s="684"/>
      <c r="BV79" s="684"/>
      <c r="BW79" s="684"/>
      <c r="BX79" s="684"/>
      <c r="BY79" s="684"/>
      <c r="BZ79" s="684"/>
      <c r="CA79" s="684"/>
      <c r="CB79" s="684"/>
      <c r="CC79" s="684"/>
      <c r="CD79" s="684"/>
      <c r="CE79" s="684"/>
      <c r="CF79" s="684"/>
      <c r="CG79" s="684"/>
      <c r="CH79" s="684"/>
      <c r="CI79" s="684"/>
      <c r="CJ79" s="684"/>
      <c r="CK79" s="684"/>
      <c r="CL79" s="684"/>
      <c r="CM79" s="684"/>
      <c r="CN79" s="684"/>
      <c r="CO79" s="684"/>
      <c r="CP79" s="684"/>
      <c r="CQ79" s="684"/>
      <c r="CR79" s="684"/>
      <c r="CS79" s="684"/>
      <c r="CT79" s="684"/>
      <c r="CU79" s="684"/>
      <c r="CV79" s="684"/>
      <c r="CW79" s="684"/>
      <c r="CX79" s="684"/>
      <c r="CY79" s="684"/>
      <c r="CZ79" s="684"/>
      <c r="DA79" s="684"/>
      <c r="DB79" s="684"/>
      <c r="DC79" s="684"/>
      <c r="DD79" s="684"/>
      <c r="DE79" s="684"/>
      <c r="DF79" s="684"/>
      <c r="DG79" s="684"/>
      <c r="DH79" s="684"/>
      <c r="DI79" s="684"/>
      <c r="DJ79" s="684"/>
      <c r="DK79" s="684"/>
      <c r="DL79" s="684"/>
      <c r="DM79" s="684"/>
      <c r="DN79" s="684"/>
      <c r="DO79" s="684"/>
      <c r="DP79" s="684"/>
      <c r="DQ79" s="684"/>
      <c r="DR79" s="684"/>
      <c r="DS79" s="684"/>
      <c r="DT79" s="684"/>
      <c r="DU79" s="684"/>
      <c r="DV79" s="684"/>
      <c r="DW79" s="684"/>
      <c r="DX79" s="684"/>
      <c r="DY79" s="684"/>
      <c r="DZ79" s="684"/>
      <c r="EA79" s="684"/>
      <c r="EB79" s="684"/>
      <c r="EC79" s="684"/>
      <c r="ED79" s="684"/>
      <c r="EE79" s="684"/>
      <c r="EF79" s="684"/>
      <c r="EG79" s="684"/>
      <c r="EH79" s="684"/>
      <c r="EI79" s="684"/>
      <c r="EJ79" s="684"/>
      <c r="EK79" s="684"/>
      <c r="EL79" s="684"/>
      <c r="EM79" s="684"/>
      <c r="EN79" s="684"/>
      <c r="EO79" s="684"/>
      <c r="EP79" s="684"/>
      <c r="EQ79" s="684"/>
      <c r="ER79" s="684"/>
      <c r="ES79" s="684"/>
      <c r="ET79" s="684"/>
      <c r="EU79" s="684"/>
      <c r="EV79" s="684"/>
      <c r="EW79" s="684"/>
      <c r="EX79" s="684"/>
    </row>
    <row r="80" spans="1:154">
      <c r="A80" s="684"/>
      <c r="B80" s="684"/>
      <c r="C80" s="703"/>
      <c r="D80" s="703"/>
      <c r="E80" s="703"/>
      <c r="F80" s="703"/>
      <c r="G80" s="703"/>
      <c r="H80" s="703"/>
      <c r="I80" s="703"/>
      <c r="J80" s="703"/>
      <c r="K80" s="703"/>
      <c r="L80" s="703"/>
      <c r="M80" s="703"/>
      <c r="N80" s="703"/>
      <c r="O80" s="703"/>
      <c r="P80" s="684"/>
      <c r="Q80" s="684"/>
      <c r="R80" s="684"/>
      <c r="S80" s="684"/>
      <c r="T80" s="684"/>
      <c r="U80" s="684"/>
      <c r="V80" s="684"/>
      <c r="W80" s="684"/>
      <c r="X80" s="684"/>
      <c r="Y80" s="684"/>
      <c r="Z80" s="684"/>
      <c r="AA80" s="684"/>
      <c r="AB80" s="684"/>
      <c r="AC80" s="684"/>
      <c r="AD80" s="684"/>
      <c r="AE80" s="684"/>
      <c r="AF80" s="684"/>
      <c r="AG80" s="684"/>
      <c r="AH80" s="684"/>
      <c r="AI80" s="684"/>
      <c r="AJ80" s="684"/>
      <c r="AK80" s="684"/>
      <c r="AL80" s="684"/>
      <c r="AM80" s="684"/>
      <c r="AN80" s="684"/>
      <c r="AO80" s="684"/>
      <c r="AP80" s="684"/>
      <c r="AQ80" s="684"/>
      <c r="AR80" s="684"/>
      <c r="AS80" s="684"/>
      <c r="AT80" s="684"/>
      <c r="AU80" s="684"/>
      <c r="AV80" s="684"/>
      <c r="AW80" s="684"/>
      <c r="AX80" s="684"/>
      <c r="AY80" s="684"/>
      <c r="AZ80" s="684"/>
      <c r="BA80" s="684"/>
      <c r="BB80" s="684"/>
      <c r="BC80" s="684"/>
      <c r="BD80" s="684"/>
      <c r="BE80" s="684"/>
      <c r="BF80" s="684"/>
      <c r="BG80" s="684"/>
      <c r="BH80" s="684"/>
      <c r="BI80" s="684"/>
      <c r="BJ80" s="684"/>
      <c r="BK80" s="684"/>
      <c r="BL80" s="684"/>
      <c r="BM80" s="684"/>
      <c r="BN80" s="684"/>
      <c r="BO80" s="684"/>
      <c r="BP80" s="684"/>
      <c r="BQ80" s="684"/>
      <c r="BR80" s="684"/>
      <c r="BS80" s="684"/>
      <c r="BT80" s="684"/>
      <c r="BU80" s="684"/>
      <c r="BV80" s="684"/>
      <c r="BW80" s="684"/>
      <c r="BX80" s="684"/>
      <c r="BY80" s="684"/>
      <c r="BZ80" s="684"/>
      <c r="CA80" s="684"/>
      <c r="CB80" s="684"/>
      <c r="CC80" s="684"/>
      <c r="CD80" s="684"/>
      <c r="CE80" s="684"/>
      <c r="CF80" s="684"/>
      <c r="CG80" s="684"/>
      <c r="CH80" s="684"/>
      <c r="CI80" s="684"/>
      <c r="CJ80" s="684"/>
      <c r="CK80" s="684"/>
      <c r="CL80" s="684"/>
      <c r="CM80" s="684"/>
      <c r="CN80" s="684"/>
      <c r="CO80" s="684"/>
      <c r="CP80" s="684"/>
      <c r="CQ80" s="684"/>
      <c r="CR80" s="684"/>
      <c r="CS80" s="684"/>
      <c r="CT80" s="684"/>
      <c r="CU80" s="684"/>
      <c r="CV80" s="684"/>
      <c r="CW80" s="684"/>
      <c r="CX80" s="684"/>
      <c r="CY80" s="684"/>
      <c r="CZ80" s="684"/>
      <c r="DA80" s="684"/>
      <c r="DB80" s="684"/>
      <c r="DC80" s="684"/>
      <c r="DD80" s="684"/>
      <c r="DE80" s="684"/>
      <c r="DF80" s="684"/>
      <c r="DG80" s="684"/>
      <c r="DH80" s="684"/>
      <c r="DI80" s="684"/>
      <c r="DJ80" s="684"/>
      <c r="DK80" s="684"/>
      <c r="DL80" s="684"/>
      <c r="DM80" s="684"/>
      <c r="DN80" s="684"/>
      <c r="DO80" s="684"/>
      <c r="DP80" s="684"/>
      <c r="DQ80" s="684"/>
      <c r="DR80" s="684"/>
      <c r="DS80" s="684"/>
      <c r="DT80" s="684"/>
      <c r="DU80" s="684"/>
      <c r="DV80" s="684"/>
      <c r="DW80" s="684"/>
      <c r="DX80" s="684"/>
      <c r="DY80" s="684"/>
      <c r="DZ80" s="684"/>
      <c r="EA80" s="684"/>
      <c r="EB80" s="684"/>
      <c r="EC80" s="684"/>
      <c r="ED80" s="684"/>
      <c r="EE80" s="684"/>
      <c r="EF80" s="684"/>
      <c r="EG80" s="684"/>
      <c r="EH80" s="684"/>
      <c r="EI80" s="684"/>
      <c r="EJ80" s="684"/>
      <c r="EK80" s="684"/>
      <c r="EL80" s="684"/>
      <c r="EM80" s="684"/>
      <c r="EN80" s="684"/>
      <c r="EO80" s="684"/>
      <c r="EP80" s="684"/>
      <c r="EQ80" s="684"/>
      <c r="ER80" s="684"/>
      <c r="ES80" s="684"/>
      <c r="ET80" s="684"/>
      <c r="EU80" s="684"/>
      <c r="EV80" s="684"/>
      <c r="EW80" s="684"/>
      <c r="EX80" s="684"/>
    </row>
    <row r="81" spans="1:158">
      <c r="A81" s="684"/>
      <c r="B81" s="684"/>
      <c r="C81" s="684"/>
      <c r="D81" s="684"/>
      <c r="E81" s="684"/>
      <c r="F81" s="684"/>
      <c r="G81" s="684"/>
      <c r="H81" s="684"/>
      <c r="I81" s="684"/>
      <c r="J81" s="684"/>
      <c r="K81" s="684"/>
      <c r="L81" s="684"/>
      <c r="M81" s="684"/>
      <c r="N81" s="684"/>
      <c r="O81" s="684"/>
      <c r="P81" s="684"/>
      <c r="Q81" s="684"/>
      <c r="R81" s="684"/>
      <c r="S81" s="684"/>
      <c r="T81" s="684"/>
      <c r="U81" s="684"/>
      <c r="V81" s="684"/>
      <c r="W81" s="684"/>
      <c r="X81" s="684"/>
      <c r="Y81" s="684"/>
      <c r="Z81" s="684"/>
      <c r="AA81" s="684"/>
      <c r="AB81" s="684"/>
      <c r="AC81" s="684"/>
      <c r="AD81" s="684"/>
      <c r="AE81" s="684"/>
      <c r="AF81" s="684"/>
      <c r="AG81" s="684"/>
      <c r="AH81" s="684"/>
      <c r="AI81" s="684"/>
      <c r="AJ81" s="684"/>
      <c r="AK81" s="684"/>
      <c r="AL81" s="684"/>
      <c r="AM81" s="684"/>
      <c r="AN81" s="684"/>
      <c r="AO81" s="684"/>
      <c r="AP81" s="684"/>
      <c r="AQ81" s="684"/>
      <c r="AR81" s="684"/>
      <c r="AS81" s="684"/>
      <c r="AT81" s="684"/>
      <c r="AU81" s="684"/>
      <c r="AV81" s="684"/>
      <c r="AW81" s="684"/>
      <c r="AX81" s="684"/>
      <c r="AY81" s="684"/>
      <c r="AZ81" s="684"/>
      <c r="BA81" s="684"/>
      <c r="BB81" s="684"/>
      <c r="BC81" s="684"/>
      <c r="BD81" s="684"/>
      <c r="BE81" s="684"/>
      <c r="BF81" s="684"/>
      <c r="BG81" s="684"/>
      <c r="BH81" s="684"/>
      <c r="BI81" s="684"/>
      <c r="BJ81" s="684"/>
      <c r="BK81" s="684"/>
      <c r="BL81" s="684"/>
      <c r="BM81" s="684"/>
      <c r="BN81" s="684"/>
      <c r="BO81" s="684"/>
      <c r="BP81" s="684"/>
      <c r="BQ81" s="684"/>
      <c r="BR81" s="684"/>
      <c r="BS81" s="684"/>
      <c r="BT81" s="684"/>
      <c r="BU81" s="684"/>
      <c r="BV81" s="684"/>
      <c r="BW81" s="684"/>
      <c r="BX81" s="684"/>
      <c r="BY81" s="684"/>
      <c r="BZ81" s="684"/>
      <c r="CA81" s="684"/>
      <c r="CB81" s="684"/>
      <c r="CC81" s="684"/>
      <c r="CD81" s="684"/>
      <c r="CE81" s="684"/>
      <c r="CF81" s="684"/>
      <c r="CG81" s="684"/>
      <c r="CH81" s="684"/>
      <c r="CI81" s="684"/>
      <c r="CJ81" s="684"/>
      <c r="CK81" s="684"/>
      <c r="CL81" s="684"/>
      <c r="CM81" s="684"/>
      <c r="CN81" s="684"/>
      <c r="CO81" s="684"/>
      <c r="CP81" s="684"/>
      <c r="CQ81" s="684"/>
      <c r="CR81" s="684"/>
      <c r="CS81" s="684"/>
      <c r="CT81" s="684"/>
      <c r="CU81" s="684"/>
      <c r="CV81" s="684"/>
      <c r="CW81" s="684"/>
      <c r="CX81" s="684"/>
      <c r="CY81" s="684"/>
      <c r="CZ81" s="684"/>
      <c r="DA81" s="684"/>
      <c r="DB81" s="684"/>
      <c r="DC81" s="684"/>
      <c r="DD81" s="684"/>
      <c r="DE81" s="684"/>
      <c r="DF81" s="684"/>
      <c r="DG81" s="684"/>
      <c r="DH81" s="684"/>
      <c r="DI81" s="684"/>
      <c r="DJ81" s="684"/>
      <c r="DK81" s="684"/>
      <c r="DL81" s="684"/>
      <c r="DM81" s="684"/>
      <c r="DN81" s="684"/>
      <c r="DO81" s="684"/>
      <c r="DP81" s="684"/>
      <c r="DQ81" s="684"/>
      <c r="DR81" s="684"/>
      <c r="DS81" s="684"/>
      <c r="DT81" s="684"/>
      <c r="DU81" s="684"/>
      <c r="DV81" s="684"/>
      <c r="DW81" s="684"/>
      <c r="DX81" s="684"/>
      <c r="DY81" s="684"/>
      <c r="DZ81" s="684"/>
      <c r="EA81" s="684"/>
      <c r="EB81" s="684"/>
      <c r="EC81" s="684"/>
      <c r="ED81" s="684"/>
      <c r="EE81" s="684"/>
      <c r="EF81" s="684"/>
      <c r="EG81" s="684"/>
      <c r="EH81" s="684"/>
      <c r="EI81" s="684"/>
      <c r="EJ81" s="684"/>
      <c r="EK81" s="684"/>
      <c r="EL81" s="684"/>
      <c r="EM81" s="684"/>
      <c r="EN81" s="684"/>
      <c r="EO81" s="684"/>
      <c r="EP81" s="684"/>
      <c r="EQ81" s="684"/>
      <c r="ER81" s="684"/>
      <c r="ES81" s="684"/>
      <c r="ET81" s="684"/>
      <c r="EU81" s="684"/>
      <c r="EV81" s="684"/>
      <c r="EW81" s="684"/>
      <c r="EX81" s="684"/>
    </row>
    <row r="82" spans="1:158">
      <c r="A82" s="684"/>
      <c r="B82" s="684"/>
      <c r="C82" s="684"/>
      <c r="D82" s="684"/>
      <c r="E82" s="697"/>
      <c r="F82" s="697"/>
      <c r="G82" s="697"/>
      <c r="H82" s="697"/>
      <c r="I82" s="697"/>
      <c r="J82" s="697"/>
      <c r="K82" s="697"/>
      <c r="L82" s="697"/>
      <c r="M82" s="697"/>
      <c r="N82" s="697"/>
      <c r="O82" s="697"/>
      <c r="P82" s="684"/>
      <c r="Q82" s="684"/>
      <c r="R82" s="684"/>
      <c r="S82" s="684"/>
      <c r="T82" s="684"/>
      <c r="U82" s="684"/>
      <c r="V82" s="684"/>
      <c r="W82" s="684"/>
      <c r="X82" s="684"/>
      <c r="Y82" s="684"/>
      <c r="Z82" s="684"/>
      <c r="AA82" s="684"/>
      <c r="AB82" s="684"/>
      <c r="AC82" s="684"/>
      <c r="AD82" s="684"/>
      <c r="AE82" s="684"/>
      <c r="AF82" s="684"/>
      <c r="AG82" s="684"/>
      <c r="AH82" s="684"/>
      <c r="AI82" s="684"/>
      <c r="AJ82" s="684"/>
      <c r="AK82" s="684"/>
      <c r="AL82" s="684"/>
      <c r="AM82" s="684"/>
      <c r="AN82" s="684"/>
      <c r="AO82" s="684"/>
      <c r="AP82" s="684"/>
      <c r="AQ82" s="684"/>
      <c r="AR82" s="684"/>
      <c r="AS82" s="684"/>
      <c r="AT82" s="684"/>
      <c r="AU82" s="684"/>
      <c r="AV82" s="684"/>
      <c r="AW82" s="684"/>
      <c r="AX82" s="684"/>
      <c r="AY82" s="684"/>
      <c r="AZ82" s="684"/>
      <c r="BA82" s="684"/>
      <c r="BB82" s="684"/>
      <c r="BC82" s="684"/>
      <c r="BD82" s="684"/>
      <c r="BE82" s="684"/>
      <c r="BF82" s="684"/>
      <c r="BG82" s="684"/>
      <c r="BH82" s="684"/>
      <c r="BI82" s="684"/>
      <c r="BJ82" s="684"/>
      <c r="BK82" s="684"/>
      <c r="BL82" s="684"/>
      <c r="BM82" s="684"/>
      <c r="BN82" s="684"/>
      <c r="BO82" s="684"/>
      <c r="BP82" s="684"/>
      <c r="BQ82" s="684"/>
      <c r="BR82" s="684"/>
      <c r="BS82" s="684"/>
      <c r="BT82" s="684"/>
      <c r="BU82" s="684"/>
      <c r="BV82" s="684"/>
      <c r="BW82" s="684"/>
      <c r="BX82" s="684"/>
      <c r="BY82" s="684"/>
      <c r="BZ82" s="684"/>
      <c r="CA82" s="684"/>
      <c r="CB82" s="684"/>
      <c r="CC82" s="684"/>
      <c r="CD82" s="684"/>
      <c r="CE82" s="684"/>
      <c r="CF82" s="684"/>
      <c r="CG82" s="684"/>
      <c r="CH82" s="684"/>
      <c r="CI82" s="684"/>
      <c r="CJ82" s="684"/>
      <c r="CK82" s="684"/>
      <c r="CL82" s="684"/>
      <c r="CM82" s="684"/>
      <c r="CN82" s="684"/>
      <c r="CO82" s="684"/>
      <c r="CP82" s="684"/>
      <c r="CQ82" s="684"/>
      <c r="CR82" s="684"/>
      <c r="CS82" s="684"/>
      <c r="CT82" s="684"/>
      <c r="CU82" s="684"/>
      <c r="CV82" s="684"/>
      <c r="CW82" s="684"/>
      <c r="CX82" s="684"/>
      <c r="CY82" s="684"/>
      <c r="CZ82" s="684"/>
      <c r="DA82" s="684"/>
      <c r="DB82" s="684"/>
      <c r="DC82" s="684"/>
      <c r="DD82" s="684"/>
      <c r="DE82" s="684"/>
      <c r="DF82" s="684"/>
      <c r="DG82" s="684"/>
      <c r="DH82" s="684"/>
      <c r="DI82" s="684"/>
      <c r="DJ82" s="684"/>
      <c r="DK82" s="684"/>
      <c r="DL82" s="684"/>
      <c r="DM82" s="684"/>
      <c r="DN82" s="684"/>
      <c r="DO82" s="684"/>
      <c r="DP82" s="684"/>
      <c r="DQ82" s="684"/>
      <c r="DR82" s="684"/>
      <c r="DS82" s="684"/>
      <c r="DT82" s="684"/>
      <c r="DU82" s="684"/>
      <c r="DV82" s="684"/>
      <c r="DW82" s="684"/>
      <c r="DX82" s="684"/>
      <c r="DY82" s="684"/>
      <c r="DZ82" s="684"/>
      <c r="EA82" s="684"/>
      <c r="EB82" s="684"/>
      <c r="EC82" s="684"/>
      <c r="ED82" s="684"/>
      <c r="EE82" s="684"/>
      <c r="EF82" s="684"/>
      <c r="EG82" s="684"/>
      <c r="EH82" s="684"/>
      <c r="EI82" s="684"/>
      <c r="EJ82" s="684"/>
      <c r="EK82" s="684"/>
      <c r="EL82" s="684"/>
      <c r="EM82" s="684"/>
      <c r="EN82" s="684"/>
      <c r="EO82" s="684"/>
      <c r="EP82" s="684"/>
      <c r="EQ82" s="684"/>
      <c r="ER82" s="684"/>
      <c r="ES82" s="684"/>
      <c r="ET82" s="684"/>
      <c r="EU82" s="684"/>
      <c r="EV82" s="684"/>
      <c r="EW82" s="684"/>
      <c r="EX82" s="684"/>
    </row>
    <row r="83" spans="1:158">
      <c r="A83" s="684"/>
      <c r="B83" s="684"/>
      <c r="C83" s="684"/>
      <c r="D83" s="684"/>
      <c r="E83" s="697"/>
      <c r="F83" s="697"/>
      <c r="G83" s="697"/>
      <c r="H83" s="697"/>
      <c r="I83" s="697"/>
      <c r="J83" s="697"/>
      <c r="K83" s="697"/>
      <c r="L83" s="697"/>
      <c r="M83" s="697"/>
      <c r="N83" s="697"/>
      <c r="O83" s="697"/>
      <c r="P83" s="684"/>
      <c r="Q83" s="684"/>
      <c r="R83" s="684"/>
      <c r="S83" s="684"/>
      <c r="T83" s="684"/>
      <c r="U83" s="684"/>
      <c r="V83" s="684"/>
      <c r="W83" s="684"/>
      <c r="X83" s="684"/>
      <c r="Y83" s="684"/>
      <c r="Z83" s="684"/>
      <c r="AA83" s="684"/>
      <c r="AB83" s="684"/>
      <c r="AC83" s="684"/>
      <c r="AD83" s="684"/>
      <c r="AE83" s="684"/>
      <c r="AF83" s="684"/>
      <c r="AG83" s="684"/>
      <c r="AH83" s="684"/>
      <c r="AI83" s="684"/>
      <c r="AJ83" s="684"/>
      <c r="AK83" s="684"/>
      <c r="AL83" s="684"/>
      <c r="AM83" s="684"/>
      <c r="AN83" s="684"/>
      <c r="AO83" s="684"/>
      <c r="AP83" s="684"/>
      <c r="AQ83" s="684"/>
      <c r="AR83" s="684"/>
      <c r="AS83" s="684"/>
      <c r="AT83" s="684"/>
      <c r="AU83" s="684"/>
      <c r="AV83" s="684"/>
      <c r="AW83" s="684"/>
      <c r="AX83" s="684"/>
      <c r="AY83" s="684"/>
      <c r="AZ83" s="684"/>
      <c r="BA83" s="684"/>
      <c r="BB83" s="684"/>
      <c r="BC83" s="684"/>
      <c r="BD83" s="684"/>
      <c r="BE83" s="684"/>
      <c r="BF83" s="684"/>
      <c r="BG83" s="684"/>
      <c r="BH83" s="684"/>
      <c r="BI83" s="684"/>
      <c r="BJ83" s="684"/>
      <c r="BK83" s="684"/>
      <c r="BL83" s="684"/>
      <c r="BM83" s="684"/>
      <c r="BN83" s="684"/>
      <c r="BO83" s="684"/>
      <c r="BP83" s="684"/>
      <c r="BQ83" s="684"/>
      <c r="BR83" s="684"/>
      <c r="BS83" s="684"/>
      <c r="BT83" s="684"/>
      <c r="BU83" s="684"/>
      <c r="BV83" s="684"/>
      <c r="BW83" s="684"/>
      <c r="BX83" s="684"/>
      <c r="BY83" s="684"/>
      <c r="BZ83" s="684"/>
      <c r="CA83" s="684"/>
      <c r="CB83" s="684"/>
      <c r="CC83" s="684"/>
      <c r="CD83" s="684"/>
      <c r="CE83" s="684"/>
      <c r="CF83" s="684"/>
      <c r="CG83" s="684"/>
      <c r="CH83" s="684"/>
      <c r="CI83" s="684"/>
      <c r="CJ83" s="684"/>
      <c r="CK83" s="684"/>
      <c r="CL83" s="684"/>
      <c r="CM83" s="684"/>
      <c r="CN83" s="684"/>
      <c r="CO83" s="684"/>
      <c r="CP83" s="684"/>
      <c r="CQ83" s="684"/>
      <c r="CR83" s="684"/>
      <c r="CS83" s="684"/>
      <c r="CT83" s="684"/>
      <c r="CU83" s="684"/>
      <c r="CV83" s="684"/>
      <c r="CW83" s="684"/>
      <c r="CX83" s="684"/>
      <c r="CY83" s="684"/>
      <c r="CZ83" s="684"/>
      <c r="DA83" s="684"/>
      <c r="DB83" s="684"/>
      <c r="DC83" s="684"/>
      <c r="DD83" s="684"/>
      <c r="DE83" s="684"/>
      <c r="DF83" s="684"/>
      <c r="DG83" s="684"/>
      <c r="DH83" s="684"/>
      <c r="DI83" s="684"/>
      <c r="DJ83" s="684"/>
      <c r="DK83" s="684"/>
      <c r="DL83" s="684"/>
      <c r="DM83" s="684"/>
      <c r="DN83" s="684"/>
      <c r="DO83" s="684"/>
      <c r="DP83" s="684"/>
      <c r="DQ83" s="684"/>
      <c r="DR83" s="684"/>
      <c r="DS83" s="684"/>
      <c r="DT83" s="684"/>
      <c r="DU83" s="684"/>
      <c r="DV83" s="684"/>
      <c r="DW83" s="684"/>
      <c r="DX83" s="684"/>
      <c r="DY83" s="684"/>
      <c r="DZ83" s="684"/>
      <c r="EA83" s="684"/>
      <c r="EB83" s="684"/>
      <c r="EC83" s="684"/>
      <c r="ED83" s="684"/>
      <c r="EE83" s="684"/>
      <c r="EF83" s="684"/>
      <c r="EG83" s="684"/>
      <c r="EH83" s="684"/>
      <c r="EI83" s="684"/>
      <c r="EJ83" s="684"/>
      <c r="EK83" s="684"/>
      <c r="EL83" s="684"/>
      <c r="EM83" s="684"/>
      <c r="EN83" s="684"/>
      <c r="EO83" s="684"/>
      <c r="EP83" s="684"/>
      <c r="EQ83" s="684"/>
      <c r="ER83" s="684"/>
      <c r="ES83" s="684"/>
      <c r="ET83" s="684"/>
      <c r="EU83" s="684"/>
      <c r="EV83" s="684"/>
      <c r="EW83" s="684"/>
      <c r="EX83" s="684"/>
    </row>
    <row r="84" spans="1:158">
      <c r="A84" s="684"/>
      <c r="B84" s="684"/>
      <c r="C84" s="684"/>
      <c r="D84" s="684"/>
      <c r="E84" s="697"/>
      <c r="F84" s="697"/>
      <c r="G84" s="697"/>
      <c r="H84" s="697"/>
      <c r="I84" s="697"/>
      <c r="J84" s="697"/>
      <c r="K84" s="697"/>
      <c r="L84" s="697"/>
      <c r="M84" s="697"/>
      <c r="N84" s="697"/>
      <c r="O84" s="697"/>
      <c r="P84" s="684"/>
      <c r="Q84" s="684"/>
      <c r="R84" s="684"/>
      <c r="S84" s="684"/>
      <c r="T84" s="684"/>
      <c r="U84" s="684"/>
      <c r="V84" s="684"/>
      <c r="W84" s="684"/>
      <c r="X84" s="684"/>
      <c r="Y84" s="684"/>
      <c r="Z84" s="684"/>
      <c r="AA84" s="684"/>
      <c r="AB84" s="684"/>
      <c r="AC84" s="684"/>
      <c r="AD84" s="684"/>
      <c r="AE84" s="684"/>
      <c r="AF84" s="684"/>
      <c r="AG84" s="684"/>
      <c r="AH84" s="684"/>
      <c r="AI84" s="684"/>
      <c r="AJ84" s="684"/>
      <c r="AK84" s="684"/>
      <c r="AL84" s="684"/>
      <c r="AM84" s="684"/>
      <c r="AN84" s="684"/>
      <c r="AO84" s="684"/>
      <c r="AP84" s="684"/>
      <c r="AQ84" s="684"/>
      <c r="AR84" s="684"/>
      <c r="AS84" s="684"/>
      <c r="AT84" s="684"/>
      <c r="AU84" s="684"/>
      <c r="AV84" s="684"/>
      <c r="AW84" s="684"/>
      <c r="AX84" s="684"/>
      <c r="AY84" s="684"/>
      <c r="AZ84" s="684"/>
      <c r="BA84" s="684"/>
      <c r="BB84" s="684"/>
      <c r="BC84" s="684"/>
      <c r="BD84" s="684"/>
      <c r="BE84" s="684"/>
      <c r="BF84" s="684"/>
      <c r="BG84" s="684"/>
      <c r="BH84" s="684"/>
      <c r="BI84" s="684"/>
      <c r="BJ84" s="684"/>
      <c r="BK84" s="684"/>
      <c r="BL84" s="684"/>
      <c r="BM84" s="684"/>
      <c r="BN84" s="684"/>
      <c r="BO84" s="684"/>
      <c r="BP84" s="684"/>
      <c r="BQ84" s="684"/>
      <c r="BR84" s="684"/>
      <c r="BS84" s="684"/>
      <c r="BT84" s="684"/>
      <c r="BU84" s="684"/>
      <c r="BV84" s="684"/>
      <c r="BW84" s="684"/>
      <c r="BX84" s="684"/>
      <c r="BY84" s="684"/>
      <c r="BZ84" s="684"/>
      <c r="CA84" s="684"/>
      <c r="CB84" s="684"/>
      <c r="CC84" s="684"/>
      <c r="CD84" s="684"/>
      <c r="CE84" s="684"/>
      <c r="CF84" s="684"/>
      <c r="CG84" s="684"/>
      <c r="CH84" s="684"/>
      <c r="CI84" s="684"/>
      <c r="CJ84" s="684"/>
      <c r="CK84" s="684"/>
      <c r="CL84" s="684"/>
      <c r="CM84" s="684"/>
      <c r="CN84" s="684"/>
      <c r="CO84" s="684"/>
      <c r="CP84" s="684"/>
      <c r="CQ84" s="684"/>
      <c r="CR84" s="684"/>
      <c r="CS84" s="684"/>
      <c r="CT84" s="684"/>
      <c r="CU84" s="684"/>
      <c r="CV84" s="684"/>
      <c r="CW84" s="684"/>
      <c r="CX84" s="684"/>
      <c r="CY84" s="684"/>
      <c r="CZ84" s="684"/>
      <c r="DA84" s="684"/>
      <c r="DB84" s="684"/>
      <c r="DC84" s="684"/>
      <c r="DD84" s="684"/>
      <c r="DE84" s="684"/>
      <c r="DF84" s="684"/>
      <c r="DG84" s="684"/>
      <c r="DH84" s="684"/>
      <c r="DI84" s="684"/>
      <c r="DJ84" s="684"/>
      <c r="DK84" s="684"/>
      <c r="DL84" s="684"/>
      <c r="DM84" s="684"/>
      <c r="DN84" s="684"/>
      <c r="DO84" s="684"/>
      <c r="DP84" s="684"/>
      <c r="DQ84" s="684"/>
      <c r="DR84" s="684"/>
      <c r="DS84" s="684"/>
      <c r="DT84" s="684"/>
      <c r="DU84" s="684"/>
      <c r="DV84" s="684"/>
      <c r="DW84" s="684"/>
      <c r="DX84" s="684"/>
      <c r="DY84" s="684"/>
      <c r="DZ84" s="684"/>
      <c r="EA84" s="684"/>
      <c r="EB84" s="684"/>
      <c r="EC84" s="684"/>
      <c r="ED84" s="684"/>
      <c r="EE84" s="684"/>
      <c r="EF84" s="684"/>
      <c r="EG84" s="684"/>
      <c r="EH84" s="684"/>
      <c r="EI84" s="684"/>
      <c r="EJ84" s="684"/>
      <c r="EK84" s="684"/>
      <c r="EL84" s="684"/>
      <c r="EM84" s="684"/>
      <c r="EN84" s="684"/>
      <c r="EO84" s="684"/>
      <c r="EP84" s="684"/>
      <c r="EQ84" s="684"/>
      <c r="ER84" s="684"/>
      <c r="ES84" s="684"/>
      <c r="ET84" s="684"/>
      <c r="EU84" s="684"/>
      <c r="EV84" s="684"/>
      <c r="EW84" s="684"/>
      <c r="EX84" s="684"/>
    </row>
    <row r="85" spans="1:158">
      <c r="A85" s="684"/>
      <c r="B85" s="684"/>
      <c r="C85" s="684"/>
      <c r="D85" s="684"/>
      <c r="E85" s="697"/>
      <c r="F85" s="697"/>
      <c r="G85" s="697"/>
      <c r="H85" s="697"/>
      <c r="I85" s="697"/>
      <c r="J85" s="697"/>
      <c r="K85" s="697"/>
      <c r="L85" s="697"/>
      <c r="M85" s="697"/>
      <c r="N85" s="697"/>
      <c r="O85" s="697"/>
      <c r="P85" s="684"/>
      <c r="Q85" s="684"/>
      <c r="R85" s="684"/>
      <c r="S85" s="684"/>
      <c r="T85" s="684"/>
      <c r="U85" s="684"/>
      <c r="V85" s="684"/>
      <c r="W85" s="684"/>
      <c r="X85" s="684"/>
      <c r="Y85" s="684"/>
      <c r="Z85" s="684"/>
      <c r="AA85" s="684"/>
      <c r="AB85" s="684"/>
      <c r="AC85" s="684"/>
      <c r="AD85" s="684"/>
      <c r="AE85" s="684"/>
      <c r="AF85" s="684"/>
      <c r="AG85" s="684"/>
      <c r="AH85" s="684"/>
      <c r="AI85" s="684"/>
      <c r="AJ85" s="684"/>
      <c r="AK85" s="684"/>
      <c r="AL85" s="684"/>
      <c r="AM85" s="684"/>
      <c r="AN85" s="684"/>
      <c r="AO85" s="684"/>
      <c r="AP85" s="684"/>
      <c r="AQ85" s="684"/>
      <c r="AR85" s="684"/>
      <c r="AS85" s="684"/>
      <c r="AT85" s="684"/>
      <c r="AU85" s="684"/>
      <c r="AV85" s="684"/>
      <c r="AW85" s="684"/>
      <c r="AX85" s="684"/>
      <c r="AY85" s="684"/>
      <c r="AZ85" s="684"/>
      <c r="BA85" s="684"/>
      <c r="BB85" s="684"/>
      <c r="BC85" s="684"/>
      <c r="BD85" s="684"/>
      <c r="BE85" s="684"/>
      <c r="BF85" s="684"/>
      <c r="BG85" s="684"/>
      <c r="BH85" s="684"/>
      <c r="BI85" s="684"/>
      <c r="BJ85" s="684"/>
      <c r="BK85" s="684"/>
      <c r="BL85" s="684"/>
      <c r="BM85" s="684"/>
      <c r="BN85" s="684"/>
      <c r="BP85" s="684"/>
      <c r="BQ85" s="684"/>
      <c r="BR85" s="684"/>
      <c r="BS85" s="684"/>
      <c r="BT85" s="684"/>
      <c r="BU85" s="684"/>
      <c r="BV85" s="684"/>
      <c r="BW85" s="684"/>
      <c r="BX85" s="684"/>
      <c r="BY85" s="684"/>
      <c r="BZ85" s="684"/>
      <c r="CA85" s="684"/>
      <c r="CB85" s="684"/>
      <c r="CC85" s="684"/>
      <c r="CD85" s="684"/>
      <c r="CE85" s="684"/>
      <c r="CF85" s="684"/>
      <c r="CG85" s="684"/>
      <c r="CH85" s="684"/>
      <c r="CI85" s="684"/>
      <c r="CJ85" s="684"/>
      <c r="CK85" s="684"/>
      <c r="CL85" s="684"/>
      <c r="CM85" s="684"/>
      <c r="CN85" s="684"/>
      <c r="CO85" s="684"/>
      <c r="CP85" s="684"/>
      <c r="CQ85" s="684"/>
      <c r="CR85" s="684"/>
      <c r="CS85" s="684"/>
      <c r="CT85" s="684"/>
      <c r="CU85" s="684"/>
      <c r="CV85" s="684"/>
      <c r="CW85" s="684"/>
      <c r="CX85" s="684"/>
      <c r="CY85" s="684"/>
      <c r="CZ85" s="684"/>
      <c r="DA85" s="684"/>
      <c r="DB85" s="684"/>
      <c r="DC85" s="684"/>
      <c r="DD85" s="684"/>
      <c r="DE85" s="684"/>
      <c r="DF85" s="684"/>
      <c r="DG85" s="684"/>
      <c r="DH85" s="684"/>
      <c r="DI85" s="684"/>
      <c r="DJ85" s="684"/>
      <c r="DK85" s="684"/>
      <c r="DL85" s="684"/>
      <c r="DM85" s="684"/>
      <c r="DN85" s="684"/>
      <c r="DO85" s="684"/>
      <c r="DP85" s="684"/>
      <c r="DQ85" s="684"/>
      <c r="DR85" s="684"/>
      <c r="DS85" s="684"/>
      <c r="DT85" s="684"/>
      <c r="DU85" s="684"/>
      <c r="DV85" s="684"/>
      <c r="DW85" s="684"/>
      <c r="DX85" s="684"/>
      <c r="DY85" s="684"/>
      <c r="DZ85" s="684"/>
      <c r="EA85" s="684"/>
      <c r="EB85" s="684"/>
      <c r="EC85" s="684"/>
      <c r="ED85" s="684"/>
      <c r="EE85" s="684"/>
      <c r="EF85" s="684"/>
      <c r="EG85" s="684"/>
      <c r="EH85" s="684"/>
      <c r="EI85" s="684"/>
      <c r="EJ85" s="684"/>
      <c r="EK85" s="684"/>
      <c r="EL85" s="684"/>
      <c r="EM85" s="684"/>
      <c r="EN85" s="684"/>
      <c r="EO85" s="684"/>
      <c r="EP85" s="684"/>
      <c r="EQ85" s="684"/>
      <c r="ER85" s="684"/>
      <c r="ES85" s="684"/>
      <c r="ET85" s="684"/>
      <c r="EU85" s="684"/>
      <c r="EV85" s="684"/>
      <c r="EW85" s="684"/>
      <c r="EX85" s="684"/>
    </row>
    <row r="86" spans="1:158">
      <c r="A86" s="684"/>
      <c r="B86" s="684"/>
      <c r="C86" s="684"/>
      <c r="D86" s="684"/>
      <c r="E86" s="684"/>
      <c r="F86" s="697"/>
      <c r="G86" s="697"/>
      <c r="H86" s="697"/>
      <c r="I86" s="697"/>
      <c r="J86" s="684"/>
      <c r="K86" s="684"/>
      <c r="L86" s="684"/>
      <c r="M86" s="684"/>
      <c r="N86" s="684"/>
      <c r="O86" s="684"/>
      <c r="P86" s="684"/>
      <c r="Q86" s="684"/>
      <c r="R86" s="684"/>
      <c r="S86" s="684"/>
      <c r="T86" s="684"/>
      <c r="U86" s="684"/>
      <c r="V86" s="684"/>
      <c r="W86" s="684"/>
      <c r="X86" s="684"/>
      <c r="Y86" s="684"/>
      <c r="Z86" s="684"/>
      <c r="AA86" s="684"/>
      <c r="AB86" s="684"/>
      <c r="AC86" s="684"/>
      <c r="AD86" s="684"/>
      <c r="AE86" s="684"/>
      <c r="AF86" s="684"/>
      <c r="AG86" s="684"/>
      <c r="AH86" s="684"/>
      <c r="AI86" s="684"/>
      <c r="AJ86" s="684"/>
      <c r="AK86" s="684"/>
      <c r="AL86" s="684"/>
      <c r="AM86" s="684"/>
      <c r="AN86" s="684"/>
      <c r="AO86" s="684"/>
      <c r="AP86" s="684"/>
      <c r="AQ86" s="684"/>
      <c r="AR86" s="684"/>
      <c r="AS86" s="684"/>
      <c r="AT86" s="684"/>
      <c r="AU86" s="684"/>
      <c r="AV86" s="684"/>
      <c r="AW86" s="684"/>
      <c r="AX86" s="684"/>
      <c r="AY86" s="684"/>
      <c r="AZ86" s="684"/>
      <c r="BA86" s="684"/>
      <c r="BB86" s="684"/>
      <c r="BC86" s="684"/>
      <c r="BD86" s="684"/>
      <c r="BE86" s="684"/>
      <c r="BF86" s="684"/>
      <c r="BG86" s="684"/>
      <c r="BH86" s="684"/>
      <c r="BI86" s="684"/>
      <c r="BJ86" s="684"/>
      <c r="BK86" s="684"/>
      <c r="BL86" s="684"/>
      <c r="BM86" s="684"/>
      <c r="BN86" s="684"/>
      <c r="BP86" s="684"/>
      <c r="BQ86" s="684"/>
      <c r="BR86" s="684"/>
      <c r="BS86" s="684"/>
      <c r="BT86" s="684"/>
      <c r="BU86" s="684"/>
      <c r="BV86" s="684"/>
      <c r="BW86" s="684"/>
      <c r="BX86" s="684"/>
      <c r="BY86" s="684"/>
      <c r="BZ86" s="684"/>
      <c r="CA86" s="684"/>
      <c r="CB86" s="684"/>
      <c r="CC86" s="684"/>
      <c r="CD86" s="684"/>
      <c r="CE86" s="684"/>
      <c r="CF86" s="684"/>
      <c r="CG86" s="684"/>
      <c r="CH86" s="684"/>
      <c r="CI86" s="684"/>
      <c r="CJ86" s="684"/>
      <c r="CK86" s="684"/>
      <c r="CL86" s="684"/>
      <c r="CM86" s="684"/>
      <c r="CN86" s="684"/>
      <c r="CO86" s="684"/>
      <c r="CP86" s="684"/>
      <c r="CQ86" s="684"/>
      <c r="CR86" s="684"/>
      <c r="CS86" s="684"/>
      <c r="CT86" s="684"/>
      <c r="CU86" s="684"/>
      <c r="CV86" s="684"/>
      <c r="CW86" s="684"/>
      <c r="CX86" s="684"/>
      <c r="CY86" s="684"/>
      <c r="CZ86" s="684"/>
      <c r="DA86" s="684"/>
      <c r="DB86" s="684"/>
      <c r="DC86" s="684"/>
      <c r="DD86" s="684"/>
      <c r="DE86" s="684"/>
      <c r="DF86" s="684"/>
      <c r="DG86" s="684"/>
      <c r="DH86" s="684"/>
      <c r="DI86" s="684"/>
      <c r="DJ86" s="684"/>
      <c r="DK86" s="684"/>
      <c r="DL86" s="684"/>
      <c r="DM86" s="684"/>
      <c r="DN86" s="684"/>
      <c r="DO86" s="684"/>
      <c r="DP86" s="684"/>
      <c r="DQ86" s="684"/>
      <c r="DR86" s="684"/>
      <c r="DS86" s="684"/>
      <c r="DT86" s="684"/>
      <c r="DU86" s="684"/>
      <c r="DV86" s="684"/>
      <c r="DW86" s="684"/>
      <c r="DX86" s="684"/>
      <c r="DY86" s="684"/>
      <c r="DZ86" s="684"/>
      <c r="EA86" s="684"/>
      <c r="EB86" s="684"/>
      <c r="EC86" s="684"/>
      <c r="ED86" s="684"/>
      <c r="EE86" s="684"/>
      <c r="EF86" s="684"/>
      <c r="EG86" s="684"/>
      <c r="EH86" s="684"/>
      <c r="EI86" s="684"/>
      <c r="EJ86" s="684"/>
      <c r="EK86" s="684"/>
      <c r="EL86" s="684"/>
      <c r="EM86" s="684"/>
      <c r="EN86" s="684"/>
      <c r="EO86" s="684"/>
      <c r="EP86" s="684"/>
      <c r="EQ86" s="684"/>
      <c r="ER86" s="684"/>
      <c r="ES86" s="684"/>
      <c r="ET86" s="684"/>
      <c r="EU86" s="684"/>
      <c r="EV86" s="684"/>
      <c r="EW86" s="684"/>
      <c r="EX86" s="684"/>
    </row>
    <row r="87" spans="1:158">
      <c r="A87" s="704"/>
      <c r="B87" s="684"/>
      <c r="C87" s="684"/>
      <c r="D87" s="684"/>
      <c r="E87" s="684"/>
      <c r="F87" s="697"/>
      <c r="G87" s="697"/>
      <c r="H87" s="697"/>
      <c r="I87" s="697"/>
      <c r="J87" s="684"/>
      <c r="K87" s="684"/>
      <c r="L87" s="684"/>
      <c r="M87" s="684"/>
      <c r="N87" s="684"/>
      <c r="O87" s="684"/>
      <c r="P87" s="684"/>
      <c r="Q87" s="684"/>
      <c r="R87" s="684"/>
      <c r="S87" s="684"/>
      <c r="T87" s="684"/>
      <c r="U87" s="684"/>
      <c r="V87" s="684"/>
      <c r="W87" s="684"/>
      <c r="X87" s="684"/>
      <c r="Y87" s="684"/>
      <c r="Z87" s="721"/>
      <c r="AA87" s="721"/>
      <c r="AB87" s="721"/>
      <c r="AC87" s="721"/>
      <c r="AD87" s="684"/>
      <c r="AE87" s="684"/>
      <c r="AF87" s="684"/>
      <c r="AG87" s="684"/>
      <c r="AH87" s="684"/>
      <c r="AI87" s="684"/>
      <c r="AJ87" s="684"/>
      <c r="AK87" s="684"/>
      <c r="AL87" s="684"/>
      <c r="AM87" s="684"/>
      <c r="AN87" s="684"/>
      <c r="AO87" s="684"/>
      <c r="AP87" s="684"/>
      <c r="AQ87" s="684"/>
      <c r="AR87" s="684"/>
      <c r="AS87" s="684"/>
      <c r="AT87" s="684"/>
      <c r="AU87" s="684"/>
      <c r="AV87" s="684"/>
      <c r="AW87" s="684"/>
      <c r="AX87" s="684"/>
      <c r="AY87" s="684"/>
      <c r="AZ87" s="684"/>
      <c r="BA87" s="684"/>
      <c r="BB87" s="684"/>
      <c r="BC87" s="684"/>
      <c r="BD87" s="684"/>
      <c r="BE87" s="684"/>
      <c r="BF87" s="684"/>
      <c r="BG87" s="684"/>
      <c r="BH87" s="684"/>
      <c r="BI87" s="684"/>
      <c r="BJ87" s="684"/>
      <c r="BK87" s="684"/>
      <c r="BL87" s="684"/>
      <c r="BM87" s="684"/>
      <c r="BN87" s="684"/>
      <c r="BP87" s="684"/>
      <c r="BQ87" s="684"/>
      <c r="BR87" s="684"/>
      <c r="BS87" s="684"/>
      <c r="BT87" s="684"/>
      <c r="BU87" s="684"/>
      <c r="BV87" s="684"/>
      <c r="BW87" s="684"/>
      <c r="BX87" s="684"/>
      <c r="BY87" s="684"/>
      <c r="BZ87" s="684"/>
      <c r="CA87" s="684"/>
      <c r="CB87" s="684"/>
      <c r="CC87" s="684"/>
      <c r="CD87" s="684"/>
      <c r="CE87" s="684"/>
      <c r="CF87" s="684"/>
      <c r="CG87" s="684"/>
      <c r="CH87" s="684"/>
      <c r="CI87" s="684"/>
      <c r="CJ87" s="684"/>
      <c r="CK87" s="684"/>
      <c r="CL87" s="684"/>
      <c r="CM87" s="684"/>
      <c r="CN87" s="684"/>
      <c r="CO87" s="684"/>
      <c r="CP87" s="684"/>
      <c r="CQ87" s="684"/>
      <c r="CR87" s="684"/>
      <c r="CS87" s="684"/>
      <c r="CT87" s="684"/>
      <c r="CU87" s="684"/>
      <c r="CV87" s="684"/>
      <c r="CW87" s="684"/>
      <c r="CX87" s="684"/>
      <c r="CY87" s="684"/>
      <c r="CZ87" s="684"/>
      <c r="DA87" s="684"/>
      <c r="DB87" s="684"/>
      <c r="DC87" s="684"/>
      <c r="DD87" s="684"/>
      <c r="DE87" s="684"/>
      <c r="DF87" s="684"/>
      <c r="DG87" s="684"/>
      <c r="DH87" s="684"/>
      <c r="DI87" s="684"/>
      <c r="DJ87" s="684"/>
      <c r="DK87" s="684"/>
      <c r="DL87" s="684"/>
      <c r="DM87" s="684"/>
      <c r="DN87" s="684"/>
      <c r="DO87" s="684"/>
      <c r="DP87" s="684"/>
      <c r="DQ87" s="684"/>
      <c r="DR87" s="684"/>
      <c r="DS87" s="684"/>
      <c r="DT87" s="684"/>
      <c r="DU87" s="684"/>
      <c r="DV87" s="684"/>
      <c r="DW87" s="684"/>
      <c r="DX87" s="684"/>
      <c r="DY87" s="684"/>
      <c r="DZ87" s="684"/>
      <c r="EA87" s="684"/>
      <c r="EB87" s="684"/>
      <c r="EC87" s="684"/>
      <c r="ED87" s="684"/>
      <c r="EE87" s="684"/>
      <c r="EF87" s="684"/>
      <c r="EG87" s="684"/>
      <c r="EH87" s="684"/>
      <c r="EI87" s="684"/>
      <c r="EJ87" s="684"/>
      <c r="EK87" s="684"/>
      <c r="EL87" s="684"/>
      <c r="EM87" s="684"/>
      <c r="EN87" s="684"/>
      <c r="EO87" s="684"/>
      <c r="EP87" s="684"/>
      <c r="EQ87" s="684"/>
      <c r="ER87" s="684"/>
      <c r="ES87" s="684"/>
      <c r="ET87" s="684"/>
      <c r="EU87" s="684"/>
      <c r="EV87" s="684"/>
      <c r="EW87" s="684"/>
      <c r="EX87" s="684"/>
    </row>
    <row r="88" spans="1:158">
      <c r="A88" s="718" t="s">
        <v>4775</v>
      </c>
      <c r="B88" s="722" t="s">
        <v>1243</v>
      </c>
      <c r="C88" s="722" t="s">
        <v>1249</v>
      </c>
      <c r="D88" s="722" t="s">
        <v>1331</v>
      </c>
      <c r="E88" s="722" t="s">
        <v>1332</v>
      </c>
      <c r="F88" s="722" t="s">
        <v>1619</v>
      </c>
      <c r="G88" s="722" t="s">
        <v>1719</v>
      </c>
      <c r="H88" s="722" t="s">
        <v>1823</v>
      </c>
      <c r="I88" s="722" t="s">
        <v>2007</v>
      </c>
      <c r="J88" s="722" t="s">
        <v>2118</v>
      </c>
      <c r="K88" s="722" t="s">
        <v>2143</v>
      </c>
      <c r="L88" s="722" t="s">
        <v>2232</v>
      </c>
      <c r="M88" s="722" t="s">
        <v>2378</v>
      </c>
      <c r="N88" s="722" t="s">
        <v>2515</v>
      </c>
      <c r="O88" s="722" t="s">
        <v>2596</v>
      </c>
      <c r="P88" s="722" t="s">
        <v>2759</v>
      </c>
      <c r="Q88" s="722" t="s">
        <v>3096</v>
      </c>
      <c r="R88" s="722" t="s">
        <v>3256</v>
      </c>
      <c r="S88" s="722" t="s">
        <v>3257</v>
      </c>
      <c r="T88" s="722" t="s">
        <v>3258</v>
      </c>
      <c r="U88" s="722" t="s">
        <v>3259</v>
      </c>
      <c r="V88" s="722" t="s">
        <v>3805</v>
      </c>
      <c r="W88" s="722" t="s">
        <v>3806</v>
      </c>
      <c r="X88" s="722" t="s">
        <v>3807</v>
      </c>
      <c r="Y88" s="722" t="s">
        <v>4617</v>
      </c>
      <c r="Z88" s="722" t="s">
        <v>4551</v>
      </c>
      <c r="AA88" s="722" t="s">
        <v>4594</v>
      </c>
      <c r="AB88" s="722" t="s">
        <v>4595</v>
      </c>
      <c r="AC88" s="722" t="s">
        <v>4596</v>
      </c>
      <c r="AD88" s="722" t="s">
        <v>5307</v>
      </c>
      <c r="AE88" s="722" t="s">
        <v>5308</v>
      </c>
      <c r="AF88" s="722" t="s">
        <v>5309</v>
      </c>
      <c r="AG88" s="722" t="s">
        <v>5310</v>
      </c>
      <c r="AH88" s="722" t="s">
        <v>6007</v>
      </c>
      <c r="AI88" s="722" t="s">
        <v>6242</v>
      </c>
      <c r="AJ88" s="722" t="s">
        <v>6243</v>
      </c>
      <c r="AK88" s="722" t="s">
        <v>6244</v>
      </c>
      <c r="AL88" s="722" t="s">
        <v>6473</v>
      </c>
      <c r="AM88" s="722" t="s">
        <v>6474</v>
      </c>
      <c r="AN88" s="722" t="s">
        <v>6475</v>
      </c>
      <c r="AO88" s="722" t="s">
        <v>6476</v>
      </c>
      <c r="AP88" s="722" t="s">
        <v>7046</v>
      </c>
      <c r="AQ88" s="722" t="s">
        <v>7463</v>
      </c>
      <c r="AR88" s="722" t="s">
        <v>7592</v>
      </c>
      <c r="AS88" s="722" t="s">
        <v>7615</v>
      </c>
      <c r="AT88" s="722" t="s">
        <v>7687</v>
      </c>
      <c r="AV88" s="684"/>
      <c r="AX88" s="718" t="s">
        <v>5179</v>
      </c>
      <c r="AY88" s="722" t="s">
        <v>3805</v>
      </c>
      <c r="AZ88" s="722" t="s">
        <v>3806</v>
      </c>
      <c r="BA88" s="722" t="s">
        <v>3807</v>
      </c>
      <c r="BB88" s="722" t="s">
        <v>3808</v>
      </c>
      <c r="BC88" s="722" t="str">
        <f>Z88</f>
        <v>Q1 19</v>
      </c>
      <c r="BD88" s="722" t="str">
        <f>AA88</f>
        <v>Q2 19</v>
      </c>
      <c r="BE88" s="722" t="str">
        <f>AB88</f>
        <v>Q3 19</v>
      </c>
      <c r="BF88" s="722" t="str">
        <f>AC88</f>
        <v>Q4 19</v>
      </c>
      <c r="BG88" s="722"/>
      <c r="BH88" s="722"/>
      <c r="BI88" s="722" t="str">
        <f t="shared" ref="BI88:BU88" si="34">AD88</f>
        <v>Q1 20</v>
      </c>
      <c r="BJ88" s="722" t="str">
        <f t="shared" si="34"/>
        <v>Q2 20</v>
      </c>
      <c r="BK88" s="722" t="str">
        <f t="shared" si="34"/>
        <v>Q3 20</v>
      </c>
      <c r="BL88" s="722" t="str">
        <f t="shared" si="34"/>
        <v>Q4 20</v>
      </c>
      <c r="BM88" s="722" t="str">
        <f t="shared" si="34"/>
        <v>Q1 21</v>
      </c>
      <c r="BN88" s="722" t="str">
        <f t="shared" si="34"/>
        <v>Q2 21</v>
      </c>
      <c r="BO88" s="722" t="str">
        <f t="shared" si="34"/>
        <v>Q3 21</v>
      </c>
      <c r="BP88" s="722" t="str">
        <f t="shared" si="34"/>
        <v>Q4 21</v>
      </c>
      <c r="BQ88" s="722" t="str">
        <f t="shared" si="34"/>
        <v>Q1 22</v>
      </c>
      <c r="BR88" s="722" t="str">
        <f t="shared" si="34"/>
        <v>Q2 22</v>
      </c>
      <c r="BS88" s="722" t="str">
        <f t="shared" si="34"/>
        <v>Q3 22</v>
      </c>
      <c r="BT88" s="722" t="str">
        <f t="shared" si="34"/>
        <v>Q4 22</v>
      </c>
      <c r="BU88" s="722" t="str">
        <f t="shared" si="34"/>
        <v>Q1 23</v>
      </c>
      <c r="BV88" s="684"/>
      <c r="BW88" s="684"/>
      <c r="BX88" s="684"/>
      <c r="BY88" s="684"/>
      <c r="BZ88" s="684"/>
      <c r="CA88" s="684"/>
      <c r="CB88" s="684"/>
      <c r="CC88" s="684"/>
      <c r="CD88" s="684"/>
      <c r="CE88" s="684"/>
      <c r="CF88" s="684"/>
      <c r="CG88" s="684"/>
      <c r="CH88" s="684"/>
      <c r="CI88" s="684"/>
      <c r="CJ88" s="684"/>
      <c r="CK88" s="684"/>
      <c r="CL88" s="684"/>
      <c r="CM88" s="684"/>
      <c r="CN88" s="684"/>
      <c r="CO88" s="684"/>
      <c r="CP88" s="684"/>
      <c r="CQ88" s="684"/>
      <c r="CR88" s="684"/>
      <c r="CS88" s="684"/>
      <c r="CT88" s="684"/>
      <c r="CU88" s="684"/>
      <c r="CV88" s="684"/>
      <c r="CW88" s="684"/>
      <c r="CX88" s="684"/>
      <c r="CY88" s="684"/>
      <c r="CZ88" s="684"/>
      <c r="DA88" s="684"/>
      <c r="DB88" s="684"/>
      <c r="DC88" s="684"/>
      <c r="DD88" s="684"/>
      <c r="DE88" s="684"/>
      <c r="DF88" s="684"/>
      <c r="DG88" s="684"/>
      <c r="DH88" s="684"/>
      <c r="DI88" s="684"/>
      <c r="DJ88" s="684"/>
      <c r="DK88" s="684"/>
      <c r="DL88" s="684"/>
      <c r="DM88" s="684"/>
      <c r="DN88" s="684"/>
      <c r="DO88" s="684"/>
      <c r="DP88" s="684"/>
      <c r="DQ88" s="684"/>
      <c r="DR88" s="684"/>
      <c r="DS88" s="684"/>
      <c r="DT88" s="684"/>
      <c r="DU88" s="684"/>
      <c r="DV88" s="684"/>
      <c r="DW88" s="684"/>
      <c r="DX88" s="684"/>
      <c r="DY88" s="684"/>
      <c r="DZ88" s="684"/>
      <c r="EA88" s="684"/>
      <c r="EB88" s="684"/>
      <c r="EC88" s="684"/>
      <c r="ED88" s="684"/>
      <c r="EE88" s="684"/>
      <c r="EF88" s="684"/>
      <c r="EG88" s="684"/>
      <c r="EH88" s="684"/>
      <c r="EI88" s="684"/>
      <c r="EJ88" s="684"/>
      <c r="EK88" s="684"/>
      <c r="EL88" s="684"/>
      <c r="EM88" s="684"/>
      <c r="EN88" s="684"/>
      <c r="EO88" s="684"/>
      <c r="EP88" s="684"/>
      <c r="EQ88" s="684"/>
      <c r="ER88" s="684"/>
      <c r="ES88" s="684"/>
      <c r="ET88" s="684"/>
      <c r="EU88" s="684"/>
      <c r="EV88" s="684"/>
      <c r="EW88" s="684"/>
      <c r="EX88" s="684"/>
      <c r="EY88" s="684"/>
      <c r="EZ88" s="684"/>
      <c r="FA88" s="684"/>
      <c r="FB88" s="684"/>
    </row>
    <row r="89" spans="1:158">
      <c r="A89" s="707" t="s">
        <v>1818</v>
      </c>
      <c r="B89" s="703">
        <f>Interims!Q245</f>
        <v>54.800000000000182</v>
      </c>
      <c r="C89" s="703">
        <f>Interims!R245</f>
        <v>41.999999999999545</v>
      </c>
      <c r="D89" s="703">
        <f>Interims!S245</f>
        <v>58.260000000000218</v>
      </c>
      <c r="E89" s="703">
        <f>Interims!T245</f>
        <v>31.940000000000055</v>
      </c>
      <c r="F89" s="703">
        <f>Interims!V245</f>
        <v>22.730000000000018</v>
      </c>
      <c r="G89" s="703">
        <f>Interims!W245</f>
        <v>51.869000000000142</v>
      </c>
      <c r="H89" s="703">
        <f>Interims!X245</f>
        <v>-4.4990000000003647</v>
      </c>
      <c r="I89" s="703">
        <f>Interims!Y245</f>
        <v>44.637000000000171</v>
      </c>
      <c r="J89" s="684"/>
      <c r="K89" s="703">
        <f>Interims!AB245</f>
        <v>48.512000000000171</v>
      </c>
      <c r="L89" s="703">
        <f>Interims!AC245</f>
        <v>31.88799999999992</v>
      </c>
      <c r="M89" s="703">
        <f>Interims!AD245</f>
        <v>113.25500000000011</v>
      </c>
      <c r="N89" s="703">
        <f>Interims!AF245</f>
        <v>91.644999999999982</v>
      </c>
      <c r="O89" s="703">
        <f>Interims!AG245</f>
        <v>66.599999999999454</v>
      </c>
      <c r="P89" s="703">
        <f>Interims!AH245</f>
        <v>20.4950000000008</v>
      </c>
      <c r="Q89" s="703">
        <f>Interims!AI245</f>
        <v>-34.4950000000008</v>
      </c>
      <c r="R89" s="703">
        <f>Interims!AK245</f>
        <v>-67.623999999999995</v>
      </c>
      <c r="S89" s="703">
        <f>Interims!AL245</f>
        <v>25.465000000000146</v>
      </c>
      <c r="T89" s="703">
        <f>Interims!AM245</f>
        <v>30.972999999999502</v>
      </c>
      <c r="U89" s="703">
        <f>Interims!AN245</f>
        <v>61.777000000000044</v>
      </c>
      <c r="V89" s="703">
        <f>Interims!AP245</f>
        <v>52.800000000000182</v>
      </c>
      <c r="W89" s="703">
        <f>Interims!AQ245</f>
        <v>78.059000000000196</v>
      </c>
      <c r="X89" s="703">
        <f>Interims!AR245</f>
        <v>-34.734000000000378</v>
      </c>
      <c r="Y89" s="703">
        <f>Interims!AS245</f>
        <v>103.1220000000003</v>
      </c>
      <c r="Z89" s="703">
        <f>Interims!AU245</f>
        <v>-8.3999999999996362</v>
      </c>
      <c r="AA89" s="703">
        <f>Interims!AV245</f>
        <v>11.406999999999243</v>
      </c>
      <c r="AB89" s="703">
        <f>Interims!AW245</f>
        <v>-42.006999999999607</v>
      </c>
      <c r="AC89" s="703">
        <f>Interims!AX245</f>
        <v>-26.136999999999716</v>
      </c>
      <c r="AD89" s="703">
        <f>Interims!AZ245</f>
        <v>-10.805000000000291</v>
      </c>
      <c r="AE89" s="703">
        <f>Interims!BA245</f>
        <v>27.420000000000073</v>
      </c>
      <c r="AF89" s="703">
        <f>Interims!BB245</f>
        <v>-1.569999999999709</v>
      </c>
      <c r="AG89" s="703">
        <f>Interims!BC245</f>
        <v>-49.226000000000568</v>
      </c>
      <c r="AH89" s="703">
        <f>Interims!BE245</f>
        <v>-38.59900000000016</v>
      </c>
      <c r="AI89" s="703">
        <f>Interims!BF245</f>
        <v>-31.505000000000109</v>
      </c>
      <c r="AJ89" s="703">
        <f>Interims!BG245</f>
        <v>-59.066999999999098</v>
      </c>
      <c r="AK89" s="703">
        <f>Interims!BH245</f>
        <v>10.930999999999585</v>
      </c>
      <c r="AL89" s="703">
        <f>Interims!BJ245</f>
        <v>89.041000000000167</v>
      </c>
      <c r="AM89" s="703">
        <f>Interims!BK245</f>
        <v>79.146999999999935</v>
      </c>
      <c r="AN89" s="703">
        <f>Interims!BL245</f>
        <v>71.046999999999571</v>
      </c>
      <c r="AO89" s="703">
        <f>Interims!BM245</f>
        <v>52.525000000000546</v>
      </c>
      <c r="AP89" s="703">
        <f>Interims!BO245</f>
        <v>30.869999999999891</v>
      </c>
      <c r="AQ89" s="703">
        <f>Interims!BP245</f>
        <v>-46.190000000000509</v>
      </c>
      <c r="AR89" s="703">
        <f>Interims!BQ245</f>
        <v>-383.50999999999976</v>
      </c>
      <c r="AS89" s="703">
        <f>Interims!BR245</f>
        <v>0.10400000000026921</v>
      </c>
      <c r="AT89" s="703">
        <f>Interims!BT245</f>
        <v>2.7539999999999054</v>
      </c>
      <c r="AV89" s="684"/>
      <c r="AX89" s="684" t="s">
        <v>1042</v>
      </c>
      <c r="AY89" s="703">
        <f t="shared" ref="AY89:BF89" si="35">V90</f>
        <v>173.40000000000009</v>
      </c>
      <c r="AZ89" s="703">
        <f t="shared" si="35"/>
        <v>136.19900000000007</v>
      </c>
      <c r="BA89" s="703">
        <f t="shared" si="35"/>
        <v>61.648999999999432</v>
      </c>
      <c r="BB89" s="703">
        <f t="shared" si="35"/>
        <v>310.76900000000023</v>
      </c>
      <c r="BC89" s="703">
        <f t="shared" si="35"/>
        <v>88.5</v>
      </c>
      <c r="BD89" s="703">
        <f t="shared" si="35"/>
        <v>72.774999999999636</v>
      </c>
      <c r="BE89" s="703">
        <f t="shared" si="35"/>
        <v>18.725000000000364</v>
      </c>
      <c r="BF89" s="703">
        <f t="shared" si="35"/>
        <v>37.054000000000087</v>
      </c>
      <c r="BG89" s="703"/>
      <c r="BH89" s="703"/>
      <c r="BI89" s="703">
        <f t="shared" ref="BI89:BU89" si="36">AD90</f>
        <v>121.04899999999998</v>
      </c>
      <c r="BJ89" s="703">
        <f t="shared" si="36"/>
        <v>252.17399999999998</v>
      </c>
      <c r="BK89" s="703">
        <f t="shared" si="36"/>
        <v>233.96799999999985</v>
      </c>
      <c r="BL89" s="703">
        <f t="shared" si="36"/>
        <v>127.61400000000049</v>
      </c>
      <c r="BM89" s="703">
        <f t="shared" si="36"/>
        <v>103.96000000000004</v>
      </c>
      <c r="BN89" s="703">
        <f t="shared" si="36"/>
        <v>31.368999999999687</v>
      </c>
      <c r="BO89" s="703">
        <f t="shared" si="36"/>
        <v>24.595000000000255</v>
      </c>
      <c r="BP89" s="703">
        <f t="shared" si="36"/>
        <v>58.318999999999505</v>
      </c>
      <c r="BQ89" s="703">
        <f t="shared" si="36"/>
        <v>82.923999999999978</v>
      </c>
      <c r="BR89" s="703">
        <f t="shared" si="36"/>
        <v>77.564000000000306</v>
      </c>
      <c r="BS89" s="703">
        <f t="shared" si="36"/>
        <v>96.233999999999469</v>
      </c>
      <c r="BT89" s="703">
        <f t="shared" si="36"/>
        <v>78.327000000000226</v>
      </c>
      <c r="BU89" s="703">
        <f t="shared" si="36"/>
        <v>84.71100000000024</v>
      </c>
      <c r="BV89" s="684"/>
      <c r="BW89" s="684"/>
      <c r="BX89" s="684"/>
      <c r="BY89" s="684"/>
      <c r="BZ89" s="684"/>
      <c r="CA89" s="684"/>
      <c r="CB89" s="684"/>
      <c r="CC89" s="684"/>
      <c r="CD89" s="684"/>
      <c r="CE89" s="684"/>
      <c r="CF89" s="684"/>
      <c r="CG89" s="684"/>
      <c r="CH89" s="684"/>
      <c r="CI89" s="684"/>
      <c r="CJ89" s="684"/>
      <c r="CK89" s="684"/>
      <c r="CL89" s="684"/>
      <c r="CM89" s="684"/>
      <c r="CN89" s="684"/>
      <c r="CO89" s="684"/>
      <c r="CP89" s="684"/>
      <c r="CQ89" s="684"/>
      <c r="CR89" s="684"/>
      <c r="CS89" s="684"/>
      <c r="CT89" s="684"/>
      <c r="CU89" s="684"/>
      <c r="CV89" s="684"/>
      <c r="CW89" s="684"/>
      <c r="CX89" s="684"/>
      <c r="CY89" s="684"/>
      <c r="CZ89" s="684"/>
      <c r="DA89" s="684"/>
      <c r="DB89" s="684"/>
      <c r="DC89" s="684"/>
      <c r="DD89" s="684"/>
      <c r="DE89" s="684"/>
      <c r="DF89" s="684"/>
      <c r="DG89" s="684"/>
      <c r="DH89" s="684"/>
      <c r="DI89" s="684"/>
      <c r="DJ89" s="684"/>
      <c r="DK89" s="684"/>
      <c r="DL89" s="684"/>
      <c r="DM89" s="684"/>
      <c r="DN89" s="684"/>
      <c r="DO89" s="684"/>
      <c r="DP89" s="684"/>
      <c r="DQ89" s="684"/>
      <c r="DR89" s="684"/>
      <c r="DS89" s="684"/>
      <c r="DT89" s="684"/>
      <c r="DU89" s="684"/>
      <c r="DV89" s="684"/>
      <c r="DW89" s="684"/>
      <c r="DX89" s="684"/>
      <c r="DY89" s="684"/>
      <c r="DZ89" s="684"/>
      <c r="EA89" s="684"/>
      <c r="EB89" s="684"/>
      <c r="EC89" s="684"/>
      <c r="ED89" s="684"/>
      <c r="EE89" s="684"/>
      <c r="EF89" s="684"/>
      <c r="EG89" s="684"/>
      <c r="EH89" s="684"/>
      <c r="EI89" s="684"/>
      <c r="EJ89" s="684"/>
      <c r="EK89" s="684"/>
      <c r="EL89" s="684"/>
      <c r="EM89" s="684"/>
      <c r="EN89" s="684"/>
      <c r="EO89" s="684"/>
      <c r="EP89" s="684"/>
      <c r="EQ89" s="684"/>
      <c r="ER89" s="684"/>
      <c r="ES89" s="684"/>
      <c r="ET89" s="684"/>
      <c r="EU89" s="684"/>
      <c r="EV89" s="684"/>
      <c r="EW89" s="684"/>
      <c r="EX89" s="684"/>
      <c r="EY89" s="684"/>
      <c r="EZ89" s="684"/>
      <c r="FA89" s="684"/>
      <c r="FB89" s="684"/>
    </row>
    <row r="90" spans="1:158">
      <c r="A90" s="707" t="str">
        <f>Interims!A246</f>
        <v>Internet</v>
      </c>
      <c r="B90" s="703">
        <f>Interims!Q246</f>
        <v>78.400000000000091</v>
      </c>
      <c r="C90" s="703">
        <f>Interims!R246</f>
        <v>72.399999999999864</v>
      </c>
      <c r="D90" s="703">
        <f>Interims!S246</f>
        <v>109.79999999999995</v>
      </c>
      <c r="E90" s="703">
        <f>Interims!T246</f>
        <v>99.400000000000091</v>
      </c>
      <c r="F90" s="703">
        <f>Interims!V246</f>
        <v>84.398000000000138</v>
      </c>
      <c r="G90" s="703">
        <f>Interims!W246</f>
        <v>89.950000000000045</v>
      </c>
      <c r="H90" s="703">
        <f>Interims!X246</f>
        <v>72.651999999999816</v>
      </c>
      <c r="I90" s="703">
        <f>Interims!Y246</f>
        <v>122.70899999999983</v>
      </c>
      <c r="J90" s="684"/>
      <c r="K90" s="703">
        <f>Interims!AB246</f>
        <v>145.40099999999984</v>
      </c>
      <c r="L90" s="703">
        <f>Interims!AC246</f>
        <v>152.39900000000034</v>
      </c>
      <c r="M90" s="703">
        <f>Interims!AD246</f>
        <v>165.89899999999989</v>
      </c>
      <c r="N90" s="703">
        <f>Interims!AF246</f>
        <v>80.586999999999989</v>
      </c>
      <c r="O90" s="703">
        <f>Interims!AG246</f>
        <v>110.81399999999985</v>
      </c>
      <c r="P90" s="703">
        <f>Interims!AH246</f>
        <v>87.960000000000036</v>
      </c>
      <c r="Q90" s="703">
        <f>Interims!AI246</f>
        <v>65.740000000000236</v>
      </c>
      <c r="R90" s="703">
        <f>Interims!AK246</f>
        <v>45.057000000000002</v>
      </c>
      <c r="S90" s="703">
        <f>Interims!AL246</f>
        <v>119.03099999999995</v>
      </c>
      <c r="T90" s="703">
        <f>Interims!AM246</f>
        <v>144.53200000000015</v>
      </c>
      <c r="U90" s="703">
        <f>Interims!AN246</f>
        <v>157.20399999999972</v>
      </c>
      <c r="V90" s="703">
        <f>Interims!AP246</f>
        <v>173.40000000000009</v>
      </c>
      <c r="W90" s="703">
        <f>Interims!AQ246</f>
        <v>136.19900000000007</v>
      </c>
      <c r="X90" s="703">
        <f>Interims!AR246</f>
        <v>61.648999999999432</v>
      </c>
      <c r="Y90" s="703">
        <f>Interims!AS246</f>
        <v>310.76900000000023</v>
      </c>
      <c r="Z90" s="703">
        <f>Interims!AU246</f>
        <v>88.5</v>
      </c>
      <c r="AA90" s="703">
        <f>Interims!AV246</f>
        <v>72.774999999999636</v>
      </c>
      <c r="AB90" s="703">
        <f>Interims!AW246</f>
        <v>18.725000000000364</v>
      </c>
      <c r="AC90" s="703">
        <f>Interims!AX246</f>
        <v>37.054000000000087</v>
      </c>
      <c r="AD90" s="703">
        <f>Interims!AZ246</f>
        <v>121.04899999999998</v>
      </c>
      <c r="AE90" s="703">
        <f>Interims!BA246</f>
        <v>252.17399999999998</v>
      </c>
      <c r="AF90" s="703">
        <f>Interims!BB246</f>
        <v>233.96799999999985</v>
      </c>
      <c r="AG90" s="703">
        <f>Interims!BC246</f>
        <v>127.61400000000049</v>
      </c>
      <c r="AH90" s="703">
        <f>Interims!BE246</f>
        <v>103.96000000000004</v>
      </c>
      <c r="AI90" s="703">
        <f>Interims!BF246</f>
        <v>31.368999999999687</v>
      </c>
      <c r="AJ90" s="703">
        <f>Interims!BG246</f>
        <v>24.595000000000255</v>
      </c>
      <c r="AK90" s="703">
        <f>Interims!BH246</f>
        <v>58.318999999999505</v>
      </c>
      <c r="AL90" s="703">
        <f>Interims!BJ246</f>
        <v>82.923999999999978</v>
      </c>
      <c r="AM90" s="703">
        <f>Interims!BK246</f>
        <v>77.564000000000306</v>
      </c>
      <c r="AN90" s="703">
        <f>Interims!BL246</f>
        <v>96.233999999999469</v>
      </c>
      <c r="AO90" s="703">
        <f>Interims!BM246</f>
        <v>78.327000000000226</v>
      </c>
      <c r="AP90" s="703">
        <f>Interims!BO246</f>
        <v>84.71100000000024</v>
      </c>
      <c r="AQ90" s="703">
        <f>Interims!BP246</f>
        <v>-37.76299999999992</v>
      </c>
      <c r="AR90" s="703">
        <f>Interims!BQ246</f>
        <v>-353.26299999999992</v>
      </c>
      <c r="AS90" s="703">
        <f>Interims!BR246</f>
        <v>0.59499999999934516</v>
      </c>
      <c r="AT90" s="703">
        <f>Interims!BT246</f>
        <v>10.712000000000444</v>
      </c>
      <c r="AV90" s="684"/>
      <c r="AX90" s="684" t="s">
        <v>2335</v>
      </c>
      <c r="AY90" s="703">
        <f t="shared" ref="AY90:BF90" si="37">V97</f>
        <v>110.95899999999983</v>
      </c>
      <c r="AZ90" s="703">
        <f t="shared" si="37"/>
        <v>79.867000000000189</v>
      </c>
      <c r="BA90" s="703">
        <f t="shared" si="37"/>
        <v>77.932999999999993</v>
      </c>
      <c r="BB90" s="703">
        <f t="shared" si="37"/>
        <v>48.602999999999611</v>
      </c>
      <c r="BC90" s="703">
        <f t="shared" si="37"/>
        <v>11.197000000000116</v>
      </c>
      <c r="BD90" s="703">
        <f t="shared" si="37"/>
        <v>69.363000000000284</v>
      </c>
      <c r="BE90" s="703">
        <f t="shared" si="37"/>
        <v>44.036999999999807</v>
      </c>
      <c r="BF90" s="703">
        <f t="shared" si="37"/>
        <v>31</v>
      </c>
      <c r="BG90" s="703"/>
      <c r="BH90" s="703"/>
      <c r="BI90" s="703">
        <f t="shared" ref="BI90:BU90" si="38">AD97</f>
        <v>48.752999999999702</v>
      </c>
      <c r="BJ90" s="703">
        <f t="shared" si="38"/>
        <v>83.019000000000233</v>
      </c>
      <c r="BK90" s="703">
        <f t="shared" si="38"/>
        <v>184.5949999999998</v>
      </c>
      <c r="BL90" s="703">
        <f t="shared" si="38"/>
        <v>96.329000000000178</v>
      </c>
      <c r="BM90" s="703">
        <f t="shared" si="38"/>
        <v>79.415999999999713</v>
      </c>
      <c r="BN90" s="703">
        <f t="shared" si="38"/>
        <v>58.160000000000309</v>
      </c>
      <c r="BO90" s="703">
        <f t="shared" si="38"/>
        <v>105</v>
      </c>
      <c r="BP90" s="703">
        <f t="shared" si="38"/>
        <v>80.981000000000222</v>
      </c>
      <c r="BQ90" s="703">
        <f t="shared" si="38"/>
        <v>59.403999999999996</v>
      </c>
      <c r="BR90" s="703">
        <f t="shared" si="38"/>
        <v>19.177999999999884</v>
      </c>
      <c r="BS90" s="703">
        <f t="shared" si="38"/>
        <v>100.65700000000015</v>
      </c>
      <c r="BT90" s="703">
        <f t="shared" si="38"/>
        <v>124.72799999999961</v>
      </c>
      <c r="BU90" s="703">
        <f t="shared" si="38"/>
        <v>147.30500000000029</v>
      </c>
      <c r="BV90" s="684"/>
      <c r="BW90" s="684"/>
      <c r="BX90" s="684"/>
      <c r="BY90" s="684"/>
      <c r="BZ90" s="684"/>
      <c r="CA90" s="684"/>
      <c r="CB90" s="684"/>
      <c r="CC90" s="684"/>
      <c r="CD90" s="684"/>
      <c r="CE90" s="684"/>
      <c r="CF90" s="684"/>
      <c r="CG90" s="684"/>
      <c r="CH90" s="684"/>
      <c r="CI90" s="684"/>
      <c r="CJ90" s="684"/>
      <c r="CK90" s="684"/>
      <c r="CL90" s="684"/>
      <c r="CM90" s="684"/>
      <c r="CN90" s="684"/>
      <c r="CO90" s="684"/>
      <c r="CP90" s="684"/>
      <c r="CQ90" s="684"/>
      <c r="CR90" s="684"/>
      <c r="CS90" s="684"/>
      <c r="CT90" s="684"/>
      <c r="CU90" s="684"/>
      <c r="CV90" s="684"/>
      <c r="CW90" s="684"/>
      <c r="CX90" s="684"/>
      <c r="CY90" s="684"/>
      <c r="CZ90" s="684"/>
      <c r="DA90" s="684"/>
      <c r="DB90" s="684"/>
      <c r="DC90" s="684"/>
      <c r="DD90" s="684"/>
      <c r="DE90" s="684"/>
      <c r="DF90" s="684"/>
      <c r="DG90" s="684"/>
      <c r="DH90" s="684"/>
      <c r="DI90" s="684"/>
      <c r="DJ90" s="684"/>
      <c r="DK90" s="684"/>
      <c r="DL90" s="684"/>
      <c r="DM90" s="684"/>
      <c r="DN90" s="684"/>
      <c r="DO90" s="684"/>
      <c r="DP90" s="684"/>
      <c r="DQ90" s="684"/>
      <c r="DR90" s="684"/>
      <c r="DS90" s="684"/>
      <c r="DT90" s="684"/>
      <c r="DU90" s="684"/>
      <c r="DV90" s="684"/>
      <c r="DW90" s="684"/>
      <c r="DX90" s="684"/>
      <c r="DY90" s="684"/>
      <c r="DZ90" s="684"/>
      <c r="EA90" s="684"/>
      <c r="EB90" s="684"/>
      <c r="EC90" s="684"/>
      <c r="ED90" s="684"/>
      <c r="EE90" s="684"/>
      <c r="EF90" s="684"/>
      <c r="EG90" s="684"/>
      <c r="EH90" s="684"/>
      <c r="EI90" s="684"/>
      <c r="EJ90" s="684"/>
      <c r="EK90" s="684"/>
      <c r="EL90" s="684"/>
      <c r="EM90" s="684"/>
      <c r="EN90" s="684"/>
      <c r="EO90" s="684"/>
      <c r="EP90" s="684"/>
      <c r="EQ90" s="684"/>
      <c r="ER90" s="684"/>
      <c r="ES90" s="684"/>
      <c r="ET90" s="684"/>
      <c r="EU90" s="684"/>
      <c r="EV90" s="684"/>
      <c r="EW90" s="684"/>
      <c r="EX90" s="684"/>
      <c r="EY90" s="684"/>
      <c r="EZ90" s="684"/>
      <c r="FA90" s="684"/>
      <c r="FB90" s="684"/>
    </row>
    <row r="91" spans="1:158">
      <c r="A91" s="719" t="str">
        <f>Interims!A248</f>
        <v>Voice</v>
      </c>
      <c r="B91" s="723">
        <f>Interims!Q248</f>
        <v>30.600000000000023</v>
      </c>
      <c r="C91" s="723">
        <f>Interims!R248</f>
        <v>27.799999999999955</v>
      </c>
      <c r="D91" s="723">
        <f>Interims!S248</f>
        <v>59.299999999999955</v>
      </c>
      <c r="E91" s="723">
        <f>Interims!T248</f>
        <v>44.300000000000068</v>
      </c>
      <c r="F91" s="723">
        <f>Interims!V248</f>
        <v>26.879000000000019</v>
      </c>
      <c r="G91" s="723">
        <f>Interims!W248</f>
        <v>47.905999999999949</v>
      </c>
      <c r="H91" s="723">
        <f>Interims!X248</f>
        <v>24.215000000000032</v>
      </c>
      <c r="I91" s="723">
        <f>Interims!Y248</f>
        <v>80.182000000000016</v>
      </c>
      <c r="J91" s="724"/>
      <c r="K91" s="723">
        <f>Interims!AB248</f>
        <v>147.76099999999997</v>
      </c>
      <c r="L91" s="723">
        <f>Interims!AC248</f>
        <v>154.43900000000008</v>
      </c>
      <c r="M91" s="723">
        <f>Interims!AD248</f>
        <v>140.82600000000002</v>
      </c>
      <c r="N91" s="723">
        <f>Interims!AF248</f>
        <v>77.563999999999851</v>
      </c>
      <c r="O91" s="723">
        <f>Interims!AG248</f>
        <v>82.810000000000173</v>
      </c>
      <c r="P91" s="723">
        <f>Interims!AH248</f>
        <v>40.893000000000029</v>
      </c>
      <c r="Q91" s="723">
        <f>Interims!AI248</f>
        <v>20.906999999999698</v>
      </c>
      <c r="R91" s="723">
        <f>Interims!AK248</f>
        <v>2.8479999999999999</v>
      </c>
      <c r="S91" s="723">
        <f>Interims!AL248</f>
        <v>14.82300000000032</v>
      </c>
      <c r="T91" s="723">
        <f>Interims!AM248</f>
        <v>23.264999999999873</v>
      </c>
      <c r="U91" s="723">
        <f>Interims!AN248</f>
        <v>22.887000000000171</v>
      </c>
      <c r="V91" s="723">
        <f>Interims!AP248</f>
        <v>36.047999999999774</v>
      </c>
      <c r="W91" s="723">
        <f>Interims!AQ248</f>
        <v>115.07299999999987</v>
      </c>
      <c r="X91" s="723">
        <f>Interims!AR248</f>
        <v>246.89900000000034</v>
      </c>
      <c r="Y91" s="723">
        <f>Interims!AS248</f>
        <v>458.5359999999996</v>
      </c>
      <c r="Z91" s="723">
        <f>Interims!AU248</f>
        <v>204.69200000000001</v>
      </c>
      <c r="AA91" s="723">
        <f>Interims!AV248</f>
        <v>202.18700000000035</v>
      </c>
      <c r="AB91" s="723">
        <f>Interims!AW248</f>
        <v>148.61299999999983</v>
      </c>
      <c r="AC91" s="723">
        <f>Interims!AX248</f>
        <v>103.99200000000019</v>
      </c>
      <c r="AD91" s="723">
        <f>Interims!AZ248</f>
        <v>145.52699999999959</v>
      </c>
      <c r="AE91" s="723">
        <f>Interims!BA248</f>
        <v>214.52800000000025</v>
      </c>
      <c r="AF91" s="723">
        <f>Interims!BB248</f>
        <v>189.2170000000001</v>
      </c>
      <c r="AG91" s="723">
        <f>Interims!BC248</f>
        <v>109.26599999999962</v>
      </c>
      <c r="AH91" s="723">
        <f>Interims!BE248</f>
        <v>85.875</v>
      </c>
      <c r="AI91" s="723">
        <f>Interims!BF248</f>
        <v>35.033000000000357</v>
      </c>
      <c r="AJ91" s="723">
        <f>Interims!BG248</f>
        <v>68.300000000000182</v>
      </c>
      <c r="AK91" s="723">
        <f>Interims!BH248</f>
        <v>131.52700000000004</v>
      </c>
      <c r="AL91" s="723">
        <f>Interims!BJ248</f>
        <v>147.32699999999932</v>
      </c>
      <c r="AM91" s="723">
        <f>Interims!BK248</f>
        <v>147.13500000000022</v>
      </c>
      <c r="AN91" s="723">
        <f>Interims!BL248</f>
        <v>152.34799999999996</v>
      </c>
      <c r="AO91" s="723">
        <f>Interims!BM248</f>
        <v>169.64900000000034</v>
      </c>
      <c r="AP91" s="723">
        <f>Interims!BO248</f>
        <v>174.83600000000024</v>
      </c>
      <c r="AQ91" s="723">
        <f>Interims!BP248</f>
        <v>57.473999999999251</v>
      </c>
      <c r="AR91" s="723">
        <f>Interims!BQ248</f>
        <v>-115.27700000000004</v>
      </c>
      <c r="AS91" s="723">
        <f>Interims!BR248</f>
        <v>0.38800000000082946</v>
      </c>
      <c r="AT91" s="723">
        <f>Interims!BT248</f>
        <v>4.3049999999993815</v>
      </c>
      <c r="AV91" s="684"/>
      <c r="AX91" s="724" t="s">
        <v>87</v>
      </c>
      <c r="AY91" s="725">
        <f t="shared" ref="AY91:BF91" si="39">AH17</f>
        <v>0</v>
      </c>
      <c r="AZ91" s="725">
        <f t="shared" si="39"/>
        <v>0</v>
      </c>
      <c r="BA91" s="725">
        <f t="shared" si="39"/>
        <v>0</v>
      </c>
      <c r="BB91" s="725">
        <f t="shared" si="39"/>
        <v>92.262</v>
      </c>
      <c r="BC91" s="725">
        <f t="shared" si="39"/>
        <v>73</v>
      </c>
      <c r="BD91" s="725">
        <f t="shared" si="39"/>
        <v>73.09899999999999</v>
      </c>
      <c r="BE91" s="725">
        <f t="shared" si="39"/>
        <v>80.63900000000001</v>
      </c>
      <c r="BF91" s="725">
        <f t="shared" si="39"/>
        <v>67.113999999999976</v>
      </c>
      <c r="BG91" s="725"/>
      <c r="BH91" s="725"/>
      <c r="BI91" s="725">
        <f t="shared" ref="BI91:BU91" si="40">AP17</f>
        <v>44.298000000000002</v>
      </c>
      <c r="BJ91" s="725">
        <f t="shared" si="40"/>
        <v>72.016999999999996</v>
      </c>
      <c r="BK91" s="725">
        <f t="shared" si="40"/>
        <v>91.571000000000026</v>
      </c>
      <c r="BL91" s="725">
        <f t="shared" si="40"/>
        <v>72</v>
      </c>
      <c r="BM91" s="725">
        <f t="shared" si="40"/>
        <v>32</v>
      </c>
      <c r="BN91" s="725">
        <f t="shared" si="40"/>
        <v>9</v>
      </c>
      <c r="BO91" s="725">
        <f t="shared" si="40"/>
        <v>15.480999999999995</v>
      </c>
      <c r="BP91" s="725">
        <f t="shared" si="40"/>
        <v>4.7450000000000045</v>
      </c>
      <c r="BQ91" s="725">
        <f t="shared" si="40"/>
        <v>-8.0030000000000427</v>
      </c>
      <c r="BR91" s="725">
        <f t="shared" si="40"/>
        <v>-26.455999999999904</v>
      </c>
      <c r="BS91" s="725">
        <f t="shared" si="40"/>
        <v>-25.754000000000019</v>
      </c>
      <c r="BT91" s="725">
        <f t="shared" si="40"/>
        <v>-26.719000000000051</v>
      </c>
      <c r="BU91" s="725">
        <f t="shared" si="40"/>
        <v>-32.172000000000025</v>
      </c>
      <c r="BV91" s="684"/>
      <c r="BW91" s="684"/>
      <c r="BX91" s="684"/>
      <c r="BY91" s="684"/>
      <c r="BZ91" s="684"/>
      <c r="CA91" s="684"/>
      <c r="CB91" s="684"/>
      <c r="CC91" s="684"/>
      <c r="CD91" s="684"/>
      <c r="CE91" s="684"/>
      <c r="CF91" s="684"/>
      <c r="CG91" s="684"/>
      <c r="CH91" s="684"/>
      <c r="CI91" s="684"/>
      <c r="CJ91" s="684"/>
      <c r="CK91" s="684"/>
      <c r="CL91" s="684"/>
      <c r="CM91" s="684"/>
      <c r="CN91" s="684"/>
      <c r="CO91" s="684"/>
      <c r="CP91" s="684"/>
      <c r="CQ91" s="684"/>
      <c r="CR91" s="684"/>
      <c r="CS91" s="684"/>
      <c r="CT91" s="684"/>
      <c r="CU91" s="684"/>
      <c r="CV91" s="684"/>
      <c r="CW91" s="684"/>
      <c r="CX91" s="684"/>
      <c r="CY91" s="684"/>
      <c r="CZ91" s="684"/>
      <c r="DA91" s="684"/>
      <c r="DB91" s="684"/>
      <c r="DC91" s="684"/>
      <c r="DD91" s="684"/>
      <c r="DE91" s="684"/>
      <c r="DF91" s="684"/>
      <c r="DG91" s="684"/>
      <c r="DH91" s="684"/>
      <c r="DI91" s="684"/>
      <c r="DJ91" s="684"/>
      <c r="DK91" s="684"/>
      <c r="DL91" s="684"/>
      <c r="DM91" s="684"/>
      <c r="DN91" s="684"/>
      <c r="DO91" s="684"/>
      <c r="DP91" s="684"/>
      <c r="DQ91" s="684"/>
      <c r="DR91" s="684"/>
      <c r="DS91" s="684"/>
      <c r="DT91" s="684"/>
      <c r="DU91" s="684"/>
      <c r="DV91" s="684"/>
      <c r="DW91" s="684"/>
      <c r="DX91" s="684"/>
      <c r="DY91" s="684"/>
      <c r="DZ91" s="684"/>
      <c r="EA91" s="684"/>
      <c r="EB91" s="684"/>
      <c r="EC91" s="684"/>
      <c r="ED91" s="684"/>
      <c r="EE91" s="684"/>
      <c r="EF91" s="684"/>
      <c r="EG91" s="684"/>
      <c r="EH91" s="684"/>
      <c r="EI91" s="684"/>
      <c r="EJ91" s="684"/>
      <c r="EK91" s="684"/>
      <c r="EL91" s="684"/>
      <c r="EM91" s="684"/>
      <c r="EN91" s="684"/>
      <c r="EO91" s="684"/>
      <c r="EP91" s="684"/>
      <c r="EQ91" s="684"/>
      <c r="ER91" s="684"/>
      <c r="ES91" s="684"/>
      <c r="ET91" s="684"/>
      <c r="EU91" s="684"/>
      <c r="EV91" s="684"/>
      <c r="EW91" s="684"/>
      <c r="EX91" s="684"/>
      <c r="EY91" s="684"/>
      <c r="EZ91" s="684"/>
      <c r="FA91" s="684"/>
      <c r="FB91" s="684"/>
    </row>
    <row r="92" spans="1:158">
      <c r="A92" s="707" t="str">
        <f>Interims!A249</f>
        <v>Total RGU's</v>
      </c>
      <c r="B92" s="703">
        <f>Interims!Q249</f>
        <v>163.8000000000003</v>
      </c>
      <c r="C92" s="703">
        <f>Interims!R249</f>
        <v>142.19999999999891</v>
      </c>
      <c r="D92" s="703">
        <f>Interims!S249</f>
        <v>227.36000000000058</v>
      </c>
      <c r="E92" s="703">
        <f>Interims!T249</f>
        <v>175.64000000000033</v>
      </c>
      <c r="F92" s="703">
        <f>Interims!V249</f>
        <v>134.00700000000052</v>
      </c>
      <c r="G92" s="703">
        <f>Interims!W249</f>
        <v>189.72499999999945</v>
      </c>
      <c r="H92" s="703">
        <f>Interims!X249</f>
        <v>92.367999999999483</v>
      </c>
      <c r="I92" s="703">
        <f>Interims!Y249</f>
        <v>247.52800000000025</v>
      </c>
      <c r="J92" s="703">
        <f>Interims!AA249</f>
        <v>395.37700000000041</v>
      </c>
      <c r="K92" s="703">
        <f>Interims!AB249</f>
        <v>341.67400000000089</v>
      </c>
      <c r="L92" s="703">
        <f>Interims!AC249</f>
        <v>338.72600000000057</v>
      </c>
      <c r="M92" s="703">
        <f>Interims!AD249</f>
        <v>419.97999999999956</v>
      </c>
      <c r="N92" s="703">
        <f>Interims!AF249</f>
        <v>249.79599999999846</v>
      </c>
      <c r="O92" s="703">
        <f>Interims!AG249</f>
        <v>260.22400000000016</v>
      </c>
      <c r="P92" s="703">
        <f>Interims!AH249</f>
        <v>149.34799999999996</v>
      </c>
      <c r="Q92" s="703">
        <f>Interims!AI249</f>
        <v>52.152000000000044</v>
      </c>
      <c r="R92" s="703">
        <f>Interims!AK249</f>
        <v>-19.718999999999994</v>
      </c>
      <c r="S92" s="703">
        <f>Interims!AL249</f>
        <v>159.31899999999951</v>
      </c>
      <c r="T92" s="703">
        <f>Interims!AM249</f>
        <v>198.77000000000044</v>
      </c>
      <c r="U92" s="703">
        <f>Interims!AN249</f>
        <v>241.86799999999857</v>
      </c>
      <c r="V92" s="703">
        <f>Interims!AP249</f>
        <v>262.24799999999959</v>
      </c>
      <c r="W92" s="703">
        <f>Interims!AQ249</f>
        <v>329.33100000000013</v>
      </c>
      <c r="X92" s="703">
        <f>Interims!AR249</f>
        <v>273.81399999999849</v>
      </c>
      <c r="Y92" s="703">
        <f>Interims!AS249</f>
        <v>872.42699999999968</v>
      </c>
      <c r="Z92" s="703">
        <f>Interims!AU249</f>
        <v>284.79199999999946</v>
      </c>
      <c r="AA92" s="703">
        <f>Interims!AV249</f>
        <v>286.3690000000006</v>
      </c>
      <c r="AB92" s="703">
        <f>Interims!AW249</f>
        <v>125.33100000000013</v>
      </c>
      <c r="AC92" s="703">
        <f>Interims!AX249</f>
        <v>114.90900000000147</v>
      </c>
      <c r="AD92" s="703">
        <f>Interims!AZ249</f>
        <v>255.77099999999882</v>
      </c>
      <c r="AE92" s="703">
        <f>Interims!BA249</f>
        <v>494.12200000000121</v>
      </c>
      <c r="AF92" s="703">
        <f>Interims!BB249</f>
        <v>461.72899999999754</v>
      </c>
      <c r="AG92" s="703">
        <f>Interims!BC249</f>
        <v>223.05500000000029</v>
      </c>
      <c r="AH92" s="703">
        <f>Interims!BE249</f>
        <v>169.31300000000192</v>
      </c>
      <c r="AI92" s="703">
        <f>Interims!BF249</f>
        <v>62.099999999998545</v>
      </c>
      <c r="AJ92" s="703">
        <f>Interims!BG249</f>
        <v>52.030000000002474</v>
      </c>
      <c r="AK92" s="703">
        <f>Interims!BH249</f>
        <v>217.84899999999834</v>
      </c>
      <c r="AL92" s="703">
        <f>Interims!BJ249</f>
        <v>336.21899999999732</v>
      </c>
      <c r="AM92" s="703">
        <f>Interims!BK249</f>
        <v>325.22200000000157</v>
      </c>
      <c r="AN92" s="703">
        <f>Interims!BL249</f>
        <v>338.80199999999968</v>
      </c>
      <c r="AO92" s="703">
        <f>Interims!BM249</f>
        <v>327.18100000000049</v>
      </c>
      <c r="AP92" s="703">
        <f>Interims!BO249</f>
        <v>314.73000000000138</v>
      </c>
      <c r="AQ92" s="703">
        <f>Interims!BP249</f>
        <v>-5.3940000000020518</v>
      </c>
      <c r="AR92" s="703">
        <f>Interims!BQ249</f>
        <v>-838.15599999999904</v>
      </c>
      <c r="AS92" s="703">
        <f>Interims!BR249</f>
        <v>9.6020000000007713</v>
      </c>
      <c r="AT92" s="703">
        <f>Interims!BT249</f>
        <v>27.694999999999709</v>
      </c>
      <c r="AV92" s="684"/>
      <c r="AX92" s="684" t="s">
        <v>98</v>
      </c>
      <c r="AY92" s="703">
        <f t="shared" ref="AY92:BT92" si="41">SUM(AY89:AY91)</f>
        <v>284.35899999999992</v>
      </c>
      <c r="AZ92" s="703">
        <f t="shared" si="41"/>
        <v>216.06600000000026</v>
      </c>
      <c r="BA92" s="703">
        <f t="shared" si="41"/>
        <v>139.58199999999943</v>
      </c>
      <c r="BB92" s="703">
        <f t="shared" si="41"/>
        <v>451.63399999999984</v>
      </c>
      <c r="BC92" s="703">
        <f t="shared" si="41"/>
        <v>172.69700000000012</v>
      </c>
      <c r="BD92" s="703">
        <f t="shared" si="41"/>
        <v>215.23699999999991</v>
      </c>
      <c r="BE92" s="703">
        <f t="shared" si="41"/>
        <v>143.40100000000018</v>
      </c>
      <c r="BF92" s="703">
        <f t="shared" si="41"/>
        <v>135.16800000000006</v>
      </c>
      <c r="BG92" s="703"/>
      <c r="BH92" s="703"/>
      <c r="BI92" s="703">
        <f t="shared" si="41"/>
        <v>214.09999999999968</v>
      </c>
      <c r="BJ92" s="703">
        <f t="shared" si="41"/>
        <v>407.21000000000021</v>
      </c>
      <c r="BK92" s="703">
        <f t="shared" si="41"/>
        <v>510.13399999999967</v>
      </c>
      <c r="BL92" s="703">
        <f t="shared" si="41"/>
        <v>295.94300000000067</v>
      </c>
      <c r="BM92" s="703">
        <f t="shared" si="41"/>
        <v>215.37599999999975</v>
      </c>
      <c r="BN92" s="703">
        <f t="shared" si="41"/>
        <v>98.528999999999996</v>
      </c>
      <c r="BO92" s="703">
        <f t="shared" si="41"/>
        <v>145.07600000000025</v>
      </c>
      <c r="BP92" s="703">
        <f t="shared" si="41"/>
        <v>144.04499999999973</v>
      </c>
      <c r="BQ92" s="703">
        <f t="shared" si="41"/>
        <v>134.32499999999993</v>
      </c>
      <c r="BR92" s="703">
        <f t="shared" si="41"/>
        <v>70.286000000000286</v>
      </c>
      <c r="BS92" s="703">
        <f>SUM(BS89:BS91)</f>
        <v>171.1369999999996</v>
      </c>
      <c r="BT92" s="703">
        <f t="shared" si="41"/>
        <v>176.33599999999979</v>
      </c>
      <c r="BU92" s="703">
        <f>SUM(BO86:BO88)</f>
        <v>0</v>
      </c>
      <c r="BV92" s="684"/>
      <c r="BW92" s="684"/>
      <c r="BX92" s="684"/>
      <c r="BY92" s="684"/>
      <c r="BZ92" s="684"/>
      <c r="CA92" s="684"/>
      <c r="CB92" s="684"/>
      <c r="CC92" s="684"/>
      <c r="CD92" s="684"/>
      <c r="CE92" s="684"/>
      <c r="CF92" s="684"/>
      <c r="CG92" s="684"/>
      <c r="CH92" s="684"/>
      <c r="CI92" s="684"/>
      <c r="CJ92" s="684"/>
      <c r="CK92" s="684"/>
      <c r="CL92" s="684"/>
      <c r="CM92" s="684"/>
      <c r="CN92" s="684"/>
      <c r="CO92" s="684"/>
      <c r="CP92" s="684"/>
      <c r="CQ92" s="684"/>
      <c r="CR92" s="684"/>
      <c r="CS92" s="684"/>
      <c r="CT92" s="684"/>
      <c r="CU92" s="684"/>
      <c r="CV92" s="684"/>
      <c r="CW92" s="684"/>
      <c r="CX92" s="684"/>
      <c r="CY92" s="684"/>
      <c r="CZ92" s="684"/>
      <c r="DA92" s="684"/>
      <c r="DB92" s="684"/>
      <c r="DC92" s="684"/>
      <c r="DD92" s="684"/>
      <c r="DE92" s="684"/>
      <c r="DF92" s="684"/>
      <c r="DG92" s="684"/>
      <c r="DH92" s="684"/>
      <c r="DI92" s="684"/>
      <c r="DJ92" s="684"/>
      <c r="DK92" s="684"/>
      <c r="DL92" s="684"/>
      <c r="DM92" s="684"/>
      <c r="DN92" s="684"/>
      <c r="DO92" s="684"/>
      <c r="DP92" s="684"/>
      <c r="DQ92" s="684"/>
      <c r="DR92" s="684"/>
      <c r="DS92" s="684"/>
      <c r="DT92" s="684"/>
      <c r="DU92" s="684"/>
      <c r="DV92" s="684"/>
      <c r="DW92" s="684"/>
      <c r="DX92" s="684"/>
      <c r="DY92" s="684"/>
      <c r="DZ92" s="684"/>
      <c r="EA92" s="684"/>
      <c r="EB92" s="684"/>
      <c r="EC92" s="684"/>
      <c r="ED92" s="684"/>
      <c r="EE92" s="684"/>
      <c r="EF92" s="684"/>
      <c r="EG92" s="684"/>
      <c r="EH92" s="684"/>
      <c r="EI92" s="684"/>
      <c r="EJ92" s="684"/>
      <c r="EK92" s="684"/>
      <c r="EL92" s="684"/>
      <c r="EM92" s="684"/>
      <c r="EN92" s="684"/>
      <c r="EO92" s="684"/>
      <c r="EP92" s="684"/>
      <c r="EQ92" s="684"/>
      <c r="ER92" s="684"/>
      <c r="ES92" s="684"/>
      <c r="ET92" s="684"/>
      <c r="EU92" s="684"/>
      <c r="EV92" s="684"/>
      <c r="EW92" s="684"/>
      <c r="EX92" s="684"/>
      <c r="EY92" s="684"/>
      <c r="EZ92" s="684"/>
      <c r="FA92" s="684"/>
      <c r="FB92" s="684"/>
    </row>
    <row r="93" spans="1:158">
      <c r="A93" s="684" t="s">
        <v>4774</v>
      </c>
      <c r="B93" s="684"/>
      <c r="C93" s="684"/>
      <c r="D93" s="684"/>
      <c r="E93" s="684"/>
      <c r="F93" s="697"/>
      <c r="G93" s="697"/>
      <c r="H93" s="697"/>
      <c r="I93" s="697"/>
      <c r="J93" s="684"/>
      <c r="K93" s="684"/>
      <c r="L93" s="684"/>
      <c r="M93" s="684"/>
      <c r="N93" s="684"/>
      <c r="O93" s="684"/>
      <c r="P93" s="703"/>
      <c r="Q93" s="703"/>
      <c r="R93" s="703"/>
      <c r="S93" s="703"/>
      <c r="T93" s="703"/>
      <c r="U93" s="684"/>
      <c r="V93" s="684"/>
      <c r="W93" s="684"/>
      <c r="X93" s="684"/>
      <c r="Y93" s="684"/>
      <c r="Z93" s="684"/>
      <c r="AA93" s="684"/>
      <c r="AB93" s="684"/>
      <c r="AC93" s="684"/>
      <c r="AD93" s="684"/>
      <c r="AE93" s="684"/>
      <c r="AF93" s="684"/>
      <c r="AG93" s="684"/>
      <c r="AH93" s="684"/>
      <c r="AI93" s="684"/>
      <c r="AJ93" s="684"/>
      <c r="AK93" s="684"/>
      <c r="AL93" s="684"/>
      <c r="AM93" s="684"/>
      <c r="AN93" s="684"/>
      <c r="AO93" s="684"/>
      <c r="AP93" s="684"/>
      <c r="AQ93" s="684"/>
      <c r="AR93" s="684"/>
      <c r="AS93" s="684"/>
      <c r="AT93" s="684"/>
      <c r="AV93" s="684"/>
      <c r="AW93" s="684"/>
      <c r="AX93" s="684"/>
      <c r="AY93" s="684"/>
      <c r="AZ93" s="684"/>
      <c r="BA93" s="684"/>
      <c r="BB93" s="684"/>
      <c r="BC93" s="684"/>
      <c r="BD93" s="684"/>
      <c r="BE93" s="684"/>
      <c r="BF93" s="684"/>
      <c r="BG93" s="684"/>
      <c r="BH93" s="684"/>
      <c r="BI93" s="684"/>
      <c r="BJ93" s="684"/>
      <c r="BK93" s="684"/>
      <c r="BL93" s="684"/>
      <c r="BM93" s="684"/>
      <c r="BN93" s="684"/>
      <c r="BO93" s="684"/>
      <c r="BP93" s="684"/>
      <c r="BQ93" s="684"/>
      <c r="BR93" s="684"/>
      <c r="BS93" s="684"/>
      <c r="BT93" s="684"/>
      <c r="BU93" s="684"/>
      <c r="BV93" s="684"/>
      <c r="BW93" s="684"/>
      <c r="BX93" s="684"/>
      <c r="BY93" s="684"/>
      <c r="BZ93" s="684"/>
      <c r="CA93" s="684"/>
      <c r="CB93" s="684"/>
      <c r="CC93" s="684"/>
      <c r="CD93" s="684"/>
      <c r="CE93" s="684"/>
      <c r="CF93" s="684"/>
      <c r="CG93" s="684"/>
      <c r="CH93" s="684"/>
      <c r="CI93" s="684"/>
      <c r="CJ93" s="684"/>
      <c r="CK93" s="684"/>
      <c r="CL93" s="684"/>
      <c r="CM93" s="684"/>
      <c r="CN93" s="684"/>
      <c r="CO93" s="684"/>
      <c r="CP93" s="684"/>
      <c r="CQ93" s="684"/>
      <c r="CR93" s="684"/>
      <c r="CS93" s="684"/>
      <c r="CT93" s="684"/>
      <c r="CU93" s="684"/>
      <c r="CV93" s="684"/>
      <c r="CW93" s="684"/>
      <c r="CX93" s="684"/>
      <c r="CY93" s="684"/>
      <c r="CZ93" s="684"/>
      <c r="DA93" s="684"/>
      <c r="DB93" s="684"/>
      <c r="DC93" s="684"/>
      <c r="DD93" s="684"/>
      <c r="DE93" s="684"/>
      <c r="DF93" s="684"/>
      <c r="DG93" s="684"/>
      <c r="DH93" s="684"/>
      <c r="DI93" s="684"/>
      <c r="DJ93" s="684"/>
      <c r="DK93" s="684"/>
      <c r="DL93" s="684"/>
      <c r="DM93" s="684"/>
      <c r="DN93" s="684"/>
      <c r="DO93" s="684"/>
      <c r="DP93" s="684"/>
      <c r="DQ93" s="684"/>
      <c r="DR93" s="684"/>
      <c r="DS93" s="684"/>
      <c r="DT93" s="684"/>
      <c r="DU93" s="684"/>
      <c r="DV93" s="684"/>
      <c r="DW93" s="684"/>
      <c r="DX93" s="684"/>
      <c r="DY93" s="684"/>
      <c r="DZ93" s="684"/>
      <c r="EA93" s="684"/>
      <c r="EB93" s="684"/>
      <c r="EC93" s="684"/>
      <c r="ED93" s="684"/>
      <c r="EE93" s="684"/>
      <c r="EF93" s="684"/>
      <c r="EG93" s="684"/>
      <c r="EH93" s="684"/>
      <c r="EI93" s="684"/>
      <c r="EJ93" s="684"/>
      <c r="EK93" s="684"/>
      <c r="EL93" s="684"/>
      <c r="EM93" s="684"/>
      <c r="EN93" s="684"/>
      <c r="EO93" s="684"/>
      <c r="EP93" s="684"/>
      <c r="EQ93" s="684"/>
      <c r="ER93" s="684"/>
      <c r="ES93" s="684"/>
      <c r="ET93" s="684"/>
      <c r="EU93" s="684"/>
      <c r="EV93" s="684"/>
      <c r="EW93" s="684"/>
      <c r="EX93" s="684"/>
      <c r="EY93" s="684"/>
      <c r="EZ93" s="684"/>
      <c r="FA93" s="684"/>
    </row>
    <row r="94" spans="1:158">
      <c r="A94" s="684"/>
      <c r="B94" s="684"/>
      <c r="C94" s="684"/>
      <c r="D94" s="684"/>
      <c r="E94" s="684"/>
      <c r="F94" s="697"/>
      <c r="G94" s="697"/>
      <c r="H94" s="697"/>
      <c r="I94" s="697"/>
      <c r="J94" s="684"/>
      <c r="K94" s="684"/>
      <c r="L94" s="684"/>
      <c r="M94" s="684"/>
      <c r="N94" s="684"/>
      <c r="O94" s="684"/>
      <c r="P94" s="703"/>
      <c r="Q94" s="703"/>
      <c r="R94" s="703"/>
      <c r="S94" s="703"/>
      <c r="T94" s="703"/>
      <c r="U94" s="684"/>
      <c r="V94" s="684"/>
      <c r="W94" s="684"/>
      <c r="X94" s="684"/>
      <c r="Y94" s="684"/>
      <c r="Z94" s="684"/>
      <c r="AA94" s="684"/>
      <c r="AB94" s="684"/>
      <c r="AC94" s="684"/>
      <c r="AD94" s="684"/>
      <c r="AE94" s="684"/>
      <c r="AF94" s="684"/>
      <c r="AG94" s="684"/>
      <c r="AH94" s="684"/>
      <c r="AI94" s="684"/>
      <c r="AJ94" s="684"/>
      <c r="AK94" s="684"/>
      <c r="AL94" s="684"/>
      <c r="AM94" s="684"/>
      <c r="AN94" s="684"/>
      <c r="AO94" s="684"/>
      <c r="AP94" s="684"/>
      <c r="AQ94" s="684"/>
      <c r="AR94" s="684"/>
      <c r="AS94" s="684"/>
      <c r="AT94" s="684"/>
      <c r="AV94" s="684"/>
      <c r="AW94" s="684"/>
      <c r="AX94" s="684"/>
      <c r="AY94" s="684"/>
      <c r="AZ94" s="684"/>
      <c r="BA94" s="684"/>
      <c r="BB94" s="684"/>
      <c r="BC94" s="684"/>
      <c r="BD94" s="684"/>
      <c r="BE94" s="684"/>
      <c r="BF94" s="684"/>
      <c r="BG94" s="684"/>
      <c r="BH94" s="684"/>
      <c r="BI94" s="684"/>
      <c r="BJ94" s="684"/>
      <c r="BK94" s="684"/>
      <c r="BL94" s="684"/>
      <c r="BM94" s="684"/>
      <c r="BN94" s="684"/>
      <c r="BO94" s="684"/>
      <c r="BP94" s="684"/>
      <c r="BQ94" s="684"/>
      <c r="BR94" s="684"/>
      <c r="BS94" s="684"/>
      <c r="BT94" s="684"/>
      <c r="BU94" s="684"/>
      <c r="BV94" s="684"/>
      <c r="BW94" s="684"/>
      <c r="BX94" s="684"/>
      <c r="BY94" s="684"/>
      <c r="BZ94" s="684"/>
      <c r="CA94" s="684"/>
      <c r="CB94" s="684"/>
      <c r="CC94" s="684"/>
      <c r="CD94" s="684"/>
      <c r="CE94" s="684"/>
      <c r="CF94" s="684"/>
      <c r="CG94" s="684"/>
      <c r="CH94" s="684"/>
      <c r="CI94" s="684"/>
      <c r="CJ94" s="684"/>
      <c r="CK94" s="684"/>
      <c r="CL94" s="684"/>
      <c r="CM94" s="684"/>
      <c r="CN94" s="684"/>
      <c r="CO94" s="684"/>
      <c r="CP94" s="684"/>
      <c r="CQ94" s="684"/>
      <c r="CR94" s="684"/>
      <c r="CS94" s="684"/>
      <c r="CT94" s="684"/>
      <c r="CU94" s="684"/>
      <c r="CV94" s="684"/>
      <c r="CW94" s="684"/>
      <c r="CX94" s="684"/>
      <c r="CY94" s="684"/>
      <c r="CZ94" s="684"/>
      <c r="DA94" s="684"/>
      <c r="DB94" s="684"/>
      <c r="DC94" s="684"/>
      <c r="DD94" s="684"/>
      <c r="DE94" s="684"/>
      <c r="DF94" s="684"/>
      <c r="DG94" s="684"/>
      <c r="DH94" s="684"/>
      <c r="DI94" s="684"/>
      <c r="DJ94" s="684"/>
      <c r="DK94" s="684"/>
      <c r="DL94" s="684"/>
      <c r="DM94" s="684"/>
      <c r="DN94" s="684"/>
      <c r="DO94" s="684"/>
      <c r="DP94" s="684"/>
      <c r="DQ94" s="684"/>
      <c r="DR94" s="684"/>
      <c r="DS94" s="684"/>
      <c r="DT94" s="684"/>
      <c r="DU94" s="684"/>
      <c r="DV94" s="684"/>
      <c r="DW94" s="684"/>
      <c r="DX94" s="684"/>
      <c r="DY94" s="684"/>
      <c r="DZ94" s="684"/>
      <c r="EA94" s="684"/>
      <c r="EB94" s="684"/>
      <c r="EC94" s="684"/>
      <c r="ED94" s="684"/>
      <c r="EE94" s="684"/>
      <c r="EF94" s="684"/>
      <c r="EG94" s="684"/>
      <c r="EH94" s="684"/>
      <c r="EI94" s="684"/>
      <c r="EJ94" s="684"/>
      <c r="EK94" s="684"/>
      <c r="EL94" s="684"/>
      <c r="EM94" s="684"/>
      <c r="EN94" s="684"/>
      <c r="EO94" s="684"/>
      <c r="EP94" s="684"/>
      <c r="EQ94" s="684"/>
      <c r="ER94" s="684"/>
      <c r="ES94" s="684"/>
      <c r="ET94" s="684"/>
      <c r="EU94" s="684"/>
      <c r="EV94" s="684"/>
      <c r="EW94" s="684"/>
      <c r="EX94" s="684"/>
      <c r="EY94" s="684"/>
      <c r="EZ94" s="684"/>
      <c r="FA94" s="684"/>
    </row>
    <row r="95" spans="1:158">
      <c r="A95" s="704" t="s">
        <v>3596</v>
      </c>
      <c r="B95" s="684"/>
      <c r="C95" s="684"/>
      <c r="D95" s="684"/>
      <c r="E95" s="684"/>
      <c r="F95" s="697"/>
      <c r="G95" s="697"/>
      <c r="H95" s="697"/>
      <c r="I95" s="697"/>
      <c r="J95" s="684"/>
      <c r="K95" s="684"/>
      <c r="L95" s="684"/>
      <c r="M95" s="684"/>
      <c r="N95" s="684"/>
      <c r="O95" s="684"/>
      <c r="P95" s="703"/>
      <c r="Q95" s="703"/>
      <c r="R95" s="703"/>
      <c r="S95" s="703"/>
      <c r="T95" s="703"/>
      <c r="U95" s="684"/>
      <c r="V95" s="684"/>
      <c r="W95" s="684"/>
      <c r="X95" s="684"/>
      <c r="Y95" s="684"/>
      <c r="Z95" s="684"/>
      <c r="AA95" s="684"/>
      <c r="AB95" s="684"/>
      <c r="AC95" s="684"/>
      <c r="AD95" s="684"/>
      <c r="AE95" s="684"/>
      <c r="AF95" s="684"/>
      <c r="AG95" s="684"/>
      <c r="AH95" s="684"/>
      <c r="AI95" s="684"/>
      <c r="AJ95" s="684"/>
      <c r="AK95" s="684"/>
      <c r="AL95" s="684"/>
      <c r="AM95" s="684"/>
      <c r="AN95" s="684"/>
      <c r="AO95" s="684"/>
      <c r="AP95" s="684"/>
      <c r="AQ95" s="684"/>
      <c r="AR95" s="684"/>
      <c r="AS95" s="684"/>
      <c r="AT95" s="684"/>
      <c r="AV95" s="684"/>
      <c r="AW95" s="684"/>
      <c r="AX95" s="684"/>
      <c r="AY95" s="684"/>
      <c r="AZ95" s="684"/>
      <c r="BA95" s="684"/>
      <c r="BB95" s="684"/>
      <c r="BC95" s="684"/>
      <c r="BD95" s="684"/>
      <c r="BE95" s="684"/>
      <c r="BF95" s="684"/>
      <c r="BG95" s="684"/>
      <c r="BH95" s="684"/>
      <c r="BI95" s="684"/>
      <c r="BJ95" s="684"/>
      <c r="BK95" s="684"/>
      <c r="BL95" s="684"/>
      <c r="BM95" s="684"/>
      <c r="BN95" s="684"/>
      <c r="BO95" s="684"/>
      <c r="BP95" s="684"/>
      <c r="BQ95" s="684"/>
      <c r="BR95" s="684"/>
      <c r="BS95" s="684"/>
      <c r="BT95" s="684"/>
      <c r="BU95" s="684"/>
      <c r="BV95" s="684"/>
      <c r="BW95" s="684"/>
      <c r="BX95" s="684"/>
      <c r="BY95" s="684"/>
      <c r="BZ95" s="684"/>
      <c r="CA95" s="684"/>
      <c r="CB95" s="684"/>
      <c r="CC95" s="684"/>
      <c r="CD95" s="684"/>
      <c r="CE95" s="684"/>
      <c r="CF95" s="684"/>
      <c r="CG95" s="684"/>
      <c r="CH95" s="684"/>
      <c r="CI95" s="684"/>
      <c r="CJ95" s="684"/>
      <c r="CK95" s="684"/>
      <c r="CL95" s="684"/>
      <c r="CM95" s="684"/>
      <c r="CN95" s="684"/>
      <c r="CO95" s="684"/>
      <c r="CP95" s="684"/>
      <c r="CQ95" s="684"/>
      <c r="CR95" s="684"/>
      <c r="CS95" s="684"/>
      <c r="CT95" s="684"/>
      <c r="CU95" s="684"/>
      <c r="CV95" s="684"/>
      <c r="CW95" s="684"/>
      <c r="CX95" s="684"/>
      <c r="CY95" s="684"/>
      <c r="CZ95" s="684"/>
      <c r="DA95" s="684"/>
      <c r="DB95" s="684"/>
      <c r="DC95" s="684"/>
      <c r="DD95" s="684"/>
      <c r="DE95" s="684"/>
      <c r="DF95" s="684"/>
      <c r="DG95" s="684"/>
      <c r="DH95" s="684"/>
      <c r="DI95" s="684"/>
      <c r="DJ95" s="684"/>
      <c r="DK95" s="684"/>
      <c r="DL95" s="684"/>
      <c r="DM95" s="684"/>
      <c r="DN95" s="684"/>
      <c r="DO95" s="684"/>
      <c r="DP95" s="684"/>
      <c r="DQ95" s="684"/>
      <c r="DR95" s="684"/>
      <c r="DS95" s="684"/>
      <c r="DT95" s="684"/>
      <c r="DU95" s="684"/>
      <c r="DV95" s="684"/>
      <c r="DW95" s="684"/>
      <c r="DX95" s="684"/>
      <c r="DY95" s="684"/>
      <c r="DZ95" s="684"/>
      <c r="EA95" s="684"/>
      <c r="EB95" s="684"/>
      <c r="EC95" s="684"/>
      <c r="ED95" s="684"/>
      <c r="EE95" s="684"/>
      <c r="EF95" s="684"/>
      <c r="EG95" s="684"/>
      <c r="EH95" s="684"/>
      <c r="EI95" s="684"/>
      <c r="EJ95" s="684"/>
      <c r="EK95" s="684"/>
      <c r="EL95" s="684"/>
      <c r="EM95" s="684"/>
      <c r="EN95" s="684"/>
      <c r="EO95" s="684"/>
      <c r="EP95" s="684"/>
      <c r="EQ95" s="684"/>
      <c r="ER95" s="684"/>
      <c r="ES95" s="684"/>
      <c r="ET95" s="684"/>
      <c r="EU95" s="684"/>
      <c r="EV95" s="684"/>
      <c r="EW95" s="684"/>
      <c r="EX95" s="684"/>
      <c r="EY95" s="684"/>
      <c r="EZ95" s="684"/>
      <c r="FA95" s="684"/>
    </row>
    <row r="96" spans="1:158">
      <c r="A96" s="707" t="s">
        <v>1818</v>
      </c>
      <c r="B96" s="684"/>
      <c r="C96" s="684"/>
      <c r="D96" s="684"/>
      <c r="E96" s="684"/>
      <c r="F96" s="697"/>
      <c r="G96" s="697"/>
      <c r="H96" s="697"/>
      <c r="I96" s="697"/>
      <c r="J96" s="703">
        <v>84.649999999999636</v>
      </c>
      <c r="K96" s="703">
        <v>79.300000000000182</v>
      </c>
      <c r="L96" s="703">
        <v>76.5</v>
      </c>
      <c r="M96" s="703">
        <v>187.65099999999984</v>
      </c>
      <c r="N96" s="684">
        <v>133</v>
      </c>
      <c r="O96" s="703">
        <v>39.616999999999734</v>
      </c>
      <c r="P96" s="703">
        <v>22.883000000000266</v>
      </c>
      <c r="Q96" s="703">
        <v>-58.700000000000273</v>
      </c>
      <c r="R96" s="703">
        <v>-63.205999999999676</v>
      </c>
      <c r="S96" s="703">
        <v>15.005999999999858</v>
      </c>
      <c r="T96" s="703">
        <v>46.34900000000016</v>
      </c>
      <c r="U96" s="703">
        <v>70.928999999999633</v>
      </c>
      <c r="V96" s="703">
        <v>60.722000000000207</v>
      </c>
      <c r="W96" s="703">
        <v>52.699999999999818</v>
      </c>
      <c r="X96" s="703">
        <v>25.700000000000273</v>
      </c>
      <c r="Y96" s="703">
        <v>22.784000000000106</v>
      </c>
      <c r="Z96" s="703">
        <v>-5.3840000000000146</v>
      </c>
      <c r="AA96" s="703">
        <v>20.760999999999967</v>
      </c>
      <c r="AB96" s="703">
        <v>6.4389999999998508</v>
      </c>
      <c r="AC96" s="703">
        <v>0.79799999999977445</v>
      </c>
      <c r="AD96" s="776">
        <v>8.705000000000382</v>
      </c>
      <c r="AE96" s="776">
        <v>27.896999999999935</v>
      </c>
      <c r="AF96" s="776">
        <v>100.07200000000012</v>
      </c>
      <c r="AG96" s="776">
        <v>51.174999999999727</v>
      </c>
      <c r="AH96" s="776">
        <v>23.619999999999891</v>
      </c>
      <c r="AI96" s="776">
        <v>21.733000000000175</v>
      </c>
      <c r="AJ96" s="776">
        <v>58</v>
      </c>
      <c r="AK96" s="776">
        <v>23.626000000000204</v>
      </c>
      <c r="AL96" s="776">
        <v>2.1779999999998836</v>
      </c>
      <c r="AM96" s="776">
        <v>1.4800000000000182</v>
      </c>
      <c r="AN96" s="776">
        <v>48.710000000000036</v>
      </c>
      <c r="AO96" s="776">
        <v>83.42699999999968</v>
      </c>
      <c r="AP96" s="776">
        <v>86.297000000000025</v>
      </c>
      <c r="AQ96" s="776">
        <v>83.932000000000244</v>
      </c>
      <c r="AR96" s="776">
        <v>43.041999999999916</v>
      </c>
      <c r="AS96" s="776">
        <v>25.204000000000178</v>
      </c>
      <c r="AT96" s="776">
        <v>15</v>
      </c>
      <c r="AV96" s="684"/>
      <c r="AW96" s="684"/>
      <c r="AX96" s="684"/>
      <c r="AY96" s="684"/>
      <c r="AZ96" s="684"/>
      <c r="BA96" s="684"/>
      <c r="BB96" s="684"/>
      <c r="BC96" s="684"/>
      <c r="BD96" s="684"/>
      <c r="BE96" s="684"/>
      <c r="BF96" s="684"/>
      <c r="BG96" s="684"/>
      <c r="BH96" s="684"/>
      <c r="BI96" s="684"/>
      <c r="BJ96" s="684"/>
      <c r="BK96" s="684"/>
      <c r="BL96" s="684"/>
      <c r="BM96" s="684"/>
      <c r="BN96" s="684"/>
      <c r="BO96" s="684"/>
      <c r="BP96" s="684"/>
      <c r="BQ96" s="684"/>
      <c r="BR96" s="684"/>
      <c r="BS96" s="684"/>
      <c r="BT96" s="684"/>
      <c r="BU96" s="684"/>
      <c r="BV96" s="684"/>
      <c r="BW96" s="684"/>
      <c r="BX96" s="684"/>
      <c r="BY96" s="684"/>
      <c r="BZ96" s="684"/>
      <c r="CA96" s="684"/>
      <c r="CB96" s="684"/>
      <c r="CC96" s="684"/>
      <c r="CD96" s="684"/>
      <c r="CE96" s="684"/>
      <c r="CF96" s="684"/>
      <c r="CG96" s="684"/>
      <c r="CH96" s="684"/>
      <c r="CI96" s="684"/>
      <c r="CJ96" s="684"/>
      <c r="CK96" s="684"/>
      <c r="CL96" s="684"/>
      <c r="CM96" s="684"/>
      <c r="CN96" s="684"/>
      <c r="CO96" s="684"/>
      <c r="CP96" s="684"/>
      <c r="CQ96" s="684"/>
      <c r="CR96" s="684"/>
      <c r="CS96" s="684"/>
      <c r="CT96" s="684"/>
      <c r="CU96" s="684"/>
      <c r="CV96" s="684"/>
      <c r="CW96" s="684"/>
      <c r="CX96" s="684"/>
      <c r="CY96" s="684"/>
      <c r="CZ96" s="684"/>
      <c r="DA96" s="684"/>
      <c r="DB96" s="684"/>
      <c r="DC96" s="684"/>
      <c r="DD96" s="684"/>
      <c r="DE96" s="684"/>
      <c r="DF96" s="684"/>
      <c r="DG96" s="684"/>
      <c r="DH96" s="684"/>
      <c r="DI96" s="684"/>
      <c r="DJ96" s="684"/>
      <c r="DK96" s="684"/>
      <c r="DL96" s="684"/>
      <c r="DM96" s="684"/>
      <c r="DN96" s="684"/>
      <c r="DO96" s="684"/>
      <c r="DP96" s="684"/>
      <c r="DQ96" s="684"/>
      <c r="DR96" s="684"/>
      <c r="DS96" s="684"/>
      <c r="DT96" s="684"/>
      <c r="DU96" s="684"/>
      <c r="DV96" s="684"/>
      <c r="DW96" s="684"/>
      <c r="DX96" s="684"/>
      <c r="DY96" s="684"/>
      <c r="DZ96" s="684"/>
      <c r="EA96" s="684"/>
      <c r="EB96" s="684"/>
      <c r="EC96" s="684"/>
      <c r="ED96" s="684"/>
      <c r="EE96" s="684"/>
      <c r="EF96" s="684"/>
      <c r="EG96" s="684"/>
      <c r="EH96" s="684"/>
      <c r="EI96" s="684"/>
      <c r="EJ96" s="684"/>
      <c r="EK96" s="684"/>
      <c r="EL96" s="684"/>
      <c r="EM96" s="684"/>
      <c r="EN96" s="684"/>
      <c r="EO96" s="684"/>
      <c r="EP96" s="684"/>
      <c r="EQ96" s="684"/>
      <c r="ER96" s="684"/>
      <c r="ES96" s="684"/>
      <c r="ET96" s="684"/>
      <c r="EU96" s="684"/>
      <c r="EV96" s="684"/>
      <c r="EW96" s="684"/>
      <c r="EX96" s="684"/>
      <c r="EY96" s="684"/>
      <c r="EZ96" s="684"/>
      <c r="FA96" s="684"/>
    </row>
    <row r="97" spans="1:157">
      <c r="A97" s="707" t="str">
        <f>A90</f>
        <v>Internet</v>
      </c>
      <c r="B97" s="684"/>
      <c r="C97" s="684"/>
      <c r="D97" s="684"/>
      <c r="E97" s="684"/>
      <c r="F97" s="697"/>
      <c r="G97" s="697"/>
      <c r="H97" s="697"/>
      <c r="I97" s="697"/>
      <c r="J97" s="703">
        <v>123</v>
      </c>
      <c r="K97" s="703">
        <v>102.40000000000009</v>
      </c>
      <c r="L97" s="703">
        <v>145.29999999999995</v>
      </c>
      <c r="M97" s="703">
        <v>129.66599999999994</v>
      </c>
      <c r="N97" s="684">
        <v>94</v>
      </c>
      <c r="O97" s="703">
        <v>51.969000000000051</v>
      </c>
      <c r="P97" s="703">
        <v>138.7510000000002</v>
      </c>
      <c r="Q97" s="703">
        <v>112.29999999999973</v>
      </c>
      <c r="R97" s="703">
        <v>75.791000000000167</v>
      </c>
      <c r="S97" s="703">
        <v>109.21799999999985</v>
      </c>
      <c r="T97" s="703">
        <v>101.20600000000013</v>
      </c>
      <c r="U97" s="703">
        <v>111.22600000000011</v>
      </c>
      <c r="V97" s="703">
        <v>110.95899999999983</v>
      </c>
      <c r="W97" s="703">
        <v>79.867000000000189</v>
      </c>
      <c r="X97" s="703">
        <v>77.932999999999993</v>
      </c>
      <c r="Y97" s="703">
        <v>48.602999999999611</v>
      </c>
      <c r="Z97" s="703">
        <v>11.197000000000116</v>
      </c>
      <c r="AA97" s="703">
        <v>69.363000000000284</v>
      </c>
      <c r="AB97" s="703">
        <v>44.036999999999807</v>
      </c>
      <c r="AC97" s="703">
        <v>31</v>
      </c>
      <c r="AD97" s="776">
        <v>48.752999999999702</v>
      </c>
      <c r="AE97" s="776">
        <v>83.019000000000233</v>
      </c>
      <c r="AF97" s="776">
        <v>184.5949999999998</v>
      </c>
      <c r="AG97" s="776">
        <v>96.329000000000178</v>
      </c>
      <c r="AH97" s="776">
        <v>79.415999999999713</v>
      </c>
      <c r="AI97" s="776">
        <v>58.160000000000309</v>
      </c>
      <c r="AJ97" s="776">
        <v>105</v>
      </c>
      <c r="AK97" s="776">
        <v>80.981000000000222</v>
      </c>
      <c r="AL97" s="776">
        <v>59.403999999999996</v>
      </c>
      <c r="AM97" s="776">
        <v>19.177999999999884</v>
      </c>
      <c r="AN97" s="776">
        <v>100.65700000000015</v>
      </c>
      <c r="AO97" s="776">
        <v>124.72799999999961</v>
      </c>
      <c r="AP97" s="776">
        <v>147.30500000000029</v>
      </c>
      <c r="AQ97" s="776">
        <v>163.3119999999999</v>
      </c>
      <c r="AR97" s="776">
        <v>117.12700000000041</v>
      </c>
      <c r="AS97" s="776">
        <v>155.94799999999941</v>
      </c>
      <c r="AT97" s="776">
        <v>151</v>
      </c>
      <c r="AV97" s="704"/>
      <c r="AW97" s="684"/>
      <c r="AX97" s="684"/>
      <c r="AY97" s="684"/>
      <c r="AZ97" s="684"/>
      <c r="BA97" s="684"/>
      <c r="BB97" s="684"/>
      <c r="BC97" s="684"/>
      <c r="BD97" s="684"/>
      <c r="BE97" s="684"/>
      <c r="BF97" s="684"/>
      <c r="BG97" s="684"/>
      <c r="BH97" s="684"/>
      <c r="BI97" s="684"/>
      <c r="BJ97" s="684"/>
      <c r="BK97" s="684"/>
      <c r="BL97" s="684"/>
      <c r="BM97" s="684"/>
      <c r="BN97" s="684"/>
      <c r="BO97" s="684"/>
      <c r="BP97" s="684"/>
      <c r="BQ97" s="684"/>
      <c r="BR97" s="684"/>
      <c r="BS97" s="684"/>
      <c r="BT97" s="684"/>
      <c r="BU97" s="684"/>
      <c r="BV97" s="684"/>
      <c r="BW97" s="684"/>
      <c r="BX97" s="684"/>
      <c r="BY97" s="684"/>
      <c r="BZ97" s="684"/>
      <c r="CA97" s="684"/>
      <c r="CB97" s="684"/>
      <c r="CC97" s="684"/>
      <c r="CD97" s="684"/>
      <c r="CE97" s="684"/>
      <c r="CF97" s="684"/>
      <c r="CG97" s="684"/>
      <c r="CH97" s="684"/>
      <c r="CI97" s="684"/>
      <c r="CJ97" s="684"/>
      <c r="CK97" s="684"/>
      <c r="CL97" s="684"/>
      <c r="CM97" s="684"/>
      <c r="CN97" s="684"/>
      <c r="CO97" s="684"/>
      <c r="CP97" s="684"/>
      <c r="CQ97" s="684"/>
      <c r="CR97" s="684"/>
      <c r="CS97" s="684"/>
      <c r="CT97" s="684"/>
      <c r="CU97" s="684"/>
      <c r="CV97" s="684"/>
      <c r="CW97" s="684"/>
      <c r="CX97" s="684"/>
      <c r="CY97" s="684"/>
      <c r="CZ97" s="684"/>
      <c r="DA97" s="684"/>
      <c r="DB97" s="684"/>
      <c r="DC97" s="684"/>
      <c r="DD97" s="684"/>
      <c r="DE97" s="684"/>
      <c r="DF97" s="684"/>
      <c r="DG97" s="684"/>
      <c r="DH97" s="684"/>
      <c r="DI97" s="684"/>
      <c r="DJ97" s="684"/>
      <c r="DK97" s="684"/>
      <c r="DL97" s="684"/>
      <c r="DM97" s="684"/>
      <c r="DN97" s="684"/>
      <c r="DO97" s="684"/>
      <c r="DP97" s="684"/>
      <c r="DQ97" s="684"/>
      <c r="DR97" s="684"/>
      <c r="DS97" s="684"/>
      <c r="DT97" s="684"/>
      <c r="DU97" s="684"/>
      <c r="DV97" s="684"/>
      <c r="DW97" s="684"/>
      <c r="DX97" s="684"/>
      <c r="DY97" s="684"/>
      <c r="DZ97" s="684"/>
      <c r="EA97" s="684"/>
      <c r="EB97" s="684"/>
      <c r="EC97" s="684"/>
      <c r="ED97" s="684"/>
      <c r="EE97" s="684"/>
      <c r="EF97" s="684"/>
      <c r="EG97" s="684"/>
      <c r="EH97" s="684"/>
      <c r="EI97" s="684"/>
      <c r="EJ97" s="684"/>
      <c r="EK97" s="684"/>
      <c r="EL97" s="684"/>
      <c r="EM97" s="684"/>
      <c r="EN97" s="684"/>
      <c r="EO97" s="684"/>
      <c r="EP97" s="684"/>
      <c r="EQ97" s="684"/>
      <c r="ER97" s="684"/>
      <c r="ES97" s="684"/>
      <c r="ET97" s="684"/>
      <c r="EU97" s="684"/>
      <c r="EV97" s="684"/>
      <c r="EW97" s="684"/>
      <c r="EX97" s="684"/>
      <c r="EY97" s="684"/>
      <c r="EZ97" s="684"/>
      <c r="FA97" s="684"/>
    </row>
    <row r="98" spans="1:157">
      <c r="A98" s="719" t="str">
        <f>A91</f>
        <v>Voice</v>
      </c>
      <c r="B98" s="724"/>
      <c r="C98" s="724"/>
      <c r="D98" s="724"/>
      <c r="E98" s="724"/>
      <c r="F98" s="705"/>
      <c r="G98" s="705"/>
      <c r="H98" s="705"/>
      <c r="I98" s="705"/>
      <c r="J98" s="723">
        <v>38.557999999999993</v>
      </c>
      <c r="K98" s="723">
        <v>40</v>
      </c>
      <c r="L98" s="723">
        <v>49.5</v>
      </c>
      <c r="M98" s="723">
        <v>46.816000000000031</v>
      </c>
      <c r="N98" s="724">
        <v>15</v>
      </c>
      <c r="O98" s="723">
        <v>18.466000000000008</v>
      </c>
      <c r="P98" s="723">
        <v>129.62200000000007</v>
      </c>
      <c r="Q98" s="723">
        <v>116.79999999999995</v>
      </c>
      <c r="R98" s="723">
        <v>22.980000000000018</v>
      </c>
      <c r="S98" s="723">
        <v>99.479000000000042</v>
      </c>
      <c r="T98" s="723">
        <v>83.899999999999864</v>
      </c>
      <c r="U98" s="723">
        <v>84.176000000000158</v>
      </c>
      <c r="V98" s="723">
        <v>87.464999999999918</v>
      </c>
      <c r="W98" s="723">
        <v>70.134999999999991</v>
      </c>
      <c r="X98" s="723">
        <v>113.66499999999996</v>
      </c>
      <c r="Y98" s="723">
        <v>75.081000000000131</v>
      </c>
      <c r="Z98" s="723">
        <v>93.718999999999824</v>
      </c>
      <c r="AA98" s="723">
        <v>81.50200000000018</v>
      </c>
      <c r="AB98" s="723">
        <v>84.897999999999911</v>
      </c>
      <c r="AC98" s="723">
        <v>58</v>
      </c>
      <c r="AD98" s="777">
        <v>55.963000000000193</v>
      </c>
      <c r="AE98" s="777">
        <v>81.598999999999705</v>
      </c>
      <c r="AF98" s="777">
        <v>243.48100000000022</v>
      </c>
      <c r="AG98" s="777">
        <v>115.21699999999964</v>
      </c>
      <c r="AH98" s="777">
        <v>100.67900000000009</v>
      </c>
      <c r="AI98" s="777">
        <v>78.423000000000229</v>
      </c>
      <c r="AJ98" s="777">
        <v>129</v>
      </c>
      <c r="AK98" s="777">
        <v>96.579000000000178</v>
      </c>
      <c r="AL98" s="777">
        <v>58.096999999999753</v>
      </c>
      <c r="AM98" s="777">
        <v>45.121000000000095</v>
      </c>
      <c r="AN98" s="777">
        <v>128.92599999999993</v>
      </c>
      <c r="AO98" s="777">
        <v>140.86200000000008</v>
      </c>
      <c r="AP98" s="777">
        <v>174.46199999999999</v>
      </c>
      <c r="AQ98" s="777">
        <v>184.279</v>
      </c>
      <c r="AR98" s="777">
        <v>143.56700000000001</v>
      </c>
      <c r="AS98" s="777">
        <v>175.62199999999984</v>
      </c>
      <c r="AT98" s="777">
        <v>173</v>
      </c>
      <c r="AV98" s="684"/>
      <c r="AW98" s="684"/>
      <c r="AX98" s="684"/>
      <c r="AY98" s="684"/>
      <c r="AZ98" s="684"/>
      <c r="BA98" s="684"/>
      <c r="BB98" s="684"/>
      <c r="BC98" s="684"/>
      <c r="BD98" s="684"/>
      <c r="BE98" s="684"/>
      <c r="BF98" s="684"/>
      <c r="BG98" s="684"/>
      <c r="BH98" s="684"/>
      <c r="BI98" s="684"/>
      <c r="BJ98" s="684"/>
      <c r="BK98" s="684"/>
      <c r="BL98" s="684"/>
      <c r="BM98" s="684"/>
      <c r="BN98" s="684"/>
      <c r="BO98" s="684"/>
      <c r="BP98" s="684"/>
      <c r="BQ98" s="684"/>
      <c r="BR98" s="684"/>
      <c r="BS98" s="684"/>
      <c r="BT98" s="684"/>
      <c r="BU98" s="684"/>
      <c r="BV98" s="684"/>
      <c r="BW98" s="684"/>
      <c r="BX98" s="684"/>
      <c r="BY98" s="684"/>
      <c r="BZ98" s="684"/>
      <c r="CA98" s="684"/>
      <c r="CB98" s="684"/>
      <c r="CC98" s="684"/>
      <c r="CD98" s="684"/>
      <c r="CE98" s="684"/>
      <c r="CF98" s="684"/>
      <c r="CG98" s="684"/>
      <c r="CH98" s="684"/>
      <c r="CI98" s="684"/>
      <c r="CJ98" s="684"/>
      <c r="CK98" s="684"/>
      <c r="CL98" s="684"/>
      <c r="CM98" s="684"/>
      <c r="CN98" s="684"/>
      <c r="CO98" s="684"/>
      <c r="CP98" s="684"/>
      <c r="CQ98" s="684"/>
      <c r="CR98" s="684"/>
      <c r="CS98" s="684"/>
      <c r="CT98" s="684"/>
      <c r="CU98" s="684"/>
      <c r="CV98" s="684"/>
      <c r="CW98" s="684"/>
      <c r="CX98" s="684"/>
      <c r="CY98" s="684"/>
      <c r="CZ98" s="684"/>
      <c r="DA98" s="684"/>
      <c r="DB98" s="684"/>
      <c r="DC98" s="684"/>
      <c r="DD98" s="684"/>
      <c r="DE98" s="684"/>
      <c r="DF98" s="684"/>
      <c r="DG98" s="684"/>
      <c r="DH98" s="684"/>
      <c r="DI98" s="684"/>
      <c r="DJ98" s="684"/>
      <c r="DK98" s="684"/>
      <c r="DL98" s="684"/>
      <c r="DM98" s="684"/>
      <c r="DN98" s="684"/>
      <c r="DO98" s="684"/>
      <c r="DP98" s="684"/>
      <c r="DQ98" s="684"/>
      <c r="DR98" s="684"/>
      <c r="DS98" s="684"/>
      <c r="DT98" s="684"/>
      <c r="DU98" s="684"/>
      <c r="DV98" s="684"/>
      <c r="DW98" s="684"/>
      <c r="DX98" s="684"/>
      <c r="DY98" s="684"/>
      <c r="DZ98" s="684"/>
      <c r="EA98" s="684"/>
      <c r="EB98" s="684"/>
      <c r="EC98" s="684"/>
      <c r="ED98" s="684"/>
      <c r="EE98" s="684"/>
      <c r="EF98" s="684"/>
      <c r="EG98" s="684"/>
      <c r="EH98" s="684"/>
      <c r="EI98" s="684"/>
      <c r="EJ98" s="684"/>
      <c r="EK98" s="684"/>
      <c r="EL98" s="684"/>
      <c r="EM98" s="684"/>
      <c r="EN98" s="684"/>
      <c r="EO98" s="684"/>
      <c r="EP98" s="684"/>
      <c r="EQ98" s="684"/>
      <c r="ER98" s="684"/>
      <c r="ES98" s="684"/>
      <c r="ET98" s="684"/>
      <c r="EU98" s="684"/>
      <c r="EV98" s="684"/>
      <c r="EW98" s="684"/>
      <c r="EX98" s="684"/>
      <c r="EY98" s="684"/>
      <c r="EZ98" s="684"/>
      <c r="FA98" s="684"/>
    </row>
    <row r="99" spans="1:157">
      <c r="A99" s="707" t="str">
        <f>A92</f>
        <v>Total RGU's</v>
      </c>
      <c r="B99" s="684"/>
      <c r="C99" s="684"/>
      <c r="D99" s="684"/>
      <c r="E99" s="684"/>
      <c r="F99" s="697"/>
      <c r="G99" s="697"/>
      <c r="H99" s="697"/>
      <c r="I99" s="697"/>
      <c r="J99" s="703">
        <v>246.20799999999872</v>
      </c>
      <c r="K99" s="703">
        <v>221.70000000000073</v>
      </c>
      <c r="L99" s="703">
        <v>271.30000000000018</v>
      </c>
      <c r="M99" s="703">
        <v>364.13299999999981</v>
      </c>
      <c r="N99" s="703">
        <f t="shared" ref="N99:AK99" si="42">SUM(N96:N98)</f>
        <v>242</v>
      </c>
      <c r="O99" s="703">
        <f t="shared" si="42"/>
        <v>110.05199999999979</v>
      </c>
      <c r="P99" s="703">
        <f t="shared" si="42"/>
        <v>291.25600000000054</v>
      </c>
      <c r="Q99" s="703">
        <f t="shared" si="42"/>
        <v>170.39999999999941</v>
      </c>
      <c r="R99" s="703">
        <f t="shared" si="42"/>
        <v>35.565000000000509</v>
      </c>
      <c r="S99" s="703">
        <f t="shared" si="42"/>
        <v>223.70299999999975</v>
      </c>
      <c r="T99" s="703">
        <f t="shared" si="42"/>
        <v>231.45500000000015</v>
      </c>
      <c r="U99" s="703">
        <f t="shared" si="42"/>
        <v>266.3309999999999</v>
      </c>
      <c r="V99" s="703">
        <f t="shared" si="42"/>
        <v>259.14599999999996</v>
      </c>
      <c r="W99" s="703">
        <f t="shared" si="42"/>
        <v>202.702</v>
      </c>
      <c r="X99" s="703">
        <f t="shared" si="42"/>
        <v>217.29800000000023</v>
      </c>
      <c r="Y99" s="703">
        <f t="shared" si="42"/>
        <v>146.46799999999985</v>
      </c>
      <c r="Z99" s="703">
        <f t="shared" si="42"/>
        <v>99.531999999999925</v>
      </c>
      <c r="AA99" s="703">
        <f t="shared" si="42"/>
        <v>171.62600000000043</v>
      </c>
      <c r="AB99" s="703">
        <f t="shared" si="42"/>
        <v>135.37399999999957</v>
      </c>
      <c r="AC99" s="703">
        <f t="shared" si="42"/>
        <v>89.797999999999774</v>
      </c>
      <c r="AD99" s="703">
        <f t="shared" si="42"/>
        <v>113.42100000000028</v>
      </c>
      <c r="AE99" s="703">
        <f t="shared" si="42"/>
        <v>192.51499999999987</v>
      </c>
      <c r="AF99" s="703">
        <f t="shared" si="42"/>
        <v>528.14800000000014</v>
      </c>
      <c r="AG99" s="703">
        <f t="shared" si="42"/>
        <v>262.72099999999955</v>
      </c>
      <c r="AH99" s="703">
        <f t="shared" si="42"/>
        <v>203.71499999999969</v>
      </c>
      <c r="AI99" s="703">
        <f t="shared" si="42"/>
        <v>158.31600000000071</v>
      </c>
      <c r="AJ99" s="703">
        <f t="shared" si="42"/>
        <v>292</v>
      </c>
      <c r="AK99" s="703">
        <f t="shared" si="42"/>
        <v>201.1860000000006</v>
      </c>
      <c r="AL99" s="703">
        <f t="shared" ref="AL99:AS99" si="43">SUM(AL96:AL98)</f>
        <v>119.67899999999963</v>
      </c>
      <c r="AM99" s="703">
        <f t="shared" si="43"/>
        <v>65.778999999999996</v>
      </c>
      <c r="AN99" s="703">
        <f t="shared" si="43"/>
        <v>278.29300000000012</v>
      </c>
      <c r="AO99" s="703">
        <f t="shared" si="43"/>
        <v>349.01699999999937</v>
      </c>
      <c r="AP99" s="703">
        <f t="shared" si="43"/>
        <v>408.06400000000031</v>
      </c>
      <c r="AQ99" s="703">
        <f t="shared" si="43"/>
        <v>431.52300000000014</v>
      </c>
      <c r="AR99" s="703">
        <f t="shared" si="43"/>
        <v>303.73600000000033</v>
      </c>
      <c r="AS99" s="703">
        <f t="shared" si="43"/>
        <v>356.77399999999943</v>
      </c>
      <c r="AT99" s="703">
        <f>SUM(AT96:AT98)</f>
        <v>339</v>
      </c>
      <c r="AV99" s="684"/>
      <c r="AW99" s="684"/>
      <c r="AX99" s="684"/>
      <c r="AY99" s="684"/>
      <c r="AZ99" s="684"/>
      <c r="BA99" s="684"/>
      <c r="BB99" s="684"/>
      <c r="BC99" s="684"/>
      <c r="BD99" s="684"/>
      <c r="BE99" s="684"/>
      <c r="BF99" s="684"/>
      <c r="BG99" s="684"/>
      <c r="BH99" s="684"/>
      <c r="BI99" s="684"/>
      <c r="BJ99" s="684"/>
      <c r="BK99" s="684"/>
      <c r="BL99" s="684"/>
      <c r="BM99" s="684"/>
      <c r="BN99" s="684"/>
      <c r="BO99" s="684"/>
      <c r="BP99" s="684"/>
      <c r="BQ99" s="684"/>
      <c r="BR99" s="684"/>
      <c r="BS99" s="684"/>
      <c r="BT99" s="684"/>
      <c r="BU99" s="684"/>
      <c r="BV99" s="684"/>
      <c r="BW99" s="684"/>
      <c r="BX99" s="684"/>
      <c r="BY99" s="684"/>
      <c r="BZ99" s="684"/>
      <c r="CA99" s="684"/>
      <c r="CB99" s="684"/>
      <c r="CC99" s="684"/>
      <c r="CD99" s="684"/>
      <c r="CE99" s="684"/>
      <c r="CF99" s="684"/>
      <c r="CG99" s="684"/>
      <c r="CH99" s="684"/>
      <c r="CI99" s="684"/>
      <c r="CJ99" s="684"/>
      <c r="CK99" s="684"/>
      <c r="CL99" s="684"/>
      <c r="CM99" s="684"/>
      <c r="CN99" s="684"/>
      <c r="CO99" s="684"/>
      <c r="CP99" s="684"/>
      <c r="CQ99" s="684"/>
      <c r="CR99" s="684"/>
      <c r="CS99" s="684"/>
      <c r="CT99" s="684"/>
      <c r="CU99" s="684"/>
      <c r="CV99" s="684"/>
      <c r="CW99" s="684"/>
      <c r="CX99" s="684"/>
      <c r="CY99" s="684"/>
      <c r="CZ99" s="684"/>
      <c r="DA99" s="684"/>
      <c r="DB99" s="684"/>
      <c r="DC99" s="684"/>
      <c r="DD99" s="684"/>
      <c r="DE99" s="684"/>
      <c r="DF99" s="684"/>
      <c r="DG99" s="684"/>
      <c r="DH99" s="684"/>
      <c r="DI99" s="684"/>
      <c r="DJ99" s="684"/>
      <c r="DK99" s="684"/>
      <c r="DL99" s="684"/>
      <c r="DM99" s="684"/>
      <c r="DN99" s="684"/>
      <c r="DO99" s="684"/>
      <c r="DP99" s="684"/>
      <c r="DQ99" s="684"/>
      <c r="DR99" s="684"/>
      <c r="DS99" s="684"/>
      <c r="DT99" s="684"/>
      <c r="DU99" s="684"/>
      <c r="DV99" s="684"/>
      <c r="DW99" s="684"/>
      <c r="DX99" s="684"/>
      <c r="DY99" s="684"/>
      <c r="DZ99" s="684"/>
      <c r="EA99" s="684"/>
      <c r="EB99" s="684"/>
      <c r="EC99" s="684"/>
      <c r="ED99" s="684"/>
      <c r="EE99" s="684"/>
      <c r="EF99" s="684"/>
      <c r="EG99" s="684"/>
      <c r="EH99" s="684"/>
      <c r="EI99" s="684"/>
      <c r="EJ99" s="684"/>
      <c r="EK99" s="684"/>
      <c r="EL99" s="684"/>
      <c r="EM99" s="684"/>
      <c r="EN99" s="684"/>
      <c r="EO99" s="684"/>
      <c r="EP99" s="684"/>
      <c r="EQ99" s="684"/>
      <c r="ER99" s="684"/>
      <c r="ES99" s="684"/>
      <c r="ET99" s="684"/>
      <c r="EU99" s="684"/>
      <c r="EV99" s="684"/>
      <c r="EW99" s="684"/>
      <c r="EX99" s="684"/>
      <c r="EY99" s="684"/>
      <c r="EZ99" s="684"/>
      <c r="FA99" s="684"/>
    </row>
    <row r="100" spans="1:157">
      <c r="A100" s="707"/>
      <c r="B100" s="684"/>
      <c r="C100" s="684"/>
      <c r="D100" s="684"/>
      <c r="E100" s="684"/>
      <c r="F100" s="697"/>
      <c r="G100" s="697"/>
      <c r="H100" s="697"/>
      <c r="I100" s="697"/>
      <c r="J100" s="684"/>
      <c r="K100" s="684"/>
      <c r="L100" s="684"/>
      <c r="M100" s="684"/>
      <c r="N100" s="684"/>
      <c r="O100" s="684"/>
      <c r="P100" s="684"/>
      <c r="Q100" s="684"/>
      <c r="R100" s="684"/>
      <c r="S100" s="684"/>
      <c r="T100" s="684"/>
      <c r="U100" s="684"/>
      <c r="V100" s="684"/>
      <c r="W100" s="684"/>
      <c r="X100" s="684"/>
      <c r="Y100" s="684"/>
      <c r="Z100" s="684"/>
      <c r="AA100" s="684"/>
      <c r="AB100" s="684"/>
      <c r="AC100" s="684"/>
      <c r="AD100" s="684"/>
      <c r="AE100" s="684"/>
      <c r="AF100" s="684"/>
      <c r="AG100" s="684"/>
      <c r="AH100" s="684"/>
      <c r="AI100" s="684"/>
      <c r="AJ100" s="684"/>
      <c r="AK100" s="684"/>
      <c r="AL100" s="684"/>
      <c r="AM100" s="684"/>
      <c r="AN100" s="684"/>
      <c r="AO100" s="684"/>
      <c r="AP100" s="684"/>
      <c r="AQ100" s="684"/>
      <c r="AR100" s="684"/>
      <c r="AS100" s="684"/>
      <c r="AT100" s="684"/>
      <c r="AV100" s="684"/>
      <c r="AW100" s="684"/>
      <c r="AX100" s="684"/>
      <c r="AY100" s="684"/>
      <c r="AZ100" s="684"/>
      <c r="BA100" s="684"/>
      <c r="BB100" s="684"/>
      <c r="BC100" s="684"/>
      <c r="BD100" s="684"/>
      <c r="BE100" s="684"/>
      <c r="BF100" s="684"/>
      <c r="BG100" s="684"/>
      <c r="BH100" s="684"/>
      <c r="BI100" s="684"/>
      <c r="BJ100" s="684"/>
      <c r="BK100" s="684"/>
      <c r="BL100" s="684"/>
      <c r="BM100" s="684"/>
      <c r="BN100" s="684"/>
      <c r="BO100" s="684"/>
      <c r="BP100" s="684"/>
      <c r="BQ100" s="684"/>
      <c r="BR100" s="684"/>
      <c r="BS100" s="684"/>
      <c r="BT100" s="684"/>
      <c r="BU100" s="684"/>
      <c r="BV100" s="684"/>
      <c r="BW100" s="684"/>
      <c r="BX100" s="684"/>
      <c r="BY100" s="684"/>
      <c r="BZ100" s="684"/>
      <c r="CA100" s="684"/>
      <c r="CB100" s="684"/>
      <c r="CC100" s="684"/>
      <c r="CD100" s="684"/>
      <c r="CE100" s="684"/>
      <c r="CF100" s="684"/>
      <c r="CG100" s="684"/>
      <c r="CH100" s="684"/>
      <c r="CI100" s="684"/>
      <c r="CJ100" s="684"/>
      <c r="CK100" s="684"/>
      <c r="CL100" s="684"/>
      <c r="CM100" s="684"/>
      <c r="CN100" s="684"/>
      <c r="CO100" s="684"/>
      <c r="CP100" s="684"/>
      <c r="CQ100" s="684"/>
      <c r="CR100" s="684"/>
      <c r="CS100" s="684"/>
      <c r="CT100" s="684"/>
      <c r="CU100" s="684"/>
      <c r="CV100" s="684"/>
      <c r="CW100" s="684"/>
      <c r="CX100" s="684"/>
      <c r="CY100" s="684"/>
      <c r="CZ100" s="684"/>
      <c r="DA100" s="684"/>
      <c r="DB100" s="684"/>
      <c r="DC100" s="684"/>
      <c r="DD100" s="684"/>
      <c r="DE100" s="684"/>
      <c r="DF100" s="684"/>
      <c r="DG100" s="684"/>
      <c r="DH100" s="684"/>
      <c r="DI100" s="684"/>
      <c r="DJ100" s="684"/>
      <c r="DK100" s="684"/>
      <c r="DL100" s="684"/>
      <c r="DM100" s="684"/>
      <c r="DN100" s="684"/>
      <c r="DO100" s="684"/>
      <c r="DP100" s="684"/>
      <c r="DQ100" s="684"/>
      <c r="DR100" s="684"/>
      <c r="DS100" s="684"/>
      <c r="DT100" s="684"/>
      <c r="DU100" s="684"/>
      <c r="DV100" s="684"/>
      <c r="DW100" s="684"/>
      <c r="DX100" s="684"/>
      <c r="DY100" s="684"/>
      <c r="DZ100" s="684"/>
      <c r="EA100" s="684"/>
      <c r="EB100" s="684"/>
      <c r="EC100" s="684"/>
      <c r="ED100" s="684"/>
      <c r="EE100" s="684"/>
      <c r="EF100" s="684"/>
      <c r="EG100" s="684"/>
      <c r="EH100" s="684"/>
      <c r="EI100" s="684"/>
      <c r="EJ100" s="684"/>
      <c r="EK100" s="684"/>
      <c r="EL100" s="684"/>
      <c r="EM100" s="684"/>
      <c r="EN100" s="684"/>
      <c r="EO100" s="684"/>
      <c r="EP100" s="684"/>
      <c r="EQ100" s="684"/>
      <c r="ER100" s="684"/>
      <c r="ES100" s="684"/>
      <c r="ET100" s="684"/>
      <c r="EU100" s="684"/>
      <c r="EV100" s="684"/>
      <c r="EW100" s="684"/>
      <c r="EX100" s="684"/>
      <c r="EY100" s="684"/>
      <c r="EZ100" s="684"/>
      <c r="FA100" s="684"/>
    </row>
    <row r="101" spans="1:157">
      <c r="A101" s="719" t="s">
        <v>200</v>
      </c>
      <c r="B101" s="724"/>
      <c r="C101" s="724"/>
      <c r="D101" s="724"/>
      <c r="E101" s="724"/>
      <c r="F101" s="705"/>
      <c r="G101" s="705"/>
      <c r="H101" s="705"/>
      <c r="I101" s="705"/>
      <c r="J101" s="724"/>
      <c r="K101" s="724"/>
      <c r="L101" s="724"/>
      <c r="M101" s="724"/>
      <c r="N101" s="727" t="str">
        <f t="shared" ref="N101:AM101" si="44">N88</f>
        <v>Q1 16</v>
      </c>
      <c r="O101" s="727" t="str">
        <f t="shared" si="44"/>
        <v>Q2 16</v>
      </c>
      <c r="P101" s="727" t="str">
        <f t="shared" si="44"/>
        <v>Q3 16</v>
      </c>
      <c r="Q101" s="727" t="str">
        <f t="shared" si="44"/>
        <v>Q4 16</v>
      </c>
      <c r="R101" s="727" t="str">
        <f t="shared" si="44"/>
        <v>Q1 17</v>
      </c>
      <c r="S101" s="727" t="str">
        <f t="shared" si="44"/>
        <v>Q2 17</v>
      </c>
      <c r="T101" s="727" t="str">
        <f t="shared" si="44"/>
        <v>Q3 17</v>
      </c>
      <c r="U101" s="727" t="str">
        <f t="shared" si="44"/>
        <v>Q4 17</v>
      </c>
      <c r="V101" s="727" t="str">
        <f t="shared" si="44"/>
        <v>Q1 18</v>
      </c>
      <c r="W101" s="727" t="str">
        <f t="shared" si="44"/>
        <v>Q2 18</v>
      </c>
      <c r="X101" s="727" t="str">
        <f t="shared" si="44"/>
        <v>Q3 18</v>
      </c>
      <c r="Y101" s="727" t="str">
        <f t="shared" si="44"/>
        <v>Q4 18*</v>
      </c>
      <c r="Z101" s="727" t="str">
        <f t="shared" si="44"/>
        <v>Q1 19</v>
      </c>
      <c r="AA101" s="727" t="str">
        <f t="shared" si="44"/>
        <v>Q2 19</v>
      </c>
      <c r="AB101" s="727" t="str">
        <f t="shared" si="44"/>
        <v>Q3 19</v>
      </c>
      <c r="AC101" s="727" t="str">
        <f t="shared" si="44"/>
        <v>Q4 19</v>
      </c>
      <c r="AD101" s="727" t="str">
        <f t="shared" si="44"/>
        <v>Q1 20</v>
      </c>
      <c r="AE101" s="727" t="str">
        <f t="shared" si="44"/>
        <v>Q2 20</v>
      </c>
      <c r="AF101" s="727" t="str">
        <f t="shared" si="44"/>
        <v>Q3 20</v>
      </c>
      <c r="AG101" s="727" t="str">
        <f t="shared" si="44"/>
        <v>Q4 20</v>
      </c>
      <c r="AH101" s="727" t="str">
        <f t="shared" si="44"/>
        <v>Q1 21</v>
      </c>
      <c r="AI101" s="727" t="str">
        <f t="shared" si="44"/>
        <v>Q2 21</v>
      </c>
      <c r="AJ101" s="727" t="str">
        <f t="shared" si="44"/>
        <v>Q3 21</v>
      </c>
      <c r="AK101" s="727" t="str">
        <f t="shared" si="44"/>
        <v>Q4 21</v>
      </c>
      <c r="AL101" s="727" t="str">
        <f t="shared" si="44"/>
        <v>Q1 22</v>
      </c>
      <c r="AM101" s="727" t="str">
        <f t="shared" si="44"/>
        <v>Q2 22</v>
      </c>
      <c r="AN101" s="727" t="str">
        <f t="shared" ref="AN101:AO101" si="45">AN88</f>
        <v>Q3 22</v>
      </c>
      <c r="AO101" s="727" t="str">
        <f t="shared" si="45"/>
        <v>Q4 22</v>
      </c>
      <c r="AP101" s="727" t="str">
        <f t="shared" ref="AP101:AQ101" si="46">AP88</f>
        <v>Q1 23</v>
      </c>
      <c r="AQ101" s="727" t="str">
        <f t="shared" si="46"/>
        <v>Q2 23</v>
      </c>
      <c r="AR101" s="727" t="str">
        <f t="shared" ref="AR101:AS101" si="47">AR88</f>
        <v>Q3 23</v>
      </c>
      <c r="AS101" s="727" t="str">
        <f t="shared" si="47"/>
        <v>Q4 23</v>
      </c>
      <c r="AT101" s="727" t="str">
        <f>AT88</f>
        <v>Q1 24</v>
      </c>
      <c r="AV101" s="684"/>
      <c r="AW101" s="684"/>
      <c r="AX101" s="684"/>
      <c r="AY101" s="684"/>
      <c r="AZ101" s="684"/>
      <c r="BA101" s="684"/>
      <c r="BB101" s="684"/>
      <c r="BC101" s="684"/>
      <c r="BD101" s="684"/>
      <c r="BE101" s="684"/>
      <c r="BF101" s="684"/>
      <c r="BG101" s="684"/>
      <c r="BH101" s="684"/>
      <c r="BI101" s="684"/>
      <c r="BJ101" s="684"/>
      <c r="BK101" s="684"/>
      <c r="BL101" s="684"/>
      <c r="BM101" s="684"/>
      <c r="BN101" s="684"/>
      <c r="BO101" s="684"/>
      <c r="BP101" s="684"/>
      <c r="BQ101" s="684"/>
      <c r="BR101" s="684"/>
      <c r="BS101" s="684"/>
      <c r="BT101" s="684"/>
      <c r="BU101" s="684"/>
      <c r="BV101" s="684"/>
      <c r="BW101" s="684"/>
      <c r="BX101" s="684"/>
      <c r="BY101" s="684"/>
      <c r="BZ101" s="684"/>
      <c r="CA101" s="684"/>
      <c r="CB101" s="684"/>
      <c r="CC101" s="684"/>
      <c r="CD101" s="684"/>
      <c r="CE101" s="684"/>
      <c r="CF101" s="684"/>
      <c r="CG101" s="684"/>
      <c r="CH101" s="684"/>
      <c r="CI101" s="684"/>
      <c r="CJ101" s="684"/>
      <c r="CK101" s="684"/>
      <c r="CL101" s="684"/>
      <c r="CM101" s="684"/>
      <c r="CN101" s="684"/>
      <c r="CO101" s="684"/>
      <c r="CP101" s="684"/>
      <c r="CQ101" s="684"/>
      <c r="CR101" s="684"/>
      <c r="CS101" s="684"/>
      <c r="CT101" s="684"/>
      <c r="CU101" s="684"/>
      <c r="CV101" s="684"/>
      <c r="CW101" s="684"/>
      <c r="CX101" s="684"/>
      <c r="CY101" s="684"/>
      <c r="CZ101" s="684"/>
      <c r="DA101" s="684"/>
      <c r="DB101" s="684"/>
      <c r="DC101" s="684"/>
      <c r="DD101" s="684"/>
      <c r="DE101" s="684"/>
      <c r="DF101" s="684"/>
      <c r="DG101" s="684"/>
      <c r="DH101" s="684"/>
      <c r="DI101" s="684"/>
      <c r="DJ101" s="684"/>
      <c r="DK101" s="684"/>
      <c r="DL101" s="684"/>
      <c r="DM101" s="684"/>
      <c r="DN101" s="684"/>
      <c r="DO101" s="684"/>
      <c r="DP101" s="684"/>
      <c r="DQ101" s="684"/>
      <c r="DR101" s="684"/>
      <c r="DS101" s="684"/>
      <c r="DT101" s="684"/>
      <c r="DU101" s="684"/>
      <c r="DV101" s="684"/>
      <c r="DW101" s="684"/>
      <c r="DX101" s="684"/>
      <c r="DY101" s="684"/>
      <c r="DZ101" s="684"/>
      <c r="EA101" s="684"/>
      <c r="EB101" s="684"/>
      <c r="EC101" s="684"/>
      <c r="ED101" s="684"/>
      <c r="EE101" s="684"/>
      <c r="EF101" s="684"/>
      <c r="EG101" s="684"/>
      <c r="EH101" s="684"/>
      <c r="EI101" s="684"/>
      <c r="EJ101" s="684"/>
      <c r="EK101" s="684"/>
      <c r="EL101" s="684"/>
      <c r="EM101" s="684"/>
      <c r="EN101" s="684"/>
      <c r="EO101" s="684"/>
      <c r="EP101" s="684"/>
      <c r="EQ101" s="684"/>
      <c r="ER101" s="684"/>
      <c r="ES101" s="684"/>
      <c r="ET101" s="684"/>
      <c r="EU101" s="684"/>
      <c r="EV101" s="684"/>
      <c r="EW101" s="684"/>
      <c r="EX101" s="684"/>
      <c r="EY101" s="684"/>
      <c r="EZ101" s="684"/>
      <c r="FA101" s="684"/>
    </row>
    <row r="102" spans="1:157">
      <c r="A102" s="707" t="s">
        <v>1042</v>
      </c>
      <c r="B102" s="684"/>
      <c r="C102" s="684"/>
      <c r="D102" s="684"/>
      <c r="E102" s="684"/>
      <c r="F102" s="697"/>
      <c r="G102" s="697"/>
      <c r="H102" s="697"/>
      <c r="I102" s="697"/>
      <c r="J102" s="684"/>
      <c r="K102" s="684"/>
      <c r="L102" s="684"/>
      <c r="M102" s="684"/>
      <c r="N102" s="697">
        <f>Interims!CU14</f>
        <v>0.13502122272693429</v>
      </c>
      <c r="O102" s="697">
        <f>Interims!CV14</f>
        <v>0.12915177214640305</v>
      </c>
      <c r="P102" s="697">
        <f>Interims!CW14</f>
        <v>0.11806964628461758</v>
      </c>
      <c r="Q102" s="697">
        <f>Interims!CX14</f>
        <v>9.8162507760796158E-2</v>
      </c>
      <c r="R102" s="697">
        <f>Interims!CZ14</f>
        <v>6.2353203605778562E-2</v>
      </c>
      <c r="S102" s="697">
        <f>Interims!DA14</f>
        <v>3.0068827623332073E-2</v>
      </c>
      <c r="T102" s="697">
        <f>Interims!DB14</f>
        <v>2.0514518344123989E-2</v>
      </c>
      <c r="U102" s="697">
        <f>Interims!DC14</f>
        <v>3.3645287013424285E-2</v>
      </c>
      <c r="V102" s="697">
        <f>Interims!DE14</f>
        <v>7.082247446364387E-2</v>
      </c>
      <c r="W102" s="697">
        <f>Interims!DF14</f>
        <v>9.8174623912800074E-2</v>
      </c>
      <c r="X102" s="697">
        <f>Interims!DG14</f>
        <v>0.10782817662961852</v>
      </c>
      <c r="Y102" s="697">
        <f>Interims!DH14</f>
        <v>0.10762373587496676</v>
      </c>
      <c r="Z102" s="697">
        <f>Interims!DJ14-4.5%</f>
        <v>9.6688870433809734E-2</v>
      </c>
      <c r="AA102" s="697">
        <f>Interims!DK14-4.5%</f>
        <v>0.11249458966427588</v>
      </c>
      <c r="AB102" s="697">
        <f>Interims!DL14-4.5%</f>
        <v>0.10166102669226366</v>
      </c>
      <c r="AC102" s="697">
        <f>Interims!DM14-4.5%</f>
        <v>0.11243299326517946</v>
      </c>
      <c r="AD102" s="697">
        <f>Interims!DO14</f>
        <v>9.3613925904971751E-2</v>
      </c>
      <c r="AE102" s="697">
        <f>Interims!DP14</f>
        <v>0.10700196755973623</v>
      </c>
      <c r="AF102" s="697">
        <f>Interims!DQ14</f>
        <v>7.9057140965371087E-2</v>
      </c>
      <c r="AG102" s="697">
        <f>Interims!DR14</f>
        <v>7.3492433801435553E-2</v>
      </c>
      <c r="AH102" s="697">
        <f>Interims!DT14</f>
        <v>7.8690402505381174E-2</v>
      </c>
      <c r="AI102" s="697">
        <f>Interims!DU14</f>
        <v>5.9493491794001319E-2</v>
      </c>
      <c r="AJ102" s="697">
        <f>Interims!DV14</f>
        <v>5.7740688470270696E-2</v>
      </c>
      <c r="AK102" s="697">
        <f>Interims!DW14</f>
        <v>3.9786228299382387E-2</v>
      </c>
      <c r="AL102" s="697">
        <f>Interims!DY14</f>
        <v>1.0962189012118317E-2</v>
      </c>
      <c r="AM102" s="697">
        <f>Interims!DZ14</f>
        <v>-1.9329638779461922E-2</v>
      </c>
      <c r="AN102" s="697">
        <f>Interims!EA14</f>
        <v>2.7132746589760171E-2</v>
      </c>
      <c r="AO102" s="697">
        <f>Interims!EB14</f>
        <v>1.3589564255623632E-2</v>
      </c>
      <c r="AP102" s="697">
        <f>Interims!ED14</f>
        <v>2.695582193231405E-2</v>
      </c>
      <c r="AQ102" s="697">
        <f>Interims!EE14</f>
        <v>4.6085106382978802E-2</v>
      </c>
      <c r="AR102" s="697">
        <f>Interims!EF14</f>
        <v>-1.9856382120380878E-2</v>
      </c>
      <c r="AS102" s="697">
        <f>Interims!EG14</f>
        <v>-1.7884508918183717E-2</v>
      </c>
      <c r="AT102" s="697">
        <f>Interims!EI14</f>
        <v>-1.76528331147352E-2</v>
      </c>
      <c r="AV102" s="684"/>
      <c r="AW102" s="684"/>
      <c r="AX102" s="684"/>
      <c r="AY102" s="684"/>
      <c r="AZ102" s="684"/>
      <c r="BA102" s="684"/>
      <c r="BB102" s="684"/>
      <c r="BC102" s="684"/>
      <c r="BD102" s="684"/>
      <c r="BE102" s="684"/>
      <c r="BF102" s="684"/>
      <c r="BG102" s="684"/>
      <c r="BH102" s="684"/>
      <c r="BI102" s="684"/>
      <c r="BJ102" s="684"/>
      <c r="BK102" s="684"/>
      <c r="BL102" s="684"/>
      <c r="BM102" s="684"/>
      <c r="BN102" s="684"/>
      <c r="BO102" s="684"/>
      <c r="BP102" s="684"/>
      <c r="BQ102" s="684"/>
      <c r="BR102" s="684"/>
      <c r="BS102" s="684"/>
      <c r="BT102" s="684"/>
      <c r="BU102" s="684"/>
      <c r="BV102" s="684"/>
      <c r="BW102" s="684"/>
      <c r="BX102" s="684"/>
      <c r="BY102" s="684"/>
      <c r="BZ102" s="684"/>
      <c r="CA102" s="684"/>
      <c r="CB102" s="684"/>
      <c r="CC102" s="684"/>
      <c r="CD102" s="684"/>
      <c r="CE102" s="684"/>
      <c r="CF102" s="684"/>
      <c r="CG102" s="684"/>
      <c r="CH102" s="684"/>
      <c r="CI102" s="684"/>
      <c r="CJ102" s="684"/>
      <c r="CK102" s="684"/>
      <c r="CL102" s="684"/>
      <c r="CM102" s="684"/>
      <c r="CN102" s="684"/>
      <c r="CO102" s="684"/>
      <c r="CP102" s="684"/>
      <c r="CQ102" s="684"/>
      <c r="CR102" s="684"/>
      <c r="CS102" s="684"/>
      <c r="CT102" s="684"/>
      <c r="CU102" s="684"/>
      <c r="CV102" s="684"/>
      <c r="CW102" s="684"/>
      <c r="CX102" s="684"/>
      <c r="CY102" s="684"/>
      <c r="CZ102" s="684"/>
      <c r="DA102" s="684"/>
      <c r="DB102" s="684"/>
      <c r="DC102" s="684"/>
      <c r="DD102" s="684"/>
      <c r="DE102" s="684"/>
      <c r="DF102" s="684"/>
      <c r="DG102" s="684"/>
      <c r="DH102" s="684"/>
      <c r="DI102" s="684"/>
      <c r="DJ102" s="684"/>
      <c r="DK102" s="684"/>
      <c r="DL102" s="684"/>
      <c r="DM102" s="684"/>
      <c r="DN102" s="684"/>
      <c r="DO102" s="684"/>
      <c r="DP102" s="684"/>
      <c r="DQ102" s="684"/>
      <c r="DR102" s="684"/>
      <c r="DS102" s="684"/>
      <c r="DT102" s="684"/>
      <c r="DU102" s="684"/>
      <c r="DV102" s="684"/>
      <c r="DW102" s="684"/>
      <c r="DX102" s="684"/>
      <c r="DY102" s="684"/>
      <c r="DZ102" s="684"/>
      <c r="EA102" s="684"/>
      <c r="EB102" s="684"/>
      <c r="EC102" s="684"/>
      <c r="ED102" s="684"/>
      <c r="EE102" s="684"/>
      <c r="EF102" s="684"/>
      <c r="EG102" s="684"/>
      <c r="EH102" s="684"/>
      <c r="EI102" s="684"/>
      <c r="EJ102" s="684"/>
      <c r="EK102" s="684"/>
      <c r="EL102" s="684"/>
      <c r="EM102" s="684"/>
      <c r="EN102" s="684"/>
      <c r="EO102" s="684"/>
      <c r="EP102" s="684"/>
      <c r="EQ102" s="684"/>
      <c r="ER102" s="684"/>
      <c r="ES102" s="684"/>
      <c r="ET102" s="684"/>
      <c r="EU102" s="684"/>
      <c r="EV102" s="684"/>
      <c r="EW102" s="684"/>
      <c r="EX102" s="684"/>
      <c r="EY102" s="684"/>
      <c r="EZ102" s="684"/>
      <c r="FA102" s="684"/>
    </row>
    <row r="103" spans="1:157">
      <c r="A103" s="707" t="s">
        <v>4899</v>
      </c>
      <c r="B103" s="684"/>
      <c r="C103" s="684"/>
      <c r="D103" s="684"/>
      <c r="E103" s="684"/>
      <c r="F103" s="697"/>
      <c r="G103" s="697"/>
      <c r="H103" s="697"/>
      <c r="I103" s="697"/>
      <c r="J103" s="684"/>
      <c r="K103" s="684"/>
      <c r="L103" s="684"/>
      <c r="M103" s="684"/>
      <c r="N103" s="697">
        <f>Interims!AF117</f>
        <v>0.17355371900826455</v>
      </c>
      <c r="O103" s="697">
        <f>Interims!AG117</f>
        <v>0.14565996887896637</v>
      </c>
      <c r="P103" s="697">
        <f>Interims!AH117</f>
        <v>0.12136063664596275</v>
      </c>
      <c r="Q103" s="697">
        <f>Interims!AI117</f>
        <v>9.834249041968679E-2</v>
      </c>
      <c r="R103" s="697">
        <f>Interims!AK117</f>
        <v>5.1588252921786149E-2</v>
      </c>
      <c r="S103" s="697">
        <f>Interims!AL117</f>
        <v>4.3654777370969677E-2</v>
      </c>
      <c r="T103" s="697">
        <f>Interims!AM117</f>
        <v>5.3471230545097947E-2</v>
      </c>
      <c r="U103" s="697">
        <f>Interims!AN117</f>
        <v>7.5693247579413869E-2</v>
      </c>
      <c r="V103" s="697">
        <f>Interims!AP117</f>
        <v>9.5906416083666901E-2</v>
      </c>
      <c r="W103" s="697">
        <f>Interims!AQ117</f>
        <v>0.1131229400364957</v>
      </c>
      <c r="X103" s="697">
        <f>Interims!AR117</f>
        <v>0.12562642057124074</v>
      </c>
      <c r="Y103" s="697">
        <f>Interims!AS117</f>
        <v>0.10702236579869462</v>
      </c>
      <c r="Z103" s="697">
        <f>Interims!AU116</f>
        <v>9.2024858933354325E-2</v>
      </c>
      <c r="AA103" s="697">
        <f>Interims!AV116</f>
        <v>0.11091625365357727</v>
      </c>
      <c r="AB103" s="697">
        <f>Interims!AW116</f>
        <v>0.11043802989940277</v>
      </c>
      <c r="AC103" s="697">
        <f>Interims!AX116</f>
        <v>9.7358357357180347E-2</v>
      </c>
      <c r="AD103" s="697">
        <f>Interims!AZ117</f>
        <v>9.9344166234702769E-2</v>
      </c>
      <c r="AE103" s="697">
        <f>Interims!BA117</f>
        <v>7.7261088447183379E-2</v>
      </c>
      <c r="AF103" s="697">
        <f>Interims!BB117</f>
        <v>6.4932630833628435E-2</v>
      </c>
      <c r="AG103" s="697">
        <f>Interims!BC117</f>
        <v>7.4329908477792861E-2</v>
      </c>
      <c r="AH103" s="697">
        <f>Interims!BE117</f>
        <v>7.2736218454662938E-2</v>
      </c>
      <c r="AI103" s="697">
        <f>Interims!BF117</f>
        <v>6.4035290918430077E-2</v>
      </c>
      <c r="AJ103" s="697">
        <f>Interims!BG117</f>
        <v>5.823571973326569E-2</v>
      </c>
      <c r="AK103" s="697">
        <f>Interims!BH117</f>
        <v>4.8198377875282583E-2</v>
      </c>
      <c r="AL103" s="697">
        <f>Interims!BJ117</f>
        <v>3.3940413171020811E-2</v>
      </c>
      <c r="AM103" s="697">
        <f>Interims!BK117</f>
        <v>3.7947125805749327E-2</v>
      </c>
      <c r="AN103" s="697">
        <f>Interims!BL117</f>
        <v>1.9495518802550071E-2</v>
      </c>
      <c r="AO103" s="697">
        <f>Interims!BM117</f>
        <v>9.1783018782449766E-3</v>
      </c>
      <c r="AP103" s="697">
        <f>Interims!BO117</f>
        <v>4.0164131379036405E-2</v>
      </c>
      <c r="AQ103" s="697">
        <f>Interims!BP117</f>
        <v>4.3153133435470892E-2</v>
      </c>
      <c r="AR103" s="697">
        <f>Interims!BQ117</f>
        <v>1.7808591625883663E-2</v>
      </c>
      <c r="AS103" s="697">
        <f>Interims!BR117</f>
        <v>-2.6485428525255816E-3</v>
      </c>
      <c r="AT103" s="697">
        <f>Interims!BT117</f>
        <v>-3.649868505224263E-2</v>
      </c>
      <c r="AV103" s="684"/>
      <c r="AW103" s="684"/>
      <c r="AX103" s="684"/>
      <c r="AY103" s="684"/>
      <c r="AZ103" s="684"/>
      <c r="BA103" s="684"/>
      <c r="BB103" s="684"/>
      <c r="BC103" s="684"/>
      <c r="BD103" s="684"/>
      <c r="BE103" s="684"/>
      <c r="BF103" s="684"/>
      <c r="BG103" s="684"/>
      <c r="BH103" s="684"/>
      <c r="BI103" s="684"/>
      <c r="BJ103" s="684"/>
      <c r="BK103" s="684"/>
      <c r="BL103" s="684"/>
      <c r="BM103" s="684"/>
      <c r="BN103" s="684"/>
      <c r="BO103" s="684"/>
      <c r="BP103" s="684"/>
      <c r="BQ103" s="684"/>
      <c r="BR103" s="684"/>
      <c r="BS103" s="684"/>
      <c r="BT103" s="684"/>
      <c r="BU103" s="684"/>
      <c r="BV103" s="684"/>
      <c r="BW103" s="684"/>
      <c r="BX103" s="684"/>
      <c r="BY103" s="684"/>
      <c r="BZ103" s="684"/>
      <c r="CA103" s="684"/>
      <c r="CB103" s="684"/>
      <c r="CC103" s="684"/>
      <c r="CD103" s="684"/>
      <c r="CE103" s="684"/>
      <c r="CF103" s="684"/>
      <c r="CG103" s="684"/>
      <c r="CH103" s="684"/>
      <c r="CI103" s="684"/>
      <c r="CJ103" s="684"/>
      <c r="CK103" s="684"/>
      <c r="CL103" s="684"/>
      <c r="CM103" s="684"/>
      <c r="CN103" s="684"/>
      <c r="CO103" s="684"/>
      <c r="CP103" s="684"/>
      <c r="CQ103" s="684"/>
      <c r="CR103" s="684"/>
      <c r="CS103" s="684"/>
      <c r="CT103" s="684"/>
      <c r="CU103" s="684"/>
      <c r="CV103" s="684"/>
      <c r="CW103" s="684"/>
      <c r="CX103" s="684"/>
      <c r="CY103" s="684"/>
      <c r="CZ103" s="684"/>
      <c r="DA103" s="684"/>
      <c r="DB103" s="684"/>
      <c r="DC103" s="684"/>
      <c r="DD103" s="684"/>
      <c r="DE103" s="684"/>
      <c r="DF103" s="684"/>
      <c r="DG103" s="684"/>
      <c r="DH103" s="684"/>
      <c r="DI103" s="684"/>
      <c r="DJ103" s="684"/>
      <c r="DK103" s="684"/>
      <c r="DL103" s="684"/>
      <c r="DM103" s="684"/>
      <c r="DN103" s="684"/>
      <c r="DO103" s="684"/>
      <c r="DP103" s="684"/>
      <c r="DQ103" s="684"/>
      <c r="DR103" s="684"/>
      <c r="DS103" s="684"/>
      <c r="DT103" s="684"/>
      <c r="DU103" s="684"/>
      <c r="DV103" s="684"/>
      <c r="DW103" s="684"/>
      <c r="DX103" s="684"/>
      <c r="DY103" s="684"/>
      <c r="DZ103" s="684"/>
      <c r="EA103" s="684"/>
      <c r="EB103" s="684"/>
      <c r="EC103" s="684"/>
      <c r="ED103" s="684"/>
      <c r="EE103" s="684"/>
      <c r="EF103" s="684"/>
      <c r="EG103" s="684"/>
      <c r="EH103" s="684"/>
      <c r="EI103" s="684"/>
      <c r="EJ103" s="684"/>
      <c r="EK103" s="684"/>
      <c r="EL103" s="684"/>
      <c r="EM103" s="684"/>
      <c r="EN103" s="684"/>
      <c r="EO103" s="684"/>
      <c r="EP103" s="684"/>
      <c r="EQ103" s="684"/>
      <c r="ER103" s="684"/>
      <c r="ES103" s="684"/>
      <c r="ET103" s="684"/>
      <c r="EU103" s="684"/>
      <c r="EV103" s="684"/>
      <c r="EW103" s="684"/>
      <c r="EX103" s="684"/>
      <c r="EY103" s="684"/>
      <c r="EZ103" s="684"/>
      <c r="FA103" s="684"/>
    </row>
    <row r="104" spans="1:157">
      <c r="A104" s="707" t="s">
        <v>4898</v>
      </c>
      <c r="B104" s="684"/>
      <c r="C104" s="684"/>
      <c r="D104" s="684"/>
      <c r="E104" s="684"/>
      <c r="F104" s="697"/>
      <c r="G104" s="697"/>
      <c r="H104" s="697"/>
      <c r="I104" s="697"/>
      <c r="J104" s="684"/>
      <c r="K104" s="684"/>
      <c r="L104" s="684"/>
      <c r="M104" s="684"/>
      <c r="N104" s="778">
        <v>0.21323606241836801</v>
      </c>
      <c r="O104" s="778">
        <v>0.24291920575145509</v>
      </c>
      <c r="P104" s="778">
        <v>0.18239137536752703</v>
      </c>
      <c r="Q104" s="778">
        <v>9.397054424293394E-2</v>
      </c>
      <c r="R104" s="778">
        <v>6.1262302080945963E-2</v>
      </c>
      <c r="S104" s="778">
        <v>2.8043828966660023E-2</v>
      </c>
      <c r="T104" s="778">
        <v>6.0136490481584648E-2</v>
      </c>
      <c r="U104" s="778">
        <v>8.5392423339826218E-2</v>
      </c>
      <c r="V104" s="778">
        <v>0.13424017733964866</v>
      </c>
      <c r="W104" s="778">
        <v>0.17404488608079216</v>
      </c>
      <c r="X104" s="778">
        <v>0.14334659385887583</v>
      </c>
      <c r="Y104" s="778">
        <v>0.12268885974181565</v>
      </c>
      <c r="Z104" s="778">
        <v>9.2518063498788106E-2</v>
      </c>
      <c r="AA104" s="778">
        <v>0.11523843993953453</v>
      </c>
      <c r="AB104" s="778">
        <v>9.4150262390909623E-2</v>
      </c>
      <c r="AC104" s="778">
        <v>7.4444788946657736E-2</v>
      </c>
      <c r="AD104" s="778">
        <v>7.9387117621714909E-2</v>
      </c>
      <c r="AE104" s="778">
        <v>1.350615526185317E-2</v>
      </c>
      <c r="AF104" s="778">
        <v>6.7481874999999913E-2</v>
      </c>
      <c r="AG104" s="778">
        <v>8.5060236050259919E-2</v>
      </c>
      <c r="AH104" s="778">
        <v>8.9488805042994501E-2</v>
      </c>
      <c r="AI104" s="778">
        <v>0.11933043688411837</v>
      </c>
      <c r="AJ104" s="778">
        <v>9.7694672021168438E-2</v>
      </c>
      <c r="AK104" s="778">
        <v>0.12241253664376783</v>
      </c>
      <c r="AL104" s="778">
        <v>0.10316272509113578</v>
      </c>
      <c r="AM104" s="778">
        <v>0.10100000000000001</v>
      </c>
      <c r="AN104" s="778">
        <v>9.0518041451565612E-2</v>
      </c>
      <c r="AO104" s="778">
        <v>6.6835881134052588E-2</v>
      </c>
      <c r="AP104" s="778">
        <v>8.2097888511479811E-2</v>
      </c>
      <c r="AQ104" s="778">
        <v>0.10045330199814262</v>
      </c>
      <c r="AR104" s="778">
        <v>0.12617952559748669</v>
      </c>
      <c r="AS104" s="778">
        <v>0.1363249841471148</v>
      </c>
      <c r="AT104" s="778">
        <v>0.12489002836358964</v>
      </c>
      <c r="AV104" s="684"/>
      <c r="AW104" s="684"/>
      <c r="AX104" s="684"/>
      <c r="AY104" s="684"/>
      <c r="AZ104" s="684"/>
      <c r="BA104" s="684"/>
      <c r="BB104" s="684"/>
      <c r="BC104" s="684"/>
      <c r="BD104" s="684"/>
      <c r="BE104" s="684"/>
      <c r="BF104" s="684"/>
      <c r="BG104" s="684"/>
      <c r="BH104" s="684"/>
      <c r="BI104" s="684"/>
      <c r="BJ104" s="684"/>
      <c r="BK104" s="684"/>
      <c r="BL104" s="684"/>
      <c r="BM104" s="684"/>
      <c r="BN104" s="684"/>
      <c r="BO104" s="684"/>
      <c r="BP104" s="684"/>
      <c r="BQ104" s="684"/>
      <c r="BR104" s="684"/>
      <c r="BS104" s="684"/>
      <c r="BT104" s="684"/>
      <c r="BU104" s="684"/>
      <c r="BV104" s="684"/>
      <c r="BW104" s="684"/>
      <c r="BX104" s="684"/>
      <c r="BY104" s="684"/>
      <c r="BZ104" s="684"/>
      <c r="CA104" s="684"/>
      <c r="CB104" s="684"/>
      <c r="CC104" s="684"/>
      <c r="CD104" s="684"/>
      <c r="CE104" s="684"/>
      <c r="CF104" s="684"/>
      <c r="CG104" s="684"/>
      <c r="CH104" s="684"/>
      <c r="CI104" s="684"/>
      <c r="CJ104" s="684"/>
      <c r="CK104" s="684"/>
      <c r="CL104" s="684"/>
      <c r="CM104" s="684"/>
      <c r="CN104" s="684"/>
      <c r="CO104" s="684"/>
      <c r="CP104" s="684"/>
      <c r="CQ104" s="684"/>
      <c r="CR104" s="684"/>
      <c r="CS104" s="684"/>
      <c r="CT104" s="684"/>
      <c r="CU104" s="684"/>
      <c r="CV104" s="684"/>
      <c r="CW104" s="684"/>
      <c r="CX104" s="684"/>
      <c r="CY104" s="684"/>
      <c r="CZ104" s="684"/>
      <c r="DA104" s="684"/>
      <c r="DB104" s="684"/>
      <c r="DC104" s="684"/>
      <c r="DD104" s="684"/>
      <c r="DE104" s="684"/>
      <c r="DF104" s="684"/>
      <c r="DG104" s="684"/>
      <c r="DH104" s="684"/>
      <c r="DI104" s="684"/>
      <c r="DJ104" s="684"/>
      <c r="DK104" s="684"/>
      <c r="DL104" s="684"/>
      <c r="DM104" s="684"/>
      <c r="DN104" s="684"/>
      <c r="DO104" s="684"/>
      <c r="DP104" s="684"/>
      <c r="DQ104" s="684"/>
      <c r="DR104" s="684"/>
      <c r="DS104" s="684"/>
      <c r="DT104" s="684"/>
      <c r="DU104" s="684"/>
      <c r="DV104" s="684"/>
      <c r="DW104" s="684"/>
      <c r="DX104" s="684"/>
      <c r="DY104" s="684"/>
      <c r="DZ104" s="684"/>
      <c r="EA104" s="684"/>
      <c r="EB104" s="684"/>
      <c r="EC104" s="684"/>
      <c r="ED104" s="684"/>
      <c r="EE104" s="684"/>
      <c r="EF104" s="684"/>
      <c r="EG104" s="684"/>
      <c r="EH104" s="684"/>
      <c r="EI104" s="684"/>
      <c r="EJ104" s="684"/>
      <c r="EK104" s="684"/>
      <c r="EL104" s="684"/>
      <c r="EM104" s="684"/>
      <c r="EN104" s="684"/>
      <c r="EO104" s="684"/>
      <c r="EP104" s="684"/>
      <c r="EQ104" s="684"/>
      <c r="ER104" s="684"/>
      <c r="ES104" s="684"/>
      <c r="ET104" s="684"/>
      <c r="EU104" s="684"/>
      <c r="EV104" s="684"/>
      <c r="EW104" s="684"/>
      <c r="EX104" s="684"/>
      <c r="EY104" s="684"/>
      <c r="EZ104" s="684"/>
      <c r="FA104" s="684"/>
    </row>
    <row r="105" spans="1:157">
      <c r="A105" s="707" t="s">
        <v>665</v>
      </c>
      <c r="B105" s="684"/>
      <c r="C105" s="684"/>
      <c r="D105" s="684"/>
      <c r="E105" s="684"/>
      <c r="F105" s="697"/>
      <c r="G105" s="697"/>
      <c r="H105" s="697"/>
      <c r="I105" s="697"/>
      <c r="J105" s="684"/>
      <c r="K105" s="684"/>
      <c r="L105" s="684"/>
      <c r="M105" s="684"/>
      <c r="N105" s="697"/>
      <c r="O105" s="697"/>
      <c r="P105" s="697"/>
      <c r="Q105" s="697"/>
      <c r="R105" s="697"/>
      <c r="S105" s="697"/>
      <c r="T105" s="697"/>
      <c r="U105" s="697"/>
      <c r="V105" s="697"/>
      <c r="W105" s="697"/>
      <c r="X105" s="697"/>
      <c r="Y105" s="697"/>
      <c r="Z105" s="778">
        <v>-7.1143835295221169E-2</v>
      </c>
      <c r="AA105" s="778">
        <v>-3.4134952136352981E-2</v>
      </c>
      <c r="AB105" s="778">
        <v>-5.00976236963665E-2</v>
      </c>
      <c r="AC105" s="778">
        <v>5.1680257622188641E-2</v>
      </c>
      <c r="AD105" s="778">
        <v>-3.8473189942441643E-2</v>
      </c>
      <c r="AE105" s="778">
        <v>-5.9119621002763467E-2</v>
      </c>
      <c r="AF105" s="778">
        <v>-4.7392394697783891E-2</v>
      </c>
      <c r="AG105" s="778">
        <v>-2.5054129291679605E-2</v>
      </c>
      <c r="AH105" s="778">
        <v>-2.6254988447804717E-4</v>
      </c>
      <c r="AI105" s="778">
        <v>-4.300849680058727E-3</v>
      </c>
      <c r="AJ105" s="778">
        <v>1.9341320582388688E-2</v>
      </c>
      <c r="AK105" s="778">
        <v>1.3271996615905168E-2</v>
      </c>
      <c r="AL105" s="778">
        <v>-3.1724355270760007E-2</v>
      </c>
      <c r="AM105" s="778">
        <v>-2.5000000000000001E-2</v>
      </c>
      <c r="AN105" s="778">
        <v>2.6353238813050517E-3</v>
      </c>
      <c r="AO105" s="778">
        <v>-1.2732870636121718E-2</v>
      </c>
      <c r="AP105" s="778">
        <v>4.1117439652834209E-2</v>
      </c>
      <c r="AQ105" s="778">
        <v>5.589189189189181E-2</v>
      </c>
      <c r="AR105" s="778">
        <v>3.5903905798244207E-2</v>
      </c>
      <c r="AS105" s="778">
        <v>5.9358317035784092E-2</v>
      </c>
      <c r="AT105" s="778">
        <v>9.717084353670602E-2</v>
      </c>
      <c r="AV105" s="684"/>
      <c r="AW105" s="684"/>
      <c r="AX105" s="684"/>
      <c r="AY105" s="684"/>
      <c r="AZ105" s="684"/>
      <c r="BA105" s="684"/>
      <c r="BB105" s="684"/>
      <c r="BC105" s="684"/>
      <c r="BD105" s="684"/>
      <c r="BE105" s="684"/>
      <c r="BF105" s="684"/>
      <c r="BG105" s="684"/>
      <c r="BH105" s="684"/>
      <c r="BI105" s="684"/>
      <c r="BJ105" s="684"/>
      <c r="BK105" s="684"/>
      <c r="BL105" s="684"/>
      <c r="BM105" s="684"/>
      <c r="BN105" s="684"/>
      <c r="BO105" s="684"/>
      <c r="BP105" s="684"/>
      <c r="BQ105" s="684"/>
      <c r="BR105" s="684"/>
      <c r="BS105" s="684"/>
      <c r="BT105" s="684"/>
      <c r="BU105" s="684"/>
      <c r="BV105" s="684"/>
      <c r="BW105" s="684"/>
      <c r="BX105" s="684"/>
      <c r="BY105" s="684"/>
      <c r="BZ105" s="684"/>
      <c r="CA105" s="684"/>
      <c r="CB105" s="684"/>
      <c r="CC105" s="684"/>
      <c r="CD105" s="684"/>
      <c r="CE105" s="684"/>
      <c r="CF105" s="684"/>
      <c r="CG105" s="684"/>
      <c r="CH105" s="684"/>
      <c r="CI105" s="684"/>
      <c r="CJ105" s="684"/>
      <c r="CK105" s="684"/>
      <c r="CL105" s="684"/>
      <c r="CM105" s="684"/>
      <c r="CN105" s="684"/>
      <c r="CO105" s="684"/>
      <c r="CP105" s="684"/>
      <c r="CQ105" s="684"/>
      <c r="CR105" s="684"/>
      <c r="CS105" s="684"/>
      <c r="CT105" s="684"/>
      <c r="CU105" s="684"/>
      <c r="CV105" s="684"/>
      <c r="CW105" s="684"/>
      <c r="CX105" s="684"/>
      <c r="CY105" s="684"/>
      <c r="CZ105" s="684"/>
      <c r="DA105" s="684"/>
      <c r="DB105" s="684"/>
      <c r="DC105" s="684"/>
      <c r="DD105" s="684"/>
      <c r="DE105" s="684"/>
      <c r="DF105" s="684"/>
      <c r="DG105" s="684"/>
      <c r="DH105" s="684"/>
      <c r="DI105" s="684"/>
      <c r="DJ105" s="684"/>
      <c r="DK105" s="684"/>
      <c r="DL105" s="684"/>
      <c r="DM105" s="684"/>
      <c r="DN105" s="684"/>
      <c r="DO105" s="684"/>
      <c r="DP105" s="684"/>
      <c r="DQ105" s="684"/>
      <c r="DR105" s="684"/>
      <c r="DS105" s="684"/>
      <c r="DT105" s="684"/>
      <c r="DU105" s="684"/>
      <c r="DV105" s="684"/>
      <c r="DW105" s="684"/>
      <c r="DX105" s="684"/>
      <c r="DY105" s="684"/>
      <c r="DZ105" s="684"/>
      <c r="EA105" s="684"/>
      <c r="EB105" s="684"/>
      <c r="EC105" s="684"/>
      <c r="ED105" s="684"/>
      <c r="EE105" s="684"/>
      <c r="EF105" s="684"/>
      <c r="EG105" s="684"/>
      <c r="EH105" s="684"/>
      <c r="EI105" s="684"/>
      <c r="EJ105" s="684"/>
      <c r="EK105" s="684"/>
      <c r="EL105" s="684"/>
      <c r="EM105" s="684"/>
      <c r="EN105" s="684"/>
      <c r="EO105" s="684"/>
      <c r="EP105" s="684"/>
      <c r="EQ105" s="684"/>
      <c r="ER105" s="684"/>
      <c r="ES105" s="684"/>
      <c r="ET105" s="684"/>
      <c r="EU105" s="684"/>
      <c r="EV105" s="684"/>
      <c r="EW105" s="684"/>
      <c r="EX105" s="684"/>
      <c r="EY105" s="684"/>
      <c r="EZ105" s="684"/>
      <c r="FA105" s="684"/>
    </row>
    <row r="106" spans="1:157">
      <c r="A106" s="707" t="s">
        <v>7680</v>
      </c>
      <c r="B106" s="684"/>
      <c r="C106" s="684"/>
      <c r="D106" s="684"/>
      <c r="E106" s="684"/>
      <c r="F106" s="697"/>
      <c r="G106" s="697"/>
      <c r="H106" s="697"/>
      <c r="I106" s="697"/>
      <c r="J106" s="684"/>
      <c r="K106" s="684"/>
      <c r="L106" s="684"/>
      <c r="M106" s="684"/>
      <c r="N106" s="697"/>
      <c r="O106" s="697"/>
      <c r="P106" s="697"/>
      <c r="Q106" s="697"/>
      <c r="R106" s="697"/>
      <c r="S106" s="697"/>
      <c r="T106" s="697"/>
      <c r="U106" s="697"/>
      <c r="V106" s="697"/>
      <c r="W106" s="697"/>
      <c r="X106" s="697"/>
      <c r="Y106" s="697"/>
      <c r="Z106" s="697"/>
      <c r="AA106" s="697"/>
      <c r="AB106" s="697"/>
      <c r="AC106" s="697"/>
      <c r="AD106" s="778"/>
      <c r="AE106" s="778"/>
      <c r="AF106" s="778"/>
      <c r="AG106" s="778"/>
      <c r="AH106" s="778"/>
      <c r="AI106" s="778"/>
      <c r="AJ106" s="778"/>
      <c r="AK106" s="778">
        <v>0.42640186915887845</v>
      </c>
      <c r="AL106" s="778">
        <v>0.44080183754437252</v>
      </c>
      <c r="AM106" s="778">
        <v>0.39863065804488396</v>
      </c>
      <c r="AN106" s="778">
        <v>0.40641711229946531</v>
      </c>
      <c r="AO106" s="778">
        <v>0.37559377559377549</v>
      </c>
      <c r="AP106" s="778">
        <v>0.18840579710144922</v>
      </c>
      <c r="AQ106" s="778">
        <v>0.15868914876257811</v>
      </c>
      <c r="AR106" s="778">
        <v>0.1212927756653992</v>
      </c>
      <c r="AS106" s="778">
        <v>6.5134555846630082E-2</v>
      </c>
      <c r="AT106" s="778">
        <v>0.1</v>
      </c>
      <c r="AV106" s="684"/>
      <c r="AW106" s="684"/>
      <c r="AX106" s="684"/>
      <c r="AY106" s="684"/>
      <c r="AZ106" s="684"/>
      <c r="BA106" s="684"/>
      <c r="BB106" s="684"/>
      <c r="BC106" s="684"/>
      <c r="BD106" s="684"/>
      <c r="BE106" s="684"/>
      <c r="BF106" s="684"/>
      <c r="BG106" s="684"/>
      <c r="BH106" s="684"/>
      <c r="BI106" s="684"/>
      <c r="BJ106" s="684"/>
      <c r="BK106" s="684"/>
      <c r="BL106" s="684"/>
      <c r="BM106" s="684"/>
      <c r="BN106" s="684"/>
      <c r="BO106" s="684"/>
      <c r="BP106" s="684"/>
      <c r="BQ106" s="684"/>
      <c r="BR106" s="684"/>
      <c r="BS106" s="684"/>
      <c r="BT106" s="684"/>
      <c r="BU106" s="684"/>
      <c r="BV106" s="684"/>
      <c r="BW106" s="684"/>
      <c r="BX106" s="684"/>
      <c r="BY106" s="684"/>
      <c r="BZ106" s="684"/>
      <c r="CA106" s="684"/>
      <c r="CB106" s="684"/>
      <c r="CC106" s="684"/>
      <c r="CD106" s="684"/>
      <c r="CE106" s="684"/>
      <c r="CF106" s="684"/>
      <c r="CG106" s="684"/>
      <c r="CH106" s="684"/>
      <c r="CI106" s="684"/>
      <c r="CJ106" s="684"/>
      <c r="CK106" s="684"/>
      <c r="CL106" s="684"/>
      <c r="CM106" s="684"/>
      <c r="CN106" s="684"/>
      <c r="CO106" s="684"/>
      <c r="CP106" s="684"/>
      <c r="CQ106" s="684"/>
      <c r="CR106" s="684"/>
      <c r="CS106" s="684"/>
      <c r="CT106" s="684"/>
      <c r="CU106" s="684"/>
      <c r="CV106" s="684"/>
      <c r="CW106" s="684"/>
      <c r="CX106" s="684"/>
      <c r="CY106" s="684"/>
      <c r="CZ106" s="684"/>
      <c r="DA106" s="684"/>
      <c r="DB106" s="684"/>
      <c r="DC106" s="684"/>
      <c r="DD106" s="684"/>
      <c r="DE106" s="684"/>
      <c r="DF106" s="684"/>
      <c r="DG106" s="684"/>
      <c r="DH106" s="684"/>
      <c r="DI106" s="684"/>
      <c r="DJ106" s="684"/>
      <c r="DK106" s="684"/>
      <c r="DL106" s="684"/>
      <c r="DM106" s="684"/>
      <c r="DN106" s="684"/>
      <c r="DO106" s="684"/>
      <c r="DP106" s="684"/>
      <c r="DQ106" s="684"/>
      <c r="DR106" s="684"/>
      <c r="DS106" s="684"/>
      <c r="DT106" s="684"/>
      <c r="DU106" s="684"/>
      <c r="DV106" s="684"/>
      <c r="DW106" s="684"/>
      <c r="DX106" s="684"/>
      <c r="DY106" s="684"/>
      <c r="DZ106" s="684"/>
      <c r="EA106" s="684"/>
      <c r="EB106" s="684"/>
      <c r="EC106" s="684"/>
      <c r="ED106" s="684"/>
      <c r="EE106" s="684"/>
      <c r="EF106" s="684"/>
      <c r="EG106" s="684"/>
      <c r="EH106" s="684"/>
      <c r="EI106" s="684"/>
      <c r="EJ106" s="684"/>
      <c r="EK106" s="684"/>
      <c r="EL106" s="684"/>
      <c r="EM106" s="684"/>
      <c r="EN106" s="684"/>
      <c r="EO106" s="684"/>
      <c r="EP106" s="684"/>
      <c r="EQ106" s="684"/>
      <c r="ER106" s="684"/>
      <c r="ES106" s="684"/>
      <c r="ET106" s="684"/>
      <c r="EU106" s="684"/>
      <c r="EV106" s="684"/>
      <c r="EW106" s="684"/>
      <c r="EX106" s="684"/>
      <c r="EY106" s="684"/>
      <c r="EZ106" s="684"/>
      <c r="FA106" s="684"/>
    </row>
    <row r="107" spans="1:157">
      <c r="A107" s="707"/>
      <c r="B107" s="684"/>
      <c r="C107" s="684"/>
      <c r="D107" s="684"/>
      <c r="E107" s="684"/>
      <c r="F107" s="697"/>
      <c r="G107" s="697"/>
      <c r="H107" s="697"/>
      <c r="I107" s="697"/>
      <c r="J107" s="684"/>
      <c r="K107" s="684"/>
      <c r="L107" s="684"/>
      <c r="M107" s="684"/>
      <c r="N107" s="684"/>
      <c r="O107" s="684"/>
      <c r="P107" s="684"/>
      <c r="Q107" s="684"/>
      <c r="R107" s="684"/>
      <c r="S107" s="684"/>
      <c r="T107" s="684"/>
      <c r="U107" s="684"/>
      <c r="V107" s="684"/>
      <c r="W107" s="684"/>
      <c r="X107" s="684"/>
      <c r="Y107" s="684"/>
      <c r="Z107" s="684"/>
      <c r="AA107" s="684"/>
      <c r="AB107" s="684"/>
      <c r="AC107" s="684"/>
      <c r="AD107" s="684"/>
      <c r="AE107" s="684"/>
      <c r="AF107" s="684"/>
      <c r="AG107" s="684"/>
      <c r="AH107" s="684"/>
      <c r="AI107" s="684"/>
      <c r="AJ107" s="684"/>
      <c r="AK107" s="684"/>
      <c r="AL107" s="684"/>
      <c r="AM107" s="684"/>
      <c r="AN107" s="684"/>
      <c r="AO107" s="684"/>
      <c r="AP107" s="684"/>
      <c r="AQ107" s="684"/>
      <c r="AR107" s="684"/>
      <c r="AS107" s="684"/>
      <c r="AT107" s="684"/>
      <c r="AV107" s="684"/>
      <c r="AW107" s="684"/>
      <c r="AX107" s="684"/>
      <c r="AY107" s="684"/>
      <c r="AZ107" s="684"/>
      <c r="BA107" s="684"/>
      <c r="BB107" s="684"/>
      <c r="BC107" s="684"/>
      <c r="BD107" s="684"/>
      <c r="BE107" s="684"/>
      <c r="BF107" s="684"/>
      <c r="BG107" s="684"/>
      <c r="BH107" s="684"/>
      <c r="BI107" s="684"/>
      <c r="BJ107" s="684"/>
      <c r="BK107" s="684"/>
      <c r="BL107" s="684"/>
      <c r="BM107" s="684"/>
      <c r="BN107" s="684"/>
      <c r="BO107" s="684"/>
      <c r="BP107" s="684"/>
      <c r="BQ107" s="684"/>
      <c r="BR107" s="684"/>
      <c r="BS107" s="684"/>
      <c r="BT107" s="684"/>
      <c r="BU107" s="684"/>
      <c r="BV107" s="684"/>
      <c r="BW107" s="684"/>
      <c r="BX107" s="684"/>
      <c r="BY107" s="684"/>
      <c r="BZ107" s="684"/>
      <c r="CA107" s="684"/>
      <c r="CB107" s="684"/>
      <c r="CC107" s="684"/>
      <c r="CD107" s="684"/>
      <c r="CE107" s="684"/>
      <c r="CF107" s="684"/>
      <c r="CG107" s="684"/>
      <c r="CH107" s="684"/>
      <c r="CI107" s="684"/>
      <c r="CJ107" s="684"/>
      <c r="CK107" s="684"/>
      <c r="CL107" s="684"/>
      <c r="CM107" s="684"/>
      <c r="CN107" s="684"/>
      <c r="CO107" s="684"/>
      <c r="CP107" s="684"/>
      <c r="CQ107" s="684"/>
      <c r="CR107" s="684"/>
      <c r="CS107" s="684"/>
      <c r="CT107" s="684"/>
      <c r="CU107" s="684"/>
      <c r="CV107" s="684"/>
      <c r="CW107" s="684"/>
      <c r="CX107" s="684"/>
      <c r="CY107" s="684"/>
      <c r="CZ107" s="684"/>
      <c r="DA107" s="684"/>
      <c r="DB107" s="684"/>
      <c r="DC107" s="684"/>
      <c r="DD107" s="684"/>
      <c r="DE107" s="684"/>
      <c r="DF107" s="684"/>
      <c r="DG107" s="684"/>
      <c r="DH107" s="684"/>
      <c r="DI107" s="684"/>
      <c r="DJ107" s="684"/>
      <c r="DK107" s="684"/>
      <c r="DL107" s="684"/>
      <c r="DM107" s="684"/>
      <c r="DN107" s="684"/>
      <c r="DO107" s="684"/>
      <c r="DP107" s="684"/>
      <c r="DQ107" s="684"/>
      <c r="DR107" s="684"/>
      <c r="DS107" s="684"/>
      <c r="DT107" s="684"/>
      <c r="DU107" s="684"/>
      <c r="DV107" s="684"/>
      <c r="DW107" s="684"/>
      <c r="DX107" s="684"/>
      <c r="DY107" s="684"/>
      <c r="DZ107" s="684"/>
      <c r="EA107" s="684"/>
      <c r="EB107" s="684"/>
      <c r="EC107" s="684"/>
      <c r="ED107" s="684"/>
      <c r="EE107" s="684"/>
      <c r="EF107" s="684"/>
      <c r="EG107" s="684"/>
      <c r="EH107" s="684"/>
      <c r="EI107" s="684"/>
      <c r="EJ107" s="684"/>
      <c r="EK107" s="684"/>
      <c r="EL107" s="684"/>
      <c r="EM107" s="684"/>
      <c r="EN107" s="684"/>
      <c r="EO107" s="684"/>
      <c r="EP107" s="684"/>
      <c r="EQ107" s="684"/>
      <c r="ER107" s="684"/>
      <c r="ES107" s="684"/>
      <c r="ET107" s="684"/>
      <c r="EU107" s="684"/>
      <c r="EV107" s="684"/>
      <c r="EW107" s="684"/>
      <c r="EX107" s="684"/>
      <c r="EY107" s="684"/>
      <c r="EZ107" s="684"/>
      <c r="FA107" s="684"/>
    </row>
    <row r="108" spans="1:157">
      <c r="A108" s="719" t="s">
        <v>57</v>
      </c>
      <c r="B108" s="724"/>
      <c r="C108" s="724"/>
      <c r="D108" s="724"/>
      <c r="E108" s="724"/>
      <c r="F108" s="705"/>
      <c r="G108" s="705"/>
      <c r="H108" s="705"/>
      <c r="I108" s="705"/>
      <c r="J108" s="724"/>
      <c r="K108" s="724"/>
      <c r="L108" s="724"/>
      <c r="M108" s="724"/>
      <c r="N108" s="727" t="s">
        <v>2515</v>
      </c>
      <c r="O108" s="727" t="s">
        <v>2596</v>
      </c>
      <c r="P108" s="727" t="s">
        <v>2759</v>
      </c>
      <c r="Q108" s="727" t="s">
        <v>3096</v>
      </c>
      <c r="R108" s="727" t="s">
        <v>3256</v>
      </c>
      <c r="S108" s="727" t="s">
        <v>3257</v>
      </c>
      <c r="T108" s="727" t="s">
        <v>3258</v>
      </c>
      <c r="U108" s="727" t="s">
        <v>3259</v>
      </c>
      <c r="V108" s="727" t="s">
        <v>3805</v>
      </c>
      <c r="W108" s="727" t="s">
        <v>3806</v>
      </c>
      <c r="X108" s="727" t="s">
        <v>3807</v>
      </c>
      <c r="Y108" s="727" t="s">
        <v>3808</v>
      </c>
      <c r="Z108" s="727" t="str">
        <f t="shared" ref="Z108:AM108" si="48">Z101</f>
        <v>Q1 19</v>
      </c>
      <c r="AA108" s="727" t="str">
        <f t="shared" si="48"/>
        <v>Q2 19</v>
      </c>
      <c r="AB108" s="727" t="str">
        <f t="shared" si="48"/>
        <v>Q3 19</v>
      </c>
      <c r="AC108" s="727" t="str">
        <f t="shared" si="48"/>
        <v>Q4 19</v>
      </c>
      <c r="AD108" s="727" t="str">
        <f t="shared" si="48"/>
        <v>Q1 20</v>
      </c>
      <c r="AE108" s="727" t="str">
        <f t="shared" si="48"/>
        <v>Q2 20</v>
      </c>
      <c r="AF108" s="727" t="str">
        <f t="shared" si="48"/>
        <v>Q3 20</v>
      </c>
      <c r="AG108" s="727" t="str">
        <f t="shared" si="48"/>
        <v>Q4 20</v>
      </c>
      <c r="AH108" s="727" t="str">
        <f t="shared" si="48"/>
        <v>Q1 21</v>
      </c>
      <c r="AI108" s="727" t="str">
        <f t="shared" si="48"/>
        <v>Q2 21</v>
      </c>
      <c r="AJ108" s="727" t="str">
        <f t="shared" si="48"/>
        <v>Q3 21</v>
      </c>
      <c r="AK108" s="727" t="str">
        <f t="shared" si="48"/>
        <v>Q4 21</v>
      </c>
      <c r="AL108" s="727" t="str">
        <f t="shared" si="48"/>
        <v>Q1 22</v>
      </c>
      <c r="AM108" s="727" t="str">
        <f t="shared" si="48"/>
        <v>Q2 22</v>
      </c>
      <c r="AN108" s="727" t="str">
        <f t="shared" ref="AN108:AO108" si="49">AN101</f>
        <v>Q3 22</v>
      </c>
      <c r="AO108" s="727" t="str">
        <f t="shared" si="49"/>
        <v>Q4 22</v>
      </c>
      <c r="AP108" s="727" t="str">
        <f t="shared" ref="AP108:AQ108" si="50">AP101</f>
        <v>Q1 23</v>
      </c>
      <c r="AQ108" s="727" t="str">
        <f t="shared" si="50"/>
        <v>Q2 23</v>
      </c>
      <c r="AR108" s="727" t="str">
        <f t="shared" ref="AR108:AS108" si="51">AR101</f>
        <v>Q3 23</v>
      </c>
      <c r="AS108" s="727" t="str">
        <f t="shared" si="51"/>
        <v>Q4 23</v>
      </c>
      <c r="AT108" s="727" t="str">
        <f>AT101</f>
        <v>Q1 24</v>
      </c>
      <c r="AV108" s="684"/>
      <c r="AW108" s="684"/>
      <c r="AX108" s="684"/>
      <c r="AY108" s="684"/>
      <c r="AZ108" s="684"/>
      <c r="BA108" s="684"/>
      <c r="BB108" s="684"/>
      <c r="BC108" s="684"/>
      <c r="BD108" s="684"/>
      <c r="BE108" s="684"/>
      <c r="BF108" s="684"/>
      <c r="BG108" s="684"/>
      <c r="BH108" s="684"/>
      <c r="BI108" s="684"/>
      <c r="BJ108" s="684"/>
      <c r="BK108" s="684"/>
      <c r="BL108" s="684"/>
      <c r="BM108" s="684"/>
      <c r="BN108" s="684"/>
      <c r="BO108" s="684"/>
      <c r="BP108" s="684"/>
      <c r="BQ108" s="684"/>
      <c r="BR108" s="684"/>
      <c r="BS108" s="684"/>
      <c r="BT108" s="684"/>
      <c r="BU108" s="684"/>
      <c r="BV108" s="684"/>
      <c r="BW108" s="684"/>
      <c r="BX108" s="684"/>
      <c r="BY108" s="684"/>
      <c r="BZ108" s="684"/>
      <c r="CA108" s="684"/>
      <c r="CB108" s="684"/>
      <c r="CC108" s="684"/>
      <c r="CD108" s="684"/>
      <c r="CE108" s="684"/>
      <c r="CF108" s="684"/>
      <c r="CG108" s="684"/>
      <c r="CH108" s="684"/>
      <c r="CI108" s="684"/>
      <c r="CJ108" s="684"/>
      <c r="CK108" s="684"/>
      <c r="CL108" s="684"/>
      <c r="CM108" s="684"/>
      <c r="CN108" s="684"/>
      <c r="CO108" s="684"/>
      <c r="CP108" s="684"/>
      <c r="CQ108" s="684"/>
      <c r="CR108" s="684"/>
      <c r="CS108" s="684"/>
      <c r="CT108" s="684"/>
      <c r="CU108" s="684"/>
      <c r="CV108" s="684"/>
      <c r="CW108" s="684"/>
      <c r="CX108" s="684"/>
      <c r="CY108" s="684"/>
      <c r="CZ108" s="684"/>
      <c r="DA108" s="684"/>
      <c r="DB108" s="684"/>
      <c r="DC108" s="684"/>
      <c r="DD108" s="684"/>
      <c r="DE108" s="684"/>
      <c r="DF108" s="684"/>
      <c r="DG108" s="684"/>
      <c r="DH108" s="684"/>
      <c r="DI108" s="684"/>
      <c r="DJ108" s="684"/>
      <c r="DK108" s="684"/>
      <c r="DL108" s="684"/>
      <c r="DM108" s="684"/>
      <c r="DN108" s="684"/>
      <c r="DO108" s="684"/>
      <c r="DP108" s="684"/>
      <c r="DQ108" s="684"/>
      <c r="DR108" s="684"/>
      <c r="DS108" s="684"/>
      <c r="DT108" s="684"/>
      <c r="DU108" s="684"/>
      <c r="DV108" s="684"/>
      <c r="DW108" s="684"/>
      <c r="DX108" s="684"/>
      <c r="DY108" s="684"/>
      <c r="DZ108" s="684"/>
      <c r="EA108" s="684"/>
      <c r="EB108" s="684"/>
      <c r="EC108" s="684"/>
      <c r="ED108" s="684"/>
      <c r="EE108" s="684"/>
      <c r="EF108" s="684"/>
      <c r="EG108" s="684"/>
      <c r="EH108" s="684"/>
      <c r="EI108" s="684"/>
      <c r="EJ108" s="684"/>
      <c r="EK108" s="684"/>
      <c r="EL108" s="684"/>
      <c r="EM108" s="684"/>
      <c r="EN108" s="684"/>
      <c r="EO108" s="684"/>
      <c r="EP108" s="684"/>
      <c r="EQ108" s="684"/>
      <c r="ER108" s="684"/>
      <c r="ES108" s="684"/>
      <c r="ET108" s="684"/>
      <c r="EU108" s="684"/>
      <c r="EV108" s="684"/>
      <c r="EW108" s="684"/>
      <c r="EX108" s="684"/>
      <c r="EY108" s="684"/>
      <c r="EZ108" s="684"/>
      <c r="FA108" s="684"/>
    </row>
    <row r="109" spans="1:157">
      <c r="A109" s="707" t="s">
        <v>1042</v>
      </c>
      <c r="B109" s="684"/>
      <c r="C109" s="684"/>
      <c r="D109" s="684"/>
      <c r="E109" s="684"/>
      <c r="F109" s="697"/>
      <c r="G109" s="697"/>
      <c r="H109" s="697"/>
      <c r="I109" s="697"/>
      <c r="J109" s="684"/>
      <c r="K109" s="684"/>
      <c r="L109" s="684"/>
      <c r="M109" s="684"/>
      <c r="N109" s="697">
        <f>Interims!CU26</f>
        <v>0.18609376175784487</v>
      </c>
      <c r="O109" s="697">
        <f>Interims!CV26</f>
        <v>0.19173721148976197</v>
      </c>
      <c r="P109" s="697">
        <f>Interims!CW26</f>
        <v>0.15815674402959967</v>
      </c>
      <c r="Q109" s="697">
        <f>Interims!CX26</f>
        <v>0.11147279612037475</v>
      </c>
      <c r="R109" s="697">
        <f>Interims!CZ26</f>
        <v>7.7686841771348769E-2</v>
      </c>
      <c r="S109" s="697">
        <f>Interims!DA26</f>
        <v>4.4957804626313047E-2</v>
      </c>
      <c r="T109" s="697">
        <f>Interims!DB26</f>
        <v>2.3321328996282586E-2</v>
      </c>
      <c r="U109" s="697">
        <f>Interims!DC26</f>
        <v>9.727452035144335E-2</v>
      </c>
      <c r="V109" s="697">
        <f>Interims!DE26</f>
        <v>7.8768433756218226E-2</v>
      </c>
      <c r="W109" s="697">
        <f>Interims!DF26</f>
        <v>8.1951021119600176E-2</v>
      </c>
      <c r="X109" s="697">
        <f>Interims!DG26</f>
        <v>0.10898254576415489</v>
      </c>
      <c r="Y109" s="697">
        <f>Interims!DH26</f>
        <v>9.0966037530299637E-2</v>
      </c>
      <c r="Z109" s="778">
        <f>Interims!DJ26-4.5%</f>
        <v>0.12750129607902</v>
      </c>
      <c r="AA109" s="778">
        <f>Interims!DK26-4.5%</f>
        <v>0.15618676833852424</v>
      </c>
      <c r="AB109" s="778">
        <f>Interims!DL26-4.5%</f>
        <v>0.10194817658349324</v>
      </c>
      <c r="AC109" s="778">
        <f>Interims!DM26-4.5%</f>
        <v>8.9633147764435581E-2</v>
      </c>
      <c r="AD109" s="697">
        <f>Interims!DO26</f>
        <v>4.4960554792767171E-2</v>
      </c>
      <c r="AE109" s="697">
        <f>Interims!DP26</f>
        <v>4.0861032255180341E-2</v>
      </c>
      <c r="AF109" s="697">
        <f>Interims!DQ26</f>
        <v>7.0285829038088332E-2</v>
      </c>
      <c r="AG109" s="697">
        <f>Interims!DR26</f>
        <v>9.0165016501650097E-2</v>
      </c>
      <c r="AH109" s="697">
        <f>Interims!DT26</f>
        <v>7.6676391332427762E-2</v>
      </c>
      <c r="AI109" s="697">
        <f>Interims!DU26</f>
        <v>7.8084398153119405E-2</v>
      </c>
      <c r="AJ109" s="697">
        <f>Interims!DV26</f>
        <v>5.5830049825922101E-2</v>
      </c>
      <c r="AK109" s="697">
        <f>Interims!DW26</f>
        <v>8.2949866795834382E-2</v>
      </c>
      <c r="AL109" s="697">
        <f>Interims!DY26</f>
        <v>2.9930087287469487E-2</v>
      </c>
      <c r="AM109" s="697">
        <f>Interims!DZ26</f>
        <v>-1.3605306667197947E-2</v>
      </c>
      <c r="AN109" s="697">
        <f>Interims!EA26</f>
        <v>-3.0032579721591568E-2</v>
      </c>
      <c r="AO109" s="697">
        <f>Interims!EB26</f>
        <v>-5.7121025755712096E-2</v>
      </c>
      <c r="AP109" s="697">
        <f>Interims!ED26</f>
        <v>-4.478541160404137E-3</v>
      </c>
      <c r="AQ109" s="697">
        <f>Interims!EE26</f>
        <v>-2.2294923058281957E-2</v>
      </c>
      <c r="AR109" s="697">
        <f>Interims!EF26</f>
        <v>-0.12042993241592692</v>
      </c>
      <c r="AS109" s="697">
        <f>Interims!EG26</f>
        <v>-7.0661949281521141E-2</v>
      </c>
      <c r="AT109" s="697">
        <f>Interims!EI26</f>
        <v>-8.6999999999999994E-2</v>
      </c>
      <c r="AV109" s="684"/>
      <c r="AW109" s="684"/>
      <c r="AX109" s="684"/>
      <c r="AY109" s="684"/>
      <c r="AZ109" s="684"/>
      <c r="BA109" s="684"/>
      <c r="BB109" s="684"/>
      <c r="BC109" s="684"/>
      <c r="BD109" s="684"/>
      <c r="BE109" s="684"/>
      <c r="BF109" s="684"/>
      <c r="BG109" s="684"/>
      <c r="BH109" s="684"/>
      <c r="BI109" s="684"/>
      <c r="BJ109" s="684"/>
      <c r="BK109" s="684"/>
      <c r="BL109" s="684"/>
      <c r="BM109" s="684"/>
      <c r="BN109" s="684"/>
      <c r="BO109" s="684"/>
      <c r="BP109" s="684"/>
      <c r="BQ109" s="684"/>
      <c r="BR109" s="684"/>
      <c r="BS109" s="684"/>
      <c r="BT109" s="684"/>
      <c r="BU109" s="684"/>
      <c r="BV109" s="684"/>
      <c r="BW109" s="684"/>
      <c r="BX109" s="684"/>
      <c r="BY109" s="684"/>
      <c r="BZ109" s="684"/>
      <c r="CA109" s="684"/>
      <c r="CB109" s="684"/>
      <c r="CC109" s="684"/>
      <c r="CD109" s="684"/>
      <c r="CE109" s="684"/>
      <c r="CF109" s="684"/>
      <c r="CG109" s="684"/>
      <c r="CH109" s="684"/>
      <c r="CI109" s="684"/>
      <c r="CJ109" s="684"/>
      <c r="CK109" s="684"/>
      <c r="CL109" s="684"/>
      <c r="CM109" s="684"/>
      <c r="CN109" s="684"/>
      <c r="CO109" s="684"/>
      <c r="CP109" s="684"/>
      <c r="CQ109" s="684"/>
      <c r="CR109" s="684"/>
      <c r="CS109" s="684"/>
      <c r="CT109" s="684"/>
      <c r="CU109" s="684"/>
      <c r="CV109" s="684"/>
      <c r="CW109" s="684"/>
      <c r="CX109" s="684"/>
      <c r="CY109" s="684"/>
      <c r="CZ109" s="684"/>
      <c r="DA109" s="684"/>
      <c r="DB109" s="684"/>
      <c r="DC109" s="684"/>
      <c r="DD109" s="684"/>
      <c r="DE109" s="684"/>
      <c r="DF109" s="684"/>
      <c r="DG109" s="684"/>
      <c r="DH109" s="684"/>
      <c r="DI109" s="684"/>
      <c r="DJ109" s="684"/>
      <c r="DK109" s="684"/>
      <c r="DL109" s="684"/>
      <c r="DM109" s="684"/>
      <c r="DN109" s="684"/>
      <c r="DO109" s="684"/>
      <c r="DP109" s="684"/>
      <c r="DQ109" s="684"/>
      <c r="DR109" s="684"/>
      <c r="DS109" s="684"/>
      <c r="DT109" s="684"/>
      <c r="DU109" s="684"/>
      <c r="DV109" s="684"/>
      <c r="DW109" s="684"/>
      <c r="DX109" s="684"/>
      <c r="DY109" s="684"/>
      <c r="DZ109" s="684"/>
      <c r="EA109" s="684"/>
      <c r="EB109" s="684"/>
      <c r="EC109" s="684"/>
      <c r="ED109" s="684"/>
      <c r="EE109" s="684"/>
      <c r="EF109" s="684"/>
      <c r="EG109" s="684"/>
      <c r="EH109" s="684"/>
      <c r="EI109" s="684"/>
      <c r="EJ109" s="684"/>
      <c r="EK109" s="684"/>
      <c r="EL109" s="684"/>
      <c r="EM109" s="684"/>
      <c r="EN109" s="684"/>
      <c r="EO109" s="684"/>
      <c r="EP109" s="684"/>
      <c r="EQ109" s="684"/>
      <c r="ER109" s="684"/>
      <c r="ES109" s="684"/>
      <c r="ET109" s="684"/>
      <c r="EU109" s="684"/>
      <c r="EV109" s="684"/>
      <c r="EW109" s="684"/>
      <c r="EX109" s="684"/>
      <c r="EY109" s="684"/>
      <c r="EZ109" s="684"/>
      <c r="FA109" s="684"/>
    </row>
    <row r="110" spans="1:157">
      <c r="A110" s="707" t="s">
        <v>4899</v>
      </c>
      <c r="B110" s="684"/>
      <c r="C110" s="684"/>
      <c r="D110" s="684"/>
      <c r="E110" s="684"/>
      <c r="F110" s="697"/>
      <c r="G110" s="697"/>
      <c r="H110" s="697"/>
      <c r="I110" s="697"/>
      <c r="J110" s="684"/>
      <c r="K110" s="684"/>
      <c r="L110" s="684"/>
      <c r="M110" s="684"/>
      <c r="N110" s="697">
        <f>Interims!AF132</f>
        <v>0.23881123506327429</v>
      </c>
      <c r="O110" s="697">
        <f>Interims!AG132</f>
        <v>0.21307536671724825</v>
      </c>
      <c r="P110" s="697">
        <f>Interims!AH132</f>
        <v>0.19262393230621844</v>
      </c>
      <c r="Q110" s="697">
        <f>Interims!AI132</f>
        <v>0.17453152264623362</v>
      </c>
      <c r="R110" s="697">
        <f>Interims!AK132</f>
        <v>7.5992169425164624E-2</v>
      </c>
      <c r="S110" s="697">
        <f>Interims!AL132</f>
        <v>6.3483790263733963E-2</v>
      </c>
      <c r="T110" s="697">
        <f>Interims!AM132</f>
        <v>5.1271753681392251E-2</v>
      </c>
      <c r="U110" s="697">
        <f>Interims!AN132</f>
        <v>8.2969996447372241E-2</v>
      </c>
      <c r="V110" s="697">
        <f>Interims!AP132</f>
        <v>0.10420112471055254</v>
      </c>
      <c r="W110" s="697">
        <f>Interims!AQ132</f>
        <v>0.11265764882702745</v>
      </c>
      <c r="X110" s="697">
        <f>Interims!AR132</f>
        <v>0.12966382274290078</v>
      </c>
      <c r="Y110" s="697">
        <f>Interims!AS132</f>
        <v>9.4506739830609643E-2</v>
      </c>
      <c r="Z110" s="697">
        <f>Interims!AU131</f>
        <v>0.12863690832834024</v>
      </c>
      <c r="AA110" s="697">
        <f>Interims!AV131</f>
        <v>0.14716538438949905</v>
      </c>
      <c r="AB110" s="697">
        <f>Interims!AW131</f>
        <v>0.11596942370015488</v>
      </c>
      <c r="AC110" s="697">
        <f>Interims!AX131</f>
        <v>8.6059099207106124E-2</v>
      </c>
      <c r="AD110" s="697">
        <f>Interims!AZ132</f>
        <v>5.2353481723504069E-2</v>
      </c>
      <c r="AE110" s="697">
        <f>Interims!BA132</f>
        <v>2.8203359771417302E-2</v>
      </c>
      <c r="AF110" s="697">
        <f>Interims!BB132</f>
        <v>4.9372527125761678E-2</v>
      </c>
      <c r="AG110" s="697">
        <f>Interims!BC132</f>
        <v>7.716027077160259E-2</v>
      </c>
      <c r="AH110" s="697">
        <f>Interims!BE132</f>
        <v>8.7466951269798976E-2</v>
      </c>
      <c r="AI110" s="697">
        <f>Interims!BF132</f>
        <v>7.1964161655846404E-2</v>
      </c>
      <c r="AJ110" s="697">
        <f>Interims!BG132</f>
        <v>6.0211422358955158E-2</v>
      </c>
      <c r="AK110" s="697">
        <f>Interims!BH132</f>
        <v>8.379925750324313E-2</v>
      </c>
      <c r="AL110" s="697">
        <f>Interims!BJ132</f>
        <v>4.2647157227934773E-2</v>
      </c>
      <c r="AM110" s="697">
        <f>Interims!BK132</f>
        <v>4.983574317831363E-2</v>
      </c>
      <c r="AN110" s="697">
        <f>Interims!BL132</f>
        <v>2.9017759741676308E-3</v>
      </c>
      <c r="AO110" s="697">
        <f>Interims!BM132</f>
        <v>1.0338210107096124E-2</v>
      </c>
      <c r="AP110" s="697">
        <f>Interims!BO132</f>
        <v>1.4375869076906689E-2</v>
      </c>
      <c r="AQ110" s="697">
        <f>Interims!BP132</f>
        <v>-1.4347446622815396E-2</v>
      </c>
      <c r="AR110" s="697">
        <f>Interims!BQ132</f>
        <v>-7.3139426110035433E-2</v>
      </c>
      <c r="AS110" s="697">
        <f>Interims!BR132</f>
        <v>-6.6745639475511709E-2</v>
      </c>
      <c r="AT110" s="697">
        <f>Interims!BT132</f>
        <v>-0.10348507919100747</v>
      </c>
      <c r="AV110" s="684"/>
      <c r="AW110" s="684"/>
      <c r="AX110" s="684"/>
      <c r="AY110" s="684"/>
      <c r="AZ110" s="684"/>
      <c r="BA110" s="684"/>
      <c r="BB110" s="684"/>
      <c r="BC110" s="684"/>
      <c r="BD110" s="684"/>
      <c r="BE110" s="684"/>
      <c r="BF110" s="684"/>
      <c r="BG110" s="684"/>
      <c r="BH110" s="684"/>
      <c r="BI110" s="684"/>
      <c r="BJ110" s="684"/>
      <c r="BK110" s="684"/>
      <c r="BL110" s="684"/>
      <c r="BM110" s="684"/>
      <c r="BN110" s="684"/>
      <c r="BO110" s="684"/>
      <c r="BP110" s="684"/>
      <c r="BQ110" s="684"/>
      <c r="BY110" s="684"/>
      <c r="BZ110" s="684"/>
      <c r="CA110" s="684"/>
      <c r="CB110" s="684"/>
      <c r="CC110" s="684"/>
      <c r="CD110" s="684"/>
      <c r="CE110" s="684"/>
      <c r="CF110" s="684"/>
      <c r="CG110" s="684"/>
      <c r="CH110" s="684"/>
      <c r="CI110" s="684"/>
      <c r="CJ110" s="684"/>
      <c r="CK110" s="684"/>
      <c r="CL110" s="684"/>
      <c r="CM110" s="684"/>
      <c r="CN110" s="684"/>
      <c r="CO110" s="684"/>
      <c r="CP110" s="684"/>
      <c r="CQ110" s="684"/>
      <c r="CR110" s="684"/>
      <c r="CS110" s="684"/>
      <c r="CT110" s="684"/>
      <c r="CU110" s="684"/>
      <c r="CV110" s="684"/>
      <c r="CW110" s="684"/>
      <c r="CX110" s="684"/>
      <c r="CY110" s="684"/>
      <c r="CZ110" s="684"/>
      <c r="DA110" s="684"/>
      <c r="DB110" s="684"/>
      <c r="DC110" s="684"/>
      <c r="DD110" s="684"/>
      <c r="DE110" s="684"/>
      <c r="DF110" s="684"/>
      <c r="DG110" s="684"/>
      <c r="DH110" s="684"/>
      <c r="DI110" s="684"/>
      <c r="DJ110" s="684"/>
      <c r="DK110" s="684"/>
      <c r="DL110" s="684"/>
      <c r="DM110" s="684"/>
      <c r="DN110" s="684"/>
      <c r="DO110" s="684"/>
      <c r="DP110" s="684"/>
      <c r="DQ110" s="684"/>
      <c r="DR110" s="684"/>
      <c r="DS110" s="684"/>
      <c r="DT110" s="684"/>
      <c r="DU110" s="684"/>
      <c r="DV110" s="684"/>
      <c r="DW110" s="684"/>
      <c r="DX110" s="684"/>
      <c r="DY110" s="684"/>
      <c r="DZ110" s="684"/>
      <c r="EA110" s="684"/>
      <c r="EB110" s="684"/>
      <c r="EC110" s="684"/>
      <c r="ED110" s="684"/>
      <c r="EE110" s="684"/>
      <c r="EF110" s="684"/>
      <c r="EG110" s="684"/>
      <c r="EH110" s="684"/>
      <c r="EI110" s="684"/>
      <c r="EJ110" s="684"/>
      <c r="EK110" s="684"/>
      <c r="EL110" s="684"/>
      <c r="EM110" s="684"/>
      <c r="EN110" s="684"/>
      <c r="EO110" s="684"/>
      <c r="EP110" s="684"/>
      <c r="EQ110" s="684"/>
      <c r="ER110" s="684"/>
      <c r="ES110" s="684"/>
      <c r="ET110" s="684"/>
      <c r="EU110" s="684"/>
      <c r="EV110" s="684"/>
      <c r="EW110" s="684"/>
      <c r="EX110" s="684"/>
      <c r="EY110" s="684"/>
      <c r="EZ110" s="684"/>
      <c r="FA110" s="684"/>
    </row>
    <row r="111" spans="1:157">
      <c r="A111" s="707" t="s">
        <v>2335</v>
      </c>
      <c r="B111" s="684"/>
      <c r="C111" s="684"/>
      <c r="D111" s="684"/>
      <c r="E111" s="684"/>
      <c r="F111" s="697"/>
      <c r="G111" s="697"/>
      <c r="H111" s="697"/>
      <c r="I111" s="697"/>
      <c r="J111" s="684"/>
      <c r="K111" s="684"/>
      <c r="L111" s="684"/>
      <c r="M111" s="684"/>
      <c r="N111" s="778">
        <v>0.19504488330341108</v>
      </c>
      <c r="O111" s="778">
        <v>0.23814584949573314</v>
      </c>
      <c r="P111" s="778">
        <v>0.13388888888888872</v>
      </c>
      <c r="Q111" s="778">
        <v>0.15331530884271416</v>
      </c>
      <c r="R111" s="778">
        <v>5.3826092181960217E-2</v>
      </c>
      <c r="S111" s="778">
        <v>0.11475779619917659</v>
      </c>
      <c r="T111" s="778">
        <v>0.23395698525063779</v>
      </c>
      <c r="U111" s="778">
        <v>9.2447306791569206E-2</v>
      </c>
      <c r="V111" s="778">
        <v>0.19264035691965198</v>
      </c>
      <c r="W111" s="778">
        <v>0.15675230530955475</v>
      </c>
      <c r="X111" s="778">
        <v>0.10867196495410325</v>
      </c>
      <c r="Y111" s="778">
        <v>9.6965699208443334E-2</v>
      </c>
      <c r="Z111" s="778">
        <v>5.4539840838028431E-2</v>
      </c>
      <c r="AA111" s="778">
        <v>9.0788988639036727E-2</v>
      </c>
      <c r="AB111" s="778">
        <v>4.5404742518822205E-2</v>
      </c>
      <c r="AC111" s="778">
        <v>6.7891669364910534E-2</v>
      </c>
      <c r="AD111" s="778">
        <v>9.4194525292563558E-2</v>
      </c>
      <c r="AE111" s="778">
        <v>3.428765708755499E-2</v>
      </c>
      <c r="AF111" s="778">
        <v>0.14417089160839147</v>
      </c>
      <c r="AG111" s="778">
        <v>0.12686714240852437</v>
      </c>
      <c r="AH111" s="778">
        <v>9.5395834234278887E-2</v>
      </c>
      <c r="AI111" s="778">
        <v>0.11859159936920571</v>
      </c>
      <c r="AJ111" s="778">
        <v>8.7999999999999995E-2</v>
      </c>
      <c r="AK111" s="778">
        <v>0.13363084598915265</v>
      </c>
      <c r="AL111" s="778">
        <v>7.8632397287918154E-2</v>
      </c>
      <c r="AM111" s="778">
        <v>8.0107822410147897E-2</v>
      </c>
      <c r="AN111" s="778">
        <v>4.6471352287487333E-2</v>
      </c>
      <c r="AO111" s="778">
        <v>2.9770583408494922E-3</v>
      </c>
      <c r="AP111" s="778">
        <v>8.0529148597552336E-3</v>
      </c>
      <c r="AQ111" s="778">
        <v>9.2038549644968271E-3</v>
      </c>
      <c r="AR111" s="778">
        <v>5.3525631668893014E-2</v>
      </c>
      <c r="AS111" s="778">
        <v>0.11403042596348878</v>
      </c>
      <c r="AT111" s="778">
        <v>0.12387491360451675</v>
      </c>
      <c r="AV111" s="684"/>
      <c r="AW111" s="684"/>
      <c r="AX111" s="684"/>
      <c r="AY111" s="684"/>
      <c r="AZ111" s="684"/>
      <c r="BA111" s="684"/>
      <c r="BB111" s="684"/>
      <c r="BC111" s="684"/>
      <c r="BD111" s="684"/>
      <c r="BE111" s="684"/>
      <c r="BF111" s="684"/>
      <c r="BG111" s="684"/>
      <c r="BH111" s="684"/>
      <c r="BI111" s="684"/>
      <c r="BJ111" s="684"/>
      <c r="BK111" s="684"/>
      <c r="BL111" s="684"/>
      <c r="BM111" s="684"/>
      <c r="BN111" s="684"/>
      <c r="BO111" s="684"/>
      <c r="BP111" s="684"/>
      <c r="BQ111" s="684"/>
      <c r="BY111" s="684"/>
      <c r="BZ111" s="684"/>
      <c r="CA111" s="684"/>
      <c r="CB111" s="684"/>
      <c r="CC111" s="684"/>
      <c r="CD111" s="684"/>
      <c r="CE111" s="684"/>
      <c r="CF111" s="684"/>
      <c r="CG111" s="684"/>
      <c r="CH111" s="684"/>
      <c r="CI111" s="684"/>
      <c r="CJ111" s="684"/>
      <c r="CK111" s="684"/>
      <c r="CL111" s="684"/>
      <c r="CM111" s="684"/>
      <c r="CN111" s="684"/>
      <c r="CO111" s="684"/>
      <c r="CP111" s="684"/>
      <c r="CQ111" s="684"/>
      <c r="CR111" s="684"/>
      <c r="CS111" s="684"/>
      <c r="CT111" s="684"/>
      <c r="CU111" s="684"/>
      <c r="CV111" s="684"/>
      <c r="CW111" s="684"/>
      <c r="CX111" s="684"/>
      <c r="CY111" s="684"/>
      <c r="CZ111" s="684"/>
      <c r="DA111" s="684"/>
      <c r="DB111" s="684"/>
      <c r="DC111" s="684"/>
      <c r="DD111" s="684"/>
      <c r="DE111" s="684"/>
      <c r="DF111" s="684"/>
      <c r="DG111" s="684"/>
      <c r="DH111" s="684"/>
      <c r="DI111" s="684"/>
      <c r="DJ111" s="684"/>
      <c r="DK111" s="684"/>
      <c r="DL111" s="684"/>
      <c r="DM111" s="684"/>
      <c r="DN111" s="684"/>
      <c r="DO111" s="684"/>
      <c r="DP111" s="684"/>
      <c r="DQ111" s="684"/>
      <c r="DR111" s="684"/>
      <c r="DS111" s="684"/>
      <c r="DT111" s="684"/>
      <c r="DU111" s="684"/>
      <c r="DV111" s="684"/>
      <c r="DW111" s="684"/>
      <c r="DX111" s="684"/>
      <c r="DY111" s="684"/>
      <c r="DZ111" s="684"/>
      <c r="EA111" s="684"/>
      <c r="EB111" s="684"/>
      <c r="EC111" s="684"/>
      <c r="ED111" s="684"/>
      <c r="EE111" s="684"/>
      <c r="EF111" s="684"/>
      <c r="EG111" s="684"/>
      <c r="EH111" s="684"/>
      <c r="EI111" s="684"/>
      <c r="EJ111" s="684"/>
      <c r="EK111" s="684"/>
      <c r="EL111" s="684"/>
      <c r="EM111" s="684"/>
      <c r="EN111" s="684"/>
      <c r="EO111" s="684"/>
      <c r="EP111" s="684"/>
      <c r="EQ111" s="684"/>
      <c r="ER111" s="684"/>
      <c r="ES111" s="684"/>
      <c r="ET111" s="684"/>
      <c r="EU111" s="684"/>
      <c r="EV111" s="684"/>
      <c r="EW111" s="684"/>
      <c r="EX111" s="684"/>
      <c r="EY111" s="684"/>
      <c r="EZ111" s="684"/>
      <c r="FA111" s="684"/>
    </row>
    <row r="112" spans="1:157">
      <c r="A112" s="707" t="s">
        <v>5711</v>
      </c>
      <c r="B112" s="684"/>
      <c r="C112" s="684"/>
      <c r="D112" s="684"/>
      <c r="E112" s="684"/>
      <c r="F112" s="697"/>
      <c r="G112" s="697"/>
      <c r="H112" s="697"/>
      <c r="I112" s="697"/>
      <c r="J112" s="684"/>
      <c r="K112" s="684"/>
      <c r="L112" s="684"/>
      <c r="M112" s="684"/>
      <c r="N112" s="778"/>
      <c r="O112" s="778"/>
      <c r="P112" s="778"/>
      <c r="Q112" s="778"/>
      <c r="R112" s="778"/>
      <c r="S112" s="778"/>
      <c r="T112" s="778"/>
      <c r="U112" s="778"/>
      <c r="V112" s="778"/>
      <c r="W112" s="778"/>
      <c r="X112" s="778"/>
      <c r="Y112" s="778"/>
      <c r="Z112" s="778"/>
      <c r="AA112" s="778"/>
      <c r="AB112" s="778"/>
      <c r="AC112" s="778"/>
      <c r="AD112" s="778"/>
      <c r="AE112" s="778"/>
      <c r="AF112" s="778"/>
      <c r="AG112" s="778"/>
      <c r="AH112" s="778">
        <v>0.6293365794278758</v>
      </c>
      <c r="AI112" s="778">
        <v>0.97264843228819209</v>
      </c>
      <c r="AJ112" s="778">
        <v>0.76647398843930636</v>
      </c>
      <c r="AK112" s="778">
        <v>0.35131845841784992</v>
      </c>
      <c r="AL112" s="778">
        <v>0.39260366081434439</v>
      </c>
      <c r="AM112" s="778">
        <v>0.28677713899222179</v>
      </c>
      <c r="AN112" s="778">
        <v>0.32689790575916233</v>
      </c>
      <c r="AO112" s="778">
        <v>0.31462023416391482</v>
      </c>
      <c r="AP112" s="778">
        <v>0.18937768240343344</v>
      </c>
      <c r="AQ112" s="778">
        <v>0.15032851511169509</v>
      </c>
      <c r="AR112" s="778">
        <v>0.1871763255240444</v>
      </c>
      <c r="AS112" s="778">
        <v>8.1525462434345775E-2</v>
      </c>
      <c r="AT112" s="778">
        <v>0.12494361750112759</v>
      </c>
      <c r="AV112" s="684"/>
      <c r="AW112" s="684"/>
      <c r="AX112" s="684"/>
      <c r="AY112" s="684"/>
      <c r="AZ112" s="684"/>
      <c r="BA112" s="684"/>
      <c r="BB112" s="684"/>
      <c r="BC112" s="684"/>
      <c r="BD112" s="684"/>
      <c r="BE112" s="684"/>
      <c r="BF112" s="684"/>
      <c r="BG112" s="684"/>
      <c r="BH112" s="684"/>
      <c r="BI112" s="684"/>
      <c r="BJ112" s="684"/>
      <c r="BK112" s="684"/>
      <c r="BL112" s="684"/>
      <c r="BM112" s="684"/>
      <c r="BN112" s="684"/>
      <c r="BO112" s="684"/>
      <c r="BP112" s="684"/>
      <c r="BQ112" s="684"/>
      <c r="BY112" s="684"/>
      <c r="BZ112" s="684"/>
      <c r="CA112" s="684"/>
      <c r="CB112" s="684"/>
      <c r="CC112" s="684"/>
      <c r="CD112" s="684"/>
      <c r="CE112" s="684"/>
      <c r="CF112" s="684"/>
      <c r="CG112" s="684"/>
      <c r="CH112" s="684"/>
      <c r="CI112" s="684"/>
      <c r="CJ112" s="684"/>
      <c r="CK112" s="684"/>
      <c r="CL112" s="684"/>
      <c r="CM112" s="684"/>
      <c r="CN112" s="684"/>
      <c r="CO112" s="684"/>
      <c r="CP112" s="684"/>
      <c r="CQ112" s="684"/>
      <c r="CR112" s="684"/>
      <c r="CS112" s="684"/>
      <c r="CT112" s="684"/>
      <c r="CU112" s="684"/>
      <c r="CV112" s="684"/>
      <c r="CW112" s="684"/>
      <c r="CX112" s="684"/>
      <c r="CY112" s="684"/>
      <c r="CZ112" s="684"/>
      <c r="DA112" s="684"/>
      <c r="DB112" s="684"/>
      <c r="DC112" s="684"/>
      <c r="DD112" s="684"/>
      <c r="DE112" s="684"/>
      <c r="DF112" s="684"/>
      <c r="DG112" s="684"/>
      <c r="DH112" s="684"/>
      <c r="DI112" s="684"/>
      <c r="DJ112" s="684"/>
      <c r="DK112" s="684"/>
      <c r="DL112" s="684"/>
      <c r="DM112" s="684"/>
      <c r="DN112" s="684"/>
      <c r="DO112" s="684"/>
      <c r="DP112" s="684"/>
      <c r="DQ112" s="684"/>
      <c r="DR112" s="684"/>
      <c r="DS112" s="684"/>
      <c r="DT112" s="684"/>
      <c r="DU112" s="684"/>
      <c r="DV112" s="684"/>
      <c r="DW112" s="684"/>
      <c r="DX112" s="684"/>
      <c r="DY112" s="684"/>
      <c r="DZ112" s="684"/>
      <c r="EA112" s="684"/>
      <c r="EB112" s="684"/>
      <c r="EC112" s="684"/>
      <c r="ED112" s="684"/>
      <c r="EE112" s="684"/>
      <c r="EF112" s="684"/>
      <c r="EG112" s="684"/>
      <c r="EH112" s="684"/>
      <c r="EI112" s="684"/>
      <c r="EJ112" s="684"/>
      <c r="EK112" s="684"/>
      <c r="EL112" s="684"/>
      <c r="EM112" s="684"/>
      <c r="EN112" s="684"/>
      <c r="EO112" s="684"/>
      <c r="EP112" s="684"/>
      <c r="EQ112" s="684"/>
      <c r="ER112" s="684"/>
      <c r="ES112" s="684"/>
      <c r="ET112" s="684"/>
      <c r="EU112" s="684"/>
      <c r="EV112" s="684"/>
      <c r="EW112" s="684"/>
      <c r="EX112" s="684"/>
      <c r="EY112" s="684"/>
      <c r="EZ112" s="684"/>
      <c r="FA112" s="684"/>
    </row>
    <row r="113" spans="1:154">
      <c r="A113" s="707"/>
      <c r="B113" s="684"/>
      <c r="C113" s="684"/>
      <c r="D113" s="684"/>
      <c r="E113" s="684"/>
      <c r="F113" s="697"/>
      <c r="G113" s="697"/>
      <c r="H113" s="697"/>
      <c r="I113" s="697"/>
      <c r="J113" s="684"/>
      <c r="K113" s="684"/>
      <c r="L113" s="684"/>
      <c r="M113" s="684"/>
      <c r="N113" s="697"/>
      <c r="O113" s="697"/>
      <c r="P113" s="697"/>
      <c r="Q113" s="697"/>
      <c r="R113" s="697"/>
      <c r="S113" s="697"/>
      <c r="T113" s="697"/>
      <c r="U113" s="697"/>
      <c r="V113" s="697"/>
      <c r="W113" s="697"/>
      <c r="X113" s="697"/>
      <c r="Y113" s="697"/>
      <c r="Z113" s="697"/>
      <c r="AA113" s="684"/>
      <c r="AB113" s="684"/>
      <c r="AC113" s="684"/>
      <c r="AD113" s="684"/>
      <c r="AE113" s="684"/>
      <c r="AF113" s="684"/>
      <c r="AG113" s="684"/>
      <c r="AH113" s="684"/>
      <c r="AI113" s="684"/>
      <c r="AJ113" s="684"/>
      <c r="AK113" s="684"/>
      <c r="AL113" s="684"/>
      <c r="AM113" s="684"/>
      <c r="AN113" s="684"/>
      <c r="AO113" s="684"/>
      <c r="AP113" s="684"/>
      <c r="AQ113" s="684"/>
      <c r="AR113" s="684"/>
      <c r="AS113" s="684"/>
      <c r="AT113" s="684"/>
      <c r="AU113" s="684"/>
      <c r="AV113" s="684"/>
      <c r="AW113" s="684"/>
      <c r="AX113" s="684"/>
      <c r="AY113" s="684"/>
      <c r="AZ113" s="684"/>
      <c r="BA113" s="684"/>
      <c r="BB113" s="684"/>
      <c r="BC113" s="684"/>
      <c r="BD113" s="684"/>
      <c r="BE113" s="684"/>
      <c r="BF113" s="684"/>
      <c r="BG113" s="684"/>
      <c r="BH113" s="684"/>
      <c r="BI113" s="684"/>
      <c r="BJ113" s="684"/>
      <c r="BK113" s="684"/>
      <c r="BL113" s="684"/>
      <c r="BM113" s="684"/>
      <c r="BN113" s="684"/>
      <c r="BV113" s="684"/>
      <c r="BW113" s="684"/>
      <c r="BX113" s="684"/>
      <c r="BY113" s="684"/>
      <c r="BZ113" s="684"/>
      <c r="CA113" s="684"/>
      <c r="CB113" s="684"/>
      <c r="CC113" s="684"/>
      <c r="CD113" s="684"/>
      <c r="CE113" s="684"/>
      <c r="CF113" s="684"/>
      <c r="CG113" s="684"/>
      <c r="CH113" s="684"/>
      <c r="CI113" s="684"/>
      <c r="CJ113" s="684"/>
      <c r="CK113" s="684"/>
      <c r="CL113" s="684"/>
      <c r="CM113" s="684"/>
      <c r="CN113" s="684"/>
      <c r="CO113" s="684"/>
      <c r="CP113" s="684"/>
      <c r="CQ113" s="684"/>
      <c r="CR113" s="684"/>
      <c r="CS113" s="684"/>
      <c r="CT113" s="684"/>
      <c r="CU113" s="684"/>
      <c r="CV113" s="684"/>
      <c r="CW113" s="684"/>
      <c r="CX113" s="684"/>
      <c r="CY113" s="684"/>
      <c r="CZ113" s="684"/>
      <c r="DA113" s="684"/>
      <c r="DB113" s="684"/>
      <c r="DC113" s="684"/>
      <c r="DD113" s="684"/>
      <c r="DE113" s="684"/>
      <c r="DF113" s="684"/>
      <c r="DG113" s="684"/>
      <c r="DH113" s="684"/>
      <c r="DI113" s="684"/>
      <c r="DJ113" s="684"/>
      <c r="DK113" s="684"/>
      <c r="DL113" s="684"/>
      <c r="DM113" s="684"/>
      <c r="DN113" s="684"/>
      <c r="DO113" s="684"/>
      <c r="DP113" s="684"/>
      <c r="DQ113" s="684"/>
      <c r="DR113" s="684"/>
      <c r="DS113" s="684"/>
      <c r="DT113" s="684"/>
      <c r="DU113" s="684"/>
      <c r="DV113" s="684"/>
      <c r="DW113" s="684"/>
      <c r="DX113" s="684"/>
      <c r="DY113" s="684"/>
      <c r="DZ113" s="684"/>
      <c r="EA113" s="684"/>
      <c r="EB113" s="684"/>
      <c r="EC113" s="684"/>
      <c r="ED113" s="684"/>
      <c r="EE113" s="684"/>
      <c r="EF113" s="684"/>
      <c r="EG113" s="684"/>
      <c r="EH113" s="684"/>
      <c r="EI113" s="684"/>
      <c r="EJ113" s="684"/>
      <c r="EK113" s="684"/>
      <c r="EL113" s="684"/>
      <c r="EM113" s="684"/>
      <c r="EN113" s="684"/>
      <c r="EO113" s="684"/>
      <c r="EP113" s="684"/>
      <c r="EQ113" s="684"/>
      <c r="ER113" s="684"/>
      <c r="ES113" s="684"/>
      <c r="ET113" s="684"/>
      <c r="EU113" s="684"/>
      <c r="EV113" s="684"/>
      <c r="EW113" s="684"/>
      <c r="EX113" s="684"/>
    </row>
    <row r="117" spans="1:154">
      <c r="A117" s="684"/>
      <c r="B117" s="728" t="str">
        <f>'Earnings Snaps'!V88</f>
        <v>Q1 18</v>
      </c>
      <c r="C117" s="728" t="str">
        <f>'Earnings Snaps'!W88</f>
        <v>Q2 18</v>
      </c>
      <c r="D117" s="728" t="str">
        <f>'Earnings Snaps'!X88</f>
        <v>Q3 18</v>
      </c>
      <c r="E117" s="728" t="s">
        <v>3808</v>
      </c>
      <c r="F117" s="728" t="str">
        <f>'Earnings Snaps'!Z88</f>
        <v>Q1 19</v>
      </c>
      <c r="G117" s="728" t="str">
        <f>'Earnings Snaps'!AA88</f>
        <v>Q2 19</v>
      </c>
      <c r="H117" s="728" t="str">
        <f>'Earnings Snaps'!AB88</f>
        <v>Q3 19</v>
      </c>
      <c r="I117" s="728" t="str">
        <f>'Earnings Snaps'!AC88</f>
        <v>Q4 19</v>
      </c>
      <c r="J117" s="728" t="str">
        <f>'Earnings Snaps'!AD88</f>
        <v>Q1 20</v>
      </c>
      <c r="K117" s="728" t="str">
        <f>'Earnings Snaps'!AE88</f>
        <v>Q2 20</v>
      </c>
      <c r="L117" s="728" t="str">
        <f>'Earnings Snaps'!AF88</f>
        <v>Q3 20</v>
      </c>
      <c r="M117" s="728" t="str">
        <f>'Earnings Snaps'!AG88</f>
        <v>Q4 20</v>
      </c>
      <c r="N117" s="728" t="str">
        <f>'Earnings Snaps'!AH88</f>
        <v>Q1 21</v>
      </c>
      <c r="O117" s="728" t="str">
        <f>'Earnings Snaps'!AI88</f>
        <v>Q2 21</v>
      </c>
      <c r="P117" s="728" t="str">
        <f>'Earnings Snaps'!AJ88</f>
        <v>Q3 21</v>
      </c>
      <c r="Q117" s="728" t="str">
        <f>'Earnings Snaps'!AK88</f>
        <v>Q4 21</v>
      </c>
      <c r="R117" s="728" t="str">
        <f>'Earnings Snaps'!AL88</f>
        <v>Q1 22</v>
      </c>
      <c r="S117" s="728" t="str">
        <f>'Earnings Snaps'!AM88</f>
        <v>Q2 22</v>
      </c>
      <c r="T117" s="728" t="str">
        <f>'Earnings Snaps'!AO88</f>
        <v>Q4 22</v>
      </c>
      <c r="U117" s="728" t="str">
        <f>'Earnings Snaps'!AP88</f>
        <v>Q1 23</v>
      </c>
    </row>
    <row r="118" spans="1:154">
      <c r="A118" s="684" t="s">
        <v>1042</v>
      </c>
      <c r="B118" s="703">
        <f>'Earnings Snaps'!V90</f>
        <v>173.40000000000009</v>
      </c>
      <c r="C118" s="703">
        <f>'Earnings Snaps'!W90</f>
        <v>136.19900000000007</v>
      </c>
      <c r="D118" s="703">
        <f>'Earnings Snaps'!X90</f>
        <v>61.648999999999432</v>
      </c>
      <c r="E118" s="726">
        <v>81</v>
      </c>
      <c r="F118" s="703">
        <f>'Earnings Snaps'!Z90</f>
        <v>88.5</v>
      </c>
      <c r="G118" s="703">
        <f>'Earnings Snaps'!AA90</f>
        <v>72.774999999999636</v>
      </c>
      <c r="H118" s="703">
        <f>'Earnings Snaps'!AB90</f>
        <v>18.725000000000364</v>
      </c>
      <c r="I118" s="703">
        <f>'Earnings Snaps'!AC90</f>
        <v>37.054000000000087</v>
      </c>
      <c r="J118" s="703">
        <f>'Earnings Snaps'!AD90</f>
        <v>121.04899999999998</v>
      </c>
      <c r="K118" s="703">
        <f>'Earnings Snaps'!AE90</f>
        <v>252.17399999999998</v>
      </c>
      <c r="L118" s="703">
        <f>'Earnings Snaps'!AF90</f>
        <v>233.96799999999985</v>
      </c>
      <c r="M118" s="703">
        <f>'Earnings Snaps'!AG90</f>
        <v>127.61400000000049</v>
      </c>
      <c r="N118" s="703">
        <f>'Earnings Snaps'!AH90</f>
        <v>103.96000000000004</v>
      </c>
      <c r="O118" s="703">
        <f>'Earnings Snaps'!AI90</f>
        <v>31.368999999999687</v>
      </c>
      <c r="P118" s="703">
        <f>'Earnings Snaps'!AJ90</f>
        <v>24.595000000000255</v>
      </c>
      <c r="Q118" s="703">
        <f>'Earnings Snaps'!AK90</f>
        <v>58.318999999999505</v>
      </c>
      <c r="R118" s="703">
        <f>'Earnings Snaps'!AL90</f>
        <v>82.923999999999978</v>
      </c>
      <c r="S118" s="703">
        <f>'Earnings Snaps'!AM90</f>
        <v>77.564000000000306</v>
      </c>
      <c r="T118" s="703">
        <f>'Earnings Snaps'!AO90</f>
        <v>78.327000000000226</v>
      </c>
      <c r="U118" s="703" t="e">
        <f>'Earnings Snaps'!#REF!</f>
        <v>#REF!</v>
      </c>
    </row>
    <row r="119" spans="1:154">
      <c r="A119" s="684" t="s">
        <v>89</v>
      </c>
      <c r="B119" s="703">
        <f>'Earnings Snaps'!V97</f>
        <v>110.95899999999983</v>
      </c>
      <c r="C119" s="703">
        <f>'Earnings Snaps'!W97</f>
        <v>79.867000000000189</v>
      </c>
      <c r="D119" s="703">
        <f>'Earnings Snaps'!X97</f>
        <v>77.932999999999993</v>
      </c>
      <c r="E119" s="703">
        <f>'Earnings Snaps'!Y97</f>
        <v>48.602999999999611</v>
      </c>
      <c r="F119" s="703">
        <f>'Earnings Snaps'!Z97</f>
        <v>11.197000000000116</v>
      </c>
      <c r="G119" s="703">
        <f>'Earnings Snaps'!AA97</f>
        <v>69.363000000000284</v>
      </c>
      <c r="H119" s="703">
        <f>'Earnings Snaps'!AB97</f>
        <v>44.036999999999807</v>
      </c>
      <c r="I119" s="703">
        <f>'Earnings Snaps'!AC97</f>
        <v>31</v>
      </c>
      <c r="J119" s="703">
        <f>'Earnings Snaps'!AD97</f>
        <v>48.752999999999702</v>
      </c>
      <c r="K119" s="703">
        <f>'Earnings Snaps'!AE97</f>
        <v>83.019000000000233</v>
      </c>
      <c r="L119" s="703">
        <f>'Earnings Snaps'!AF97</f>
        <v>184.5949999999998</v>
      </c>
      <c r="M119" s="703">
        <f>'Earnings Snaps'!AG97</f>
        <v>96.329000000000178</v>
      </c>
      <c r="N119" s="703">
        <f>'Earnings Snaps'!AH97</f>
        <v>79.415999999999713</v>
      </c>
      <c r="O119" s="703">
        <f>'Earnings Snaps'!AI97</f>
        <v>58.160000000000309</v>
      </c>
      <c r="P119" s="703">
        <f>'Earnings Snaps'!AJ97</f>
        <v>105</v>
      </c>
      <c r="Q119" s="703">
        <f>'Earnings Snaps'!AK97</f>
        <v>80.981000000000222</v>
      </c>
      <c r="R119" s="703">
        <f>'Earnings Snaps'!AL97</f>
        <v>59.403999999999996</v>
      </c>
      <c r="S119" s="703">
        <f>'Earnings Snaps'!AM97</f>
        <v>19.177999999999884</v>
      </c>
      <c r="T119" s="703">
        <f>'Earnings Snaps'!AO97</f>
        <v>124.72799999999961</v>
      </c>
      <c r="U119" s="703">
        <f>'Earnings Snaps'!AP97</f>
        <v>147.30500000000029</v>
      </c>
    </row>
    <row r="136" spans="1:46">
      <c r="A136" s="472" t="s">
        <v>3105</v>
      </c>
      <c r="AD136" s="727" t="str">
        <f>AD108</f>
        <v>Q1 20</v>
      </c>
      <c r="AE136" s="727" t="str">
        <f t="shared" ref="AE136:AM136" si="52">AE108</f>
        <v>Q2 20</v>
      </c>
      <c r="AF136" s="727" t="str">
        <f t="shared" si="52"/>
        <v>Q3 20</v>
      </c>
      <c r="AG136" s="727" t="str">
        <f t="shared" si="52"/>
        <v>Q4 20</v>
      </c>
      <c r="AH136" s="727" t="str">
        <f t="shared" si="52"/>
        <v>Q1 21</v>
      </c>
      <c r="AI136" s="727" t="str">
        <f t="shared" si="52"/>
        <v>Q2 21</v>
      </c>
      <c r="AJ136" s="727" t="str">
        <f t="shared" si="52"/>
        <v>Q3 21</v>
      </c>
      <c r="AK136" s="727" t="str">
        <f t="shared" si="52"/>
        <v>Q4 21</v>
      </c>
      <c r="AL136" s="727" t="str">
        <f t="shared" si="52"/>
        <v>Q1 22</v>
      </c>
      <c r="AM136" s="727" t="str">
        <f t="shared" si="52"/>
        <v>Q2 22</v>
      </c>
      <c r="AN136" s="727" t="str">
        <f t="shared" ref="AN136:AO136" si="53">AN108</f>
        <v>Q3 22</v>
      </c>
      <c r="AO136" s="727" t="str">
        <f t="shared" si="53"/>
        <v>Q4 22</v>
      </c>
      <c r="AP136" s="727" t="str">
        <f t="shared" ref="AP136:AT136" si="54">AP108</f>
        <v>Q1 23</v>
      </c>
      <c r="AQ136" s="727" t="str">
        <f t="shared" si="54"/>
        <v>Q2 23</v>
      </c>
      <c r="AR136" s="727" t="str">
        <f t="shared" si="54"/>
        <v>Q3 23</v>
      </c>
      <c r="AS136" s="727" t="str">
        <f t="shared" si="54"/>
        <v>Q4 23</v>
      </c>
      <c r="AT136" s="727" t="str">
        <f t="shared" si="54"/>
        <v>Q1 24</v>
      </c>
    </row>
    <row r="137" spans="1:46">
      <c r="A137" s="129" t="s">
        <v>3102</v>
      </c>
      <c r="AD137" s="750">
        <f>Interims!AZ117</f>
        <v>9.9344166234702769E-2</v>
      </c>
      <c r="AE137" s="750">
        <f>Interims!BA117</f>
        <v>7.7261088447183379E-2</v>
      </c>
      <c r="AF137" s="750">
        <f>Interims!BB117</f>
        <v>6.4932630833628435E-2</v>
      </c>
      <c r="AG137" s="750">
        <f>Interims!BC117</f>
        <v>7.4329908477792861E-2</v>
      </c>
      <c r="AH137" s="750">
        <f>Interims!BE117</f>
        <v>7.2736218454662938E-2</v>
      </c>
      <c r="AI137" s="750">
        <f>Interims!BF117</f>
        <v>6.4035290918430077E-2</v>
      </c>
      <c r="AJ137" s="750">
        <f>Interims!BG117</f>
        <v>5.823571973326569E-2</v>
      </c>
      <c r="AK137" s="750">
        <f>Interims!BH117</f>
        <v>4.8198377875282583E-2</v>
      </c>
      <c r="AL137" s="750">
        <f>Interims!BJ117</f>
        <v>3.3940413171020811E-2</v>
      </c>
      <c r="AM137" s="750">
        <f>Interims!BK117</f>
        <v>3.7947125805749327E-2</v>
      </c>
      <c r="AN137" s="750">
        <f>Interims!BL117</f>
        <v>1.9495518802550071E-2</v>
      </c>
      <c r="AO137" s="750">
        <f>Interims!BM117</f>
        <v>9.1783018782449766E-3</v>
      </c>
      <c r="AP137" s="750">
        <f>Interims!BO117</f>
        <v>4.0164131379036405E-2</v>
      </c>
      <c r="AQ137" s="750">
        <f>Interims!BP117</f>
        <v>4.3153133435470892E-2</v>
      </c>
      <c r="AR137" s="750">
        <f>Interims!BQ117</f>
        <v>1.7808591625883663E-2</v>
      </c>
      <c r="AS137" s="750">
        <f>Interims!BR117</f>
        <v>-2.6485428525255816E-3</v>
      </c>
      <c r="AT137" s="750">
        <f>Interims!BT117</f>
        <v>-3.649868505224263E-2</v>
      </c>
    </row>
    <row r="138" spans="1:46">
      <c r="A138" s="471" t="s">
        <v>3103</v>
      </c>
      <c r="B138" s="743"/>
      <c r="C138" s="743"/>
      <c r="D138" s="743"/>
      <c r="E138" s="743"/>
      <c r="F138" s="743"/>
      <c r="G138" s="743"/>
      <c r="H138" s="743"/>
      <c r="I138" s="743"/>
      <c r="J138" s="743"/>
      <c r="K138" s="743"/>
      <c r="L138" s="743"/>
      <c r="M138" s="743"/>
      <c r="N138" s="743"/>
      <c r="O138" s="743"/>
      <c r="P138" s="743"/>
      <c r="Q138" s="743"/>
      <c r="R138" s="743"/>
      <c r="S138" s="743"/>
      <c r="T138" s="743"/>
      <c r="U138" s="743"/>
      <c r="V138" s="743"/>
      <c r="W138" s="743"/>
      <c r="X138" s="743"/>
      <c r="Y138" s="743"/>
      <c r="Z138" s="743"/>
      <c r="AA138" s="743"/>
      <c r="AB138" s="743"/>
      <c r="AC138" s="743"/>
      <c r="AD138" s="760">
        <f>Interims!AZ118</f>
        <v>6.4388773239537844E-2</v>
      </c>
      <c r="AE138" s="760">
        <f>Interims!BA118</f>
        <v>0.26627972819932055</v>
      </c>
      <c r="AF138" s="760">
        <f>Interims!BB118</f>
        <v>0.20609306531265204</v>
      </c>
      <c r="AG138" s="760">
        <f>Interims!BC118</f>
        <v>9.0190067443286281E-2</v>
      </c>
      <c r="AH138" s="760">
        <f>Interims!BE118</f>
        <v>0.14668195306177512</v>
      </c>
      <c r="AI138" s="760">
        <f>Interims!BF118</f>
        <v>4.2537730575740618E-2</v>
      </c>
      <c r="AJ138" s="760">
        <f>Interims!BG118</f>
        <v>5.9976931949250467E-3</v>
      </c>
      <c r="AK138" s="760">
        <f>Interims!BH118</f>
        <v>0.10359372363759123</v>
      </c>
      <c r="AL138" s="760">
        <f>Interims!BJ118</f>
        <v>-0.10109980591660284</v>
      </c>
      <c r="AM138" s="760">
        <f>Interims!BK118</f>
        <v>-0.18760388182939247</v>
      </c>
      <c r="AN138" s="760">
        <f>Interims!BL118</f>
        <v>3.8179316670488461E-2</v>
      </c>
      <c r="AO138" s="760">
        <f>Interims!BM118</f>
        <v>-4.8514498292820063E-2</v>
      </c>
      <c r="AP138" s="760">
        <f>Interims!BO118</f>
        <v>-4.0499869144203116E-2</v>
      </c>
      <c r="AQ138" s="760">
        <f>Interims!BP118</f>
        <v>-7.9989440337909223E-2</v>
      </c>
      <c r="AR138" s="760">
        <f>Interims!BQ118</f>
        <v>-0.24014356709000562</v>
      </c>
      <c r="AS138" s="760">
        <f>Interims!BR118</f>
        <v>-0.16067698569974831</v>
      </c>
      <c r="AT138" s="760">
        <f>Interims!BT118</f>
        <v>-0.27425843845891584</v>
      </c>
    </row>
    <row r="139" spans="1:46">
      <c r="A139" s="129" t="s">
        <v>7047</v>
      </c>
      <c r="AD139" s="750">
        <f>Interims!AZ119</f>
        <v>9.460130706222647E-2</v>
      </c>
      <c r="AE139" s="750">
        <f>Interims!BA119</f>
        <v>0.10238390908406725</v>
      </c>
      <c r="AF139" s="750">
        <f>Interims!BB119</f>
        <v>8.3312955667255384E-2</v>
      </c>
      <c r="AG139" s="750">
        <f>Interims!BC119</f>
        <v>7.6592692378344873E-2</v>
      </c>
      <c r="AH139" s="750">
        <f>Interims!BE119</f>
        <v>8.2492481269909046E-2</v>
      </c>
      <c r="AI139" s="750">
        <f>Interims!BF119</f>
        <v>6.0753206632587986E-2</v>
      </c>
      <c r="AJ139" s="750">
        <f>Interims!BG119</f>
        <v>5.0662965873560006E-2</v>
      </c>
      <c r="AK139" s="750">
        <f>Interims!BH119</f>
        <v>5.620150314848682E-2</v>
      </c>
      <c r="AL139" s="750">
        <f>Interims!BJ119</f>
        <v>1.506695052483642E-2</v>
      </c>
      <c r="AM139" s="750">
        <f>Interims!BK119</f>
        <v>4.1030426877344262E-3</v>
      </c>
      <c r="AN139" s="750">
        <f>Interims!BL119</f>
        <v>2.2088896669159919E-2</v>
      </c>
      <c r="AO139" s="750">
        <f>Interims!BM119</f>
        <v>4.6925964674748855E-4</v>
      </c>
      <c r="AP139" s="750">
        <f>Interims!BO119</f>
        <v>3.0180581423597141E-2</v>
      </c>
      <c r="AQ139" s="750">
        <f>Interims!BP119</f>
        <v>2.8203320299980517E-2</v>
      </c>
      <c r="AR139" s="750">
        <f>Interims!BQ119</f>
        <v>-1.8559750875827175E-2</v>
      </c>
      <c r="AS139" s="750">
        <f>Interims!BR119</f>
        <v>-2.5335824625345005E-2</v>
      </c>
      <c r="AT139" s="750">
        <f>Interims!BT119</f>
        <v>-6.3906553369439734E-2</v>
      </c>
    </row>
    <row r="165" spans="1:36">
      <c r="A165" s="685" t="s">
        <v>7049</v>
      </c>
      <c r="AD165" s="685">
        <v>2022</v>
      </c>
      <c r="AE165" s="685">
        <v>2023</v>
      </c>
      <c r="AF165" s="685">
        <v>2024</v>
      </c>
      <c r="AG165" s="685">
        <v>2025</v>
      </c>
      <c r="AH165" s="685">
        <v>2026</v>
      </c>
    </row>
    <row r="166" spans="1:36">
      <c r="A166" s="749" t="s">
        <v>74</v>
      </c>
      <c r="AD166" s="750">
        <f>Valuation!R48</f>
        <v>-0.38248942574732481</v>
      </c>
      <c r="AE166" s="750">
        <f>Valuation!S48</f>
        <v>-0.132252069390766</v>
      </c>
      <c r="AF166" s="750">
        <f ca="1">Valuation!T48</f>
        <v>7.5729833548540598E-2</v>
      </c>
      <c r="AG166" s="750">
        <f ca="1">Valuation!U48</f>
        <v>0.12975315128700435</v>
      </c>
      <c r="AH166" s="750">
        <f ca="1">Valuation!V48</f>
        <v>0.14685757872123367</v>
      </c>
    </row>
    <row r="167" spans="1:36">
      <c r="A167" s="749" t="s">
        <v>2335</v>
      </c>
      <c r="AD167" s="761"/>
      <c r="AE167" s="761">
        <v>-8.8484984705841825E-3</v>
      </c>
      <c r="AF167" s="761">
        <v>3.7129766922799838E-2</v>
      </c>
      <c r="AG167" s="761">
        <v>0.10052678170534821</v>
      </c>
      <c r="AH167" s="761">
        <v>0.14276765466158792</v>
      </c>
      <c r="AI167" s="685" t="s">
        <v>7190</v>
      </c>
    </row>
    <row r="175" spans="1:36">
      <c r="AD175" s="1074" t="s">
        <v>6473</v>
      </c>
      <c r="AE175" s="1074" t="s">
        <v>6474</v>
      </c>
      <c r="AF175" s="1074" t="s">
        <v>6475</v>
      </c>
      <c r="AG175" s="1074" t="s">
        <v>6476</v>
      </c>
      <c r="AH175" s="1074" t="s">
        <v>7046</v>
      </c>
      <c r="AI175" s="1074" t="s">
        <v>7463</v>
      </c>
      <c r="AJ175" s="1074" t="s">
        <v>7592</v>
      </c>
    </row>
    <row r="176" spans="1:36">
      <c r="AD176" s="1032">
        <f>Interims!BJ169</f>
        <v>2.1202493000536129</v>
      </c>
      <c r="AE176" s="1032">
        <f>Interims!BK169</f>
        <v>2.1988741219192756</v>
      </c>
      <c r="AF176" s="1032">
        <f>Interims!BL169</f>
        <v>2.2718424678505817</v>
      </c>
      <c r="AG176" s="1032">
        <f>Interims!BM169</f>
        <v>2.6523995044794342</v>
      </c>
      <c r="AH176" s="1032">
        <f>Interims!BO169</f>
        <v>2.3832494622382727</v>
      </c>
      <c r="AI176" s="1032">
        <f>Interims!BP169</f>
        <v>2.46690060166158</v>
      </c>
      <c r="AJ176" s="1032">
        <f>Interims!BQ169</f>
        <v>2.6314437303340701</v>
      </c>
    </row>
  </sheetData>
  <phoneticPr fontId="157" type="noConversion"/>
  <pageMargins left="0.7" right="0.7" top="0.75" bottom="0.75" header="0.3" footer="0.3"/>
  <pageSetup orientation="portrait" r:id="rId1"/>
  <ignoredErrors>
    <ignoredError sqref="BU9"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AAFA1-0881-4721-AF63-013BF2305F0B}">
  <dimension ref="A1:AB110"/>
  <sheetViews>
    <sheetView zoomScale="70" zoomScaleNormal="70" workbookViewId="0">
      <pane xSplit="3" ySplit="3" topLeftCell="L34" activePane="bottomRight" state="frozen"/>
      <selection pane="topRight" activeCell="D1" sqref="D1"/>
      <selection pane="bottomLeft" activeCell="A4" sqref="A4"/>
      <selection pane="bottomRight" activeCell="R54" sqref="R54"/>
    </sheetView>
  </sheetViews>
  <sheetFormatPr defaultColWidth="8.85546875" defaultRowHeight="15"/>
  <cols>
    <col min="1" max="1" width="1.85546875" style="530" customWidth="1"/>
    <col min="2" max="2" width="39" style="753" bestFit="1" customWidth="1"/>
    <col min="3" max="3" width="2.85546875" style="751" customWidth="1"/>
    <col min="4" max="4" width="12.28515625" style="752" bestFit="1" customWidth="1"/>
    <col min="5" max="5" width="18.140625" style="751" bestFit="1" customWidth="1"/>
    <col min="6" max="8" width="12.28515625" style="751" bestFit="1" customWidth="1"/>
    <col min="9" max="9" width="12.85546875" style="751" bestFit="1" customWidth="1"/>
    <col min="10" max="10" width="12.28515625" style="751" bestFit="1" customWidth="1"/>
    <col min="11" max="13" width="10.85546875" style="751" bestFit="1" customWidth="1"/>
    <col min="14" max="14" width="12.28515625" style="752" bestFit="1" customWidth="1"/>
    <col min="15" max="18" width="12.28515625" style="752" customWidth="1"/>
    <col min="19" max="20" width="12.28515625" style="752" bestFit="1" customWidth="1"/>
    <col min="21" max="21" width="10.28515625" style="530" bestFit="1" customWidth="1"/>
    <col min="22" max="23" width="8.85546875" style="530"/>
    <col min="24" max="24" width="12.28515625" style="752" bestFit="1" customWidth="1"/>
    <col min="25" max="16384" width="8.85546875" style="530"/>
  </cols>
  <sheetData>
    <row r="1" spans="1:28" ht="15.75">
      <c r="A1" s="1100"/>
      <c r="B1" s="1142" t="s">
        <v>7050</v>
      </c>
      <c r="C1" s="1100"/>
      <c r="D1" s="1101"/>
      <c r="E1" s="1100"/>
      <c r="F1" s="1100"/>
      <c r="G1" s="1100"/>
      <c r="H1" s="1100"/>
      <c r="I1" s="1100"/>
      <c r="J1" s="1100"/>
      <c r="K1" s="1100"/>
      <c r="L1" s="1100"/>
      <c r="M1" s="1100"/>
      <c r="N1" s="1101"/>
      <c r="O1" s="1101"/>
      <c r="P1" s="1101"/>
      <c r="Q1" s="1101"/>
      <c r="R1" s="1101"/>
      <c r="S1" s="1101"/>
      <c r="T1" s="1101"/>
      <c r="U1" s="1100"/>
      <c r="V1" s="1100"/>
      <c r="W1" s="1100"/>
      <c r="X1" s="1101"/>
      <c r="Y1" s="1100"/>
      <c r="Z1" s="1100"/>
      <c r="AA1" s="1100"/>
      <c r="AB1" s="1100"/>
    </row>
    <row r="2" spans="1:28" ht="15.75">
      <c r="A2" s="1100"/>
      <c r="B2" s="1143"/>
      <c r="C2" s="1100"/>
      <c r="D2" s="1102" t="s">
        <v>2112</v>
      </c>
      <c r="E2" s="1103" t="s">
        <v>6206</v>
      </c>
      <c r="F2" s="1103" t="s">
        <v>6206</v>
      </c>
      <c r="G2" s="1103" t="s">
        <v>6206</v>
      </c>
      <c r="H2" s="1103" t="s">
        <v>6206</v>
      </c>
      <c r="I2" s="1102" t="s">
        <v>2112</v>
      </c>
      <c r="J2" s="1103" t="s">
        <v>6206</v>
      </c>
      <c r="K2" s="1104" t="s">
        <v>6206</v>
      </c>
      <c r="L2" s="1104" t="s">
        <v>6206</v>
      </c>
      <c r="M2" s="1104" t="s">
        <v>6206</v>
      </c>
      <c r="N2" s="1105" t="s">
        <v>2112</v>
      </c>
      <c r="O2" s="1104" t="s">
        <v>6206</v>
      </c>
      <c r="P2" s="1104" t="s">
        <v>6206</v>
      </c>
      <c r="Q2" s="1104" t="s">
        <v>6206</v>
      </c>
      <c r="R2" s="1104" t="s">
        <v>6206</v>
      </c>
      <c r="S2" s="1105" t="s">
        <v>2112</v>
      </c>
      <c r="T2" s="1105" t="s">
        <v>2112</v>
      </c>
      <c r="U2" s="1100"/>
      <c r="V2" s="1100"/>
      <c r="W2" s="1100"/>
      <c r="X2" s="1105" t="s">
        <v>2112</v>
      </c>
      <c r="Y2" s="1100"/>
      <c r="Z2" s="1100"/>
      <c r="AA2" s="1100"/>
      <c r="AB2" s="1100"/>
    </row>
    <row r="3" spans="1:28" ht="15.75">
      <c r="A3" s="1100"/>
      <c r="B3" s="1142"/>
      <c r="C3" s="1100"/>
      <c r="D3" s="1106" t="s">
        <v>6208</v>
      </c>
      <c r="E3" s="1107" t="s">
        <v>7051</v>
      </c>
      <c r="F3" s="1107" t="s">
        <v>7052</v>
      </c>
      <c r="G3" s="1107" t="s">
        <v>7053</v>
      </c>
      <c r="H3" s="1107" t="s">
        <v>7054</v>
      </c>
      <c r="I3" s="1106" t="s">
        <v>6209</v>
      </c>
      <c r="J3" s="1107" t="s">
        <v>7363</v>
      </c>
      <c r="K3" s="1108" t="s">
        <v>7364</v>
      </c>
      <c r="L3" s="1108" t="s">
        <v>7365</v>
      </c>
      <c r="M3" s="1108" t="s">
        <v>7366</v>
      </c>
      <c r="N3" s="1109" t="s">
        <v>6210</v>
      </c>
      <c r="O3" s="1108" t="s">
        <v>7683</v>
      </c>
      <c r="P3" s="1108" t="s">
        <v>7684</v>
      </c>
      <c r="Q3" s="1108" t="s">
        <v>7685</v>
      </c>
      <c r="R3" s="1108" t="s">
        <v>7686</v>
      </c>
      <c r="S3" s="1109" t="s">
        <v>7055</v>
      </c>
      <c r="T3" s="1109" t="s">
        <v>7056</v>
      </c>
      <c r="U3" s="1100"/>
      <c r="V3" s="1100"/>
      <c r="W3" s="1100"/>
      <c r="X3" s="1109" t="s">
        <v>6209</v>
      </c>
      <c r="Y3" s="1100"/>
      <c r="Z3" s="1100"/>
      <c r="AA3" s="1100"/>
      <c r="AB3" s="1100"/>
    </row>
    <row r="4" spans="1:28" ht="15.75">
      <c r="A4" s="1100"/>
      <c r="B4" s="1142" t="s">
        <v>6207</v>
      </c>
      <c r="C4" s="1100"/>
      <c r="D4" s="1101"/>
      <c r="E4" s="1100"/>
      <c r="F4" s="1100"/>
      <c r="G4" s="1100"/>
      <c r="H4" s="1100"/>
      <c r="I4" s="1101"/>
      <c r="J4" s="1100"/>
      <c r="K4" s="1100"/>
      <c r="L4" s="1100"/>
      <c r="M4" s="1100"/>
      <c r="N4" s="1101"/>
      <c r="O4" s="1101"/>
      <c r="P4" s="1101"/>
      <c r="Q4" s="1101"/>
      <c r="R4" s="1101"/>
      <c r="S4" s="1101"/>
      <c r="T4" s="1101"/>
      <c r="U4" s="1100"/>
      <c r="V4" s="1100"/>
      <c r="W4" s="1100"/>
      <c r="X4" s="1101"/>
      <c r="Y4" s="1100"/>
      <c r="Z4" s="1100"/>
      <c r="AA4" s="1100"/>
      <c r="AB4" s="1100"/>
    </row>
    <row r="5" spans="1:28" ht="15.75">
      <c r="A5" s="1100"/>
      <c r="B5" s="1144" t="s">
        <v>129</v>
      </c>
      <c r="C5" s="1111"/>
      <c r="D5" s="1112">
        <v>48020.9</v>
      </c>
      <c r="E5" s="1111">
        <v>11804.5</v>
      </c>
      <c r="F5" s="1111">
        <v>11750</v>
      </c>
      <c r="G5" s="1111">
        <v>12394</v>
      </c>
      <c r="H5" s="1111">
        <v>12463.3</v>
      </c>
      <c r="I5" s="1112">
        <v>48411.8</v>
      </c>
      <c r="J5" s="1111">
        <v>12122.699999999999</v>
      </c>
      <c r="K5" s="1113">
        <f>Interims!BP14</f>
        <v>12291.5</v>
      </c>
      <c r="L5" s="1113">
        <f>Interims!BQ14</f>
        <v>12147.9</v>
      </c>
      <c r="M5" s="1113">
        <f>Interims!BR14</f>
        <v>12240.4</v>
      </c>
      <c r="N5" s="1114">
        <f>Master!V52</f>
        <v>48802.5</v>
      </c>
      <c r="O5" s="1113">
        <f>Interims!BT14</f>
        <v>11908.7</v>
      </c>
      <c r="P5" s="1113">
        <f>Interims!BU14</f>
        <v>12200</v>
      </c>
      <c r="Q5" s="1113">
        <f>Interims!BV14</f>
        <v>12300</v>
      </c>
      <c r="R5" s="1113">
        <f>Interims!BW14</f>
        <v>12393.800000000003</v>
      </c>
      <c r="S5" s="1114">
        <f>Master!W52</f>
        <v>48802.5</v>
      </c>
      <c r="T5" s="1114">
        <f>Master!X52</f>
        <v>49290.525000000001</v>
      </c>
      <c r="U5" s="1100"/>
      <c r="V5" s="1100"/>
      <c r="W5" s="1100"/>
      <c r="X5" s="1114">
        <f>Master!U52</f>
        <v>48411.8</v>
      </c>
      <c r="Y5" s="1100"/>
      <c r="Z5" s="1100"/>
      <c r="AA5" s="1100"/>
      <c r="AB5" s="1100"/>
    </row>
    <row r="6" spans="1:28" ht="15.75">
      <c r="A6" s="1100"/>
      <c r="B6" s="1144" t="s">
        <v>6211</v>
      </c>
      <c r="C6" s="1111"/>
      <c r="D6" s="1112">
        <v>42890</v>
      </c>
      <c r="E6" s="1111">
        <v>10820.599999999999</v>
      </c>
      <c r="F6" s="1115">
        <v>10965.6</v>
      </c>
      <c r="G6" s="1115">
        <v>11034.5</v>
      </c>
      <c r="H6" s="1115">
        <v>11138.2</v>
      </c>
      <c r="I6" s="1116">
        <v>43958.9</v>
      </c>
      <c r="J6" s="1115">
        <v>11255.2</v>
      </c>
      <c r="K6" s="1113">
        <f>Interims!BP111</f>
        <v>11438.8</v>
      </c>
      <c r="L6" s="1113">
        <f>Interims!BQ111</f>
        <v>11230.5</v>
      </c>
      <c r="M6" s="1113">
        <f>Interims!BR111</f>
        <v>11108.7</v>
      </c>
      <c r="N6" s="1114"/>
      <c r="O6" s="1113">
        <f>Interims!BT111</f>
        <v>10844.4</v>
      </c>
      <c r="P6" s="1113">
        <f>Interims!BU111</f>
        <v>11100</v>
      </c>
      <c r="Q6" s="1113">
        <f>Interims!BV111</f>
        <v>11250</v>
      </c>
      <c r="R6" s="1113">
        <f>Interims!BW111</f>
        <v>11300</v>
      </c>
      <c r="S6" s="1114"/>
      <c r="T6" s="1114"/>
      <c r="U6" s="1100"/>
      <c r="V6" s="1100"/>
      <c r="W6" s="1100"/>
      <c r="X6" s="1114"/>
      <c r="Y6" s="1100"/>
      <c r="Z6" s="1100"/>
      <c r="AA6" s="1100"/>
      <c r="AB6" s="1100"/>
    </row>
    <row r="7" spans="1:28" ht="15.75">
      <c r="A7" s="1100"/>
      <c r="B7" s="1144" t="s">
        <v>6212</v>
      </c>
      <c r="C7" s="1111"/>
      <c r="D7" s="1112">
        <v>7272.1</v>
      </c>
      <c r="E7" s="1111">
        <v>1528.4</v>
      </c>
      <c r="F7" s="1115">
        <v>1515.2</v>
      </c>
      <c r="G7" s="1115">
        <v>1811.1999999999998</v>
      </c>
      <c r="H7" s="1115">
        <v>1867.0999999999997</v>
      </c>
      <c r="I7" s="1116">
        <v>6721.9</v>
      </c>
      <c r="J7" s="1115">
        <v>1466.5</v>
      </c>
      <c r="K7" s="1113">
        <f>Interims!BP112</f>
        <v>1394</v>
      </c>
      <c r="L7" s="1113">
        <f>Interims!BQ112</f>
        <v>1376.1</v>
      </c>
      <c r="M7" s="1113">
        <f>Interims!BR112</f>
        <v>1567.1</v>
      </c>
      <c r="N7" s="1114"/>
      <c r="O7" s="1113">
        <f>Interims!BT112</f>
        <v>1064.3</v>
      </c>
      <c r="P7" s="1113">
        <f>Interims!BU112</f>
        <v>1100</v>
      </c>
      <c r="Q7" s="1113">
        <f>Interims!BV112</f>
        <v>1050</v>
      </c>
      <c r="R7" s="1113">
        <f>Interims!BW112</f>
        <v>1093.8000000000029</v>
      </c>
      <c r="S7" s="1114"/>
      <c r="T7" s="1114"/>
      <c r="U7" s="1100"/>
      <c r="V7" s="1100"/>
      <c r="W7" s="1100"/>
      <c r="X7" s="1114"/>
      <c r="Y7" s="1100"/>
      <c r="Z7" s="1100"/>
      <c r="AA7" s="1100"/>
      <c r="AB7" s="1100"/>
    </row>
    <row r="8" spans="1:28" ht="15.75">
      <c r="A8" s="1100"/>
      <c r="B8" s="1144" t="s">
        <v>128</v>
      </c>
      <c r="C8" s="1111"/>
      <c r="D8" s="1112">
        <v>22026.600000000002</v>
      </c>
      <c r="E8" s="1111">
        <v>5275.7</v>
      </c>
      <c r="F8" s="1111">
        <v>5140.1000000000004</v>
      </c>
      <c r="G8" s="1111">
        <v>4986.6000000000004</v>
      </c>
      <c r="H8" s="1111">
        <v>4936.6000000000004</v>
      </c>
      <c r="I8" s="1112">
        <v>20339</v>
      </c>
      <c r="J8" s="1111">
        <v>4657.6000000000004</v>
      </c>
      <c r="K8" s="1113">
        <f>Interims!BP13</f>
        <v>4449.5</v>
      </c>
      <c r="L8" s="1113">
        <f>Interims!BQ13</f>
        <v>4296.6000000000004</v>
      </c>
      <c r="M8" s="1113">
        <f>Interims!BR13</f>
        <v>4181.6000000000004</v>
      </c>
      <c r="N8" s="1114">
        <f>Master!V51</f>
        <v>17585.2</v>
      </c>
      <c r="O8" s="1113">
        <f>Interims!BT13</f>
        <v>4083.6</v>
      </c>
      <c r="P8" s="1113">
        <f>Interims!BU13</f>
        <v>3950</v>
      </c>
      <c r="Q8" s="1113">
        <f>Interims!BV13</f>
        <v>3850</v>
      </c>
      <c r="R8" s="1113">
        <f>Interims!BW13</f>
        <v>3786.0510645709255</v>
      </c>
      <c r="S8" s="1114">
        <f>Master!W51</f>
        <v>15669.651064570926</v>
      </c>
      <c r="T8" s="1114">
        <f>Master!X51</f>
        <v>14471.39653698212</v>
      </c>
      <c r="U8" s="1100"/>
      <c r="V8" s="1100"/>
      <c r="W8" s="1100"/>
      <c r="X8" s="1114">
        <f>Master!U51</f>
        <v>20339</v>
      </c>
      <c r="Y8" s="1100"/>
      <c r="Z8" s="1100"/>
      <c r="AA8" s="1100"/>
      <c r="AB8" s="1100"/>
    </row>
    <row r="9" spans="1:28" ht="15.75">
      <c r="A9" s="1100"/>
      <c r="B9" s="1144" t="s">
        <v>6213</v>
      </c>
      <c r="C9" s="1111"/>
      <c r="D9" s="1112">
        <v>5029</v>
      </c>
      <c r="E9" s="1111">
        <v>1661.1</v>
      </c>
      <c r="F9" s="1111">
        <v>1742.7</v>
      </c>
      <c r="G9" s="1111">
        <v>1932.7000000000003</v>
      </c>
      <c r="H9" s="1111">
        <v>2002.2999999999997</v>
      </c>
      <c r="I9" s="1112">
        <v>7338.8</v>
      </c>
      <c r="J9" s="1111">
        <v>1850.3</v>
      </c>
      <c r="K9" s="1113">
        <f>Interims!BP15</f>
        <v>1917.6</v>
      </c>
      <c r="L9" s="1113">
        <f>Interims!BQ15</f>
        <v>1974.7</v>
      </c>
      <c r="M9" s="1113">
        <f>Interims!BR15</f>
        <v>2127.8000000000002</v>
      </c>
      <c r="N9" s="1114">
        <f>Master!V53</f>
        <v>7870.6</v>
      </c>
      <c r="O9" s="1113">
        <f>Interims!BT15</f>
        <v>0</v>
      </c>
      <c r="P9" s="1113">
        <f>Interims!BU15</f>
        <v>0</v>
      </c>
      <c r="Q9" s="1113">
        <f>Interims!BV15</f>
        <v>0</v>
      </c>
      <c r="R9" s="1113">
        <f>Interims!BW15</f>
        <v>0</v>
      </c>
      <c r="S9" s="1114">
        <f>Master!W53</f>
        <v>0</v>
      </c>
      <c r="T9" s="1114">
        <f>Master!X53</f>
        <v>0</v>
      </c>
      <c r="U9" s="1100"/>
      <c r="V9" s="1100"/>
      <c r="W9" s="1100"/>
      <c r="X9" s="1114">
        <f>Master!U53</f>
        <v>7338.8</v>
      </c>
      <c r="Y9" s="1100"/>
      <c r="Z9" s="1100"/>
      <c r="AA9" s="1100"/>
      <c r="AB9" s="1100"/>
    </row>
    <row r="10" spans="1:28" ht="15.75">
      <c r="A10" s="1100"/>
      <c r="B10" s="1144"/>
      <c r="C10" s="1100"/>
      <c r="D10" s="1101"/>
      <c r="E10" s="1100"/>
      <c r="F10" s="1100"/>
      <c r="G10" s="1100"/>
      <c r="H10" s="1100"/>
      <c r="I10" s="1101"/>
      <c r="J10" s="1100"/>
      <c r="K10" s="1117"/>
      <c r="L10" s="1117"/>
      <c r="M10" s="1117"/>
      <c r="N10" s="1118"/>
      <c r="O10" s="1118"/>
      <c r="P10" s="1118"/>
      <c r="Q10" s="1118"/>
      <c r="R10" s="1118"/>
      <c r="S10" s="1118"/>
      <c r="T10" s="1118"/>
      <c r="U10" s="1100"/>
      <c r="V10" s="1100"/>
      <c r="W10" s="1100"/>
      <c r="X10" s="1118"/>
      <c r="Y10" s="1100"/>
      <c r="Z10" s="1100"/>
      <c r="AA10" s="1100"/>
      <c r="AB10" s="1100"/>
    </row>
    <row r="11" spans="1:28" ht="15.75">
      <c r="A11" s="1100"/>
      <c r="B11" s="1144" t="s">
        <v>132</v>
      </c>
      <c r="C11" s="1111"/>
      <c r="D11" s="1112">
        <v>-7496.7</v>
      </c>
      <c r="E11" s="1111">
        <v>-132.1</v>
      </c>
      <c r="F11" s="1111">
        <v>-99.3</v>
      </c>
      <c r="G11" s="1111">
        <v>-61.6</v>
      </c>
      <c r="H11" s="1111">
        <v>-269.89999999999998</v>
      </c>
      <c r="I11" s="1112">
        <v>-563</v>
      </c>
      <c r="J11" s="1111">
        <v>-111</v>
      </c>
      <c r="K11" s="1113">
        <f>Interims!BP17</f>
        <v>-138.4</v>
      </c>
      <c r="L11" s="1113">
        <f>Interims!BQ17</f>
        <v>-103.5</v>
      </c>
      <c r="M11" s="1113">
        <f>Interims!BR17</f>
        <v>-137.4</v>
      </c>
      <c r="N11" s="1114">
        <f>Master!V55</f>
        <v>-490.4</v>
      </c>
      <c r="O11" s="1113">
        <f>Interims!BT17</f>
        <v>-40.9</v>
      </c>
      <c r="P11" s="1113">
        <f>Interims!BU17</f>
        <v>-41.303314720209094</v>
      </c>
      <c r="Q11" s="1113">
        <f>Interims!BV17</f>
        <v>-41.303314720209094</v>
      </c>
      <c r="R11" s="1113">
        <f>Interims!BW17</f>
        <v>-46.493370559581798</v>
      </c>
      <c r="S11" s="1114">
        <f>Master!W55</f>
        <v>-170</v>
      </c>
      <c r="T11" s="1114">
        <f>Master!X55</f>
        <v>-168.12726863154955</v>
      </c>
      <c r="U11" s="1100"/>
      <c r="V11" s="1100"/>
      <c r="W11" s="1100"/>
      <c r="X11" s="1114">
        <f>Master!U55</f>
        <v>-563</v>
      </c>
      <c r="Y11" s="1100"/>
      <c r="Z11" s="1100"/>
      <c r="AA11" s="1100"/>
      <c r="AB11" s="1100"/>
    </row>
    <row r="12" spans="1:28" ht="15.75">
      <c r="A12" s="1100"/>
      <c r="B12" s="1144"/>
      <c r="C12" s="1110"/>
      <c r="D12" s="1119"/>
      <c r="E12" s="1110"/>
      <c r="F12" s="1110"/>
      <c r="G12" s="1110"/>
      <c r="H12" s="1110"/>
      <c r="I12" s="1119"/>
      <c r="J12" s="1110"/>
      <c r="K12" s="1110"/>
      <c r="L12" s="1110"/>
      <c r="M12" s="1110"/>
      <c r="N12" s="1119"/>
      <c r="O12" s="1119"/>
      <c r="P12" s="1119"/>
      <c r="Q12" s="1119"/>
      <c r="R12" s="1119"/>
      <c r="S12" s="1119"/>
      <c r="T12" s="1119"/>
      <c r="U12" s="1100"/>
      <c r="V12" s="1100"/>
      <c r="W12" s="1100"/>
      <c r="X12" s="1119"/>
      <c r="Y12" s="1100"/>
      <c r="Z12" s="1100"/>
      <c r="AA12" s="1100"/>
      <c r="AB12" s="1100"/>
    </row>
    <row r="13" spans="1:28" ht="15.75">
      <c r="A13" s="1100"/>
      <c r="B13" s="1145" t="s">
        <v>124</v>
      </c>
      <c r="C13" s="1110"/>
      <c r="D13" s="1120">
        <f>D5+D8+D9+D11</f>
        <v>67579.8</v>
      </c>
      <c r="E13" s="1121">
        <f>E5+E8+E9+E11</f>
        <v>18609.2</v>
      </c>
      <c r="F13" s="1121">
        <f>F5+F8+F9+F11</f>
        <v>18533.5</v>
      </c>
      <c r="G13" s="1121">
        <f t="shared" ref="G13:J13" si="0">G5+G8+G9+G11</f>
        <v>19251.7</v>
      </c>
      <c r="H13" s="1121">
        <f t="shared" si="0"/>
        <v>19132.3</v>
      </c>
      <c r="I13" s="1120">
        <f t="shared" si="0"/>
        <v>75526.600000000006</v>
      </c>
      <c r="J13" s="1121">
        <f t="shared" si="0"/>
        <v>18519.599999999999</v>
      </c>
      <c r="K13" s="1121">
        <f t="shared" ref="K13:T13" si="1">K5+K8+K9+K11</f>
        <v>18520.199999999997</v>
      </c>
      <c r="L13" s="1121">
        <f t="shared" si="1"/>
        <v>18315.7</v>
      </c>
      <c r="M13" s="1121">
        <f t="shared" si="1"/>
        <v>18412.399999999998</v>
      </c>
      <c r="N13" s="1120">
        <f t="shared" si="1"/>
        <v>73767.900000000009</v>
      </c>
      <c r="O13" s="1121">
        <f t="shared" si="1"/>
        <v>15951.400000000001</v>
      </c>
      <c r="P13" s="1121">
        <f t="shared" si="1"/>
        <v>16108.69668527979</v>
      </c>
      <c r="Q13" s="1121">
        <f t="shared" si="1"/>
        <v>16108.69668527979</v>
      </c>
      <c r="R13" s="1121">
        <f t="shared" si="1"/>
        <v>16133.357694011347</v>
      </c>
      <c r="S13" s="1120">
        <f t="shared" si="1"/>
        <v>64302.151064570928</v>
      </c>
      <c r="T13" s="1120">
        <f t="shared" si="1"/>
        <v>63593.794268350568</v>
      </c>
      <c r="U13" s="1100"/>
      <c r="V13" s="1100"/>
      <c r="W13" s="1100"/>
      <c r="X13" s="1120">
        <f>X5+X8+X9+X11</f>
        <v>75526.600000000006</v>
      </c>
      <c r="Y13" s="1100"/>
      <c r="Z13" s="1100"/>
      <c r="AA13" s="1100"/>
      <c r="AB13" s="1100"/>
    </row>
    <row r="14" spans="1:28" ht="15.75">
      <c r="A14" s="1100"/>
      <c r="B14" s="1144"/>
      <c r="C14" s="1100"/>
      <c r="D14" s="1101"/>
      <c r="E14" s="1100"/>
      <c r="F14" s="1100"/>
      <c r="G14" s="1100"/>
      <c r="H14" s="1100"/>
      <c r="I14" s="1101"/>
      <c r="J14" s="1100"/>
      <c r="K14" s="1100"/>
      <c r="L14" s="1100"/>
      <c r="M14" s="1100"/>
      <c r="N14" s="1101"/>
      <c r="O14" s="1101"/>
      <c r="P14" s="1101"/>
      <c r="Q14" s="1101"/>
      <c r="R14" s="1101"/>
      <c r="S14" s="1101"/>
      <c r="T14" s="1101"/>
      <c r="U14" s="1100"/>
      <c r="V14" s="1100"/>
      <c r="W14" s="1100"/>
      <c r="X14" s="1101"/>
      <c r="Y14" s="1100"/>
      <c r="Z14" s="1100"/>
      <c r="AA14" s="1100"/>
      <c r="AB14" s="1100"/>
    </row>
    <row r="15" spans="1:28" ht="15.75">
      <c r="A15" s="1100"/>
      <c r="B15" s="1142" t="s">
        <v>136</v>
      </c>
      <c r="C15" s="1100"/>
      <c r="D15" s="1101"/>
      <c r="E15" s="1100"/>
      <c r="F15" s="1100"/>
      <c r="G15" s="1100"/>
      <c r="H15" s="1100"/>
      <c r="I15" s="1101"/>
      <c r="J15" s="1100"/>
      <c r="K15" s="1100"/>
      <c r="L15" s="1100"/>
      <c r="M15" s="1100"/>
      <c r="N15" s="1101"/>
      <c r="O15" s="1101"/>
      <c r="P15" s="1101"/>
      <c r="Q15" s="1101"/>
      <c r="R15" s="1101"/>
      <c r="S15" s="1101"/>
      <c r="T15" s="1101"/>
      <c r="U15" s="1100"/>
      <c r="V15" s="1100"/>
      <c r="W15" s="1100"/>
      <c r="X15" s="1101"/>
      <c r="Y15" s="1100"/>
      <c r="Z15" s="1100"/>
      <c r="AA15" s="1100"/>
      <c r="AB15" s="1100"/>
    </row>
    <row r="16" spans="1:28" ht="15.75">
      <c r="A16" s="1100"/>
      <c r="B16" s="1144" t="s">
        <v>129</v>
      </c>
      <c r="C16" s="1111"/>
      <c r="D16" s="1112">
        <v>20285</v>
      </c>
      <c r="E16" s="1111">
        <v>4979.3000000000011</v>
      </c>
      <c r="F16" s="1111">
        <v>4951.8</v>
      </c>
      <c r="G16" s="1111">
        <v>4912.3999999999996</v>
      </c>
      <c r="H16" s="1111">
        <v>5059.2999999999993</v>
      </c>
      <c r="I16" s="1112">
        <v>19902.800000000003</v>
      </c>
      <c r="J16" s="1111">
        <v>4956.9999999999991</v>
      </c>
      <c r="K16" s="1113">
        <f>Interims!BP26</f>
        <v>4841.3999999999996</v>
      </c>
      <c r="L16" s="1113">
        <f>Interims!BQ26</f>
        <v>4320.8</v>
      </c>
      <c r="M16" s="1113">
        <f>Interims!BR26</f>
        <v>4701.8</v>
      </c>
      <c r="N16" s="1114">
        <f>Master!V68</f>
        <v>18821</v>
      </c>
      <c r="O16" s="1113">
        <f>Interims!BT26</f>
        <v>4667.8</v>
      </c>
      <c r="P16" s="1113">
        <f>Interims!BU26</f>
        <v>4650</v>
      </c>
      <c r="Q16" s="1113">
        <f>Interims!BV26</f>
        <v>4250</v>
      </c>
      <c r="R16" s="1113">
        <f>Interims!BW26</f>
        <v>4611.1312500000022</v>
      </c>
      <c r="S16" s="1114">
        <f>Master!W68</f>
        <v>18178.931250000001</v>
      </c>
      <c r="T16" s="1114">
        <f>Master!X68</f>
        <v>18237.49425</v>
      </c>
      <c r="U16" s="1111"/>
      <c r="V16" s="1100"/>
      <c r="W16" s="1100"/>
      <c r="X16" s="1114">
        <f>Master!U68</f>
        <v>19902.8</v>
      </c>
      <c r="Y16" s="1100"/>
      <c r="Z16" s="1100"/>
      <c r="AA16" s="1100"/>
      <c r="AB16" s="1100"/>
    </row>
    <row r="17" spans="1:28" ht="15.75">
      <c r="A17" s="1100"/>
      <c r="B17" s="1144" t="s">
        <v>6211</v>
      </c>
      <c r="C17" s="1111"/>
      <c r="D17" s="1112">
        <v>18387.5</v>
      </c>
      <c r="E17" s="1111">
        <v>4674.4999999999991</v>
      </c>
      <c r="F17" s="1115">
        <v>4697.7</v>
      </c>
      <c r="G17" s="1115">
        <v>4596.7000000000007</v>
      </c>
      <c r="H17" s="1115">
        <v>4896.2000000000007</v>
      </c>
      <c r="I17" s="1116">
        <v>18865.100000000002</v>
      </c>
      <c r="J17" s="1115">
        <v>4741.7000000000007</v>
      </c>
      <c r="K17" s="1113">
        <f>Interims!BP126</f>
        <v>4630.3</v>
      </c>
      <c r="L17" s="1113">
        <f>Interims!BQ126</f>
        <v>4260.5</v>
      </c>
      <c r="M17" s="1113">
        <f>Interims!BR126</f>
        <v>4569.3999999999996</v>
      </c>
      <c r="N17" s="1114"/>
      <c r="O17" s="1113">
        <f>Interims!BT126</f>
        <v>4251.0047999999997</v>
      </c>
      <c r="P17" s="1113">
        <f>Interims!BU126</f>
        <v>4300</v>
      </c>
      <c r="Q17" s="1113">
        <f>Interims!BV126</f>
        <v>4000</v>
      </c>
      <c r="R17" s="1113">
        <f>Interims!BW126</f>
        <v>4540</v>
      </c>
      <c r="S17" s="1114"/>
      <c r="T17" s="1114"/>
      <c r="U17" s="1111"/>
      <c r="V17" s="1100"/>
      <c r="W17" s="1100"/>
      <c r="X17" s="1114"/>
      <c r="Y17" s="1100"/>
      <c r="Z17" s="1100"/>
      <c r="AA17" s="1100"/>
      <c r="AB17" s="1100"/>
    </row>
    <row r="18" spans="1:28" ht="15.75">
      <c r="A18" s="1100"/>
      <c r="B18" s="1144" t="s">
        <v>6212</v>
      </c>
      <c r="C18" s="1111"/>
      <c r="D18" s="1112">
        <v>2535.3000000000002</v>
      </c>
      <c r="E18" s="1111">
        <v>493.3</v>
      </c>
      <c r="F18" s="1115">
        <v>492.3</v>
      </c>
      <c r="G18" s="1115">
        <v>461.29999999999984</v>
      </c>
      <c r="H18" s="1115">
        <v>358.89999999999947</v>
      </c>
      <c r="I18" s="1116">
        <v>1805.8999999999994</v>
      </c>
      <c r="J18" s="1115">
        <v>434.39999999999986</v>
      </c>
      <c r="K18" s="1113">
        <f>Interims!BP127</f>
        <v>357.8</v>
      </c>
      <c r="L18" s="1113">
        <f>Interims!BQ127</f>
        <v>257.7</v>
      </c>
      <c r="M18" s="1113">
        <f>Interims!BR127</f>
        <v>278.39999999999998</v>
      </c>
      <c r="N18" s="1114"/>
      <c r="O18" s="1113">
        <f>Interims!BT127</f>
        <v>416.79520000000048</v>
      </c>
      <c r="P18" s="1113">
        <f>Interims!BU127</f>
        <v>350</v>
      </c>
      <c r="Q18" s="1113">
        <f>Interims!BV127</f>
        <v>250</v>
      </c>
      <c r="R18" s="1113">
        <f>Interims!BW127</f>
        <v>71.131250000002183</v>
      </c>
      <c r="S18" s="1114"/>
      <c r="T18" s="1114"/>
      <c r="U18" s="1111"/>
      <c r="V18" s="1100"/>
      <c r="W18" s="1100"/>
      <c r="X18" s="1114"/>
      <c r="Y18" s="1100"/>
      <c r="Z18" s="1100"/>
      <c r="AA18" s="1100"/>
      <c r="AB18" s="1100"/>
    </row>
    <row r="19" spans="1:28" ht="15.75">
      <c r="A19" s="1100"/>
      <c r="B19" s="1144" t="s">
        <v>128</v>
      </c>
      <c r="C19" s="1111"/>
      <c r="D19" s="1112">
        <v>8504.1999999999971</v>
      </c>
      <c r="E19" s="1111">
        <v>1861.3999999999999</v>
      </c>
      <c r="F19" s="1111">
        <v>1702.3</v>
      </c>
      <c r="G19" s="1111">
        <v>1701.0000000000005</v>
      </c>
      <c r="H19" s="1111">
        <v>1151.5999999999999</v>
      </c>
      <c r="I19" s="1112">
        <v>6416.2999999999993</v>
      </c>
      <c r="J19" s="1111">
        <v>1608.9000000000003</v>
      </c>
      <c r="K19" s="1113">
        <f>Interims!BP25</f>
        <v>1448.4</v>
      </c>
      <c r="L19" s="1113">
        <f>Interims!BQ25</f>
        <v>1533.2</v>
      </c>
      <c r="M19" s="1113">
        <f>Interims!BR25</f>
        <v>1140.9000000000001</v>
      </c>
      <c r="N19" s="1114">
        <f>Master!V67</f>
        <v>5731.4</v>
      </c>
      <c r="O19" s="1113">
        <f>Interims!BT25</f>
        <v>1215.5999999999999</v>
      </c>
      <c r="P19" s="1113">
        <f>Interims!BU25</f>
        <v>1303.5600000000002</v>
      </c>
      <c r="Q19" s="1113">
        <f>Interims!BV25</f>
        <v>1379.88</v>
      </c>
      <c r="R19" s="1113">
        <f>Interims!BW25</f>
        <v>1023.7095535325561</v>
      </c>
      <c r="S19" s="1114">
        <f>Master!W67</f>
        <v>4922.7495535325561</v>
      </c>
      <c r="T19" s="1114">
        <f>Master!X67</f>
        <v>4929.4109901492266</v>
      </c>
      <c r="U19" s="1111"/>
      <c r="V19" s="1100"/>
      <c r="W19" s="1100"/>
      <c r="X19" s="1114">
        <f>Master!U67</f>
        <v>6416.33</v>
      </c>
      <c r="Y19" s="1100"/>
      <c r="Z19" s="1100"/>
      <c r="AA19" s="1100"/>
      <c r="AB19" s="1100"/>
    </row>
    <row r="20" spans="1:28" ht="15.75">
      <c r="A20" s="1100"/>
      <c r="B20" s="1144" t="s">
        <v>6213</v>
      </c>
      <c r="C20" s="1100"/>
      <c r="D20" s="1101">
        <v>907.30000000000018</v>
      </c>
      <c r="E20" s="1111">
        <v>376.40000000000009</v>
      </c>
      <c r="F20" s="1111">
        <v>391.6</v>
      </c>
      <c r="G20" s="1100">
        <v>423.7</v>
      </c>
      <c r="H20" s="1100">
        <v>499.2</v>
      </c>
      <c r="I20" s="1101">
        <v>1691.0000000000002</v>
      </c>
      <c r="J20" s="1100">
        <v>403.9</v>
      </c>
      <c r="K20" s="1113">
        <f>Interims!BP27</f>
        <v>524.20000000000005</v>
      </c>
      <c r="L20" s="1113">
        <f>Interims!BQ27</f>
        <v>561</v>
      </c>
      <c r="M20" s="1113">
        <f>Interims!BR27</f>
        <v>463.1</v>
      </c>
      <c r="N20" s="1114">
        <f>Master!V69</f>
        <v>1952.4</v>
      </c>
      <c r="O20" s="1113">
        <f>Interims!BT27</f>
        <v>0</v>
      </c>
      <c r="P20" s="1113">
        <f>Interims!BU27</f>
        <v>0</v>
      </c>
      <c r="Q20" s="1113">
        <f>Interims!BV27</f>
        <v>0</v>
      </c>
      <c r="R20" s="1113">
        <f>Interims!BW27</f>
        <v>0</v>
      </c>
      <c r="S20" s="1114">
        <f>Master!W69</f>
        <v>0</v>
      </c>
      <c r="T20" s="1114">
        <f>Master!X69</f>
        <v>0</v>
      </c>
      <c r="U20" s="1111"/>
      <c r="V20" s="1100"/>
      <c r="W20" s="1100"/>
      <c r="X20" s="1114">
        <f>Master!U69</f>
        <v>1691</v>
      </c>
      <c r="Y20" s="1100"/>
      <c r="Z20" s="1100"/>
      <c r="AA20" s="1100"/>
      <c r="AB20" s="1100"/>
    </row>
    <row r="21" spans="1:28" ht="15.75">
      <c r="A21" s="1100"/>
      <c r="B21" s="1144"/>
      <c r="C21" s="1100"/>
      <c r="D21" s="1101"/>
      <c r="E21" s="1100"/>
      <c r="F21" s="1100"/>
      <c r="G21" s="1100"/>
      <c r="H21" s="1100"/>
      <c r="I21" s="1101"/>
      <c r="J21" s="1100"/>
      <c r="K21" s="1100"/>
      <c r="L21" s="1100"/>
      <c r="M21" s="1100"/>
      <c r="N21" s="1100"/>
      <c r="O21" s="1100"/>
      <c r="P21" s="1100"/>
      <c r="Q21" s="1100"/>
      <c r="R21" s="1100"/>
      <c r="S21" s="1100"/>
      <c r="T21" s="1100"/>
      <c r="U21" s="1111"/>
      <c r="V21" s="1100"/>
      <c r="W21" s="1100"/>
      <c r="X21" s="1114"/>
      <c r="Y21" s="1100"/>
      <c r="Z21" s="1100"/>
      <c r="AA21" s="1100"/>
      <c r="AB21" s="1100"/>
    </row>
    <row r="22" spans="1:28" ht="15.75">
      <c r="A22" s="1100"/>
      <c r="B22" s="1144" t="s">
        <v>136</v>
      </c>
      <c r="C22" s="1100"/>
      <c r="D22" s="1112">
        <f>SUM(D16,D19,D20)</f>
        <v>29696.499999999996</v>
      </c>
      <c r="E22" s="1111">
        <f t="shared" ref="E22:T22" si="2">SUM(E16,E19,E20)</f>
        <v>7217.1</v>
      </c>
      <c r="F22" s="1111">
        <f t="shared" si="2"/>
        <v>7045.7000000000007</v>
      </c>
      <c r="G22" s="1111">
        <f t="shared" si="2"/>
        <v>7037.0999999999995</v>
      </c>
      <c r="H22" s="1111">
        <f t="shared" si="2"/>
        <v>6710.0999999999995</v>
      </c>
      <c r="I22" s="1112">
        <f t="shared" si="2"/>
        <v>28010.100000000002</v>
      </c>
      <c r="J22" s="1111">
        <f t="shared" si="2"/>
        <v>6969.7999999999993</v>
      </c>
      <c r="K22" s="1113">
        <f t="shared" si="2"/>
        <v>6813.9999999999991</v>
      </c>
      <c r="L22" s="1113">
        <f t="shared" ref="L22:M22" si="3">SUM(L16,L19,L20)</f>
        <v>6415</v>
      </c>
      <c r="M22" s="1113">
        <f t="shared" si="3"/>
        <v>6305.8000000000011</v>
      </c>
      <c r="N22" s="1114">
        <f t="shared" si="2"/>
        <v>26504.800000000003</v>
      </c>
      <c r="O22" s="1113">
        <f t="shared" si="2"/>
        <v>5883.4</v>
      </c>
      <c r="P22" s="1113">
        <f t="shared" si="2"/>
        <v>5953.56</v>
      </c>
      <c r="Q22" s="1113">
        <f t="shared" si="2"/>
        <v>5629.88</v>
      </c>
      <c r="R22" s="1113">
        <f t="shared" si="2"/>
        <v>5634.8408035325583</v>
      </c>
      <c r="S22" s="1114">
        <f t="shared" si="2"/>
        <v>23101.680803532559</v>
      </c>
      <c r="T22" s="1114">
        <f t="shared" si="2"/>
        <v>23166.905240149226</v>
      </c>
      <c r="U22" s="1111"/>
      <c r="V22" s="1100"/>
      <c r="W22" s="1100"/>
      <c r="X22" s="1114">
        <f>SUM(X16,X19,X20)</f>
        <v>28010.129999999997</v>
      </c>
      <c r="Y22" s="1100"/>
      <c r="Z22" s="1100"/>
      <c r="AA22" s="1100"/>
      <c r="AB22" s="1100"/>
    </row>
    <row r="23" spans="1:28" ht="15.75">
      <c r="A23" s="1100"/>
      <c r="B23" s="1144"/>
      <c r="C23" s="1100"/>
      <c r="D23" s="1101"/>
      <c r="E23" s="1100"/>
      <c r="F23" s="1111"/>
      <c r="G23" s="1111"/>
      <c r="H23" s="1111"/>
      <c r="I23" s="1112"/>
      <c r="J23" s="1111"/>
      <c r="K23" s="1111"/>
      <c r="L23" s="1111"/>
      <c r="M23" s="1111"/>
      <c r="N23" s="1111"/>
      <c r="O23" s="1111"/>
      <c r="P23" s="1111"/>
      <c r="Q23" s="1111"/>
      <c r="R23" s="1111"/>
      <c r="S23" s="1111"/>
      <c r="T23" s="1111"/>
      <c r="U23" s="1111"/>
      <c r="V23" s="1100"/>
      <c r="W23" s="1100"/>
      <c r="X23" s="1122"/>
      <c r="Y23" s="1100"/>
      <c r="Z23" s="1100"/>
      <c r="AA23" s="1100"/>
      <c r="AB23" s="1100"/>
    </row>
    <row r="24" spans="1:28" ht="15.75">
      <c r="A24" s="1100"/>
      <c r="B24" s="1144"/>
      <c r="C24" s="1111"/>
      <c r="D24" s="1112"/>
      <c r="E24" s="1111"/>
      <c r="F24" s="1100"/>
      <c r="G24" s="1100"/>
      <c r="H24" s="1100"/>
      <c r="I24" s="1100"/>
      <c r="J24" s="1100"/>
      <c r="K24" s="1100"/>
      <c r="L24" s="1100"/>
      <c r="M24" s="1100"/>
      <c r="N24" s="1100"/>
      <c r="O24" s="1100"/>
      <c r="P24" s="1100"/>
      <c r="Q24" s="1100"/>
      <c r="R24" s="1100"/>
      <c r="S24" s="1100"/>
      <c r="T24" s="1100"/>
      <c r="U24" s="1111"/>
      <c r="V24" s="1100"/>
      <c r="W24" s="1100"/>
      <c r="X24" s="1100"/>
      <c r="Y24" s="1100"/>
      <c r="Z24" s="1100"/>
      <c r="AA24" s="1100"/>
      <c r="AB24" s="1100"/>
    </row>
    <row r="25" spans="1:28" ht="15.75">
      <c r="A25" s="1100"/>
      <c r="B25" s="1144" t="s">
        <v>137</v>
      </c>
      <c r="C25" s="1111"/>
      <c r="D25" s="1112">
        <v>-2203.4999999999995</v>
      </c>
      <c r="E25" s="1111">
        <v>-333.70000000000005</v>
      </c>
      <c r="F25" s="1111">
        <v>-285.2</v>
      </c>
      <c r="G25" s="1111">
        <v>-213.5</v>
      </c>
      <c r="H25" s="1111">
        <v>-705.7</v>
      </c>
      <c r="I25" s="1112">
        <v>-1538.1</v>
      </c>
      <c r="J25" s="1111">
        <v>-242.4</v>
      </c>
      <c r="K25" s="1113">
        <f>Interims!BP29</f>
        <v>-238.3</v>
      </c>
      <c r="L25" s="1113">
        <f>Interims!BQ29</f>
        <v>-189.8</v>
      </c>
      <c r="M25" s="1113">
        <f>Interims!BR29</f>
        <v>-589.4</v>
      </c>
      <c r="N25" s="1123">
        <f>Master!V71</f>
        <v>-1259.9000000000001</v>
      </c>
      <c r="O25" s="1113">
        <f>Interims!BT29</f>
        <v>-185.8</v>
      </c>
      <c r="P25" s="1113">
        <f>Interims!BU29</f>
        <v>-188.01567936907236</v>
      </c>
      <c r="Q25" s="1113">
        <f>Interims!BV29</f>
        <v>-177.79374239385393</v>
      </c>
      <c r="R25" s="1113">
        <f>Interims!BW29</f>
        <v>-198.39057823707375</v>
      </c>
      <c r="S25" s="1123">
        <f>Master!W71</f>
        <v>-750</v>
      </c>
      <c r="T25" s="1123">
        <f>Master!X71</f>
        <v>-765</v>
      </c>
      <c r="U25" s="1111"/>
      <c r="V25" s="1100"/>
      <c r="W25" s="1100"/>
      <c r="X25" s="1123">
        <f>Master!U71</f>
        <v>-1538.1</v>
      </c>
      <c r="Y25" s="1100"/>
      <c r="Z25" s="1100"/>
      <c r="AA25" s="1100"/>
      <c r="AB25" s="1100"/>
    </row>
    <row r="26" spans="1:28" ht="15.75">
      <c r="A26" s="1100"/>
      <c r="B26" s="1144" t="s">
        <v>533</v>
      </c>
      <c r="C26" s="1100"/>
      <c r="D26" s="1112">
        <v>-21418.3</v>
      </c>
      <c r="E26" s="1111">
        <v>-5077.3999999999996</v>
      </c>
      <c r="F26" s="1111">
        <v>-5167.5</v>
      </c>
      <c r="G26" s="1111">
        <v>-5169.8</v>
      </c>
      <c r="H26" s="1111">
        <v>-5702.7</v>
      </c>
      <c r="I26" s="1112">
        <v>-21117.4</v>
      </c>
      <c r="J26" s="1111">
        <v>-5311.7</v>
      </c>
      <c r="K26" s="1113">
        <f>Interims!BP33</f>
        <v>-5354.7</v>
      </c>
      <c r="L26" s="1113">
        <f>Interims!BQ33</f>
        <v>-5544.1</v>
      </c>
      <c r="M26" s="1113">
        <f>Interims!BR33</f>
        <v>-5344</v>
      </c>
      <c r="N26" s="1123">
        <f>-Master!V15-Master!V16</f>
        <v>-21554.400000000001</v>
      </c>
      <c r="O26" s="1113">
        <f>Interims!BT33</f>
        <v>-5035</v>
      </c>
      <c r="P26" s="1113">
        <f>Interims!BU33</f>
        <v>-5250</v>
      </c>
      <c r="Q26" s="1113">
        <f>Interims!BV33</f>
        <v>-5350</v>
      </c>
      <c r="R26" s="1113">
        <f>Interims!BW33</f>
        <v>-5454.6620616104628</v>
      </c>
      <c r="S26" s="1123">
        <f>-Master!W15-Master!W16</f>
        <v>-21089.662061610463</v>
      </c>
      <c r="T26" s="1123">
        <f>-Master!X15-Master!X16</f>
        <v>-19853.349465831758</v>
      </c>
      <c r="U26" s="1111"/>
      <c r="V26" s="1100"/>
      <c r="W26" s="1100"/>
      <c r="X26" s="1123">
        <f>-Master!U15-Master!U16</f>
        <v>-21117.4</v>
      </c>
      <c r="Y26" s="1100"/>
      <c r="Z26" s="1100"/>
      <c r="AA26" s="1100"/>
      <c r="AB26" s="1100"/>
    </row>
    <row r="27" spans="1:28" ht="15.75">
      <c r="A27" s="1100"/>
      <c r="B27" s="1144" t="s">
        <v>6214</v>
      </c>
      <c r="C27" s="1111"/>
      <c r="D27" s="1112">
        <v>2329.6000000000004</v>
      </c>
      <c r="E27" s="1111">
        <v>-168.6</v>
      </c>
      <c r="F27" s="1111">
        <v>-40.9</v>
      </c>
      <c r="G27" s="1111">
        <f>-291.2-0.3</f>
        <v>-291.5</v>
      </c>
      <c r="H27" s="1111">
        <v>-465.59999999999997</v>
      </c>
      <c r="I27" s="1112">
        <v>-967.1</v>
      </c>
      <c r="J27" s="1111">
        <v>-253.7</v>
      </c>
      <c r="K27" s="1113">
        <f>Interims!BP31</f>
        <v>-228.79999999999998</v>
      </c>
      <c r="L27" s="1113">
        <f>Interims!BQ31</f>
        <v>-758.19999999999993</v>
      </c>
      <c r="M27" s="1113">
        <f>Interims!BR31</f>
        <v>172.4</v>
      </c>
      <c r="N27" s="1123">
        <f>Master!V72</f>
        <v>-1026.8</v>
      </c>
      <c r="O27" s="1113">
        <f>Interims!BT31</f>
        <v>2263.6</v>
      </c>
      <c r="P27" s="1113">
        <f>Interims!BU31</f>
        <v>-250</v>
      </c>
      <c r="Q27" s="1113">
        <f>Interims!BV31</f>
        <v>-250</v>
      </c>
      <c r="R27" s="1113">
        <f>Interims!BW31</f>
        <v>247.48000000000002</v>
      </c>
      <c r="S27" s="1123">
        <f>Master!W72</f>
        <v>2011.08</v>
      </c>
      <c r="T27" s="1123">
        <f>Master!X72</f>
        <v>-1000</v>
      </c>
      <c r="U27" s="1111"/>
      <c r="V27" s="1100"/>
      <c r="W27" s="1100"/>
      <c r="X27" s="1123">
        <f>Master!U72</f>
        <v>-936</v>
      </c>
      <c r="Y27" s="1100"/>
      <c r="Z27" s="1100"/>
      <c r="AA27" s="1100"/>
      <c r="AB27" s="1100"/>
    </row>
    <row r="28" spans="1:28" ht="15.75">
      <c r="A28" s="1100"/>
      <c r="B28" s="1144"/>
      <c r="C28" s="1124"/>
      <c r="D28" s="1125"/>
      <c r="E28" s="1126"/>
      <c r="F28" s="1126"/>
      <c r="G28" s="1126"/>
      <c r="H28" s="1126"/>
      <c r="I28" s="1125"/>
      <c r="J28" s="1126"/>
      <c r="K28" s="1100"/>
      <c r="L28" s="1100"/>
      <c r="M28" s="1100"/>
      <c r="N28" s="1100"/>
      <c r="O28" s="1100"/>
      <c r="P28" s="1100"/>
      <c r="Q28" s="1100"/>
      <c r="R28" s="1100"/>
      <c r="S28" s="1100"/>
      <c r="T28" s="1125">
        <f>IFERROR((+T27/S29-1)," ")</f>
        <v>-1.0410462512054464</v>
      </c>
      <c r="U28" s="1111"/>
      <c r="V28" s="1100"/>
      <c r="W28" s="1100"/>
      <c r="X28" s="1100"/>
      <c r="Y28" s="1100"/>
      <c r="Z28" s="1100"/>
      <c r="AA28" s="1100"/>
      <c r="AB28" s="1100"/>
    </row>
    <row r="29" spans="1:28" ht="15.75">
      <c r="A29" s="1100"/>
      <c r="B29" s="1145" t="s">
        <v>57</v>
      </c>
      <c r="C29" s="1100"/>
      <c r="D29" s="1112">
        <f t="shared" ref="D29:J29" si="4">D16+D19+D20+D25+D27</f>
        <v>29822.6</v>
      </c>
      <c r="E29" s="1111">
        <f t="shared" si="4"/>
        <v>6714.8</v>
      </c>
      <c r="F29" s="1111">
        <f t="shared" si="4"/>
        <v>6719.6000000000013</v>
      </c>
      <c r="G29" s="1111">
        <f t="shared" si="4"/>
        <v>6532.0999999999995</v>
      </c>
      <c r="H29" s="1111">
        <f t="shared" si="4"/>
        <v>5538.7999999999993</v>
      </c>
      <c r="I29" s="1112">
        <f t="shared" si="4"/>
        <v>25504.900000000005</v>
      </c>
      <c r="J29" s="1111">
        <f t="shared" si="4"/>
        <v>6473.7</v>
      </c>
      <c r="K29" s="1111">
        <f t="shared" ref="K29:T29" si="5">K16+K19+K20+K25+K27</f>
        <v>6346.8999999999987</v>
      </c>
      <c r="L29" s="1111">
        <f t="shared" ref="L29:M29" si="6">L16+L19+L20+L25+L27</f>
        <v>5467</v>
      </c>
      <c r="M29" s="1111">
        <f t="shared" si="6"/>
        <v>5888.8000000000011</v>
      </c>
      <c r="N29" s="1112">
        <f t="shared" si="5"/>
        <v>24218.100000000002</v>
      </c>
      <c r="O29" s="1111">
        <f t="shared" si="5"/>
        <v>7961.1999999999989</v>
      </c>
      <c r="P29" s="1111">
        <f t="shared" si="5"/>
        <v>5515.5443206309283</v>
      </c>
      <c r="Q29" s="1111">
        <f t="shared" si="5"/>
        <v>5202.0862576061463</v>
      </c>
      <c r="R29" s="1111">
        <f t="shared" si="5"/>
        <v>5683.930225295484</v>
      </c>
      <c r="S29" s="1112">
        <f t="shared" si="5"/>
        <v>24362.760803532561</v>
      </c>
      <c r="T29" s="1112">
        <f t="shared" si="5"/>
        <v>21401.905240149226</v>
      </c>
      <c r="U29" s="1111"/>
      <c r="V29" s="1100"/>
      <c r="W29" s="1100"/>
      <c r="X29" s="1112">
        <f>X16+X19+X20+X25+X27</f>
        <v>25536.03</v>
      </c>
      <c r="Y29" s="1100"/>
      <c r="Z29" s="1100"/>
      <c r="AA29" s="1100"/>
      <c r="AB29" s="1100"/>
    </row>
    <row r="30" spans="1:28" ht="15.75">
      <c r="A30" s="1100"/>
      <c r="B30" s="1144"/>
      <c r="C30" s="1111"/>
      <c r="D30" s="1112"/>
      <c r="E30" s="1111"/>
      <c r="F30" s="1111"/>
      <c r="G30" s="1111"/>
      <c r="H30" s="1111"/>
      <c r="I30" s="1112"/>
      <c r="J30" s="1111"/>
      <c r="K30" s="1100"/>
      <c r="L30" s="1100"/>
      <c r="M30" s="1100"/>
      <c r="N30" s="1101"/>
      <c r="O30" s="1100"/>
      <c r="P30" s="1100"/>
      <c r="Q30" s="1100"/>
      <c r="R30" s="1100"/>
      <c r="S30" s="1101"/>
      <c r="T30" s="1101"/>
      <c r="U30" s="1111"/>
      <c r="V30" s="1100"/>
      <c r="W30" s="1100"/>
      <c r="X30" s="1101"/>
      <c r="Y30" s="1100"/>
      <c r="Z30" s="1100"/>
      <c r="AA30" s="1100"/>
      <c r="AB30" s="1100"/>
    </row>
    <row r="31" spans="1:28" ht="15.75">
      <c r="A31" s="1100"/>
      <c r="B31" s="1144" t="s">
        <v>6215</v>
      </c>
      <c r="C31" s="1111"/>
      <c r="D31" s="1112">
        <v>-9166.6020000000008</v>
      </c>
      <c r="E31" s="1111">
        <v>-19097.900000000001</v>
      </c>
      <c r="F31" s="1111">
        <v>4334.62</v>
      </c>
      <c r="G31" s="1111">
        <v>-494.39</v>
      </c>
      <c r="H31" s="1111">
        <f>-11818.411-E30-F31-G31</f>
        <v>-15658.641</v>
      </c>
      <c r="I31" s="1112">
        <v>-11818.411</v>
      </c>
      <c r="J31" s="1111">
        <v>-4815.8059999999996</v>
      </c>
      <c r="K31" s="1127">
        <f>-Interims!BP73</f>
        <v>93.1</v>
      </c>
      <c r="L31" s="1127">
        <f>-Interims!BQ73</f>
        <v>975.4</v>
      </c>
      <c r="M31" s="1127">
        <f>-Interims!BR73</f>
        <v>1560.4</v>
      </c>
      <c r="N31" s="1123">
        <f>-Master!V164</f>
        <v>7014.3090000000002</v>
      </c>
      <c r="O31" s="1127">
        <f>-Interims!BT73</f>
        <v>541</v>
      </c>
      <c r="P31" s="1127">
        <f>-Interims!BU73</f>
        <v>-395</v>
      </c>
      <c r="Q31" s="1127">
        <f>-Interims!BV73</f>
        <v>-395</v>
      </c>
      <c r="R31" s="1127">
        <f ca="1">-Interims!BW73</f>
        <v>-497.55448523929681</v>
      </c>
      <c r="S31" s="1123">
        <f ca="1">-Master!W164</f>
        <v>-746.5544852392967</v>
      </c>
      <c r="T31" s="1123">
        <f ca="1">-Master!X164</f>
        <v>-455.97547571896786</v>
      </c>
      <c r="U31" s="1128" t="s">
        <v>7595</v>
      </c>
      <c r="V31" s="1100"/>
      <c r="W31" s="1100"/>
      <c r="X31" s="1123">
        <f>-Master!U164</f>
        <v>12188</v>
      </c>
      <c r="Y31" s="1100"/>
      <c r="Z31" s="1100"/>
      <c r="AA31" s="1100"/>
      <c r="AB31" s="1100"/>
    </row>
    <row r="32" spans="1:28" ht="15.75">
      <c r="A32" s="1100"/>
      <c r="B32" s="1144" t="s">
        <v>201</v>
      </c>
      <c r="C32" s="1100"/>
      <c r="D32" s="1112">
        <v>-23267.847000000002</v>
      </c>
      <c r="E32" s="1111">
        <v>-4689.3</v>
      </c>
      <c r="F32" s="1111">
        <v>-4790.1419999999998</v>
      </c>
      <c r="G32" s="1111">
        <v>-4204.3440000000001</v>
      </c>
      <c r="H32" s="1111">
        <f>-17315.387-E31-F32-G32</f>
        <v>10776.999000000003</v>
      </c>
      <c r="I32" s="1112">
        <v>-17315.386999999999</v>
      </c>
      <c r="J32" s="1111">
        <v>-3929.7649999999999</v>
      </c>
      <c r="K32" s="1127">
        <f>-Interims!BP94</f>
        <v>-3608.2140000000009</v>
      </c>
      <c r="L32" s="1127">
        <f>-Interims!BQ94</f>
        <v>-3185.2620000000002</v>
      </c>
      <c r="M32" s="1127">
        <f>-Interims!BR94</f>
        <v>-3978.585</v>
      </c>
      <c r="N32" s="1123">
        <f>-Master!V90</f>
        <v>-14664.45</v>
      </c>
      <c r="O32" s="1127">
        <f>-Interims!BT94</f>
        <v>-2036.3999999999999</v>
      </c>
      <c r="P32" s="1127">
        <f>-Interims!BU94</f>
        <v>-3740</v>
      </c>
      <c r="Q32" s="1127">
        <f>-Interims!BV94</f>
        <v>-3400</v>
      </c>
      <c r="R32" s="1127">
        <f>-Interims!BW94</f>
        <v>-3698.4307491887425</v>
      </c>
      <c r="S32" s="1123">
        <f>-Master!W90</f>
        <v>-12866.448770046549</v>
      </c>
      <c r="T32" s="1123">
        <f>-Master!X90</f>
        <v>-12292.698727155317</v>
      </c>
      <c r="U32" s="1111"/>
      <c r="V32" s="1100"/>
      <c r="W32" s="1100"/>
      <c r="X32" s="1123">
        <f>-Master!U90</f>
        <v>-17214.16</v>
      </c>
      <c r="Y32" s="1100"/>
      <c r="Z32" s="1100"/>
      <c r="AA32" s="1100"/>
      <c r="AB32" s="1100"/>
    </row>
    <row r="33" spans="1:28" ht="15.75">
      <c r="A33" s="1100"/>
      <c r="B33" s="1144" t="s">
        <v>6216</v>
      </c>
      <c r="C33" s="1111"/>
      <c r="D33" s="1112">
        <v>-8542.1999999999989</v>
      </c>
      <c r="E33" s="1111">
        <v>-2467</v>
      </c>
      <c r="F33" s="1111">
        <v>-1995.914</v>
      </c>
      <c r="G33" s="1111">
        <v>-2235.9229999999998</v>
      </c>
      <c r="H33" s="1111">
        <f>-8893-E32-F33-G33</f>
        <v>28.136999999999716</v>
      </c>
      <c r="I33" s="1112">
        <v>-8893</v>
      </c>
      <c r="J33" s="1111">
        <v>-1873</v>
      </c>
      <c r="K33" s="1127">
        <f>Interims!BP68</f>
        <v>-751.5</v>
      </c>
      <c r="L33" s="1127">
        <f>Interims!BQ68</f>
        <v>-587.9</v>
      </c>
      <c r="M33" s="1127">
        <f>Interims!BR68</f>
        <v>-1086.3000000000004</v>
      </c>
      <c r="N33" s="1123">
        <f>-Master!V238</f>
        <v>-4624.2999999999993</v>
      </c>
      <c r="O33" s="1127">
        <f>Interims!BT68</f>
        <v>-1133.4000000000001</v>
      </c>
      <c r="P33" s="1127">
        <f>Interims!BU68</f>
        <v>-1100</v>
      </c>
      <c r="Q33" s="1127">
        <f>Interims!BV68</f>
        <v>-1100</v>
      </c>
      <c r="R33" s="1127">
        <f ca="1">Interims!BW68</f>
        <v>-1253.3847606338693</v>
      </c>
      <c r="S33" s="1123">
        <f ca="1">-Master!W238</f>
        <v>-4678.2847606338692</v>
      </c>
      <c r="T33" s="1123">
        <f ca="1">-Master!X238</f>
        <v>-4942.0396161709232</v>
      </c>
      <c r="U33" s="1128" t="s">
        <v>7595</v>
      </c>
      <c r="V33" s="1100"/>
      <c r="W33" s="1100"/>
      <c r="X33" s="1123">
        <f>-Master!U238</f>
        <v>-9206.2000000000007</v>
      </c>
      <c r="Y33" s="1100"/>
      <c r="Z33" s="1100"/>
      <c r="AA33" s="1100"/>
      <c r="AB33" s="1100"/>
    </row>
    <row r="34" spans="1:28" ht="15.75">
      <c r="A34" s="1100"/>
      <c r="B34" s="1144"/>
      <c r="C34" s="1100"/>
      <c r="D34" s="1101"/>
      <c r="E34" s="1100"/>
      <c r="F34" s="1100"/>
      <c r="G34" s="1100"/>
      <c r="H34" s="1100"/>
      <c r="I34" s="1101"/>
      <c r="J34" s="1100"/>
      <c r="K34" s="1100"/>
      <c r="L34" s="1100"/>
      <c r="M34" s="1100"/>
      <c r="N34" s="1101"/>
      <c r="O34" s="1100"/>
      <c r="P34" s="1100"/>
      <c r="Q34" s="1100"/>
      <c r="R34" s="1100"/>
      <c r="S34" s="1101"/>
      <c r="T34" s="1101"/>
      <c r="U34" s="1111"/>
      <c r="V34" s="1100"/>
      <c r="W34" s="1100"/>
      <c r="X34" s="1101"/>
      <c r="Y34" s="1100"/>
      <c r="Z34" s="1100"/>
      <c r="AA34" s="1100"/>
      <c r="AB34" s="1100"/>
    </row>
    <row r="35" spans="1:28" ht="15.75">
      <c r="A35" s="1100"/>
      <c r="B35" s="1145" t="s">
        <v>6217</v>
      </c>
      <c r="C35" s="1100"/>
      <c r="D35" s="1112">
        <f>+D29-D31-D32-D33</f>
        <v>70799.248999999996</v>
      </c>
      <c r="E35" s="1112">
        <f>+E29-E31-E32-E33</f>
        <v>32969</v>
      </c>
      <c r="F35" s="1111">
        <f t="shared" ref="F35:J35" si="7">+F29+F31+F32+F33</f>
        <v>4268.1640000000016</v>
      </c>
      <c r="G35" s="1111">
        <f t="shared" si="7"/>
        <v>-402.5570000000007</v>
      </c>
      <c r="H35" s="1111">
        <f t="shared" si="7"/>
        <v>685.2950000000028</v>
      </c>
      <c r="I35" s="1112">
        <f t="shared" si="7"/>
        <v>-12521.897999999994</v>
      </c>
      <c r="J35" s="1111">
        <f t="shared" si="7"/>
        <v>-4144.8709999999992</v>
      </c>
      <c r="K35" s="1112">
        <f>+K29+K31+K32+K33</f>
        <v>2080.2859999999982</v>
      </c>
      <c r="L35" s="1112">
        <f>+L29+L31+L32+L33</f>
        <v>2669.2379999999994</v>
      </c>
      <c r="M35" s="1112">
        <f>+M29+M31+M32+M33</f>
        <v>2384.3150000000005</v>
      </c>
      <c r="N35" s="1112">
        <f t="shared" ref="N35:T35" si="8">+N29+N31+N32+N33</f>
        <v>11943.659000000003</v>
      </c>
      <c r="O35" s="1112">
        <f>+O29+O31+O32+O33</f>
        <v>5332.4</v>
      </c>
      <c r="P35" s="1112">
        <f>+P29+P31+P32+P33</f>
        <v>280.54432063092827</v>
      </c>
      <c r="Q35" s="1112">
        <f>+Q29+Q31+Q32+Q33</f>
        <v>307.08625760614632</v>
      </c>
      <c r="R35" s="1112">
        <f ca="1">+R29+R31+R32+R33</f>
        <v>234.56023023357534</v>
      </c>
      <c r="S35" s="1112">
        <f t="shared" ca="1" si="8"/>
        <v>6071.4727876128472</v>
      </c>
      <c r="T35" s="1112">
        <f t="shared" ca="1" si="8"/>
        <v>3711.1914211040166</v>
      </c>
      <c r="U35" s="1111"/>
      <c r="V35" s="1100"/>
      <c r="W35" s="1100"/>
      <c r="X35" s="1112">
        <f>+X29+X31+X32+X33</f>
        <v>11303.669999999998</v>
      </c>
      <c r="Y35" s="1100"/>
      <c r="Z35" s="1100"/>
      <c r="AA35" s="1100"/>
      <c r="AB35" s="1100"/>
    </row>
    <row r="36" spans="1:28" ht="15.75">
      <c r="A36" s="1100"/>
      <c r="B36" s="1144"/>
      <c r="C36" s="1100"/>
      <c r="D36" s="1101"/>
      <c r="E36" s="1100"/>
      <c r="F36" s="1100"/>
      <c r="G36" s="1100"/>
      <c r="H36" s="1100"/>
      <c r="I36" s="1101"/>
      <c r="J36" s="1100"/>
      <c r="K36" s="1100"/>
      <c r="L36" s="1100"/>
      <c r="M36" s="1100"/>
      <c r="N36" s="1101"/>
      <c r="O36" s="1101"/>
      <c r="P36" s="1101"/>
      <c r="Q36" s="1101"/>
      <c r="R36" s="1101"/>
      <c r="S36" s="1101"/>
      <c r="T36" s="1101"/>
      <c r="U36" s="1111"/>
      <c r="V36" s="1100"/>
      <c r="W36" s="1100"/>
      <c r="X36" s="1101"/>
      <c r="Y36" s="1100"/>
      <c r="Z36" s="1100"/>
      <c r="AA36" s="1100"/>
      <c r="AB36" s="1100"/>
    </row>
    <row r="37" spans="1:28" ht="15.75">
      <c r="A37" s="1100"/>
      <c r="B37" s="1146" t="s">
        <v>6713</v>
      </c>
      <c r="C37" s="1129"/>
      <c r="D37" s="1130"/>
      <c r="E37" s="1129"/>
      <c r="F37" s="1129"/>
      <c r="G37" s="1129"/>
      <c r="H37" s="1129"/>
      <c r="I37" s="1130"/>
      <c r="J37" s="1129"/>
      <c r="K37" s="1129"/>
      <c r="L37" s="1129"/>
      <c r="M37" s="1129"/>
      <c r="N37" s="1130"/>
      <c r="O37" s="1130"/>
      <c r="P37" s="1130"/>
      <c r="Q37" s="1130"/>
      <c r="R37" s="1130"/>
      <c r="S37" s="1130"/>
      <c r="T37" s="1130"/>
      <c r="U37" s="1111"/>
      <c r="V37" s="1100"/>
      <c r="W37" s="1100"/>
      <c r="X37" s="1130"/>
      <c r="Y37" s="1100"/>
      <c r="Z37" s="1100"/>
      <c r="AA37" s="1100"/>
      <c r="AB37" s="1100"/>
    </row>
    <row r="38" spans="1:28" ht="15.75">
      <c r="A38" s="1100"/>
      <c r="B38" s="1144"/>
      <c r="C38" s="1100"/>
      <c r="D38" s="1101"/>
      <c r="E38" s="1100"/>
      <c r="F38" s="1100"/>
      <c r="G38" s="1100"/>
      <c r="H38" s="1100"/>
      <c r="I38" s="1101"/>
      <c r="J38" s="1100"/>
      <c r="K38" s="1100"/>
      <c r="L38" s="1100"/>
      <c r="M38" s="1100"/>
      <c r="N38" s="1101"/>
      <c r="O38" s="1101"/>
      <c r="P38" s="1101"/>
      <c r="Q38" s="1101"/>
      <c r="R38" s="1101"/>
      <c r="S38" s="1101"/>
      <c r="T38" s="1101"/>
      <c r="U38" s="1111"/>
      <c r="V38" s="1100"/>
      <c r="W38" s="1100"/>
      <c r="X38" s="1101"/>
      <c r="Y38" s="1100"/>
      <c r="Z38" s="1100"/>
      <c r="AA38" s="1100"/>
      <c r="AB38" s="1100"/>
    </row>
    <row r="39" spans="1:28" ht="15.75">
      <c r="A39" s="1100"/>
      <c r="B39" s="1145" t="s">
        <v>1038</v>
      </c>
      <c r="C39" s="1100"/>
      <c r="D39" s="1112">
        <v>4200</v>
      </c>
      <c r="E39" s="1111">
        <v>1005</v>
      </c>
      <c r="F39" s="1111">
        <v>1096.1999999999998</v>
      </c>
      <c r="G39" s="1111">
        <v>1151.5</v>
      </c>
      <c r="H39" s="1111">
        <v>1453.5</v>
      </c>
      <c r="I39" s="1112">
        <f>SUM(E39:H39)</f>
        <v>4706.2</v>
      </c>
      <c r="J39" s="1111">
        <v>1070.9000000000001</v>
      </c>
      <c r="K39" s="1127">
        <f>'VOD-quarts'!L3</f>
        <v>1219.8</v>
      </c>
      <c r="L39" s="1127">
        <f>'VOD-quarts'!M3</f>
        <v>1280.5</v>
      </c>
      <c r="M39" s="1127">
        <f>'VOD-quarts'!N3</f>
        <v>1356.8</v>
      </c>
      <c r="N39" s="1123">
        <f>VOD!G138</f>
        <v>4928</v>
      </c>
      <c r="O39" s="1127">
        <f>'VOD-quarts'!Q3</f>
        <v>0</v>
      </c>
      <c r="P39" s="1127">
        <f>'VOD-quarts'!R3</f>
        <v>0</v>
      </c>
      <c r="Q39" s="1127">
        <f>'VOD-quarts'!S3</f>
        <v>0</v>
      </c>
      <c r="R39" s="1127">
        <f>'VOD-quarts'!BA3</f>
        <v>-6.1484132701091987E-2</v>
      </c>
      <c r="S39" s="1123">
        <f>VOD!H138</f>
        <v>5263.8456001434461</v>
      </c>
      <c r="T39" s="1123">
        <f>VOD!I138</f>
        <v>5550.377021381556</v>
      </c>
      <c r="U39" s="1111"/>
      <c r="V39" s="1100"/>
      <c r="W39" s="1100"/>
      <c r="X39" s="1123">
        <f>VOD!F138</f>
        <v>4712</v>
      </c>
      <c r="Y39" s="1100"/>
      <c r="Z39" s="1100"/>
      <c r="AA39" s="1100"/>
      <c r="AB39" s="1100"/>
    </row>
    <row r="40" spans="1:28" ht="15.75">
      <c r="A40" s="1100"/>
      <c r="B40" s="1145" t="s">
        <v>57</v>
      </c>
      <c r="C40" s="1100"/>
      <c r="D40" s="1112">
        <v>1600</v>
      </c>
      <c r="E40" s="1111">
        <v>397</v>
      </c>
      <c r="F40" s="1111">
        <v>373.29999999999984</v>
      </c>
      <c r="G40" s="1111">
        <v>410.9</v>
      </c>
      <c r="H40" s="1111">
        <v>504.4</v>
      </c>
      <c r="I40" s="1112">
        <f>SUM(E40:H40)</f>
        <v>1685.6</v>
      </c>
      <c r="J40" s="1111">
        <v>361.00000000000011</v>
      </c>
      <c r="K40" s="1127">
        <f>'VOD-quarts'!L12</f>
        <v>373.9</v>
      </c>
      <c r="L40" s="1127">
        <f>'VOD-quarts'!M12</f>
        <v>412.2</v>
      </c>
      <c r="M40" s="1127">
        <f>'VOD-quarts'!N12</f>
        <v>468.1</v>
      </c>
      <c r="N40" s="1123">
        <f>VOD!H142</f>
        <v>1652.8936001434454</v>
      </c>
      <c r="O40" s="1127">
        <f>'VOD-quarts'!Q12</f>
        <v>0</v>
      </c>
      <c r="P40" s="1127">
        <f>'VOD-quarts'!R12</f>
        <v>0</v>
      </c>
      <c r="Q40" s="1127">
        <f>'VOD-quarts'!S12</f>
        <v>0</v>
      </c>
      <c r="R40" s="1127">
        <f>'VOD-quarts'!BA12</f>
        <v>-0.12159879902420723</v>
      </c>
      <c r="S40" s="1123">
        <f>VOD!I142</f>
        <v>1686.658381381555</v>
      </c>
      <c r="T40" s="1123">
        <f>VOD!J142</f>
        <v>1796.7404296389959</v>
      </c>
      <c r="U40" s="1111"/>
      <c r="V40" s="1100"/>
      <c r="W40" s="1100"/>
      <c r="X40" s="1123">
        <f>VOD!G142</f>
        <v>1615.2</v>
      </c>
      <c r="Y40" s="1100"/>
      <c r="Z40" s="1100"/>
      <c r="AA40" s="1100"/>
      <c r="AB40" s="1100"/>
    </row>
    <row r="41" spans="1:28" ht="15.75">
      <c r="A41" s="1100"/>
      <c r="B41" s="1145" t="s">
        <v>201</v>
      </c>
      <c r="C41" s="1100"/>
      <c r="D41" s="1112"/>
      <c r="E41" s="1111"/>
      <c r="F41" s="1111"/>
      <c r="G41" s="1111"/>
      <c r="H41" s="1111"/>
      <c r="I41" s="1112"/>
      <c r="J41" s="1111"/>
      <c r="K41" s="1127"/>
      <c r="L41" s="1127"/>
      <c r="M41" s="1127"/>
      <c r="N41" s="1123"/>
      <c r="O41" s="1123"/>
      <c r="P41" s="1123"/>
      <c r="Q41" s="1123"/>
      <c r="R41" s="1123"/>
      <c r="S41" s="1123"/>
      <c r="T41" s="1123"/>
      <c r="U41" s="1100"/>
      <c r="V41" s="1100"/>
      <c r="W41" s="1100"/>
      <c r="X41" s="1123"/>
      <c r="Y41" s="1100"/>
      <c r="Z41" s="1100"/>
      <c r="AA41" s="1100"/>
      <c r="AB41" s="1100"/>
    </row>
    <row r="42" spans="1:28" ht="15.75">
      <c r="A42" s="1100"/>
      <c r="B42" s="1144"/>
      <c r="C42" s="1100"/>
      <c r="D42" s="1101"/>
      <c r="E42" s="1100"/>
      <c r="F42" s="1100"/>
      <c r="G42" s="1100"/>
      <c r="H42" s="1100"/>
      <c r="I42" s="1101"/>
      <c r="J42" s="1100"/>
      <c r="K42" s="1100"/>
      <c r="L42" s="1100"/>
      <c r="M42" s="1100"/>
      <c r="N42" s="1101"/>
      <c r="O42" s="1101"/>
      <c r="P42" s="1101"/>
      <c r="Q42" s="1101"/>
      <c r="R42" s="1101"/>
      <c r="S42" s="1101"/>
      <c r="T42" s="1101"/>
      <c r="U42" s="1100"/>
      <c r="V42" s="1100"/>
      <c r="W42" s="1100"/>
      <c r="X42" s="1101"/>
      <c r="Y42" s="1100"/>
      <c r="Z42" s="1100"/>
      <c r="AA42" s="1100"/>
      <c r="AB42" s="1100"/>
    </row>
    <row r="43" spans="1:28" ht="15.75">
      <c r="A43" s="1100"/>
      <c r="B43" s="1145" t="s">
        <v>7057</v>
      </c>
      <c r="C43" s="1100"/>
      <c r="D43" s="1101"/>
      <c r="E43" s="1100"/>
      <c r="F43" s="1100"/>
      <c r="G43" s="1100"/>
      <c r="H43" s="1100"/>
      <c r="I43" s="1101"/>
      <c r="J43" s="1100"/>
      <c r="K43" s="1100"/>
      <c r="L43" s="1100"/>
      <c r="M43" s="1100"/>
      <c r="N43" s="1101"/>
      <c r="O43" s="1101"/>
      <c r="P43" s="1101"/>
      <c r="Q43" s="1101"/>
      <c r="R43" s="1101"/>
      <c r="S43" s="1101"/>
      <c r="T43" s="1101"/>
      <c r="U43" s="1100"/>
      <c r="V43" s="1100"/>
      <c r="W43" s="1100"/>
      <c r="X43" s="1101"/>
      <c r="Y43" s="1100"/>
      <c r="Z43" s="1100"/>
      <c r="AA43" s="1100"/>
      <c r="AB43" s="1100"/>
    </row>
    <row r="44" spans="1:28" ht="15.75">
      <c r="A44" s="1100"/>
      <c r="B44" s="1147" t="s">
        <v>6218</v>
      </c>
      <c r="C44" s="1124"/>
      <c r="D44" s="1101"/>
      <c r="E44" s="1100"/>
      <c r="F44" s="1100"/>
      <c r="G44" s="1100"/>
      <c r="H44" s="1100"/>
      <c r="I44" s="1101"/>
      <c r="J44" s="1100"/>
      <c r="K44" s="1100"/>
      <c r="L44" s="1100"/>
      <c r="M44" s="1100"/>
      <c r="N44" s="1101"/>
      <c r="O44" s="1101"/>
      <c r="P44" s="1101"/>
      <c r="Q44" s="1101"/>
      <c r="R44" s="1101"/>
      <c r="S44" s="1101"/>
      <c r="T44" s="1101"/>
      <c r="U44" s="1100"/>
      <c r="V44" s="1100"/>
      <c r="W44" s="1100"/>
      <c r="X44" s="1101"/>
      <c r="Y44" s="1100"/>
      <c r="Z44" s="1100"/>
      <c r="AA44" s="1100"/>
      <c r="AB44" s="1100"/>
    </row>
    <row r="45" spans="1:28" ht="15.75">
      <c r="A45" s="1100"/>
      <c r="B45" s="1148" t="s">
        <v>6219</v>
      </c>
      <c r="C45" s="1100"/>
      <c r="D45" s="1120">
        <v>4166.46</v>
      </c>
      <c r="E45" s="1111">
        <v>4255.5010000000002</v>
      </c>
      <c r="F45" s="1111">
        <v>4334.6480000000001</v>
      </c>
      <c r="G45" s="1111">
        <v>4405.6949999999997</v>
      </c>
      <c r="H45" s="1111">
        <v>4458.22</v>
      </c>
      <c r="I45" s="1120">
        <f>H45</f>
        <v>4458.22</v>
      </c>
      <c r="J45" s="1121">
        <v>4489.09</v>
      </c>
      <c r="K45" s="1131">
        <f>Interims!BP235</f>
        <v>4442.8999999999996</v>
      </c>
      <c r="L45" s="1131">
        <f>Interims!BQ235</f>
        <v>4059.39</v>
      </c>
      <c r="M45" s="1131">
        <f>Interims!BR235</f>
        <v>4059.4940000000001</v>
      </c>
      <c r="N45" s="1132">
        <f>'Cable cos'!R148</f>
        <v>4059.4940000000001</v>
      </c>
      <c r="O45" s="1131">
        <f>Interims!BT235</f>
        <v>4062.248</v>
      </c>
      <c r="P45" s="1131">
        <f>Interims!BU235</f>
        <v>4072.248</v>
      </c>
      <c r="Q45" s="1131">
        <f>Interims!BV235</f>
        <v>4087.248</v>
      </c>
      <c r="R45" s="1131">
        <f>Interims!BW235</f>
        <v>4105</v>
      </c>
      <c r="S45" s="1132">
        <f>'Cable cos'!S148</f>
        <v>4105</v>
      </c>
      <c r="T45" s="1132">
        <f>'Cable cos'!T148</f>
        <v>4063.95</v>
      </c>
      <c r="U45" s="1100"/>
      <c r="V45" s="1100"/>
      <c r="W45" s="1100"/>
      <c r="X45" s="1132">
        <f>M45</f>
        <v>4059.4940000000001</v>
      </c>
      <c r="Y45" s="1100"/>
      <c r="Z45" s="1100"/>
      <c r="AA45" s="1100"/>
      <c r="AB45" s="1100"/>
    </row>
    <row r="46" spans="1:28" ht="15.75">
      <c r="A46" s="1100"/>
      <c r="B46" s="1149" t="s">
        <v>6220</v>
      </c>
      <c r="C46" s="1133"/>
      <c r="D46" s="1134"/>
      <c r="E46" s="1135"/>
      <c r="F46" s="1135"/>
      <c r="G46" s="1135"/>
      <c r="H46" s="1135"/>
      <c r="I46" s="1134">
        <f>IF(I45="",0,(I45-D45))</f>
        <v>291.76000000000022</v>
      </c>
      <c r="J46" s="1135"/>
      <c r="K46" s="1135">
        <f>IF(K45="",0,(K45-E45))</f>
        <v>187.39899999999943</v>
      </c>
      <c r="L46" s="1135">
        <f>IF(L45="",0,(L45-F45))</f>
        <v>-275.25800000000027</v>
      </c>
      <c r="M46" s="1135">
        <f>IF(M45="",0,(M45-G45))</f>
        <v>-346.20099999999957</v>
      </c>
      <c r="N46" s="1134">
        <f>IF(N45="",0,(N45-X45))</f>
        <v>0</v>
      </c>
      <c r="O46" s="1135">
        <f>IF(O45="",0,(O45-I45))</f>
        <v>-395.97200000000021</v>
      </c>
      <c r="P46" s="1135">
        <f>IF(P45="",0,(P45-J45))</f>
        <v>-416.8420000000001</v>
      </c>
      <c r="Q46" s="1135">
        <f>IF(Q45="",0,(Q45-K45))</f>
        <v>-355.65199999999959</v>
      </c>
      <c r="R46" s="1135">
        <f>IF(R45="",0,(R45-L45))</f>
        <v>45.610000000000127</v>
      </c>
      <c r="S46" s="1134">
        <f>IF(S45="",0,(S45-N45))</f>
        <v>45.505999999999858</v>
      </c>
      <c r="T46" s="1134">
        <f>IF(T45="",0,(T45-S45))</f>
        <v>-41.050000000000182</v>
      </c>
      <c r="U46" s="1100"/>
      <c r="V46" s="1100"/>
      <c r="W46" s="1100"/>
      <c r="X46" s="1134">
        <f>IF(X45="",0,(X45-D45))</f>
        <v>-106.96599999999989</v>
      </c>
      <c r="Y46" s="1100"/>
      <c r="Z46" s="1100"/>
      <c r="AA46" s="1100"/>
      <c r="AB46" s="1100"/>
    </row>
    <row r="47" spans="1:28" ht="15.75">
      <c r="A47" s="1100"/>
      <c r="B47" s="1144"/>
      <c r="C47" s="1124"/>
      <c r="D47" s="1136"/>
      <c r="E47" s="1137"/>
      <c r="F47" s="1137"/>
      <c r="G47" s="1137"/>
      <c r="H47" s="1137"/>
      <c r="I47" s="1136"/>
      <c r="J47" s="1137"/>
      <c r="K47" s="1137"/>
      <c r="L47" s="1137"/>
      <c r="M47" s="1137"/>
      <c r="N47" s="1136"/>
      <c r="O47" s="1137"/>
      <c r="P47" s="1137"/>
      <c r="Q47" s="1137"/>
      <c r="R47" s="1137"/>
      <c r="S47" s="1136"/>
      <c r="T47" s="1136"/>
      <c r="U47" s="1100"/>
      <c r="V47" s="1100"/>
      <c r="W47" s="1100"/>
      <c r="X47" s="1136"/>
      <c r="Y47" s="1100"/>
      <c r="Z47" s="1100"/>
      <c r="AA47" s="1100"/>
      <c r="AB47" s="1100"/>
    </row>
    <row r="48" spans="1:28" ht="15.75">
      <c r="A48" s="1100"/>
      <c r="B48" s="1148" t="s">
        <v>6221</v>
      </c>
      <c r="C48" s="1100"/>
      <c r="D48" s="1120">
        <v>5649.1019999999999</v>
      </c>
      <c r="E48" s="1121">
        <v>5732.0259999999998</v>
      </c>
      <c r="F48" s="1121">
        <v>5809.59</v>
      </c>
      <c r="G48" s="1121">
        <v>5905.8239999999996</v>
      </c>
      <c r="H48" s="1121">
        <v>5984.1509999999998</v>
      </c>
      <c r="I48" s="1120">
        <f>H48</f>
        <v>5984.1509999999998</v>
      </c>
      <c r="J48" s="1111">
        <v>6068.8620000000001</v>
      </c>
      <c r="K48" s="1131">
        <f>Interims!BP236</f>
        <v>6031.0990000000002</v>
      </c>
      <c r="L48" s="1131">
        <f>Interims!BQ236</f>
        <v>5677.8360000000002</v>
      </c>
      <c r="M48" s="1131">
        <f>Interims!BR236</f>
        <v>5678.4309999999996</v>
      </c>
      <c r="N48" s="1132">
        <f>'Cable cos'!R147</f>
        <v>5678.4309999999996</v>
      </c>
      <c r="O48" s="1131">
        <f>Interims!BT236</f>
        <v>5689.143</v>
      </c>
      <c r="P48" s="1131">
        <f>Interims!BU236</f>
        <v>5709.143</v>
      </c>
      <c r="Q48" s="1131">
        <f>Interims!BV236</f>
        <v>5739.143</v>
      </c>
      <c r="R48" s="1131">
        <f>Interims!BW236</f>
        <v>5780.6295674905687</v>
      </c>
      <c r="S48" s="1132">
        <f>'Cable cos'!S147</f>
        <v>5780.6295674905687</v>
      </c>
      <c r="T48" s="1132">
        <f>'Cable cos'!T147</f>
        <v>5897.8162438395439</v>
      </c>
      <c r="U48" s="1100"/>
      <c r="V48" s="1100"/>
      <c r="W48" s="1100"/>
      <c r="X48" s="1132">
        <f>M48</f>
        <v>5678.4309999999996</v>
      </c>
      <c r="Y48" s="1100"/>
      <c r="Z48" s="1100"/>
      <c r="AA48" s="1100"/>
      <c r="AB48" s="1100"/>
    </row>
    <row r="49" spans="1:28" ht="15.75">
      <c r="A49" s="1100"/>
      <c r="B49" s="1149" t="s">
        <v>6222</v>
      </c>
      <c r="C49" s="1133"/>
      <c r="D49" s="1134"/>
      <c r="E49" s="1135"/>
      <c r="F49" s="1135"/>
      <c r="G49" s="1135"/>
      <c r="H49" s="1135"/>
      <c r="I49" s="1134">
        <f>IF(I48="",0,(I48-D48))</f>
        <v>335.04899999999998</v>
      </c>
      <c r="J49" s="1135"/>
      <c r="K49" s="1135">
        <f>IF(K48="",0,(K48-E48))</f>
        <v>299.07300000000032</v>
      </c>
      <c r="L49" s="1135">
        <f>IF(L48="",0,(L48-F48))</f>
        <v>-131.75399999999991</v>
      </c>
      <c r="M49" s="1135">
        <f>IF(M48="",0,(M48-G48))</f>
        <v>-227.39300000000003</v>
      </c>
      <c r="N49" s="1134">
        <f>IF(N48="",0,(N48-X48))</f>
        <v>0</v>
      </c>
      <c r="O49" s="1135">
        <f>IF(O48="",0,(O48-I48))</f>
        <v>-295.00799999999981</v>
      </c>
      <c r="P49" s="1135">
        <f>IF(P48="",0,(P48-J48))</f>
        <v>-359.71900000000005</v>
      </c>
      <c r="Q49" s="1135">
        <f>IF(Q48="",0,(Q48-K48))</f>
        <v>-291.95600000000013</v>
      </c>
      <c r="R49" s="1135">
        <f>IF(R48="",0,(R48-L48))</f>
        <v>102.79356749056842</v>
      </c>
      <c r="S49" s="1134">
        <f>IF(S48="",0,(S48-N48))</f>
        <v>102.19856749056908</v>
      </c>
      <c r="T49" s="1134">
        <f>IF(T48="",0,(T48-S48))</f>
        <v>117.1866763489752</v>
      </c>
      <c r="U49" s="1100"/>
      <c r="V49" s="1100"/>
      <c r="W49" s="1100"/>
      <c r="X49" s="1134">
        <f>IF(X48="",0,(X48-D48))</f>
        <v>29.328999999999724</v>
      </c>
      <c r="Y49" s="1100"/>
      <c r="Z49" s="1100"/>
      <c r="AA49" s="1100"/>
      <c r="AB49" s="1100"/>
    </row>
    <row r="50" spans="1:28" ht="15.75">
      <c r="A50" s="1100"/>
      <c r="B50" s="1144"/>
      <c r="C50" s="1124"/>
      <c r="D50" s="1136"/>
      <c r="E50" s="1137"/>
      <c r="F50" s="1137"/>
      <c r="G50" s="1137"/>
      <c r="H50" s="1137"/>
      <c r="I50" s="1136"/>
      <c r="J50" s="1137"/>
      <c r="K50" s="1137"/>
      <c r="L50" s="1137"/>
      <c r="M50" s="1137"/>
      <c r="N50" s="1136"/>
      <c r="O50" s="1137"/>
      <c r="P50" s="1137"/>
      <c r="Q50" s="1137"/>
      <c r="R50" s="1137"/>
      <c r="S50" s="1136"/>
      <c r="T50" s="1136"/>
      <c r="U50" s="1100"/>
      <c r="V50" s="1100"/>
      <c r="W50" s="1100"/>
      <c r="X50" s="1136"/>
      <c r="Y50" s="1100"/>
      <c r="Z50" s="1100"/>
      <c r="AA50" s="1100"/>
      <c r="AB50" s="1100"/>
    </row>
    <row r="51" spans="1:28" ht="15.75">
      <c r="A51" s="1100"/>
      <c r="B51" s="1148" t="s">
        <v>6223</v>
      </c>
      <c r="C51" s="1100"/>
      <c r="D51" s="1120">
        <v>4617.2650000000003</v>
      </c>
      <c r="E51" s="1121">
        <v>4764.5919999999996</v>
      </c>
      <c r="F51" s="1121">
        <v>4911.7269999999999</v>
      </c>
      <c r="G51" s="1121">
        <v>5064.0749999999998</v>
      </c>
      <c r="H51" s="1121">
        <v>5233.7240000000002</v>
      </c>
      <c r="I51" s="1120">
        <f>H51</f>
        <v>5233.7240000000002</v>
      </c>
      <c r="J51" s="1121">
        <v>5408.56</v>
      </c>
      <c r="K51" s="1131">
        <f>Interims!BP238</f>
        <v>5466.0339999999997</v>
      </c>
      <c r="L51" s="1131">
        <f>Interims!BQ238</f>
        <v>5350.7569999999996</v>
      </c>
      <c r="M51" s="1131">
        <f>Interims!BR238</f>
        <v>5351.1450000000004</v>
      </c>
      <c r="N51" s="1132">
        <f>'Cable cos'!R146</f>
        <v>5351.1450000000004</v>
      </c>
      <c r="O51" s="1131">
        <f>Interims!BT238</f>
        <v>5355.45</v>
      </c>
      <c r="P51" s="1131">
        <f>Interims!BU238</f>
        <v>5360.45</v>
      </c>
      <c r="Q51" s="1131">
        <f>Interims!BV238</f>
        <v>5367.45</v>
      </c>
      <c r="R51" s="1131">
        <f>Interims!BW238</f>
        <v>5375.6501714999995</v>
      </c>
      <c r="S51" s="1132">
        <f>'Cable cos'!S146</f>
        <v>5375.6501714999995</v>
      </c>
      <c r="T51" s="1132">
        <f>'Cable cos'!T146</f>
        <v>5556.8220031799992</v>
      </c>
      <c r="U51" s="1100"/>
      <c r="V51" s="1100"/>
      <c r="W51" s="1100"/>
      <c r="X51" s="1132">
        <f>M51</f>
        <v>5351.1450000000004</v>
      </c>
      <c r="Y51" s="1100"/>
      <c r="Z51" s="1100"/>
      <c r="AA51" s="1100"/>
      <c r="AB51" s="1100"/>
    </row>
    <row r="52" spans="1:28" ht="15.75">
      <c r="A52" s="1100"/>
      <c r="B52" s="1149" t="s">
        <v>6224</v>
      </c>
      <c r="C52" s="1133"/>
      <c r="D52" s="1134"/>
      <c r="E52" s="1135"/>
      <c r="F52" s="1135"/>
      <c r="G52" s="1135"/>
      <c r="H52" s="1135"/>
      <c r="I52" s="1134">
        <f>IF(I51="",0,(I51-D51))</f>
        <v>616.45899999999983</v>
      </c>
      <c r="J52" s="1135"/>
      <c r="K52" s="1135">
        <f>IF(K51="",0,(K51-E51))</f>
        <v>701.44200000000001</v>
      </c>
      <c r="L52" s="1135">
        <f>IF(L51="",0,(L51-F51))</f>
        <v>439.02999999999975</v>
      </c>
      <c r="M52" s="1135">
        <f>IF(M51="",0,(M51-G51))</f>
        <v>287.07000000000062</v>
      </c>
      <c r="N52" s="1134">
        <f>IF(N51="",0,(N51-X51))</f>
        <v>0</v>
      </c>
      <c r="O52" s="1135">
        <f>IF(O51="",0,(O51-I51))</f>
        <v>121.72599999999966</v>
      </c>
      <c r="P52" s="1135">
        <f>IF(P51="",0,(P51-J51))</f>
        <v>-48.110000000000582</v>
      </c>
      <c r="Q52" s="1135">
        <f>IF(Q51="",0,(Q51-K51))</f>
        <v>-98.583999999999833</v>
      </c>
      <c r="R52" s="1135">
        <f>IF(R51="",0,(R51-L51))</f>
        <v>24.89317149999988</v>
      </c>
      <c r="S52" s="1134">
        <f>IF(S51="",0,(S51-N51))</f>
        <v>24.505171499999051</v>
      </c>
      <c r="T52" s="1134">
        <f>IF(T51="",0,(T51-S51))</f>
        <v>181.17183167999974</v>
      </c>
      <c r="U52" s="1100"/>
      <c r="V52" s="1100"/>
      <c r="W52" s="1100"/>
      <c r="X52" s="1134">
        <f>IF(X51="",0,(X51-D51))</f>
        <v>733.88000000000011</v>
      </c>
      <c r="Y52" s="1100"/>
      <c r="Z52" s="1100"/>
      <c r="AA52" s="1100"/>
      <c r="AB52" s="1100"/>
    </row>
    <row r="53" spans="1:28" ht="15.75">
      <c r="A53" s="1100"/>
      <c r="B53" s="1144"/>
      <c r="C53" s="1124"/>
      <c r="D53" s="1136"/>
      <c r="E53" s="1137"/>
      <c r="F53" s="1137"/>
      <c r="G53" s="1137"/>
      <c r="H53" s="1137"/>
      <c r="I53" s="1136"/>
      <c r="J53" s="1137"/>
      <c r="K53" s="1137"/>
      <c r="L53" s="1137"/>
      <c r="M53" s="1137"/>
      <c r="N53" s="1136"/>
      <c r="O53" s="1137"/>
      <c r="P53" s="1137"/>
      <c r="Q53" s="1137"/>
      <c r="R53" s="1137"/>
      <c r="S53" s="1136"/>
      <c r="T53" s="1136"/>
      <c r="U53" s="1100"/>
      <c r="V53" s="1100"/>
      <c r="W53" s="1100"/>
      <c r="X53" s="1136"/>
      <c r="Y53" s="1100"/>
      <c r="Z53" s="1100"/>
      <c r="AA53" s="1100"/>
      <c r="AB53" s="1100"/>
    </row>
    <row r="54" spans="1:28" ht="15.75">
      <c r="A54" s="1100"/>
      <c r="B54" s="1148" t="s">
        <v>6225</v>
      </c>
      <c r="C54" s="1100"/>
      <c r="D54" s="1120">
        <v>156.05099999999999</v>
      </c>
      <c r="E54" s="1121">
        <v>172.97800000000001</v>
      </c>
      <c r="F54" s="1121">
        <v>194.35400000000001</v>
      </c>
      <c r="G54" s="1121">
        <v>213.52699999999999</v>
      </c>
      <c r="H54" s="1121">
        <v>240.20699999999999</v>
      </c>
      <c r="I54" s="1120">
        <f>H54</f>
        <v>240.20699999999999</v>
      </c>
      <c r="J54" s="1121">
        <v>264.31299999999999</v>
      </c>
      <c r="K54" s="1131">
        <f>Interims!BP237</f>
        <v>285.39800000000002</v>
      </c>
      <c r="L54" s="1131">
        <f>Interims!BQ237</f>
        <v>299.29199999999997</v>
      </c>
      <c r="M54" s="1131">
        <f>Interims!BR237</f>
        <v>307.80700000000002</v>
      </c>
      <c r="N54" s="1132"/>
      <c r="O54" s="1131">
        <f>Interims!BT237</f>
        <v>317.92399999999998</v>
      </c>
      <c r="P54" s="1131">
        <f>Interims!BU237</f>
        <v>327.92399999999998</v>
      </c>
      <c r="Q54" s="1131">
        <f>Interims!BV237</f>
        <v>337.92399999999998</v>
      </c>
      <c r="R54" s="1131">
        <f>Interims!BW237</f>
        <v>349.31373624800636</v>
      </c>
      <c r="S54" s="1132"/>
      <c r="T54" s="1132"/>
      <c r="U54" s="1100"/>
      <c r="V54" s="1100"/>
      <c r="W54" s="1100"/>
      <c r="X54" s="1132">
        <f>M54</f>
        <v>307.80700000000002</v>
      </c>
      <c r="Y54" s="1100"/>
      <c r="Z54" s="1100"/>
      <c r="AA54" s="1100"/>
      <c r="AB54" s="1100"/>
    </row>
    <row r="55" spans="1:28" ht="15.75">
      <c r="A55" s="1100"/>
      <c r="B55" s="1149" t="s">
        <v>6226</v>
      </c>
      <c r="C55" s="1133"/>
      <c r="D55" s="1134"/>
      <c r="E55" s="1135"/>
      <c r="F55" s="1135"/>
      <c r="G55" s="1135"/>
      <c r="H55" s="1135"/>
      <c r="I55" s="1134">
        <f>IF(I54="",0,(I54-D54))</f>
        <v>84.156000000000006</v>
      </c>
      <c r="J55" s="1135"/>
      <c r="K55" s="1135">
        <f>IF(K54="",0,(K54-E54))</f>
        <v>112.42000000000002</v>
      </c>
      <c r="L55" s="1135">
        <f>IF(L54="",0,(L54-F54))</f>
        <v>104.93799999999996</v>
      </c>
      <c r="M55" s="1135">
        <f>IF(M54="",0,(M54-G54))</f>
        <v>94.28000000000003</v>
      </c>
      <c r="N55" s="1134">
        <f>IF(N54="",0,(N54-X54))</f>
        <v>0</v>
      </c>
      <c r="O55" s="1135">
        <f>IF(O54="",0,(O54-I54))</f>
        <v>77.716999999999985</v>
      </c>
      <c r="P55" s="1135">
        <f>IF(P54="",0,(P54-J54))</f>
        <v>63.61099999999999</v>
      </c>
      <c r="Q55" s="1135">
        <f>IF(Q54="",0,(Q54-K54))</f>
        <v>52.525999999999954</v>
      </c>
      <c r="R55" s="1135">
        <f>IF(R54="",0,(R54-L54))</f>
        <v>50.021736248006391</v>
      </c>
      <c r="S55" s="1134">
        <f>IF(S54="",0,(S54-N54))</f>
        <v>0</v>
      </c>
      <c r="T55" s="1134">
        <f>IF(T54="",0,(T54-S54))</f>
        <v>0</v>
      </c>
      <c r="U55" s="1100"/>
      <c r="V55" s="1100"/>
      <c r="W55" s="1100"/>
      <c r="X55" s="1134">
        <f>IF(X54="",0,(X54-D54))</f>
        <v>151.75600000000003</v>
      </c>
      <c r="Y55" s="1100"/>
      <c r="Z55" s="1100"/>
      <c r="AA55" s="1100"/>
      <c r="AB55" s="1100"/>
    </row>
    <row r="56" spans="1:28" ht="15.75">
      <c r="A56" s="1100"/>
      <c r="B56" s="1144"/>
      <c r="C56" s="1100"/>
      <c r="D56" s="1101"/>
      <c r="E56" s="1100"/>
      <c r="F56" s="1100"/>
      <c r="G56" s="1100"/>
      <c r="H56" s="1100"/>
      <c r="I56" s="1101"/>
      <c r="J56" s="1100"/>
      <c r="K56" s="1100"/>
      <c r="L56" s="1100"/>
      <c r="M56" s="1100"/>
      <c r="N56" s="1101"/>
      <c r="O56" s="1100"/>
      <c r="P56" s="1100"/>
      <c r="Q56" s="1100"/>
      <c r="R56" s="1100"/>
      <c r="S56" s="1101"/>
      <c r="T56" s="1101"/>
      <c r="U56" s="1100"/>
      <c r="V56" s="1100"/>
      <c r="W56" s="1100"/>
      <c r="X56" s="1101"/>
      <c r="Y56" s="1100"/>
      <c r="Z56" s="1100"/>
      <c r="AA56" s="1100"/>
      <c r="AB56" s="1100"/>
    </row>
    <row r="57" spans="1:28" ht="15.75">
      <c r="A57" s="1100"/>
      <c r="B57" s="1147" t="s">
        <v>6227</v>
      </c>
      <c r="C57" s="1124"/>
      <c r="D57" s="1101"/>
      <c r="E57" s="1100"/>
      <c r="F57" s="1100"/>
      <c r="G57" s="1100"/>
      <c r="H57" s="1100"/>
      <c r="I57" s="1101"/>
      <c r="J57" s="1100"/>
      <c r="K57" s="1100"/>
      <c r="L57" s="1100"/>
      <c r="M57" s="1100"/>
      <c r="N57" s="1101"/>
      <c r="O57" s="1100"/>
      <c r="P57" s="1100"/>
      <c r="Q57" s="1100"/>
      <c r="R57" s="1100"/>
      <c r="S57" s="1101"/>
      <c r="T57" s="1101"/>
      <c r="U57" s="1100"/>
      <c r="V57" s="1100"/>
      <c r="W57" s="1100"/>
      <c r="X57" s="1101"/>
      <c r="Y57" s="1100"/>
      <c r="Z57" s="1100"/>
      <c r="AA57" s="1100"/>
      <c r="AB57" s="1100"/>
    </row>
    <row r="58" spans="1:28" ht="15.75">
      <c r="A58" s="1100"/>
      <c r="B58" s="1148" t="s">
        <v>6228</v>
      </c>
      <c r="C58" s="1100"/>
      <c r="D58" s="1120">
        <v>7408.0749999999998</v>
      </c>
      <c r="E58" s="1121">
        <v>7487.3710000000001</v>
      </c>
      <c r="F58" s="1121">
        <v>7019.3689999999997</v>
      </c>
      <c r="G58" s="1121">
        <v>6638.6019999999999</v>
      </c>
      <c r="H58" s="1121">
        <v>6257.0590000000002</v>
      </c>
      <c r="I58" s="1120">
        <f>H58</f>
        <v>6257.0590000000002</v>
      </c>
      <c r="J58" s="1121">
        <v>6073.3220000000001</v>
      </c>
      <c r="K58" s="1131"/>
      <c r="L58" s="1131"/>
      <c r="M58" s="1131"/>
      <c r="N58" s="1132">
        <f>'SKY Mex'!S16+170</f>
        <v>6257.0590000000002</v>
      </c>
      <c r="O58" s="1131"/>
      <c r="P58" s="1131"/>
      <c r="Q58" s="1131"/>
      <c r="R58" s="1131"/>
      <c r="S58" s="1132">
        <f>'SKY Mex'!T16+170</f>
        <v>5567.4260000000004</v>
      </c>
      <c r="T58" s="1132">
        <f>'SKY Mex'!U16+170</f>
        <v>5322.5210774008401</v>
      </c>
      <c r="U58" s="1100"/>
      <c r="V58" s="1100"/>
      <c r="W58" s="1100"/>
      <c r="X58" s="1132">
        <f>'SKY Mex'!R16+170</f>
        <v>7408</v>
      </c>
      <c r="Y58" s="1100"/>
      <c r="Z58" s="1100"/>
      <c r="AA58" s="1100"/>
      <c r="AB58" s="1100"/>
    </row>
    <row r="59" spans="1:28" ht="15.75">
      <c r="A59" s="1100"/>
      <c r="B59" s="1149" t="s">
        <v>6229</v>
      </c>
      <c r="C59" s="1133"/>
      <c r="D59" s="1134"/>
      <c r="E59" s="1135"/>
      <c r="F59" s="1135"/>
      <c r="G59" s="1135"/>
      <c r="H59" s="1135"/>
      <c r="I59" s="1134">
        <f>IF(I58="",0,(I58-D58))</f>
        <v>-1151.0159999999996</v>
      </c>
      <c r="J59" s="1135"/>
      <c r="K59" s="1135">
        <f>IF(K58="",0,(K58-E58))</f>
        <v>0</v>
      </c>
      <c r="L59" s="1135">
        <f>IF(L58="",0,(L58-F58))</f>
        <v>0</v>
      </c>
      <c r="M59" s="1135">
        <f>IF(M58="",0,(M58-G58))</f>
        <v>0</v>
      </c>
      <c r="N59" s="1134">
        <f>IF(N58="",0,(N58-X58))</f>
        <v>-1150.9409999999998</v>
      </c>
      <c r="O59" s="1135">
        <f>IF(O58="",0,(O58-I58))</f>
        <v>0</v>
      </c>
      <c r="P59" s="1135">
        <f>IF(P58="",0,(P58-J58))</f>
        <v>0</v>
      </c>
      <c r="Q59" s="1135">
        <f>IF(Q58="",0,(Q58-K58))</f>
        <v>0</v>
      </c>
      <c r="R59" s="1135">
        <f>IF(R58="",0,(R58-L58))</f>
        <v>0</v>
      </c>
      <c r="S59" s="1134">
        <f>IF(S58="",0,(S58-N58))</f>
        <v>-689.63299999999981</v>
      </c>
      <c r="T59" s="1134">
        <f>IF(T58="",0,(T58-S58))</f>
        <v>-244.90492259916027</v>
      </c>
      <c r="U59" s="1100"/>
      <c r="V59" s="1100"/>
      <c r="W59" s="1100"/>
      <c r="X59" s="1134">
        <f>IF(X58="",0,(X58-D58))</f>
        <v>-7.4999999999818101E-2</v>
      </c>
      <c r="Y59" s="1100"/>
      <c r="Z59" s="1100"/>
      <c r="AA59" s="1100"/>
      <c r="AB59" s="1100"/>
    </row>
    <row r="60" spans="1:28" ht="15.75">
      <c r="A60" s="1100"/>
      <c r="B60" s="1144"/>
      <c r="C60" s="1124"/>
      <c r="D60" s="1101"/>
      <c r="E60" s="1100"/>
      <c r="F60" s="1100"/>
      <c r="G60" s="1100"/>
      <c r="H60" s="1100"/>
      <c r="I60" s="1101"/>
      <c r="J60" s="1100"/>
      <c r="K60" s="1100"/>
      <c r="L60" s="1100"/>
      <c r="M60" s="1100"/>
      <c r="N60" s="1101"/>
      <c r="O60" s="1100"/>
      <c r="P60" s="1100"/>
      <c r="Q60" s="1100"/>
      <c r="R60" s="1100"/>
      <c r="S60" s="1101"/>
      <c r="T60" s="1101"/>
      <c r="U60" s="1100"/>
      <c r="V60" s="1100"/>
      <c r="W60" s="1100"/>
      <c r="X60" s="1101"/>
      <c r="Y60" s="1100"/>
      <c r="Z60" s="1100"/>
      <c r="AA60" s="1100"/>
      <c r="AB60" s="1100"/>
    </row>
    <row r="61" spans="1:28" ht="15.75">
      <c r="A61" s="1100"/>
      <c r="B61" s="1148" t="s">
        <v>6230</v>
      </c>
      <c r="C61" s="1100"/>
      <c r="D61" s="1120">
        <v>727.226</v>
      </c>
      <c r="E61" s="1121">
        <v>719.22299999999996</v>
      </c>
      <c r="F61" s="1121">
        <v>692.76700000000005</v>
      </c>
      <c r="G61" s="1121">
        <v>667.01300000000003</v>
      </c>
      <c r="H61" s="1121">
        <v>640.29399999999998</v>
      </c>
      <c r="I61" s="1120">
        <f>H61</f>
        <v>640.29399999999998</v>
      </c>
      <c r="J61" s="1121">
        <v>608.12199999999996</v>
      </c>
      <c r="K61" s="1131"/>
      <c r="L61" s="1131"/>
      <c r="M61" s="1131"/>
      <c r="N61" s="1132">
        <f>'SKY Mex'!T72</f>
        <v>515.08900000000006</v>
      </c>
      <c r="O61" s="1131"/>
      <c r="P61" s="1131"/>
      <c r="Q61" s="1131"/>
      <c r="R61" s="1131"/>
      <c r="S61" s="1132">
        <f>'SKY Mex'!U72</f>
        <v>490.08900000000006</v>
      </c>
      <c r="T61" s="1132">
        <f>'SKY Mex'!V72</f>
        <v>465.08900000000006</v>
      </c>
      <c r="U61" s="1100"/>
      <c r="V61" s="1100"/>
      <c r="W61" s="1100"/>
      <c r="X61" s="1132">
        <f>'SKY Mex'!S72</f>
        <v>640.29399999999998</v>
      </c>
      <c r="Y61" s="1100"/>
      <c r="Z61" s="1100"/>
      <c r="AA61" s="1100"/>
      <c r="AB61" s="1100"/>
    </row>
    <row r="62" spans="1:28" ht="15.75">
      <c r="A62" s="1100"/>
      <c r="B62" s="1149" t="s">
        <v>6231</v>
      </c>
      <c r="C62" s="1133"/>
      <c r="D62" s="1134"/>
      <c r="E62" s="1135"/>
      <c r="F62" s="1135"/>
      <c r="G62" s="1135"/>
      <c r="H62" s="1135"/>
      <c r="I62" s="1134">
        <f>IF(I61="",0,(I61-D61))</f>
        <v>-86.932000000000016</v>
      </c>
      <c r="J62" s="1135"/>
      <c r="K62" s="1135">
        <f>IF(K61="",0,(K61-E61))</f>
        <v>0</v>
      </c>
      <c r="L62" s="1135">
        <f>IF(L61="",0,(L61-F61))</f>
        <v>0</v>
      </c>
      <c r="M62" s="1135">
        <f>IF(M61="",0,(M61-G61))</f>
        <v>0</v>
      </c>
      <c r="N62" s="1134">
        <f>IF(N61="",0,(N61-X61))</f>
        <v>-125.20499999999993</v>
      </c>
      <c r="O62" s="1135">
        <f>IF(O61="",0,(O61-I61))</f>
        <v>0</v>
      </c>
      <c r="P62" s="1135">
        <f>IF(P61="",0,(P61-J61))</f>
        <v>0</v>
      </c>
      <c r="Q62" s="1135">
        <f>IF(Q61="",0,(Q61-K61))</f>
        <v>0</v>
      </c>
      <c r="R62" s="1135">
        <f>IF(R61="",0,(R61-L61))</f>
        <v>0</v>
      </c>
      <c r="S62" s="1134">
        <f>IF(S61="",0,(S61-N61))</f>
        <v>-25</v>
      </c>
      <c r="T62" s="1134">
        <f>IF(T61="",0,(T61-S61))</f>
        <v>-25</v>
      </c>
      <c r="U62" s="1100"/>
      <c r="V62" s="1100"/>
      <c r="W62" s="1100"/>
      <c r="X62" s="1134">
        <f>IF(X61="",0,(X61-D61))</f>
        <v>-86.932000000000016</v>
      </c>
      <c r="Y62" s="1100"/>
      <c r="Z62" s="1100"/>
      <c r="AA62" s="1100"/>
      <c r="AB62" s="1100"/>
    </row>
    <row r="63" spans="1:28" ht="15.75">
      <c r="A63" s="1100"/>
      <c r="B63" s="1144"/>
      <c r="C63" s="1124"/>
      <c r="D63" s="1101"/>
      <c r="E63" s="1100"/>
      <c r="F63" s="1100"/>
      <c r="G63" s="1100"/>
      <c r="H63" s="1100"/>
      <c r="I63" s="1101"/>
      <c r="J63" s="1100"/>
      <c r="K63" s="1100"/>
      <c r="L63" s="1100"/>
      <c r="M63" s="1100"/>
      <c r="N63" s="1101"/>
      <c r="O63" s="1100"/>
      <c r="P63" s="1100"/>
      <c r="Q63" s="1100"/>
      <c r="R63" s="1100"/>
      <c r="S63" s="1101"/>
      <c r="T63" s="1101"/>
      <c r="U63" s="1100"/>
      <c r="V63" s="1100"/>
      <c r="W63" s="1100"/>
      <c r="X63" s="1101"/>
      <c r="Y63" s="1100"/>
      <c r="Z63" s="1100"/>
      <c r="AA63" s="1100"/>
      <c r="AB63" s="1100"/>
    </row>
    <row r="64" spans="1:28" ht="15.75">
      <c r="A64" s="1100"/>
      <c r="B64" s="1148" t="s">
        <v>6232</v>
      </c>
      <c r="C64" s="1100"/>
      <c r="D64" s="1120">
        <v>0.60099999999999998</v>
      </c>
      <c r="E64" s="1121">
        <v>0.55900000000000005</v>
      </c>
      <c r="F64" s="1121">
        <v>0.53100000000000003</v>
      </c>
      <c r="G64" s="1121">
        <v>0.48899999999999999</v>
      </c>
      <c r="H64" s="1121">
        <v>0.45300000000000001</v>
      </c>
      <c r="I64" s="1120">
        <f>H64</f>
        <v>0.45300000000000001</v>
      </c>
      <c r="J64" s="1121">
        <v>0.42699999999999999</v>
      </c>
      <c r="K64" s="1131"/>
      <c r="L64" s="1131"/>
      <c r="M64" s="1131"/>
      <c r="N64" s="1132"/>
      <c r="O64" s="1131"/>
      <c r="P64" s="1131"/>
      <c r="Q64" s="1131"/>
      <c r="R64" s="1131"/>
      <c r="S64" s="1132"/>
      <c r="T64" s="1132"/>
      <c r="U64" s="1100"/>
      <c r="V64" s="1100"/>
      <c r="W64" s="1100"/>
      <c r="X64" s="1132"/>
      <c r="Y64" s="1100"/>
      <c r="Z64" s="1100"/>
      <c r="AA64" s="1100"/>
      <c r="AB64" s="1100"/>
    </row>
    <row r="65" spans="1:28" ht="15.75">
      <c r="A65" s="1100"/>
      <c r="B65" s="1149" t="s">
        <v>6233</v>
      </c>
      <c r="C65" s="1133"/>
      <c r="D65" s="1134"/>
      <c r="E65" s="1135"/>
      <c r="F65" s="1135"/>
      <c r="G65" s="1135"/>
      <c r="H65" s="1135"/>
      <c r="I65" s="1134">
        <f>IF(I64="",0,(I64-D64))</f>
        <v>-0.14799999999999996</v>
      </c>
      <c r="J65" s="1135"/>
      <c r="K65" s="1135">
        <f>IF(K64="",0,(K64-E64))</f>
        <v>0</v>
      </c>
      <c r="L65" s="1135">
        <f>IF(L64="",0,(L64-F64))</f>
        <v>0</v>
      </c>
      <c r="M65" s="1135">
        <f>IF(M64="",0,(M64-G64))</f>
        <v>0</v>
      </c>
      <c r="N65" s="1134">
        <f>IF(N64="",0,(N64-X64))</f>
        <v>0</v>
      </c>
      <c r="O65" s="1135">
        <f>IF(O64="",0,(O64-I64))</f>
        <v>0</v>
      </c>
      <c r="P65" s="1135">
        <f>IF(P64="",0,(P64-J64))</f>
        <v>0</v>
      </c>
      <c r="Q65" s="1135">
        <f>IF(Q64="",0,(Q64-K64))</f>
        <v>0</v>
      </c>
      <c r="R65" s="1135">
        <f>IF(R64="",0,(R64-L64))</f>
        <v>0</v>
      </c>
      <c r="S65" s="1134">
        <f>IF(S64="",0,(S64-N64))</f>
        <v>0</v>
      </c>
      <c r="T65" s="1134">
        <f>IF(T64="",0,(T64-S64))</f>
        <v>0</v>
      </c>
      <c r="U65" s="1100"/>
      <c r="V65" s="1100"/>
      <c r="W65" s="1100"/>
      <c r="X65" s="1134">
        <f>IF(X64="",0,(X64-D64))</f>
        <v>0</v>
      </c>
      <c r="Y65" s="1100"/>
      <c r="Z65" s="1100"/>
      <c r="AA65" s="1100"/>
      <c r="AB65" s="1100"/>
    </row>
    <row r="66" spans="1:28" ht="15.75">
      <c r="A66" s="1100"/>
      <c r="B66" s="1144"/>
      <c r="C66" s="1124"/>
      <c r="D66" s="1101"/>
      <c r="E66" s="1100"/>
      <c r="F66" s="1100"/>
      <c r="G66" s="1100"/>
      <c r="H66" s="1100"/>
      <c r="I66" s="1101"/>
      <c r="J66" s="1100"/>
      <c r="K66" s="1100"/>
      <c r="L66" s="1100"/>
      <c r="M66" s="1100"/>
      <c r="N66" s="1101"/>
      <c r="O66" s="1100"/>
      <c r="P66" s="1100"/>
      <c r="Q66" s="1100"/>
      <c r="R66" s="1100"/>
      <c r="S66" s="1101"/>
      <c r="T66" s="1101"/>
      <c r="U66" s="1100"/>
      <c r="V66" s="1100"/>
      <c r="W66" s="1100"/>
      <c r="X66" s="1101"/>
      <c r="Y66" s="1100"/>
      <c r="Z66" s="1100"/>
      <c r="AA66" s="1100"/>
      <c r="AB66" s="1100"/>
    </row>
    <row r="67" spans="1:28" ht="15.75">
      <c r="A67" s="1100"/>
      <c r="B67" s="1148" t="s">
        <v>6234</v>
      </c>
      <c r="C67" s="1100"/>
      <c r="D67" s="1120">
        <v>30.265999999999998</v>
      </c>
      <c r="E67" s="1100">
        <v>26.92</v>
      </c>
      <c r="F67" s="1121">
        <v>22.331</v>
      </c>
      <c r="G67" s="1121">
        <v>17.704999999999998</v>
      </c>
      <c r="H67" s="1121">
        <v>15.602</v>
      </c>
      <c r="I67" s="1120">
        <f>H67</f>
        <v>15.602</v>
      </c>
      <c r="J67" s="1121">
        <v>16.381</v>
      </c>
      <c r="K67" s="1131"/>
      <c r="L67" s="1131"/>
      <c r="M67" s="1131"/>
      <c r="N67" s="1132"/>
      <c r="O67" s="1131"/>
      <c r="P67" s="1131"/>
      <c r="Q67" s="1131"/>
      <c r="R67" s="1131"/>
      <c r="S67" s="1132"/>
      <c r="T67" s="1132"/>
      <c r="U67" s="1100"/>
      <c r="V67" s="1100"/>
      <c r="W67" s="1100"/>
      <c r="X67" s="1132"/>
      <c r="Y67" s="1100"/>
      <c r="Z67" s="1100"/>
      <c r="AA67" s="1100"/>
      <c r="AB67" s="1100"/>
    </row>
    <row r="68" spans="1:28" ht="15.75">
      <c r="A68" s="1100"/>
      <c r="B68" s="1149" t="s">
        <v>6235</v>
      </c>
      <c r="C68" s="1133"/>
      <c r="D68" s="1134"/>
      <c r="E68" s="1135"/>
      <c r="F68" s="1135"/>
      <c r="G68" s="1135"/>
      <c r="H68" s="1135"/>
      <c r="I68" s="1134">
        <f>IF(I67="",0,(I67-D67))</f>
        <v>-14.663999999999998</v>
      </c>
      <c r="J68" s="1135"/>
      <c r="K68" s="1135">
        <f>IF(K67="",0,(K67-E67))</f>
        <v>0</v>
      </c>
      <c r="L68" s="1135">
        <f>IF(L67="",0,(L67-F67))</f>
        <v>0</v>
      </c>
      <c r="M68" s="1135">
        <f>IF(M67="",0,(M67-G67))</f>
        <v>0</v>
      </c>
      <c r="N68" s="1134">
        <f>IF(N67="",0,(N67-X67))</f>
        <v>0</v>
      </c>
      <c r="O68" s="1135">
        <f>IF(O67="",0,(O67-I67))</f>
        <v>0</v>
      </c>
      <c r="P68" s="1135">
        <f>IF(P67="",0,(P67-J67))</f>
        <v>0</v>
      </c>
      <c r="Q68" s="1135">
        <f>IF(Q67="",0,(Q67-K67))</f>
        <v>0</v>
      </c>
      <c r="R68" s="1135">
        <f>IF(R67="",0,(R67-L67))</f>
        <v>0</v>
      </c>
      <c r="S68" s="1134">
        <f>IF(S67="",0,(S67-N67))</f>
        <v>0</v>
      </c>
      <c r="T68" s="1134">
        <f>IF(T67="",0,(T67-S67))</f>
        <v>0</v>
      </c>
      <c r="U68" s="1100"/>
      <c r="V68" s="1100"/>
      <c r="W68" s="1100"/>
      <c r="X68" s="1134">
        <f>IF(X67="",0,(X67-D67))</f>
        <v>0</v>
      </c>
      <c r="Y68" s="1100"/>
      <c r="Z68" s="1100"/>
      <c r="AA68" s="1100"/>
      <c r="AB68" s="1100"/>
    </row>
    <row r="69" spans="1:28" ht="15.75">
      <c r="A69" s="1100"/>
      <c r="B69" s="1148"/>
      <c r="C69" s="1100"/>
      <c r="D69" s="1100"/>
      <c r="E69" s="1100"/>
      <c r="F69" s="1100"/>
      <c r="G69" s="1100"/>
      <c r="H69" s="1100"/>
      <c r="I69" s="1100"/>
      <c r="J69" s="1100"/>
      <c r="K69" s="1100"/>
      <c r="L69" s="1100"/>
      <c r="M69" s="1100"/>
      <c r="N69" s="1101"/>
      <c r="O69" s="1100"/>
      <c r="P69" s="1100"/>
      <c r="Q69" s="1100"/>
      <c r="R69" s="1100"/>
      <c r="S69" s="1101"/>
      <c r="T69" s="1101"/>
      <c r="U69" s="1100"/>
      <c r="V69" s="1100"/>
      <c r="W69" s="1100"/>
      <c r="X69" s="1101"/>
      <c r="Y69" s="1100"/>
      <c r="Z69" s="1100"/>
      <c r="AA69" s="1100"/>
      <c r="AB69" s="1100"/>
    </row>
    <row r="70" spans="1:28" ht="15.75">
      <c r="A70" s="1100"/>
      <c r="B70" s="1150" t="s">
        <v>6236</v>
      </c>
      <c r="C70" s="1100"/>
      <c r="D70" s="1105" t="s">
        <v>2718</v>
      </c>
      <c r="E70" s="1138" t="s">
        <v>6237</v>
      </c>
      <c r="F70" s="1138"/>
      <c r="G70" s="1138"/>
      <c r="H70" s="1138"/>
      <c r="I70" s="1138"/>
      <c r="J70" s="1138"/>
      <c r="K70" s="1100"/>
      <c r="L70" s="1100"/>
      <c r="M70" s="1100"/>
      <c r="N70" s="1101"/>
      <c r="O70" s="1100"/>
      <c r="P70" s="1100"/>
      <c r="Q70" s="1100"/>
      <c r="R70" s="1100"/>
      <c r="S70" s="1101"/>
      <c r="T70" s="1101"/>
      <c r="U70" s="1100"/>
      <c r="V70" s="1100"/>
      <c r="W70" s="1100"/>
      <c r="X70" s="1101"/>
      <c r="Y70" s="1100"/>
      <c r="Z70" s="1100"/>
      <c r="AA70" s="1100"/>
      <c r="AB70" s="1100"/>
    </row>
    <row r="71" spans="1:28" ht="15.75">
      <c r="A71" s="1100"/>
      <c r="B71" s="1144" t="s">
        <v>6713</v>
      </c>
      <c r="C71" s="1100"/>
      <c r="D71" s="1139"/>
      <c r="E71" s="1140"/>
      <c r="F71" s="1140"/>
      <c r="G71" s="1140"/>
      <c r="H71" s="1140"/>
      <c r="I71" s="1140"/>
      <c r="J71" s="1140"/>
      <c r="K71" s="1100"/>
      <c r="L71" s="1100"/>
      <c r="M71" s="1100"/>
      <c r="N71" s="1101"/>
      <c r="O71" s="1100"/>
      <c r="P71" s="1101"/>
      <c r="Q71" s="1101"/>
      <c r="R71" s="1101"/>
      <c r="S71" s="1101"/>
      <c r="T71" s="1101"/>
      <c r="U71" s="1100"/>
      <c r="V71" s="1100"/>
      <c r="W71" s="1100"/>
      <c r="X71" s="1101"/>
      <c r="Y71" s="1100"/>
      <c r="Z71" s="1100"/>
      <c r="AA71" s="1100"/>
      <c r="AB71" s="1100"/>
    </row>
    <row r="72" spans="1:28" ht="15.75">
      <c r="A72" s="1100"/>
      <c r="B72" s="1144" t="s">
        <v>16</v>
      </c>
      <c r="C72" s="1100"/>
      <c r="D72" s="1139"/>
      <c r="E72" s="1140"/>
      <c r="F72" s="1140"/>
      <c r="G72" s="1140"/>
      <c r="H72" s="1140"/>
      <c r="I72" s="1140"/>
      <c r="J72" s="1140"/>
      <c r="K72" s="1100"/>
      <c r="L72" s="1100"/>
      <c r="M72" s="1100"/>
      <c r="N72" s="1101"/>
      <c r="O72" s="1100"/>
      <c r="P72" s="1101"/>
      <c r="Q72" s="1101"/>
      <c r="R72" s="1101"/>
      <c r="S72" s="1101"/>
      <c r="T72" s="1101"/>
      <c r="U72" s="1100"/>
      <c r="V72" s="1100"/>
      <c r="W72" s="1100"/>
      <c r="X72" s="1101"/>
      <c r="Y72" s="1100"/>
      <c r="Z72" s="1100"/>
      <c r="AA72" s="1100"/>
      <c r="AB72" s="1100"/>
    </row>
    <row r="73" spans="1:28" ht="15.75">
      <c r="A73" s="1100"/>
      <c r="B73" s="1144" t="s">
        <v>87</v>
      </c>
      <c r="C73" s="1100"/>
      <c r="D73" s="1139"/>
      <c r="E73" s="1140"/>
      <c r="F73" s="1140"/>
      <c r="G73" s="1140"/>
      <c r="H73" s="1140"/>
      <c r="I73" s="1140"/>
      <c r="J73" s="1140"/>
      <c r="K73" s="1100"/>
      <c r="L73" s="1100"/>
      <c r="M73" s="1100"/>
      <c r="N73" s="1101"/>
      <c r="O73" s="1100"/>
      <c r="P73" s="1101"/>
      <c r="Q73" s="1101"/>
      <c r="R73" s="1101"/>
      <c r="S73" s="1101"/>
      <c r="T73" s="1101"/>
      <c r="U73" s="1100"/>
      <c r="V73" s="1100"/>
      <c r="W73" s="1100"/>
      <c r="X73" s="1101"/>
      <c r="Y73" s="1100"/>
      <c r="Z73" s="1100"/>
      <c r="AA73" s="1100"/>
      <c r="AB73" s="1100"/>
    </row>
    <row r="74" spans="1:28" ht="15.75">
      <c r="A74" s="1100"/>
      <c r="B74" s="1144" t="s">
        <v>130</v>
      </c>
      <c r="C74" s="1100"/>
      <c r="D74" s="1122"/>
      <c r="E74" s="1141"/>
      <c r="F74" s="1141"/>
      <c r="G74" s="1141"/>
      <c r="H74" s="1141"/>
      <c r="I74" s="1141"/>
      <c r="J74" s="1141"/>
      <c r="K74" s="1100"/>
      <c r="L74" s="1100"/>
      <c r="M74" s="1100"/>
      <c r="N74" s="1101"/>
      <c r="O74" s="1100"/>
      <c r="P74" s="1101"/>
      <c r="Q74" s="1101"/>
      <c r="R74" s="1101"/>
      <c r="S74" s="1101"/>
      <c r="T74" s="1101"/>
      <c r="U74" s="1100"/>
      <c r="V74" s="1100"/>
      <c r="W74" s="1100"/>
      <c r="X74" s="1101"/>
      <c r="Y74" s="1100"/>
      <c r="Z74" s="1100"/>
      <c r="AA74" s="1100"/>
      <c r="AB74" s="1100"/>
    </row>
    <row r="75" spans="1:28" ht="15.75">
      <c r="A75" s="1100"/>
      <c r="B75" s="1144" t="s">
        <v>6238</v>
      </c>
      <c r="C75" s="1100"/>
      <c r="D75" s="1122"/>
      <c r="E75" s="1141"/>
      <c r="F75" s="1141"/>
      <c r="G75" s="1141"/>
      <c r="H75" s="1141"/>
      <c r="I75" s="1141"/>
      <c r="J75" s="1141"/>
      <c r="K75" s="1100"/>
      <c r="L75" s="1100"/>
      <c r="M75" s="1100"/>
      <c r="N75" s="1101"/>
      <c r="O75" s="1101"/>
      <c r="P75" s="1101"/>
      <c r="Q75" s="1101"/>
      <c r="R75" s="1101"/>
      <c r="S75" s="1101"/>
      <c r="T75" s="1101"/>
      <c r="U75" s="1100"/>
      <c r="V75" s="1100"/>
      <c r="W75" s="1100"/>
      <c r="X75" s="1101"/>
      <c r="Y75" s="1100"/>
      <c r="Z75" s="1100"/>
      <c r="AA75" s="1100"/>
      <c r="AB75" s="1100"/>
    </row>
    <row r="76" spans="1:28" ht="15.75">
      <c r="A76" s="1100"/>
      <c r="B76" s="1144" t="s">
        <v>6239</v>
      </c>
      <c r="C76" s="1100"/>
      <c r="D76" s="1122"/>
      <c r="E76" s="1141"/>
      <c r="F76" s="1141"/>
      <c r="G76" s="1141"/>
      <c r="H76" s="1141"/>
      <c r="I76" s="1141"/>
      <c r="J76" s="1141"/>
      <c r="K76" s="1100"/>
      <c r="L76" s="1100"/>
      <c r="M76" s="1100"/>
      <c r="N76" s="1101"/>
      <c r="O76" s="1101"/>
      <c r="P76" s="1101"/>
      <c r="Q76" s="1101"/>
      <c r="R76" s="1101"/>
      <c r="S76" s="1101"/>
      <c r="T76" s="1101"/>
      <c r="U76" s="1100"/>
      <c r="V76" s="1100"/>
      <c r="W76" s="1100"/>
      <c r="X76" s="1101"/>
      <c r="Y76" s="1100"/>
      <c r="Z76" s="1100"/>
      <c r="AA76" s="1100"/>
      <c r="AB76" s="1100"/>
    </row>
    <row r="77" spans="1:28" ht="15.75">
      <c r="A77" s="1100"/>
      <c r="B77" s="1144" t="s">
        <v>6240</v>
      </c>
      <c r="C77" s="1100"/>
      <c r="D77" s="1122"/>
      <c r="E77" s="1141"/>
      <c r="F77" s="1141"/>
      <c r="G77" s="1141"/>
      <c r="H77" s="1141"/>
      <c r="I77" s="1141"/>
      <c r="J77" s="1141"/>
      <c r="K77" s="1100"/>
      <c r="L77" s="1100"/>
      <c r="M77" s="1100"/>
      <c r="N77" s="1101"/>
      <c r="O77" s="1101"/>
      <c r="P77" s="1101"/>
      <c r="Q77" s="1101"/>
      <c r="R77" s="1101"/>
      <c r="S77" s="1101"/>
      <c r="T77" s="1101"/>
      <c r="U77" s="1100"/>
      <c r="V77" s="1100"/>
      <c r="W77" s="1100"/>
      <c r="X77" s="1101"/>
      <c r="Y77" s="1100"/>
      <c r="Z77" s="1100"/>
      <c r="AA77" s="1100"/>
      <c r="AB77" s="1100"/>
    </row>
    <row r="78" spans="1:28" ht="15.75">
      <c r="A78" s="1100"/>
      <c r="B78" s="1144"/>
      <c r="C78" s="1100"/>
      <c r="D78" s="1101"/>
      <c r="E78" s="1100"/>
      <c r="F78" s="1100"/>
      <c r="G78" s="1100"/>
      <c r="H78" s="1100"/>
      <c r="I78" s="1100"/>
      <c r="J78" s="1100"/>
      <c r="K78" s="1100"/>
      <c r="L78" s="1100"/>
      <c r="M78" s="1100"/>
      <c r="N78" s="1101"/>
      <c r="O78" s="1101"/>
      <c r="P78" s="1101"/>
      <c r="Q78" s="1101"/>
      <c r="R78" s="1101"/>
      <c r="S78" s="1101"/>
      <c r="T78" s="1101"/>
      <c r="U78" s="1100"/>
      <c r="V78" s="1100"/>
      <c r="W78" s="1100"/>
      <c r="X78" s="1101"/>
      <c r="Y78" s="1100"/>
      <c r="Z78" s="1100"/>
      <c r="AA78" s="1100"/>
      <c r="AB78" s="1100"/>
    </row>
    <row r="79" spans="1:28" ht="15.75">
      <c r="A79" s="1100"/>
      <c r="B79" s="1144"/>
      <c r="C79" s="1100"/>
      <c r="D79" s="1101"/>
      <c r="E79" s="1100"/>
      <c r="F79" s="1100"/>
      <c r="G79" s="1100"/>
      <c r="H79" s="1100"/>
      <c r="I79" s="1100"/>
      <c r="J79" s="1100"/>
      <c r="K79" s="1100"/>
      <c r="L79" s="1100"/>
      <c r="M79" s="1100"/>
      <c r="N79" s="1101"/>
      <c r="O79" s="1101"/>
      <c r="P79" s="1101"/>
      <c r="Q79" s="1101"/>
      <c r="R79" s="1101"/>
      <c r="S79" s="1101"/>
      <c r="T79" s="1101"/>
      <c r="U79" s="1100"/>
      <c r="V79" s="1100"/>
      <c r="W79" s="1100"/>
      <c r="X79" s="1101"/>
      <c r="Y79" s="1100"/>
      <c r="Z79" s="1100"/>
      <c r="AA79" s="1100"/>
      <c r="AB79" s="1100"/>
    </row>
    <row r="80" spans="1:28" ht="15.75">
      <c r="A80" s="1100"/>
      <c r="B80" s="1144"/>
      <c r="C80" s="1100"/>
      <c r="D80" s="1101"/>
      <c r="E80" s="1100"/>
      <c r="F80" s="1100"/>
      <c r="G80" s="1100"/>
      <c r="H80" s="1100"/>
      <c r="I80" s="1100"/>
      <c r="J80" s="1100"/>
      <c r="K80" s="1100"/>
      <c r="L80" s="1100"/>
      <c r="M80" s="1100"/>
      <c r="N80" s="1101"/>
      <c r="O80" s="1101"/>
      <c r="P80" s="1101"/>
      <c r="Q80" s="1101"/>
      <c r="R80" s="1101"/>
      <c r="S80" s="1101"/>
      <c r="T80" s="1101"/>
      <c r="U80" s="1100"/>
      <c r="V80" s="1100"/>
      <c r="W80" s="1100"/>
      <c r="X80" s="1101"/>
      <c r="Y80" s="1100"/>
      <c r="Z80" s="1100"/>
      <c r="AA80" s="1100"/>
      <c r="AB80" s="1100"/>
    </row>
    <row r="81" spans="1:28" ht="15.75">
      <c r="A81" s="1100"/>
      <c r="B81" s="1144"/>
      <c r="C81" s="1100"/>
      <c r="D81" s="1101"/>
      <c r="E81" s="1100"/>
      <c r="F81" s="1100"/>
      <c r="G81" s="1100"/>
      <c r="H81" s="1100"/>
      <c r="I81" s="1100"/>
      <c r="J81" s="1100"/>
      <c r="K81" s="1100"/>
      <c r="L81" s="1100"/>
      <c r="M81" s="1100"/>
      <c r="N81" s="1101"/>
      <c r="O81" s="1101"/>
      <c r="P81" s="1101"/>
      <c r="Q81" s="1101"/>
      <c r="R81" s="1101"/>
      <c r="S81" s="1101"/>
      <c r="T81" s="1101"/>
      <c r="U81" s="1100"/>
      <c r="V81" s="1100"/>
      <c r="W81" s="1100"/>
      <c r="X81" s="1101"/>
      <c r="Y81" s="1100"/>
      <c r="Z81" s="1100"/>
      <c r="AA81" s="1100"/>
      <c r="AB81" s="1100"/>
    </row>
    <row r="82" spans="1:28" ht="15.75">
      <c r="A82" s="1100"/>
      <c r="B82" s="1144"/>
      <c r="C82" s="1100"/>
      <c r="D82" s="1101"/>
      <c r="E82" s="1100"/>
      <c r="F82" s="1100"/>
      <c r="G82" s="1100"/>
      <c r="H82" s="1100"/>
      <c r="I82" s="1100"/>
      <c r="J82" s="1100"/>
      <c r="K82" s="1100"/>
      <c r="L82" s="1100"/>
      <c r="M82" s="1100"/>
      <c r="N82" s="1101"/>
      <c r="O82" s="1101"/>
      <c r="P82" s="1101"/>
      <c r="Q82" s="1101"/>
      <c r="R82" s="1101"/>
      <c r="S82" s="1101"/>
      <c r="T82" s="1101"/>
      <c r="U82" s="1100"/>
      <c r="V82" s="1100"/>
      <c r="W82" s="1100"/>
      <c r="X82" s="1101"/>
      <c r="Y82" s="1100"/>
      <c r="Z82" s="1100"/>
      <c r="AA82" s="1100"/>
      <c r="AB82" s="1100"/>
    </row>
    <row r="83" spans="1:28" ht="15.75">
      <c r="A83" s="1100"/>
      <c r="B83" s="1144"/>
      <c r="C83" s="1100"/>
      <c r="D83" s="1101"/>
      <c r="E83" s="1100"/>
      <c r="F83" s="1100"/>
      <c r="G83" s="1100"/>
      <c r="H83" s="1100"/>
      <c r="I83" s="1100"/>
      <c r="J83" s="1100"/>
      <c r="K83" s="1100"/>
      <c r="L83" s="1100"/>
      <c r="M83" s="1100"/>
      <c r="N83" s="1101"/>
      <c r="O83" s="1101"/>
      <c r="P83" s="1101"/>
      <c r="Q83" s="1101"/>
      <c r="R83" s="1101"/>
      <c r="S83" s="1101"/>
      <c r="T83" s="1101"/>
      <c r="U83" s="1100"/>
      <c r="V83" s="1100"/>
      <c r="W83" s="1100"/>
      <c r="X83" s="1101"/>
      <c r="Y83" s="1100"/>
      <c r="Z83" s="1100"/>
      <c r="AA83" s="1100"/>
      <c r="AB83" s="1100"/>
    </row>
    <row r="84" spans="1:28" ht="15.75">
      <c r="A84" s="1100"/>
      <c r="B84" s="1110"/>
      <c r="C84" s="1100"/>
      <c r="D84" s="1101"/>
      <c r="E84" s="1100"/>
      <c r="F84" s="1100"/>
      <c r="G84" s="1100"/>
      <c r="H84" s="1100"/>
      <c r="I84" s="1100"/>
      <c r="J84" s="1100"/>
      <c r="K84" s="1100"/>
      <c r="L84" s="1100"/>
      <c r="M84" s="1100"/>
      <c r="N84" s="1101"/>
      <c r="O84" s="1101"/>
      <c r="P84" s="1101"/>
      <c r="Q84" s="1101"/>
      <c r="R84" s="1101"/>
      <c r="S84" s="1101"/>
      <c r="T84" s="1101"/>
      <c r="U84" s="1100"/>
      <c r="V84" s="1100"/>
      <c r="W84" s="1100"/>
      <c r="X84" s="1101"/>
      <c r="Y84" s="1100"/>
      <c r="Z84" s="1100"/>
      <c r="AA84" s="1100"/>
      <c r="AB84" s="1100"/>
    </row>
    <row r="85" spans="1:28" ht="15.75">
      <c r="A85" s="1100"/>
      <c r="B85" s="1110"/>
      <c r="C85" s="1100"/>
      <c r="D85" s="1101"/>
      <c r="E85" s="1100"/>
      <c r="F85" s="1100"/>
      <c r="G85" s="1100"/>
      <c r="H85" s="1100"/>
      <c r="I85" s="1100"/>
      <c r="J85" s="1100"/>
      <c r="K85" s="1100"/>
      <c r="L85" s="1100"/>
      <c r="M85" s="1100"/>
      <c r="N85" s="1101"/>
      <c r="O85" s="1101"/>
      <c r="P85" s="1101"/>
      <c r="Q85" s="1101"/>
      <c r="R85" s="1101"/>
      <c r="S85" s="1101"/>
      <c r="T85" s="1101"/>
      <c r="U85" s="1100"/>
      <c r="V85" s="1100"/>
      <c r="W85" s="1100"/>
      <c r="X85" s="1101"/>
      <c r="Y85" s="1100"/>
      <c r="Z85" s="1100"/>
      <c r="AA85" s="1100"/>
      <c r="AB85" s="1100"/>
    </row>
    <row r="86" spans="1:28" ht="15.75">
      <c r="A86" s="1100"/>
      <c r="B86" s="1110"/>
      <c r="C86" s="1100"/>
      <c r="D86" s="1101"/>
      <c r="E86" s="1100"/>
      <c r="F86" s="1100"/>
      <c r="G86" s="1100"/>
      <c r="H86" s="1100"/>
      <c r="I86" s="1100"/>
      <c r="J86" s="1100"/>
      <c r="K86" s="1100"/>
      <c r="L86" s="1100"/>
      <c r="M86" s="1100"/>
      <c r="N86" s="1101"/>
      <c r="O86" s="1101"/>
      <c r="P86" s="1101"/>
      <c r="Q86" s="1101"/>
      <c r="R86" s="1101"/>
      <c r="S86" s="1101"/>
      <c r="T86" s="1101"/>
      <c r="U86" s="1100"/>
      <c r="V86" s="1100"/>
      <c r="W86" s="1100"/>
      <c r="X86" s="1101"/>
      <c r="Y86" s="1100"/>
      <c r="Z86" s="1100"/>
      <c r="AA86" s="1100"/>
      <c r="AB86" s="1100"/>
    </row>
    <row r="87" spans="1:28" ht="15.75">
      <c r="A87" s="1100"/>
      <c r="B87" s="1110"/>
      <c r="C87" s="1100"/>
      <c r="D87" s="1101"/>
      <c r="E87" s="1100"/>
      <c r="F87" s="1100"/>
      <c r="G87" s="1100"/>
      <c r="H87" s="1100"/>
      <c r="I87" s="1100"/>
      <c r="J87" s="1100"/>
      <c r="K87" s="1100"/>
      <c r="L87" s="1100"/>
      <c r="M87" s="1100"/>
      <c r="N87" s="1101"/>
      <c r="O87" s="1101"/>
      <c r="P87" s="1101"/>
      <c r="Q87" s="1101"/>
      <c r="R87" s="1101"/>
      <c r="S87" s="1101"/>
      <c r="T87" s="1101"/>
      <c r="U87" s="1100"/>
      <c r="V87" s="1100"/>
      <c r="W87" s="1100"/>
      <c r="X87" s="1101"/>
      <c r="Y87" s="1100"/>
      <c r="Z87" s="1100"/>
      <c r="AA87" s="1100"/>
      <c r="AB87" s="1100"/>
    </row>
    <row r="88" spans="1:28" ht="15.75">
      <c r="A88" s="1100"/>
      <c r="B88" s="1110"/>
      <c r="C88" s="1100"/>
      <c r="D88" s="1101"/>
      <c r="E88" s="1100"/>
      <c r="F88" s="1100"/>
      <c r="G88" s="1100"/>
      <c r="H88" s="1100"/>
      <c r="I88" s="1100"/>
      <c r="J88" s="1100"/>
      <c r="K88" s="1100"/>
      <c r="L88" s="1100"/>
      <c r="M88" s="1100"/>
      <c r="N88" s="1101"/>
      <c r="O88" s="1101"/>
      <c r="P88" s="1101"/>
      <c r="Q88" s="1101"/>
      <c r="R88" s="1101"/>
      <c r="S88" s="1101"/>
      <c r="T88" s="1101"/>
      <c r="U88" s="1100"/>
      <c r="V88" s="1100"/>
      <c r="W88" s="1100"/>
      <c r="X88" s="1101"/>
      <c r="Y88" s="1100"/>
      <c r="Z88" s="1100"/>
      <c r="AA88" s="1100"/>
      <c r="AB88" s="1100"/>
    </row>
    <row r="89" spans="1:28" ht="15.75">
      <c r="A89" s="1100"/>
      <c r="B89" s="1110"/>
      <c r="C89" s="1100"/>
      <c r="D89" s="1101"/>
      <c r="E89" s="1100"/>
      <c r="F89" s="1100"/>
      <c r="G89" s="1100"/>
      <c r="H89" s="1100"/>
      <c r="I89" s="1100"/>
      <c r="J89" s="1100"/>
      <c r="K89" s="1100"/>
      <c r="L89" s="1100"/>
      <c r="M89" s="1100"/>
      <c r="N89" s="1101"/>
      <c r="O89" s="1101"/>
      <c r="P89" s="1101"/>
      <c r="Q89" s="1101"/>
      <c r="R89" s="1101"/>
      <c r="S89" s="1101"/>
      <c r="T89" s="1101"/>
      <c r="U89" s="1100"/>
      <c r="V89" s="1100"/>
      <c r="W89" s="1100"/>
      <c r="X89" s="1101"/>
      <c r="Y89" s="1100"/>
      <c r="Z89" s="1100"/>
      <c r="AA89" s="1100"/>
      <c r="AB89" s="1100"/>
    </row>
    <row r="90" spans="1:28" ht="15.75">
      <c r="A90" s="1100"/>
      <c r="B90" s="1110"/>
      <c r="C90" s="1100"/>
      <c r="D90" s="1101"/>
      <c r="E90" s="1100"/>
      <c r="F90" s="1100"/>
      <c r="G90" s="1100"/>
      <c r="H90" s="1100"/>
      <c r="I90" s="1100"/>
      <c r="J90" s="1100"/>
      <c r="K90" s="1100"/>
      <c r="L90" s="1100"/>
      <c r="M90" s="1100"/>
      <c r="N90" s="1101"/>
      <c r="O90" s="1101"/>
      <c r="P90" s="1101"/>
      <c r="Q90" s="1101"/>
      <c r="R90" s="1101"/>
      <c r="S90" s="1101"/>
      <c r="T90" s="1101"/>
      <c r="U90" s="1100"/>
      <c r="V90" s="1100"/>
      <c r="W90" s="1100"/>
      <c r="X90" s="1101"/>
      <c r="Y90" s="1100"/>
      <c r="Z90" s="1100"/>
      <c r="AA90" s="1100"/>
      <c r="AB90" s="1100"/>
    </row>
    <row r="91" spans="1:28" ht="15.75">
      <c r="A91" s="1100"/>
      <c r="B91" s="1110"/>
      <c r="C91" s="1100"/>
      <c r="D91" s="1101"/>
      <c r="E91" s="1100"/>
      <c r="F91" s="1100"/>
      <c r="G91" s="1100"/>
      <c r="H91" s="1100"/>
      <c r="I91" s="1100"/>
      <c r="J91" s="1100"/>
      <c r="K91" s="1100"/>
      <c r="L91" s="1100"/>
      <c r="M91" s="1100"/>
      <c r="N91" s="1101"/>
      <c r="O91" s="1101"/>
      <c r="P91" s="1101"/>
      <c r="Q91" s="1101"/>
      <c r="R91" s="1101"/>
      <c r="S91" s="1101"/>
      <c r="T91" s="1101"/>
      <c r="U91" s="1100"/>
      <c r="V91" s="1100"/>
      <c r="W91" s="1100"/>
      <c r="X91" s="1101"/>
      <c r="Y91" s="1100"/>
      <c r="Z91" s="1100"/>
      <c r="AA91" s="1100"/>
      <c r="AB91" s="1100"/>
    </row>
    <row r="92" spans="1:28" ht="15.75">
      <c r="A92" s="1100"/>
      <c r="B92" s="1110"/>
      <c r="C92" s="1100"/>
      <c r="D92" s="1101"/>
      <c r="E92" s="1100"/>
      <c r="F92" s="1100"/>
      <c r="G92" s="1100"/>
      <c r="H92" s="1100"/>
      <c r="I92" s="1100"/>
      <c r="J92" s="1100"/>
      <c r="K92" s="1100"/>
      <c r="L92" s="1100"/>
      <c r="M92" s="1100"/>
      <c r="N92" s="1101"/>
      <c r="O92" s="1101"/>
      <c r="P92" s="1101"/>
      <c r="Q92" s="1101"/>
      <c r="R92" s="1101"/>
      <c r="S92" s="1101"/>
      <c r="T92" s="1101"/>
      <c r="U92" s="1100"/>
      <c r="V92" s="1100"/>
      <c r="W92" s="1100"/>
      <c r="X92" s="1101"/>
      <c r="Y92" s="1100"/>
      <c r="Z92" s="1100"/>
      <c r="AA92" s="1100"/>
      <c r="AB92" s="1100"/>
    </row>
    <row r="93" spans="1:28" ht="15.75">
      <c r="A93" s="1100"/>
      <c r="B93" s="1110"/>
      <c r="C93" s="1100"/>
      <c r="D93" s="1101"/>
      <c r="E93" s="1100"/>
      <c r="F93" s="1100"/>
      <c r="G93" s="1100"/>
      <c r="H93" s="1100"/>
      <c r="I93" s="1100"/>
      <c r="J93" s="1100"/>
      <c r="K93" s="1100"/>
      <c r="L93" s="1100"/>
      <c r="M93" s="1100"/>
      <c r="N93" s="1101"/>
      <c r="O93" s="1101"/>
      <c r="P93" s="1101"/>
      <c r="Q93" s="1101"/>
      <c r="R93" s="1101"/>
      <c r="S93" s="1101"/>
      <c r="T93" s="1101"/>
      <c r="U93" s="1100"/>
      <c r="V93" s="1100"/>
      <c r="W93" s="1100"/>
      <c r="X93" s="1101"/>
      <c r="Y93" s="1100"/>
      <c r="Z93" s="1100"/>
      <c r="AA93" s="1100"/>
      <c r="AB93" s="1100"/>
    </row>
    <row r="94" spans="1:28" ht="15.75">
      <c r="A94" s="1100"/>
      <c r="B94" s="1110"/>
      <c r="C94" s="1100"/>
      <c r="D94" s="1101"/>
      <c r="E94" s="1100"/>
      <c r="F94" s="1100"/>
      <c r="G94" s="1100"/>
      <c r="H94" s="1100"/>
      <c r="I94" s="1100"/>
      <c r="J94" s="1100"/>
      <c r="K94" s="1100"/>
      <c r="L94" s="1100"/>
      <c r="M94" s="1100"/>
      <c r="N94" s="1101"/>
      <c r="O94" s="1101"/>
      <c r="P94" s="1101"/>
      <c r="Q94" s="1101"/>
      <c r="R94" s="1101"/>
      <c r="S94" s="1101"/>
      <c r="T94" s="1101"/>
      <c r="U94" s="1100"/>
      <c r="V94" s="1100"/>
      <c r="W94" s="1100"/>
      <c r="X94" s="1101"/>
      <c r="Y94" s="1100"/>
      <c r="Z94" s="1100"/>
      <c r="AA94" s="1100"/>
      <c r="AB94" s="1100"/>
    </row>
    <row r="95" spans="1:28" ht="15.75">
      <c r="A95" s="1100"/>
      <c r="B95" s="1110"/>
      <c r="C95" s="1100"/>
      <c r="D95" s="1101"/>
      <c r="E95" s="1100"/>
      <c r="F95" s="1100"/>
      <c r="G95" s="1100"/>
      <c r="H95" s="1100"/>
      <c r="I95" s="1100"/>
      <c r="J95" s="1100"/>
      <c r="K95" s="1100"/>
      <c r="L95" s="1100"/>
      <c r="M95" s="1100"/>
      <c r="N95" s="1101"/>
      <c r="O95" s="1101"/>
      <c r="P95" s="1101"/>
      <c r="Q95" s="1101"/>
      <c r="R95" s="1101"/>
      <c r="S95" s="1101"/>
      <c r="T95" s="1101"/>
      <c r="U95" s="1100"/>
      <c r="V95" s="1100"/>
      <c r="W95" s="1100"/>
      <c r="X95" s="1101"/>
      <c r="Y95" s="1100"/>
      <c r="Z95" s="1100"/>
      <c r="AA95" s="1100"/>
      <c r="AB95" s="1100"/>
    </row>
    <row r="96" spans="1:28" ht="15.75">
      <c r="A96" s="1100"/>
      <c r="B96" s="1110"/>
      <c r="C96" s="1100"/>
      <c r="D96" s="1101"/>
      <c r="E96" s="1100"/>
      <c r="F96" s="1100"/>
      <c r="G96" s="1100"/>
      <c r="H96" s="1100"/>
      <c r="I96" s="1100"/>
      <c r="J96" s="1100"/>
      <c r="K96" s="1100"/>
      <c r="L96" s="1100"/>
      <c r="M96" s="1100"/>
      <c r="N96" s="1101"/>
      <c r="O96" s="1101"/>
      <c r="P96" s="1101"/>
      <c r="Q96" s="1101"/>
      <c r="R96" s="1101"/>
      <c r="S96" s="1101"/>
      <c r="T96" s="1101"/>
      <c r="U96" s="1100"/>
      <c r="V96" s="1100"/>
      <c r="W96" s="1100"/>
      <c r="X96" s="1101"/>
      <c r="Y96" s="1100"/>
      <c r="Z96" s="1100"/>
      <c r="AA96" s="1100"/>
      <c r="AB96" s="1100"/>
    </row>
    <row r="97" spans="1:28" ht="15.75">
      <c r="A97" s="1100"/>
      <c r="B97" s="1110"/>
      <c r="C97" s="1100"/>
      <c r="D97" s="1101"/>
      <c r="E97" s="1100"/>
      <c r="F97" s="1100"/>
      <c r="G97" s="1100"/>
      <c r="H97" s="1100"/>
      <c r="I97" s="1100"/>
      <c r="J97" s="1100"/>
      <c r="K97" s="1100"/>
      <c r="L97" s="1100"/>
      <c r="M97" s="1100"/>
      <c r="N97" s="1101"/>
      <c r="O97" s="1101"/>
      <c r="P97" s="1101"/>
      <c r="Q97" s="1101"/>
      <c r="R97" s="1101"/>
      <c r="S97" s="1101"/>
      <c r="T97" s="1101"/>
      <c r="U97" s="1100"/>
      <c r="V97" s="1100"/>
      <c r="W97" s="1100"/>
      <c r="X97" s="1101"/>
      <c r="Y97" s="1100"/>
      <c r="Z97" s="1100"/>
      <c r="AA97" s="1100"/>
      <c r="AB97" s="1100"/>
    </row>
    <row r="98" spans="1:28" ht="15.75">
      <c r="A98" s="1100"/>
      <c r="B98" s="1110"/>
      <c r="C98" s="1100"/>
      <c r="D98" s="1101"/>
      <c r="E98" s="1100"/>
      <c r="F98" s="1100"/>
      <c r="G98" s="1100"/>
      <c r="H98" s="1100"/>
      <c r="I98" s="1100"/>
      <c r="J98" s="1100"/>
      <c r="K98" s="1100"/>
      <c r="L98" s="1100"/>
      <c r="M98" s="1100"/>
      <c r="N98" s="1101"/>
      <c r="O98" s="1101"/>
      <c r="P98" s="1101"/>
      <c r="Q98" s="1101"/>
      <c r="R98" s="1101"/>
      <c r="S98" s="1101"/>
      <c r="T98" s="1101"/>
      <c r="U98" s="1100"/>
      <c r="V98" s="1100"/>
      <c r="W98" s="1100"/>
      <c r="X98" s="1101"/>
      <c r="Y98" s="1100"/>
      <c r="Z98" s="1100"/>
      <c r="AA98" s="1100"/>
      <c r="AB98" s="1100"/>
    </row>
    <row r="99" spans="1:28" ht="15.75">
      <c r="A99" s="1100"/>
      <c r="B99" s="1110"/>
      <c r="C99" s="1100"/>
      <c r="D99" s="1101"/>
      <c r="E99" s="1100"/>
      <c r="F99" s="1100"/>
      <c r="G99" s="1100"/>
      <c r="H99" s="1100"/>
      <c r="I99" s="1100"/>
      <c r="J99" s="1100"/>
      <c r="K99" s="1100"/>
      <c r="L99" s="1100"/>
      <c r="M99" s="1100"/>
      <c r="N99" s="1101"/>
      <c r="O99" s="1101"/>
      <c r="P99" s="1101"/>
      <c r="Q99" s="1101"/>
      <c r="R99" s="1101"/>
      <c r="S99" s="1101"/>
      <c r="T99" s="1101"/>
      <c r="U99" s="1100"/>
      <c r="V99" s="1100"/>
      <c r="W99" s="1100"/>
      <c r="X99" s="1101"/>
      <c r="Y99" s="1100"/>
      <c r="Z99" s="1100"/>
      <c r="AA99" s="1100"/>
      <c r="AB99" s="1100"/>
    </row>
    <row r="100" spans="1:28" ht="15.75">
      <c r="A100" s="1100"/>
      <c r="B100" s="1110"/>
      <c r="C100" s="1100"/>
      <c r="D100" s="1101"/>
      <c r="E100" s="1100"/>
      <c r="F100" s="1100"/>
      <c r="G100" s="1100"/>
      <c r="H100" s="1100"/>
      <c r="I100" s="1100"/>
      <c r="J100" s="1100"/>
      <c r="K100" s="1100"/>
      <c r="L100" s="1100"/>
      <c r="M100" s="1100"/>
      <c r="N100" s="1101"/>
      <c r="O100" s="1101"/>
      <c r="P100" s="1101"/>
      <c r="Q100" s="1101"/>
      <c r="R100" s="1101"/>
      <c r="S100" s="1101"/>
      <c r="T100" s="1101"/>
      <c r="U100" s="1100"/>
      <c r="V100" s="1100"/>
      <c r="W100" s="1100"/>
      <c r="X100" s="1101"/>
      <c r="Y100" s="1100"/>
      <c r="Z100" s="1100"/>
      <c r="AA100" s="1100"/>
      <c r="AB100" s="1100"/>
    </row>
    <row r="101" spans="1:28" ht="15.75">
      <c r="A101" s="1100"/>
      <c r="B101" s="1110"/>
      <c r="C101" s="1100"/>
      <c r="D101" s="1101"/>
      <c r="E101" s="1100"/>
      <c r="F101" s="1100"/>
      <c r="G101" s="1100"/>
      <c r="H101" s="1100"/>
      <c r="I101" s="1100"/>
      <c r="J101" s="1100"/>
      <c r="K101" s="1100"/>
      <c r="L101" s="1100"/>
      <c r="M101" s="1100"/>
      <c r="N101" s="1101"/>
      <c r="O101" s="1101"/>
      <c r="P101" s="1101"/>
      <c r="Q101" s="1101"/>
      <c r="R101" s="1101"/>
      <c r="S101" s="1101"/>
      <c r="T101" s="1101"/>
      <c r="U101" s="1100"/>
      <c r="V101" s="1100"/>
      <c r="W101" s="1100"/>
      <c r="X101" s="1101"/>
      <c r="Y101" s="1100"/>
      <c r="Z101" s="1100"/>
      <c r="AA101" s="1100"/>
      <c r="AB101" s="1100"/>
    </row>
    <row r="102" spans="1:28" ht="15.75">
      <c r="A102" s="1100"/>
      <c r="B102" s="1110"/>
      <c r="C102" s="1100"/>
      <c r="D102" s="1101"/>
      <c r="E102" s="1100"/>
      <c r="F102" s="1100"/>
      <c r="G102" s="1100"/>
      <c r="H102" s="1100"/>
      <c r="I102" s="1100"/>
      <c r="J102" s="1100"/>
      <c r="K102" s="1100"/>
      <c r="L102" s="1100"/>
      <c r="M102" s="1100"/>
      <c r="N102" s="1101"/>
      <c r="O102" s="1101"/>
      <c r="P102" s="1101"/>
      <c r="Q102" s="1101"/>
      <c r="R102" s="1101"/>
      <c r="S102" s="1101"/>
      <c r="T102" s="1101"/>
      <c r="U102" s="1100"/>
      <c r="V102" s="1100"/>
      <c r="W102" s="1100"/>
      <c r="X102" s="1101"/>
      <c r="Y102" s="1100"/>
      <c r="Z102" s="1100"/>
      <c r="AA102" s="1100"/>
      <c r="AB102" s="1100"/>
    </row>
    <row r="103" spans="1:28" ht="15.75">
      <c r="A103" s="1100"/>
      <c r="B103" s="1110"/>
      <c r="C103" s="1100"/>
      <c r="D103" s="1101"/>
      <c r="E103" s="1100"/>
      <c r="F103" s="1100"/>
      <c r="G103" s="1100"/>
      <c r="H103" s="1100"/>
      <c r="I103" s="1100"/>
      <c r="J103" s="1100"/>
      <c r="K103" s="1100"/>
      <c r="L103" s="1100"/>
      <c r="M103" s="1100"/>
      <c r="N103" s="1101"/>
      <c r="O103" s="1101"/>
      <c r="P103" s="1101"/>
      <c r="Q103" s="1101"/>
      <c r="R103" s="1101"/>
      <c r="S103" s="1101"/>
      <c r="T103" s="1101"/>
      <c r="U103" s="1100"/>
      <c r="V103" s="1100"/>
      <c r="W103" s="1100"/>
      <c r="X103" s="1101"/>
      <c r="Y103" s="1100"/>
      <c r="Z103" s="1100"/>
      <c r="AA103" s="1100"/>
      <c r="AB103" s="1100"/>
    </row>
    <row r="104" spans="1:28" ht="15.75">
      <c r="A104" s="1100"/>
      <c r="B104" s="1110"/>
      <c r="C104" s="1100"/>
      <c r="D104" s="1101"/>
      <c r="E104" s="1100"/>
      <c r="F104" s="1100"/>
      <c r="G104" s="1100"/>
      <c r="H104" s="1100"/>
      <c r="I104" s="1100"/>
      <c r="J104" s="1100"/>
      <c r="K104" s="1100"/>
      <c r="L104" s="1100"/>
      <c r="M104" s="1100"/>
      <c r="N104" s="1101"/>
      <c r="O104" s="1101"/>
      <c r="P104" s="1101"/>
      <c r="Q104" s="1101"/>
      <c r="R104" s="1101"/>
      <c r="S104" s="1101"/>
      <c r="T104" s="1101"/>
      <c r="U104" s="1100"/>
      <c r="V104" s="1100"/>
      <c r="W104" s="1100"/>
      <c r="X104" s="1101"/>
      <c r="Y104" s="1100"/>
      <c r="Z104" s="1100"/>
      <c r="AA104" s="1100"/>
      <c r="AB104" s="1100"/>
    </row>
    <row r="105" spans="1:28" ht="15.75">
      <c r="A105" s="1100"/>
      <c r="B105" s="1110"/>
      <c r="C105" s="1100"/>
      <c r="D105" s="1101"/>
      <c r="E105" s="1100"/>
      <c r="F105" s="1100"/>
      <c r="G105" s="1100"/>
      <c r="H105" s="1100"/>
      <c r="I105" s="1100"/>
      <c r="J105" s="1100"/>
      <c r="K105" s="1100"/>
      <c r="L105" s="1100"/>
      <c r="M105" s="1100"/>
      <c r="N105" s="1101"/>
      <c r="O105" s="1101"/>
      <c r="P105" s="1101"/>
      <c r="Q105" s="1101"/>
      <c r="R105" s="1101"/>
      <c r="S105" s="1101"/>
      <c r="T105" s="1101"/>
      <c r="U105" s="1100"/>
      <c r="V105" s="1100"/>
      <c r="W105" s="1100"/>
      <c r="X105" s="1101"/>
      <c r="Y105" s="1100"/>
      <c r="Z105" s="1100"/>
      <c r="AA105" s="1100"/>
      <c r="AB105" s="1100"/>
    </row>
    <row r="106" spans="1:28" ht="15.75">
      <c r="A106" s="1100"/>
      <c r="B106" s="1110"/>
      <c r="C106" s="1100"/>
      <c r="D106" s="1101"/>
      <c r="E106" s="1100"/>
      <c r="F106" s="1100"/>
      <c r="G106" s="1100"/>
      <c r="H106" s="1100"/>
      <c r="I106" s="1100"/>
      <c r="J106" s="1100"/>
      <c r="K106" s="1100"/>
      <c r="L106" s="1100"/>
      <c r="M106" s="1100"/>
      <c r="N106" s="1101"/>
      <c r="O106" s="1101"/>
      <c r="P106" s="1101"/>
      <c r="Q106" s="1101"/>
      <c r="R106" s="1101"/>
      <c r="S106" s="1101"/>
      <c r="T106" s="1101"/>
      <c r="U106" s="1100"/>
      <c r="V106" s="1100"/>
      <c r="W106" s="1100"/>
      <c r="X106" s="1101"/>
      <c r="Y106" s="1100"/>
      <c r="Z106" s="1100"/>
      <c r="AA106" s="1100"/>
      <c r="AB106" s="1100"/>
    </row>
    <row r="107" spans="1:28" ht="15.75">
      <c r="A107" s="1100"/>
      <c r="B107" s="1110"/>
      <c r="C107" s="1100"/>
      <c r="D107" s="1101"/>
      <c r="E107" s="1100"/>
      <c r="F107" s="1100"/>
      <c r="G107" s="1100"/>
      <c r="H107" s="1100"/>
      <c r="I107" s="1100"/>
      <c r="J107" s="1100"/>
      <c r="K107" s="1100"/>
      <c r="L107" s="1100"/>
      <c r="M107" s="1100"/>
      <c r="N107" s="1101"/>
      <c r="O107" s="1101"/>
      <c r="P107" s="1101"/>
      <c r="Q107" s="1101"/>
      <c r="R107" s="1101"/>
      <c r="S107" s="1101"/>
      <c r="T107" s="1101"/>
      <c r="U107" s="1100"/>
      <c r="V107" s="1100"/>
      <c r="W107" s="1100"/>
      <c r="X107" s="1101"/>
      <c r="Y107" s="1100"/>
      <c r="Z107" s="1100"/>
      <c r="AA107" s="1100"/>
      <c r="AB107" s="1100"/>
    </row>
    <row r="108" spans="1:28" ht="15.75">
      <c r="A108" s="1100"/>
      <c r="B108" s="1110"/>
      <c r="C108" s="1100"/>
      <c r="D108" s="1101"/>
      <c r="E108" s="1100"/>
      <c r="F108" s="1100"/>
      <c r="G108" s="1100"/>
      <c r="H108" s="1100"/>
      <c r="I108" s="1100"/>
      <c r="J108" s="1100"/>
      <c r="K108" s="1100"/>
      <c r="L108" s="1100"/>
      <c r="M108" s="1100"/>
      <c r="N108" s="1101"/>
      <c r="O108" s="1101"/>
      <c r="P108" s="1101"/>
      <c r="Q108" s="1101"/>
      <c r="R108" s="1101"/>
      <c r="S108" s="1101"/>
      <c r="T108" s="1101"/>
      <c r="U108" s="1100"/>
      <c r="V108" s="1100"/>
      <c r="W108" s="1100"/>
      <c r="X108" s="1101"/>
      <c r="Y108" s="1100"/>
      <c r="Z108" s="1100"/>
      <c r="AA108" s="1100"/>
      <c r="AB108" s="1100"/>
    </row>
    <row r="109" spans="1:28" ht="15.75">
      <c r="A109" s="1100"/>
      <c r="B109" s="1110"/>
      <c r="C109" s="1100"/>
      <c r="D109" s="1101"/>
      <c r="E109" s="1100"/>
      <c r="F109" s="1100"/>
      <c r="G109" s="1100"/>
      <c r="H109" s="1100"/>
      <c r="I109" s="1100"/>
      <c r="J109" s="1100"/>
      <c r="K109" s="1100"/>
      <c r="L109" s="1100"/>
      <c r="M109" s="1100"/>
      <c r="N109" s="1101"/>
      <c r="O109" s="1101"/>
      <c r="P109" s="1101"/>
      <c r="Q109" s="1101"/>
      <c r="R109" s="1101"/>
      <c r="S109" s="1101"/>
      <c r="T109" s="1101"/>
      <c r="U109" s="1100"/>
      <c r="V109" s="1100"/>
      <c r="W109" s="1100"/>
      <c r="X109" s="1101"/>
      <c r="Y109" s="1100"/>
      <c r="Z109" s="1100"/>
      <c r="AA109" s="1100"/>
      <c r="AB109" s="1100"/>
    </row>
    <row r="110" spans="1:28" ht="15.75">
      <c r="A110" s="1100"/>
      <c r="B110" s="1110"/>
      <c r="C110" s="1100"/>
      <c r="D110" s="1101"/>
      <c r="E110" s="1100"/>
      <c r="F110" s="1100"/>
      <c r="G110" s="1100"/>
      <c r="H110" s="1100"/>
      <c r="I110" s="1100"/>
      <c r="J110" s="1100"/>
      <c r="K110" s="1100"/>
      <c r="L110" s="1100"/>
      <c r="M110" s="1100"/>
      <c r="N110" s="1101"/>
      <c r="O110" s="1101"/>
      <c r="P110" s="1101"/>
      <c r="Q110" s="1101"/>
      <c r="R110" s="1101"/>
      <c r="S110" s="1101"/>
      <c r="T110" s="1101"/>
      <c r="U110" s="1100"/>
      <c r="V110" s="1100"/>
      <c r="W110" s="1100"/>
      <c r="X110" s="1101"/>
      <c r="Y110" s="1100"/>
      <c r="Z110" s="1100"/>
      <c r="AA110" s="1100"/>
      <c r="AB110" s="11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T6247"/>
  <sheetViews>
    <sheetView topLeftCell="A6134" zoomScale="81" zoomScaleNormal="115" workbookViewId="0">
      <selection activeCell="U14" sqref="U14"/>
    </sheetView>
  </sheetViews>
  <sheetFormatPr defaultRowHeight="15"/>
  <cols>
    <col min="2" max="2" width="34.140625" customWidth="1"/>
    <col min="3" max="11" width="8.85546875" customWidth="1"/>
    <col min="12" max="12" width="11.140625" bestFit="1" customWidth="1"/>
  </cols>
  <sheetData>
    <row r="2" spans="2:4">
      <c r="B2" t="s">
        <v>1152</v>
      </c>
    </row>
    <row r="3" spans="2:4">
      <c r="C3" t="s">
        <v>1153</v>
      </c>
    </row>
    <row r="4" spans="2:4">
      <c r="C4" t="s">
        <v>1154</v>
      </c>
    </row>
    <row r="5" spans="2:4">
      <c r="C5" t="s">
        <v>1155</v>
      </c>
    </row>
    <row r="6" spans="2:4">
      <c r="D6" t="s">
        <v>1156</v>
      </c>
    </row>
    <row r="7" spans="2:4">
      <c r="D7" t="s">
        <v>1157</v>
      </c>
    </row>
    <row r="8" spans="2:4">
      <c r="C8" t="s">
        <v>1158</v>
      </c>
    </row>
    <row r="10" spans="2:4">
      <c r="B10" t="s">
        <v>1159</v>
      </c>
    </row>
    <row r="11" spans="2:4">
      <c r="B11" t="s">
        <v>1160</v>
      </c>
    </row>
    <row r="12" spans="2:4">
      <c r="C12" t="s">
        <v>1161</v>
      </c>
    </row>
    <row r="13" spans="2:4">
      <c r="C13" t="s">
        <v>1162</v>
      </c>
    </row>
    <row r="14" spans="2:4">
      <c r="C14" t="s">
        <v>1163</v>
      </c>
    </row>
    <row r="15" spans="2:4">
      <c r="B15" t="s">
        <v>417</v>
      </c>
    </row>
    <row r="16" spans="2:4">
      <c r="C16" t="s">
        <v>1164</v>
      </c>
    </row>
    <row r="17" spans="2:14">
      <c r="C17" t="s">
        <v>1165</v>
      </c>
    </row>
    <row r="18" spans="2:14">
      <c r="B18" t="s">
        <v>1166</v>
      </c>
    </row>
    <row r="19" spans="2:14">
      <c r="C19" t="s">
        <v>1167</v>
      </c>
    </row>
    <row r="20" spans="2:14">
      <c r="C20" t="s">
        <v>1170</v>
      </c>
    </row>
    <row r="21" spans="2:14">
      <c r="C21" t="s">
        <v>1168</v>
      </c>
    </row>
    <row r="22" spans="2:14">
      <c r="C22" t="s">
        <v>1169</v>
      </c>
    </row>
    <row r="23" spans="2:14">
      <c r="C23" t="s">
        <v>652</v>
      </c>
    </row>
    <row r="24" spans="2:14">
      <c r="B24" t="s">
        <v>1171</v>
      </c>
    </row>
    <row r="25" spans="2:14">
      <c r="C25" t="s">
        <v>1172</v>
      </c>
    </row>
    <row r="26" spans="2:14">
      <c r="C26" t="s">
        <v>1173</v>
      </c>
    </row>
    <row r="27" spans="2:14">
      <c r="C27" t="s">
        <v>1174</v>
      </c>
    </row>
    <row r="29" spans="2:14">
      <c r="B29" s="2" t="s">
        <v>9</v>
      </c>
      <c r="N29" s="2" t="s">
        <v>66</v>
      </c>
    </row>
    <row r="30" spans="2:14">
      <c r="B30" t="s">
        <v>160</v>
      </c>
      <c r="N30" t="s">
        <v>67</v>
      </c>
    </row>
    <row r="31" spans="2:14">
      <c r="B31" t="s">
        <v>164</v>
      </c>
      <c r="N31" t="s">
        <v>407</v>
      </c>
    </row>
    <row r="32" spans="2:14">
      <c r="B32" t="s">
        <v>159</v>
      </c>
      <c r="N32" t="s">
        <v>68</v>
      </c>
    </row>
    <row r="34" spans="2:2">
      <c r="B34" t="s">
        <v>1058</v>
      </c>
    </row>
    <row r="35" spans="2:2">
      <c r="B35" t="s">
        <v>1059</v>
      </c>
    </row>
    <row r="36" spans="2:2">
      <c r="B36" t="s">
        <v>1060</v>
      </c>
    </row>
    <row r="37" spans="2:2">
      <c r="B37" t="s">
        <v>1061</v>
      </c>
    </row>
    <row r="38" spans="2:2">
      <c r="B38" t="s">
        <v>1062</v>
      </c>
    </row>
    <row r="39" spans="2:2">
      <c r="B39" t="s">
        <v>1063</v>
      </c>
    </row>
    <row r="40" spans="2:2">
      <c r="B40" t="s">
        <v>1064</v>
      </c>
    </row>
    <row r="41" spans="2:2">
      <c r="B41" t="s">
        <v>1065</v>
      </c>
    </row>
    <row r="42" spans="2:2">
      <c r="B42" t="s">
        <v>1066</v>
      </c>
    </row>
    <row r="43" spans="2:2">
      <c r="B43" t="s">
        <v>1067</v>
      </c>
    </row>
    <row r="44" spans="2:2">
      <c r="B44" t="s">
        <v>1068</v>
      </c>
    </row>
    <row r="45" spans="2:2">
      <c r="B45" t="s">
        <v>1069</v>
      </c>
    </row>
    <row r="46" spans="2:2">
      <c r="B46" t="s">
        <v>1070</v>
      </c>
    </row>
    <row r="48" spans="2:2">
      <c r="B48" s="2" t="s">
        <v>10</v>
      </c>
    </row>
    <row r="49" spans="1:5">
      <c r="B49" s="7" t="s">
        <v>166</v>
      </c>
    </row>
    <row r="50" spans="1:5">
      <c r="B50" t="s">
        <v>165</v>
      </c>
    </row>
    <row r="52" spans="1:5">
      <c r="B52" t="s">
        <v>162</v>
      </c>
    </row>
    <row r="53" spans="1:5">
      <c r="B53" t="s">
        <v>161</v>
      </c>
    </row>
    <row r="54" spans="1:5">
      <c r="B54" s="7" t="s">
        <v>163</v>
      </c>
    </row>
    <row r="55" spans="1:5">
      <c r="B55" s="2" t="s">
        <v>30</v>
      </c>
    </row>
    <row r="56" spans="1:5">
      <c r="B56" t="s">
        <v>31</v>
      </c>
    </row>
    <row r="57" spans="1:5">
      <c r="B57" t="s">
        <v>32</v>
      </c>
    </row>
    <row r="58" spans="1:5">
      <c r="B58" t="s">
        <v>33</v>
      </c>
    </row>
    <row r="59" spans="1:5">
      <c r="B59" t="s">
        <v>34</v>
      </c>
    </row>
    <row r="61" spans="1:5">
      <c r="B61" s="2" t="s">
        <v>713</v>
      </c>
    </row>
    <row r="63" spans="1:5">
      <c r="B63" s="42" t="s">
        <v>714</v>
      </c>
    </row>
    <row r="64" spans="1:5">
      <c r="A64" s="8">
        <f>SEGMENTOS!AF7/SUM(SEGMENTOS!AF$7:AF$9)</f>
        <v>0.74965848788945522</v>
      </c>
      <c r="B64" t="str">
        <f>SEGMENTOS!A7</f>
        <v>Television Broadcasting</v>
      </c>
      <c r="E64" t="s">
        <v>717</v>
      </c>
    </row>
    <row r="65" spans="1:12">
      <c r="A65" s="8">
        <f>SEGMENTOS!AF8/SUM(SEGMENTOS!AF$7:AF$9)</f>
        <v>0.11771988125886618</v>
      </c>
      <c r="B65" t="str">
        <f>SEGMENTOS!A8</f>
        <v>Pay Television Networks</v>
      </c>
      <c r="E65" t="s">
        <v>718</v>
      </c>
    </row>
    <row r="66" spans="1:12">
      <c r="A66" s="8">
        <f>SEGMENTOS!AF9/SUM(SEGMENTOS!AF$7:AF$9)</f>
        <v>0.13262163085167866</v>
      </c>
      <c r="B66" t="str">
        <f>SEGMENTOS!A9</f>
        <v>Programming Exports</v>
      </c>
      <c r="E66" t="s">
        <v>719</v>
      </c>
    </row>
    <row r="68" spans="1:12">
      <c r="B68" s="42" t="s">
        <v>715</v>
      </c>
    </row>
    <row r="69" spans="1:12">
      <c r="B69" t="str">
        <f>Interims!A8</f>
        <v>Advertising</v>
      </c>
      <c r="E69" t="s">
        <v>729</v>
      </c>
    </row>
    <row r="70" spans="1:12">
      <c r="B70" t="str">
        <f>Interims!A9</f>
        <v>Network Subscription Revenue</v>
      </c>
      <c r="E70" t="s">
        <v>728</v>
      </c>
    </row>
    <row r="71" spans="1:12">
      <c r="B71" t="str">
        <f>Interims!A10</f>
        <v>Licensing and Syndication</v>
      </c>
    </row>
    <row r="72" spans="1:12">
      <c r="B72" s="2"/>
    </row>
    <row r="74" spans="1:12">
      <c r="B74" s="1" t="s">
        <v>711</v>
      </c>
      <c r="C74" s="1"/>
      <c r="D74" s="1" t="s">
        <v>710</v>
      </c>
    </row>
    <row r="75" spans="1:12">
      <c r="B75" s="1"/>
      <c r="C75" s="1"/>
      <c r="D75" s="1" t="s">
        <v>712</v>
      </c>
    </row>
    <row r="76" spans="1:12">
      <c r="B76" s="42" t="s">
        <v>716</v>
      </c>
    </row>
    <row r="77" spans="1:12">
      <c r="B77" s="2" t="s">
        <v>74</v>
      </c>
    </row>
    <row r="78" spans="1:12">
      <c r="B78" t="s">
        <v>69</v>
      </c>
    </row>
    <row r="79" spans="1:12">
      <c r="B79" t="s">
        <v>70</v>
      </c>
      <c r="L79" t="s">
        <v>71</v>
      </c>
    </row>
    <row r="80" spans="1:12">
      <c r="B80" t="s">
        <v>73</v>
      </c>
    </row>
    <row r="81" spans="2:2">
      <c r="B81" t="s">
        <v>72</v>
      </c>
    </row>
    <row r="82" spans="2:2">
      <c r="B82" t="s">
        <v>75</v>
      </c>
    </row>
    <row r="83" spans="2:2">
      <c r="B83" s="2" t="s">
        <v>4</v>
      </c>
    </row>
    <row r="84" spans="2:2">
      <c r="B84" t="s">
        <v>79</v>
      </c>
    </row>
    <row r="85" spans="2:2">
      <c r="B85" t="s">
        <v>80</v>
      </c>
    </row>
    <row r="86" spans="2:2">
      <c r="B86" t="s">
        <v>76</v>
      </c>
    </row>
    <row r="87" spans="2:2">
      <c r="B87" t="s">
        <v>77</v>
      </c>
    </row>
    <row r="88" spans="2:2">
      <c r="B88" t="s">
        <v>78</v>
      </c>
    </row>
    <row r="89" spans="2:2">
      <c r="B89" s="2"/>
    </row>
    <row r="90" spans="2:2">
      <c r="B90" t="s">
        <v>0</v>
      </c>
    </row>
    <row r="91" spans="2:2">
      <c r="B91" t="s">
        <v>14</v>
      </c>
    </row>
    <row r="92" spans="2:2">
      <c r="B92" t="s">
        <v>1</v>
      </c>
    </row>
    <row r="94" spans="2:2">
      <c r="B94" s="2" t="s">
        <v>15</v>
      </c>
    </row>
    <row r="95" spans="2:2">
      <c r="B95" t="s">
        <v>11</v>
      </c>
    </row>
    <row r="96" spans="2:2">
      <c r="B96" t="s">
        <v>12</v>
      </c>
    </row>
    <row r="97" spans="2:2">
      <c r="B97" t="s">
        <v>13</v>
      </c>
    </row>
    <row r="98" spans="2:2">
      <c r="B98" s="2" t="s">
        <v>16</v>
      </c>
    </row>
    <row r="99" spans="2:2">
      <c r="B99" s="1" t="s">
        <v>24</v>
      </c>
    </row>
    <row r="100" spans="2:2">
      <c r="B100" t="s">
        <v>8</v>
      </c>
    </row>
    <row r="101" spans="2:2">
      <c r="B101" t="s">
        <v>17</v>
      </c>
    </row>
    <row r="103" spans="2:2">
      <c r="B103" t="s">
        <v>2</v>
      </c>
    </row>
    <row r="104" spans="2:2">
      <c r="B104" t="s">
        <v>23</v>
      </c>
    </row>
    <row r="105" spans="2:2">
      <c r="B105" t="s">
        <v>22</v>
      </c>
    </row>
    <row r="107" spans="2:2">
      <c r="B107" t="s">
        <v>18</v>
      </c>
    </row>
    <row r="108" spans="2:2">
      <c r="B108" t="s">
        <v>19</v>
      </c>
    </row>
    <row r="109" spans="2:2">
      <c r="B109" t="s">
        <v>20</v>
      </c>
    </row>
    <row r="110" spans="2:2">
      <c r="B110" t="s">
        <v>21</v>
      </c>
    </row>
    <row r="112" spans="2:2">
      <c r="B112" s="2" t="s">
        <v>25</v>
      </c>
    </row>
    <row r="113" spans="2:4">
      <c r="B113" t="s">
        <v>26</v>
      </c>
    </row>
    <row r="114" spans="2:4">
      <c r="B114" t="s">
        <v>27</v>
      </c>
    </row>
    <row r="115" spans="2:4">
      <c r="B115" t="s">
        <v>28</v>
      </c>
    </row>
    <row r="116" spans="2:4">
      <c r="B116" t="s">
        <v>29</v>
      </c>
    </row>
    <row r="118" spans="2:4">
      <c r="B118" s="2" t="s">
        <v>35</v>
      </c>
    </row>
    <row r="119" spans="2:4">
      <c r="B119" t="s">
        <v>36</v>
      </c>
    </row>
    <row r="120" spans="2:4">
      <c r="B120" t="s">
        <v>37</v>
      </c>
    </row>
    <row r="121" spans="2:4">
      <c r="B121" s="2">
        <v>2009</v>
      </c>
      <c r="C121" s="2">
        <f>B121+1</f>
        <v>2010</v>
      </c>
      <c r="D121" s="2">
        <f>C121+1</f>
        <v>2011</v>
      </c>
    </row>
    <row r="122" spans="2:4">
      <c r="B122" s="3" t="s">
        <v>38</v>
      </c>
      <c r="C122" s="3" t="s">
        <v>39</v>
      </c>
      <c r="D122" s="3" t="s">
        <v>40</v>
      </c>
    </row>
    <row r="123" spans="2:4">
      <c r="B123" t="s">
        <v>41</v>
      </c>
    </row>
    <row r="124" spans="2:4">
      <c r="B124" t="s">
        <v>42</v>
      </c>
    </row>
    <row r="125" spans="2:4">
      <c r="B125" t="s">
        <v>553</v>
      </c>
    </row>
    <row r="126" spans="2:4">
      <c r="B126">
        <f>49/0.02</f>
        <v>2450</v>
      </c>
    </row>
    <row r="127" spans="2:4">
      <c r="B127" t="s">
        <v>43</v>
      </c>
    </row>
    <row r="129" spans="2:19">
      <c r="B129" s="2" t="s">
        <v>50</v>
      </c>
    </row>
    <row r="130" spans="2:19">
      <c r="B130" t="s">
        <v>52</v>
      </c>
      <c r="N130" t="s">
        <v>84</v>
      </c>
    </row>
    <row r="131" spans="2:19">
      <c r="B131" t="s">
        <v>51</v>
      </c>
    </row>
    <row r="132" spans="2:19">
      <c r="B132" t="s">
        <v>53</v>
      </c>
      <c r="O132">
        <v>2011</v>
      </c>
      <c r="P132">
        <f>O132+1</f>
        <v>2012</v>
      </c>
      <c r="Q132">
        <f>P132+1</f>
        <v>2013</v>
      </c>
      <c r="R132">
        <f>Q132+1</f>
        <v>2014</v>
      </c>
      <c r="S132">
        <f>R132+1</f>
        <v>2015</v>
      </c>
    </row>
    <row r="133" spans="2:19">
      <c r="B133" t="s">
        <v>54</v>
      </c>
      <c r="N133" t="s">
        <v>61</v>
      </c>
      <c r="O133">
        <v>1.39</v>
      </c>
      <c r="P133">
        <v>1.28</v>
      </c>
      <c r="Q133">
        <v>1.26</v>
      </c>
      <c r="R133">
        <f>Q133</f>
        <v>1.26</v>
      </c>
      <c r="S133">
        <f>R133</f>
        <v>1.26</v>
      </c>
    </row>
    <row r="134" spans="2:19">
      <c r="B134" t="s">
        <v>55</v>
      </c>
      <c r="N134" t="s">
        <v>60</v>
      </c>
      <c r="O134">
        <v>572</v>
      </c>
      <c r="P134" s="4">
        <v>342.96999817177419</v>
      </c>
      <c r="Q134" s="4">
        <v>380.61019549819048</v>
      </c>
      <c r="R134" s="4">
        <v>430.85959692479395</v>
      </c>
      <c r="S134" s="4">
        <v>487.02381338634621</v>
      </c>
    </row>
    <row r="135" spans="2:19">
      <c r="B135" t="s">
        <v>56</v>
      </c>
      <c r="N135" t="s">
        <v>58</v>
      </c>
      <c r="O135" s="4">
        <f>O133*O134</f>
        <v>795.07999999999993</v>
      </c>
      <c r="P135" s="4">
        <f>P133*P134</f>
        <v>439.00159765987098</v>
      </c>
      <c r="Q135" s="4">
        <f>Q133*Q134</f>
        <v>479.56884632772</v>
      </c>
      <c r="R135" s="4">
        <f>R133*R134</f>
        <v>542.88309212524041</v>
      </c>
      <c r="S135" s="4">
        <f>S133*S134</f>
        <v>613.65000486679617</v>
      </c>
    </row>
    <row r="136" spans="2:19">
      <c r="B136" t="s">
        <v>63</v>
      </c>
      <c r="N136" s="5" t="s">
        <v>59</v>
      </c>
      <c r="O136" s="6">
        <f>SUM(O135:S135)</f>
        <v>2870.1835409796277</v>
      </c>
    </row>
    <row r="137" spans="2:19">
      <c r="B137" t="s">
        <v>64</v>
      </c>
      <c r="N137" t="s">
        <v>62</v>
      </c>
      <c r="O137">
        <f>O132</f>
        <v>2011</v>
      </c>
      <c r="P137">
        <f>P132</f>
        <v>2012</v>
      </c>
      <c r="Q137">
        <f>Q132</f>
        <v>2013</v>
      </c>
      <c r="R137">
        <f>R132</f>
        <v>2014</v>
      </c>
      <c r="S137">
        <f>S132</f>
        <v>2015</v>
      </c>
    </row>
    <row r="138" spans="2:19">
      <c r="B138" t="s">
        <v>65</v>
      </c>
      <c r="N138" t="s">
        <v>58</v>
      </c>
      <c r="O138" s="4">
        <v>730.40000000000009</v>
      </c>
      <c r="P138" s="4">
        <v>613.77951086116855</v>
      </c>
      <c r="Q138" s="4">
        <v>631.02555832922405</v>
      </c>
      <c r="R138" s="4">
        <v>696.73453047598673</v>
      </c>
      <c r="S138" s="4">
        <v>750.49853089899489</v>
      </c>
    </row>
    <row r="139" spans="2:19">
      <c r="N139" s="5" t="s">
        <v>59</v>
      </c>
      <c r="O139" s="6">
        <f>SUM(O138:S138)</f>
        <v>3422.4381305653746</v>
      </c>
      <c r="P139" s="4"/>
      <c r="Q139" s="4"/>
      <c r="R139" s="4"/>
      <c r="S139" s="4"/>
    </row>
    <row r="140" spans="2:19">
      <c r="B140" s="2" t="s">
        <v>110</v>
      </c>
    </row>
    <row r="141" spans="2:19">
      <c r="B141" s="1" t="s">
        <v>111</v>
      </c>
      <c r="O141" s="4"/>
      <c r="P141" s="4"/>
      <c r="Q141" s="4"/>
      <c r="R141" s="4"/>
      <c r="S141" s="4"/>
    </row>
    <row r="142" spans="2:19">
      <c r="B142" t="s">
        <v>103</v>
      </c>
      <c r="O142" s="4"/>
      <c r="P142" s="4"/>
      <c r="Q142" s="4"/>
      <c r="R142" s="4"/>
      <c r="S142" s="4"/>
    </row>
    <row r="143" spans="2:19">
      <c r="B143" t="s">
        <v>104</v>
      </c>
      <c r="O143" s="4"/>
      <c r="P143" s="4"/>
      <c r="Q143" s="4"/>
      <c r="R143" s="4"/>
      <c r="S143" s="4"/>
    </row>
    <row r="144" spans="2:19">
      <c r="B144" t="s">
        <v>105</v>
      </c>
      <c r="O144" s="4"/>
      <c r="P144" s="4"/>
      <c r="Q144" s="4"/>
      <c r="R144" s="4"/>
      <c r="S144" s="4"/>
    </row>
    <row r="145" spans="2:19">
      <c r="B145" t="s">
        <v>106</v>
      </c>
      <c r="O145" s="4"/>
      <c r="P145" s="4"/>
      <c r="Q145" s="4"/>
      <c r="R145" s="4"/>
      <c r="S145" s="4"/>
    </row>
    <row r="146" spans="2:19">
      <c r="B146" t="s">
        <v>107</v>
      </c>
      <c r="O146" s="4"/>
      <c r="P146" s="4"/>
      <c r="Q146" s="4"/>
      <c r="R146" s="4"/>
      <c r="S146" s="4"/>
    </row>
    <row r="147" spans="2:19">
      <c r="B147" t="s">
        <v>108</v>
      </c>
      <c r="O147" s="4"/>
      <c r="P147" s="4"/>
      <c r="Q147" s="4"/>
      <c r="R147" s="4"/>
      <c r="S147" s="4"/>
    </row>
    <row r="148" spans="2:19">
      <c r="B148" t="s">
        <v>109</v>
      </c>
      <c r="O148" s="4"/>
      <c r="P148" s="4"/>
      <c r="Q148" s="4"/>
      <c r="R148" s="4"/>
      <c r="S148" s="4"/>
    </row>
    <row r="149" spans="2:19">
      <c r="O149" s="4"/>
      <c r="P149" s="4"/>
      <c r="Q149" s="4"/>
      <c r="R149" s="4"/>
      <c r="S149" s="4"/>
    </row>
    <row r="150" spans="2:19">
      <c r="B150" s="2" t="s">
        <v>44</v>
      </c>
    </row>
    <row r="151" spans="2:19">
      <c r="B151" t="s">
        <v>81</v>
      </c>
    </row>
    <row r="152" spans="2:19">
      <c r="B152" t="s">
        <v>45</v>
      </c>
    </row>
    <row r="154" spans="2:19">
      <c r="B154" t="s">
        <v>46</v>
      </c>
    </row>
    <row r="155" spans="2:19">
      <c r="B155" t="s">
        <v>47</v>
      </c>
    </row>
    <row r="156" spans="2:19">
      <c r="B156" t="s">
        <v>48</v>
      </c>
    </row>
    <row r="157" spans="2:19">
      <c r="B157" t="s">
        <v>49</v>
      </c>
    </row>
    <row r="158" spans="2:19">
      <c r="B158" t="s">
        <v>92</v>
      </c>
    </row>
    <row r="160" spans="2:19">
      <c r="B160" s="1" t="s">
        <v>3</v>
      </c>
    </row>
    <row r="162" spans="2:3">
      <c r="B162" s="2" t="s">
        <v>4</v>
      </c>
    </row>
    <row r="163" spans="2:3">
      <c r="B163" t="s">
        <v>5</v>
      </c>
    </row>
    <row r="164" spans="2:3">
      <c r="B164" t="s">
        <v>6</v>
      </c>
    </row>
    <row r="165" spans="2:3">
      <c r="B165" t="s">
        <v>7</v>
      </c>
    </row>
    <row r="166" spans="2:3">
      <c r="B166" t="s">
        <v>84</v>
      </c>
    </row>
    <row r="167" spans="2:3">
      <c r="B167" s="2" t="s">
        <v>82</v>
      </c>
    </row>
    <row r="168" spans="2:3">
      <c r="B168" t="s">
        <v>86</v>
      </c>
    </row>
    <row r="169" spans="2:3">
      <c r="B169" t="s">
        <v>83</v>
      </c>
    </row>
    <row r="170" spans="2:3">
      <c r="B170" t="s">
        <v>85</v>
      </c>
    </row>
    <row r="172" spans="2:3">
      <c r="B172" t="s">
        <v>87</v>
      </c>
      <c r="C172" s="8">
        <v>0.32</v>
      </c>
    </row>
    <row r="173" spans="2:3">
      <c r="B173" t="s">
        <v>88</v>
      </c>
      <c r="C173" s="8">
        <v>0.17</v>
      </c>
    </row>
    <row r="174" spans="2:3">
      <c r="B174" t="s">
        <v>89</v>
      </c>
      <c r="C174" s="8">
        <v>0.17</v>
      </c>
    </row>
    <row r="175" spans="2:3">
      <c r="B175" t="s">
        <v>90</v>
      </c>
      <c r="C175" s="8">
        <v>0.1</v>
      </c>
    </row>
    <row r="176" spans="2:3">
      <c r="B176" t="s">
        <v>91</v>
      </c>
      <c r="C176" s="8">
        <v>0.09</v>
      </c>
    </row>
    <row r="177" spans="2:3">
      <c r="B177" t="s">
        <v>44</v>
      </c>
      <c r="C177" s="8">
        <f>100%-SUM(C172:C176)</f>
        <v>0.15000000000000002</v>
      </c>
    </row>
    <row r="188" spans="2:3">
      <c r="B188" s="42" t="s">
        <v>167</v>
      </c>
    </row>
    <row r="189" spans="2:3">
      <c r="B189" t="s">
        <v>168</v>
      </c>
    </row>
    <row r="190" spans="2:3">
      <c r="B190" s="42" t="s">
        <v>169</v>
      </c>
    </row>
    <row r="191" spans="2:3">
      <c r="B191" t="s">
        <v>170</v>
      </c>
    </row>
    <row r="192" spans="2:3">
      <c r="B192" t="s">
        <v>171</v>
      </c>
    </row>
    <row r="193" spans="2:2">
      <c r="B193" t="s">
        <v>172</v>
      </c>
    </row>
    <row r="195" spans="2:2">
      <c r="B195" t="s">
        <v>173</v>
      </c>
    </row>
    <row r="196" spans="2:2">
      <c r="B196" t="s">
        <v>174</v>
      </c>
    </row>
    <row r="197" spans="2:2">
      <c r="B197" t="s">
        <v>175</v>
      </c>
    </row>
    <row r="198" spans="2:2">
      <c r="B198" t="s">
        <v>176</v>
      </c>
    </row>
    <row r="199" spans="2:2">
      <c r="B199" t="s">
        <v>177</v>
      </c>
    </row>
    <row r="200" spans="2:2">
      <c r="B200" t="s">
        <v>178</v>
      </c>
    </row>
    <row r="201" spans="2:2">
      <c r="B201" t="s">
        <v>179</v>
      </c>
    </row>
    <row r="203" spans="2:2">
      <c r="B203" s="2" t="s">
        <v>702</v>
      </c>
    </row>
    <row r="204" spans="2:2">
      <c r="B204" t="s">
        <v>704</v>
      </c>
    </row>
    <row r="205" spans="2:2">
      <c r="B205" t="s">
        <v>705</v>
      </c>
    </row>
    <row r="206" spans="2:2">
      <c r="B206" t="s">
        <v>703</v>
      </c>
    </row>
    <row r="207" spans="2:2">
      <c r="B207" t="s">
        <v>706</v>
      </c>
    </row>
    <row r="208" spans="2:2">
      <c r="B208" t="s">
        <v>707</v>
      </c>
    </row>
    <row r="210" spans="2:2">
      <c r="B210" s="121" t="s">
        <v>1133</v>
      </c>
    </row>
    <row r="212" spans="2:2">
      <c r="B212" t="s">
        <v>1134</v>
      </c>
    </row>
    <row r="213" spans="2:2">
      <c r="B213" t="s">
        <v>1140</v>
      </c>
    </row>
    <row r="214" spans="2:2">
      <c r="B214" t="s">
        <v>1135</v>
      </c>
    </row>
    <row r="215" spans="2:2">
      <c r="B215" t="s">
        <v>1151</v>
      </c>
    </row>
    <row r="216" spans="2:2">
      <c r="B216" t="s">
        <v>1136</v>
      </c>
    </row>
    <row r="217" spans="2:2">
      <c r="B217" t="s">
        <v>1137</v>
      </c>
    </row>
    <row r="218" spans="2:2">
      <c r="B218" t="s">
        <v>1138</v>
      </c>
    </row>
    <row r="219" spans="2:2">
      <c r="B219" t="s">
        <v>1139</v>
      </c>
    </row>
    <row r="220" spans="2:2">
      <c r="B220" t="s">
        <v>1144</v>
      </c>
    </row>
    <row r="222" spans="2:2">
      <c r="B222" t="s">
        <v>1141</v>
      </c>
    </row>
    <row r="223" spans="2:2">
      <c r="B223" t="s">
        <v>1142</v>
      </c>
    </row>
    <row r="224" spans="2:2">
      <c r="B224" t="s">
        <v>1143</v>
      </c>
    </row>
    <row r="226" spans="2:2">
      <c r="B226" t="s">
        <v>1145</v>
      </c>
    </row>
    <row r="227" spans="2:2">
      <c r="B227" t="s">
        <v>1147</v>
      </c>
    </row>
    <row r="228" spans="2:2">
      <c r="B228" t="s">
        <v>1146</v>
      </c>
    </row>
    <row r="230" spans="2:2">
      <c r="B230" t="s">
        <v>1148</v>
      </c>
    </row>
    <row r="232" spans="2:2">
      <c r="B232" t="s">
        <v>1149</v>
      </c>
    </row>
    <row r="233" spans="2:2">
      <c r="B233" t="s">
        <v>1150</v>
      </c>
    </row>
    <row r="235" spans="2:2">
      <c r="B235" s="121" t="s">
        <v>1251</v>
      </c>
    </row>
    <row r="237" spans="2:2">
      <c r="B237" t="s">
        <v>1256</v>
      </c>
    </row>
    <row r="238" spans="2:2">
      <c r="B238" t="s">
        <v>1260</v>
      </c>
    </row>
    <row r="240" spans="2:2">
      <c r="B240" t="s">
        <v>1257</v>
      </c>
    </row>
    <row r="241" spans="2:3">
      <c r="B241" t="s">
        <v>1258</v>
      </c>
    </row>
    <row r="242" spans="2:3">
      <c r="B242" t="s">
        <v>1261</v>
      </c>
    </row>
    <row r="243" spans="2:3">
      <c r="B243" t="s">
        <v>1262</v>
      </c>
    </row>
    <row r="244" spans="2:3">
      <c r="B244" t="s">
        <v>1263</v>
      </c>
    </row>
    <row r="246" spans="2:3">
      <c r="B246" s="2" t="s">
        <v>1259</v>
      </c>
    </row>
    <row r="248" spans="2:3">
      <c r="B248" t="s">
        <v>1252</v>
      </c>
    </row>
    <row r="249" spans="2:3">
      <c r="C249" t="s">
        <v>1265</v>
      </c>
    </row>
    <row r="250" spans="2:3">
      <c r="B250" t="s">
        <v>1254</v>
      </c>
    </row>
    <row r="251" spans="2:3">
      <c r="B251" t="s">
        <v>1253</v>
      </c>
    </row>
    <row r="253" spans="2:3">
      <c r="B253" t="s">
        <v>1255</v>
      </c>
    </row>
    <row r="254" spans="2:3">
      <c r="B254" t="s">
        <v>1264</v>
      </c>
    </row>
    <row r="255" spans="2:3">
      <c r="C255" t="s">
        <v>1266</v>
      </c>
    </row>
    <row r="256" spans="2:3">
      <c r="C256" t="s">
        <v>1267</v>
      </c>
    </row>
    <row r="257" spans="2:4">
      <c r="D257" t="s">
        <v>1268</v>
      </c>
    </row>
    <row r="258" spans="2:4">
      <c r="C258" t="s">
        <v>1269</v>
      </c>
    </row>
    <row r="259" spans="2:4">
      <c r="C259" t="s">
        <v>1270</v>
      </c>
    </row>
    <row r="261" spans="2:4">
      <c r="B261" t="s">
        <v>1271</v>
      </c>
    </row>
    <row r="262" spans="2:4">
      <c r="B262" t="s">
        <v>1272</v>
      </c>
    </row>
    <row r="263" spans="2:4">
      <c r="B263" t="s">
        <v>1276</v>
      </c>
    </row>
    <row r="264" spans="2:4">
      <c r="C264">
        <v>565</v>
      </c>
      <c r="D264" t="s">
        <v>1273</v>
      </c>
    </row>
    <row r="265" spans="2:4">
      <c r="C265">
        <v>300</v>
      </c>
      <c r="D265" t="s">
        <v>1274</v>
      </c>
    </row>
    <row r="266" spans="2:4">
      <c r="C266">
        <v>135</v>
      </c>
      <c r="D266" t="s">
        <v>1275</v>
      </c>
    </row>
    <row r="267" spans="2:4">
      <c r="B267" t="s">
        <v>1277</v>
      </c>
    </row>
    <row r="268" spans="2:4">
      <c r="B268" t="s">
        <v>1278</v>
      </c>
    </row>
    <row r="269" spans="2:4">
      <c r="B269" t="s">
        <v>1279</v>
      </c>
    </row>
    <row r="270" spans="2:4">
      <c r="C270" t="s">
        <v>1280</v>
      </c>
    </row>
    <row r="271" spans="2:4">
      <c r="B271" t="s">
        <v>1281</v>
      </c>
    </row>
    <row r="273" spans="1:3">
      <c r="B273" t="s">
        <v>1282</v>
      </c>
    </row>
    <row r="274" spans="1:3">
      <c r="B274" t="s">
        <v>1283</v>
      </c>
    </row>
    <row r="275" spans="1:3">
      <c r="B275" t="s">
        <v>1284</v>
      </c>
    </row>
    <row r="276" spans="1:3">
      <c r="C276" t="s">
        <v>1285</v>
      </c>
    </row>
    <row r="278" spans="1:3">
      <c r="A278" t="s">
        <v>84</v>
      </c>
      <c r="B278" s="2" t="s">
        <v>1305</v>
      </c>
    </row>
    <row r="279" spans="1:3">
      <c r="B279" s="2"/>
    </row>
    <row r="280" spans="1:3">
      <c r="B280" s="42" t="s">
        <v>1290</v>
      </c>
    </row>
    <row r="281" spans="1:3">
      <c r="B281" t="s">
        <v>1288</v>
      </c>
    </row>
    <row r="282" spans="1:3">
      <c r="B282" t="s">
        <v>1289</v>
      </c>
    </row>
    <row r="283" spans="1:3">
      <c r="B283" t="s">
        <v>1291</v>
      </c>
    </row>
    <row r="284" spans="1:3">
      <c r="B284" t="s">
        <v>1292</v>
      </c>
    </row>
    <row r="285" spans="1:3">
      <c r="B285" t="s">
        <v>1293</v>
      </c>
    </row>
    <row r="286" spans="1:3">
      <c r="B286" t="s">
        <v>1294</v>
      </c>
    </row>
    <row r="287" spans="1:3">
      <c r="B287" t="s">
        <v>1295</v>
      </c>
    </row>
    <row r="288" spans="1:3">
      <c r="C288" t="s">
        <v>1296</v>
      </c>
    </row>
    <row r="289" spans="2:3">
      <c r="C289" t="s">
        <v>1297</v>
      </c>
    </row>
    <row r="290" spans="2:3">
      <c r="B290" t="s">
        <v>1298</v>
      </c>
    </row>
    <row r="291" spans="2:3">
      <c r="B291" s="42" t="s">
        <v>1286</v>
      </c>
    </row>
    <row r="292" spans="2:3">
      <c r="B292" t="s">
        <v>1303</v>
      </c>
    </row>
    <row r="293" spans="2:3">
      <c r="B293" t="s">
        <v>1300</v>
      </c>
    </row>
    <row r="294" spans="2:3">
      <c r="B294" s="42" t="s">
        <v>1301</v>
      </c>
    </row>
    <row r="295" spans="2:3">
      <c r="B295" t="s">
        <v>1302</v>
      </c>
    </row>
    <row r="296" spans="2:3">
      <c r="B296" t="s">
        <v>1299</v>
      </c>
    </row>
    <row r="297" spans="2:3">
      <c r="B297" s="42" t="s">
        <v>50</v>
      </c>
    </row>
    <row r="298" spans="2:3">
      <c r="B298" t="s">
        <v>1304</v>
      </c>
    </row>
    <row r="300" spans="2:3">
      <c r="B300" s="2" t="s">
        <v>1384</v>
      </c>
    </row>
    <row r="301" spans="2:3">
      <c r="B301" t="s">
        <v>1307</v>
      </c>
    </row>
    <row r="302" spans="2:3">
      <c r="B302" t="s">
        <v>1306</v>
      </c>
    </row>
    <row r="303" spans="2:3">
      <c r="B303" s="218" t="s">
        <v>1308</v>
      </c>
    </row>
    <row r="304" spans="2:3">
      <c r="B304" s="218" t="s">
        <v>1309</v>
      </c>
    </row>
    <row r="305" spans="2:3">
      <c r="B305" s="218" t="s">
        <v>1310</v>
      </c>
    </row>
    <row r="306" spans="2:3">
      <c r="B306" s="218"/>
    </row>
    <row r="307" spans="2:3">
      <c r="B307" s="2" t="s">
        <v>1311</v>
      </c>
    </row>
    <row r="309" spans="2:3">
      <c r="B309" s="2" t="s">
        <v>1328</v>
      </c>
    </row>
    <row r="310" spans="2:3">
      <c r="B310" t="s">
        <v>1312</v>
      </c>
    </row>
    <row r="311" spans="2:3">
      <c r="B311" t="s">
        <v>1313</v>
      </c>
    </row>
    <row r="312" spans="2:3">
      <c r="C312" t="s">
        <v>1315</v>
      </c>
    </row>
    <row r="313" spans="2:3">
      <c r="C313" t="s">
        <v>1314</v>
      </c>
    </row>
    <row r="314" spans="2:3">
      <c r="C314" t="s">
        <v>1316</v>
      </c>
    </row>
    <row r="315" spans="2:3">
      <c r="B315" t="s">
        <v>1317</v>
      </c>
    </row>
    <row r="316" spans="2:3">
      <c r="B316" t="s">
        <v>1318</v>
      </c>
    </row>
    <row r="317" spans="2:3">
      <c r="B317" t="s">
        <v>1319</v>
      </c>
    </row>
    <row r="318" spans="2:3">
      <c r="C318" t="s">
        <v>1320</v>
      </c>
    </row>
    <row r="319" spans="2:3">
      <c r="B319" t="s">
        <v>1321</v>
      </c>
    </row>
    <row r="320" spans="2:3">
      <c r="B320" t="s">
        <v>1322</v>
      </c>
    </row>
    <row r="321" spans="2:3">
      <c r="C321" t="s">
        <v>1323</v>
      </c>
    </row>
    <row r="322" spans="2:3">
      <c r="C322" t="s">
        <v>1324</v>
      </c>
    </row>
    <row r="323" spans="2:3">
      <c r="C323" t="s">
        <v>1325</v>
      </c>
    </row>
    <row r="325" spans="2:3">
      <c r="B325" s="2" t="s">
        <v>1326</v>
      </c>
    </row>
    <row r="326" spans="2:3">
      <c r="B326" t="s">
        <v>1327</v>
      </c>
    </row>
    <row r="327" spans="2:3">
      <c r="B327" t="s">
        <v>1329</v>
      </c>
    </row>
    <row r="328" spans="2:3">
      <c r="B328" t="s">
        <v>1330</v>
      </c>
    </row>
    <row r="330" spans="2:3">
      <c r="B330" s="121" t="s">
        <v>1338</v>
      </c>
    </row>
    <row r="331" spans="2:3">
      <c r="B331" t="s">
        <v>1336</v>
      </c>
    </row>
    <row r="332" spans="2:3">
      <c r="B332" t="s">
        <v>1337</v>
      </c>
    </row>
    <row r="334" spans="2:3">
      <c r="B334" s="2" t="s">
        <v>201</v>
      </c>
    </row>
    <row r="335" spans="2:3">
      <c r="B335" t="s">
        <v>1341</v>
      </c>
    </row>
    <row r="336" spans="2:3">
      <c r="B336" t="s">
        <v>1369</v>
      </c>
    </row>
    <row r="337" spans="1:4">
      <c r="B337" t="s">
        <v>1339</v>
      </c>
    </row>
    <row r="338" spans="1:4">
      <c r="B338" t="s">
        <v>1340</v>
      </c>
    </row>
    <row r="339" spans="1:4">
      <c r="B339" t="s">
        <v>1342</v>
      </c>
    </row>
    <row r="341" spans="1:4">
      <c r="A341" t="s">
        <v>84</v>
      </c>
      <c r="B341" s="2" t="s">
        <v>1343</v>
      </c>
    </row>
    <row r="342" spans="1:4">
      <c r="B342" t="s">
        <v>1344</v>
      </c>
    </row>
    <row r="343" spans="1:4">
      <c r="B343" t="s">
        <v>1370</v>
      </c>
    </row>
    <row r="344" spans="1:4">
      <c r="B344" t="s">
        <v>1371</v>
      </c>
    </row>
    <row r="345" spans="1:4">
      <c r="B345" t="s">
        <v>1372</v>
      </c>
    </row>
    <row r="346" spans="1:4">
      <c r="C346" t="s">
        <v>1373</v>
      </c>
    </row>
    <row r="347" spans="1:4">
      <c r="C347" t="s">
        <v>1374</v>
      </c>
    </row>
    <row r="348" spans="1:4">
      <c r="B348" t="s">
        <v>84</v>
      </c>
      <c r="D348" t="s">
        <v>1375</v>
      </c>
    </row>
    <row r="349" spans="1:4">
      <c r="B349" t="s">
        <v>1376</v>
      </c>
    </row>
    <row r="350" spans="1:4">
      <c r="B350" t="s">
        <v>1377</v>
      </c>
    </row>
    <row r="352" spans="1:4">
      <c r="B352" s="2" t="s">
        <v>1345</v>
      </c>
    </row>
    <row r="353" spans="2:8">
      <c r="B353" t="s">
        <v>1346</v>
      </c>
    </row>
    <row r="354" spans="2:8">
      <c r="B354" t="s">
        <v>1347</v>
      </c>
    </row>
    <row r="357" spans="2:8">
      <c r="B357" s="2" t="s">
        <v>1348</v>
      </c>
    </row>
    <row r="358" spans="2:8">
      <c r="B358" t="s">
        <v>1349</v>
      </c>
    </row>
    <row r="359" spans="2:8">
      <c r="B359" t="s">
        <v>1350</v>
      </c>
    </row>
    <row r="361" spans="2:8">
      <c r="B361" s="2" t="s">
        <v>201</v>
      </c>
    </row>
    <row r="362" spans="2:8">
      <c r="B362" t="s">
        <v>1351</v>
      </c>
    </row>
    <row r="363" spans="2:8">
      <c r="B363" t="s">
        <v>1353</v>
      </c>
    </row>
    <row r="364" spans="2:8">
      <c r="B364" t="s">
        <v>1352</v>
      </c>
    </row>
    <row r="366" spans="2:8">
      <c r="B366" t="s">
        <v>1354</v>
      </c>
      <c r="H366" t="s">
        <v>1355</v>
      </c>
    </row>
    <row r="367" spans="2:8">
      <c r="B367" t="s">
        <v>1356</v>
      </c>
      <c r="E367" t="s">
        <v>1362</v>
      </c>
    </row>
    <row r="368" spans="2:8">
      <c r="B368" t="s">
        <v>1357</v>
      </c>
    </row>
    <row r="369" spans="2:3">
      <c r="B369" t="s">
        <v>1358</v>
      </c>
    </row>
    <row r="370" spans="2:3">
      <c r="B370" t="s">
        <v>1359</v>
      </c>
    </row>
    <row r="371" spans="2:3">
      <c r="C371" t="s">
        <v>1360</v>
      </c>
    </row>
    <row r="372" spans="2:3">
      <c r="C372" t="s">
        <v>1361</v>
      </c>
    </row>
    <row r="374" spans="2:3">
      <c r="B374" s="2" t="s">
        <v>1363</v>
      </c>
    </row>
    <row r="375" spans="2:3">
      <c r="B375" t="s">
        <v>1364</v>
      </c>
    </row>
    <row r="376" spans="2:3">
      <c r="B376" t="s">
        <v>1365</v>
      </c>
    </row>
    <row r="377" spans="2:3">
      <c r="C377" t="s">
        <v>1366</v>
      </c>
    </row>
    <row r="379" spans="2:3">
      <c r="B379" s="2" t="s">
        <v>50</v>
      </c>
    </row>
    <row r="380" spans="2:3">
      <c r="B380" t="s">
        <v>1368</v>
      </c>
    </row>
    <row r="381" spans="2:3">
      <c r="B381" t="s">
        <v>1367</v>
      </c>
    </row>
    <row r="383" spans="2:3">
      <c r="B383" s="121" t="s">
        <v>1395</v>
      </c>
    </row>
    <row r="385" spans="2:7">
      <c r="B385" t="s">
        <v>1391</v>
      </c>
    </row>
    <row r="386" spans="2:7">
      <c r="C386" s="42" t="s">
        <v>1406</v>
      </c>
      <c r="G386" s="42"/>
    </row>
    <row r="387" spans="2:7">
      <c r="C387" s="42" t="s">
        <v>1407</v>
      </c>
      <c r="G387" s="42"/>
    </row>
    <row r="388" spans="2:7">
      <c r="C388" t="s">
        <v>1392</v>
      </c>
    </row>
    <row r="389" spans="2:7">
      <c r="D389" t="s">
        <v>1394</v>
      </c>
    </row>
    <row r="390" spans="2:7">
      <c r="C390" t="s">
        <v>1393</v>
      </c>
    </row>
    <row r="391" spans="2:7">
      <c r="C391" s="42" t="s">
        <v>1411</v>
      </c>
    </row>
    <row r="392" spans="2:7">
      <c r="C392" s="42" t="s">
        <v>1412</v>
      </c>
    </row>
    <row r="393" spans="2:7">
      <c r="C393" s="42" t="s">
        <v>1413</v>
      </c>
    </row>
    <row r="394" spans="2:7">
      <c r="C394" s="42" t="s">
        <v>1414</v>
      </c>
    </row>
    <row r="395" spans="2:7">
      <c r="B395" t="s">
        <v>1385</v>
      </c>
    </row>
    <row r="396" spans="2:7">
      <c r="C396" t="s">
        <v>1401</v>
      </c>
    </row>
    <row r="397" spans="2:7">
      <c r="C397" s="42" t="s">
        <v>1409</v>
      </c>
    </row>
    <row r="398" spans="2:7">
      <c r="C398" s="42" t="s">
        <v>1410</v>
      </c>
    </row>
    <row r="399" spans="2:7">
      <c r="C399" t="s">
        <v>1402</v>
      </c>
    </row>
    <row r="400" spans="2:7">
      <c r="C400" s="42" t="s">
        <v>1415</v>
      </c>
    </row>
    <row r="401" spans="2:3">
      <c r="B401" t="s">
        <v>1404</v>
      </c>
    </row>
    <row r="402" spans="2:3">
      <c r="C402" s="42" t="s">
        <v>1416</v>
      </c>
    </row>
    <row r="403" spans="2:3">
      <c r="C403" s="42" t="s">
        <v>1417</v>
      </c>
    </row>
    <row r="404" spans="2:3">
      <c r="C404" s="42" t="s">
        <v>1418</v>
      </c>
    </row>
    <row r="405" spans="2:3">
      <c r="C405" t="s">
        <v>1405</v>
      </c>
    </row>
    <row r="406" spans="2:3">
      <c r="C406" t="s">
        <v>1397</v>
      </c>
    </row>
    <row r="407" spans="2:3">
      <c r="B407" t="s">
        <v>84</v>
      </c>
      <c r="C407" s="42" t="s">
        <v>1419</v>
      </c>
    </row>
    <row r="408" spans="2:3">
      <c r="C408" s="42" t="s">
        <v>1420</v>
      </c>
    </row>
    <row r="409" spans="2:3">
      <c r="C409" s="42" t="s">
        <v>1421</v>
      </c>
    </row>
    <row r="410" spans="2:3">
      <c r="C410" t="s">
        <v>1386</v>
      </c>
    </row>
    <row r="411" spans="2:3">
      <c r="C411" t="s">
        <v>1403</v>
      </c>
    </row>
    <row r="412" spans="2:3">
      <c r="C412" s="42" t="s">
        <v>1408</v>
      </c>
    </row>
    <row r="413" spans="2:3">
      <c r="B413" t="s">
        <v>1400</v>
      </c>
    </row>
    <row r="414" spans="2:3">
      <c r="C414" t="s">
        <v>1396</v>
      </c>
    </row>
    <row r="415" spans="2:3">
      <c r="B415" t="s">
        <v>1398</v>
      </c>
    </row>
    <row r="416" spans="2:3">
      <c r="C416" t="s">
        <v>1399</v>
      </c>
    </row>
    <row r="417" spans="2:3">
      <c r="B417" t="s">
        <v>1387</v>
      </c>
    </row>
    <row r="418" spans="2:3">
      <c r="C418" t="s">
        <v>1388</v>
      </c>
    </row>
    <row r="419" spans="2:3">
      <c r="B419" t="s">
        <v>1389</v>
      </c>
    </row>
    <row r="420" spans="2:3">
      <c r="B420" t="s">
        <v>1390</v>
      </c>
    </row>
    <row r="421" spans="2:3">
      <c r="C421" s="42" t="s">
        <v>1422</v>
      </c>
    </row>
    <row r="423" spans="2:3">
      <c r="B423" s="42" t="s">
        <v>1431</v>
      </c>
    </row>
    <row r="424" spans="2:3">
      <c r="B424" t="s">
        <v>1432</v>
      </c>
    </row>
    <row r="425" spans="2:3">
      <c r="C425" t="s">
        <v>1433</v>
      </c>
    </row>
    <row r="426" spans="2:3">
      <c r="C426" t="s">
        <v>1430</v>
      </c>
    </row>
    <row r="427" spans="2:3">
      <c r="C427" t="s">
        <v>1434</v>
      </c>
    </row>
    <row r="428" spans="2:3">
      <c r="B428" t="s">
        <v>1435</v>
      </c>
    </row>
    <row r="429" spans="2:3">
      <c r="B429" t="s">
        <v>1436</v>
      </c>
    </row>
    <row r="431" spans="2:3">
      <c r="B431" s="121" t="s">
        <v>1437</v>
      </c>
    </row>
    <row r="433" spans="2:4">
      <c r="B433" t="s">
        <v>146</v>
      </c>
    </row>
    <row r="434" spans="2:4">
      <c r="C434" t="s">
        <v>1438</v>
      </c>
    </row>
    <row r="435" spans="2:4">
      <c r="C435" t="s">
        <v>1439</v>
      </c>
    </row>
    <row r="436" spans="2:4">
      <c r="C436" t="s">
        <v>1440</v>
      </c>
    </row>
    <row r="437" spans="2:4">
      <c r="C437" t="s">
        <v>1441</v>
      </c>
    </row>
    <row r="438" spans="2:4">
      <c r="D438" t="s">
        <v>1442</v>
      </c>
    </row>
    <row r="439" spans="2:4">
      <c r="B439" t="s">
        <v>1443</v>
      </c>
    </row>
    <row r="440" spans="2:4">
      <c r="C440" t="s">
        <v>1444</v>
      </c>
    </row>
    <row r="441" spans="2:4">
      <c r="C441" t="s">
        <v>1445</v>
      </c>
    </row>
    <row r="442" spans="2:4">
      <c r="C442" t="s">
        <v>1446</v>
      </c>
    </row>
    <row r="443" spans="2:4">
      <c r="C443" t="s">
        <v>1448</v>
      </c>
    </row>
    <row r="444" spans="2:4">
      <c r="C444" t="s">
        <v>1447</v>
      </c>
    </row>
    <row r="445" spans="2:4">
      <c r="C445" t="s">
        <v>1449</v>
      </c>
    </row>
    <row r="446" spans="2:4">
      <c r="B446" t="s">
        <v>25</v>
      </c>
    </row>
    <row r="447" spans="2:4">
      <c r="C447" t="s">
        <v>1450</v>
      </c>
    </row>
    <row r="448" spans="2:4">
      <c r="B448" t="s">
        <v>87</v>
      </c>
    </row>
    <row r="449" spans="2:3">
      <c r="C449" t="s">
        <v>1450</v>
      </c>
    </row>
    <row r="450" spans="2:3">
      <c r="B450" t="s">
        <v>1451</v>
      </c>
    </row>
    <row r="451" spans="2:3">
      <c r="C451" t="s">
        <v>1450</v>
      </c>
    </row>
    <row r="452" spans="2:3">
      <c r="C452" t="s">
        <v>1452</v>
      </c>
    </row>
    <row r="453" spans="2:3">
      <c r="B453" t="s">
        <v>590</v>
      </c>
    </row>
    <row r="454" spans="2:3">
      <c r="C454" t="s">
        <v>1453</v>
      </c>
    </row>
    <row r="455" spans="2:3">
      <c r="C455" t="s">
        <v>1454</v>
      </c>
    </row>
    <row r="456" spans="2:3">
      <c r="C456" t="s">
        <v>1455</v>
      </c>
    </row>
    <row r="457" spans="2:3">
      <c r="C457" t="s">
        <v>1456</v>
      </c>
    </row>
    <row r="458" spans="2:3">
      <c r="C458" t="s">
        <v>1457</v>
      </c>
    </row>
    <row r="459" spans="2:3">
      <c r="C459" t="s">
        <v>1458</v>
      </c>
    </row>
    <row r="460" spans="2:3">
      <c r="B460" s="136">
        <v>2014</v>
      </c>
    </row>
    <row r="461" spans="2:3">
      <c r="C461" t="s">
        <v>1459</v>
      </c>
    </row>
    <row r="462" spans="2:3">
      <c r="C462" t="s">
        <v>1460</v>
      </c>
    </row>
    <row r="463" spans="2:3">
      <c r="C463" t="s">
        <v>1461</v>
      </c>
    </row>
    <row r="464" spans="2:3">
      <c r="C464" t="s">
        <v>1462</v>
      </c>
    </row>
    <row r="465" spans="2:4">
      <c r="C465" t="s">
        <v>1463</v>
      </c>
    </row>
    <row r="466" spans="2:4">
      <c r="C466" t="s">
        <v>1464</v>
      </c>
    </row>
    <row r="467" spans="2:4">
      <c r="C467" s="2" t="s">
        <v>590</v>
      </c>
    </row>
    <row r="468" spans="2:4">
      <c r="C468" t="s">
        <v>1465</v>
      </c>
    </row>
    <row r="470" spans="2:4">
      <c r="B470" t="s">
        <v>1466</v>
      </c>
    </row>
    <row r="471" spans="2:4">
      <c r="B471" t="s">
        <v>1467</v>
      </c>
    </row>
    <row r="472" spans="2:4">
      <c r="B472" t="s">
        <v>1468</v>
      </c>
    </row>
    <row r="473" spans="2:4">
      <c r="C473" t="s">
        <v>1469</v>
      </c>
    </row>
    <row r="474" spans="2:4">
      <c r="C474" t="s">
        <v>1470</v>
      </c>
    </row>
    <row r="475" spans="2:4">
      <c r="C475" t="s">
        <v>1471</v>
      </c>
    </row>
    <row r="477" spans="2:4">
      <c r="B477" t="s">
        <v>1472</v>
      </c>
    </row>
    <row r="478" spans="2:4">
      <c r="C478" t="s">
        <v>1473</v>
      </c>
    </row>
    <row r="479" spans="2:4">
      <c r="C479" t="s">
        <v>1474</v>
      </c>
    </row>
    <row r="480" spans="2:4">
      <c r="D480" t="s">
        <v>1475</v>
      </c>
    </row>
    <row r="481" spans="2:4">
      <c r="D481" t="s">
        <v>1476</v>
      </c>
    </row>
    <row r="482" spans="2:4">
      <c r="D482" t="s">
        <v>1477</v>
      </c>
    </row>
    <row r="484" spans="2:4">
      <c r="B484" t="s">
        <v>1478</v>
      </c>
    </row>
    <row r="485" spans="2:4">
      <c r="C485" t="s">
        <v>1479</v>
      </c>
    </row>
    <row r="486" spans="2:4">
      <c r="D486" t="s">
        <v>1482</v>
      </c>
    </row>
    <row r="487" spans="2:4">
      <c r="D487" t="s">
        <v>1483</v>
      </c>
    </row>
    <row r="488" spans="2:4">
      <c r="D488" t="s">
        <v>1484</v>
      </c>
    </row>
    <row r="489" spans="2:4">
      <c r="C489" t="s">
        <v>1480</v>
      </c>
    </row>
    <row r="490" spans="2:4">
      <c r="D490" t="s">
        <v>1481</v>
      </c>
    </row>
    <row r="491" spans="2:4">
      <c r="D491" t="s">
        <v>1485</v>
      </c>
    </row>
    <row r="493" spans="2:4">
      <c r="B493" t="s">
        <v>1486</v>
      </c>
    </row>
    <row r="494" spans="2:4">
      <c r="C494" t="s">
        <v>1487</v>
      </c>
    </row>
    <row r="495" spans="2:4">
      <c r="C495" t="s">
        <v>1488</v>
      </c>
    </row>
    <row r="496" spans="2:4">
      <c r="C496" t="s">
        <v>1489</v>
      </c>
    </row>
    <row r="497" spans="2:3">
      <c r="C497" t="s">
        <v>1490</v>
      </c>
    </row>
    <row r="498" spans="2:3">
      <c r="C498" t="s">
        <v>1492</v>
      </c>
    </row>
    <row r="499" spans="2:3">
      <c r="C499" t="s">
        <v>1491</v>
      </c>
    </row>
    <row r="501" spans="2:3">
      <c r="B501" s="121" t="s">
        <v>89</v>
      </c>
    </row>
    <row r="502" spans="2:3">
      <c r="B502" t="s">
        <v>1508</v>
      </c>
    </row>
    <row r="503" spans="2:3">
      <c r="B503" t="s">
        <v>1507</v>
      </c>
    </row>
    <row r="504" spans="2:3">
      <c r="B504" t="s">
        <v>1509</v>
      </c>
    </row>
    <row r="505" spans="2:3">
      <c r="B505" t="s">
        <v>1506</v>
      </c>
    </row>
    <row r="506" spans="2:3">
      <c r="B506" t="s">
        <v>1498</v>
      </c>
    </row>
    <row r="507" spans="2:3">
      <c r="B507" t="s">
        <v>1499</v>
      </c>
    </row>
    <row r="508" spans="2:3">
      <c r="B508" t="s">
        <v>1500</v>
      </c>
    </row>
    <row r="509" spans="2:3">
      <c r="B509" t="s">
        <v>1501</v>
      </c>
    </row>
    <row r="510" spans="2:3">
      <c r="B510" t="s">
        <v>1502</v>
      </c>
    </row>
    <row r="511" spans="2:3">
      <c r="B511" t="s">
        <v>1503</v>
      </c>
    </row>
    <row r="512" spans="2:3">
      <c r="B512" t="s">
        <v>1504</v>
      </c>
    </row>
    <row r="513" spans="2:6">
      <c r="B513" t="s">
        <v>1505</v>
      </c>
    </row>
    <row r="515" spans="2:6">
      <c r="B515" s="121" t="s">
        <v>1563</v>
      </c>
    </row>
    <row r="517" spans="2:6">
      <c r="B517" t="s">
        <v>1564</v>
      </c>
    </row>
    <row r="518" spans="2:6">
      <c r="B518" t="s">
        <v>1565</v>
      </c>
    </row>
    <row r="519" spans="2:6">
      <c r="B519" t="s">
        <v>1566</v>
      </c>
    </row>
    <row r="521" spans="2:6">
      <c r="B521" s="42" t="s">
        <v>1572</v>
      </c>
    </row>
    <row r="522" spans="2:6">
      <c r="B522" t="s">
        <v>1569</v>
      </c>
    </row>
    <row r="523" spans="2:6">
      <c r="B523" t="s">
        <v>1570</v>
      </c>
    </row>
    <row r="524" spans="2:6">
      <c r="B524" t="s">
        <v>1571</v>
      </c>
    </row>
    <row r="525" spans="2:6">
      <c r="B525">
        <v>125</v>
      </c>
      <c r="C525" s="9">
        <v>1.4999999999999999E-2</v>
      </c>
      <c r="D525">
        <f>B525/C525</f>
        <v>8333.3333333333339</v>
      </c>
      <c r="E525">
        <f ca="1">D525+Univision!C108</f>
        <v>15037.821739884561</v>
      </c>
      <c r="F525">
        <f ca="1">E525/Univision!H14</f>
        <v>11.46350185995164</v>
      </c>
    </row>
    <row r="527" spans="2:6">
      <c r="B527" s="121" t="s">
        <v>1619</v>
      </c>
    </row>
    <row r="529" spans="2:3">
      <c r="B529" t="s">
        <v>1620</v>
      </c>
    </row>
    <row r="530" spans="2:3">
      <c r="C530" t="s">
        <v>1622</v>
      </c>
    </row>
    <row r="531" spans="2:3">
      <c r="C531" t="s">
        <v>1621</v>
      </c>
    </row>
    <row r="532" spans="2:3">
      <c r="B532" t="s">
        <v>1623</v>
      </c>
      <c r="C532" t="s">
        <v>1624</v>
      </c>
    </row>
    <row r="534" spans="2:3">
      <c r="B534" s="121" t="s">
        <v>1619</v>
      </c>
    </row>
    <row r="536" spans="2:3">
      <c r="B536" s="42" t="s">
        <v>16</v>
      </c>
    </row>
    <row r="537" spans="2:3">
      <c r="B537" t="s">
        <v>1628</v>
      </c>
    </row>
    <row r="538" spans="2:3">
      <c r="C538" t="s">
        <v>1629</v>
      </c>
    </row>
    <row r="539" spans="2:3">
      <c r="C539" t="s">
        <v>1630</v>
      </c>
    </row>
    <row r="541" spans="2:3">
      <c r="B541" s="42" t="s">
        <v>1631</v>
      </c>
    </row>
    <row r="542" spans="2:3">
      <c r="B542" t="s">
        <v>1632</v>
      </c>
    </row>
    <row r="543" spans="2:3">
      <c r="B543" t="s">
        <v>1633</v>
      </c>
    </row>
    <row r="544" spans="2:3">
      <c r="C544" t="s">
        <v>1634</v>
      </c>
    </row>
    <row r="546" spans="2:3">
      <c r="B546" s="42" t="s">
        <v>50</v>
      </c>
    </row>
    <row r="547" spans="2:3">
      <c r="C547" t="s">
        <v>1635</v>
      </c>
    </row>
    <row r="548" spans="2:3">
      <c r="C548" t="s">
        <v>1668</v>
      </c>
    </row>
    <row r="549" spans="2:3">
      <c r="C549" s="42" t="s">
        <v>1636</v>
      </c>
    </row>
    <row r="550" spans="2:3">
      <c r="C550" t="s">
        <v>1637</v>
      </c>
    </row>
    <row r="552" spans="2:3">
      <c r="B552" s="42" t="s">
        <v>1638</v>
      </c>
    </row>
    <row r="553" spans="2:3">
      <c r="C553" t="s">
        <v>1639</v>
      </c>
    </row>
    <row r="554" spans="2:3">
      <c r="C554" t="s">
        <v>1640</v>
      </c>
    </row>
    <row r="555" spans="2:3">
      <c r="C555" t="s">
        <v>1641</v>
      </c>
    </row>
    <row r="556" spans="2:3">
      <c r="C556" t="s">
        <v>1642</v>
      </c>
    </row>
    <row r="558" spans="2:3">
      <c r="B558" s="121" t="s">
        <v>1653</v>
      </c>
    </row>
    <row r="560" spans="2:3">
      <c r="B560" t="s">
        <v>1666</v>
      </c>
    </row>
    <row r="561" spans="2:4">
      <c r="B561" t="s">
        <v>1667</v>
      </c>
    </row>
    <row r="563" spans="2:4">
      <c r="B563" s="121" t="s">
        <v>1703</v>
      </c>
    </row>
    <row r="565" spans="2:4">
      <c r="B565" s="2" t="s">
        <v>200</v>
      </c>
    </row>
    <row r="566" spans="2:4">
      <c r="B566" t="s">
        <v>1704</v>
      </c>
    </row>
    <row r="567" spans="2:4">
      <c r="B567" t="s">
        <v>1705</v>
      </c>
    </row>
    <row r="568" spans="2:4">
      <c r="C568" s="264" t="s">
        <v>1706</v>
      </c>
    </row>
    <row r="569" spans="2:4">
      <c r="D569" t="s">
        <v>1707</v>
      </c>
    </row>
    <row r="570" spans="2:4">
      <c r="B570" s="2" t="s">
        <v>590</v>
      </c>
    </row>
    <row r="571" spans="2:4">
      <c r="B571" t="s">
        <v>1717</v>
      </c>
    </row>
    <row r="572" spans="2:4">
      <c r="B572" t="s">
        <v>1708</v>
      </c>
    </row>
    <row r="574" spans="2:4">
      <c r="B574" s="2" t="s">
        <v>702</v>
      </c>
    </row>
    <row r="575" spans="2:4">
      <c r="B575" t="s">
        <v>1718</v>
      </c>
    </row>
    <row r="577" spans="2:8">
      <c r="B577" s="2" t="s">
        <v>417</v>
      </c>
    </row>
    <row r="578" spans="2:8">
      <c r="B578" t="s">
        <v>1709</v>
      </c>
      <c r="H578" t="s">
        <v>1714</v>
      </c>
    </row>
    <row r="579" spans="2:8">
      <c r="B579" t="s">
        <v>1710</v>
      </c>
    </row>
    <row r="580" spans="2:8">
      <c r="B580" t="s">
        <v>1711</v>
      </c>
    </row>
    <row r="581" spans="2:8">
      <c r="C581" t="s">
        <v>1712</v>
      </c>
      <c r="D581" t="s">
        <v>1713</v>
      </c>
    </row>
    <row r="583" spans="2:8">
      <c r="B583" s="2" t="s">
        <v>1715</v>
      </c>
    </row>
    <row r="584" spans="2:8">
      <c r="B584" t="s">
        <v>1716</v>
      </c>
    </row>
    <row r="586" spans="2:8">
      <c r="B586" s="121" t="s">
        <v>1719</v>
      </c>
    </row>
    <row r="588" spans="2:8">
      <c r="B588" t="s">
        <v>1729</v>
      </c>
    </row>
    <row r="589" spans="2:8">
      <c r="B589" t="s">
        <v>1730</v>
      </c>
    </row>
    <row r="590" spans="2:8">
      <c r="C590" t="s">
        <v>1731</v>
      </c>
    </row>
    <row r="591" spans="2:8">
      <c r="B591" t="s">
        <v>1721</v>
      </c>
    </row>
    <row r="592" spans="2:8">
      <c r="C592" t="s">
        <v>1722</v>
      </c>
    </row>
    <row r="593" spans="2:3">
      <c r="B593" t="s">
        <v>1728</v>
      </c>
    </row>
    <row r="594" spans="2:3">
      <c r="B594" t="s">
        <v>1733</v>
      </c>
    </row>
    <row r="595" spans="2:3">
      <c r="B595" t="s">
        <v>1732</v>
      </c>
    </row>
    <row r="596" spans="2:3">
      <c r="B596" t="s">
        <v>1739</v>
      </c>
    </row>
    <row r="598" spans="2:3">
      <c r="B598" s="121" t="s">
        <v>1736</v>
      </c>
    </row>
    <row r="599" spans="2:3">
      <c r="B599" t="s">
        <v>1734</v>
      </c>
    </row>
    <row r="600" spans="2:3">
      <c r="B600" t="s">
        <v>1735</v>
      </c>
    </row>
    <row r="601" spans="2:3">
      <c r="B601" t="s">
        <v>1737</v>
      </c>
    </row>
    <row r="603" spans="2:3">
      <c r="B603" t="s">
        <v>1738</v>
      </c>
    </row>
    <row r="605" spans="2:3">
      <c r="B605" t="s">
        <v>1740</v>
      </c>
    </row>
    <row r="606" spans="2:3">
      <c r="C606" t="s">
        <v>1741</v>
      </c>
    </row>
    <row r="607" spans="2:3">
      <c r="C607" t="s">
        <v>1742</v>
      </c>
    </row>
    <row r="609" spans="2:3">
      <c r="B609" t="s">
        <v>1743</v>
      </c>
    </row>
    <row r="610" spans="2:3">
      <c r="C610" t="s">
        <v>1744</v>
      </c>
    </row>
    <row r="612" spans="2:3">
      <c r="B612" t="s">
        <v>1745</v>
      </c>
    </row>
    <row r="614" spans="2:3">
      <c r="B614" t="s">
        <v>1746</v>
      </c>
    </row>
    <row r="616" spans="2:3">
      <c r="B616" s="2" t="s">
        <v>417</v>
      </c>
    </row>
    <row r="617" spans="2:3">
      <c r="B617" t="s">
        <v>1747</v>
      </c>
    </row>
    <row r="618" spans="2:3">
      <c r="B618" t="s">
        <v>1748</v>
      </c>
    </row>
    <row r="619" spans="2:3">
      <c r="B619" t="s">
        <v>1749</v>
      </c>
    </row>
    <row r="621" spans="2:3">
      <c r="B621" t="s">
        <v>1750</v>
      </c>
    </row>
    <row r="623" spans="2:3">
      <c r="B623" s="121" t="s">
        <v>1259</v>
      </c>
    </row>
    <row r="625" spans="2:4">
      <c r="B625" t="s">
        <v>1751</v>
      </c>
    </row>
    <row r="626" spans="2:4">
      <c r="C626" t="s">
        <v>1754</v>
      </c>
    </row>
    <row r="627" spans="2:4">
      <c r="B627" t="s">
        <v>1752</v>
      </c>
    </row>
    <row r="628" spans="2:4">
      <c r="C628" t="s">
        <v>1753</v>
      </c>
    </row>
    <row r="630" spans="2:4">
      <c r="B630" t="s">
        <v>1755</v>
      </c>
    </row>
    <row r="631" spans="2:4">
      <c r="C631" t="s">
        <v>1758</v>
      </c>
    </row>
    <row r="632" spans="2:4">
      <c r="C632" t="s">
        <v>1759</v>
      </c>
    </row>
    <row r="633" spans="2:4">
      <c r="C633" t="s">
        <v>1760</v>
      </c>
    </row>
    <row r="634" spans="2:4">
      <c r="C634" t="s">
        <v>1761</v>
      </c>
    </row>
    <row r="635" spans="2:4">
      <c r="D635" t="s">
        <v>1778</v>
      </c>
    </row>
    <row r="637" spans="2:4">
      <c r="B637" t="s">
        <v>1757</v>
      </c>
    </row>
    <row r="638" spans="2:4">
      <c r="C638" t="s">
        <v>1756</v>
      </c>
    </row>
    <row r="639" spans="2:4">
      <c r="C639" t="s">
        <v>1767</v>
      </c>
    </row>
    <row r="641" spans="2:3">
      <c r="B641" t="s">
        <v>1762</v>
      </c>
    </row>
    <row r="642" spans="2:3">
      <c r="C642" t="s">
        <v>1763</v>
      </c>
    </row>
    <row r="644" spans="2:3">
      <c r="B644" t="s">
        <v>1764</v>
      </c>
    </row>
    <row r="645" spans="2:3">
      <c r="C645" t="s">
        <v>1765</v>
      </c>
    </row>
    <row r="646" spans="2:3">
      <c r="C646" t="s">
        <v>1766</v>
      </c>
    </row>
    <row r="648" spans="2:3">
      <c r="B648" t="s">
        <v>1768</v>
      </c>
    </row>
    <row r="649" spans="2:3">
      <c r="C649" t="s">
        <v>1769</v>
      </c>
    </row>
    <row r="650" spans="2:3">
      <c r="C650" t="s">
        <v>1770</v>
      </c>
    </row>
    <row r="652" spans="2:3">
      <c r="B652" t="s">
        <v>1771</v>
      </c>
    </row>
    <row r="653" spans="2:3">
      <c r="C653" t="s">
        <v>1772</v>
      </c>
    </row>
    <row r="655" spans="2:3">
      <c r="B655" t="s">
        <v>1773</v>
      </c>
    </row>
    <row r="656" spans="2:3">
      <c r="C656" t="s">
        <v>1774</v>
      </c>
    </row>
    <row r="657" spans="2:4">
      <c r="C657" t="s">
        <v>1775</v>
      </c>
    </row>
    <row r="658" spans="2:4">
      <c r="C658" t="s">
        <v>1777</v>
      </c>
    </row>
    <row r="660" spans="2:4">
      <c r="B660" t="s">
        <v>725</v>
      </c>
    </row>
    <row r="661" spans="2:4">
      <c r="C661" t="s">
        <v>1776</v>
      </c>
    </row>
    <row r="663" spans="2:4">
      <c r="B663" s="121" t="s">
        <v>1781</v>
      </c>
    </row>
    <row r="665" spans="2:4">
      <c r="B665" t="s">
        <v>1782</v>
      </c>
    </row>
    <row r="666" spans="2:4">
      <c r="B666" t="s">
        <v>1783</v>
      </c>
    </row>
    <row r="667" spans="2:4">
      <c r="B667" t="s">
        <v>1784</v>
      </c>
    </row>
    <row r="668" spans="2:4">
      <c r="C668" t="s">
        <v>1785</v>
      </c>
    </row>
    <row r="669" spans="2:4">
      <c r="B669" t="s">
        <v>1786</v>
      </c>
    </row>
    <row r="670" spans="2:4">
      <c r="C670" t="s">
        <v>1787</v>
      </c>
    </row>
    <row r="671" spans="2:4">
      <c r="D671" t="s">
        <v>1791</v>
      </c>
    </row>
    <row r="672" spans="2:4">
      <c r="C672" t="s">
        <v>1788</v>
      </c>
    </row>
    <row r="673" spans="2:6">
      <c r="D673" t="s">
        <v>1790</v>
      </c>
    </row>
    <row r="674" spans="2:6">
      <c r="C674" t="s">
        <v>1789</v>
      </c>
    </row>
    <row r="675" spans="2:6">
      <c r="B675" t="s">
        <v>1793</v>
      </c>
    </row>
    <row r="676" spans="2:6">
      <c r="C676" t="s">
        <v>1792</v>
      </c>
    </row>
    <row r="677" spans="2:6">
      <c r="B677" t="s">
        <v>417</v>
      </c>
    </row>
    <row r="678" spans="2:6">
      <c r="C678" t="s">
        <v>1794</v>
      </c>
    </row>
    <row r="679" spans="2:6">
      <c r="C679" t="s">
        <v>1795</v>
      </c>
    </row>
    <row r="680" spans="2:6">
      <c r="B680" t="s">
        <v>1796</v>
      </c>
    </row>
    <row r="681" spans="2:6">
      <c r="C681" t="s">
        <v>1797</v>
      </c>
    </row>
    <row r="682" spans="2:6">
      <c r="C682" t="s">
        <v>1798</v>
      </c>
    </row>
    <row r="683" spans="2:6">
      <c r="C683" t="s">
        <v>1799</v>
      </c>
    </row>
    <row r="684" spans="2:6">
      <c r="D684" t="s">
        <v>1800</v>
      </c>
    </row>
    <row r="685" spans="2:6">
      <c r="E685" t="s">
        <v>1801</v>
      </c>
    </row>
    <row r="686" spans="2:6">
      <c r="F686" t="s">
        <v>1802</v>
      </c>
    </row>
    <row r="687" spans="2:6">
      <c r="B687" t="s">
        <v>1821</v>
      </c>
    </row>
    <row r="689" spans="2:10">
      <c r="B689" s="121" t="s">
        <v>1827</v>
      </c>
    </row>
    <row r="691" spans="2:10">
      <c r="B691" t="s">
        <v>1829</v>
      </c>
    </row>
    <row r="692" spans="2:10">
      <c r="C692" t="s">
        <v>1836</v>
      </c>
    </row>
    <row r="693" spans="2:10">
      <c r="D693" t="s">
        <v>1853</v>
      </c>
      <c r="E693" t="s">
        <v>1854</v>
      </c>
    </row>
    <row r="694" spans="2:10">
      <c r="F694" t="s">
        <v>1855</v>
      </c>
    </row>
    <row r="695" spans="2:10">
      <c r="E695" t="s">
        <v>1856</v>
      </c>
    </row>
    <row r="696" spans="2:10">
      <c r="C696" t="s">
        <v>1886</v>
      </c>
    </row>
    <row r="697" spans="2:10">
      <c r="C697" t="s">
        <v>1857</v>
      </c>
    </row>
    <row r="698" spans="2:10">
      <c r="C698" t="s">
        <v>1859</v>
      </c>
    </row>
    <row r="699" spans="2:10">
      <c r="B699" t="s">
        <v>1828</v>
      </c>
    </row>
    <row r="700" spans="2:10">
      <c r="C700" t="s">
        <v>1858</v>
      </c>
    </row>
    <row r="701" spans="2:10">
      <c r="C701" t="s">
        <v>1860</v>
      </c>
    </row>
    <row r="702" spans="2:10">
      <c r="B702" t="s">
        <v>1869</v>
      </c>
    </row>
    <row r="703" spans="2:10">
      <c r="C703" t="s">
        <v>1870</v>
      </c>
    </row>
    <row r="704" spans="2:10">
      <c r="C704" t="s">
        <v>1873</v>
      </c>
      <c r="J704" t="s">
        <v>1874</v>
      </c>
    </row>
    <row r="705" spans="2:6">
      <c r="C705" t="s">
        <v>1872</v>
      </c>
    </row>
    <row r="706" spans="2:6">
      <c r="C706" t="s">
        <v>1871</v>
      </c>
    </row>
    <row r="707" spans="2:6">
      <c r="C707" t="s">
        <v>1875</v>
      </c>
    </row>
    <row r="708" spans="2:6">
      <c r="D708" t="s">
        <v>1876</v>
      </c>
    </row>
    <row r="709" spans="2:6">
      <c r="B709" t="s">
        <v>1861</v>
      </c>
    </row>
    <row r="710" spans="2:6">
      <c r="C710" t="s">
        <v>1867</v>
      </c>
    </row>
    <row r="711" spans="2:6">
      <c r="C711" t="s">
        <v>1862</v>
      </c>
      <c r="F711" t="s">
        <v>1866</v>
      </c>
    </row>
    <row r="712" spans="2:6">
      <c r="C712" t="s">
        <v>1863</v>
      </c>
    </row>
    <row r="713" spans="2:6">
      <c r="C713" t="s">
        <v>1864</v>
      </c>
    </row>
    <row r="714" spans="2:6">
      <c r="C714" t="s">
        <v>1868</v>
      </c>
    </row>
    <row r="715" spans="2:6">
      <c r="C715" t="s">
        <v>1865</v>
      </c>
    </row>
    <row r="716" spans="2:6">
      <c r="B716" t="s">
        <v>16</v>
      </c>
    </row>
    <row r="717" spans="2:6">
      <c r="C717" t="s">
        <v>1845</v>
      </c>
    </row>
    <row r="718" spans="2:6">
      <c r="D718" t="s">
        <v>1877</v>
      </c>
    </row>
    <row r="719" spans="2:6">
      <c r="C719" t="s">
        <v>1846</v>
      </c>
    </row>
    <row r="720" spans="2:6">
      <c r="D720" t="s">
        <v>1878</v>
      </c>
    </row>
    <row r="721" spans="2:4">
      <c r="D721" t="s">
        <v>1879</v>
      </c>
    </row>
    <row r="722" spans="2:4">
      <c r="C722" t="s">
        <v>1880</v>
      </c>
    </row>
    <row r="723" spans="2:4">
      <c r="D723" t="s">
        <v>1881</v>
      </c>
    </row>
    <row r="724" spans="2:4">
      <c r="C724" t="s">
        <v>1882</v>
      </c>
    </row>
    <row r="726" spans="2:4">
      <c r="C726" t="s">
        <v>1849</v>
      </c>
    </row>
    <row r="727" spans="2:4">
      <c r="C727" t="s">
        <v>1851</v>
      </c>
    </row>
    <row r="728" spans="2:4">
      <c r="B728" t="s">
        <v>1838</v>
      </c>
    </row>
    <row r="729" spans="2:4">
      <c r="B729" t="s">
        <v>1839</v>
      </c>
    </row>
    <row r="730" spans="2:4">
      <c r="B730" t="s">
        <v>1840</v>
      </c>
    </row>
    <row r="732" spans="2:4">
      <c r="B732" t="s">
        <v>1831</v>
      </c>
    </row>
    <row r="733" spans="2:4">
      <c r="B733" t="s">
        <v>1832</v>
      </c>
    </row>
    <row r="734" spans="2:4">
      <c r="C734" t="s">
        <v>1885</v>
      </c>
    </row>
    <row r="735" spans="2:4">
      <c r="B735" t="s">
        <v>1833</v>
      </c>
    </row>
    <row r="736" spans="2:4">
      <c r="C736" t="s">
        <v>1883</v>
      </c>
    </row>
    <row r="737" spans="2:4">
      <c r="B737" t="s">
        <v>1834</v>
      </c>
    </row>
    <row r="738" spans="2:4">
      <c r="C738" t="s">
        <v>1884</v>
      </c>
    </row>
    <row r="739" spans="2:4">
      <c r="B739" t="s">
        <v>1835</v>
      </c>
    </row>
    <row r="740" spans="2:4">
      <c r="C740" t="s">
        <v>1837</v>
      </c>
    </row>
    <row r="741" spans="2:4">
      <c r="B741" t="s">
        <v>1830</v>
      </c>
    </row>
    <row r="743" spans="2:4">
      <c r="B743" s="121" t="s">
        <v>1920</v>
      </c>
    </row>
    <row r="745" spans="2:4">
      <c r="B745" t="s">
        <v>1921</v>
      </c>
    </row>
    <row r="746" spans="2:4">
      <c r="C746" t="s">
        <v>1922</v>
      </c>
    </row>
    <row r="748" spans="2:4">
      <c r="B748" t="s">
        <v>1923</v>
      </c>
    </row>
    <row r="749" spans="2:4">
      <c r="B749" t="s">
        <v>1924</v>
      </c>
      <c r="C749" t="s">
        <v>1925</v>
      </c>
    </row>
    <row r="750" spans="2:4">
      <c r="B750" t="s">
        <v>1926</v>
      </c>
      <c r="C750" t="s">
        <v>1927</v>
      </c>
    </row>
    <row r="751" spans="2:4">
      <c r="D751" t="s">
        <v>1928</v>
      </c>
    </row>
    <row r="752" spans="2:4">
      <c r="D752" t="s">
        <v>1929</v>
      </c>
    </row>
    <row r="753" spans="2:4">
      <c r="B753" t="s">
        <v>1930</v>
      </c>
    </row>
    <row r="755" spans="2:4">
      <c r="B755" s="121" t="s">
        <v>1968</v>
      </c>
    </row>
    <row r="757" spans="2:4">
      <c r="B757" s="42" t="s">
        <v>1771</v>
      </c>
    </row>
    <row r="758" spans="2:4">
      <c r="B758" s="42" t="s">
        <v>1996</v>
      </c>
    </row>
    <row r="759" spans="2:4">
      <c r="B759" t="s">
        <v>1969</v>
      </c>
    </row>
    <row r="760" spans="2:4">
      <c r="C760" t="s">
        <v>2001</v>
      </c>
    </row>
    <row r="761" spans="2:4">
      <c r="C761" t="s">
        <v>2002</v>
      </c>
    </row>
    <row r="762" spans="2:4">
      <c r="C762" t="s">
        <v>2003</v>
      </c>
    </row>
    <row r="763" spans="2:4">
      <c r="D763" t="s">
        <v>2004</v>
      </c>
    </row>
    <row r="764" spans="2:4">
      <c r="C764" t="s">
        <v>2005</v>
      </c>
    </row>
    <row r="765" spans="2:4">
      <c r="C765" t="s">
        <v>2006</v>
      </c>
    </row>
    <row r="766" spans="2:4">
      <c r="B766" t="s">
        <v>1970</v>
      </c>
    </row>
    <row r="767" spans="2:4">
      <c r="C767" t="s">
        <v>1997</v>
      </c>
    </row>
    <row r="768" spans="2:4">
      <c r="C768" t="s">
        <v>1998</v>
      </c>
    </row>
    <row r="769" spans="2:4">
      <c r="D769" t="s">
        <v>2000</v>
      </c>
    </row>
    <row r="770" spans="2:4">
      <c r="D770" t="s">
        <v>1999</v>
      </c>
    </row>
    <row r="771" spans="2:4">
      <c r="B771" t="s">
        <v>1995</v>
      </c>
    </row>
    <row r="772" spans="2:4">
      <c r="C772" t="s">
        <v>1991</v>
      </c>
      <c r="D772" t="s">
        <v>1992</v>
      </c>
    </row>
    <row r="773" spans="2:4">
      <c r="C773" t="s">
        <v>1993</v>
      </c>
    </row>
    <row r="774" spans="2:4">
      <c r="C774" t="s">
        <v>1994</v>
      </c>
    </row>
    <row r="775" spans="2:4">
      <c r="B775" t="s">
        <v>1971</v>
      </c>
    </row>
    <row r="776" spans="2:4">
      <c r="C776" t="s">
        <v>1988</v>
      </c>
    </row>
    <row r="777" spans="2:4">
      <c r="C777" t="s">
        <v>1989</v>
      </c>
    </row>
    <row r="778" spans="2:4">
      <c r="C778" t="s">
        <v>1990</v>
      </c>
    </row>
    <row r="779" spans="2:4">
      <c r="B779" t="s">
        <v>1973</v>
      </c>
    </row>
    <row r="780" spans="2:4">
      <c r="C780" t="s">
        <v>1987</v>
      </c>
    </row>
    <row r="781" spans="2:4">
      <c r="C781" s="2" t="s">
        <v>665</v>
      </c>
    </row>
    <row r="782" spans="2:4">
      <c r="C782" t="s">
        <v>1981</v>
      </c>
    </row>
    <row r="783" spans="2:4">
      <c r="C783" t="s">
        <v>1982</v>
      </c>
    </row>
    <row r="784" spans="2:4">
      <c r="C784" s="2" t="s">
        <v>1984</v>
      </c>
    </row>
    <row r="785" spans="1:4">
      <c r="C785" t="s">
        <v>1983</v>
      </c>
    </row>
    <row r="786" spans="1:4">
      <c r="C786" t="s">
        <v>1982</v>
      </c>
    </row>
    <row r="787" spans="1:4">
      <c r="C787" t="s">
        <v>1985</v>
      </c>
    </row>
    <row r="788" spans="1:4">
      <c r="C788" t="s">
        <v>1986</v>
      </c>
    </row>
    <row r="789" spans="1:4">
      <c r="B789" t="s">
        <v>1972</v>
      </c>
    </row>
    <row r="790" spans="1:4">
      <c r="C790" t="s">
        <v>1974</v>
      </c>
    </row>
    <row r="791" spans="1:4">
      <c r="C791" t="s">
        <v>1975</v>
      </c>
    </row>
    <row r="792" spans="1:4">
      <c r="D792" t="s">
        <v>1976</v>
      </c>
    </row>
    <row r="793" spans="1:4">
      <c r="C793" t="s">
        <v>1977</v>
      </c>
    </row>
    <row r="794" spans="1:4">
      <c r="C794" t="s">
        <v>1978</v>
      </c>
    </row>
    <row r="795" spans="1:4">
      <c r="D795" t="s">
        <v>1979</v>
      </c>
    </row>
    <row r="796" spans="1:4">
      <c r="D796" t="s">
        <v>1980</v>
      </c>
    </row>
    <row r="798" spans="1:4">
      <c r="B798" s="121" t="s">
        <v>2007</v>
      </c>
    </row>
    <row r="800" spans="1:4">
      <c r="A800" s="397" t="s">
        <v>2024</v>
      </c>
      <c r="B800" t="s">
        <v>2015</v>
      </c>
    </row>
    <row r="801" spans="1:4">
      <c r="C801" t="s">
        <v>2016</v>
      </c>
    </row>
    <row r="802" spans="1:4">
      <c r="C802" t="s">
        <v>2011</v>
      </c>
    </row>
    <row r="803" spans="1:4">
      <c r="D803" t="s">
        <v>2012</v>
      </c>
    </row>
    <row r="804" spans="1:4">
      <c r="C804" t="s">
        <v>2013</v>
      </c>
    </row>
    <row r="805" spans="1:4">
      <c r="A805" s="397" t="s">
        <v>2024</v>
      </c>
      <c r="C805" t="s">
        <v>2023</v>
      </c>
    </row>
    <row r="806" spans="1:4">
      <c r="C806" t="s">
        <v>2025</v>
      </c>
    </row>
    <row r="807" spans="1:4">
      <c r="A807" t="s">
        <v>2024</v>
      </c>
      <c r="B807" t="s">
        <v>2010</v>
      </c>
    </row>
    <row r="808" spans="1:4">
      <c r="A808" s="397"/>
      <c r="B808" t="s">
        <v>2019</v>
      </c>
    </row>
    <row r="809" spans="1:4">
      <c r="A809" s="397"/>
      <c r="B809" t="s">
        <v>2020</v>
      </c>
    </row>
    <row r="810" spans="1:4">
      <c r="B810" t="s">
        <v>2014</v>
      </c>
    </row>
    <row r="811" spans="1:4">
      <c r="B811" t="s">
        <v>2018</v>
      </c>
    </row>
    <row r="812" spans="1:4">
      <c r="B812" t="s">
        <v>2021</v>
      </c>
    </row>
    <row r="813" spans="1:4">
      <c r="A813" t="s">
        <v>2024</v>
      </c>
      <c r="B813" t="s">
        <v>2022</v>
      </c>
    </row>
    <row r="814" spans="1:4">
      <c r="A814" t="s">
        <v>2024</v>
      </c>
      <c r="B814" t="s">
        <v>2026</v>
      </c>
    </row>
    <row r="815" spans="1:4">
      <c r="C815" t="s">
        <v>2027</v>
      </c>
    </row>
    <row r="816" spans="1:4">
      <c r="A816" t="s">
        <v>2024</v>
      </c>
      <c r="B816" t="s">
        <v>2046</v>
      </c>
    </row>
    <row r="817" spans="1:3">
      <c r="A817" t="s">
        <v>2024</v>
      </c>
      <c r="B817" t="s">
        <v>2028</v>
      </c>
    </row>
    <row r="818" spans="1:3">
      <c r="A818" s="397" t="s">
        <v>2024</v>
      </c>
      <c r="B818" t="s">
        <v>201</v>
      </c>
    </row>
    <row r="819" spans="1:3">
      <c r="C819" t="s">
        <v>2033</v>
      </c>
    </row>
    <row r="821" spans="1:3">
      <c r="B821" s="2" t="s">
        <v>1259</v>
      </c>
    </row>
    <row r="822" spans="1:3">
      <c r="B822" t="s">
        <v>2029</v>
      </c>
    </row>
    <row r="823" spans="1:3">
      <c r="C823" t="s">
        <v>2031</v>
      </c>
    </row>
    <row r="824" spans="1:3">
      <c r="B824" t="s">
        <v>2030</v>
      </c>
    </row>
    <row r="825" spans="1:3">
      <c r="C825" t="s">
        <v>2032</v>
      </c>
    </row>
    <row r="826" spans="1:3">
      <c r="C826" t="s">
        <v>2044</v>
      </c>
    </row>
    <row r="827" spans="1:3">
      <c r="C827" t="s">
        <v>2045</v>
      </c>
    </row>
    <row r="828" spans="1:3">
      <c r="B828" t="s">
        <v>417</v>
      </c>
    </row>
    <row r="829" spans="1:3">
      <c r="C829" t="s">
        <v>2034</v>
      </c>
    </row>
    <row r="830" spans="1:3">
      <c r="C830" t="s">
        <v>2035</v>
      </c>
    </row>
    <row r="831" spans="1:3">
      <c r="C831" t="s">
        <v>2036</v>
      </c>
    </row>
    <row r="833" spans="2:4">
      <c r="B833" t="s">
        <v>1166</v>
      </c>
    </row>
    <row r="834" spans="2:4">
      <c r="C834" t="s">
        <v>2037</v>
      </c>
    </row>
    <row r="835" spans="2:4">
      <c r="B835" t="s">
        <v>2038</v>
      </c>
    </row>
    <row r="836" spans="2:4">
      <c r="C836" t="s">
        <v>2039</v>
      </c>
    </row>
    <row r="837" spans="2:4">
      <c r="C837" t="s">
        <v>2040</v>
      </c>
    </row>
    <row r="838" spans="2:4">
      <c r="B838" t="s">
        <v>16</v>
      </c>
    </row>
    <row r="839" spans="2:4">
      <c r="C839" t="s">
        <v>2041</v>
      </c>
    </row>
    <row r="840" spans="2:4">
      <c r="C840" t="s">
        <v>2042</v>
      </c>
    </row>
    <row r="841" spans="2:4">
      <c r="D841" t="s">
        <v>2043</v>
      </c>
    </row>
    <row r="842" spans="2:4">
      <c r="B842" t="s">
        <v>201</v>
      </c>
    </row>
    <row r="843" spans="2:4">
      <c r="C843" t="s">
        <v>2047</v>
      </c>
    </row>
    <row r="845" spans="2:4">
      <c r="B845" t="s">
        <v>2048</v>
      </c>
    </row>
    <row r="846" spans="2:4">
      <c r="C846" t="s">
        <v>2049</v>
      </c>
    </row>
    <row r="848" spans="2:4">
      <c r="B848" s="42" t="s">
        <v>2050</v>
      </c>
    </row>
    <row r="849" spans="2:3">
      <c r="C849" t="s">
        <v>2054</v>
      </c>
    </row>
    <row r="851" spans="2:3">
      <c r="B851" s="42" t="s">
        <v>2051</v>
      </c>
    </row>
    <row r="852" spans="2:3">
      <c r="C852" t="s">
        <v>2052</v>
      </c>
    </row>
    <row r="853" spans="2:3">
      <c r="C853" t="s">
        <v>2053</v>
      </c>
    </row>
    <row r="854" spans="2:3">
      <c r="B854" s="42" t="s">
        <v>1931</v>
      </c>
    </row>
    <row r="856" spans="2:3">
      <c r="C856" t="s">
        <v>2055</v>
      </c>
    </row>
    <row r="857" spans="2:3">
      <c r="C857" t="s">
        <v>2056</v>
      </c>
    </row>
    <row r="859" spans="2:3">
      <c r="B859" s="121" t="s">
        <v>2057</v>
      </c>
    </row>
    <row r="861" spans="2:3">
      <c r="B861" t="s">
        <v>2058</v>
      </c>
    </row>
    <row r="862" spans="2:3">
      <c r="C862" t="s">
        <v>2071</v>
      </c>
    </row>
    <row r="863" spans="2:3">
      <c r="C863" t="s">
        <v>2072</v>
      </c>
    </row>
    <row r="864" spans="2:3">
      <c r="B864" t="s">
        <v>2059</v>
      </c>
    </row>
    <row r="865" spans="2:6">
      <c r="C865" t="s">
        <v>2073</v>
      </c>
    </row>
    <row r="866" spans="2:6">
      <c r="B866" t="s">
        <v>2060</v>
      </c>
    </row>
    <row r="867" spans="2:6">
      <c r="C867" s="401" t="s">
        <v>2074</v>
      </c>
    </row>
    <row r="868" spans="2:6">
      <c r="C868" s="401" t="s">
        <v>2075</v>
      </c>
    </row>
    <row r="869" spans="2:6">
      <c r="B869" t="s">
        <v>2061</v>
      </c>
    </row>
    <row r="870" spans="2:6">
      <c r="B870" t="s">
        <v>2062</v>
      </c>
    </row>
    <row r="871" spans="2:6">
      <c r="C871" t="s">
        <v>2063</v>
      </c>
    </row>
    <row r="872" spans="2:6">
      <c r="B872" t="s">
        <v>2065</v>
      </c>
    </row>
    <row r="873" spans="2:6">
      <c r="C873" t="s">
        <v>2088</v>
      </c>
    </row>
    <row r="874" spans="2:6">
      <c r="C874" t="s">
        <v>2089</v>
      </c>
    </row>
    <row r="875" spans="2:6">
      <c r="B875" t="s">
        <v>2066</v>
      </c>
    </row>
    <row r="876" spans="2:6">
      <c r="C876" t="s">
        <v>2090</v>
      </c>
    </row>
    <row r="877" spans="2:6">
      <c r="C877" t="s">
        <v>2091</v>
      </c>
    </row>
    <row r="878" spans="2:6">
      <c r="C878" t="s">
        <v>2092</v>
      </c>
    </row>
    <row r="879" spans="2:6">
      <c r="C879" t="s">
        <v>2093</v>
      </c>
    </row>
    <row r="880" spans="2:6">
      <c r="B880" t="s">
        <v>2067</v>
      </c>
      <c r="F880" t="s">
        <v>2024</v>
      </c>
    </row>
    <row r="881" spans="2:20">
      <c r="C881" t="s">
        <v>2068</v>
      </c>
    </row>
    <row r="882" spans="2:20">
      <c r="B882" t="s">
        <v>2069</v>
      </c>
    </row>
    <row r="883" spans="2:20">
      <c r="C883" t="s">
        <v>2094</v>
      </c>
      <c r="T883" t="s">
        <v>84</v>
      </c>
    </row>
    <row r="884" spans="2:20">
      <c r="C884" t="s">
        <v>2095</v>
      </c>
    </row>
    <row r="885" spans="2:20">
      <c r="D885" t="s">
        <v>2096</v>
      </c>
    </row>
    <row r="886" spans="2:20">
      <c r="E886" t="s">
        <v>2103</v>
      </c>
      <c r="I886" t="s">
        <v>2104</v>
      </c>
    </row>
    <row r="887" spans="2:20">
      <c r="E887" t="s">
        <v>2099</v>
      </c>
    </row>
    <row r="888" spans="2:20">
      <c r="E888" t="s">
        <v>2100</v>
      </c>
    </row>
    <row r="889" spans="2:20">
      <c r="E889" t="s">
        <v>2101</v>
      </c>
    </row>
    <row r="890" spans="2:20">
      <c r="D890" t="s">
        <v>2097</v>
      </c>
    </row>
    <row r="891" spans="2:20">
      <c r="D891" t="s">
        <v>2098</v>
      </c>
    </row>
    <row r="892" spans="2:20">
      <c r="D892" t="s">
        <v>2102</v>
      </c>
    </row>
    <row r="893" spans="2:20">
      <c r="D893" t="s">
        <v>2105</v>
      </c>
    </row>
    <row r="894" spans="2:20">
      <c r="D894" t="s">
        <v>2106</v>
      </c>
    </row>
    <row r="895" spans="2:20">
      <c r="B895" t="s">
        <v>2076</v>
      </c>
    </row>
    <row r="896" spans="2:20">
      <c r="B896" t="s">
        <v>2077</v>
      </c>
    </row>
    <row r="897" spans="2:3">
      <c r="B897" t="s">
        <v>2078</v>
      </c>
    </row>
    <row r="898" spans="2:3">
      <c r="B898" t="s">
        <v>2079</v>
      </c>
    </row>
    <row r="900" spans="2:3">
      <c r="B900" t="s">
        <v>2080</v>
      </c>
    </row>
    <row r="901" spans="2:3">
      <c r="C901" t="s">
        <v>2082</v>
      </c>
    </row>
    <row r="902" spans="2:3">
      <c r="C902" t="s">
        <v>2083</v>
      </c>
    </row>
    <row r="903" spans="2:3">
      <c r="C903" t="s">
        <v>2084</v>
      </c>
    </row>
    <row r="904" spans="2:3">
      <c r="C904" t="s">
        <v>2085</v>
      </c>
    </row>
    <row r="905" spans="2:3">
      <c r="B905" t="s">
        <v>2081</v>
      </c>
    </row>
    <row r="907" spans="2:3">
      <c r="B907" t="s">
        <v>2086</v>
      </c>
    </row>
    <row r="908" spans="2:3">
      <c r="C908" t="s">
        <v>2087</v>
      </c>
    </row>
    <row r="910" spans="2:3">
      <c r="B910" s="121" t="s">
        <v>2118</v>
      </c>
    </row>
    <row r="912" spans="2:3">
      <c r="B912" t="s">
        <v>2119</v>
      </c>
    </row>
    <row r="913" spans="2:3">
      <c r="B913" t="s">
        <v>2120</v>
      </c>
    </row>
    <row r="914" spans="2:3">
      <c r="C914" t="s">
        <v>2122</v>
      </c>
    </row>
    <row r="915" spans="2:3">
      <c r="B915" t="s">
        <v>2121</v>
      </c>
    </row>
    <row r="916" spans="2:3">
      <c r="C916" t="s">
        <v>2123</v>
      </c>
    </row>
    <row r="917" spans="2:3">
      <c r="C917" t="s">
        <v>2124</v>
      </c>
    </row>
    <row r="918" spans="2:3">
      <c r="B918" t="s">
        <v>2125</v>
      </c>
    </row>
    <row r="919" spans="2:3">
      <c r="C919" t="s">
        <v>2126</v>
      </c>
    </row>
    <row r="920" spans="2:3">
      <c r="B920" t="s">
        <v>2127</v>
      </c>
    </row>
    <row r="921" spans="2:3">
      <c r="C921" t="s">
        <v>2129</v>
      </c>
    </row>
    <row r="922" spans="2:3">
      <c r="C922" t="s">
        <v>2128</v>
      </c>
    </row>
    <row r="923" spans="2:3">
      <c r="B923" t="s">
        <v>2130</v>
      </c>
    </row>
    <row r="924" spans="2:3">
      <c r="B924" t="s">
        <v>2131</v>
      </c>
    </row>
    <row r="926" spans="2:3">
      <c r="B926" s="121" t="s">
        <v>2133</v>
      </c>
    </row>
    <row r="928" spans="2:3">
      <c r="B928" t="s">
        <v>2134</v>
      </c>
    </row>
    <row r="929" spans="2:3">
      <c r="C929" t="s">
        <v>2135</v>
      </c>
    </row>
    <row r="930" spans="2:3">
      <c r="B930" t="s">
        <v>2136</v>
      </c>
    </row>
    <row r="932" spans="2:3">
      <c r="B932" s="121" t="s">
        <v>2142</v>
      </c>
    </row>
    <row r="934" spans="2:3">
      <c r="B934" t="s">
        <v>2138</v>
      </c>
    </row>
    <row r="935" spans="2:3">
      <c r="C935" t="s">
        <v>2141</v>
      </c>
    </row>
    <row r="936" spans="2:3">
      <c r="C936" t="s">
        <v>2137</v>
      </c>
    </row>
    <row r="937" spans="2:3">
      <c r="C937" t="s">
        <v>2139</v>
      </c>
    </row>
    <row r="938" spans="2:3">
      <c r="C938" t="s">
        <v>2140</v>
      </c>
    </row>
    <row r="940" spans="2:3">
      <c r="B940" s="121" t="s">
        <v>2143</v>
      </c>
    </row>
    <row r="941" spans="2:3">
      <c r="B941" t="s">
        <v>2144</v>
      </c>
    </row>
    <row r="942" spans="2:3">
      <c r="B942" t="s">
        <v>2145</v>
      </c>
    </row>
    <row r="943" spans="2:3">
      <c r="C943" t="s">
        <v>2146</v>
      </c>
    </row>
    <row r="944" spans="2:3">
      <c r="C944" t="s">
        <v>2147</v>
      </c>
    </row>
    <row r="945" spans="2:4">
      <c r="B945" t="s">
        <v>1443</v>
      </c>
    </row>
    <row r="946" spans="2:4">
      <c r="C946" t="s">
        <v>2148</v>
      </c>
    </row>
    <row r="947" spans="2:4">
      <c r="B947" t="s">
        <v>2149</v>
      </c>
    </row>
    <row r="948" spans="2:4">
      <c r="C948" s="2" t="s">
        <v>417</v>
      </c>
    </row>
    <row r="949" spans="2:4">
      <c r="C949" t="s">
        <v>2150</v>
      </c>
    </row>
    <row r="950" spans="2:4">
      <c r="C950" t="s">
        <v>2151</v>
      </c>
    </row>
    <row r="952" spans="2:4">
      <c r="B952" t="s">
        <v>87</v>
      </c>
      <c r="C952" t="s">
        <v>2152</v>
      </c>
    </row>
    <row r="953" spans="2:4">
      <c r="B953" t="s">
        <v>16</v>
      </c>
      <c r="C953" t="s">
        <v>2153</v>
      </c>
    </row>
    <row r="954" spans="2:4">
      <c r="D954" t="s">
        <v>2154</v>
      </c>
    </row>
    <row r="955" spans="2:4">
      <c r="D955" t="s">
        <v>2155</v>
      </c>
    </row>
    <row r="957" spans="2:4">
      <c r="B957" t="s">
        <v>2156</v>
      </c>
      <c r="C957" t="s">
        <v>2157</v>
      </c>
    </row>
    <row r="958" spans="2:4">
      <c r="C958" t="s">
        <v>2158</v>
      </c>
    </row>
    <row r="960" spans="2:4">
      <c r="B960" s="121" t="s">
        <v>2159</v>
      </c>
    </row>
    <row r="962" spans="2:4">
      <c r="B962" t="s">
        <v>2160</v>
      </c>
    </row>
    <row r="963" spans="2:4">
      <c r="B963" t="s">
        <v>2161</v>
      </c>
    </row>
    <row r="964" spans="2:4">
      <c r="B964" t="s">
        <v>2162</v>
      </c>
    </row>
    <row r="965" spans="2:4">
      <c r="C965" t="s">
        <v>2163</v>
      </c>
    </row>
    <row r="966" spans="2:4">
      <c r="C966" t="s">
        <v>2164</v>
      </c>
    </row>
    <row r="967" spans="2:4">
      <c r="B967" t="s">
        <v>2165</v>
      </c>
    </row>
    <row r="968" spans="2:4">
      <c r="C968" t="s">
        <v>2166</v>
      </c>
    </row>
    <row r="969" spans="2:4">
      <c r="C969" t="s">
        <v>2167</v>
      </c>
    </row>
    <row r="970" spans="2:4">
      <c r="D970" t="s">
        <v>2168</v>
      </c>
    </row>
    <row r="972" spans="2:4">
      <c r="B972" s="121" t="s">
        <v>2174</v>
      </c>
    </row>
    <row r="974" spans="2:4">
      <c r="B974" t="s">
        <v>2175</v>
      </c>
    </row>
    <row r="975" spans="2:4">
      <c r="C975" t="s">
        <v>2176</v>
      </c>
    </row>
    <row r="977" spans="2:5">
      <c r="B977" t="s">
        <v>2121</v>
      </c>
    </row>
    <row r="979" spans="2:5">
      <c r="B979" t="s">
        <v>2177</v>
      </c>
    </row>
    <row r="981" spans="2:5">
      <c r="B981" t="s">
        <v>2178</v>
      </c>
    </row>
    <row r="982" spans="2:5">
      <c r="C982" t="s">
        <v>2181</v>
      </c>
    </row>
    <row r="983" spans="2:5">
      <c r="C983" t="s">
        <v>2182</v>
      </c>
    </row>
    <row r="985" spans="2:5">
      <c r="B985" t="s">
        <v>2179</v>
      </c>
    </row>
    <row r="986" spans="2:5">
      <c r="C986" t="s">
        <v>2180</v>
      </c>
    </row>
    <row r="988" spans="2:5">
      <c r="B988" t="s">
        <v>2183</v>
      </c>
    </row>
    <row r="989" spans="2:5">
      <c r="C989" t="s">
        <v>2185</v>
      </c>
    </row>
    <row r="990" spans="2:5">
      <c r="C990" t="s">
        <v>2184</v>
      </c>
    </row>
    <row r="991" spans="2:5">
      <c r="D991" t="s">
        <v>1869</v>
      </c>
      <c r="E991" t="s">
        <v>2187</v>
      </c>
    </row>
    <row r="992" spans="2:5">
      <c r="D992" t="s">
        <v>2186</v>
      </c>
      <c r="E992" t="s">
        <v>2188</v>
      </c>
    </row>
    <row r="993" spans="2:3">
      <c r="C993" t="s">
        <v>2189</v>
      </c>
    </row>
    <row r="994" spans="2:3">
      <c r="C994" t="s">
        <v>2190</v>
      </c>
    </row>
    <row r="996" spans="2:3">
      <c r="B996" t="s">
        <v>2191</v>
      </c>
    </row>
    <row r="998" spans="2:3">
      <c r="B998" t="s">
        <v>2194</v>
      </c>
    </row>
    <row r="999" spans="2:3">
      <c r="C999" t="s">
        <v>2192</v>
      </c>
    </row>
    <row r="1000" spans="2:3">
      <c r="C1000" t="s">
        <v>2193</v>
      </c>
    </row>
    <row r="1001" spans="2:3">
      <c r="B1001" t="s">
        <v>2195</v>
      </c>
    </row>
    <row r="1003" spans="2:3">
      <c r="B1003" t="s">
        <v>2196</v>
      </c>
    </row>
    <row r="1004" spans="2:3">
      <c r="C1004" t="s">
        <v>2197</v>
      </c>
    </row>
    <row r="1006" spans="2:3">
      <c r="B1006" t="s">
        <v>2198</v>
      </c>
    </row>
    <row r="1007" spans="2:3">
      <c r="C1007" t="s">
        <v>2199</v>
      </c>
    </row>
    <row r="1009" spans="2:4">
      <c r="B1009" t="s">
        <v>2200</v>
      </c>
    </row>
    <row r="1012" spans="2:4">
      <c r="B1012" t="s">
        <v>2201</v>
      </c>
    </row>
    <row r="1013" spans="2:4">
      <c r="C1013" t="s">
        <v>2202</v>
      </c>
    </row>
    <row r="1014" spans="2:4">
      <c r="C1014" t="s">
        <v>2203</v>
      </c>
    </row>
    <row r="1016" spans="2:4">
      <c r="B1016" t="s">
        <v>2204</v>
      </c>
    </row>
    <row r="1017" spans="2:4">
      <c r="C1017" t="s">
        <v>2205</v>
      </c>
    </row>
    <row r="1018" spans="2:4">
      <c r="D1018" t="s">
        <v>2206</v>
      </c>
    </row>
    <row r="1019" spans="2:4">
      <c r="D1019" t="s">
        <v>2207</v>
      </c>
    </row>
    <row r="1021" spans="2:4">
      <c r="B1021" t="s">
        <v>2208</v>
      </c>
    </row>
    <row r="1023" spans="2:4">
      <c r="B1023" t="s">
        <v>2209</v>
      </c>
    </row>
    <row r="1024" spans="2:4">
      <c r="B1024" t="s">
        <v>2210</v>
      </c>
    </row>
    <row r="1025" spans="2:3">
      <c r="C1025" t="s">
        <v>2213</v>
      </c>
    </row>
    <row r="1026" spans="2:3">
      <c r="C1026" t="s">
        <v>2214</v>
      </c>
    </row>
    <row r="1028" spans="2:3">
      <c r="B1028" t="s">
        <v>2211</v>
      </c>
    </row>
    <row r="1029" spans="2:3">
      <c r="C1029" t="s">
        <v>2212</v>
      </c>
    </row>
    <row r="1031" spans="2:3">
      <c r="B1031" s="121" t="s">
        <v>2263</v>
      </c>
    </row>
    <row r="1033" spans="2:3">
      <c r="B1033" t="s">
        <v>2233</v>
      </c>
    </row>
    <row r="1034" spans="2:3">
      <c r="B1034" t="s">
        <v>2234</v>
      </c>
    </row>
    <row r="1035" spans="2:3">
      <c r="B1035" t="s">
        <v>2235</v>
      </c>
    </row>
    <row r="1036" spans="2:3">
      <c r="B1036" t="s">
        <v>2236</v>
      </c>
    </row>
    <row r="1037" spans="2:3">
      <c r="B1037" t="s">
        <v>2237</v>
      </c>
    </row>
    <row r="1038" spans="2:3">
      <c r="B1038" s="9">
        <v>4.0000000000000001E-3</v>
      </c>
      <c r="C1038" t="s">
        <v>2238</v>
      </c>
    </row>
    <row r="1039" spans="2:3">
      <c r="B1039" s="9">
        <v>1.14E-2</v>
      </c>
      <c r="C1039" t="s">
        <v>35</v>
      </c>
    </row>
    <row r="1040" spans="2:3">
      <c r="B1040" s="9">
        <v>0.01</v>
      </c>
      <c r="C1040" t="s">
        <v>2239</v>
      </c>
    </row>
    <row r="1041" spans="2:3">
      <c r="B1041" t="s">
        <v>2240</v>
      </c>
    </row>
    <row r="1042" spans="2:3">
      <c r="B1042" t="s">
        <v>2241</v>
      </c>
    </row>
    <row r="1043" spans="2:3">
      <c r="C1043" t="s">
        <v>2242</v>
      </c>
    </row>
    <row r="1044" spans="2:3">
      <c r="C1044" t="s">
        <v>2243</v>
      </c>
    </row>
    <row r="1045" spans="2:3">
      <c r="C1045" t="s">
        <v>2244</v>
      </c>
    </row>
    <row r="1046" spans="2:3">
      <c r="B1046" t="s">
        <v>2245</v>
      </c>
    </row>
    <row r="1047" spans="2:3">
      <c r="B1047" t="s">
        <v>2246</v>
      </c>
    </row>
    <row r="1048" spans="2:3">
      <c r="B1048" t="s">
        <v>2247</v>
      </c>
    </row>
    <row r="1049" spans="2:3">
      <c r="C1049" t="s">
        <v>2248</v>
      </c>
    </row>
    <row r="1050" spans="2:3">
      <c r="C1050" t="s">
        <v>2249</v>
      </c>
    </row>
    <row r="1051" spans="2:3">
      <c r="B1051" s="2" t="s">
        <v>2250</v>
      </c>
    </row>
    <row r="1052" spans="2:3">
      <c r="B1052" t="s">
        <v>2252</v>
      </c>
    </row>
    <row r="1053" spans="2:3">
      <c r="B1053" t="s">
        <v>2251</v>
      </c>
    </row>
    <row r="1054" spans="2:3">
      <c r="B1054" t="s">
        <v>2253</v>
      </c>
    </row>
    <row r="1056" spans="2:3">
      <c r="B1056" t="s">
        <v>2254</v>
      </c>
    </row>
    <row r="1058" spans="2:3">
      <c r="B1058" s="2" t="s">
        <v>1259</v>
      </c>
    </row>
    <row r="1059" spans="2:3">
      <c r="B1059" t="s">
        <v>2255</v>
      </c>
    </row>
    <row r="1060" spans="2:3">
      <c r="C1060" t="s">
        <v>2257</v>
      </c>
    </row>
    <row r="1061" spans="2:3">
      <c r="C1061" t="s">
        <v>2258</v>
      </c>
    </row>
    <row r="1062" spans="2:3">
      <c r="C1062" t="s">
        <v>2259</v>
      </c>
    </row>
    <row r="1063" spans="2:3">
      <c r="C1063" t="s">
        <v>2260</v>
      </c>
    </row>
    <row r="1064" spans="2:3">
      <c r="C1064" t="s">
        <v>2261</v>
      </c>
    </row>
    <row r="1065" spans="2:3">
      <c r="B1065" t="s">
        <v>2256</v>
      </c>
    </row>
    <row r="1066" spans="2:3">
      <c r="C1066" t="s">
        <v>2262</v>
      </c>
    </row>
    <row r="1067" spans="2:3">
      <c r="C1067" t="s">
        <v>2264</v>
      </c>
    </row>
    <row r="1068" spans="2:3">
      <c r="C1068" t="s">
        <v>2265</v>
      </c>
    </row>
    <row r="1069" spans="2:3">
      <c r="B1069" t="s">
        <v>16</v>
      </c>
    </row>
    <row r="1070" spans="2:3">
      <c r="C1070" t="s">
        <v>2266</v>
      </c>
    </row>
    <row r="1071" spans="2:3">
      <c r="C1071" t="s">
        <v>2267</v>
      </c>
    </row>
    <row r="1072" spans="2:3">
      <c r="C1072" t="s">
        <v>2268</v>
      </c>
    </row>
    <row r="1073" spans="2:3">
      <c r="C1073" t="s">
        <v>2274</v>
      </c>
    </row>
    <row r="1074" spans="2:3">
      <c r="B1074" t="s">
        <v>87</v>
      </c>
    </row>
    <row r="1075" spans="2:3">
      <c r="C1075" t="s">
        <v>2307</v>
      </c>
    </row>
    <row r="1076" spans="2:3">
      <c r="C1076" t="s">
        <v>2272</v>
      </c>
    </row>
    <row r="1077" spans="2:3">
      <c r="C1077" t="s">
        <v>2273</v>
      </c>
    </row>
    <row r="1078" spans="2:3">
      <c r="B1078" t="s">
        <v>2269</v>
      </c>
    </row>
    <row r="1079" spans="2:3">
      <c r="C1079" t="s">
        <v>2270</v>
      </c>
    </row>
    <row r="1080" spans="2:3">
      <c r="C1080" t="s">
        <v>2271</v>
      </c>
    </row>
    <row r="1081" spans="2:3">
      <c r="B1081" t="s">
        <v>2275</v>
      </c>
    </row>
    <row r="1082" spans="2:3">
      <c r="C1082" t="s">
        <v>2276</v>
      </c>
    </row>
    <row r="1083" spans="2:3">
      <c r="C1083" t="s">
        <v>2277</v>
      </c>
    </row>
    <row r="1084" spans="2:3">
      <c r="B1084" t="s">
        <v>2278</v>
      </c>
    </row>
    <row r="1085" spans="2:3">
      <c r="B1085" t="s">
        <v>2279</v>
      </c>
    </row>
    <row r="1086" spans="2:3">
      <c r="C1086" t="s">
        <v>2280</v>
      </c>
    </row>
    <row r="1087" spans="2:3">
      <c r="B1087" t="s">
        <v>16</v>
      </c>
    </row>
    <row r="1088" spans="2:3">
      <c r="C1088" t="s">
        <v>2281</v>
      </c>
    </row>
    <row r="1089" spans="2:4">
      <c r="D1089" t="s">
        <v>2283</v>
      </c>
    </row>
    <row r="1090" spans="2:4">
      <c r="D1090" t="s">
        <v>2284</v>
      </c>
    </row>
    <row r="1091" spans="2:4">
      <c r="D1091" t="s">
        <v>2285</v>
      </c>
    </row>
    <row r="1092" spans="2:4">
      <c r="D1092" t="s">
        <v>2286</v>
      </c>
    </row>
    <row r="1093" spans="2:4">
      <c r="D1093" t="s">
        <v>2287</v>
      </c>
    </row>
    <row r="1094" spans="2:4">
      <c r="B1094" t="s">
        <v>145</v>
      </c>
    </row>
    <row r="1095" spans="2:4">
      <c r="C1095" t="s">
        <v>2282</v>
      </c>
    </row>
    <row r="1096" spans="2:4">
      <c r="D1096" t="s">
        <v>2290</v>
      </c>
    </row>
    <row r="1097" spans="2:4">
      <c r="D1097" t="s">
        <v>2288</v>
      </c>
    </row>
    <row r="1098" spans="2:4">
      <c r="D1098" t="s">
        <v>2289</v>
      </c>
    </row>
    <row r="1099" spans="2:4">
      <c r="B1099" t="s">
        <v>2291</v>
      </c>
    </row>
    <row r="1100" spans="2:4">
      <c r="C1100" t="s">
        <v>2292</v>
      </c>
    </row>
    <row r="1101" spans="2:4">
      <c r="C1101" t="s">
        <v>2293</v>
      </c>
    </row>
    <row r="1102" spans="2:4">
      <c r="B1102" t="s">
        <v>1861</v>
      </c>
    </row>
    <row r="1103" spans="2:4">
      <c r="C1103" t="s">
        <v>2294</v>
      </c>
    </row>
    <row r="1104" spans="2:4">
      <c r="B1104" t="s">
        <v>2295</v>
      </c>
    </row>
    <row r="1105" spans="2:3">
      <c r="C1105" t="s">
        <v>2296</v>
      </c>
    </row>
    <row r="1106" spans="2:3">
      <c r="C1106" t="s">
        <v>2297</v>
      </c>
    </row>
    <row r="1107" spans="2:3">
      <c r="B1107" t="s">
        <v>417</v>
      </c>
    </row>
    <row r="1108" spans="2:3">
      <c r="C1108" t="s">
        <v>2298</v>
      </c>
    </row>
    <row r="1109" spans="2:3">
      <c r="B1109" t="s">
        <v>2299</v>
      </c>
    </row>
    <row r="1110" spans="2:3">
      <c r="C1110" t="s">
        <v>2300</v>
      </c>
    </row>
    <row r="1111" spans="2:3">
      <c r="C1111" t="s">
        <v>2303</v>
      </c>
    </row>
    <row r="1112" spans="2:3">
      <c r="C1112" t="s">
        <v>2301</v>
      </c>
    </row>
    <row r="1113" spans="2:3">
      <c r="C1113" t="s">
        <v>2302</v>
      </c>
    </row>
    <row r="1115" spans="2:3">
      <c r="B1115" s="121" t="s">
        <v>2304</v>
      </c>
    </row>
    <row r="1117" spans="2:3">
      <c r="B1117" t="s">
        <v>2306</v>
      </c>
    </row>
    <row r="1118" spans="2:3">
      <c r="B1118" t="s">
        <v>2305</v>
      </c>
    </row>
    <row r="1119" spans="2:3">
      <c r="B1119" t="s">
        <v>2308</v>
      </c>
    </row>
    <row r="1120" spans="2:3">
      <c r="B1120" t="s">
        <v>2309</v>
      </c>
    </row>
    <row r="1121" spans="2:4">
      <c r="B1121" t="s">
        <v>2310</v>
      </c>
    </row>
    <row r="1123" spans="2:4">
      <c r="B1123" t="s">
        <v>2326</v>
      </c>
    </row>
    <row r="1124" spans="2:4">
      <c r="C1124" t="s">
        <v>2327</v>
      </c>
    </row>
    <row r="1125" spans="2:4">
      <c r="C1125" t="s">
        <v>2328</v>
      </c>
    </row>
    <row r="1127" spans="2:4">
      <c r="B1127" t="s">
        <v>201</v>
      </c>
    </row>
    <row r="1128" spans="2:4">
      <c r="C1128" t="s">
        <v>2331</v>
      </c>
    </row>
    <row r="1129" spans="2:4">
      <c r="C1129" t="s">
        <v>2329</v>
      </c>
    </row>
    <row r="1130" spans="2:4">
      <c r="C1130" t="s">
        <v>2330</v>
      </c>
    </row>
    <row r="1131" spans="2:4">
      <c r="D1131" t="s">
        <v>2334</v>
      </c>
    </row>
    <row r="1132" spans="2:4">
      <c r="C1132" t="s">
        <v>2332</v>
      </c>
    </row>
    <row r="1133" spans="2:4">
      <c r="C1133" t="s">
        <v>2333</v>
      </c>
    </row>
    <row r="1135" spans="2:4">
      <c r="B1135" t="s">
        <v>2335</v>
      </c>
    </row>
    <row r="1136" spans="2:4">
      <c r="C1136" t="s">
        <v>2336</v>
      </c>
    </row>
    <row r="1137" spans="2:6">
      <c r="C1137" t="s">
        <v>2337</v>
      </c>
    </row>
    <row r="1139" spans="2:6">
      <c r="B1139" t="s">
        <v>2338</v>
      </c>
    </row>
    <row r="1140" spans="2:6">
      <c r="C1140" t="s">
        <v>2339</v>
      </c>
    </row>
    <row r="1141" spans="2:6">
      <c r="C1141" t="s">
        <v>2340</v>
      </c>
    </row>
    <row r="1142" spans="2:6">
      <c r="D1142" t="s">
        <v>2341</v>
      </c>
    </row>
    <row r="1143" spans="2:6">
      <c r="E1143" t="s">
        <v>2343</v>
      </c>
    </row>
    <row r="1144" spans="2:6">
      <c r="E1144" t="s">
        <v>2342</v>
      </c>
    </row>
    <row r="1145" spans="2:6">
      <c r="C1145" t="s">
        <v>2342</v>
      </c>
    </row>
    <row r="1146" spans="2:6">
      <c r="D1146" t="s">
        <v>2344</v>
      </c>
      <c r="F1146" t="s">
        <v>2345</v>
      </c>
    </row>
    <row r="1148" spans="2:6">
      <c r="B1148" t="s">
        <v>189</v>
      </c>
    </row>
    <row r="1149" spans="2:6">
      <c r="C1149" t="s">
        <v>2346</v>
      </c>
    </row>
    <row r="1150" spans="2:6">
      <c r="C1150" t="s">
        <v>2347</v>
      </c>
    </row>
    <row r="1151" spans="2:6">
      <c r="D1151" t="s">
        <v>2348</v>
      </c>
    </row>
    <row r="1153" spans="2:5">
      <c r="B1153" s="121" t="s">
        <v>2349</v>
      </c>
    </row>
    <row r="1155" spans="2:5">
      <c r="B1155" t="s">
        <v>2350</v>
      </c>
    </row>
    <row r="1156" spans="2:5">
      <c r="B1156" t="s">
        <v>2351</v>
      </c>
    </row>
    <row r="1157" spans="2:5">
      <c r="B1157" t="s">
        <v>2352</v>
      </c>
    </row>
    <row r="1158" spans="2:5">
      <c r="C1158" t="s">
        <v>2354</v>
      </c>
    </row>
    <row r="1159" spans="2:5">
      <c r="B1159" t="s">
        <v>2353</v>
      </c>
    </row>
    <row r="1161" spans="2:5">
      <c r="B1161" t="s">
        <v>2355</v>
      </c>
    </row>
    <row r="1162" spans="2:5">
      <c r="C1162" t="s">
        <v>2356</v>
      </c>
    </row>
    <row r="1163" spans="2:5">
      <c r="C1163" t="s">
        <v>2357</v>
      </c>
    </row>
    <row r="1164" spans="2:5">
      <c r="D1164" t="s">
        <v>2358</v>
      </c>
    </row>
    <row r="1165" spans="2:5">
      <c r="E1165" t="s">
        <v>2359</v>
      </c>
    </row>
    <row r="1166" spans="2:5">
      <c r="D1166" t="s">
        <v>2360</v>
      </c>
    </row>
    <row r="1167" spans="2:5">
      <c r="D1167" t="s">
        <v>2361</v>
      </c>
    </row>
    <row r="1168" spans="2:5">
      <c r="E1168" t="s">
        <v>2362</v>
      </c>
    </row>
    <row r="1169" spans="2:6">
      <c r="F1169" t="s">
        <v>2363</v>
      </c>
    </row>
    <row r="1170" spans="2:6">
      <c r="E1170" t="s">
        <v>2364</v>
      </c>
    </row>
    <row r="1171" spans="2:6">
      <c r="D1171" t="s">
        <v>2365</v>
      </c>
    </row>
    <row r="1172" spans="2:6">
      <c r="E1172" t="s">
        <v>2366</v>
      </c>
    </row>
    <row r="1173" spans="2:6">
      <c r="B1173" t="s">
        <v>2367</v>
      </c>
    </row>
    <row r="1174" spans="2:6">
      <c r="B1174" t="s">
        <v>1169</v>
      </c>
    </row>
    <row r="1175" spans="2:6">
      <c r="C1175" t="s">
        <v>2368</v>
      </c>
    </row>
    <row r="1176" spans="2:6">
      <c r="C1176" t="s">
        <v>2369</v>
      </c>
    </row>
    <row r="1177" spans="2:6">
      <c r="D1177" t="s">
        <v>2370</v>
      </c>
    </row>
    <row r="1178" spans="2:6">
      <c r="C1178" t="s">
        <v>2371</v>
      </c>
    </row>
    <row r="1180" spans="2:6">
      <c r="B1180" t="s">
        <v>2372</v>
      </c>
    </row>
    <row r="1181" spans="2:6">
      <c r="C1181" t="s">
        <v>2373</v>
      </c>
    </row>
    <row r="1183" spans="2:6">
      <c r="B1183" s="121" t="s">
        <v>2378</v>
      </c>
    </row>
    <row r="1185" spans="2:5">
      <c r="B1185" t="s">
        <v>2382</v>
      </c>
    </row>
    <row r="1186" spans="2:5">
      <c r="C1186" t="s">
        <v>2386</v>
      </c>
    </row>
    <row r="1187" spans="2:5">
      <c r="C1187" t="s">
        <v>2385</v>
      </c>
    </row>
    <row r="1188" spans="2:5">
      <c r="C1188" t="s">
        <v>2391</v>
      </c>
    </row>
    <row r="1189" spans="2:5">
      <c r="D1189" t="s">
        <v>2398</v>
      </c>
    </row>
    <row r="1190" spans="2:5">
      <c r="D1190" t="s">
        <v>2399</v>
      </c>
    </row>
    <row r="1191" spans="2:5">
      <c r="E1191" t="s">
        <v>2400</v>
      </c>
    </row>
    <row r="1192" spans="2:5">
      <c r="E1192" t="s">
        <v>2401</v>
      </c>
    </row>
    <row r="1193" spans="2:5">
      <c r="D1193" t="s">
        <v>2402</v>
      </c>
    </row>
    <row r="1194" spans="2:5">
      <c r="D1194" t="s">
        <v>2403</v>
      </c>
    </row>
    <row r="1195" spans="2:5">
      <c r="E1195" t="s">
        <v>2404</v>
      </c>
    </row>
    <row r="1196" spans="2:5">
      <c r="E1196" t="s">
        <v>2405</v>
      </c>
    </row>
    <row r="1197" spans="2:5">
      <c r="D1197" t="s">
        <v>2406</v>
      </c>
    </row>
    <row r="1198" spans="2:5">
      <c r="D1198" t="s">
        <v>2407</v>
      </c>
    </row>
    <row r="1200" spans="2:5">
      <c r="B1200" t="s">
        <v>2379</v>
      </c>
    </row>
    <row r="1201" spans="2:5">
      <c r="B1201" t="s">
        <v>2380</v>
      </c>
    </row>
    <row r="1202" spans="2:5">
      <c r="C1202" t="s">
        <v>2381</v>
      </c>
    </row>
    <row r="1204" spans="2:5">
      <c r="B1204" t="s">
        <v>2384</v>
      </c>
    </row>
    <row r="1205" spans="2:5">
      <c r="C1205" t="s">
        <v>2383</v>
      </c>
    </row>
    <row r="1206" spans="2:5">
      <c r="D1206" t="s">
        <v>2390</v>
      </c>
    </row>
    <row r="1208" spans="2:5">
      <c r="C1208" t="s">
        <v>2387</v>
      </c>
    </row>
    <row r="1209" spans="2:5">
      <c r="D1209" t="s">
        <v>2389</v>
      </c>
    </row>
    <row r="1210" spans="2:5">
      <c r="D1210" s="416">
        <v>-1.4999999999999999E-2</v>
      </c>
      <c r="E1210" t="s">
        <v>2388</v>
      </c>
    </row>
    <row r="1212" spans="2:5">
      <c r="B1212" t="s">
        <v>2394</v>
      </c>
    </row>
    <row r="1214" spans="2:5">
      <c r="B1214" t="s">
        <v>87</v>
      </c>
    </row>
    <row r="1215" spans="2:5">
      <c r="C1215" t="s">
        <v>2392</v>
      </c>
    </row>
    <row r="1216" spans="2:5">
      <c r="C1216" t="s">
        <v>2393</v>
      </c>
    </row>
    <row r="1217" spans="2:3">
      <c r="C1217" t="s">
        <v>2395</v>
      </c>
    </row>
    <row r="1219" spans="2:3">
      <c r="B1219" t="s">
        <v>16</v>
      </c>
    </row>
    <row r="1220" spans="2:3">
      <c r="C1220" t="s">
        <v>2396</v>
      </c>
    </row>
    <row r="1222" spans="2:3">
      <c r="B1222" t="s">
        <v>2397</v>
      </c>
    </row>
    <row r="1224" spans="2:3">
      <c r="B1224" t="s">
        <v>201</v>
      </c>
    </row>
    <row r="1226" spans="2:3">
      <c r="B1226" t="s">
        <v>2408</v>
      </c>
    </row>
    <row r="1228" spans="2:3">
      <c r="B1228" t="s">
        <v>2409</v>
      </c>
    </row>
    <row r="1229" spans="2:3">
      <c r="C1229" t="s">
        <v>2410</v>
      </c>
    </row>
    <row r="1231" spans="2:3">
      <c r="B1231" s="121" t="s">
        <v>2413</v>
      </c>
    </row>
    <row r="1233" spans="2:3">
      <c r="B1233" t="s">
        <v>2411</v>
      </c>
    </row>
    <row r="1234" spans="2:3">
      <c r="B1234" t="s">
        <v>2414</v>
      </c>
    </row>
    <row r="1235" spans="2:3">
      <c r="B1235" t="s">
        <v>2412</v>
      </c>
    </row>
    <row r="1236" spans="2:3">
      <c r="B1236" t="s">
        <v>2415</v>
      </c>
    </row>
    <row r="1237" spans="2:3">
      <c r="C1237" t="s">
        <v>2416</v>
      </c>
    </row>
    <row r="1238" spans="2:3">
      <c r="C1238" t="s">
        <v>2425</v>
      </c>
    </row>
    <row r="1239" spans="2:3">
      <c r="C1239" t="s">
        <v>2417</v>
      </c>
    </row>
    <row r="1240" spans="2:3">
      <c r="B1240" t="s">
        <v>2418</v>
      </c>
    </row>
    <row r="1241" spans="2:3">
      <c r="B1241" t="s">
        <v>2419</v>
      </c>
    </row>
    <row r="1242" spans="2:3">
      <c r="B1242" t="s">
        <v>2420</v>
      </c>
    </row>
    <row r="1243" spans="2:3">
      <c r="C1243" t="s">
        <v>2421</v>
      </c>
    </row>
    <row r="1244" spans="2:3">
      <c r="B1244" t="s">
        <v>2422</v>
      </c>
    </row>
    <row r="1245" spans="2:3">
      <c r="B1245" t="s">
        <v>2423</v>
      </c>
    </row>
    <row r="1246" spans="2:3">
      <c r="C1246" t="s">
        <v>2424</v>
      </c>
    </row>
    <row r="1248" spans="2:3">
      <c r="B1248" s="2" t="s">
        <v>2440</v>
      </c>
    </row>
    <row r="1249" spans="2:14">
      <c r="B1249" t="s">
        <v>2441</v>
      </c>
      <c r="C1249">
        <v>2015</v>
      </c>
    </row>
    <row r="1250" spans="2:14">
      <c r="B1250" s="417">
        <v>0.75</v>
      </c>
      <c r="C1250" s="10">
        <v>-0.115</v>
      </c>
    </row>
    <row r="1251" spans="2:14">
      <c r="B1251" t="s">
        <v>2442</v>
      </c>
    </row>
    <row r="1252" spans="2:14">
      <c r="B1252" t="s">
        <v>2443</v>
      </c>
    </row>
    <row r="1253" spans="2:14">
      <c r="C1253" t="s">
        <v>2444</v>
      </c>
    </row>
    <row r="1254" spans="2:14">
      <c r="B1254" t="s">
        <v>2445</v>
      </c>
    </row>
    <row r="1255" spans="2:14">
      <c r="C1255" t="s">
        <v>2446</v>
      </c>
    </row>
    <row r="1256" spans="2:14">
      <c r="C1256" t="s">
        <v>2447</v>
      </c>
    </row>
    <row r="1257" spans="2:14">
      <c r="B1257" t="s">
        <v>2448</v>
      </c>
    </row>
    <row r="1258" spans="2:14">
      <c r="C1258" t="s">
        <v>2449</v>
      </c>
      <c r="D1258" t="s">
        <v>2452</v>
      </c>
      <c r="G1258" t="s">
        <v>2453</v>
      </c>
    </row>
    <row r="1259" spans="2:14">
      <c r="C1259" t="s">
        <v>2450</v>
      </c>
      <c r="D1259" t="s">
        <v>2451</v>
      </c>
    </row>
    <row r="1261" spans="2:14">
      <c r="C1261">
        <v>2015</v>
      </c>
      <c r="I1261">
        <v>2016</v>
      </c>
      <c r="L1261">
        <v>2005</v>
      </c>
      <c r="M1261">
        <v>2014</v>
      </c>
    </row>
    <row r="1262" spans="2:14">
      <c r="B1262" t="s">
        <v>2456</v>
      </c>
      <c r="C1262">
        <v>100</v>
      </c>
      <c r="E1262">
        <v>100</v>
      </c>
      <c r="F1262">
        <v>100</v>
      </c>
      <c r="G1262">
        <v>100</v>
      </c>
      <c r="I1262">
        <f>C1262*0.97</f>
        <v>97</v>
      </c>
      <c r="N1262" t="s">
        <v>2569</v>
      </c>
    </row>
    <row r="1263" spans="2:14">
      <c r="C1263">
        <v>85</v>
      </c>
      <c r="D1263" t="s">
        <v>2454</v>
      </c>
      <c r="E1263">
        <v>85</v>
      </c>
      <c r="F1263">
        <v>85</v>
      </c>
      <c r="G1263">
        <v>65</v>
      </c>
      <c r="I1263">
        <f>C1263</f>
        <v>85</v>
      </c>
      <c r="M1263">
        <v>2015</v>
      </c>
    </row>
    <row r="1264" spans="2:14">
      <c r="C1264">
        <v>15</v>
      </c>
      <c r="D1264" t="s">
        <v>2455</v>
      </c>
      <c r="E1264">
        <v>15</v>
      </c>
      <c r="F1264">
        <v>15</v>
      </c>
      <c r="G1264">
        <v>35</v>
      </c>
      <c r="I1264">
        <f>I1262-I1263</f>
        <v>12</v>
      </c>
      <c r="N1264" t="s">
        <v>2570</v>
      </c>
    </row>
    <row r="1265" spans="2:14">
      <c r="I1265" s="8"/>
      <c r="M1265">
        <v>2016</v>
      </c>
    </row>
    <row r="1266" spans="2:14">
      <c r="B1266" t="s">
        <v>2457</v>
      </c>
      <c r="C1266" t="s">
        <v>2458</v>
      </c>
      <c r="N1266" t="s">
        <v>2571</v>
      </c>
    </row>
    <row r="1267" spans="2:14">
      <c r="C1267" s="2" t="s">
        <v>2459</v>
      </c>
    </row>
    <row r="1268" spans="2:14">
      <c r="C1268" t="s">
        <v>2477</v>
      </c>
    </row>
    <row r="1269" spans="2:14">
      <c r="C1269" t="s">
        <v>2464</v>
      </c>
    </row>
    <row r="1270" spans="2:14">
      <c r="C1270" t="s">
        <v>2460</v>
      </c>
    </row>
    <row r="1271" spans="2:14">
      <c r="C1271" t="s">
        <v>2462</v>
      </c>
    </row>
    <row r="1272" spans="2:14">
      <c r="B1272" t="s">
        <v>2461</v>
      </c>
    </row>
    <row r="1273" spans="2:14">
      <c r="C1273" t="s">
        <v>2478</v>
      </c>
    </row>
    <row r="1274" spans="2:14">
      <c r="C1274" t="s">
        <v>2479</v>
      </c>
    </row>
    <row r="1275" spans="2:14">
      <c r="B1275" t="s">
        <v>2463</v>
      </c>
    </row>
    <row r="1276" spans="2:14">
      <c r="C1276" t="s">
        <v>2465</v>
      </c>
    </row>
    <row r="1277" spans="2:14">
      <c r="C1277" t="s">
        <v>2466</v>
      </c>
    </row>
    <row r="1278" spans="2:14">
      <c r="C1278" t="s">
        <v>2467</v>
      </c>
    </row>
    <row r="1280" spans="2:14">
      <c r="B1280" t="s">
        <v>2468</v>
      </c>
    </row>
    <row r="1281" spans="2:4">
      <c r="C1281" t="s">
        <v>2469</v>
      </c>
    </row>
    <row r="1283" spans="2:4">
      <c r="B1283" t="s">
        <v>2470</v>
      </c>
    </row>
    <row r="1284" spans="2:4">
      <c r="C1284" t="s">
        <v>2471</v>
      </c>
      <c r="D1284" t="s">
        <v>2472</v>
      </c>
    </row>
    <row r="1285" spans="2:4">
      <c r="C1285" t="s">
        <v>2473</v>
      </c>
      <c r="D1285" t="s">
        <v>2474</v>
      </c>
    </row>
    <row r="1286" spans="2:4">
      <c r="D1286" t="s">
        <v>2476</v>
      </c>
    </row>
    <row r="1287" spans="2:4">
      <c r="D1287" t="s">
        <v>2475</v>
      </c>
    </row>
    <row r="1289" spans="2:4">
      <c r="B1289" t="s">
        <v>2480</v>
      </c>
    </row>
    <row r="1290" spans="2:4">
      <c r="C1290" t="s">
        <v>2481</v>
      </c>
    </row>
    <row r="1291" spans="2:4">
      <c r="C1291" t="s">
        <v>2482</v>
      </c>
    </row>
    <row r="1292" spans="2:4">
      <c r="C1292" t="s">
        <v>2483</v>
      </c>
    </row>
    <row r="1293" spans="2:4">
      <c r="D1293" t="s">
        <v>2484</v>
      </c>
    </row>
    <row r="1295" spans="2:4">
      <c r="B1295" t="s">
        <v>2485</v>
      </c>
    </row>
    <row r="1296" spans="2:4">
      <c r="C1296" t="s">
        <v>2486</v>
      </c>
    </row>
    <row r="1297" spans="2:3">
      <c r="C1297" t="s">
        <v>2487</v>
      </c>
    </row>
    <row r="1299" spans="2:3">
      <c r="B1299" s="2" t="s">
        <v>2488</v>
      </c>
    </row>
    <row r="1301" spans="2:3">
      <c r="B1301" t="s">
        <v>2489</v>
      </c>
    </row>
    <row r="1302" spans="2:3">
      <c r="B1302" t="s">
        <v>2490</v>
      </c>
    </row>
    <row r="1303" spans="2:3">
      <c r="B1303" t="s">
        <v>2491</v>
      </c>
    </row>
    <row r="1305" spans="2:3">
      <c r="B1305" t="s">
        <v>2492</v>
      </c>
    </row>
    <row r="1306" spans="2:3">
      <c r="B1306">
        <v>2015</v>
      </c>
      <c r="C1306" s="264" t="s">
        <v>2493</v>
      </c>
    </row>
    <row r="1307" spans="2:3">
      <c r="C1307" t="s">
        <v>2494</v>
      </c>
    </row>
    <row r="1308" spans="2:3">
      <c r="C1308" t="s">
        <v>2506</v>
      </c>
    </row>
    <row r="1309" spans="2:3">
      <c r="C1309" t="s">
        <v>2507</v>
      </c>
    </row>
    <row r="1310" spans="2:3">
      <c r="B1310" t="s">
        <v>2495</v>
      </c>
    </row>
    <row r="1312" spans="2:3">
      <c r="B1312" t="s">
        <v>2496</v>
      </c>
    </row>
    <row r="1313" spans="2:8">
      <c r="C1313" t="s">
        <v>2497</v>
      </c>
    </row>
    <row r="1315" spans="2:8">
      <c r="B1315" t="s">
        <v>2498</v>
      </c>
    </row>
    <row r="1316" spans="2:8">
      <c r="C1316" t="s">
        <v>2499</v>
      </c>
      <c r="E1316" t="s">
        <v>2501</v>
      </c>
    </row>
    <row r="1317" spans="2:8">
      <c r="C1317" t="s">
        <v>2500</v>
      </c>
      <c r="E1317" t="s">
        <v>2502</v>
      </c>
    </row>
    <row r="1318" spans="2:8">
      <c r="B1318" s="9">
        <v>0.1613</v>
      </c>
      <c r="C1318" s="418" t="s">
        <v>2504</v>
      </c>
      <c r="D1318" t="s">
        <v>2503</v>
      </c>
    </row>
    <row r="1319" spans="2:8">
      <c r="B1319" s="9">
        <v>0.16450000000000001</v>
      </c>
      <c r="C1319" s="418" t="s">
        <v>2505</v>
      </c>
    </row>
    <row r="1321" spans="2:8">
      <c r="B1321" s="2" t="s">
        <v>2515</v>
      </c>
      <c r="G1321" s="2" t="s">
        <v>1259</v>
      </c>
    </row>
    <row r="1323" spans="2:8">
      <c r="B1323" t="s">
        <v>2518</v>
      </c>
      <c r="H1323" t="s">
        <v>2534</v>
      </c>
    </row>
    <row r="1324" spans="2:8">
      <c r="G1324" t="s">
        <v>2519</v>
      </c>
    </row>
    <row r="1325" spans="2:8">
      <c r="B1325" t="s">
        <v>2522</v>
      </c>
      <c r="G1325" t="s">
        <v>2520</v>
      </c>
      <c r="H1325" t="s">
        <v>2521</v>
      </c>
    </row>
    <row r="1326" spans="2:8">
      <c r="C1326" t="s">
        <v>2523</v>
      </c>
      <c r="G1326" t="s">
        <v>1273</v>
      </c>
    </row>
    <row r="1327" spans="2:8">
      <c r="H1327" t="s">
        <v>2535</v>
      </c>
    </row>
    <row r="1328" spans="2:8">
      <c r="B1328" t="s">
        <v>2524</v>
      </c>
      <c r="H1328" t="s">
        <v>2544</v>
      </c>
    </row>
    <row r="1329" spans="1:8">
      <c r="C1329" t="s">
        <v>2525</v>
      </c>
      <c r="G1329" t="s">
        <v>2551</v>
      </c>
    </row>
    <row r="1330" spans="1:8">
      <c r="C1330" t="s">
        <v>2526</v>
      </c>
      <c r="H1330" t="s">
        <v>2552</v>
      </c>
    </row>
    <row r="1331" spans="1:8">
      <c r="C1331" t="s">
        <v>2527</v>
      </c>
      <c r="H1331" t="s">
        <v>2553</v>
      </c>
    </row>
    <row r="1332" spans="1:8">
      <c r="C1332" t="s">
        <v>2528</v>
      </c>
      <c r="H1332" t="s">
        <v>2554</v>
      </c>
    </row>
    <row r="1333" spans="1:8">
      <c r="H1333" t="s">
        <v>2555</v>
      </c>
    </row>
    <row r="1334" spans="1:8">
      <c r="B1334" t="s">
        <v>2529</v>
      </c>
      <c r="H1334" t="s">
        <v>2556</v>
      </c>
    </row>
    <row r="1335" spans="1:8">
      <c r="C1335" t="s">
        <v>2530</v>
      </c>
      <c r="H1335" t="s">
        <v>2557</v>
      </c>
    </row>
    <row r="1337" spans="1:8">
      <c r="B1337" t="s">
        <v>2531</v>
      </c>
    </row>
    <row r="1339" spans="1:8">
      <c r="B1339" t="s">
        <v>2532</v>
      </c>
    </row>
    <row r="1341" spans="1:8">
      <c r="B1341" t="s">
        <v>2533</v>
      </c>
    </row>
    <row r="1342" spans="1:8">
      <c r="A1342" t="s">
        <v>84</v>
      </c>
    </row>
    <row r="1343" spans="1:8">
      <c r="B1343" s="2" t="s">
        <v>1259</v>
      </c>
    </row>
    <row r="1344" spans="1:8">
      <c r="A1344" t="s">
        <v>84</v>
      </c>
    </row>
    <row r="1345" spans="2:3">
      <c r="B1345" t="s">
        <v>2537</v>
      </c>
    </row>
    <row r="1346" spans="2:3">
      <c r="C1346" t="s">
        <v>2562</v>
      </c>
    </row>
    <row r="1347" spans="2:3">
      <c r="C1347" t="s">
        <v>2538</v>
      </c>
    </row>
    <row r="1349" spans="2:3">
      <c r="B1349" t="s">
        <v>2536</v>
      </c>
    </row>
    <row r="1350" spans="2:3">
      <c r="C1350" t="s">
        <v>2539</v>
      </c>
    </row>
    <row r="1352" spans="2:3">
      <c r="B1352" t="s">
        <v>2540</v>
      </c>
    </row>
    <row r="1353" spans="2:3">
      <c r="C1353" t="s">
        <v>2561</v>
      </c>
    </row>
    <row r="1354" spans="2:3">
      <c r="C1354" t="s">
        <v>2541</v>
      </c>
    </row>
    <row r="1355" spans="2:3">
      <c r="C1355" t="s">
        <v>2543</v>
      </c>
    </row>
    <row r="1356" spans="2:3">
      <c r="C1356" t="s">
        <v>2563</v>
      </c>
    </row>
    <row r="1357" spans="2:3">
      <c r="C1357" t="s">
        <v>2564</v>
      </c>
    </row>
    <row r="1359" spans="2:3">
      <c r="B1359" t="s">
        <v>2542</v>
      </c>
    </row>
    <row r="1361" spans="2:4">
      <c r="B1361" t="s">
        <v>2545</v>
      </c>
    </row>
    <row r="1362" spans="2:4">
      <c r="C1362" t="s">
        <v>2546</v>
      </c>
    </row>
    <row r="1363" spans="2:4">
      <c r="C1363" t="s">
        <v>2549</v>
      </c>
    </row>
    <row r="1365" spans="2:4">
      <c r="B1365" t="s">
        <v>155</v>
      </c>
    </row>
    <row r="1366" spans="2:4">
      <c r="C1366" t="s">
        <v>2547</v>
      </c>
    </row>
    <row r="1367" spans="2:4">
      <c r="D1367" t="s">
        <v>2548</v>
      </c>
    </row>
    <row r="1368" spans="2:4">
      <c r="C1368" t="s">
        <v>2550</v>
      </c>
    </row>
    <row r="1370" spans="2:4">
      <c r="B1370" t="s">
        <v>1482</v>
      </c>
    </row>
    <row r="1371" spans="2:4">
      <c r="C1371" t="s">
        <v>2558</v>
      </c>
    </row>
    <row r="1372" spans="2:4">
      <c r="C1372" t="s">
        <v>2559</v>
      </c>
    </row>
    <row r="1374" spans="2:4">
      <c r="B1374" t="s">
        <v>1348</v>
      </c>
    </row>
    <row r="1375" spans="2:4">
      <c r="C1375" t="s">
        <v>2560</v>
      </c>
    </row>
    <row r="1377" spans="2:3">
      <c r="B1377" t="s">
        <v>155</v>
      </c>
    </row>
    <row r="1378" spans="2:3">
      <c r="C1378" t="s">
        <v>2565</v>
      </c>
    </row>
    <row r="1379" spans="2:3">
      <c r="C1379" t="s">
        <v>2566</v>
      </c>
    </row>
    <row r="1381" spans="2:3">
      <c r="B1381" s="2" t="s">
        <v>2515</v>
      </c>
    </row>
    <row r="1382" spans="2:3">
      <c r="B1382" t="s">
        <v>2567</v>
      </c>
    </row>
    <row r="1383" spans="2:3">
      <c r="B1383" t="s">
        <v>2568</v>
      </c>
    </row>
    <row r="1385" spans="2:3">
      <c r="B1385" t="s">
        <v>2572</v>
      </c>
    </row>
    <row r="1386" spans="2:3">
      <c r="B1386" t="s">
        <v>2573</v>
      </c>
    </row>
    <row r="1387" spans="2:3">
      <c r="C1387" s="264" t="s">
        <v>2574</v>
      </c>
    </row>
    <row r="1388" spans="2:3">
      <c r="C1388" s="264" t="s">
        <v>2575</v>
      </c>
    </row>
    <row r="1390" spans="2:3">
      <c r="B1390" t="s">
        <v>2576</v>
      </c>
    </row>
    <row r="1392" spans="2:3">
      <c r="B1392" t="s">
        <v>2577</v>
      </c>
    </row>
    <row r="1394" spans="2:5">
      <c r="B1394" t="s">
        <v>87</v>
      </c>
      <c r="C1394" t="s">
        <v>2578</v>
      </c>
    </row>
    <row r="1395" spans="2:5">
      <c r="D1395" t="s">
        <v>2579</v>
      </c>
    </row>
    <row r="1397" spans="2:5">
      <c r="B1397" t="s">
        <v>360</v>
      </c>
      <c r="C1397" t="s">
        <v>2581</v>
      </c>
      <c r="E1397" t="s">
        <v>2580</v>
      </c>
    </row>
    <row r="1399" spans="2:5">
      <c r="B1399" s="2" t="s">
        <v>2335</v>
      </c>
    </row>
    <row r="1400" spans="2:5">
      <c r="B1400" t="s">
        <v>2582</v>
      </c>
    </row>
    <row r="1401" spans="2:5">
      <c r="B1401" t="s">
        <v>2583</v>
      </c>
    </row>
    <row r="1402" spans="2:5">
      <c r="B1402" t="s">
        <v>2584</v>
      </c>
    </row>
    <row r="1403" spans="2:5">
      <c r="C1403" t="s">
        <v>2585</v>
      </c>
    </row>
    <row r="1405" spans="2:5">
      <c r="B1405" s="2" t="s">
        <v>2586</v>
      </c>
    </row>
    <row r="1406" spans="2:5">
      <c r="B1406" s="2" t="s">
        <v>2589</v>
      </c>
    </row>
    <row r="1407" spans="2:5">
      <c r="B1407" t="s">
        <v>2587</v>
      </c>
    </row>
    <row r="1408" spans="2:5">
      <c r="B1408" t="s">
        <v>2588</v>
      </c>
    </row>
    <row r="1409" spans="2:3">
      <c r="B1409" t="s">
        <v>2590</v>
      </c>
    </row>
    <row r="1410" spans="2:3">
      <c r="C1410" t="s">
        <v>2591</v>
      </c>
    </row>
    <row r="1412" spans="2:3">
      <c r="B1412" t="s">
        <v>2592</v>
      </c>
    </row>
    <row r="1413" spans="2:3">
      <c r="C1413" t="s">
        <v>2593</v>
      </c>
    </row>
    <row r="1414" spans="2:3">
      <c r="C1414" t="s">
        <v>2594</v>
      </c>
    </row>
    <row r="1416" spans="2:3">
      <c r="B1416" s="2" t="s">
        <v>2597</v>
      </c>
    </row>
    <row r="1418" spans="2:3">
      <c r="B1418" t="s">
        <v>2598</v>
      </c>
    </row>
    <row r="1420" spans="2:3">
      <c r="B1420" t="s">
        <v>16</v>
      </c>
      <c r="C1420" t="s">
        <v>2600</v>
      </c>
    </row>
    <row r="1421" spans="2:3">
      <c r="C1421" t="s">
        <v>2599</v>
      </c>
    </row>
    <row r="1423" spans="2:3">
      <c r="B1423" t="s">
        <v>601</v>
      </c>
      <c r="C1423" t="s">
        <v>2601</v>
      </c>
    </row>
    <row r="1424" spans="2:3">
      <c r="C1424" t="s">
        <v>2602</v>
      </c>
    </row>
    <row r="1426" spans="2:3">
      <c r="C1426" t="s">
        <v>2603</v>
      </c>
    </row>
    <row r="1428" spans="2:3">
      <c r="B1428" t="s">
        <v>2604</v>
      </c>
    </row>
    <row r="1430" spans="2:3">
      <c r="B1430" s="2" t="s">
        <v>2605</v>
      </c>
    </row>
    <row r="1431" spans="2:3">
      <c r="B1431" t="s">
        <v>2606</v>
      </c>
    </row>
    <row r="1433" spans="2:3">
      <c r="B1433" t="s">
        <v>2607</v>
      </c>
    </row>
    <row r="1435" spans="2:3">
      <c r="B1435" t="s">
        <v>2608</v>
      </c>
    </row>
    <row r="1437" spans="2:3">
      <c r="B1437" t="s">
        <v>1969</v>
      </c>
    </row>
    <row r="1438" spans="2:3">
      <c r="C1438" t="s">
        <v>2611</v>
      </c>
    </row>
    <row r="1439" spans="2:3">
      <c r="C1439" t="s">
        <v>2609</v>
      </c>
    </row>
    <row r="1440" spans="2:3">
      <c r="C1440" t="s">
        <v>2610</v>
      </c>
    </row>
    <row r="1442" spans="2:4">
      <c r="B1442" s="2" t="s">
        <v>2730</v>
      </c>
    </row>
    <row r="1443" spans="2:4">
      <c r="B1443" s="2"/>
    </row>
    <row r="1444" spans="2:4">
      <c r="B1444" s="2" t="s">
        <v>2755</v>
      </c>
    </row>
    <row r="1445" spans="2:4">
      <c r="B1445" t="s">
        <v>2731</v>
      </c>
    </row>
    <row r="1446" spans="2:4">
      <c r="B1446" t="s">
        <v>2732</v>
      </c>
    </row>
    <row r="1448" spans="2:4">
      <c r="B1448" t="s">
        <v>2733</v>
      </c>
    </row>
    <row r="1449" spans="2:4">
      <c r="B1449" t="s">
        <v>2734</v>
      </c>
    </row>
    <row r="1450" spans="2:4">
      <c r="C1450" t="s">
        <v>2736</v>
      </c>
    </row>
    <row r="1451" spans="2:4">
      <c r="C1451" t="s">
        <v>2737</v>
      </c>
    </row>
    <row r="1452" spans="2:4">
      <c r="D1452" t="s">
        <v>2738</v>
      </c>
    </row>
    <row r="1453" spans="2:4">
      <c r="C1453" t="s">
        <v>2739</v>
      </c>
    </row>
    <row r="1454" spans="2:4">
      <c r="B1454" t="s">
        <v>2735</v>
      </c>
    </row>
    <row r="1455" spans="2:4">
      <c r="B1455" t="s">
        <v>2740</v>
      </c>
    </row>
    <row r="1456" spans="2:4">
      <c r="C1456" t="s">
        <v>2741</v>
      </c>
    </row>
    <row r="1457" spans="2:7">
      <c r="C1457" t="s">
        <v>2742</v>
      </c>
    </row>
    <row r="1458" spans="2:7">
      <c r="C1458" t="s">
        <v>2743</v>
      </c>
    </row>
    <row r="1459" spans="2:7">
      <c r="C1459" t="s">
        <v>2744</v>
      </c>
    </row>
    <row r="1460" spans="2:7">
      <c r="D1460" t="s">
        <v>2745</v>
      </c>
    </row>
    <row r="1461" spans="2:7">
      <c r="B1461" t="s">
        <v>2746</v>
      </c>
    </row>
    <row r="1463" spans="2:7">
      <c r="B1463" s="2" t="s">
        <v>2747</v>
      </c>
      <c r="C1463" t="s">
        <v>2748</v>
      </c>
      <c r="G1463">
        <f>800/4</f>
        <v>200</v>
      </c>
    </row>
    <row r="1464" spans="2:7">
      <c r="C1464" t="s">
        <v>2749</v>
      </c>
    </row>
    <row r="1465" spans="2:7">
      <c r="C1465" t="s">
        <v>2750</v>
      </c>
    </row>
    <row r="1466" spans="2:7">
      <c r="B1466" s="2" t="s">
        <v>2751</v>
      </c>
    </row>
    <row r="1467" spans="2:7">
      <c r="C1467" t="s">
        <v>2752</v>
      </c>
    </row>
    <row r="1468" spans="2:7">
      <c r="C1468" t="s">
        <v>2753</v>
      </c>
    </row>
    <row r="1469" spans="2:7">
      <c r="C1469" t="s">
        <v>2754</v>
      </c>
    </row>
    <row r="1471" spans="2:7">
      <c r="B1471" s="2" t="s">
        <v>87</v>
      </c>
    </row>
    <row r="1472" spans="2:7">
      <c r="C1472" t="s">
        <v>2756</v>
      </c>
    </row>
    <row r="1473" spans="1:3">
      <c r="C1473" t="s">
        <v>2757</v>
      </c>
    </row>
    <row r="1475" spans="1:3">
      <c r="B1475" s="430" t="s">
        <v>2759</v>
      </c>
    </row>
    <row r="1476" spans="1:3">
      <c r="B1476" s="2"/>
    </row>
    <row r="1477" spans="1:3">
      <c r="B1477" s="2" t="s">
        <v>1259</v>
      </c>
    </row>
    <row r="1478" spans="1:3">
      <c r="A1478" t="s">
        <v>2801</v>
      </c>
      <c r="B1478" t="s">
        <v>201</v>
      </c>
    </row>
    <row r="1479" spans="1:3">
      <c r="C1479" t="s">
        <v>2790</v>
      </c>
    </row>
    <row r="1480" spans="1:3">
      <c r="C1480" t="s">
        <v>2791</v>
      </c>
    </row>
    <row r="1481" spans="1:3">
      <c r="C1481" t="s">
        <v>2792</v>
      </c>
    </row>
    <row r="1482" spans="1:3">
      <c r="A1482" t="s">
        <v>2801</v>
      </c>
      <c r="B1482" t="s">
        <v>2766</v>
      </c>
    </row>
    <row r="1483" spans="1:3">
      <c r="C1483" t="s">
        <v>2767</v>
      </c>
    </row>
    <row r="1484" spans="1:3">
      <c r="A1484" t="s">
        <v>2801</v>
      </c>
      <c r="B1484" t="s">
        <v>2780</v>
      </c>
    </row>
    <row r="1485" spans="1:3">
      <c r="B1485" t="s">
        <v>2761</v>
      </c>
    </row>
    <row r="1486" spans="1:3">
      <c r="C1486" t="s">
        <v>2782</v>
      </c>
    </row>
    <row r="1487" spans="1:3">
      <c r="B1487" t="s">
        <v>2762</v>
      </c>
    </row>
    <row r="1488" spans="1:3">
      <c r="A1488" t="s">
        <v>2801</v>
      </c>
      <c r="B1488" t="s">
        <v>2763</v>
      </c>
    </row>
    <row r="1489" spans="2:3">
      <c r="B1489" t="s">
        <v>2764</v>
      </c>
    </row>
    <row r="1490" spans="2:3">
      <c r="B1490" t="s">
        <v>2765</v>
      </c>
    </row>
    <row r="1492" spans="2:3">
      <c r="B1492" s="2" t="s">
        <v>2769</v>
      </c>
    </row>
    <row r="1493" spans="2:3">
      <c r="B1493" t="s">
        <v>2770</v>
      </c>
    </row>
    <row r="1494" spans="2:3">
      <c r="B1494" t="s">
        <v>2768</v>
      </c>
    </row>
    <row r="1495" spans="2:3">
      <c r="B1495" t="s">
        <v>2771</v>
      </c>
    </row>
    <row r="1496" spans="2:3">
      <c r="C1496" t="s">
        <v>2772</v>
      </c>
    </row>
    <row r="1497" spans="2:3">
      <c r="C1497" t="s">
        <v>2773</v>
      </c>
    </row>
    <row r="1498" spans="2:3">
      <c r="C1498" t="s">
        <v>2774</v>
      </c>
    </row>
    <row r="1499" spans="2:3">
      <c r="B1499" t="s">
        <v>2335</v>
      </c>
    </row>
    <row r="1500" spans="2:3">
      <c r="C1500" t="s">
        <v>2781</v>
      </c>
    </row>
    <row r="1501" spans="2:3">
      <c r="C1501" t="s">
        <v>2775</v>
      </c>
    </row>
    <row r="1503" spans="2:3">
      <c r="B1503" t="s">
        <v>417</v>
      </c>
    </row>
    <row r="1504" spans="2:3">
      <c r="C1504" t="s">
        <v>2776</v>
      </c>
    </row>
    <row r="1505" spans="2:5">
      <c r="B1505" t="s">
        <v>1401</v>
      </c>
    </row>
    <row r="1506" spans="2:5">
      <c r="C1506" t="s">
        <v>2777</v>
      </c>
    </row>
    <row r="1507" spans="2:5">
      <c r="C1507" t="s">
        <v>2778</v>
      </c>
    </row>
    <row r="1508" spans="2:5">
      <c r="C1508" t="s">
        <v>2779</v>
      </c>
    </row>
    <row r="1510" spans="2:5">
      <c r="B1510" t="s">
        <v>16</v>
      </c>
    </row>
    <row r="1511" spans="2:5">
      <c r="C1511" t="s">
        <v>2783</v>
      </c>
    </row>
    <row r="1512" spans="2:5">
      <c r="C1512" t="s">
        <v>2784</v>
      </c>
    </row>
    <row r="1513" spans="2:5">
      <c r="C1513" s="431">
        <v>2017</v>
      </c>
    </row>
    <row r="1514" spans="2:5">
      <c r="D1514" t="s">
        <v>2787</v>
      </c>
    </row>
    <row r="1515" spans="2:5">
      <c r="D1515" t="s">
        <v>2785</v>
      </c>
    </row>
    <row r="1516" spans="2:5">
      <c r="E1516" t="s">
        <v>2804</v>
      </c>
    </row>
    <row r="1517" spans="2:5">
      <c r="E1517" t="s">
        <v>2805</v>
      </c>
    </row>
    <row r="1518" spans="2:5">
      <c r="D1518" t="s">
        <v>2786</v>
      </c>
    </row>
    <row r="1519" spans="2:5">
      <c r="D1519" t="s">
        <v>2788</v>
      </c>
    </row>
    <row r="1520" spans="2:5">
      <c r="E1520" t="s">
        <v>2789</v>
      </c>
    </row>
    <row r="1522" spans="2:3">
      <c r="B1522" s="136">
        <v>2017</v>
      </c>
    </row>
    <row r="1523" spans="2:3">
      <c r="C1523" t="s">
        <v>2814</v>
      </c>
    </row>
    <row r="1526" spans="2:3">
      <c r="B1526" s="2" t="s">
        <v>2793</v>
      </c>
    </row>
    <row r="1527" spans="2:3">
      <c r="B1527" t="s">
        <v>2794</v>
      </c>
    </row>
    <row r="1528" spans="2:3">
      <c r="B1528" t="s">
        <v>2795</v>
      </c>
    </row>
    <row r="1529" spans="2:3">
      <c r="B1529" t="s">
        <v>2796</v>
      </c>
    </row>
    <row r="1531" spans="2:3">
      <c r="B1531" s="2" t="s">
        <v>417</v>
      </c>
    </row>
    <row r="1532" spans="2:3">
      <c r="B1532" t="s">
        <v>2797</v>
      </c>
    </row>
    <row r="1533" spans="2:3">
      <c r="B1533" t="s">
        <v>2798</v>
      </c>
    </row>
    <row r="1535" spans="2:3">
      <c r="B1535" s="2" t="s">
        <v>2799</v>
      </c>
    </row>
    <row r="1536" spans="2:3">
      <c r="B1536" t="s">
        <v>2800</v>
      </c>
    </row>
    <row r="1538" spans="2:4">
      <c r="B1538" s="2" t="s">
        <v>16</v>
      </c>
    </row>
    <row r="1539" spans="2:4">
      <c r="B1539" t="s">
        <v>2802</v>
      </c>
    </row>
    <row r="1540" spans="2:4">
      <c r="C1540" t="s">
        <v>2803</v>
      </c>
    </row>
    <row r="1541" spans="2:4">
      <c r="B1541" t="s">
        <v>2806</v>
      </c>
    </row>
    <row r="1542" spans="2:4">
      <c r="C1542" t="s">
        <v>2807</v>
      </c>
    </row>
    <row r="1543" spans="2:4">
      <c r="C1543" t="s">
        <v>2811</v>
      </c>
    </row>
    <row r="1544" spans="2:4">
      <c r="C1544" t="s">
        <v>2808</v>
      </c>
    </row>
    <row r="1545" spans="2:4">
      <c r="D1545" t="s">
        <v>2809</v>
      </c>
    </row>
    <row r="1546" spans="2:4">
      <c r="D1546" t="s">
        <v>2810</v>
      </c>
    </row>
    <row r="1548" spans="2:4">
      <c r="B1548" t="s">
        <v>2812</v>
      </c>
    </row>
    <row r="1549" spans="2:4">
      <c r="C1549" t="s">
        <v>2813</v>
      </c>
    </row>
    <row r="1551" spans="2:4">
      <c r="B1551" t="s">
        <v>2815</v>
      </c>
    </row>
    <row r="1552" spans="2:4">
      <c r="C1552" t="s">
        <v>2816</v>
      </c>
    </row>
    <row r="1553" spans="2:3">
      <c r="B1553" t="s">
        <v>2817</v>
      </c>
      <c r="C1553" t="s">
        <v>2818</v>
      </c>
    </row>
    <row r="1554" spans="2:3">
      <c r="B1554" t="s">
        <v>2819</v>
      </c>
      <c r="C1554" t="s">
        <v>2820</v>
      </c>
    </row>
    <row r="1556" spans="2:3">
      <c r="B1556" t="s">
        <v>2821</v>
      </c>
    </row>
    <row r="1558" spans="2:3">
      <c r="B1558" s="2" t="s">
        <v>1326</v>
      </c>
    </row>
    <row r="1559" spans="2:3">
      <c r="B1559" t="s">
        <v>2822</v>
      </c>
    </row>
    <row r="1560" spans="2:3">
      <c r="B1560" t="s">
        <v>2823</v>
      </c>
    </row>
    <row r="1561" spans="2:3">
      <c r="B1561" t="s">
        <v>2824</v>
      </c>
    </row>
    <row r="1563" spans="2:3">
      <c r="B1563" s="2" t="s">
        <v>2825</v>
      </c>
    </row>
    <row r="1564" spans="2:3">
      <c r="B1564" t="s">
        <v>2826</v>
      </c>
    </row>
    <row r="1566" spans="2:3">
      <c r="B1566" s="2" t="s">
        <v>2827</v>
      </c>
    </row>
    <row r="1567" spans="2:3">
      <c r="C1567" t="s">
        <v>2829</v>
      </c>
    </row>
    <row r="1568" spans="2:3">
      <c r="C1568" t="s">
        <v>2828</v>
      </c>
    </row>
    <row r="1569" spans="2:4">
      <c r="C1569" t="s">
        <v>2830</v>
      </c>
    </row>
    <row r="1571" spans="2:4">
      <c r="B1571" s="2" t="s">
        <v>2831</v>
      </c>
    </row>
    <row r="1572" spans="2:4">
      <c r="C1572" t="s">
        <v>2834</v>
      </c>
    </row>
    <row r="1573" spans="2:4">
      <c r="C1573" t="s">
        <v>2833</v>
      </c>
    </row>
    <row r="1575" spans="2:4">
      <c r="B1575" s="2" t="s">
        <v>2832</v>
      </c>
    </row>
    <row r="1576" spans="2:4">
      <c r="C1576" t="s">
        <v>2835</v>
      </c>
    </row>
    <row r="1578" spans="2:4">
      <c r="B1578" s="2" t="s">
        <v>2836</v>
      </c>
    </row>
    <row r="1579" spans="2:4">
      <c r="C1579" t="s">
        <v>2837</v>
      </c>
    </row>
    <row r="1580" spans="2:4">
      <c r="C1580" t="s">
        <v>2838</v>
      </c>
    </row>
    <row r="1581" spans="2:4">
      <c r="C1581" t="s">
        <v>2839</v>
      </c>
    </row>
    <row r="1582" spans="2:4">
      <c r="C1582" t="s">
        <v>2840</v>
      </c>
    </row>
    <row r="1583" spans="2:4">
      <c r="D1583" t="s">
        <v>2841</v>
      </c>
    </row>
    <row r="1584" spans="2:4">
      <c r="D1584" t="s">
        <v>2842</v>
      </c>
    </row>
    <row r="1586" spans="2:4">
      <c r="B1586" s="2" t="s">
        <v>2843</v>
      </c>
    </row>
    <row r="1587" spans="2:4">
      <c r="C1587" t="s">
        <v>2844</v>
      </c>
    </row>
    <row r="1588" spans="2:4">
      <c r="C1588" t="s">
        <v>2845</v>
      </c>
    </row>
    <row r="1589" spans="2:4">
      <c r="D1589" t="s">
        <v>2846</v>
      </c>
    </row>
    <row r="1590" spans="2:4">
      <c r="D1590" t="s">
        <v>2847</v>
      </c>
    </row>
    <row r="1592" spans="2:4">
      <c r="B1592" s="121" t="s">
        <v>2895</v>
      </c>
    </row>
    <row r="1594" spans="2:4">
      <c r="B1594" t="s">
        <v>2896</v>
      </c>
    </row>
    <row r="1595" spans="2:4">
      <c r="B1595" t="s">
        <v>2897</v>
      </c>
    </row>
    <row r="1598" spans="2:4">
      <c r="B1598" s="121" t="s">
        <v>2903</v>
      </c>
    </row>
    <row r="1599" spans="2:4">
      <c r="B1599" t="s">
        <v>2904</v>
      </c>
    </row>
    <row r="1600" spans="2:4">
      <c r="B1600" t="s">
        <v>2909</v>
      </c>
    </row>
    <row r="1601" spans="2:4">
      <c r="C1601" t="s">
        <v>2906</v>
      </c>
    </row>
    <row r="1602" spans="2:4">
      <c r="C1602" t="s">
        <v>2907</v>
      </c>
    </row>
    <row r="1603" spans="2:4">
      <c r="C1603" t="s">
        <v>2908</v>
      </c>
    </row>
    <row r="1604" spans="2:4">
      <c r="B1604" t="s">
        <v>2911</v>
      </c>
    </row>
    <row r="1606" spans="2:4">
      <c r="B1606" t="s">
        <v>2910</v>
      </c>
    </row>
    <row r="1607" spans="2:4">
      <c r="B1607" t="s">
        <v>2905</v>
      </c>
    </row>
    <row r="1608" spans="2:4">
      <c r="C1608" t="s">
        <v>2912</v>
      </c>
    </row>
    <row r="1609" spans="2:4">
      <c r="C1609" t="s">
        <v>2913</v>
      </c>
    </row>
    <row r="1610" spans="2:4">
      <c r="C1610" t="s">
        <v>2915</v>
      </c>
    </row>
    <row r="1611" spans="2:4">
      <c r="D1611" t="s">
        <v>2916</v>
      </c>
    </row>
    <row r="1612" spans="2:4">
      <c r="D1612" t="s">
        <v>2917</v>
      </c>
    </row>
    <row r="1613" spans="2:4">
      <c r="B1613" t="s">
        <v>2914</v>
      </c>
    </row>
    <row r="1615" spans="2:4">
      <c r="B1615" s="430" t="s">
        <v>2945</v>
      </c>
    </row>
    <row r="1617" spans="2:3">
      <c r="B1617" t="s">
        <v>2950</v>
      </c>
      <c r="C1617" t="s">
        <v>2946</v>
      </c>
    </row>
    <row r="1618" spans="2:3">
      <c r="B1618" t="s">
        <v>2951</v>
      </c>
      <c r="C1618" t="s">
        <v>2947</v>
      </c>
    </row>
    <row r="1619" spans="2:3">
      <c r="C1619" t="s">
        <v>2948</v>
      </c>
    </row>
    <row r="1620" spans="2:3">
      <c r="C1620" t="s">
        <v>2949</v>
      </c>
    </row>
    <row r="1621" spans="2:3">
      <c r="B1621" t="s">
        <v>2952</v>
      </c>
    </row>
    <row r="1623" spans="2:3">
      <c r="B1623" t="s">
        <v>2953</v>
      </c>
    </row>
    <row r="1624" spans="2:3">
      <c r="B1624" t="s">
        <v>2954</v>
      </c>
    </row>
    <row r="1625" spans="2:3">
      <c r="B1625" t="s">
        <v>2955</v>
      </c>
    </row>
    <row r="1626" spans="2:3">
      <c r="C1626" t="s">
        <v>2956</v>
      </c>
    </row>
    <row r="1627" spans="2:3">
      <c r="C1627" t="s">
        <v>2957</v>
      </c>
    </row>
    <row r="1628" spans="2:3">
      <c r="C1628" t="s">
        <v>2958</v>
      </c>
    </row>
    <row r="1629" spans="2:3">
      <c r="B1629" t="s">
        <v>2959</v>
      </c>
    </row>
    <row r="1630" spans="2:3">
      <c r="B1630" t="s">
        <v>2960</v>
      </c>
    </row>
    <row r="1631" spans="2:3">
      <c r="B1631" t="s">
        <v>2961</v>
      </c>
    </row>
    <row r="1632" spans="2:3">
      <c r="C1632" t="s">
        <v>2962</v>
      </c>
    </row>
    <row r="1633" spans="2:3">
      <c r="B1633" t="s">
        <v>2963</v>
      </c>
    </row>
    <row r="1634" spans="2:3">
      <c r="B1634" t="s">
        <v>2964</v>
      </c>
    </row>
    <row r="1635" spans="2:3">
      <c r="C1635" t="s">
        <v>2966</v>
      </c>
    </row>
    <row r="1636" spans="2:3">
      <c r="B1636" t="s">
        <v>2965</v>
      </c>
    </row>
    <row r="1637" spans="2:3">
      <c r="B1637" t="s">
        <v>2967</v>
      </c>
    </row>
    <row r="1638" spans="2:3">
      <c r="C1638" t="s">
        <v>2968</v>
      </c>
    </row>
    <row r="1639" spans="2:3">
      <c r="C1639" t="s">
        <v>2969</v>
      </c>
    </row>
    <row r="1640" spans="2:3">
      <c r="C1640" t="s">
        <v>2970</v>
      </c>
    </row>
    <row r="1641" spans="2:3">
      <c r="B1641" s="2" t="s">
        <v>2971</v>
      </c>
    </row>
    <row r="1642" spans="2:3">
      <c r="B1642" t="s">
        <v>2973</v>
      </c>
    </row>
    <row r="1643" spans="2:3">
      <c r="B1643" t="s">
        <v>2972</v>
      </c>
    </row>
    <row r="1645" spans="2:3">
      <c r="B1645" s="2" t="s">
        <v>2974</v>
      </c>
    </row>
    <row r="1646" spans="2:3">
      <c r="B1646" t="s">
        <v>2975</v>
      </c>
    </row>
    <row r="1648" spans="2:3">
      <c r="B1648" t="s">
        <v>2976</v>
      </c>
    </row>
    <row r="1650" spans="2:2">
      <c r="B1650" s="2" t="s">
        <v>2977</v>
      </c>
    </row>
    <row r="1651" spans="2:2">
      <c r="B1651" t="s">
        <v>2980</v>
      </c>
    </row>
    <row r="1652" spans="2:2">
      <c r="B1652" t="s">
        <v>2981</v>
      </c>
    </row>
    <row r="1653" spans="2:2">
      <c r="B1653" t="s">
        <v>2978</v>
      </c>
    </row>
    <row r="1654" spans="2:2">
      <c r="B1654" t="s">
        <v>2979</v>
      </c>
    </row>
    <row r="1656" spans="2:2">
      <c r="B1656" t="s">
        <v>1259</v>
      </c>
    </row>
    <row r="1658" spans="2:2">
      <c r="B1658" s="2" t="s">
        <v>2982</v>
      </c>
    </row>
    <row r="1659" spans="2:2">
      <c r="B1659" t="s">
        <v>2983</v>
      </c>
    </row>
    <row r="1660" spans="2:2">
      <c r="B1660" t="s">
        <v>2984</v>
      </c>
    </row>
    <row r="1661" spans="2:2">
      <c r="B1661" t="s">
        <v>2985</v>
      </c>
    </row>
    <row r="1662" spans="2:2">
      <c r="B1662" t="s">
        <v>2986</v>
      </c>
    </row>
    <row r="1663" spans="2:2">
      <c r="B1663" t="s">
        <v>2987</v>
      </c>
    </row>
    <row r="1665" spans="2:4">
      <c r="B1665" s="2" t="s">
        <v>2988</v>
      </c>
    </row>
    <row r="1666" spans="2:4">
      <c r="B1666" t="s">
        <v>2989</v>
      </c>
    </row>
    <row r="1667" spans="2:4">
      <c r="B1667" t="s">
        <v>2990</v>
      </c>
    </row>
    <row r="1668" spans="2:4">
      <c r="B1668" t="s">
        <v>2991</v>
      </c>
    </row>
    <row r="1670" spans="2:4">
      <c r="B1670" t="s">
        <v>2992</v>
      </c>
    </row>
    <row r="1672" spans="2:4">
      <c r="B1672" s="430" t="s">
        <v>3017</v>
      </c>
      <c r="C1672" s="430"/>
    </row>
    <row r="1674" spans="2:4">
      <c r="B1674" t="s">
        <v>3018</v>
      </c>
    </row>
    <row r="1675" spans="2:4">
      <c r="B1675" t="s">
        <v>3019</v>
      </c>
    </row>
    <row r="1676" spans="2:4">
      <c r="B1676" t="s">
        <v>1524</v>
      </c>
      <c r="C1676" t="s">
        <v>3020</v>
      </c>
    </row>
    <row r="1677" spans="2:4">
      <c r="C1677" t="s">
        <v>3023</v>
      </c>
    </row>
    <row r="1678" spans="2:4">
      <c r="C1678" t="s">
        <v>3021</v>
      </c>
    </row>
    <row r="1679" spans="2:4">
      <c r="D1679" t="s">
        <v>3022</v>
      </c>
    </row>
    <row r="1680" spans="2:4">
      <c r="B1680" t="s">
        <v>3024</v>
      </c>
    </row>
    <row r="1682" spans="2:3">
      <c r="B1682" s="430" t="s">
        <v>3140</v>
      </c>
    </row>
    <row r="1684" spans="2:3">
      <c r="B1684" t="s">
        <v>3117</v>
      </c>
    </row>
    <row r="1685" spans="2:3">
      <c r="B1685" t="s">
        <v>3118</v>
      </c>
    </row>
    <row r="1686" spans="2:3">
      <c r="B1686" s="2" t="s">
        <v>3119</v>
      </c>
    </row>
    <row r="1687" spans="2:3">
      <c r="B1687" t="s">
        <v>3120</v>
      </c>
    </row>
    <row r="1688" spans="2:3">
      <c r="C1688" t="s">
        <v>3121</v>
      </c>
    </row>
    <row r="1689" spans="2:3">
      <c r="B1689" t="s">
        <v>3122</v>
      </c>
    </row>
    <row r="1690" spans="2:3">
      <c r="B1690" t="s">
        <v>3123</v>
      </c>
    </row>
    <row r="1692" spans="2:3">
      <c r="B1692" t="s">
        <v>3124</v>
      </c>
    </row>
    <row r="1694" spans="2:3">
      <c r="B1694" t="s">
        <v>3125</v>
      </c>
    </row>
    <row r="1695" spans="2:3">
      <c r="C1695" t="s">
        <v>3126</v>
      </c>
    </row>
    <row r="1696" spans="2:3">
      <c r="C1696" t="s">
        <v>3127</v>
      </c>
    </row>
    <row r="1697" spans="2:6">
      <c r="C1697" t="s">
        <v>3128</v>
      </c>
    </row>
    <row r="1698" spans="2:6">
      <c r="C1698" t="s">
        <v>3129</v>
      </c>
    </row>
    <row r="1699" spans="2:6">
      <c r="C1699" t="s">
        <v>3130</v>
      </c>
    </row>
    <row r="1700" spans="2:6">
      <c r="D1700" t="s">
        <v>3131</v>
      </c>
    </row>
    <row r="1701" spans="2:6">
      <c r="D1701" t="s">
        <v>3132</v>
      </c>
    </row>
    <row r="1702" spans="2:6">
      <c r="D1702" t="s">
        <v>3133</v>
      </c>
    </row>
    <row r="1703" spans="2:6">
      <c r="C1703" t="s">
        <v>3134</v>
      </c>
    </row>
    <row r="1704" spans="2:6">
      <c r="B1704" t="s">
        <v>3135</v>
      </c>
    </row>
    <row r="1705" spans="2:6">
      <c r="C1705" t="s">
        <v>3136</v>
      </c>
    </row>
    <row r="1706" spans="2:6">
      <c r="B1706" t="s">
        <v>3137</v>
      </c>
    </row>
    <row r="1707" spans="2:6">
      <c r="C1707" t="s">
        <v>3138</v>
      </c>
    </row>
    <row r="1708" spans="2:6">
      <c r="B1708" t="s">
        <v>3139</v>
      </c>
    </row>
    <row r="1710" spans="2:6">
      <c r="B1710" s="430" t="s">
        <v>3256</v>
      </c>
    </row>
    <row r="1711" spans="2:6">
      <c r="F1711" t="s">
        <v>3361</v>
      </c>
    </row>
    <row r="1712" spans="2:6">
      <c r="B1712" s="2" t="s">
        <v>3324</v>
      </c>
      <c r="F1712" t="s">
        <v>3362</v>
      </c>
    </row>
    <row r="1713" spans="2:6">
      <c r="B1713" t="s">
        <v>3327</v>
      </c>
    </row>
    <row r="1714" spans="2:6">
      <c r="B1714" t="s">
        <v>3325</v>
      </c>
      <c r="F1714" t="s">
        <v>3364</v>
      </c>
    </row>
    <row r="1715" spans="2:6">
      <c r="B1715" t="s">
        <v>3326</v>
      </c>
    </row>
    <row r="1716" spans="2:6">
      <c r="B1716" t="s">
        <v>3328</v>
      </c>
      <c r="F1716" t="s">
        <v>1273</v>
      </c>
    </row>
    <row r="1717" spans="2:6">
      <c r="F1717" t="s">
        <v>3371</v>
      </c>
    </row>
    <row r="1718" spans="2:6">
      <c r="B1718" s="2" t="s">
        <v>3329</v>
      </c>
    </row>
    <row r="1719" spans="2:6">
      <c r="B1719" t="s">
        <v>3330</v>
      </c>
    </row>
    <row r="1720" spans="2:6">
      <c r="B1720" t="s">
        <v>3339</v>
      </c>
    </row>
    <row r="1721" spans="2:6">
      <c r="B1721" t="s">
        <v>3331</v>
      </c>
    </row>
    <row r="1722" spans="2:6">
      <c r="C1722" t="s">
        <v>3334</v>
      </c>
    </row>
    <row r="1723" spans="2:6">
      <c r="C1723" t="s">
        <v>3332</v>
      </c>
    </row>
    <row r="1724" spans="2:6">
      <c r="C1724" t="s">
        <v>3333</v>
      </c>
    </row>
    <row r="1725" spans="2:6">
      <c r="B1725" t="s">
        <v>3335</v>
      </c>
    </row>
    <row r="1726" spans="2:6">
      <c r="B1726" t="s">
        <v>3336</v>
      </c>
    </row>
    <row r="1727" spans="2:6">
      <c r="B1727" t="s">
        <v>3337</v>
      </c>
    </row>
    <row r="1728" spans="2:6">
      <c r="B1728" t="s">
        <v>3338</v>
      </c>
    </row>
    <row r="1730" spans="2:3">
      <c r="B1730" t="s">
        <v>3341</v>
      </c>
    </row>
    <row r="1731" spans="2:3">
      <c r="B1731" t="s">
        <v>3340</v>
      </c>
    </row>
    <row r="1732" spans="2:3">
      <c r="B1732" t="s">
        <v>3342</v>
      </c>
    </row>
    <row r="1733" spans="2:3">
      <c r="B1733" t="s">
        <v>3343</v>
      </c>
    </row>
    <row r="1734" spans="2:3">
      <c r="B1734" t="s">
        <v>3344</v>
      </c>
    </row>
    <row r="1735" spans="2:3">
      <c r="C1735" t="s">
        <v>3345</v>
      </c>
    </row>
    <row r="1736" spans="2:3">
      <c r="C1736" t="s">
        <v>3346</v>
      </c>
    </row>
    <row r="1738" spans="2:3">
      <c r="B1738" t="s">
        <v>3347</v>
      </c>
    </row>
    <row r="1740" spans="2:3">
      <c r="B1740" s="2" t="s">
        <v>16</v>
      </c>
    </row>
    <row r="1741" spans="2:3">
      <c r="B1741" t="s">
        <v>3348</v>
      </c>
    </row>
    <row r="1742" spans="2:3">
      <c r="B1742" t="s">
        <v>3349</v>
      </c>
    </row>
    <row r="1743" spans="2:3">
      <c r="C1743" t="s">
        <v>3350</v>
      </c>
    </row>
    <row r="1744" spans="2:3">
      <c r="C1744" t="s">
        <v>3351</v>
      </c>
    </row>
    <row r="1745" spans="2:3">
      <c r="C1745" t="s">
        <v>3352</v>
      </c>
    </row>
    <row r="1746" spans="2:3">
      <c r="C1746" t="s">
        <v>3353</v>
      </c>
    </row>
    <row r="1747" spans="2:3">
      <c r="B1747" t="s">
        <v>3354</v>
      </c>
    </row>
    <row r="1748" spans="2:3">
      <c r="B1748" t="s">
        <v>3355</v>
      </c>
    </row>
    <row r="1750" spans="2:3">
      <c r="B1750" s="2" t="s">
        <v>87</v>
      </c>
      <c r="C1750" t="s">
        <v>3356</v>
      </c>
    </row>
    <row r="1751" spans="2:3">
      <c r="B1751" t="s">
        <v>3357</v>
      </c>
    </row>
    <row r="1752" spans="2:3">
      <c r="B1752" t="s">
        <v>3358</v>
      </c>
    </row>
    <row r="1753" spans="2:3">
      <c r="B1753" t="s">
        <v>2196</v>
      </c>
    </row>
    <row r="1754" spans="2:3">
      <c r="C1754" t="s">
        <v>3359</v>
      </c>
    </row>
    <row r="1755" spans="2:3">
      <c r="B1755" t="s">
        <v>3360</v>
      </c>
    </row>
    <row r="1757" spans="2:3">
      <c r="B1757" s="2" t="s">
        <v>1482</v>
      </c>
    </row>
    <row r="1758" spans="2:3">
      <c r="B1758" t="s">
        <v>3363</v>
      </c>
    </row>
    <row r="1760" spans="2:3">
      <c r="B1760" t="s">
        <v>16</v>
      </c>
    </row>
    <row r="1761" spans="2:4">
      <c r="B1761" t="s">
        <v>3365</v>
      </c>
    </row>
    <row r="1762" spans="2:4">
      <c r="B1762" t="s">
        <v>3366</v>
      </c>
    </row>
    <row r="1764" spans="2:4">
      <c r="B1764" s="121" t="s">
        <v>1259</v>
      </c>
    </row>
    <row r="1766" spans="2:4">
      <c r="B1766" t="s">
        <v>3367</v>
      </c>
    </row>
    <row r="1767" spans="2:4">
      <c r="C1767" t="s">
        <v>3372</v>
      </c>
    </row>
    <row r="1768" spans="2:4">
      <c r="C1768" t="s">
        <v>3373</v>
      </c>
    </row>
    <row r="1769" spans="2:4">
      <c r="D1769" t="s">
        <v>3374</v>
      </c>
    </row>
    <row r="1770" spans="2:4">
      <c r="B1770" t="s">
        <v>3368</v>
      </c>
    </row>
    <row r="1771" spans="2:4">
      <c r="C1771" t="s">
        <v>3369</v>
      </c>
    </row>
    <row r="1772" spans="2:4">
      <c r="C1772" t="s">
        <v>3370</v>
      </c>
    </row>
    <row r="1773" spans="2:4">
      <c r="B1773" t="s">
        <v>3375</v>
      </c>
    </row>
    <row r="1774" spans="2:4">
      <c r="B1774" t="s">
        <v>3376</v>
      </c>
    </row>
    <row r="1775" spans="2:4">
      <c r="C1775" t="s">
        <v>3377</v>
      </c>
    </row>
    <row r="1777" spans="2:3">
      <c r="B1777" t="s">
        <v>3378</v>
      </c>
    </row>
    <row r="1778" spans="2:3">
      <c r="C1778" t="s">
        <v>3379</v>
      </c>
    </row>
    <row r="1780" spans="2:3">
      <c r="B1780" s="2" t="s">
        <v>1482</v>
      </c>
    </row>
    <row r="1781" spans="2:3">
      <c r="B1781" t="s">
        <v>3380</v>
      </c>
    </row>
    <row r="1782" spans="2:3">
      <c r="B1782" t="s">
        <v>3381</v>
      </c>
    </row>
    <row r="1783" spans="2:3">
      <c r="B1783" t="s">
        <v>3382</v>
      </c>
    </row>
    <row r="1785" spans="2:3">
      <c r="B1785" s="2" t="s">
        <v>145</v>
      </c>
    </row>
    <row r="1786" spans="2:3">
      <c r="B1786" t="s">
        <v>3383</v>
      </c>
    </row>
    <row r="1787" spans="2:3">
      <c r="B1787" t="s">
        <v>3384</v>
      </c>
    </row>
    <row r="1788" spans="2:3">
      <c r="B1788" t="s">
        <v>3385</v>
      </c>
    </row>
    <row r="1790" spans="2:3">
      <c r="B1790" s="430" t="s">
        <v>3386</v>
      </c>
    </row>
    <row r="1792" spans="2:3">
      <c r="B1792" s="2" t="s">
        <v>3387</v>
      </c>
    </row>
    <row r="1793" spans="2:3">
      <c r="B1793" t="s">
        <v>3388</v>
      </c>
    </row>
    <row r="1794" spans="2:3">
      <c r="B1794" t="s">
        <v>3389</v>
      </c>
    </row>
    <row r="1795" spans="2:3">
      <c r="C1795" t="s">
        <v>3390</v>
      </c>
    </row>
    <row r="1796" spans="2:3">
      <c r="C1796" t="s">
        <v>3391</v>
      </c>
    </row>
    <row r="1798" spans="2:3">
      <c r="B1798" t="s">
        <v>3392</v>
      </c>
    </row>
    <row r="1799" spans="2:3">
      <c r="C1799" t="s">
        <v>3393</v>
      </c>
    </row>
    <row r="1800" spans="2:3">
      <c r="C1800" t="s">
        <v>3394</v>
      </c>
    </row>
    <row r="1801" spans="2:3">
      <c r="C1801" t="s">
        <v>3395</v>
      </c>
    </row>
    <row r="1802" spans="2:3">
      <c r="B1802" t="s">
        <v>3396</v>
      </c>
    </row>
    <row r="1803" spans="2:3">
      <c r="C1803" t="s">
        <v>3397</v>
      </c>
    </row>
    <row r="1804" spans="2:3">
      <c r="C1804" t="s">
        <v>3398</v>
      </c>
    </row>
    <row r="1805" spans="2:3">
      <c r="C1805" t="s">
        <v>3399</v>
      </c>
    </row>
    <row r="1806" spans="2:3">
      <c r="C1806" t="s">
        <v>3400</v>
      </c>
    </row>
    <row r="1807" spans="2:3">
      <c r="C1807" t="s">
        <v>3401</v>
      </c>
    </row>
    <row r="1808" spans="2:3">
      <c r="C1808" t="s">
        <v>3402</v>
      </c>
    </row>
    <row r="1809" spans="2:4">
      <c r="C1809" t="s">
        <v>3403</v>
      </c>
    </row>
    <row r="1810" spans="2:4">
      <c r="C1810" t="s">
        <v>3404</v>
      </c>
    </row>
    <row r="1811" spans="2:4">
      <c r="B1811" t="s">
        <v>3405</v>
      </c>
    </row>
    <row r="1812" spans="2:4">
      <c r="C1812" t="s">
        <v>3406</v>
      </c>
    </row>
    <row r="1813" spans="2:4">
      <c r="C1813" t="s">
        <v>3407</v>
      </c>
    </row>
    <row r="1814" spans="2:4">
      <c r="D1814" t="s">
        <v>3408</v>
      </c>
    </row>
    <row r="1815" spans="2:4">
      <c r="D1815" t="s">
        <v>3414</v>
      </c>
    </row>
    <row r="1817" spans="2:4">
      <c r="B1817" t="s">
        <v>3409</v>
      </c>
    </row>
    <row r="1818" spans="2:4">
      <c r="B1818" t="s">
        <v>3410</v>
      </c>
    </row>
    <row r="1819" spans="2:4">
      <c r="C1819" t="s">
        <v>3411</v>
      </c>
    </row>
    <row r="1820" spans="2:4">
      <c r="D1820" t="s">
        <v>3412</v>
      </c>
    </row>
    <row r="1821" spans="2:4">
      <c r="D1821" t="s">
        <v>3413</v>
      </c>
    </row>
    <row r="1823" spans="2:4">
      <c r="B1823" s="2" t="s">
        <v>3417</v>
      </c>
    </row>
    <row r="1824" spans="2:4">
      <c r="B1824" s="2"/>
    </row>
    <row r="1825" spans="2:4">
      <c r="B1825" t="s">
        <v>3420</v>
      </c>
    </row>
    <row r="1826" spans="2:4">
      <c r="C1826" t="s">
        <v>3415</v>
      </c>
    </row>
    <row r="1827" spans="2:4">
      <c r="C1827" t="s">
        <v>3418</v>
      </c>
    </row>
    <row r="1828" spans="2:4">
      <c r="C1828" t="s">
        <v>3416</v>
      </c>
    </row>
    <row r="1830" spans="2:4">
      <c r="C1830" t="s">
        <v>3425</v>
      </c>
    </row>
    <row r="1831" spans="2:4">
      <c r="D1831" t="s">
        <v>3427</v>
      </c>
    </row>
    <row r="1832" spans="2:4">
      <c r="C1832" t="s">
        <v>3426</v>
      </c>
    </row>
    <row r="1833" spans="2:4">
      <c r="C1833" t="s">
        <v>3428</v>
      </c>
    </row>
    <row r="1834" spans="2:4">
      <c r="D1834" t="s">
        <v>3430</v>
      </c>
    </row>
    <row r="1835" spans="2:4">
      <c r="D1835" t="s">
        <v>3431</v>
      </c>
    </row>
    <row r="1836" spans="2:4">
      <c r="D1836" t="s">
        <v>3432</v>
      </c>
    </row>
    <row r="1838" spans="2:4">
      <c r="B1838" t="s">
        <v>3440</v>
      </c>
    </row>
    <row r="1839" spans="2:4">
      <c r="C1839" t="s">
        <v>3441</v>
      </c>
    </row>
    <row r="1840" spans="2:4">
      <c r="C1840" t="s">
        <v>3442</v>
      </c>
    </row>
    <row r="1841" spans="2:4">
      <c r="C1841" t="s">
        <v>3443</v>
      </c>
    </row>
    <row r="1843" spans="2:4">
      <c r="B1843" t="s">
        <v>3444</v>
      </c>
    </row>
    <row r="1844" spans="2:4">
      <c r="C1844" t="s">
        <v>3445</v>
      </c>
    </row>
    <row r="1846" spans="2:4">
      <c r="B1846" t="s">
        <v>1482</v>
      </c>
    </row>
    <row r="1847" spans="2:4">
      <c r="B1847" t="s">
        <v>3419</v>
      </c>
    </row>
    <row r="1848" spans="2:4">
      <c r="C1848" t="s">
        <v>3131</v>
      </c>
    </row>
    <row r="1849" spans="2:4">
      <c r="C1849" t="s">
        <v>1482</v>
      </c>
    </row>
    <row r="1850" spans="2:4">
      <c r="C1850" t="s">
        <v>3421</v>
      </c>
    </row>
    <row r="1851" spans="2:4">
      <c r="C1851" t="s">
        <v>3422</v>
      </c>
    </row>
    <row r="1852" spans="2:4">
      <c r="C1852" t="s">
        <v>3423</v>
      </c>
    </row>
    <row r="1853" spans="2:4">
      <c r="D1853" t="s">
        <v>3424</v>
      </c>
    </row>
    <row r="1855" spans="2:4">
      <c r="B1855" t="s">
        <v>16</v>
      </c>
    </row>
    <row r="1856" spans="2:4">
      <c r="C1856" t="s">
        <v>3429</v>
      </c>
    </row>
    <row r="1857" spans="2:4">
      <c r="C1857" t="s">
        <v>3437</v>
      </c>
    </row>
    <row r="1858" spans="2:4">
      <c r="D1858" t="s">
        <v>3438</v>
      </c>
    </row>
    <row r="1860" spans="2:4">
      <c r="B1860" t="s">
        <v>3433</v>
      </c>
    </row>
    <row r="1861" spans="2:4">
      <c r="C1861" t="s">
        <v>3434</v>
      </c>
    </row>
    <row r="1862" spans="2:4">
      <c r="C1862" t="s">
        <v>3435</v>
      </c>
    </row>
    <row r="1863" spans="2:4">
      <c r="C1863" t="s">
        <v>3436</v>
      </c>
    </row>
    <row r="1865" spans="2:4">
      <c r="B1865" t="s">
        <v>3439</v>
      </c>
    </row>
    <row r="1867" spans="2:4">
      <c r="B1867" s="2" t="s">
        <v>3446</v>
      </c>
    </row>
    <row r="1869" spans="2:4">
      <c r="B1869" t="s">
        <v>3450</v>
      </c>
    </row>
    <row r="1870" spans="2:4">
      <c r="B1870" t="s">
        <v>2903</v>
      </c>
    </row>
    <row r="1871" spans="2:4">
      <c r="C1871" t="s">
        <v>3449</v>
      </c>
    </row>
    <row r="1872" spans="2:4">
      <c r="C1872" t="s">
        <v>3451</v>
      </c>
    </row>
    <row r="1873" spans="2:3">
      <c r="B1873" t="s">
        <v>3447</v>
      </c>
    </row>
    <row r="1874" spans="2:3">
      <c r="B1874" t="s">
        <v>3448</v>
      </c>
    </row>
    <row r="1877" spans="2:3">
      <c r="B1877" s="2" t="s">
        <v>1259</v>
      </c>
    </row>
    <row r="1878" spans="2:3">
      <c r="B1878" s="2"/>
    </row>
    <row r="1879" spans="2:3">
      <c r="B1879" t="s">
        <v>3452</v>
      </c>
    </row>
    <row r="1880" spans="2:3">
      <c r="C1880" t="s">
        <v>3453</v>
      </c>
    </row>
    <row r="1881" spans="2:3">
      <c r="C1881" t="s">
        <v>3454</v>
      </c>
    </row>
    <row r="1882" spans="2:3">
      <c r="B1882" t="s">
        <v>3455</v>
      </c>
    </row>
    <row r="1883" spans="2:3">
      <c r="C1883" t="s">
        <v>3457</v>
      </c>
    </row>
    <row r="1884" spans="2:3">
      <c r="C1884" t="s">
        <v>3456</v>
      </c>
    </row>
    <row r="1885" spans="2:3">
      <c r="B1885" t="s">
        <v>3458</v>
      </c>
    </row>
    <row r="1886" spans="2:3">
      <c r="C1886" t="s">
        <v>3460</v>
      </c>
    </row>
    <row r="1887" spans="2:3">
      <c r="C1887" t="s">
        <v>3461</v>
      </c>
    </row>
    <row r="1888" spans="2:3">
      <c r="C1888" t="s">
        <v>3462</v>
      </c>
    </row>
    <row r="1889" spans="2:4">
      <c r="B1889" t="s">
        <v>3459</v>
      </c>
    </row>
    <row r="1890" spans="2:4">
      <c r="B1890" t="s">
        <v>3463</v>
      </c>
    </row>
    <row r="1892" spans="2:4">
      <c r="B1892" t="s">
        <v>3464</v>
      </c>
    </row>
    <row r="1893" spans="2:4">
      <c r="C1893" t="s">
        <v>3465</v>
      </c>
    </row>
    <row r="1894" spans="2:4">
      <c r="C1894" t="s">
        <v>3466</v>
      </c>
    </row>
    <row r="1895" spans="2:4">
      <c r="C1895" t="s">
        <v>3467</v>
      </c>
    </row>
    <row r="1897" spans="2:4">
      <c r="B1897" t="s">
        <v>3473</v>
      </c>
    </row>
    <row r="1898" spans="2:4">
      <c r="C1898" t="s">
        <v>3468</v>
      </c>
    </row>
    <row r="1899" spans="2:4">
      <c r="D1899" t="s">
        <v>3469</v>
      </c>
    </row>
    <row r="1900" spans="2:4">
      <c r="C1900" t="s">
        <v>3470</v>
      </c>
    </row>
    <row r="1901" spans="2:4">
      <c r="D1901" t="s">
        <v>3471</v>
      </c>
    </row>
    <row r="1902" spans="2:4">
      <c r="C1902" t="s">
        <v>3472</v>
      </c>
    </row>
    <row r="1904" spans="2:4">
      <c r="B1904" t="s">
        <v>3474</v>
      </c>
    </row>
    <row r="1905" spans="2:4">
      <c r="C1905" t="s">
        <v>3476</v>
      </c>
    </row>
    <row r="1906" spans="2:4">
      <c r="B1906" t="s">
        <v>3475</v>
      </c>
    </row>
    <row r="1908" spans="2:4">
      <c r="B1908" t="s">
        <v>3477</v>
      </c>
    </row>
    <row r="1909" spans="2:4">
      <c r="C1909" t="s">
        <v>3478</v>
      </c>
    </row>
    <row r="1911" spans="2:4">
      <c r="B1911" t="s">
        <v>3479</v>
      </c>
    </row>
    <row r="1912" spans="2:4">
      <c r="C1912" t="s">
        <v>3480</v>
      </c>
    </row>
    <row r="1913" spans="2:4">
      <c r="C1913" t="s">
        <v>3481</v>
      </c>
    </row>
    <row r="1914" spans="2:4">
      <c r="C1914" t="s">
        <v>3482</v>
      </c>
    </row>
    <row r="1915" spans="2:4">
      <c r="D1915" t="s">
        <v>3483</v>
      </c>
    </row>
    <row r="1916" spans="2:4">
      <c r="D1916" t="s">
        <v>3484</v>
      </c>
    </row>
    <row r="1917" spans="2:4">
      <c r="C1917" t="s">
        <v>3485</v>
      </c>
    </row>
    <row r="1918" spans="2:4">
      <c r="D1918" t="s">
        <v>3486</v>
      </c>
    </row>
    <row r="1919" spans="2:4">
      <c r="D1919" t="s">
        <v>3487</v>
      </c>
    </row>
    <row r="1921" spans="2:5">
      <c r="D1921" t="s">
        <v>3488</v>
      </c>
    </row>
    <row r="1922" spans="2:5">
      <c r="E1922" t="s">
        <v>3489</v>
      </c>
    </row>
    <row r="1923" spans="2:5">
      <c r="E1923" t="s">
        <v>3490</v>
      </c>
    </row>
    <row r="1924" spans="2:5">
      <c r="C1924" t="s">
        <v>3491</v>
      </c>
    </row>
    <row r="1925" spans="2:5">
      <c r="B1925" t="s">
        <v>3492</v>
      </c>
    </row>
    <row r="1926" spans="2:5">
      <c r="C1926" t="s">
        <v>3493</v>
      </c>
    </row>
    <row r="1927" spans="2:5">
      <c r="D1927" t="s">
        <v>3494</v>
      </c>
    </row>
    <row r="1928" spans="2:5">
      <c r="D1928" t="s">
        <v>3495</v>
      </c>
    </row>
    <row r="1929" spans="2:5">
      <c r="D1929" t="s">
        <v>3496</v>
      </c>
    </row>
    <row r="1931" spans="2:5">
      <c r="B1931" t="s">
        <v>3497</v>
      </c>
    </row>
    <row r="1932" spans="2:5">
      <c r="C1932" t="s">
        <v>3498</v>
      </c>
    </row>
    <row r="1933" spans="2:5">
      <c r="C1933" t="s">
        <v>3499</v>
      </c>
    </row>
    <row r="1934" spans="2:5">
      <c r="B1934" t="s">
        <v>3500</v>
      </c>
    </row>
    <row r="1936" spans="2:5">
      <c r="B1936" t="s">
        <v>3501</v>
      </c>
    </row>
    <row r="1937" spans="2:3">
      <c r="C1937" t="s">
        <v>3502</v>
      </c>
    </row>
    <row r="1938" spans="2:3">
      <c r="C1938" t="s">
        <v>3503</v>
      </c>
    </row>
    <row r="1940" spans="2:3">
      <c r="B1940" t="s">
        <v>3504</v>
      </c>
    </row>
    <row r="1941" spans="2:3">
      <c r="C1941" t="s">
        <v>3505</v>
      </c>
    </row>
    <row r="1942" spans="2:3">
      <c r="B1942" t="s">
        <v>3506</v>
      </c>
    </row>
    <row r="1943" spans="2:3">
      <c r="C1943" t="s">
        <v>3507</v>
      </c>
    </row>
    <row r="1944" spans="2:3">
      <c r="C1944" t="s">
        <v>3508</v>
      </c>
    </row>
    <row r="1945" spans="2:3">
      <c r="C1945" t="s">
        <v>3509</v>
      </c>
    </row>
    <row r="1947" spans="2:3">
      <c r="B1947" t="s">
        <v>3510</v>
      </c>
    </row>
    <row r="1948" spans="2:3">
      <c r="C1948" t="s">
        <v>3511</v>
      </c>
    </row>
    <row r="1949" spans="2:3">
      <c r="C1949" t="s">
        <v>3512</v>
      </c>
    </row>
    <row r="1951" spans="2:3">
      <c r="B1951" t="s">
        <v>3513</v>
      </c>
    </row>
    <row r="1953" spans="2:4">
      <c r="B1953" t="s">
        <v>3514</v>
      </c>
    </row>
    <row r="1954" spans="2:4">
      <c r="C1954" t="s">
        <v>3515</v>
      </c>
    </row>
    <row r="1955" spans="2:4">
      <c r="C1955" t="s">
        <v>3516</v>
      </c>
    </row>
    <row r="1957" spans="2:4">
      <c r="B1957" t="s">
        <v>3517</v>
      </c>
    </row>
    <row r="1958" spans="2:4">
      <c r="C1958" t="s">
        <v>3520</v>
      </c>
    </row>
    <row r="1959" spans="2:4">
      <c r="D1959" t="s">
        <v>3522</v>
      </c>
    </row>
    <row r="1960" spans="2:4">
      <c r="D1960" t="s">
        <v>3523</v>
      </c>
    </row>
    <row r="1961" spans="2:4">
      <c r="C1961" t="s">
        <v>3518</v>
      </c>
    </row>
    <row r="1962" spans="2:4">
      <c r="C1962" t="s">
        <v>3519</v>
      </c>
    </row>
    <row r="1964" spans="2:4">
      <c r="C1964" t="s">
        <v>3521</v>
      </c>
    </row>
    <row r="1965" spans="2:4">
      <c r="D1965" t="s">
        <v>3524</v>
      </c>
    </row>
    <row r="1967" spans="2:4">
      <c r="B1967" t="s">
        <v>44</v>
      </c>
    </row>
    <row r="1968" spans="2:4">
      <c r="C1968" t="s">
        <v>3525</v>
      </c>
    </row>
    <row r="1969" spans="2:4">
      <c r="C1969" t="s">
        <v>3526</v>
      </c>
    </row>
    <row r="1970" spans="2:4">
      <c r="C1970" t="s">
        <v>3527</v>
      </c>
    </row>
    <row r="1972" spans="2:4">
      <c r="B1972" s="2" t="s">
        <v>3529</v>
      </c>
    </row>
    <row r="1974" spans="2:4">
      <c r="B1974" t="s">
        <v>1482</v>
      </c>
    </row>
    <row r="1975" spans="2:4">
      <c r="C1975" t="s">
        <v>3530</v>
      </c>
    </row>
    <row r="1976" spans="2:4">
      <c r="C1976" t="s">
        <v>3531</v>
      </c>
    </row>
    <row r="1977" spans="2:4">
      <c r="C1977" t="s">
        <v>3532</v>
      </c>
    </row>
    <row r="1978" spans="2:4">
      <c r="C1978" t="s">
        <v>3533</v>
      </c>
    </row>
    <row r="1979" spans="2:4">
      <c r="C1979" t="s">
        <v>3534</v>
      </c>
    </row>
    <row r="1981" spans="2:4">
      <c r="B1981" t="s">
        <v>3535</v>
      </c>
    </row>
    <row r="1982" spans="2:4">
      <c r="C1982" t="s">
        <v>3536</v>
      </c>
    </row>
    <row r="1983" spans="2:4">
      <c r="D1983" t="s">
        <v>3537</v>
      </c>
    </row>
    <row r="1984" spans="2:4">
      <c r="D1984" t="s">
        <v>3538</v>
      </c>
    </row>
    <row r="1986" spans="2:5">
      <c r="C1986" t="s">
        <v>3539</v>
      </c>
    </row>
    <row r="1987" spans="2:5">
      <c r="C1987" t="s">
        <v>3540</v>
      </c>
    </row>
    <row r="1988" spans="2:5">
      <c r="D1988" t="s">
        <v>3541</v>
      </c>
    </row>
    <row r="1989" spans="2:5">
      <c r="D1989" t="s">
        <v>3542</v>
      </c>
    </row>
    <row r="1990" spans="2:5">
      <c r="C1990" t="s">
        <v>3543</v>
      </c>
    </row>
    <row r="1991" spans="2:5">
      <c r="D1991" t="s">
        <v>3544</v>
      </c>
    </row>
    <row r="1992" spans="2:5">
      <c r="C1992" t="s">
        <v>3545</v>
      </c>
    </row>
    <row r="1993" spans="2:5">
      <c r="C1993" t="s">
        <v>3549</v>
      </c>
    </row>
    <row r="1994" spans="2:5">
      <c r="D1994" t="s">
        <v>3550</v>
      </c>
    </row>
    <row r="1995" spans="2:5">
      <c r="D1995">
        <v>2014</v>
      </c>
      <c r="E1995" t="s">
        <v>3551</v>
      </c>
    </row>
    <row r="1996" spans="2:5">
      <c r="E1996" t="s">
        <v>3554</v>
      </c>
    </row>
    <row r="1997" spans="2:5">
      <c r="E1997" t="s">
        <v>3552</v>
      </c>
    </row>
    <row r="1998" spans="2:5">
      <c r="E1998" t="s">
        <v>3553</v>
      </c>
    </row>
    <row r="1999" spans="2:5">
      <c r="E1999" t="s">
        <v>3555</v>
      </c>
    </row>
    <row r="2000" spans="2:5">
      <c r="B2000" t="s">
        <v>3546</v>
      </c>
    </row>
    <row r="2001" spans="2:5">
      <c r="C2001" t="s">
        <v>3547</v>
      </c>
    </row>
    <row r="2003" spans="2:5">
      <c r="B2003" t="s">
        <v>3548</v>
      </c>
    </row>
    <row r="2005" spans="2:5">
      <c r="B2005" t="s">
        <v>3556</v>
      </c>
    </row>
    <row r="2006" spans="2:5">
      <c r="C2006" t="s">
        <v>3557</v>
      </c>
    </row>
    <row r="2007" spans="2:5">
      <c r="C2007" t="s">
        <v>3558</v>
      </c>
    </row>
    <row r="2008" spans="2:5">
      <c r="C2008" t="s">
        <v>3559</v>
      </c>
    </row>
    <row r="2009" spans="2:5">
      <c r="D2009" t="s">
        <v>3560</v>
      </c>
    </row>
    <row r="2011" spans="2:5">
      <c r="B2011" s="526" t="s">
        <v>3571</v>
      </c>
      <c r="C2011" s="525"/>
      <c r="D2011" s="525"/>
      <c r="E2011" s="525"/>
    </row>
    <row r="2013" spans="2:5">
      <c r="B2013" s="42" t="s">
        <v>1482</v>
      </c>
    </row>
    <row r="2014" spans="2:5">
      <c r="B2014" t="s">
        <v>3561</v>
      </c>
    </row>
    <row r="2015" spans="2:5">
      <c r="B2015" t="s">
        <v>3562</v>
      </c>
    </row>
    <row r="2016" spans="2:5">
      <c r="B2016" t="s">
        <v>3563</v>
      </c>
    </row>
    <row r="2017" spans="2:4">
      <c r="B2017" t="s">
        <v>3564</v>
      </c>
    </row>
    <row r="2019" spans="2:4">
      <c r="B2019" s="42" t="s">
        <v>16</v>
      </c>
    </row>
    <row r="2020" spans="2:4">
      <c r="B2020" t="s">
        <v>3565</v>
      </c>
    </row>
    <row r="2021" spans="2:4">
      <c r="B2021" t="s">
        <v>3566</v>
      </c>
    </row>
    <row r="2022" spans="2:4">
      <c r="B2022" t="s">
        <v>3567</v>
      </c>
    </row>
    <row r="2023" spans="2:4">
      <c r="B2023" t="s">
        <v>3568</v>
      </c>
    </row>
    <row r="2024" spans="2:4">
      <c r="C2024" t="s">
        <v>3569</v>
      </c>
    </row>
    <row r="2025" spans="2:4">
      <c r="C2025" t="s">
        <v>3570</v>
      </c>
    </row>
    <row r="2027" spans="2:4">
      <c r="B2027" s="121" t="s">
        <v>3572</v>
      </c>
    </row>
    <row r="2029" spans="2:4">
      <c r="B2029" t="s">
        <v>3573</v>
      </c>
    </row>
    <row r="2030" spans="2:4">
      <c r="C2030" t="s">
        <v>3574</v>
      </c>
    </row>
    <row r="2031" spans="2:4">
      <c r="C2031" t="s">
        <v>3583</v>
      </c>
    </row>
    <row r="2032" spans="2:4">
      <c r="D2032" t="s">
        <v>3576</v>
      </c>
    </row>
    <row r="2033" spans="2:5">
      <c r="D2033" t="s">
        <v>145</v>
      </c>
    </row>
    <row r="2034" spans="2:5">
      <c r="E2034" t="s">
        <v>3580</v>
      </c>
    </row>
    <row r="2035" spans="2:5">
      <c r="E2035" t="s">
        <v>3581</v>
      </c>
    </row>
    <row r="2036" spans="2:5">
      <c r="E2036" t="s">
        <v>3582</v>
      </c>
    </row>
    <row r="2037" spans="2:5">
      <c r="C2037" t="s">
        <v>3575</v>
      </c>
    </row>
    <row r="2038" spans="2:5">
      <c r="D2038" t="s">
        <v>3579</v>
      </c>
    </row>
    <row r="2039" spans="2:5">
      <c r="C2039" t="s">
        <v>3577</v>
      </c>
    </row>
    <row r="2040" spans="2:5">
      <c r="C2040" t="s">
        <v>3578</v>
      </c>
    </row>
    <row r="2041" spans="2:5">
      <c r="B2041" t="s">
        <v>3584</v>
      </c>
    </row>
    <row r="2042" spans="2:5">
      <c r="C2042" t="s">
        <v>3585</v>
      </c>
    </row>
    <row r="2043" spans="2:5">
      <c r="D2043" t="s">
        <v>3587</v>
      </c>
    </row>
    <row r="2044" spans="2:5">
      <c r="D2044" t="s">
        <v>3586</v>
      </c>
    </row>
    <row r="2045" spans="2:5">
      <c r="C2045" t="s">
        <v>3588</v>
      </c>
    </row>
    <row r="2046" spans="2:5">
      <c r="D2046" t="s">
        <v>3589</v>
      </c>
    </row>
    <row r="2048" spans="2:5">
      <c r="B2048" t="s">
        <v>3590</v>
      </c>
    </row>
    <row r="2049" spans="2:4">
      <c r="B2049" t="s">
        <v>3591</v>
      </c>
    </row>
    <row r="2050" spans="2:4">
      <c r="C2050" t="s">
        <v>3592</v>
      </c>
    </row>
    <row r="2051" spans="2:4">
      <c r="B2051" t="s">
        <v>87</v>
      </c>
    </row>
    <row r="2052" spans="2:4">
      <c r="C2052" t="s">
        <v>3593</v>
      </c>
    </row>
    <row r="2053" spans="2:4">
      <c r="D2053" t="s">
        <v>3594</v>
      </c>
    </row>
    <row r="2054" spans="2:4">
      <c r="D2054" t="s">
        <v>3595</v>
      </c>
    </row>
    <row r="2056" spans="2:4">
      <c r="B2056" s="121" t="s">
        <v>3258</v>
      </c>
    </row>
    <row r="2057" spans="2:4">
      <c r="B2057" s="121"/>
    </row>
    <row r="2058" spans="2:4">
      <c r="B2058" t="s">
        <v>3607</v>
      </c>
    </row>
    <row r="2059" spans="2:4">
      <c r="C2059" t="s">
        <v>3608</v>
      </c>
    </row>
    <row r="2060" spans="2:4">
      <c r="C2060" t="s">
        <v>3609</v>
      </c>
    </row>
    <row r="2061" spans="2:4">
      <c r="B2061" t="s">
        <v>3614</v>
      </c>
    </row>
    <row r="2062" spans="2:4">
      <c r="C2062" t="s">
        <v>3610</v>
      </c>
    </row>
    <row r="2063" spans="2:4">
      <c r="B2063" t="s">
        <v>3611</v>
      </c>
    </row>
    <row r="2064" spans="2:4">
      <c r="C2064" t="s">
        <v>3612</v>
      </c>
    </row>
    <row r="2065" spans="2:4">
      <c r="B2065" t="s">
        <v>3613</v>
      </c>
    </row>
    <row r="2066" spans="2:4">
      <c r="C2066" t="s">
        <v>3615</v>
      </c>
    </row>
    <row r="2067" spans="2:4">
      <c r="C2067" t="s">
        <v>3616</v>
      </c>
    </row>
    <row r="2068" spans="2:4">
      <c r="B2068" t="s">
        <v>3617</v>
      </c>
    </row>
    <row r="2069" spans="2:4">
      <c r="C2069" t="s">
        <v>3618</v>
      </c>
    </row>
    <row r="2070" spans="2:4">
      <c r="D2070" t="s">
        <v>3619</v>
      </c>
    </row>
    <row r="2071" spans="2:4">
      <c r="D2071" t="s">
        <v>3620</v>
      </c>
    </row>
    <row r="2072" spans="2:4">
      <c r="B2072" t="s">
        <v>16</v>
      </c>
    </row>
    <row r="2073" spans="2:4">
      <c r="C2073" t="s">
        <v>3621</v>
      </c>
    </row>
    <row r="2074" spans="2:4">
      <c r="C2074" t="s">
        <v>3622</v>
      </c>
    </row>
    <row r="2075" spans="2:4">
      <c r="D2075" t="s">
        <v>3623</v>
      </c>
    </row>
    <row r="2076" spans="2:4">
      <c r="D2076" t="s">
        <v>3624</v>
      </c>
    </row>
    <row r="2077" spans="2:4">
      <c r="C2077" t="s">
        <v>3625</v>
      </c>
    </row>
    <row r="2078" spans="2:4">
      <c r="B2078" t="s">
        <v>87</v>
      </c>
    </row>
    <row r="2079" spans="2:4">
      <c r="C2079" t="s">
        <v>3626</v>
      </c>
    </row>
    <row r="2080" spans="2:4">
      <c r="C2080" t="s">
        <v>3627</v>
      </c>
    </row>
    <row r="2081" spans="2:3">
      <c r="C2081" t="s">
        <v>3628</v>
      </c>
    </row>
    <row r="2082" spans="2:3">
      <c r="C2082" t="s">
        <v>3629</v>
      </c>
    </row>
    <row r="2083" spans="2:3">
      <c r="C2083" t="s">
        <v>3631</v>
      </c>
    </row>
    <row r="2085" spans="2:3">
      <c r="B2085" s="121" t="s">
        <v>1259</v>
      </c>
    </row>
    <row r="2087" spans="2:3">
      <c r="B2087" t="s">
        <v>3573</v>
      </c>
    </row>
    <row r="2088" spans="2:3">
      <c r="C2088" t="s">
        <v>3603</v>
      </c>
    </row>
    <row r="2089" spans="2:3">
      <c r="C2089" t="s">
        <v>3605</v>
      </c>
    </row>
    <row r="2091" spans="2:3">
      <c r="B2091" t="s">
        <v>145</v>
      </c>
    </row>
    <row r="2092" spans="2:3">
      <c r="C2092" t="s">
        <v>3598</v>
      </c>
    </row>
    <row r="2093" spans="2:3">
      <c r="C2093" t="s">
        <v>3606</v>
      </c>
    </row>
    <row r="2095" spans="2:3">
      <c r="B2095" t="s">
        <v>3597</v>
      </c>
    </row>
    <row r="2096" spans="2:3">
      <c r="C2096" t="s">
        <v>3604</v>
      </c>
    </row>
    <row r="2097" spans="2:3">
      <c r="B2097" t="s">
        <v>3293</v>
      </c>
    </row>
    <row r="2098" spans="2:3">
      <c r="C2098" t="s">
        <v>3599</v>
      </c>
    </row>
    <row r="2099" spans="2:3">
      <c r="C2099" t="s">
        <v>3630</v>
      </c>
    </row>
    <row r="2100" spans="2:3">
      <c r="B2100" t="s">
        <v>16</v>
      </c>
    </row>
    <row r="2101" spans="2:3">
      <c r="C2101" t="s">
        <v>3600</v>
      </c>
    </row>
    <row r="2102" spans="2:3">
      <c r="C2102" t="s">
        <v>3601</v>
      </c>
    </row>
    <row r="2103" spans="2:3">
      <c r="C2103" t="s">
        <v>3602</v>
      </c>
    </row>
    <row r="2105" spans="2:3">
      <c r="B2105" s="2" t="s">
        <v>3638</v>
      </c>
    </row>
    <row r="2107" spans="2:3">
      <c r="B2107" t="s">
        <v>3632</v>
      </c>
    </row>
    <row r="2108" spans="2:3">
      <c r="C2108" t="s">
        <v>3633</v>
      </c>
    </row>
    <row r="2109" spans="2:3">
      <c r="C2109" t="s">
        <v>3634</v>
      </c>
    </row>
    <row r="2111" spans="2:3">
      <c r="B2111" t="s">
        <v>3635</v>
      </c>
    </row>
    <row r="2113" spans="2:4">
      <c r="B2113" t="s">
        <v>3636</v>
      </c>
    </row>
    <row r="2114" spans="2:4">
      <c r="C2114" t="s">
        <v>3637</v>
      </c>
    </row>
    <row r="2115" spans="2:4">
      <c r="D2115" t="s">
        <v>3639</v>
      </c>
    </row>
    <row r="2116" spans="2:4">
      <c r="D2116" t="s">
        <v>3640</v>
      </c>
    </row>
    <row r="2118" spans="2:4">
      <c r="B2118" t="s">
        <v>87</v>
      </c>
    </row>
    <row r="2119" spans="2:4">
      <c r="C2119" t="s">
        <v>3641</v>
      </c>
    </row>
    <row r="2121" spans="2:4">
      <c r="B2121" t="s">
        <v>3642</v>
      </c>
    </row>
    <row r="2122" spans="2:4">
      <c r="C2122" t="s">
        <v>3643</v>
      </c>
    </row>
    <row r="2124" spans="2:4">
      <c r="B2124" t="s">
        <v>3644</v>
      </c>
    </row>
    <row r="2125" spans="2:4">
      <c r="C2125" t="s">
        <v>3645</v>
      </c>
    </row>
    <row r="2126" spans="2:4">
      <c r="C2126" t="s">
        <v>3646</v>
      </c>
    </row>
    <row r="2128" spans="2:4">
      <c r="B2128" t="s">
        <v>3647</v>
      </c>
    </row>
    <row r="2129" spans="2:3">
      <c r="C2129" t="s">
        <v>3648</v>
      </c>
    </row>
    <row r="2130" spans="2:3">
      <c r="C2130" t="s">
        <v>3649</v>
      </c>
    </row>
    <row r="2132" spans="2:3">
      <c r="B2132" t="s">
        <v>3650</v>
      </c>
    </row>
    <row r="2133" spans="2:3">
      <c r="C2133" t="s">
        <v>3651</v>
      </c>
    </row>
    <row r="2135" spans="2:3">
      <c r="B2135" t="s">
        <v>3653</v>
      </c>
    </row>
    <row r="2136" spans="2:3">
      <c r="C2136" t="s">
        <v>3652</v>
      </c>
    </row>
    <row r="2137" spans="2:3">
      <c r="C2137" t="s">
        <v>3654</v>
      </c>
    </row>
    <row r="2138" spans="2:3">
      <c r="C2138" t="s">
        <v>3655</v>
      </c>
    </row>
    <row r="2139" spans="2:3">
      <c r="C2139" t="s">
        <v>3656</v>
      </c>
    </row>
    <row r="2140" spans="2:3">
      <c r="C2140" t="s">
        <v>3657</v>
      </c>
    </row>
    <row r="2142" spans="2:3">
      <c r="B2142" t="s">
        <v>1482</v>
      </c>
    </row>
    <row r="2143" spans="2:3">
      <c r="C2143" t="s">
        <v>3658</v>
      </c>
    </row>
    <row r="2144" spans="2:3">
      <c r="C2144" t="s">
        <v>3659</v>
      </c>
    </row>
    <row r="2145" spans="2:8">
      <c r="D2145" t="s">
        <v>3660</v>
      </c>
    </row>
    <row r="2147" spans="2:8">
      <c r="B2147" t="s">
        <v>3661</v>
      </c>
    </row>
    <row r="2149" spans="2:8">
      <c r="B2149" s="2" t="s">
        <v>3802</v>
      </c>
    </row>
    <row r="2151" spans="2:8">
      <c r="B2151" t="s">
        <v>145</v>
      </c>
    </row>
    <row r="2152" spans="2:8">
      <c r="C2152" t="s">
        <v>3688</v>
      </c>
    </row>
    <row r="2153" spans="2:8">
      <c r="D2153" t="s">
        <v>3689</v>
      </c>
    </row>
    <row r="2154" spans="2:8">
      <c r="D2154" t="s">
        <v>3690</v>
      </c>
    </row>
    <row r="2155" spans="2:8">
      <c r="D2155" t="s">
        <v>3691</v>
      </c>
    </row>
    <row r="2156" spans="2:8">
      <c r="D2156" t="s">
        <v>3692</v>
      </c>
    </row>
    <row r="2157" spans="2:8">
      <c r="B2157" t="s">
        <v>3693</v>
      </c>
    </row>
    <row r="2158" spans="2:8">
      <c r="C2158" t="s">
        <v>3694</v>
      </c>
    </row>
    <row r="2159" spans="2:8">
      <c r="D2159" t="s">
        <v>3695</v>
      </c>
      <c r="H2159" t="s">
        <v>3803</v>
      </c>
    </row>
    <row r="2160" spans="2:8">
      <c r="D2160" t="s">
        <v>3696</v>
      </c>
    </row>
    <row r="2162" spans="2:5">
      <c r="B2162" t="s">
        <v>3697</v>
      </c>
    </row>
    <row r="2163" spans="2:5">
      <c r="C2163" t="s">
        <v>3711</v>
      </c>
    </row>
    <row r="2164" spans="2:5">
      <c r="D2164" t="s">
        <v>3712</v>
      </c>
    </row>
    <row r="2165" spans="2:5">
      <c r="D2165" t="s">
        <v>3713</v>
      </c>
    </row>
    <row r="2166" spans="2:5">
      <c r="D2166" t="s">
        <v>3714</v>
      </c>
    </row>
    <row r="2167" spans="2:5">
      <c r="D2167" t="s">
        <v>3715</v>
      </c>
    </row>
    <row r="2168" spans="2:5">
      <c r="E2168" t="s">
        <v>3716</v>
      </c>
    </row>
    <row r="2170" spans="2:5">
      <c r="C2170" t="s">
        <v>3698</v>
      </c>
    </row>
    <row r="2172" spans="2:5">
      <c r="B2172" t="s">
        <v>200</v>
      </c>
    </row>
    <row r="2173" spans="2:5">
      <c r="C2173" t="s">
        <v>3699</v>
      </c>
    </row>
    <row r="2174" spans="2:5">
      <c r="C2174" t="s">
        <v>3700</v>
      </c>
    </row>
    <row r="2175" spans="2:5">
      <c r="D2175" t="s">
        <v>3701</v>
      </c>
    </row>
    <row r="2176" spans="2:5">
      <c r="C2176" t="s">
        <v>3702</v>
      </c>
    </row>
    <row r="2178" spans="2:5">
      <c r="B2178" t="s">
        <v>3708</v>
      </c>
    </row>
    <row r="2179" spans="2:5">
      <c r="B2179" s="2" t="s">
        <v>3703</v>
      </c>
    </row>
    <row r="2180" spans="2:5">
      <c r="C2180" t="s">
        <v>2201</v>
      </c>
      <c r="D2180" t="s">
        <v>3704</v>
      </c>
    </row>
    <row r="2181" spans="2:5">
      <c r="D2181" t="s">
        <v>3705</v>
      </c>
    </row>
    <row r="2183" spans="2:5">
      <c r="B2183" s="2" t="s">
        <v>3706</v>
      </c>
    </row>
    <row r="2184" spans="2:5">
      <c r="C2184" t="s">
        <v>3707</v>
      </c>
    </row>
    <row r="2185" spans="2:5">
      <c r="C2185" t="s">
        <v>3709</v>
      </c>
    </row>
    <row r="2186" spans="2:5">
      <c r="D2186" t="s">
        <v>3710</v>
      </c>
    </row>
    <row r="2188" spans="2:5">
      <c r="B2188" t="s">
        <v>3718</v>
      </c>
    </row>
    <row r="2189" spans="2:5">
      <c r="B2189" t="s">
        <v>3717</v>
      </c>
    </row>
    <row r="2191" spans="2:5">
      <c r="B2191" t="s">
        <v>1171</v>
      </c>
    </row>
    <row r="2192" spans="2:5">
      <c r="C2192" t="s">
        <v>3719</v>
      </c>
      <c r="E2192" t="s">
        <v>3720</v>
      </c>
    </row>
    <row r="2193" spans="2:5">
      <c r="C2193" t="s">
        <v>3721</v>
      </c>
    </row>
    <row r="2194" spans="2:5">
      <c r="D2194" t="s">
        <v>3722</v>
      </c>
    </row>
    <row r="2195" spans="2:5">
      <c r="E2195" t="s">
        <v>3723</v>
      </c>
    </row>
    <row r="2196" spans="2:5">
      <c r="E2196" t="s">
        <v>3724</v>
      </c>
    </row>
    <row r="2197" spans="2:5">
      <c r="E2197" t="s">
        <v>3725</v>
      </c>
    </row>
    <row r="2198" spans="2:5">
      <c r="C2198" t="s">
        <v>3726</v>
      </c>
    </row>
    <row r="2200" spans="2:5">
      <c r="C2200" s="3"/>
    </row>
    <row r="2201" spans="2:5">
      <c r="B2201" t="s">
        <v>3730</v>
      </c>
    </row>
    <row r="2202" spans="2:5">
      <c r="B2202" s="61" t="s">
        <v>3728</v>
      </c>
      <c r="C2202" s="61">
        <v>2017</v>
      </c>
      <c r="D2202" s="61">
        <v>2018</v>
      </c>
    </row>
    <row r="2203" spans="2:5">
      <c r="B2203" t="s">
        <v>3727</v>
      </c>
      <c r="C2203">
        <v>35.200000000000003</v>
      </c>
      <c r="D2203">
        <v>39.200000000000003</v>
      </c>
    </row>
    <row r="2205" spans="2:5">
      <c r="B2205" t="s">
        <v>3729</v>
      </c>
      <c r="D2205">
        <v>45.6</v>
      </c>
      <c r="E2205" t="s">
        <v>3731</v>
      </c>
    </row>
    <row r="2206" spans="2:5">
      <c r="B2206" t="s">
        <v>3732</v>
      </c>
      <c r="D2206">
        <v>42.8</v>
      </c>
      <c r="E2206" t="s">
        <v>3733</v>
      </c>
    </row>
    <row r="2207" spans="2:5">
      <c r="B2207" t="s">
        <v>3734</v>
      </c>
      <c r="D2207">
        <v>40.5</v>
      </c>
      <c r="E2207" t="s">
        <v>3731</v>
      </c>
    </row>
    <row r="2208" spans="2:5">
      <c r="B2208" t="s">
        <v>3735</v>
      </c>
      <c r="D2208">
        <v>43.8</v>
      </c>
      <c r="E2208" t="s">
        <v>3731</v>
      </c>
    </row>
    <row r="2209" spans="2:10">
      <c r="B2209" t="s">
        <v>946</v>
      </c>
      <c r="D2209">
        <v>44.9</v>
      </c>
      <c r="E2209" t="s">
        <v>3731</v>
      </c>
    </row>
    <row r="2210" spans="2:10">
      <c r="B2210" t="s">
        <v>3736</v>
      </c>
      <c r="D2210">
        <v>41.8</v>
      </c>
      <c r="E2210" t="s">
        <v>3731</v>
      </c>
    </row>
    <row r="2211" spans="2:10">
      <c r="B2211" t="s">
        <v>3737</v>
      </c>
      <c r="D2211">
        <v>43</v>
      </c>
      <c r="E2211" t="s">
        <v>3731</v>
      </c>
    </row>
    <row r="2212" spans="2:10">
      <c r="B2212" t="s">
        <v>3739</v>
      </c>
      <c r="D2212">
        <v>42.8</v>
      </c>
      <c r="E2212" t="s">
        <v>3733</v>
      </c>
    </row>
    <row r="2213" spans="2:10">
      <c r="B2213" t="s">
        <v>3735</v>
      </c>
      <c r="D2213">
        <v>43.8</v>
      </c>
    </row>
    <row r="2214" spans="2:10">
      <c r="B2214" s="61" t="s">
        <v>3738</v>
      </c>
      <c r="C2214" s="61"/>
      <c r="D2214" s="61">
        <v>45.9</v>
      </c>
    </row>
    <row r="2215" spans="2:10">
      <c r="D2215">
        <v>43.6</v>
      </c>
    </row>
    <row r="2216" spans="2:10">
      <c r="D2216">
        <v>2.2000000000000002</v>
      </c>
    </row>
    <row r="2217" spans="2:10">
      <c r="B2217" s="61"/>
      <c r="C2217" s="61"/>
      <c r="D2217" s="61">
        <v>1.6</v>
      </c>
    </row>
    <row r="2218" spans="2:10">
      <c r="D2218">
        <f>D2215-D2216-D2217</f>
        <v>39.799999999999997</v>
      </c>
    </row>
    <row r="2220" spans="2:10">
      <c r="B2220" t="s">
        <v>3740</v>
      </c>
      <c r="D2220">
        <v>1890</v>
      </c>
    </row>
    <row r="2221" spans="2:10">
      <c r="B2221" t="s">
        <v>57</v>
      </c>
      <c r="D2221">
        <v>37.1</v>
      </c>
    </row>
    <row r="2222" spans="2:10">
      <c r="D2222" t="s">
        <v>3741</v>
      </c>
    </row>
    <row r="2224" spans="2:10">
      <c r="B2224" s="2" t="s">
        <v>3742</v>
      </c>
      <c r="D2224" s="2">
        <v>2018</v>
      </c>
      <c r="J2224" s="2" t="s">
        <v>3754</v>
      </c>
    </row>
    <row r="2225" spans="2:10">
      <c r="B2225" t="s">
        <v>3745</v>
      </c>
      <c r="D2225" t="s">
        <v>3746</v>
      </c>
      <c r="E2225" t="s">
        <v>3748</v>
      </c>
      <c r="J2225" t="s">
        <v>3755</v>
      </c>
    </row>
    <row r="2226" spans="2:10">
      <c r="E2226" t="s">
        <v>3747</v>
      </c>
      <c r="J2226" t="s">
        <v>3756</v>
      </c>
    </row>
    <row r="2227" spans="2:10">
      <c r="B2227" t="s">
        <v>3749</v>
      </c>
      <c r="D2227" t="s">
        <v>3753</v>
      </c>
      <c r="E2227" t="s">
        <v>3750</v>
      </c>
    </row>
    <row r="2228" spans="2:10">
      <c r="F2228" t="s">
        <v>3752</v>
      </c>
    </row>
    <row r="2229" spans="2:10">
      <c r="B2229" t="s">
        <v>3757</v>
      </c>
      <c r="F2229" t="s">
        <v>3751</v>
      </c>
      <c r="J2229" t="s">
        <v>3758</v>
      </c>
    </row>
    <row r="2230" spans="2:10">
      <c r="E2230" t="s">
        <v>3759</v>
      </c>
    </row>
    <row r="2231" spans="2:10">
      <c r="E2231" t="s">
        <v>3761</v>
      </c>
    </row>
    <row r="2232" spans="2:10">
      <c r="E2232" t="s">
        <v>3760</v>
      </c>
    </row>
    <row r="2233" spans="2:10">
      <c r="B2233" s="61"/>
      <c r="C2233" s="61"/>
      <c r="D2233" s="61" t="s">
        <v>3762</v>
      </c>
    </row>
    <row r="2234" spans="2:10">
      <c r="B2234" t="s">
        <v>588</v>
      </c>
      <c r="D2234" s="8">
        <v>0.09</v>
      </c>
    </row>
    <row r="2235" spans="2:10">
      <c r="D2235" s="8"/>
    </row>
    <row r="2236" spans="2:10">
      <c r="B2236" t="s">
        <v>3763</v>
      </c>
      <c r="D2236" s="527" t="s">
        <v>3765</v>
      </c>
    </row>
    <row r="2237" spans="2:10">
      <c r="D2237" s="8" t="s">
        <v>3764</v>
      </c>
    </row>
    <row r="2238" spans="2:10">
      <c r="D2238" s="8" t="s">
        <v>3766</v>
      </c>
    </row>
    <row r="2239" spans="2:10">
      <c r="D2239" s="8" t="s">
        <v>3767</v>
      </c>
    </row>
    <row r="2240" spans="2:10">
      <c r="D2240" s="8"/>
    </row>
    <row r="2241" spans="2:5">
      <c r="B2241" t="s">
        <v>3744</v>
      </c>
    </row>
    <row r="2242" spans="2:5">
      <c r="B2242" t="s">
        <v>3743</v>
      </c>
    </row>
    <row r="2243" spans="2:5">
      <c r="D2243" t="s">
        <v>3822</v>
      </c>
    </row>
    <row r="2244" spans="2:5">
      <c r="D2244" t="s">
        <v>3829</v>
      </c>
    </row>
    <row r="2245" spans="2:5">
      <c r="D2245" t="s">
        <v>3823</v>
      </c>
    </row>
    <row r="2246" spans="2:5">
      <c r="D2246" t="s">
        <v>3824</v>
      </c>
    </row>
    <row r="2247" spans="2:5">
      <c r="D2247" t="s">
        <v>3825</v>
      </c>
    </row>
    <row r="2248" spans="2:5">
      <c r="D2248" t="s">
        <v>3826</v>
      </c>
    </row>
    <row r="2249" spans="2:5">
      <c r="D2249" t="s">
        <v>3827</v>
      </c>
    </row>
    <row r="2250" spans="2:5">
      <c r="D2250" t="s">
        <v>3830</v>
      </c>
    </row>
    <row r="2251" spans="2:5">
      <c r="E2251" t="s">
        <v>3831</v>
      </c>
    </row>
    <row r="2252" spans="2:5">
      <c r="E2252" t="s">
        <v>3832</v>
      </c>
    </row>
    <row r="2253" spans="2:5">
      <c r="D2253" t="s">
        <v>3828</v>
      </c>
    </row>
    <row r="2255" spans="2:5">
      <c r="B2255" t="s">
        <v>16</v>
      </c>
      <c r="D2255" t="s">
        <v>3791</v>
      </c>
    </row>
    <row r="2256" spans="2:5">
      <c r="D2256" t="s">
        <v>3792</v>
      </c>
    </row>
    <row r="2257" spans="2:5">
      <c r="D2257" t="s">
        <v>3793</v>
      </c>
    </row>
    <row r="2258" spans="2:5">
      <c r="D2258" t="s">
        <v>3795</v>
      </c>
    </row>
    <row r="2259" spans="2:5">
      <c r="D2259" t="s">
        <v>3794</v>
      </c>
    </row>
    <row r="2262" spans="2:5">
      <c r="B2262" t="s">
        <v>87</v>
      </c>
      <c r="D2262" s="2">
        <v>2018</v>
      </c>
    </row>
    <row r="2263" spans="2:5">
      <c r="D2263" t="s">
        <v>3770</v>
      </c>
    </row>
    <row r="2264" spans="2:5">
      <c r="D2264" t="s">
        <v>3771</v>
      </c>
    </row>
    <row r="2265" spans="2:5">
      <c r="D2265" t="s">
        <v>3772</v>
      </c>
    </row>
    <row r="2266" spans="2:5">
      <c r="D2266" t="s">
        <v>3773</v>
      </c>
    </row>
    <row r="2267" spans="2:5">
      <c r="D2267" t="s">
        <v>3804</v>
      </c>
    </row>
    <row r="2268" spans="2:5">
      <c r="D2268" t="s">
        <v>3774</v>
      </c>
    </row>
    <row r="2269" spans="2:5">
      <c r="D2269" t="s">
        <v>3775</v>
      </c>
    </row>
    <row r="2271" spans="2:5">
      <c r="D2271" t="s">
        <v>3776</v>
      </c>
    </row>
    <row r="2272" spans="2:5">
      <c r="E2272" t="s">
        <v>3777</v>
      </c>
    </row>
    <row r="2273" spans="3:6">
      <c r="E2273" t="s">
        <v>3778</v>
      </c>
    </row>
    <row r="2274" spans="3:6">
      <c r="D2274" t="s">
        <v>3779</v>
      </c>
    </row>
    <row r="2275" spans="3:6">
      <c r="D2275">
        <v>64</v>
      </c>
      <c r="E2275" t="s">
        <v>3782</v>
      </c>
    </row>
    <row r="2276" spans="3:6">
      <c r="D2276">
        <v>34</v>
      </c>
      <c r="E2276" t="s">
        <v>3780</v>
      </c>
    </row>
    <row r="2277" spans="3:6">
      <c r="E2277" t="s">
        <v>3781</v>
      </c>
    </row>
    <row r="2278" spans="3:6">
      <c r="D2278" t="s">
        <v>3783</v>
      </c>
    </row>
    <row r="2279" spans="3:6">
      <c r="D2279" t="s">
        <v>3784</v>
      </c>
    </row>
    <row r="2281" spans="3:6">
      <c r="D2281" t="s">
        <v>3787</v>
      </c>
    </row>
    <row r="2282" spans="3:6">
      <c r="D2282" t="s">
        <v>3785</v>
      </c>
    </row>
    <row r="2283" spans="3:6">
      <c r="D2283" t="s">
        <v>3786</v>
      </c>
    </row>
    <row r="2285" spans="3:6">
      <c r="C2285" t="s">
        <v>2269</v>
      </c>
    </row>
    <row r="2286" spans="3:6">
      <c r="D2286">
        <v>2014</v>
      </c>
      <c r="E2286" s="8">
        <v>0.06</v>
      </c>
    </row>
    <row r="2287" spans="3:6">
      <c r="D2287">
        <v>2015</v>
      </c>
      <c r="E2287" s="8">
        <v>0.1</v>
      </c>
    </row>
    <row r="2288" spans="3:6">
      <c r="D2288">
        <v>2016</v>
      </c>
      <c r="E2288" s="8">
        <v>0.17</v>
      </c>
      <c r="F2288" t="s">
        <v>3788</v>
      </c>
    </row>
    <row r="2289" spans="2:5">
      <c r="D2289">
        <v>2017</v>
      </c>
      <c r="E2289" s="527" t="s">
        <v>3746</v>
      </c>
    </row>
    <row r="2290" spans="2:5">
      <c r="D2290">
        <v>2018</v>
      </c>
      <c r="E2290" s="527" t="s">
        <v>3789</v>
      </c>
    </row>
    <row r="2291" spans="2:5">
      <c r="E2291" s="527"/>
    </row>
    <row r="2292" spans="2:5">
      <c r="C2292" t="s">
        <v>84</v>
      </c>
      <c r="D2292" t="s">
        <v>3790</v>
      </c>
      <c r="E2292" s="527"/>
    </row>
    <row r="2294" spans="2:5">
      <c r="B2294" t="s">
        <v>189</v>
      </c>
    </row>
    <row r="2295" spans="2:5">
      <c r="C2295" t="s">
        <v>3796</v>
      </c>
    </row>
    <row r="2296" spans="2:5">
      <c r="D2296" t="s">
        <v>3799</v>
      </c>
    </row>
    <row r="2297" spans="2:5">
      <c r="E2297" t="s">
        <v>3800</v>
      </c>
    </row>
    <row r="2298" spans="2:5">
      <c r="D2298" t="s">
        <v>3797</v>
      </c>
    </row>
    <row r="2299" spans="2:5">
      <c r="D2299" t="s">
        <v>3798</v>
      </c>
    </row>
    <row r="2300" spans="2:5">
      <c r="C2300" t="s">
        <v>3801</v>
      </c>
    </row>
    <row r="2302" spans="2:5">
      <c r="B2302" t="s">
        <v>3833</v>
      </c>
    </row>
    <row r="2303" spans="2:5">
      <c r="B2303" t="s">
        <v>3834</v>
      </c>
    </row>
    <row r="2305" spans="2:5">
      <c r="B2305" s="42" t="s">
        <v>3861</v>
      </c>
    </row>
    <row r="2307" spans="2:5">
      <c r="B2307" s="61"/>
      <c r="C2307" s="130" t="s">
        <v>123</v>
      </c>
      <c r="D2307" s="130">
        <v>2018</v>
      </c>
    </row>
    <row r="2309" spans="2:5">
      <c r="B2309" s="2" t="s">
        <v>3324</v>
      </c>
    </row>
    <row r="2310" spans="2:5">
      <c r="B2310" t="s">
        <v>3854</v>
      </c>
    </row>
    <row r="2311" spans="2:5">
      <c r="B2311" t="s">
        <v>3855</v>
      </c>
    </row>
    <row r="2313" spans="2:5">
      <c r="B2313" t="s">
        <v>3856</v>
      </c>
      <c r="D2313" s="8">
        <v>0.02</v>
      </c>
    </row>
    <row r="2314" spans="2:5">
      <c r="D2314" s="8" t="s">
        <v>3859</v>
      </c>
    </row>
    <row r="2316" spans="2:5">
      <c r="B2316" t="s">
        <v>3857</v>
      </c>
      <c r="E2316" s="8" t="s">
        <v>3858</v>
      </c>
    </row>
    <row r="2318" spans="2:5">
      <c r="B2318" s="61"/>
      <c r="C2318" s="130" t="s">
        <v>123</v>
      </c>
      <c r="D2318" s="130">
        <v>2018</v>
      </c>
    </row>
    <row r="2319" spans="2:5">
      <c r="B2319" t="s">
        <v>145</v>
      </c>
      <c r="C2319" s="3"/>
      <c r="D2319" s="3"/>
    </row>
    <row r="2320" spans="2:5">
      <c r="B2320" t="s">
        <v>200</v>
      </c>
      <c r="D2320" s="3"/>
    </row>
    <row r="2321" spans="2:3">
      <c r="B2321" t="s">
        <v>3860</v>
      </c>
      <c r="C2321" s="3" t="s">
        <v>3862</v>
      </c>
    </row>
    <row r="2323" spans="2:3">
      <c r="B2323" t="s">
        <v>1084</v>
      </c>
    </row>
    <row r="2324" spans="2:3">
      <c r="B2324" t="str">
        <f>B2320</f>
        <v>Revenue</v>
      </c>
    </row>
    <row r="2325" spans="2:3">
      <c r="B2325" t="s">
        <v>3864</v>
      </c>
      <c r="C2325" t="s">
        <v>3863</v>
      </c>
    </row>
    <row r="2326" spans="2:3">
      <c r="B2326" t="s">
        <v>57</v>
      </c>
      <c r="C2326" t="s">
        <v>3865</v>
      </c>
    </row>
    <row r="2328" spans="2:3">
      <c r="B2328" s="42" t="s">
        <v>3903</v>
      </c>
    </row>
    <row r="2330" spans="2:3">
      <c r="B2330" t="s">
        <v>3885</v>
      </c>
    </row>
    <row r="2331" spans="2:3">
      <c r="B2331" t="s">
        <v>3886</v>
      </c>
    </row>
    <row r="2332" spans="2:3">
      <c r="B2332" t="s">
        <v>3887</v>
      </c>
    </row>
    <row r="2333" spans="2:3">
      <c r="C2333" t="s">
        <v>3888</v>
      </c>
    </row>
    <row r="2334" spans="2:3">
      <c r="C2334" t="s">
        <v>3889</v>
      </c>
    </row>
    <row r="2335" spans="2:3">
      <c r="C2335" t="s">
        <v>3890</v>
      </c>
    </row>
    <row r="2337" spans="2:3">
      <c r="C2337" t="s">
        <v>3891</v>
      </c>
    </row>
    <row r="2338" spans="2:3">
      <c r="C2338" t="s">
        <v>3892</v>
      </c>
    </row>
    <row r="2340" spans="2:3">
      <c r="B2340" t="s">
        <v>3893</v>
      </c>
      <c r="C2340" t="s">
        <v>3896</v>
      </c>
    </row>
    <row r="2341" spans="2:3">
      <c r="B2341" t="s">
        <v>3894</v>
      </c>
      <c r="C2341" t="s">
        <v>3895</v>
      </c>
    </row>
    <row r="2343" spans="2:3">
      <c r="B2343" t="s">
        <v>3897</v>
      </c>
    </row>
    <row r="2345" spans="2:3">
      <c r="B2345" s="2" t="s">
        <v>3901</v>
      </c>
    </row>
    <row r="2346" spans="2:3">
      <c r="B2346" t="s">
        <v>3898</v>
      </c>
    </row>
    <row r="2347" spans="2:3">
      <c r="B2347" t="s">
        <v>3899</v>
      </c>
    </row>
    <row r="2348" spans="2:3">
      <c r="C2348" t="s">
        <v>3900</v>
      </c>
    </row>
    <row r="2349" spans="2:3">
      <c r="C2349" t="s">
        <v>3902</v>
      </c>
    </row>
    <row r="2350" spans="2:3">
      <c r="B2350" t="s">
        <v>3904</v>
      </c>
    </row>
    <row r="2351" spans="2:3">
      <c r="B2351" t="s">
        <v>3905</v>
      </c>
    </row>
    <row r="2352" spans="2:3">
      <c r="C2352" t="s">
        <v>3906</v>
      </c>
    </row>
    <row r="2353" spans="2:7">
      <c r="C2353" t="s">
        <v>3907</v>
      </c>
    </row>
    <row r="2355" spans="2:7">
      <c r="B2355" s="42" t="s">
        <v>3915</v>
      </c>
    </row>
    <row r="2357" spans="2:7">
      <c r="B2357" t="s">
        <v>16</v>
      </c>
      <c r="D2357" t="s">
        <v>3913</v>
      </c>
    </row>
    <row r="2358" spans="2:7">
      <c r="B2358" t="s">
        <v>3749</v>
      </c>
      <c r="D2358" t="s">
        <v>3908</v>
      </c>
    </row>
    <row r="2359" spans="2:7">
      <c r="B2359" t="s">
        <v>3909</v>
      </c>
      <c r="D2359" t="s">
        <v>3910</v>
      </c>
    </row>
    <row r="2360" spans="2:7">
      <c r="E2360" t="s">
        <v>3911</v>
      </c>
    </row>
    <row r="2361" spans="2:7">
      <c r="E2361" t="s">
        <v>3912</v>
      </c>
    </row>
    <row r="2362" spans="2:7">
      <c r="D2362" t="s">
        <v>1808</v>
      </c>
    </row>
    <row r="2364" spans="2:7">
      <c r="B2364" t="s">
        <v>3914</v>
      </c>
    </row>
    <row r="2365" spans="2:7">
      <c r="B2365" t="s">
        <v>87</v>
      </c>
      <c r="D2365" t="s">
        <v>3916</v>
      </c>
    </row>
    <row r="2366" spans="2:7">
      <c r="B2366" t="s">
        <v>3917</v>
      </c>
    </row>
    <row r="2367" spans="2:7">
      <c r="D2367" t="s">
        <v>87</v>
      </c>
      <c r="E2367" t="s">
        <v>3918</v>
      </c>
    </row>
    <row r="2368" spans="2:7">
      <c r="E2368" t="s">
        <v>3919</v>
      </c>
      <c r="F2368">
        <v>199</v>
      </c>
      <c r="G2368">
        <v>208</v>
      </c>
    </row>
    <row r="2369" spans="2:8">
      <c r="D2369" t="s">
        <v>3920</v>
      </c>
    </row>
    <row r="2370" spans="2:8">
      <c r="D2370" t="s">
        <v>731</v>
      </c>
      <c r="E2370" s="5">
        <v>42917</v>
      </c>
      <c r="F2370" t="s">
        <v>3921</v>
      </c>
      <c r="H2370" s="8">
        <v>0.05</v>
      </c>
    </row>
    <row r="2371" spans="2:8">
      <c r="E2371" s="5">
        <v>42979</v>
      </c>
      <c r="F2371" t="s">
        <v>3922</v>
      </c>
      <c r="H2371" s="8">
        <v>0.05</v>
      </c>
    </row>
    <row r="2372" spans="2:8">
      <c r="B2372" t="s">
        <v>3923</v>
      </c>
    </row>
    <row r="2373" spans="2:8">
      <c r="D2373" t="s">
        <v>3924</v>
      </c>
    </row>
    <row r="2374" spans="2:8">
      <c r="D2374" t="s">
        <v>3925</v>
      </c>
    </row>
    <row r="2375" spans="2:8">
      <c r="B2375" t="s">
        <v>3926</v>
      </c>
    </row>
    <row r="2376" spans="2:8">
      <c r="D2376" t="s">
        <v>3927</v>
      </c>
    </row>
    <row r="2377" spans="2:8">
      <c r="D2377" t="s">
        <v>3928</v>
      </c>
    </row>
    <row r="2378" spans="2:8">
      <c r="D2378" t="s">
        <v>3929</v>
      </c>
    </row>
    <row r="2379" spans="2:8">
      <c r="D2379" t="s">
        <v>3930</v>
      </c>
    </row>
    <row r="2380" spans="2:8">
      <c r="D2380" t="s">
        <v>3931</v>
      </c>
    </row>
    <row r="2382" spans="2:8">
      <c r="B2382" t="s">
        <v>3932</v>
      </c>
      <c r="D2382" t="s">
        <v>3933</v>
      </c>
    </row>
    <row r="2384" spans="2:8">
      <c r="B2384" s="42" t="s">
        <v>3934</v>
      </c>
    </row>
    <row r="2386" spans="2:3">
      <c r="B2386" t="s">
        <v>3935</v>
      </c>
    </row>
    <row r="2387" spans="2:3">
      <c r="C2387" t="s">
        <v>3936</v>
      </c>
    </row>
    <row r="2389" spans="2:3">
      <c r="B2389" t="s">
        <v>3937</v>
      </c>
    </row>
    <row r="2391" spans="2:3">
      <c r="B2391" t="s">
        <v>3938</v>
      </c>
    </row>
    <row r="2393" spans="2:3">
      <c r="B2393" t="s">
        <v>3939</v>
      </c>
    </row>
    <row r="2394" spans="2:3">
      <c r="C2394" t="s">
        <v>3940</v>
      </c>
    </row>
    <row r="2395" spans="2:3">
      <c r="C2395" t="s">
        <v>3941</v>
      </c>
    </row>
    <row r="2396" spans="2:3">
      <c r="C2396" t="s">
        <v>3942</v>
      </c>
    </row>
    <row r="2398" spans="2:3">
      <c r="B2398" t="s">
        <v>3943</v>
      </c>
    </row>
    <row r="2400" spans="2:3">
      <c r="B2400" t="s">
        <v>3944</v>
      </c>
    </row>
    <row r="2402" spans="2:4">
      <c r="B2402" t="s">
        <v>3946</v>
      </c>
    </row>
    <row r="2403" spans="2:4">
      <c r="C2403" t="s">
        <v>3945</v>
      </c>
    </row>
    <row r="2404" spans="2:4">
      <c r="C2404" t="s">
        <v>2384</v>
      </c>
    </row>
    <row r="2405" spans="2:4">
      <c r="D2405" t="s">
        <v>3947</v>
      </c>
    </row>
    <row r="2406" spans="2:4">
      <c r="C2406" t="s">
        <v>3948</v>
      </c>
    </row>
    <row r="2408" spans="2:4">
      <c r="B2408" t="s">
        <v>3611</v>
      </c>
    </row>
    <row r="2409" spans="2:4">
      <c r="C2409" t="s">
        <v>3949</v>
      </c>
    </row>
    <row r="2411" spans="2:4">
      <c r="B2411" t="s">
        <v>3950</v>
      </c>
    </row>
    <row r="2412" spans="2:4">
      <c r="C2412" s="264" t="s">
        <v>3951</v>
      </c>
    </row>
    <row r="2414" spans="2:4">
      <c r="B2414" t="s">
        <v>3952</v>
      </c>
    </row>
    <row r="2415" spans="2:4">
      <c r="C2415" t="s">
        <v>3953</v>
      </c>
    </row>
    <row r="2417" spans="2:4">
      <c r="B2417" t="s">
        <v>87</v>
      </c>
    </row>
    <row r="2418" spans="2:4">
      <c r="C2418" t="s">
        <v>3642</v>
      </c>
    </row>
    <row r="2419" spans="2:4">
      <c r="C2419" t="s">
        <v>3954</v>
      </c>
    </row>
    <row r="2420" spans="2:4">
      <c r="C2420" t="s">
        <v>3955</v>
      </c>
    </row>
    <row r="2421" spans="2:4">
      <c r="D2421" t="s">
        <v>3956</v>
      </c>
    </row>
    <row r="2422" spans="2:4">
      <c r="C2422" t="s">
        <v>3957</v>
      </c>
    </row>
    <row r="2424" spans="2:4">
      <c r="B2424" t="s">
        <v>145</v>
      </c>
    </row>
    <row r="2425" spans="2:4">
      <c r="C2425" t="s">
        <v>3958</v>
      </c>
    </row>
    <row r="2426" spans="2:4">
      <c r="C2426" t="s">
        <v>3959</v>
      </c>
    </row>
    <row r="2428" spans="2:4">
      <c r="B2428" s="121" t="s">
        <v>3961</v>
      </c>
    </row>
    <row r="2430" spans="2:4">
      <c r="B2430" s="2" t="s">
        <v>1259</v>
      </c>
    </row>
    <row r="2432" spans="2:4">
      <c r="B2432" t="s">
        <v>145</v>
      </c>
    </row>
    <row r="2433" spans="2:3">
      <c r="C2433" t="s">
        <v>3962</v>
      </c>
    </row>
    <row r="2434" spans="2:3">
      <c r="C2434" t="s">
        <v>3968</v>
      </c>
    </row>
    <row r="2435" spans="2:3">
      <c r="C2435" t="s">
        <v>3974</v>
      </c>
    </row>
    <row r="2436" spans="2:3">
      <c r="B2436" t="s">
        <v>3975</v>
      </c>
    </row>
    <row r="2438" spans="2:3">
      <c r="B2438" t="s">
        <v>16</v>
      </c>
    </row>
    <row r="2439" spans="2:3">
      <c r="C2439" t="s">
        <v>3969</v>
      </c>
    </row>
    <row r="2440" spans="2:3">
      <c r="B2440" t="s">
        <v>87</v>
      </c>
    </row>
    <row r="2441" spans="2:3">
      <c r="C2441" t="s">
        <v>3970</v>
      </c>
    </row>
    <row r="2443" spans="2:3">
      <c r="B2443" t="s">
        <v>3293</v>
      </c>
    </row>
    <row r="2444" spans="2:3">
      <c r="B2444" t="s">
        <v>3963</v>
      </c>
    </row>
    <row r="2445" spans="2:3">
      <c r="B2445" t="s">
        <v>3964</v>
      </c>
    </row>
    <row r="2446" spans="2:3">
      <c r="C2446" t="s">
        <v>3965</v>
      </c>
    </row>
    <row r="2448" spans="2:3">
      <c r="B2448" t="s">
        <v>3966</v>
      </c>
    </row>
    <row r="2449" spans="2:3">
      <c r="C2449" t="s">
        <v>1969</v>
      </c>
    </row>
    <row r="2450" spans="2:3">
      <c r="C2450" t="s">
        <v>3967</v>
      </c>
    </row>
    <row r="2452" spans="2:3">
      <c r="B2452" t="s">
        <v>3971</v>
      </c>
    </row>
    <row r="2453" spans="2:3">
      <c r="C2453" t="s">
        <v>3972</v>
      </c>
    </row>
    <row r="2454" spans="2:3">
      <c r="C2454" t="s">
        <v>3973</v>
      </c>
    </row>
    <row r="2456" spans="2:3">
      <c r="B2456" t="s">
        <v>2384</v>
      </c>
    </row>
    <row r="2457" spans="2:3">
      <c r="C2457" t="s">
        <v>3976</v>
      </c>
    </row>
    <row r="2458" spans="2:3">
      <c r="C2458" t="s">
        <v>3977</v>
      </c>
    </row>
    <row r="2459" spans="2:3">
      <c r="C2459" t="s">
        <v>3978</v>
      </c>
    </row>
    <row r="2460" spans="2:3">
      <c r="C2460" t="s">
        <v>3979</v>
      </c>
    </row>
    <row r="2461" spans="2:3">
      <c r="C2461" t="s">
        <v>3980</v>
      </c>
    </row>
    <row r="2463" spans="2:3">
      <c r="B2463" t="s">
        <v>3981</v>
      </c>
    </row>
    <row r="2464" spans="2:3">
      <c r="B2464" t="s">
        <v>3982</v>
      </c>
    </row>
    <row r="2465" spans="2:9">
      <c r="C2465">
        <v>2018</v>
      </c>
    </row>
    <row r="2466" spans="2:9">
      <c r="C2466" t="s">
        <v>3983</v>
      </c>
    </row>
    <row r="2467" spans="2:9">
      <c r="C2467" t="s">
        <v>3984</v>
      </c>
    </row>
    <row r="2468" spans="2:9">
      <c r="D2468" t="s">
        <v>3985</v>
      </c>
      <c r="H2468" s="122">
        <f>Content!K37</f>
        <v>1120.2116402116403</v>
      </c>
    </row>
    <row r="2469" spans="2:9">
      <c r="H2469" s="4">
        <f>H2468*1.125</f>
        <v>1260.2380952380954</v>
      </c>
      <c r="I2469" s="4">
        <f>H2469-H2468</f>
        <v>140.0264550264551</v>
      </c>
    </row>
    <row r="2470" spans="2:9">
      <c r="D2470" t="s">
        <v>3986</v>
      </c>
    </row>
    <row r="2471" spans="2:9">
      <c r="D2471" t="s">
        <v>3987</v>
      </c>
    </row>
    <row r="2472" spans="2:9">
      <c r="B2472" t="s">
        <v>201</v>
      </c>
    </row>
    <row r="2473" spans="2:9">
      <c r="B2473" t="s">
        <v>1273</v>
      </c>
      <c r="C2473">
        <v>500</v>
      </c>
    </row>
    <row r="2474" spans="2:9">
      <c r="B2474" t="s">
        <v>1274</v>
      </c>
      <c r="C2474">
        <v>250</v>
      </c>
    </row>
    <row r="2476" spans="2:9">
      <c r="B2476" t="s">
        <v>3988</v>
      </c>
    </row>
    <row r="2477" spans="2:9">
      <c r="C2477" t="s">
        <v>3989</v>
      </c>
    </row>
    <row r="2479" spans="2:9">
      <c r="B2479" s="2" t="s">
        <v>1259</v>
      </c>
    </row>
    <row r="2480" spans="2:9">
      <c r="B2480" t="s">
        <v>3990</v>
      </c>
    </row>
    <row r="2481" spans="2:3">
      <c r="B2481" t="s">
        <v>3991</v>
      </c>
    </row>
    <row r="2482" spans="2:3">
      <c r="C2482" t="s">
        <v>3992</v>
      </c>
    </row>
    <row r="2484" spans="2:3">
      <c r="B2484" t="s">
        <v>16</v>
      </c>
    </row>
    <row r="2485" spans="2:3">
      <c r="B2485" t="s">
        <v>3993</v>
      </c>
    </row>
    <row r="2486" spans="2:3">
      <c r="C2486" t="s">
        <v>3994</v>
      </c>
    </row>
    <row r="2487" spans="2:3">
      <c r="B2487" t="s">
        <v>3995</v>
      </c>
    </row>
    <row r="2489" spans="2:3">
      <c r="B2489" t="s">
        <v>3996</v>
      </c>
    </row>
    <row r="2491" spans="2:3">
      <c r="B2491" t="s">
        <v>3997</v>
      </c>
    </row>
    <row r="2492" spans="2:3">
      <c r="C2492" t="s">
        <v>3998</v>
      </c>
    </row>
    <row r="2494" spans="2:3">
      <c r="B2494" t="s">
        <v>3999</v>
      </c>
    </row>
    <row r="2497" spans="2:5">
      <c r="B2497" t="s">
        <v>4000</v>
      </c>
    </row>
    <row r="2498" spans="2:5">
      <c r="C2498" t="s">
        <v>4001</v>
      </c>
    </row>
    <row r="2499" spans="2:5">
      <c r="C2499" t="s">
        <v>4002</v>
      </c>
    </row>
    <row r="2500" spans="2:5">
      <c r="D2500" t="s">
        <v>4003</v>
      </c>
    </row>
    <row r="2501" spans="2:5">
      <c r="D2501" t="s">
        <v>4004</v>
      </c>
    </row>
    <row r="2502" spans="2:5">
      <c r="E2502" t="s">
        <v>4005</v>
      </c>
    </row>
    <row r="2503" spans="2:5">
      <c r="C2503" t="s">
        <v>4006</v>
      </c>
    </row>
    <row r="2504" spans="2:5">
      <c r="C2504" t="s">
        <v>4007</v>
      </c>
    </row>
    <row r="2506" spans="2:5">
      <c r="B2506" t="s">
        <v>4008</v>
      </c>
    </row>
    <row r="2507" spans="2:5">
      <c r="C2507" t="s">
        <v>4010</v>
      </c>
    </row>
    <row r="2508" spans="2:5">
      <c r="C2508" t="s">
        <v>4011</v>
      </c>
    </row>
    <row r="2510" spans="2:5">
      <c r="B2510" t="s">
        <v>4009</v>
      </c>
    </row>
    <row r="2511" spans="2:5">
      <c r="C2511" t="s">
        <v>4012</v>
      </c>
    </row>
    <row r="2513" spans="2:4">
      <c r="B2513" t="s">
        <v>3975</v>
      </c>
    </row>
    <row r="2514" spans="2:4">
      <c r="C2514" t="s">
        <v>4013</v>
      </c>
    </row>
    <row r="2515" spans="2:4">
      <c r="D2515" t="s">
        <v>4014</v>
      </c>
    </row>
    <row r="2516" spans="2:4">
      <c r="C2516" t="s">
        <v>4015</v>
      </c>
    </row>
    <row r="2517" spans="2:4">
      <c r="C2517" t="s">
        <v>4016</v>
      </c>
    </row>
    <row r="2518" spans="2:4">
      <c r="C2518" t="s">
        <v>4017</v>
      </c>
    </row>
    <row r="2519" spans="2:4">
      <c r="C2519" s="2" t="s">
        <v>4018</v>
      </c>
    </row>
    <row r="2520" spans="2:4">
      <c r="C2520" t="s">
        <v>4019</v>
      </c>
    </row>
    <row r="2521" spans="2:4">
      <c r="B2521" t="s">
        <v>3966</v>
      </c>
    </row>
    <row r="2522" spans="2:4">
      <c r="C2522" t="s">
        <v>4020</v>
      </c>
    </row>
    <row r="2523" spans="2:4">
      <c r="C2523" t="s">
        <v>4021</v>
      </c>
    </row>
    <row r="2524" spans="2:4">
      <c r="D2524" t="s">
        <v>4022</v>
      </c>
    </row>
    <row r="2525" spans="2:4">
      <c r="C2525" t="s">
        <v>4023</v>
      </c>
    </row>
    <row r="2526" spans="2:4">
      <c r="C2526" t="s">
        <v>4024</v>
      </c>
    </row>
    <row r="2528" spans="2:4">
      <c r="B2528" t="s">
        <v>4025</v>
      </c>
    </row>
    <row r="2529" spans="2:4">
      <c r="C2529" t="s">
        <v>4026</v>
      </c>
    </row>
    <row r="2530" spans="2:4">
      <c r="C2530" t="s">
        <v>4027</v>
      </c>
    </row>
    <row r="2531" spans="2:4">
      <c r="D2531" t="s">
        <v>4028</v>
      </c>
    </row>
    <row r="2532" spans="2:4">
      <c r="C2532" t="s">
        <v>4032</v>
      </c>
    </row>
    <row r="2533" spans="2:4">
      <c r="D2533" t="s">
        <v>4029</v>
      </c>
    </row>
    <row r="2534" spans="2:4">
      <c r="B2534" t="s">
        <v>4030</v>
      </c>
    </row>
    <row r="2535" spans="2:4">
      <c r="C2535" t="s">
        <v>4031</v>
      </c>
    </row>
    <row r="2537" spans="2:4">
      <c r="B2537" t="s">
        <v>3966</v>
      </c>
    </row>
    <row r="2538" spans="2:4">
      <c r="C2538" t="s">
        <v>4033</v>
      </c>
    </row>
    <row r="2539" spans="2:4">
      <c r="C2539" t="s">
        <v>4034</v>
      </c>
    </row>
    <row r="2541" spans="2:4">
      <c r="B2541" t="s">
        <v>4075</v>
      </c>
    </row>
    <row r="2543" spans="2:4">
      <c r="B2543" s="121" t="s">
        <v>145</v>
      </c>
    </row>
    <row r="2544" spans="2:4">
      <c r="B2544" t="s">
        <v>3324</v>
      </c>
      <c r="C2544" t="s">
        <v>4036</v>
      </c>
    </row>
    <row r="2545" spans="2:4">
      <c r="D2545" s="8">
        <v>0.03</v>
      </c>
    </row>
    <row r="2546" spans="2:4">
      <c r="C2546" t="s">
        <v>4037</v>
      </c>
    </row>
    <row r="2547" spans="2:4">
      <c r="B2547" t="s">
        <v>4038</v>
      </c>
      <c r="C2547" s="9">
        <v>9.4E-2</v>
      </c>
      <c r="D2547" t="s">
        <v>4039</v>
      </c>
    </row>
    <row r="2548" spans="2:4">
      <c r="C2548" t="s">
        <v>4040</v>
      </c>
    </row>
    <row r="2549" spans="2:4">
      <c r="C2549" t="s">
        <v>4042</v>
      </c>
    </row>
    <row r="2550" spans="2:4">
      <c r="C2550" t="s">
        <v>4041</v>
      </c>
    </row>
    <row r="2551" spans="2:4">
      <c r="B2551" t="s">
        <v>4043</v>
      </c>
      <c r="C2551" t="s">
        <v>4044</v>
      </c>
    </row>
    <row r="2552" spans="2:4">
      <c r="C2552" t="s">
        <v>4045</v>
      </c>
    </row>
    <row r="2553" spans="2:4">
      <c r="C2553" t="s">
        <v>4046</v>
      </c>
    </row>
    <row r="2554" spans="2:4">
      <c r="B2554" t="s">
        <v>4047</v>
      </c>
      <c r="C2554" t="s">
        <v>4048</v>
      </c>
    </row>
    <row r="2555" spans="2:4">
      <c r="C2555" t="s">
        <v>4049</v>
      </c>
    </row>
    <row r="2556" spans="2:4">
      <c r="C2556">
        <v>18.8</v>
      </c>
    </row>
    <row r="2557" spans="2:4">
      <c r="C2557" t="s">
        <v>4050</v>
      </c>
    </row>
    <row r="2559" spans="2:4">
      <c r="B2559" t="s">
        <v>2269</v>
      </c>
      <c r="C2559" t="s">
        <v>4051</v>
      </c>
    </row>
    <row r="2560" spans="2:4">
      <c r="C2560" t="s">
        <v>4052</v>
      </c>
    </row>
    <row r="2561" spans="2:2">
      <c r="B2561" t="s">
        <v>4053</v>
      </c>
    </row>
    <row r="2563" spans="2:2">
      <c r="B2563" s="121" t="s">
        <v>87</v>
      </c>
    </row>
    <row r="2564" spans="2:2">
      <c r="B2564" t="s">
        <v>4054</v>
      </c>
    </row>
    <row r="2565" spans="2:2">
      <c r="B2565" t="s">
        <v>4055</v>
      </c>
    </row>
    <row r="2566" spans="2:2">
      <c r="B2566" t="s">
        <v>4056</v>
      </c>
    </row>
    <row r="2568" spans="2:2">
      <c r="B2568" t="s">
        <v>4057</v>
      </c>
    </row>
    <row r="2569" spans="2:2">
      <c r="B2569" t="s">
        <v>4058</v>
      </c>
    </row>
    <row r="2570" spans="2:2">
      <c r="B2570" t="s">
        <v>4059</v>
      </c>
    </row>
    <row r="2571" spans="2:2">
      <c r="B2571" t="s">
        <v>4060</v>
      </c>
    </row>
    <row r="2573" spans="2:2">
      <c r="B2573" s="42" t="s">
        <v>16</v>
      </c>
    </row>
    <row r="2574" spans="2:2">
      <c r="B2574" t="s">
        <v>4061</v>
      </c>
    </row>
    <row r="2575" spans="2:2">
      <c r="B2575" t="s">
        <v>4062</v>
      </c>
    </row>
    <row r="2576" spans="2:2">
      <c r="B2576" t="s">
        <v>4063</v>
      </c>
    </row>
    <row r="2577" spans="2:3">
      <c r="B2577" t="s">
        <v>4064</v>
      </c>
    </row>
    <row r="2579" spans="2:3">
      <c r="B2579" t="s">
        <v>4065</v>
      </c>
    </row>
    <row r="2580" spans="2:3">
      <c r="B2580" t="s">
        <v>4066</v>
      </c>
    </row>
    <row r="2582" spans="2:3">
      <c r="B2582" t="s">
        <v>44</v>
      </c>
      <c r="C2582" t="s">
        <v>4067</v>
      </c>
    </row>
    <row r="2583" spans="2:3">
      <c r="B2583" t="s">
        <v>4068</v>
      </c>
    </row>
    <row r="2584" spans="2:3">
      <c r="B2584" t="s">
        <v>4069</v>
      </c>
    </row>
    <row r="2586" spans="2:3">
      <c r="B2586" t="s">
        <v>4070</v>
      </c>
    </row>
    <row r="2588" spans="2:3">
      <c r="B2588" s="42" t="s">
        <v>192</v>
      </c>
    </row>
    <row r="2589" spans="2:3">
      <c r="B2589" t="s">
        <v>4071</v>
      </c>
    </row>
    <row r="2590" spans="2:3">
      <c r="B2590" t="s">
        <v>4072</v>
      </c>
    </row>
    <row r="2591" spans="2:3">
      <c r="B2591" t="s">
        <v>4073</v>
      </c>
    </row>
    <row r="2592" spans="2:3">
      <c r="B2592" t="s">
        <v>4074</v>
      </c>
    </row>
    <row r="2594" spans="2:3">
      <c r="B2594" s="121" t="s">
        <v>4105</v>
      </c>
    </row>
    <row r="2596" spans="2:3">
      <c r="B2596" t="s">
        <v>4108</v>
      </c>
    </row>
    <row r="2597" spans="2:3">
      <c r="C2597" t="s">
        <v>4193</v>
      </c>
    </row>
    <row r="2598" spans="2:3">
      <c r="C2598" t="s">
        <v>4194</v>
      </c>
    </row>
    <row r="2599" spans="2:3">
      <c r="C2599" t="s">
        <v>4195</v>
      </c>
    </row>
    <row r="2601" spans="2:3">
      <c r="B2601" t="s">
        <v>4109</v>
      </c>
    </row>
    <row r="2603" spans="2:3">
      <c r="B2603" t="s">
        <v>4106</v>
      </c>
    </row>
    <row r="2604" spans="2:3">
      <c r="C2604" t="s">
        <v>4107</v>
      </c>
    </row>
    <row r="2606" spans="2:3">
      <c r="B2606" t="s">
        <v>4110</v>
      </c>
    </row>
    <row r="2607" spans="2:3">
      <c r="C2607" t="s">
        <v>4111</v>
      </c>
    </row>
    <row r="2609" spans="2:4">
      <c r="B2609" t="s">
        <v>4112</v>
      </c>
    </row>
    <row r="2610" spans="2:4">
      <c r="C2610" t="s">
        <v>4126</v>
      </c>
    </row>
    <row r="2611" spans="2:4">
      <c r="D2611" t="s">
        <v>4127</v>
      </c>
    </row>
    <row r="2612" spans="2:4">
      <c r="C2612" t="s">
        <v>4125</v>
      </c>
    </row>
    <row r="2614" spans="2:4">
      <c r="B2614" s="2" t="s">
        <v>16</v>
      </c>
    </row>
    <row r="2615" spans="2:4">
      <c r="B2615" t="s">
        <v>4113</v>
      </c>
    </row>
    <row r="2616" spans="2:4">
      <c r="B2616" t="s">
        <v>4114</v>
      </c>
    </row>
    <row r="2617" spans="2:4">
      <c r="B2617" t="s">
        <v>4115</v>
      </c>
    </row>
    <row r="2618" spans="2:4">
      <c r="B2618" t="s">
        <v>4116</v>
      </c>
    </row>
    <row r="2620" spans="2:4">
      <c r="B2620" s="2" t="s">
        <v>87</v>
      </c>
    </row>
    <row r="2621" spans="2:4">
      <c r="B2621" t="s">
        <v>4117</v>
      </c>
    </row>
    <row r="2622" spans="2:4">
      <c r="C2622" t="s">
        <v>4118</v>
      </c>
    </row>
    <row r="2623" spans="2:4">
      <c r="C2623" t="s">
        <v>4119</v>
      </c>
    </row>
    <row r="2624" spans="2:4">
      <c r="B2624" t="s">
        <v>4120</v>
      </c>
    </row>
    <row r="2625" spans="2:5">
      <c r="B2625" t="s">
        <v>4121</v>
      </c>
    </row>
    <row r="2626" spans="2:5">
      <c r="C2626" t="s">
        <v>4122</v>
      </c>
    </row>
    <row r="2627" spans="2:5">
      <c r="C2627" t="s">
        <v>4123</v>
      </c>
    </row>
    <row r="2628" spans="2:5">
      <c r="C2628" t="s">
        <v>4124</v>
      </c>
    </row>
    <row r="2630" spans="2:5">
      <c r="B2630" s="2" t="s">
        <v>145</v>
      </c>
    </row>
    <row r="2631" spans="2:5">
      <c r="B2631" t="s">
        <v>4128</v>
      </c>
    </row>
    <row r="2632" spans="2:5">
      <c r="C2632" t="s">
        <v>4129</v>
      </c>
    </row>
    <row r="2633" spans="2:5">
      <c r="C2633" t="s">
        <v>4130</v>
      </c>
    </row>
    <row r="2634" spans="2:5">
      <c r="C2634" t="s">
        <v>4131</v>
      </c>
    </row>
    <row r="2635" spans="2:5">
      <c r="D2635" t="s">
        <v>4133</v>
      </c>
      <c r="E2635" t="s">
        <v>4132</v>
      </c>
    </row>
    <row r="2636" spans="2:5">
      <c r="B2636" t="s">
        <v>4134</v>
      </c>
    </row>
    <row r="2637" spans="2:5">
      <c r="C2637" t="s">
        <v>4138</v>
      </c>
    </row>
    <row r="2639" spans="2:5">
      <c r="C2639" t="s">
        <v>4135</v>
      </c>
    </row>
    <row r="2640" spans="2:5">
      <c r="D2640" t="s">
        <v>4136</v>
      </c>
    </row>
    <row r="2641" spans="2:4">
      <c r="D2641" t="s">
        <v>4137</v>
      </c>
    </row>
    <row r="2642" spans="2:4">
      <c r="C2642" t="s">
        <v>4139</v>
      </c>
    </row>
    <row r="2643" spans="2:4">
      <c r="D2643" t="s">
        <v>4140</v>
      </c>
    </row>
    <row r="2644" spans="2:4">
      <c r="C2644" t="s">
        <v>4141</v>
      </c>
    </row>
    <row r="2646" spans="2:4">
      <c r="B2646" t="s">
        <v>4142</v>
      </c>
    </row>
    <row r="2647" spans="2:4">
      <c r="C2647" t="s">
        <v>4143</v>
      </c>
    </row>
    <row r="2648" spans="2:4">
      <c r="C2648" t="s">
        <v>4144</v>
      </c>
    </row>
    <row r="2649" spans="2:4">
      <c r="B2649" t="s">
        <v>4145</v>
      </c>
    </row>
    <row r="2650" spans="2:4">
      <c r="C2650" t="s">
        <v>4146</v>
      </c>
    </row>
    <row r="2651" spans="2:4">
      <c r="B2651" t="s">
        <v>4147</v>
      </c>
    </row>
    <row r="2653" spans="2:4">
      <c r="B2653" t="s">
        <v>4148</v>
      </c>
    </row>
    <row r="2654" spans="2:4">
      <c r="C2654" t="s">
        <v>4149</v>
      </c>
    </row>
    <row r="2655" spans="2:4">
      <c r="C2655" t="s">
        <v>4150</v>
      </c>
    </row>
    <row r="2657" spans="2:3">
      <c r="B2657" s="2" t="s">
        <v>1259</v>
      </c>
    </row>
    <row r="2659" spans="2:3">
      <c r="B2659" t="s">
        <v>4151</v>
      </c>
    </row>
    <row r="2660" spans="2:3">
      <c r="C2660" t="s">
        <v>4152</v>
      </c>
    </row>
    <row r="2661" spans="2:3">
      <c r="C2661" t="s">
        <v>4153</v>
      </c>
    </row>
    <row r="2663" spans="2:3">
      <c r="B2663" t="s">
        <v>4154</v>
      </c>
    </row>
    <row r="2665" spans="2:3">
      <c r="B2665" s="2" t="s">
        <v>16</v>
      </c>
    </row>
    <row r="2666" spans="2:3">
      <c r="B2666" t="s">
        <v>4155</v>
      </c>
    </row>
    <row r="2667" spans="2:3">
      <c r="B2667" t="s">
        <v>4156</v>
      </c>
    </row>
    <row r="2668" spans="2:3">
      <c r="B2668" t="s">
        <v>4157</v>
      </c>
    </row>
    <row r="2670" spans="2:3">
      <c r="B2670" s="2" t="s">
        <v>4158</v>
      </c>
    </row>
    <row r="2671" spans="2:3">
      <c r="B2671" t="s">
        <v>4159</v>
      </c>
    </row>
    <row r="2672" spans="2:3">
      <c r="B2672" t="s">
        <v>4160</v>
      </c>
    </row>
    <row r="2673" spans="2:3">
      <c r="C2673" t="s">
        <v>4161</v>
      </c>
    </row>
    <row r="2674" spans="2:3">
      <c r="B2674" t="s">
        <v>4162</v>
      </c>
    </row>
    <row r="2675" spans="2:3">
      <c r="C2675" t="s">
        <v>4161</v>
      </c>
    </row>
    <row r="2677" spans="2:3">
      <c r="B2677" s="2" t="s">
        <v>4163</v>
      </c>
    </row>
    <row r="2678" spans="2:3">
      <c r="B2678" t="s">
        <v>4164</v>
      </c>
    </row>
    <row r="2679" spans="2:3">
      <c r="B2679" t="s">
        <v>4165</v>
      </c>
    </row>
    <row r="2681" spans="2:3">
      <c r="B2681" s="2" t="s">
        <v>4166</v>
      </c>
    </row>
    <row r="2682" spans="2:3">
      <c r="B2682" t="s">
        <v>4168</v>
      </c>
    </row>
    <row r="2683" spans="2:3">
      <c r="C2683" t="s">
        <v>4167</v>
      </c>
    </row>
    <row r="2684" spans="2:3">
      <c r="B2684" t="s">
        <v>4169</v>
      </c>
    </row>
    <row r="2686" spans="2:3">
      <c r="B2686" t="s">
        <v>4170</v>
      </c>
    </row>
    <row r="2688" spans="2:3">
      <c r="B2688" t="s">
        <v>4171</v>
      </c>
    </row>
    <row r="2689" spans="2:3">
      <c r="C2689" t="s">
        <v>4172</v>
      </c>
    </row>
    <row r="2690" spans="2:3">
      <c r="C2690" t="s">
        <v>4173</v>
      </c>
    </row>
    <row r="2691" spans="2:3">
      <c r="C2691" t="s">
        <v>4174</v>
      </c>
    </row>
    <row r="2692" spans="2:3">
      <c r="C2692" t="s">
        <v>4175</v>
      </c>
    </row>
    <row r="2693" spans="2:3">
      <c r="C2693" t="s">
        <v>4176</v>
      </c>
    </row>
    <row r="2695" spans="2:3">
      <c r="B2695" s="2" t="s">
        <v>2922</v>
      </c>
    </row>
    <row r="2696" spans="2:3">
      <c r="C2696" t="s">
        <v>4178</v>
      </c>
    </row>
    <row r="2699" spans="2:3">
      <c r="B2699" s="2" t="s">
        <v>4177</v>
      </c>
    </row>
    <row r="2702" spans="2:3">
      <c r="B2702" t="s">
        <v>4179</v>
      </c>
    </row>
    <row r="2704" spans="2:3">
      <c r="B2704" s="2" t="s">
        <v>4180</v>
      </c>
    </row>
    <row r="2705" spans="2:4">
      <c r="C2705" t="s">
        <v>4181</v>
      </c>
    </row>
    <row r="2706" spans="2:4">
      <c r="C2706" t="s">
        <v>4182</v>
      </c>
    </row>
    <row r="2707" spans="2:4">
      <c r="C2707" t="s">
        <v>4183</v>
      </c>
    </row>
    <row r="2709" spans="2:4">
      <c r="C2709" t="s">
        <v>1273</v>
      </c>
      <c r="D2709">
        <v>550</v>
      </c>
    </row>
    <row r="2710" spans="2:4">
      <c r="C2710" t="s">
        <v>1274</v>
      </c>
      <c r="D2710">
        <v>250</v>
      </c>
    </row>
    <row r="2711" spans="2:4">
      <c r="C2711" t="s">
        <v>1275</v>
      </c>
      <c r="D2711" s="61">
        <v>150</v>
      </c>
    </row>
    <row r="2712" spans="2:4">
      <c r="D2712">
        <f>SUM(D2709:D2711)</f>
        <v>950</v>
      </c>
    </row>
    <row r="2713" spans="2:4">
      <c r="B2713" t="s">
        <v>4128</v>
      </c>
    </row>
    <row r="2714" spans="2:4">
      <c r="C2714" t="s">
        <v>4184</v>
      </c>
    </row>
    <row r="2715" spans="2:4">
      <c r="B2715" s="2" t="s">
        <v>4185</v>
      </c>
    </row>
    <row r="2716" spans="2:4">
      <c r="C2716" t="s">
        <v>4189</v>
      </c>
    </row>
    <row r="2717" spans="2:4">
      <c r="C2717" t="s">
        <v>4190</v>
      </c>
    </row>
    <row r="2718" spans="2:4">
      <c r="C2718" t="s">
        <v>4191</v>
      </c>
    </row>
    <row r="2719" spans="2:4">
      <c r="C2719" t="s">
        <v>4192</v>
      </c>
    </row>
    <row r="2721" spans="2:4">
      <c r="B2721" t="s">
        <v>4186</v>
      </c>
    </row>
    <row r="2722" spans="2:4">
      <c r="C2722" t="s">
        <v>4188</v>
      </c>
    </row>
    <row r="2723" spans="2:4">
      <c r="C2723" t="s">
        <v>4187</v>
      </c>
    </row>
    <row r="2725" spans="2:4">
      <c r="B2725" s="2" t="s">
        <v>3638</v>
      </c>
    </row>
    <row r="2726" spans="2:4">
      <c r="B2726" t="s">
        <v>4196</v>
      </c>
    </row>
    <row r="2728" spans="2:4">
      <c r="B2728" s="2" t="s">
        <v>4197</v>
      </c>
    </row>
    <row r="2729" spans="2:4">
      <c r="B2729" t="s">
        <v>4198</v>
      </c>
    </row>
    <row r="2730" spans="2:4">
      <c r="C2730" t="s">
        <v>4208</v>
      </c>
    </row>
    <row r="2732" spans="2:4">
      <c r="B2732" t="s">
        <v>4199</v>
      </c>
    </row>
    <row r="2733" spans="2:4">
      <c r="C2733" t="s">
        <v>4207</v>
      </c>
    </row>
    <row r="2735" spans="2:4">
      <c r="C2735" t="s">
        <v>4200</v>
      </c>
    </row>
    <row r="2736" spans="2:4">
      <c r="C2736" t="s">
        <v>4201</v>
      </c>
      <c r="D2736" t="s">
        <v>4202</v>
      </c>
    </row>
    <row r="2737" spans="2:4">
      <c r="C2737" t="s">
        <v>4203</v>
      </c>
      <c r="D2737" t="s">
        <v>1275</v>
      </c>
    </row>
    <row r="2739" spans="2:4">
      <c r="B2739" t="s">
        <v>4204</v>
      </c>
      <c r="C2739" t="s">
        <v>4205</v>
      </c>
    </row>
    <row r="2740" spans="2:4">
      <c r="B2740" t="s">
        <v>4206</v>
      </c>
    </row>
    <row r="2742" spans="2:4">
      <c r="B2742" t="s">
        <v>4209</v>
      </c>
    </row>
    <row r="2743" spans="2:4">
      <c r="B2743" t="s">
        <v>4210</v>
      </c>
    </row>
    <row r="2745" spans="2:4">
      <c r="B2745" t="s">
        <v>4211</v>
      </c>
    </row>
    <row r="2746" spans="2:4">
      <c r="C2746" t="s">
        <v>4212</v>
      </c>
    </row>
    <row r="2747" spans="2:4">
      <c r="C2747" t="s">
        <v>4213</v>
      </c>
    </row>
    <row r="2748" spans="2:4">
      <c r="D2748" t="s">
        <v>4214</v>
      </c>
    </row>
    <row r="2749" spans="2:4">
      <c r="B2749" t="s">
        <v>4215</v>
      </c>
    </row>
    <row r="2751" spans="2:4">
      <c r="B2751" t="s">
        <v>4216</v>
      </c>
    </row>
    <row r="2752" spans="2:4">
      <c r="B2752" t="s">
        <v>4217</v>
      </c>
    </row>
    <row r="2753" spans="2:3">
      <c r="B2753" t="s">
        <v>4227</v>
      </c>
    </row>
    <row r="2755" spans="2:3">
      <c r="B2755" s="2" t="s">
        <v>3806</v>
      </c>
    </row>
    <row r="2757" spans="2:3">
      <c r="B2757" t="s">
        <v>4242</v>
      </c>
    </row>
    <row r="2758" spans="2:3">
      <c r="B2758" t="s">
        <v>4243</v>
      </c>
    </row>
    <row r="2759" spans="2:3">
      <c r="B2759" t="s">
        <v>4244</v>
      </c>
    </row>
    <row r="2760" spans="2:3">
      <c r="B2760" t="s">
        <v>4245</v>
      </c>
    </row>
    <row r="2761" spans="2:3">
      <c r="B2761" t="s">
        <v>4247</v>
      </c>
    </row>
    <row r="2763" spans="2:3">
      <c r="B2763" s="2" t="s">
        <v>1736</v>
      </c>
    </row>
    <row r="2764" spans="2:3">
      <c r="B2764" s="121" t="s">
        <v>16</v>
      </c>
    </row>
    <row r="2765" spans="2:3">
      <c r="B2765" t="s">
        <v>4250</v>
      </c>
    </row>
    <row r="2766" spans="2:3">
      <c r="C2766" t="s">
        <v>4251</v>
      </c>
    </row>
    <row r="2767" spans="2:3">
      <c r="C2767" t="s">
        <v>4252</v>
      </c>
    </row>
    <row r="2768" spans="2:3">
      <c r="C2768" t="s">
        <v>4253</v>
      </c>
    </row>
    <row r="2769" spans="2:5">
      <c r="B2769" t="s">
        <v>4254</v>
      </c>
    </row>
    <row r="2770" spans="2:5">
      <c r="B2770" t="s">
        <v>4255</v>
      </c>
    </row>
    <row r="2771" spans="2:5">
      <c r="C2771" t="s">
        <v>4256</v>
      </c>
    </row>
    <row r="2772" spans="2:5">
      <c r="B2772" t="s">
        <v>4257</v>
      </c>
    </row>
    <row r="2773" spans="2:5">
      <c r="C2773" t="s">
        <v>4258</v>
      </c>
    </row>
    <row r="2774" spans="2:5">
      <c r="C2774" t="s">
        <v>4259</v>
      </c>
    </row>
    <row r="2775" spans="2:5">
      <c r="C2775" t="s">
        <v>4260</v>
      </c>
    </row>
    <row r="2776" spans="2:5">
      <c r="B2776" t="s">
        <v>4261</v>
      </c>
    </row>
    <row r="2777" spans="2:5">
      <c r="C2777" t="s">
        <v>4262</v>
      </c>
    </row>
    <row r="2778" spans="2:5">
      <c r="B2778" s="121" t="s">
        <v>87</v>
      </c>
    </row>
    <row r="2779" spans="2:5">
      <c r="B2779" t="s">
        <v>4263</v>
      </c>
    </row>
    <row r="2780" spans="2:5">
      <c r="B2780" t="s">
        <v>4264</v>
      </c>
    </row>
    <row r="2781" spans="2:5">
      <c r="B2781" t="s">
        <v>4265</v>
      </c>
    </row>
    <row r="2782" spans="2:5">
      <c r="B2782" s="5">
        <v>43252</v>
      </c>
    </row>
    <row r="2783" spans="2:5">
      <c r="C2783" t="s">
        <v>4267</v>
      </c>
      <c r="E2783" t="s">
        <v>4266</v>
      </c>
    </row>
    <row r="2784" spans="2:5">
      <c r="B2784" t="s">
        <v>4300</v>
      </c>
    </row>
    <row r="2785" spans="2:3">
      <c r="C2785" t="s">
        <v>4301</v>
      </c>
    </row>
    <row r="2786" spans="2:3">
      <c r="C2786" t="s">
        <v>4302</v>
      </c>
    </row>
    <row r="2787" spans="2:3">
      <c r="C2787" t="s">
        <v>4303</v>
      </c>
    </row>
    <row r="2788" spans="2:3">
      <c r="C2788" t="s">
        <v>4304</v>
      </c>
    </row>
    <row r="2789" spans="2:3">
      <c r="B2789" s="121" t="s">
        <v>145</v>
      </c>
    </row>
    <row r="2790" spans="2:3">
      <c r="B2790" t="s">
        <v>4299</v>
      </c>
    </row>
    <row r="2791" spans="2:3">
      <c r="B2791" t="s">
        <v>4268</v>
      </c>
    </row>
    <row r="2792" spans="2:3">
      <c r="C2792" t="s">
        <v>4269</v>
      </c>
    </row>
    <row r="2793" spans="2:3">
      <c r="B2793" t="s">
        <v>3749</v>
      </c>
    </row>
    <row r="2794" spans="2:3">
      <c r="C2794" t="s">
        <v>4270</v>
      </c>
    </row>
    <row r="2795" spans="2:3">
      <c r="B2795" t="s">
        <v>4271</v>
      </c>
    </row>
    <row r="2796" spans="2:3">
      <c r="C2796" t="s">
        <v>4272</v>
      </c>
    </row>
    <row r="2797" spans="2:3">
      <c r="C2797" t="s">
        <v>4273</v>
      </c>
    </row>
    <row r="2798" spans="2:3">
      <c r="B2798" t="s">
        <v>4274</v>
      </c>
    </row>
    <row r="2799" spans="2:3">
      <c r="B2799" t="s">
        <v>4275</v>
      </c>
    </row>
    <row r="2800" spans="2:3">
      <c r="B2800" s="121" t="s">
        <v>2903</v>
      </c>
    </row>
    <row r="2801" spans="2:4">
      <c r="B2801" t="s">
        <v>4277</v>
      </c>
    </row>
    <row r="2802" spans="2:4">
      <c r="B2802" t="s">
        <v>4276</v>
      </c>
    </row>
    <row r="2803" spans="2:4">
      <c r="B2803" t="s">
        <v>4278</v>
      </c>
    </row>
    <row r="2804" spans="2:4">
      <c r="C2804" t="s">
        <v>4279</v>
      </c>
    </row>
    <row r="2805" spans="2:4">
      <c r="B2805" t="s">
        <v>4280</v>
      </c>
    </row>
    <row r="2806" spans="2:4">
      <c r="C2806" t="s">
        <v>4281</v>
      </c>
      <c r="D2806" s="264" t="s">
        <v>4282</v>
      </c>
    </row>
    <row r="2807" spans="2:4">
      <c r="D2807" s="264" t="s">
        <v>4283</v>
      </c>
    </row>
    <row r="2808" spans="2:4">
      <c r="B2808" t="s">
        <v>4284</v>
      </c>
    </row>
    <row r="2810" spans="2:4">
      <c r="B2810" s="121" t="s">
        <v>1259</v>
      </c>
    </row>
    <row r="2811" spans="2:4">
      <c r="B2811" t="s">
        <v>4285</v>
      </c>
    </row>
    <row r="2812" spans="2:4">
      <c r="C2812" s="2" t="s">
        <v>4289</v>
      </c>
    </row>
    <row r="2813" spans="2:4">
      <c r="C2813" t="s">
        <v>4286</v>
      </c>
    </row>
    <row r="2814" spans="2:4">
      <c r="C2814" t="s">
        <v>4287</v>
      </c>
    </row>
    <row r="2815" spans="2:4">
      <c r="C2815" t="s">
        <v>4288</v>
      </c>
    </row>
    <row r="2816" spans="2:4">
      <c r="B2816" t="s">
        <v>4290</v>
      </c>
    </row>
    <row r="2817" spans="2:3">
      <c r="C2817" t="s">
        <v>4291</v>
      </c>
    </row>
    <row r="2818" spans="2:3">
      <c r="B2818" t="s">
        <v>4292</v>
      </c>
    </row>
    <row r="2820" spans="2:3">
      <c r="B2820" s="121" t="s">
        <v>4293</v>
      </c>
    </row>
    <row r="2821" spans="2:3">
      <c r="C2821" t="s">
        <v>4294</v>
      </c>
    </row>
    <row r="2822" spans="2:3">
      <c r="C2822" t="s">
        <v>4295</v>
      </c>
    </row>
    <row r="2823" spans="2:3">
      <c r="C2823" t="s">
        <v>4296</v>
      </c>
    </row>
    <row r="2824" spans="2:3">
      <c r="B2824" s="121" t="s">
        <v>3749</v>
      </c>
    </row>
    <row r="2825" spans="2:3">
      <c r="C2825" t="s">
        <v>4297</v>
      </c>
    </row>
    <row r="2826" spans="2:3">
      <c r="C2826" t="s">
        <v>4298</v>
      </c>
    </row>
    <row r="2827" spans="2:3">
      <c r="B2827" s="121" t="s">
        <v>4305</v>
      </c>
    </row>
    <row r="2828" spans="2:3">
      <c r="C2828" t="s">
        <v>4306</v>
      </c>
    </row>
    <row r="2829" spans="2:3">
      <c r="C2829" t="s">
        <v>4307</v>
      </c>
    </row>
    <row r="2830" spans="2:3">
      <c r="C2830" t="s">
        <v>4308</v>
      </c>
    </row>
    <row r="2831" spans="2:3">
      <c r="C2831" t="s">
        <v>4309</v>
      </c>
    </row>
    <row r="2832" spans="2:3">
      <c r="B2832" s="121" t="s">
        <v>145</v>
      </c>
    </row>
    <row r="2833" spans="2:3">
      <c r="B2833" t="s">
        <v>4310</v>
      </c>
    </row>
    <row r="2834" spans="2:3">
      <c r="B2834" t="s">
        <v>4311</v>
      </c>
    </row>
    <row r="2835" spans="2:3">
      <c r="C2835" t="s">
        <v>4312</v>
      </c>
    </row>
    <row r="2836" spans="2:3">
      <c r="C2836" t="s">
        <v>4313</v>
      </c>
    </row>
    <row r="2837" spans="2:3">
      <c r="C2837" t="s">
        <v>4314</v>
      </c>
    </row>
    <row r="2838" spans="2:3">
      <c r="B2838" t="s">
        <v>4315</v>
      </c>
    </row>
    <row r="2839" spans="2:3">
      <c r="C2839" t="s">
        <v>4316</v>
      </c>
    </row>
    <row r="2840" spans="2:3">
      <c r="C2840" t="s">
        <v>4317</v>
      </c>
    </row>
    <row r="2841" spans="2:3">
      <c r="B2841" t="s">
        <v>4318</v>
      </c>
    </row>
    <row r="2842" spans="2:3">
      <c r="B2842" t="s">
        <v>4319</v>
      </c>
    </row>
    <row r="2843" spans="2:3">
      <c r="B2843" t="s">
        <v>4320</v>
      </c>
    </row>
    <row r="2844" spans="2:3">
      <c r="B2844" s="121" t="s">
        <v>4321</v>
      </c>
    </row>
    <row r="2845" spans="2:3">
      <c r="C2845" t="s">
        <v>4322</v>
      </c>
    </row>
    <row r="2846" spans="2:3">
      <c r="B2846" s="121" t="s">
        <v>4323</v>
      </c>
    </row>
    <row r="2847" spans="2:3">
      <c r="C2847" t="s">
        <v>4324</v>
      </c>
    </row>
    <row r="2848" spans="2:3">
      <c r="C2848" t="s">
        <v>4325</v>
      </c>
    </row>
    <row r="2851" spans="2:4">
      <c r="B2851" s="564">
        <v>43374</v>
      </c>
    </row>
    <row r="2853" spans="2:4">
      <c r="B2853" t="s">
        <v>4340</v>
      </c>
    </row>
    <row r="2854" spans="2:4">
      <c r="C2854" t="s">
        <v>4343</v>
      </c>
    </row>
    <row r="2855" spans="2:4">
      <c r="C2855" t="s">
        <v>4341</v>
      </c>
    </row>
    <row r="2856" spans="2:4">
      <c r="C2856" t="s">
        <v>4342</v>
      </c>
    </row>
    <row r="2857" spans="2:4">
      <c r="C2857" t="s">
        <v>4344</v>
      </c>
    </row>
    <row r="2858" spans="2:4">
      <c r="B2858" t="s">
        <v>84</v>
      </c>
    </row>
    <row r="2859" spans="2:4">
      <c r="B2859" t="s">
        <v>4393</v>
      </c>
    </row>
    <row r="2860" spans="2:4">
      <c r="C2860" t="s">
        <v>4394</v>
      </c>
    </row>
    <row r="2861" spans="2:4">
      <c r="D2861" t="s">
        <v>4395</v>
      </c>
    </row>
    <row r="2862" spans="2:4">
      <c r="D2862" t="s">
        <v>4396</v>
      </c>
    </row>
    <row r="2863" spans="2:4">
      <c r="D2863" t="s">
        <v>4397</v>
      </c>
    </row>
    <row r="2864" spans="2:4">
      <c r="D2864" t="s">
        <v>4398</v>
      </c>
    </row>
    <row r="2865" spans="2:5">
      <c r="B2865" t="s">
        <v>4345</v>
      </c>
    </row>
    <row r="2866" spans="2:5">
      <c r="C2866" t="s">
        <v>4346</v>
      </c>
    </row>
    <row r="2867" spans="2:5">
      <c r="C2867" t="s">
        <v>4347</v>
      </c>
      <c r="D2867" t="s">
        <v>4348</v>
      </c>
    </row>
    <row r="2868" spans="2:5">
      <c r="D2868" t="s">
        <v>4349</v>
      </c>
    </row>
    <row r="2869" spans="2:5">
      <c r="D2869" t="s">
        <v>4350</v>
      </c>
    </row>
    <row r="2870" spans="2:5">
      <c r="D2870" t="s">
        <v>4351</v>
      </c>
    </row>
    <row r="2871" spans="2:5">
      <c r="D2871" t="s">
        <v>4352</v>
      </c>
    </row>
    <row r="2872" spans="2:5">
      <c r="D2872" t="s">
        <v>4353</v>
      </c>
    </row>
    <row r="2873" spans="2:5">
      <c r="E2873" t="s">
        <v>4354</v>
      </c>
    </row>
    <row r="2874" spans="2:5">
      <c r="D2874" s="4">
        <f>0.05*Master!P43</f>
        <v>1035.95</v>
      </c>
    </row>
    <row r="2875" spans="2:5">
      <c r="D2875" s="8">
        <f>D2874/Master!Q73</f>
        <v>2.8325927951329551E-2</v>
      </c>
    </row>
    <row r="2876" spans="2:5">
      <c r="B2876" t="s">
        <v>4355</v>
      </c>
    </row>
    <row r="2877" spans="2:5">
      <c r="C2877" t="s">
        <v>4357</v>
      </c>
    </row>
    <row r="2878" spans="2:5">
      <c r="C2878" t="s">
        <v>4356</v>
      </c>
    </row>
    <row r="2879" spans="2:5">
      <c r="C2879" t="s">
        <v>4358</v>
      </c>
    </row>
    <row r="2880" spans="2:5">
      <c r="C2880" t="s">
        <v>4359</v>
      </c>
    </row>
    <row r="2881" spans="2:5">
      <c r="D2881" s="401" t="s">
        <v>4360</v>
      </c>
    </row>
    <row r="2882" spans="2:5">
      <c r="D2882" t="s">
        <v>4361</v>
      </c>
    </row>
    <row r="2883" spans="2:5">
      <c r="C2883" s="136">
        <v>2019</v>
      </c>
    </row>
    <row r="2884" spans="2:5">
      <c r="D2884" t="s">
        <v>4362</v>
      </c>
    </row>
    <row r="2885" spans="2:5">
      <c r="D2885" t="s">
        <v>4363</v>
      </c>
    </row>
    <row r="2886" spans="2:5">
      <c r="D2886" t="s">
        <v>4364</v>
      </c>
    </row>
    <row r="2887" spans="2:5">
      <c r="B2887" t="s">
        <v>4365</v>
      </c>
    </row>
    <row r="2888" spans="2:5">
      <c r="C2888" t="s">
        <v>4366</v>
      </c>
    </row>
    <row r="2889" spans="2:5">
      <c r="B2889" t="s">
        <v>2149</v>
      </c>
    </row>
    <row r="2890" spans="2:5">
      <c r="D2890" t="s">
        <v>4367</v>
      </c>
    </row>
    <row r="2891" spans="2:5">
      <c r="D2891" t="s">
        <v>4368</v>
      </c>
    </row>
    <row r="2892" spans="2:5">
      <c r="D2892" t="s">
        <v>4369</v>
      </c>
    </row>
    <row r="2893" spans="2:5">
      <c r="E2893" t="s">
        <v>4372</v>
      </c>
    </row>
    <row r="2894" spans="2:5">
      <c r="E2894" t="s">
        <v>4371</v>
      </c>
    </row>
    <row r="2895" spans="2:5">
      <c r="E2895" t="s">
        <v>4370</v>
      </c>
    </row>
    <row r="2896" spans="2:5">
      <c r="E2896" t="s">
        <v>4373</v>
      </c>
    </row>
    <row r="2897" spans="2:5">
      <c r="B2897" t="s">
        <v>4377</v>
      </c>
    </row>
    <row r="2898" spans="2:5">
      <c r="C2898" t="s">
        <v>3324</v>
      </c>
    </row>
    <row r="2899" spans="2:5">
      <c r="D2899" t="s">
        <v>4374</v>
      </c>
    </row>
    <row r="2900" spans="2:5">
      <c r="D2900" t="s">
        <v>4375</v>
      </c>
    </row>
    <row r="2901" spans="2:5">
      <c r="C2901" t="s">
        <v>4376</v>
      </c>
    </row>
    <row r="2903" spans="2:5">
      <c r="C2903" t="s">
        <v>3642</v>
      </c>
    </row>
    <row r="2905" spans="2:5">
      <c r="B2905" t="s">
        <v>87</v>
      </c>
    </row>
    <row r="2906" spans="2:5">
      <c r="C2906" t="s">
        <v>4378</v>
      </c>
    </row>
    <row r="2907" spans="2:5">
      <c r="C2907" t="s">
        <v>4379</v>
      </c>
    </row>
    <row r="2908" spans="2:5">
      <c r="C2908" t="s">
        <v>4380</v>
      </c>
    </row>
    <row r="2909" spans="2:5">
      <c r="D2909" t="s">
        <v>4381</v>
      </c>
    </row>
    <row r="2910" spans="2:5">
      <c r="D2910" t="s">
        <v>4382</v>
      </c>
    </row>
    <row r="2911" spans="2:5">
      <c r="E2911" t="s">
        <v>4383</v>
      </c>
    </row>
    <row r="2912" spans="2:5">
      <c r="E2912" t="s">
        <v>4384</v>
      </c>
    </row>
    <row r="2913" spans="2:4">
      <c r="D2913" t="s">
        <v>4385</v>
      </c>
    </row>
    <row r="2914" spans="2:4">
      <c r="B2914" t="s">
        <v>16</v>
      </c>
    </row>
    <row r="2915" spans="2:4">
      <c r="C2915" t="s">
        <v>4386</v>
      </c>
    </row>
    <row r="2916" spans="2:4">
      <c r="C2916" t="s">
        <v>4387</v>
      </c>
    </row>
    <row r="2917" spans="2:4">
      <c r="D2917" t="s">
        <v>4388</v>
      </c>
    </row>
    <row r="2918" spans="2:4">
      <c r="C2918" t="s">
        <v>4389</v>
      </c>
    </row>
    <row r="2919" spans="2:4">
      <c r="C2919" t="s">
        <v>4390</v>
      </c>
    </row>
    <row r="2920" spans="2:4">
      <c r="B2920" t="s">
        <v>4391</v>
      </c>
    </row>
    <row r="2921" spans="2:4">
      <c r="C2921" t="s">
        <v>4392</v>
      </c>
    </row>
    <row r="2923" spans="2:4">
      <c r="B2923" s="564" t="s">
        <v>4399</v>
      </c>
    </row>
    <row r="2925" spans="2:4">
      <c r="B2925" s="2" t="s">
        <v>4305</v>
      </c>
    </row>
    <row r="2926" spans="2:4">
      <c r="B2926" t="s">
        <v>4400</v>
      </c>
    </row>
    <row r="2927" spans="2:4">
      <c r="C2927" t="s">
        <v>4401</v>
      </c>
    </row>
    <row r="2928" spans="2:4">
      <c r="B2928" t="s">
        <v>4402</v>
      </c>
    </row>
    <row r="2929" spans="2:4">
      <c r="B2929" t="s">
        <v>4403</v>
      </c>
    </row>
    <row r="2930" spans="2:4">
      <c r="B2930" t="s">
        <v>4404</v>
      </c>
    </row>
    <row r="2931" spans="2:4">
      <c r="C2931" t="s">
        <v>4405</v>
      </c>
    </row>
    <row r="2932" spans="2:4">
      <c r="C2932" t="s">
        <v>4406</v>
      </c>
    </row>
    <row r="2934" spans="2:4">
      <c r="B2934" s="2" t="s">
        <v>3324</v>
      </c>
    </row>
    <row r="2935" spans="2:4">
      <c r="B2935" t="s">
        <v>4407</v>
      </c>
    </row>
    <row r="2936" spans="2:4">
      <c r="B2936" t="s">
        <v>4408</v>
      </c>
    </row>
    <row r="2937" spans="2:4">
      <c r="B2937" t="s">
        <v>4409</v>
      </c>
    </row>
    <row r="2938" spans="2:4">
      <c r="C2938" t="s">
        <v>4410</v>
      </c>
    </row>
    <row r="2939" spans="2:4">
      <c r="C2939" t="s">
        <v>4411</v>
      </c>
    </row>
    <row r="2940" spans="2:4">
      <c r="D2940" t="s">
        <v>4412</v>
      </c>
    </row>
    <row r="2941" spans="2:4">
      <c r="B2941" t="s">
        <v>4413</v>
      </c>
    </row>
    <row r="2942" spans="2:4">
      <c r="C2942" t="s">
        <v>4414</v>
      </c>
    </row>
    <row r="2943" spans="2:4">
      <c r="C2943" t="s">
        <v>4415</v>
      </c>
    </row>
    <row r="2944" spans="2:4">
      <c r="C2944" t="s">
        <v>4416</v>
      </c>
    </row>
    <row r="2945" spans="2:5">
      <c r="B2945" t="s">
        <v>4417</v>
      </c>
    </row>
    <row r="2947" spans="2:5">
      <c r="B2947" s="2" t="s">
        <v>4025</v>
      </c>
    </row>
    <row r="2948" spans="2:5">
      <c r="B2948" t="s">
        <v>4418</v>
      </c>
    </row>
    <row r="2949" spans="2:5">
      <c r="C2949" t="s">
        <v>4419</v>
      </c>
    </row>
    <row r="2950" spans="2:5">
      <c r="B2950" t="s">
        <v>4420</v>
      </c>
    </row>
    <row r="2951" spans="2:5">
      <c r="C2951" t="s">
        <v>4421</v>
      </c>
      <c r="D2951">
        <v>5</v>
      </c>
      <c r="E2951">
        <v>12</v>
      </c>
    </row>
    <row r="2952" spans="2:5">
      <c r="D2952">
        <v>10</v>
      </c>
      <c r="E2952">
        <v>20</v>
      </c>
    </row>
    <row r="2953" spans="2:5">
      <c r="B2953" t="s">
        <v>4422</v>
      </c>
    </row>
    <row r="2954" spans="2:5">
      <c r="C2954" t="s">
        <v>4423</v>
      </c>
    </row>
    <row r="2955" spans="2:5">
      <c r="B2955" t="s">
        <v>4424</v>
      </c>
    </row>
    <row r="2957" spans="2:5">
      <c r="B2957" s="2" t="s">
        <v>189</v>
      </c>
    </row>
    <row r="2958" spans="2:5">
      <c r="B2958" t="s">
        <v>4425</v>
      </c>
    </row>
    <row r="2960" spans="2:5">
      <c r="B2960" s="564" t="s">
        <v>4434</v>
      </c>
    </row>
    <row r="2962" spans="2:3">
      <c r="B2962" s="2" t="s">
        <v>3324</v>
      </c>
    </row>
    <row r="2963" spans="2:3">
      <c r="B2963" t="s">
        <v>4435</v>
      </c>
    </row>
    <row r="2964" spans="2:3">
      <c r="B2964" t="s">
        <v>4436</v>
      </c>
    </row>
    <row r="2965" spans="2:3">
      <c r="C2965" t="s">
        <v>4447</v>
      </c>
    </row>
    <row r="2966" spans="2:3">
      <c r="C2966" t="s">
        <v>4444</v>
      </c>
    </row>
    <row r="2967" spans="2:3">
      <c r="C2967" t="s">
        <v>4443</v>
      </c>
    </row>
    <row r="2968" spans="2:3">
      <c r="C2968" t="s">
        <v>4437</v>
      </c>
    </row>
    <row r="2969" spans="2:3">
      <c r="B2969" t="s">
        <v>4438</v>
      </c>
    </row>
    <row r="2970" spans="2:3">
      <c r="B2970" t="s">
        <v>4439</v>
      </c>
    </row>
    <row r="2971" spans="2:3">
      <c r="B2971" t="s">
        <v>4440</v>
      </c>
    </row>
    <row r="2972" spans="2:3">
      <c r="B2972" t="s">
        <v>4441</v>
      </c>
    </row>
    <row r="2973" spans="2:3">
      <c r="B2973" t="s">
        <v>4442</v>
      </c>
    </row>
    <row r="2975" spans="2:3">
      <c r="B2975" s="431">
        <v>2019</v>
      </c>
    </row>
    <row r="2976" spans="2:3">
      <c r="C2976" t="s">
        <v>4445</v>
      </c>
    </row>
    <row r="2977" spans="2:4">
      <c r="C2977" t="s">
        <v>4446</v>
      </c>
    </row>
    <row r="2978" spans="2:4">
      <c r="B2978" s="2" t="s">
        <v>3754</v>
      </c>
    </row>
    <row r="2979" spans="2:4">
      <c r="C2979" t="s">
        <v>4448</v>
      </c>
    </row>
    <row r="2980" spans="2:4">
      <c r="B2980" s="2" t="s">
        <v>4163</v>
      </c>
    </row>
    <row r="2981" spans="2:4">
      <c r="C2981" t="s">
        <v>4449</v>
      </c>
    </row>
    <row r="2982" spans="2:4">
      <c r="C2982" t="s">
        <v>4450</v>
      </c>
    </row>
    <row r="2983" spans="2:4">
      <c r="C2983" t="s">
        <v>4451</v>
      </c>
    </row>
    <row r="2984" spans="2:4">
      <c r="C2984" t="s">
        <v>4452</v>
      </c>
    </row>
    <row r="2985" spans="2:4">
      <c r="D2985" t="s">
        <v>4453</v>
      </c>
    </row>
    <row r="2986" spans="2:4">
      <c r="C2986" t="s">
        <v>4454</v>
      </c>
    </row>
    <row r="2987" spans="2:4">
      <c r="C2987" t="s">
        <v>4455</v>
      </c>
    </row>
    <row r="2988" spans="2:4">
      <c r="B2988" s="2" t="s">
        <v>590</v>
      </c>
    </row>
    <row r="2989" spans="2:4">
      <c r="C2989" t="s">
        <v>4456</v>
      </c>
    </row>
    <row r="2990" spans="2:4">
      <c r="D2990" t="s">
        <v>4457</v>
      </c>
    </row>
    <row r="2991" spans="2:4">
      <c r="C2991" t="s">
        <v>4458</v>
      </c>
    </row>
    <row r="2992" spans="2:4">
      <c r="C2992">
        <v>2017</v>
      </c>
    </row>
    <row r="2993" spans="2:6">
      <c r="D2993" t="s">
        <v>4459</v>
      </c>
    </row>
    <row r="2994" spans="2:6">
      <c r="C2994">
        <v>2018</v>
      </c>
    </row>
    <row r="2995" spans="2:6">
      <c r="D2995" t="s">
        <v>4460</v>
      </c>
    </row>
    <row r="2996" spans="2:6">
      <c r="D2996" t="s">
        <v>4461</v>
      </c>
    </row>
    <row r="2997" spans="2:6">
      <c r="C2997">
        <v>2017</v>
      </c>
      <c r="D2997" t="s">
        <v>4462</v>
      </c>
    </row>
    <row r="2998" spans="2:6">
      <c r="C2998">
        <v>2018</v>
      </c>
      <c r="D2998" t="s">
        <v>4463</v>
      </c>
    </row>
    <row r="2999" spans="2:6">
      <c r="D2999" t="s">
        <v>4464</v>
      </c>
    </row>
    <row r="3000" spans="2:6">
      <c r="C3000" t="s">
        <v>4465</v>
      </c>
    </row>
    <row r="3001" spans="2:6">
      <c r="B3001" s="2" t="s">
        <v>87</v>
      </c>
    </row>
    <row r="3002" spans="2:6">
      <c r="C3002" t="s">
        <v>4466</v>
      </c>
    </row>
    <row r="3003" spans="2:6">
      <c r="C3003" t="s">
        <v>4467</v>
      </c>
    </row>
    <row r="3004" spans="2:6">
      <c r="D3004" t="s">
        <v>4468</v>
      </c>
    </row>
    <row r="3005" spans="2:6">
      <c r="C3005" t="s">
        <v>4469</v>
      </c>
      <c r="D3005" t="s">
        <v>4470</v>
      </c>
    </row>
    <row r="3006" spans="2:6">
      <c r="C3006" t="s">
        <v>4471</v>
      </c>
      <c r="D3006" t="s">
        <v>4472</v>
      </c>
    </row>
    <row r="3007" spans="2:6">
      <c r="D3007" t="s">
        <v>4474</v>
      </c>
      <c r="F3007" t="s">
        <v>4475</v>
      </c>
    </row>
    <row r="3008" spans="2:6">
      <c r="C3008" t="s">
        <v>4473</v>
      </c>
    </row>
    <row r="3010" spans="2:4">
      <c r="C3010" s="136">
        <v>2019</v>
      </c>
    </row>
    <row r="3011" spans="2:4">
      <c r="D3011" t="s">
        <v>4476</v>
      </c>
    </row>
    <row r="3012" spans="2:4">
      <c r="C3012" t="s">
        <v>4477</v>
      </c>
    </row>
    <row r="3013" spans="2:4">
      <c r="C3013" t="s">
        <v>4478</v>
      </c>
    </row>
    <row r="3014" spans="2:4">
      <c r="B3014" t="s">
        <v>16</v>
      </c>
    </row>
    <row r="3016" spans="2:4">
      <c r="B3016" s="565" t="s">
        <v>4480</v>
      </c>
    </row>
    <row r="3017" spans="2:4">
      <c r="B3017" s="564" t="s">
        <v>4479</v>
      </c>
    </row>
    <row r="3019" spans="2:4">
      <c r="B3019" t="s">
        <v>3324</v>
      </c>
    </row>
    <row r="3020" spans="2:4">
      <c r="C3020" t="s">
        <v>4481</v>
      </c>
    </row>
    <row r="3021" spans="2:4">
      <c r="C3021" t="s">
        <v>4482</v>
      </c>
    </row>
    <row r="3022" spans="2:4">
      <c r="C3022" t="s">
        <v>4483</v>
      </c>
    </row>
    <row r="3023" spans="2:4">
      <c r="B3023" t="s">
        <v>4484</v>
      </c>
    </row>
    <row r="3024" spans="2:4">
      <c r="B3024" t="s">
        <v>4485</v>
      </c>
    </row>
    <row r="3025" spans="2:8">
      <c r="C3025" t="s">
        <v>4486</v>
      </c>
    </row>
    <row r="3026" spans="2:8">
      <c r="B3026" t="s">
        <v>4487</v>
      </c>
    </row>
    <row r="3027" spans="2:8">
      <c r="C3027" t="s">
        <v>4488</v>
      </c>
    </row>
    <row r="3028" spans="2:8">
      <c r="C3028" t="s">
        <v>4489</v>
      </c>
    </row>
    <row r="3029" spans="2:8">
      <c r="B3029" t="s">
        <v>4163</v>
      </c>
    </row>
    <row r="3030" spans="2:8">
      <c r="C3030" t="s">
        <v>4490</v>
      </c>
    </row>
    <row r="3031" spans="2:8">
      <c r="C3031" t="s">
        <v>4491</v>
      </c>
    </row>
    <row r="3032" spans="2:8">
      <c r="D3032" t="s">
        <v>4492</v>
      </c>
    </row>
    <row r="3033" spans="2:8">
      <c r="D3033" t="s">
        <v>4493</v>
      </c>
    </row>
    <row r="3034" spans="2:8">
      <c r="D3034" t="s">
        <v>4494</v>
      </c>
      <c r="G3034">
        <v>60</v>
      </c>
      <c r="H3034" s="4">
        <f>G3034*0.1645</f>
        <v>9.870000000000001</v>
      </c>
    </row>
    <row r="3035" spans="2:8">
      <c r="C3035" s="136">
        <v>2019</v>
      </c>
    </row>
    <row r="3036" spans="2:8">
      <c r="D3036" t="s">
        <v>4495</v>
      </c>
    </row>
    <row r="3037" spans="2:8">
      <c r="B3037" t="s">
        <v>4496</v>
      </c>
    </row>
    <row r="3038" spans="2:8">
      <c r="C3038" t="s">
        <v>4497</v>
      </c>
    </row>
    <row r="3039" spans="2:8">
      <c r="D3039" t="s">
        <v>4498</v>
      </c>
    </row>
    <row r="3040" spans="2:8">
      <c r="B3040" t="s">
        <v>731</v>
      </c>
      <c r="C3040" t="s">
        <v>4499</v>
      </c>
    </row>
    <row r="3041" spans="2:9">
      <c r="C3041" t="s">
        <v>4500</v>
      </c>
    </row>
    <row r="3042" spans="2:9">
      <c r="B3042" t="s">
        <v>666</v>
      </c>
      <c r="C3042" t="s">
        <v>4501</v>
      </c>
    </row>
    <row r="3043" spans="2:9">
      <c r="D3043" t="s">
        <v>4503</v>
      </c>
    </row>
    <row r="3044" spans="2:9">
      <c r="D3044" t="s">
        <v>4504</v>
      </c>
      <c r="G3044">
        <f>15/365</f>
        <v>4.1095890410958902E-2</v>
      </c>
      <c r="H3044">
        <f>G3044*1900</f>
        <v>78.082191780821915</v>
      </c>
      <c r="I3044">
        <f>Interims!AS14-H3044</f>
        <v>9439.6178082191782</v>
      </c>
    </row>
    <row r="3045" spans="2:9">
      <c r="C3045" t="s">
        <v>4502</v>
      </c>
      <c r="I3045" s="10">
        <f>I3044/Interims!AN14-1</f>
        <v>9.8536909334354883E-2</v>
      </c>
    </row>
    <row r="3046" spans="2:9">
      <c r="B3046" t="s">
        <v>87</v>
      </c>
    </row>
    <row r="3047" spans="2:9">
      <c r="C3047" t="s">
        <v>4505</v>
      </c>
    </row>
    <row r="3048" spans="2:9">
      <c r="B3048" t="s">
        <v>4506</v>
      </c>
    </row>
    <row r="3049" spans="2:9">
      <c r="C3049" t="s">
        <v>4507</v>
      </c>
    </row>
    <row r="3050" spans="2:9">
      <c r="C3050" t="s">
        <v>4508</v>
      </c>
    </row>
    <row r="3051" spans="2:9">
      <c r="C3051" t="s">
        <v>4509</v>
      </c>
    </row>
    <row r="3052" spans="2:9">
      <c r="C3052" t="s">
        <v>4510</v>
      </c>
    </row>
    <row r="3054" spans="2:9">
      <c r="C3054" t="s">
        <v>4511</v>
      </c>
    </row>
    <row r="3055" spans="2:9">
      <c r="B3055" t="s">
        <v>201</v>
      </c>
    </row>
    <row r="3056" spans="2:9">
      <c r="C3056" t="s">
        <v>4512</v>
      </c>
    </row>
    <row r="3057" spans="2:3">
      <c r="C3057" t="s">
        <v>4513</v>
      </c>
    </row>
    <row r="3058" spans="2:3">
      <c r="B3058" t="s">
        <v>4514</v>
      </c>
    </row>
    <row r="3059" spans="2:3">
      <c r="C3059" t="s">
        <v>4515</v>
      </c>
    </row>
    <row r="3060" spans="2:3">
      <c r="B3060" t="s">
        <v>4516</v>
      </c>
    </row>
    <row r="3061" spans="2:3">
      <c r="B3061" t="s">
        <v>4517</v>
      </c>
    </row>
    <row r="3063" spans="2:3">
      <c r="B3063" s="565" t="s">
        <v>3808</v>
      </c>
    </row>
    <row r="3065" spans="2:3">
      <c r="B3065" t="s">
        <v>4520</v>
      </c>
    </row>
    <row r="3066" spans="2:3">
      <c r="C3066" t="s">
        <v>4521</v>
      </c>
    </row>
    <row r="3067" spans="2:3">
      <c r="B3067" t="s">
        <v>4519</v>
      </c>
    </row>
    <row r="3069" spans="2:3">
      <c r="B3069" t="s">
        <v>4522</v>
      </c>
    </row>
    <row r="3071" spans="2:3">
      <c r="B3071" t="s">
        <v>16</v>
      </c>
    </row>
    <row r="3072" spans="2:3">
      <c r="C3072" t="s">
        <v>4523</v>
      </c>
    </row>
    <row r="3073" spans="2:6">
      <c r="B3073" t="s">
        <v>4163</v>
      </c>
    </row>
    <row r="3074" spans="2:6">
      <c r="C3074" t="s">
        <v>4524</v>
      </c>
    </row>
    <row r="3075" spans="2:6">
      <c r="C3075" t="s">
        <v>4525</v>
      </c>
    </row>
    <row r="3076" spans="2:6">
      <c r="C3076" t="s">
        <v>4526</v>
      </c>
    </row>
    <row r="3077" spans="2:6">
      <c r="C3077" t="s">
        <v>4527</v>
      </c>
    </row>
    <row r="3078" spans="2:6">
      <c r="D3078" t="s">
        <v>4528</v>
      </c>
    </row>
    <row r="3079" spans="2:6">
      <c r="D3079" t="s">
        <v>4529</v>
      </c>
    </row>
    <row r="3080" spans="2:6">
      <c r="B3080" t="s">
        <v>4530</v>
      </c>
    </row>
    <row r="3081" spans="2:6">
      <c r="C3081" t="s">
        <v>4531</v>
      </c>
    </row>
    <row r="3082" spans="2:6">
      <c r="C3082" t="s">
        <v>4532</v>
      </c>
    </row>
    <row r="3083" spans="2:6">
      <c r="B3083" t="s">
        <v>201</v>
      </c>
    </row>
    <row r="3084" spans="2:6">
      <c r="C3084" t="s">
        <v>4533</v>
      </c>
    </row>
    <row r="3085" spans="2:6">
      <c r="D3085" t="s">
        <v>4534</v>
      </c>
      <c r="F3085" t="s">
        <v>4536</v>
      </c>
    </row>
    <row r="3086" spans="2:6">
      <c r="D3086" t="s">
        <v>4535</v>
      </c>
      <c r="F3086" t="s">
        <v>4537</v>
      </c>
    </row>
    <row r="3087" spans="2:6">
      <c r="C3087" t="s">
        <v>4538</v>
      </c>
    </row>
    <row r="3088" spans="2:6">
      <c r="C3088" t="s">
        <v>4539</v>
      </c>
    </row>
    <row r="3089" spans="2:3">
      <c r="B3089" t="s">
        <v>4540</v>
      </c>
    </row>
    <row r="3090" spans="2:3">
      <c r="C3090" t="s">
        <v>4541</v>
      </c>
    </row>
    <row r="3092" spans="2:3">
      <c r="B3092" t="s">
        <v>4542</v>
      </c>
    </row>
    <row r="3093" spans="2:3">
      <c r="C3093" t="s">
        <v>4543</v>
      </c>
    </row>
    <row r="3094" spans="2:3">
      <c r="C3094" t="s">
        <v>4544</v>
      </c>
    </row>
    <row r="3096" spans="2:3">
      <c r="B3096" s="121" t="s">
        <v>3638</v>
      </c>
    </row>
    <row r="3098" spans="2:3">
      <c r="B3098" t="s">
        <v>4545</v>
      </c>
    </row>
    <row r="3099" spans="2:3">
      <c r="B3099" t="s">
        <v>4547</v>
      </c>
    </row>
    <row r="3100" spans="2:3">
      <c r="C3100" t="s">
        <v>4546</v>
      </c>
    </row>
    <row r="3102" spans="2:3">
      <c r="B3102" s="565" t="s">
        <v>4551</v>
      </c>
    </row>
    <row r="3104" spans="2:3">
      <c r="B3104" t="s">
        <v>3653</v>
      </c>
      <c r="C3104" t="s">
        <v>4552</v>
      </c>
    </row>
    <row r="3105" spans="2:7">
      <c r="D3105" t="s">
        <v>4553</v>
      </c>
    </row>
    <row r="3106" spans="2:7">
      <c r="C3106" t="s">
        <v>4554</v>
      </c>
    </row>
    <row r="3108" spans="2:7" ht="15.75">
      <c r="B3108" s="66" t="s">
        <v>4591</v>
      </c>
      <c r="C3108" s="388" t="s">
        <v>4128</v>
      </c>
      <c r="D3108" s="388" t="s">
        <v>4555</v>
      </c>
      <c r="E3108" s="388" t="s">
        <v>4556</v>
      </c>
      <c r="F3108" s="388" t="s">
        <v>3754</v>
      </c>
      <c r="G3108" s="388" t="s">
        <v>119</v>
      </c>
    </row>
    <row r="3109" spans="2:7" ht="15.75">
      <c r="B3109" s="66">
        <v>2018</v>
      </c>
      <c r="C3109" s="516">
        <v>0.3</v>
      </c>
      <c r="D3109" s="516">
        <v>0.2</v>
      </c>
      <c r="E3109" s="516">
        <v>0.35</v>
      </c>
      <c r="F3109" s="516">
        <f>G3109-C3109-D3109-E3109</f>
        <v>0.14999999999999997</v>
      </c>
      <c r="G3109" s="69">
        <v>1</v>
      </c>
    </row>
    <row r="3110" spans="2:7" ht="15.75">
      <c r="B3110" s="66">
        <v>2019</v>
      </c>
      <c r="C3110" s="69">
        <v>0.1</v>
      </c>
      <c r="D3110" s="69">
        <v>0.1</v>
      </c>
      <c r="E3110" s="69">
        <v>0.4</v>
      </c>
      <c r="F3110" s="516">
        <f>G3110-C3110-D3110-E3110</f>
        <v>0.4</v>
      </c>
      <c r="G3110" s="69">
        <v>1</v>
      </c>
    </row>
    <row r="3111" spans="2:7" ht="15.75">
      <c r="B3111" s="66"/>
      <c r="C3111" s="69"/>
      <c r="D3111" s="69"/>
      <c r="E3111" s="69"/>
      <c r="F3111" s="69"/>
      <c r="G3111" s="66"/>
    </row>
    <row r="3112" spans="2:7" ht="15.75">
      <c r="B3112" s="66" t="s">
        <v>4588</v>
      </c>
      <c r="C3112" s="66"/>
      <c r="D3112" s="66"/>
      <c r="E3112" s="66"/>
      <c r="F3112" s="66"/>
      <c r="G3112" s="66"/>
    </row>
    <row r="3113" spans="2:7" ht="15.75">
      <c r="B3113" s="66">
        <f>B3109</f>
        <v>2018</v>
      </c>
      <c r="C3113" s="112">
        <f t="shared" ref="C3113:F3114" si="0">$G3113*C3109</f>
        <v>3.4499999999999997</v>
      </c>
      <c r="D3113" s="112">
        <f t="shared" si="0"/>
        <v>2.3000000000000003</v>
      </c>
      <c r="E3113" s="112">
        <f t="shared" si="0"/>
        <v>4.0249999999999995</v>
      </c>
      <c r="F3113" s="112">
        <f t="shared" si="0"/>
        <v>1.7249999999999996</v>
      </c>
      <c r="G3113" s="112">
        <v>11.5</v>
      </c>
    </row>
    <row r="3114" spans="2:7" ht="15.75">
      <c r="B3114" s="66">
        <f>B3110</f>
        <v>2019</v>
      </c>
      <c r="C3114" s="112">
        <f t="shared" si="0"/>
        <v>0.57500000000000007</v>
      </c>
      <c r="D3114" s="112">
        <f t="shared" si="0"/>
        <v>0.57500000000000007</v>
      </c>
      <c r="E3114" s="112">
        <f t="shared" si="0"/>
        <v>2.3000000000000003</v>
      </c>
      <c r="F3114" s="112">
        <f t="shared" si="0"/>
        <v>2.3000000000000003</v>
      </c>
      <c r="G3114" s="112">
        <f>G3113*(1+G3115)</f>
        <v>5.75</v>
      </c>
    </row>
    <row r="3115" spans="2:7" ht="15.75">
      <c r="B3115" s="111" t="s">
        <v>564</v>
      </c>
      <c r="C3115" s="69">
        <f>C3114/C3113-1</f>
        <v>-0.83333333333333326</v>
      </c>
      <c r="D3115" s="69">
        <f>D3114/D3113-1</f>
        <v>-0.75</v>
      </c>
      <c r="E3115" s="69">
        <f>E3114/E3113-1</f>
        <v>-0.42857142857142838</v>
      </c>
      <c r="F3115" s="69">
        <f>F3114/F3113-1</f>
        <v>0.3333333333333337</v>
      </c>
      <c r="G3115" s="567">
        <v>-0.5</v>
      </c>
    </row>
    <row r="3117" spans="2:7" ht="15.75">
      <c r="B3117" s="66" t="s">
        <v>4589</v>
      </c>
    </row>
    <row r="3118" spans="2:7" ht="15.75">
      <c r="B3118" s="66">
        <f>B3113</f>
        <v>2018</v>
      </c>
      <c r="C3118" s="258">
        <v>22</v>
      </c>
      <c r="D3118" s="258">
        <v>24</v>
      </c>
      <c r="E3118" s="258">
        <v>22</v>
      </c>
      <c r="F3118" s="112">
        <f>G3118-C3118-D3118-E3118</f>
        <v>20.5</v>
      </c>
      <c r="G3118" s="112">
        <f>100-G3113</f>
        <v>88.5</v>
      </c>
    </row>
    <row r="3119" spans="2:7" ht="15.75">
      <c r="B3119" s="66">
        <f>B3114</f>
        <v>2019</v>
      </c>
      <c r="C3119" s="258">
        <v>21.5</v>
      </c>
      <c r="D3119" s="258">
        <v>21.25</v>
      </c>
      <c r="E3119" s="258">
        <v>22.5</v>
      </c>
      <c r="F3119" s="112">
        <f>G3119-C3119-D3119-E3119</f>
        <v>21.480000000000004</v>
      </c>
      <c r="G3119" s="112">
        <f>(1+G3120)*G3118</f>
        <v>86.73</v>
      </c>
    </row>
    <row r="3120" spans="2:7" ht="15.75">
      <c r="B3120" s="111" t="s">
        <v>564</v>
      </c>
      <c r="C3120" s="116">
        <f>C3119/C3118-1</f>
        <v>-2.2727272727272707E-2</v>
      </c>
      <c r="D3120" s="116">
        <f>D3119/D3118-1</f>
        <v>-0.11458333333333337</v>
      </c>
      <c r="E3120" s="116">
        <f>E3119/E3118-1</f>
        <v>2.2727272727272707E-2</v>
      </c>
      <c r="F3120" s="116">
        <f>F3119/F3118-1</f>
        <v>4.7804878048780752E-2</v>
      </c>
      <c r="G3120" s="566">
        <v>-0.02</v>
      </c>
    </row>
    <row r="3121" spans="2:7" ht="15.75">
      <c r="C3121" s="66"/>
      <c r="D3121" s="66"/>
      <c r="E3121" s="66"/>
      <c r="F3121" s="66"/>
      <c r="G3121" s="66"/>
    </row>
    <row r="3122" spans="2:7" ht="15.75">
      <c r="B3122" s="66" t="s">
        <v>4590</v>
      </c>
      <c r="C3122" s="66"/>
      <c r="D3122" s="66"/>
      <c r="E3122" s="66"/>
      <c r="F3122" s="66"/>
      <c r="G3122" s="66"/>
    </row>
    <row r="3123" spans="2:7" ht="15.75">
      <c r="B3123" s="66">
        <f>B3118</f>
        <v>2018</v>
      </c>
      <c r="C3123" s="112">
        <f t="shared" ref="C3123:G3124" si="1">(C3118+C3113)</f>
        <v>25.45</v>
      </c>
      <c r="D3123" s="112">
        <f t="shared" si="1"/>
        <v>26.3</v>
      </c>
      <c r="E3123" s="112">
        <f t="shared" si="1"/>
        <v>26.024999999999999</v>
      </c>
      <c r="F3123" s="112">
        <f t="shared" si="1"/>
        <v>22.225000000000001</v>
      </c>
      <c r="G3123" s="112">
        <f t="shared" si="1"/>
        <v>100</v>
      </c>
    </row>
    <row r="3124" spans="2:7" ht="15.75">
      <c r="B3124" s="66">
        <f>B3119</f>
        <v>2019</v>
      </c>
      <c r="C3124" s="112">
        <f t="shared" si="1"/>
        <v>22.074999999999999</v>
      </c>
      <c r="D3124" s="112">
        <f t="shared" si="1"/>
        <v>21.824999999999999</v>
      </c>
      <c r="E3124" s="112">
        <f t="shared" si="1"/>
        <v>24.8</v>
      </c>
      <c r="F3124" s="112">
        <f t="shared" si="1"/>
        <v>23.780000000000005</v>
      </c>
      <c r="G3124" s="112">
        <f t="shared" si="1"/>
        <v>92.48</v>
      </c>
    </row>
    <row r="3125" spans="2:7" ht="15.75">
      <c r="B3125" s="111" t="str">
        <f>B3120</f>
        <v>y/y</v>
      </c>
      <c r="C3125" s="69">
        <f>C3124/C3123-1</f>
        <v>-0.13261296660117883</v>
      </c>
      <c r="D3125" s="69">
        <f>D3124/D3123-1</f>
        <v>-0.17015209125475295</v>
      </c>
      <c r="E3125" s="69">
        <f>E3124/E3123-1</f>
        <v>-4.7070124879923125E-2</v>
      </c>
      <c r="F3125" s="69">
        <f>F3124/F3123-1</f>
        <v>6.996625421822289E-2</v>
      </c>
      <c r="G3125" s="116">
        <f>G3124/G3123-1</f>
        <v>-7.5199999999999934E-2</v>
      </c>
    </row>
    <row r="3126" spans="2:7" ht="16.5">
      <c r="B3126" s="111"/>
      <c r="C3126" s="115"/>
      <c r="D3126" s="115"/>
      <c r="E3126" s="115"/>
      <c r="F3126" s="115"/>
      <c r="G3126" s="115"/>
    </row>
    <row r="3127" spans="2:7" ht="15.75">
      <c r="B3127" s="387" t="s">
        <v>564</v>
      </c>
      <c r="C3127" s="388" t="s">
        <v>4551</v>
      </c>
      <c r="D3127" s="388" t="s">
        <v>4594</v>
      </c>
      <c r="E3127" s="388" t="s">
        <v>4595</v>
      </c>
      <c r="F3127" s="388" t="s">
        <v>4596</v>
      </c>
      <c r="G3127" s="388" t="s">
        <v>4597</v>
      </c>
    </row>
    <row r="3128" spans="2:7" ht="15.75">
      <c r="B3128" s="142" t="s">
        <v>4592</v>
      </c>
      <c r="C3128" s="69">
        <f>C3115</f>
        <v>-0.83333333333333326</v>
      </c>
      <c r="D3128" s="69">
        <f>D3115</f>
        <v>-0.75</v>
      </c>
      <c r="E3128" s="69">
        <f>E3115</f>
        <v>-0.42857142857142838</v>
      </c>
      <c r="F3128" s="69">
        <f>F3115</f>
        <v>0.3333333333333337</v>
      </c>
      <c r="G3128" s="69">
        <f>G3115</f>
        <v>-0.5</v>
      </c>
    </row>
    <row r="3129" spans="2:7" ht="15.75">
      <c r="B3129" s="142" t="s">
        <v>4593</v>
      </c>
      <c r="C3129" s="116">
        <f>C3120</f>
        <v>-2.2727272727272707E-2</v>
      </c>
      <c r="D3129" s="116">
        <f>D3120</f>
        <v>-0.11458333333333337</v>
      </c>
      <c r="E3129" s="116">
        <f>E3120</f>
        <v>2.2727272727272707E-2</v>
      </c>
      <c r="F3129" s="116">
        <f>F3120</f>
        <v>4.7804878048780752E-2</v>
      </c>
      <c r="G3129" s="116">
        <f>G3120</f>
        <v>-0.02</v>
      </c>
    </row>
    <row r="3130" spans="2:7" ht="15.75">
      <c r="B3130" s="142" t="s">
        <v>4590</v>
      </c>
      <c r="C3130" s="116">
        <f>C3125</f>
        <v>-0.13261296660117883</v>
      </c>
      <c r="D3130" s="116">
        <f>D3125</f>
        <v>-0.17015209125475295</v>
      </c>
      <c r="E3130" s="116">
        <f>E3125</f>
        <v>-4.7070124879923125E-2</v>
      </c>
      <c r="F3130" s="116">
        <f>F3125</f>
        <v>6.996625421822289E-2</v>
      </c>
      <c r="G3130" s="116">
        <f>G3125</f>
        <v>-7.5199999999999934E-2</v>
      </c>
    </row>
    <row r="3131" spans="2:7" ht="16.5">
      <c r="B3131" s="142"/>
      <c r="C3131" s="115"/>
      <c r="D3131" s="115"/>
      <c r="E3131" s="115"/>
      <c r="F3131" s="115"/>
      <c r="G3131" s="115"/>
    </row>
    <row r="3132" spans="2:7" ht="15.75">
      <c r="B3132" s="387" t="s">
        <v>4751</v>
      </c>
      <c r="C3132" s="388" t="str">
        <f>C3127</f>
        <v>Q1 19</v>
      </c>
      <c r="D3132" s="388" t="str">
        <f>D3127</f>
        <v>Q2 19</v>
      </c>
      <c r="E3132" s="388" t="str">
        <f>E3127</f>
        <v>Q3 19</v>
      </c>
      <c r="F3132" s="388" t="str">
        <f>F3127</f>
        <v>Q4 19</v>
      </c>
      <c r="G3132" s="388" t="str">
        <f>G3127</f>
        <v>FY 19</v>
      </c>
    </row>
    <row r="3133" spans="2:7" ht="15.75">
      <c r="B3133" s="142" t="s">
        <v>4592</v>
      </c>
      <c r="C3133" s="116">
        <f>(C3114-C3113)/(C3124-C3123)</f>
        <v>0.85185185185185175</v>
      </c>
      <c r="D3133" s="116">
        <f>(D3114-D3113)/(D3124-D3123)</f>
        <v>0.3854748603351954</v>
      </c>
      <c r="E3133" s="116">
        <f>(E3114-E3113)/(E3124-E3123)</f>
        <v>1.4081632653061242</v>
      </c>
      <c r="F3133" s="116">
        <f>(F3114-F3113)/(F3124-F3123)</f>
        <v>0.36977491961414755</v>
      </c>
      <c r="G3133" s="116">
        <f>(G3114-G3113)/(G3124-G3123)</f>
        <v>0.76462765957446854</v>
      </c>
    </row>
    <row r="3134" spans="2:7" ht="15.75">
      <c r="B3134" s="142" t="s">
        <v>4485</v>
      </c>
      <c r="C3134" s="116">
        <f>(C3119-C3118)/(C3124-C3123)</f>
        <v>0.14814814814814814</v>
      </c>
      <c r="D3134" s="116">
        <f>(D3119-D3118)/(D3124-D3123)</f>
        <v>0.61452513966480427</v>
      </c>
      <c r="E3134" s="116">
        <f>(E3119-E3118)/(E3124-E3123)</f>
        <v>-0.40816326530612318</v>
      </c>
      <c r="F3134" s="116">
        <f>(F3119-F3118)/(F3124-F3123)</f>
        <v>0.63022508038585334</v>
      </c>
      <c r="G3134" s="116">
        <f>(G3119-G3118)/(G3124-G3123)</f>
        <v>0.23537234042553151</v>
      </c>
    </row>
    <row r="3135" spans="2:7" ht="16.5">
      <c r="B3135" s="111"/>
      <c r="C3135" s="115"/>
      <c r="D3135" s="115"/>
      <c r="E3135" s="115"/>
      <c r="F3135" s="115"/>
      <c r="G3135" s="115"/>
    </row>
    <row r="3136" spans="2:7">
      <c r="C3136" t="s">
        <v>4557</v>
      </c>
    </row>
    <row r="3137" spans="2:4">
      <c r="C3137" t="s">
        <v>4558</v>
      </c>
    </row>
    <row r="3138" spans="2:4">
      <c r="C3138" t="s">
        <v>4559</v>
      </c>
    </row>
    <row r="3139" spans="2:4">
      <c r="B3139" t="s">
        <v>1627</v>
      </c>
    </row>
    <row r="3140" spans="2:4">
      <c r="C3140" t="s">
        <v>4560</v>
      </c>
    </row>
    <row r="3141" spans="2:4">
      <c r="C3141" t="s">
        <v>4561</v>
      </c>
    </row>
    <row r="3142" spans="2:4">
      <c r="B3142" t="s">
        <v>4163</v>
      </c>
    </row>
    <row r="3143" spans="2:4">
      <c r="C3143" t="s">
        <v>4562</v>
      </c>
    </row>
    <row r="3144" spans="2:4">
      <c r="C3144" t="s">
        <v>4563</v>
      </c>
    </row>
    <row r="3145" spans="2:4">
      <c r="D3145" t="s">
        <v>4564</v>
      </c>
    </row>
    <row r="3146" spans="2:4">
      <c r="D3146" t="s">
        <v>4565</v>
      </c>
    </row>
    <row r="3147" spans="2:4">
      <c r="C3147" t="s">
        <v>4566</v>
      </c>
    </row>
    <row r="3148" spans="2:4">
      <c r="D3148" t="s">
        <v>4567</v>
      </c>
    </row>
    <row r="3149" spans="2:4">
      <c r="B3149" t="s">
        <v>16</v>
      </c>
    </row>
    <row r="3150" spans="2:4">
      <c r="C3150" t="s">
        <v>4568</v>
      </c>
    </row>
    <row r="3151" spans="2:4">
      <c r="C3151" t="s">
        <v>4569</v>
      </c>
    </row>
    <row r="3152" spans="2:4">
      <c r="D3152" t="s">
        <v>4571</v>
      </c>
    </row>
    <row r="3153" spans="2:4">
      <c r="D3153" t="s">
        <v>4572</v>
      </c>
    </row>
    <row r="3154" spans="2:4">
      <c r="D3154" t="s">
        <v>4570</v>
      </c>
    </row>
    <row r="3155" spans="2:4">
      <c r="B3155" t="s">
        <v>87</v>
      </c>
    </row>
    <row r="3156" spans="2:4">
      <c r="C3156" t="s">
        <v>4573</v>
      </c>
    </row>
    <row r="3157" spans="2:4">
      <c r="C3157" t="s">
        <v>4574</v>
      </c>
    </row>
    <row r="3158" spans="2:4">
      <c r="C3158" t="s">
        <v>4575</v>
      </c>
    </row>
    <row r="3159" spans="2:4">
      <c r="C3159" t="s">
        <v>4576</v>
      </c>
    </row>
    <row r="3160" spans="2:4">
      <c r="D3160" t="s">
        <v>4577</v>
      </c>
    </row>
    <row r="3161" spans="2:4">
      <c r="B3161" t="s">
        <v>201</v>
      </c>
    </row>
    <row r="3162" spans="2:4">
      <c r="C3162" t="s">
        <v>4578</v>
      </c>
    </row>
    <row r="3163" spans="2:4">
      <c r="B3163" t="s">
        <v>1771</v>
      </c>
    </row>
    <row r="3164" spans="2:4">
      <c r="C3164" t="s">
        <v>4579</v>
      </c>
    </row>
    <row r="3165" spans="2:4">
      <c r="D3165" t="s">
        <v>4580</v>
      </c>
    </row>
    <row r="3166" spans="2:4">
      <c r="D3166" t="s">
        <v>4581</v>
      </c>
    </row>
    <row r="3167" spans="2:4">
      <c r="C3167" t="s">
        <v>4582</v>
      </c>
    </row>
    <row r="3168" spans="2:4">
      <c r="B3168" t="s">
        <v>4583</v>
      </c>
    </row>
    <row r="3169" spans="2:3">
      <c r="C3169" t="s">
        <v>4584</v>
      </c>
    </row>
    <row r="3170" spans="2:3">
      <c r="C3170" t="s">
        <v>4585</v>
      </c>
    </row>
    <row r="3171" spans="2:3">
      <c r="C3171" t="s">
        <v>4586</v>
      </c>
    </row>
    <row r="3172" spans="2:3">
      <c r="C3172" t="s">
        <v>4587</v>
      </c>
    </row>
    <row r="3174" spans="2:3">
      <c r="B3174" s="121" t="s">
        <v>4551</v>
      </c>
    </row>
    <row r="3176" spans="2:3">
      <c r="B3176" s="121" t="s">
        <v>4616</v>
      </c>
    </row>
    <row r="3178" spans="2:3">
      <c r="B3178" t="s">
        <v>4607</v>
      </c>
    </row>
    <row r="3179" spans="2:3">
      <c r="B3179" t="s">
        <v>4608</v>
      </c>
    </row>
    <row r="3181" spans="2:3">
      <c r="B3181" t="s">
        <v>4615</v>
      </c>
    </row>
    <row r="3182" spans="2:3">
      <c r="B3182" t="s">
        <v>1240</v>
      </c>
      <c r="C3182" t="s">
        <v>4609</v>
      </c>
    </row>
    <row r="3183" spans="2:3">
      <c r="C3183" t="s">
        <v>4610</v>
      </c>
    </row>
    <row r="3184" spans="2:3">
      <c r="B3184" t="s">
        <v>4611</v>
      </c>
    </row>
    <row r="3185" spans="1:8">
      <c r="C3185" t="s">
        <v>4612</v>
      </c>
    </row>
    <row r="3186" spans="1:8">
      <c r="C3186" t="s">
        <v>4613</v>
      </c>
    </row>
    <row r="3187" spans="1:8">
      <c r="C3187" t="s">
        <v>4614</v>
      </c>
    </row>
    <row r="3189" spans="1:8">
      <c r="B3189" s="565" t="s">
        <v>4551</v>
      </c>
    </row>
    <row r="3191" spans="1:8">
      <c r="B3191" s="2" t="s">
        <v>145</v>
      </c>
    </row>
    <row r="3192" spans="1:8">
      <c r="B3192" t="s">
        <v>4618</v>
      </c>
      <c r="C3192" t="s">
        <v>4626</v>
      </c>
    </row>
    <row r="3193" spans="1:8">
      <c r="A3193" t="s">
        <v>2024</v>
      </c>
      <c r="C3193" t="s">
        <v>4663</v>
      </c>
    </row>
    <row r="3195" spans="1:8">
      <c r="H3195" t="s">
        <v>84</v>
      </c>
    </row>
    <row r="3196" spans="1:8">
      <c r="B3196" t="s">
        <v>4619</v>
      </c>
      <c r="C3196" t="s">
        <v>4620</v>
      </c>
    </row>
    <row r="3197" spans="1:8">
      <c r="B3197" t="s">
        <v>57</v>
      </c>
      <c r="C3197" t="s">
        <v>4627</v>
      </c>
    </row>
    <row r="3198" spans="1:8">
      <c r="B3198" t="s">
        <v>4621</v>
      </c>
    </row>
    <row r="3200" spans="1:8">
      <c r="B3200" t="s">
        <v>4654</v>
      </c>
    </row>
    <row r="3201" spans="1:5">
      <c r="C3201" t="s">
        <v>4655</v>
      </c>
    </row>
    <row r="3202" spans="1:5">
      <c r="C3202" t="s">
        <v>4656</v>
      </c>
    </row>
    <row r="3203" spans="1:5">
      <c r="D3203" t="s">
        <v>84</v>
      </c>
    </row>
    <row r="3204" spans="1:5">
      <c r="B3204" s="2" t="s">
        <v>4163</v>
      </c>
    </row>
    <row r="3205" spans="1:5">
      <c r="C3205" t="s">
        <v>4622</v>
      </c>
    </row>
    <row r="3206" spans="1:5">
      <c r="C3206" t="s">
        <v>4623</v>
      </c>
    </row>
    <row r="3207" spans="1:5">
      <c r="C3207" t="s">
        <v>4624</v>
      </c>
    </row>
    <row r="3208" spans="1:5">
      <c r="C3208" t="s">
        <v>4625</v>
      </c>
    </row>
    <row r="3209" spans="1:5">
      <c r="D3209">
        <f>Interims!AT186</f>
        <v>383.6</v>
      </c>
      <c r="E3209">
        <f>Interims!AU186</f>
        <v>88</v>
      </c>
    </row>
    <row r="3210" spans="1:5">
      <c r="E3210" s="8">
        <f>E3209/D3209</f>
        <v>0.22940563086548488</v>
      </c>
    </row>
    <row r="3211" spans="1:5">
      <c r="B3211" s="2" t="s">
        <v>87</v>
      </c>
      <c r="C3211" t="s">
        <v>84</v>
      </c>
    </row>
    <row r="3212" spans="1:5">
      <c r="C3212" t="s">
        <v>4628</v>
      </c>
    </row>
    <row r="3213" spans="1:5">
      <c r="A3213" t="s">
        <v>2024</v>
      </c>
      <c r="C3213" t="s">
        <v>4629</v>
      </c>
    </row>
    <row r="3214" spans="1:5">
      <c r="A3214" t="s">
        <v>2024</v>
      </c>
      <c r="D3214" t="s">
        <v>4630</v>
      </c>
    </row>
    <row r="3215" spans="1:5">
      <c r="D3215" t="s">
        <v>4668</v>
      </c>
    </row>
    <row r="3216" spans="1:5">
      <c r="D3216" t="s">
        <v>4669</v>
      </c>
    </row>
    <row r="3217" spans="1:4">
      <c r="A3217" t="s">
        <v>4666</v>
      </c>
      <c r="C3217" t="s">
        <v>4667</v>
      </c>
    </row>
    <row r="3218" spans="1:4">
      <c r="C3218" t="s">
        <v>4670</v>
      </c>
    </row>
    <row r="3219" spans="1:4">
      <c r="D3219" t="s">
        <v>4671</v>
      </c>
    </row>
    <row r="3220" spans="1:4">
      <c r="B3220" s="2" t="s">
        <v>16</v>
      </c>
    </row>
    <row r="3221" spans="1:4">
      <c r="C3221" t="s">
        <v>4631</v>
      </c>
    </row>
    <row r="3222" spans="1:4">
      <c r="D3222" t="s">
        <v>4636</v>
      </c>
    </row>
    <row r="3223" spans="1:4">
      <c r="C3223" t="s">
        <v>4632</v>
      </c>
    </row>
    <row r="3224" spans="1:4">
      <c r="D3224" t="s">
        <v>4651</v>
      </c>
    </row>
    <row r="3225" spans="1:4">
      <c r="C3225" t="s">
        <v>4633</v>
      </c>
    </row>
    <row r="3226" spans="1:4">
      <c r="D3226" t="s">
        <v>4634</v>
      </c>
    </row>
    <row r="3227" spans="1:4">
      <c r="C3227" t="s">
        <v>4652</v>
      </c>
    </row>
    <row r="3228" spans="1:4">
      <c r="C3228" t="s">
        <v>4635</v>
      </c>
    </row>
    <row r="3229" spans="1:4">
      <c r="C3229" t="s">
        <v>4637</v>
      </c>
    </row>
    <row r="3230" spans="1:4">
      <c r="D3230" t="s">
        <v>4638</v>
      </c>
    </row>
    <row r="3231" spans="1:4">
      <c r="B3231" t="s">
        <v>201</v>
      </c>
    </row>
    <row r="3232" spans="1:4">
      <c r="C3232" t="s">
        <v>4639</v>
      </c>
    </row>
    <row r="3233" spans="2:4">
      <c r="C3233" t="s">
        <v>4653</v>
      </c>
    </row>
    <row r="3236" spans="2:4">
      <c r="B3236" s="2" t="s">
        <v>4641</v>
      </c>
    </row>
    <row r="3237" spans="2:4">
      <c r="C3237" t="s">
        <v>4644</v>
      </c>
    </row>
    <row r="3238" spans="2:4">
      <c r="C3238" t="s">
        <v>4640</v>
      </c>
    </row>
    <row r="3239" spans="2:4">
      <c r="D3239" t="s">
        <v>4659</v>
      </c>
    </row>
    <row r="3241" spans="2:4">
      <c r="C3241" t="s">
        <v>4642</v>
      </c>
    </row>
    <row r="3242" spans="2:4">
      <c r="B3242" s="2" t="s">
        <v>4643</v>
      </c>
    </row>
    <row r="3244" spans="2:4">
      <c r="B3244" s="2" t="s">
        <v>1259</v>
      </c>
    </row>
    <row r="3245" spans="2:4">
      <c r="B3245" t="s">
        <v>4645</v>
      </c>
    </row>
    <row r="3246" spans="2:4">
      <c r="B3246" t="s">
        <v>4646</v>
      </c>
    </row>
    <row r="3247" spans="2:4">
      <c r="B3247" t="s">
        <v>4647</v>
      </c>
    </row>
    <row r="3248" spans="2:4">
      <c r="C3248" t="s">
        <v>4648</v>
      </c>
    </row>
    <row r="3249" spans="2:3">
      <c r="B3249" t="s">
        <v>4649</v>
      </c>
    </row>
    <row r="3250" spans="2:3">
      <c r="C3250" t="s">
        <v>4650</v>
      </c>
    </row>
    <row r="3251" spans="2:3">
      <c r="B3251" t="s">
        <v>4657</v>
      </c>
    </row>
    <row r="3252" spans="2:3">
      <c r="C3252" t="s">
        <v>4658</v>
      </c>
    </row>
    <row r="3253" spans="2:3">
      <c r="B3253" s="2" t="s">
        <v>4611</v>
      </c>
    </row>
    <row r="3254" spans="2:3">
      <c r="C3254" t="s">
        <v>4660</v>
      </c>
    </row>
    <row r="3255" spans="2:3">
      <c r="C3255" t="s">
        <v>4661</v>
      </c>
    </row>
    <row r="3256" spans="2:3">
      <c r="C3256" t="s">
        <v>4662</v>
      </c>
    </row>
    <row r="3257" spans="2:3">
      <c r="B3257" s="2" t="s">
        <v>4664</v>
      </c>
    </row>
    <row r="3258" spans="2:3">
      <c r="C3258" t="s">
        <v>4665</v>
      </c>
    </row>
    <row r="3260" spans="2:3">
      <c r="B3260" s="2" t="s">
        <v>4672</v>
      </c>
    </row>
    <row r="3262" spans="2:3">
      <c r="B3262" t="s">
        <v>4673</v>
      </c>
    </row>
    <row r="3263" spans="2:3">
      <c r="B3263" t="s">
        <v>4674</v>
      </c>
    </row>
    <row r="3264" spans="2:3">
      <c r="C3264" t="s">
        <v>4675</v>
      </c>
    </row>
    <row r="3266" spans="2:3">
      <c r="B3266" s="2" t="s">
        <v>4676</v>
      </c>
    </row>
    <row r="3268" spans="2:3">
      <c r="B3268" t="s">
        <v>4677</v>
      </c>
    </row>
    <row r="3269" spans="2:3">
      <c r="C3269" t="s">
        <v>4678</v>
      </c>
    </row>
    <row r="3270" spans="2:3">
      <c r="C3270" t="s">
        <v>4679</v>
      </c>
    </row>
    <row r="3271" spans="2:3">
      <c r="B3271" t="s">
        <v>4680</v>
      </c>
    </row>
    <row r="3272" spans="2:3">
      <c r="C3272" t="s">
        <v>4681</v>
      </c>
    </row>
    <row r="3273" spans="2:3">
      <c r="C3273" t="s">
        <v>4682</v>
      </c>
    </row>
    <row r="3274" spans="2:3">
      <c r="B3274" t="s">
        <v>4163</v>
      </c>
    </row>
    <row r="3275" spans="2:3">
      <c r="C3275" t="s">
        <v>4683</v>
      </c>
    </row>
    <row r="3276" spans="2:3">
      <c r="B3276" t="s">
        <v>88</v>
      </c>
    </row>
    <row r="3277" spans="2:3">
      <c r="C3277" t="s">
        <v>4684</v>
      </c>
    </row>
    <row r="3278" spans="2:3">
      <c r="C3278" t="s">
        <v>4685</v>
      </c>
    </row>
    <row r="3279" spans="2:3">
      <c r="B3279" t="s">
        <v>87</v>
      </c>
    </row>
    <row r="3280" spans="2:3">
      <c r="C3280" t="s">
        <v>4702</v>
      </c>
    </row>
    <row r="3281" spans="2:4">
      <c r="C3281" t="s">
        <v>4703</v>
      </c>
    </row>
    <row r="3282" spans="2:4">
      <c r="B3282" t="s">
        <v>4686</v>
      </c>
    </row>
    <row r="3283" spans="2:4">
      <c r="C3283" t="s">
        <v>4704</v>
      </c>
    </row>
    <row r="3284" spans="2:4">
      <c r="B3284" t="s">
        <v>4705</v>
      </c>
    </row>
    <row r="3285" spans="2:4">
      <c r="C3285" t="s">
        <v>4709</v>
      </c>
    </row>
    <row r="3286" spans="2:4">
      <c r="C3286" t="s">
        <v>4710</v>
      </c>
    </row>
    <row r="3287" spans="2:4">
      <c r="C3287" t="s">
        <v>4711</v>
      </c>
    </row>
    <row r="3288" spans="2:4">
      <c r="B3288" t="s">
        <v>4706</v>
      </c>
    </row>
    <row r="3289" spans="2:4">
      <c r="C3289" t="s">
        <v>4707</v>
      </c>
    </row>
    <row r="3290" spans="2:4">
      <c r="C3290" t="s">
        <v>4708</v>
      </c>
    </row>
    <row r="3291" spans="2:4">
      <c r="B3291" t="s">
        <v>1080</v>
      </c>
    </row>
    <row r="3292" spans="2:4">
      <c r="C3292" t="s">
        <v>4687</v>
      </c>
    </row>
    <row r="3293" spans="2:4">
      <c r="D3293" t="s">
        <v>4689</v>
      </c>
    </row>
    <row r="3294" spans="2:4">
      <c r="C3294" t="s">
        <v>4688</v>
      </c>
    </row>
    <row r="3295" spans="2:4">
      <c r="C3295" t="s">
        <v>4690</v>
      </c>
    </row>
    <row r="3296" spans="2:4">
      <c r="C3296" t="s">
        <v>4691</v>
      </c>
    </row>
    <row r="3297" spans="2:4">
      <c r="D3297" t="s">
        <v>4692</v>
      </c>
    </row>
    <row r="3298" spans="2:4">
      <c r="B3298" t="s">
        <v>1450</v>
      </c>
    </row>
    <row r="3299" spans="2:4">
      <c r="C3299" t="s">
        <v>4693</v>
      </c>
    </row>
    <row r="3300" spans="2:4">
      <c r="B3300" t="s">
        <v>4694</v>
      </c>
    </row>
    <row r="3301" spans="2:4">
      <c r="B3301" t="s">
        <v>4695</v>
      </c>
    </row>
    <row r="3302" spans="2:4">
      <c r="C3302" t="s">
        <v>4696</v>
      </c>
    </row>
    <row r="3303" spans="2:4">
      <c r="C3303" t="s">
        <v>4697</v>
      </c>
    </row>
    <row r="3304" spans="2:4">
      <c r="B3304" t="s">
        <v>4698</v>
      </c>
    </row>
    <row r="3305" spans="2:4">
      <c r="C3305" t="s">
        <v>4699</v>
      </c>
    </row>
    <row r="3306" spans="2:4">
      <c r="B3306" t="s">
        <v>4700</v>
      </c>
    </row>
    <row r="3307" spans="2:4">
      <c r="C3307" t="s">
        <v>4701</v>
      </c>
    </row>
    <row r="3309" spans="2:4">
      <c r="B3309" s="121" t="s">
        <v>4594</v>
      </c>
    </row>
    <row r="3311" spans="2:4">
      <c r="B3311" t="s">
        <v>4723</v>
      </c>
    </row>
    <row r="3312" spans="2:4">
      <c r="B3312" t="s">
        <v>4724</v>
      </c>
    </row>
    <row r="3314" spans="2:5">
      <c r="B3314" t="s">
        <v>3324</v>
      </c>
    </row>
    <row r="3315" spans="2:5">
      <c r="C3315" t="s">
        <v>4725</v>
      </c>
    </row>
    <row r="3316" spans="2:5">
      <c r="C3316" t="s">
        <v>4727</v>
      </c>
    </row>
    <row r="3317" spans="2:5">
      <c r="D3317" t="s">
        <v>4726</v>
      </c>
    </row>
    <row r="3318" spans="2:5">
      <c r="D3318" t="s">
        <v>4728</v>
      </c>
    </row>
    <row r="3319" spans="2:5">
      <c r="C3319" t="s">
        <v>4729</v>
      </c>
    </row>
    <row r="3320" spans="2:5">
      <c r="D3320" t="s">
        <v>4730</v>
      </c>
    </row>
    <row r="3321" spans="2:5">
      <c r="D3321" t="s">
        <v>4731</v>
      </c>
    </row>
    <row r="3322" spans="2:5">
      <c r="C3322" t="s">
        <v>4732</v>
      </c>
    </row>
    <row r="3323" spans="2:5">
      <c r="D3323" s="264" t="s">
        <v>4733</v>
      </c>
    </row>
    <row r="3324" spans="2:5">
      <c r="E3324" s="264" t="s">
        <v>4735</v>
      </c>
    </row>
    <row r="3325" spans="2:5">
      <c r="C3325" t="s">
        <v>4734</v>
      </c>
    </row>
    <row r="3326" spans="2:5">
      <c r="B3326" t="s">
        <v>4680</v>
      </c>
    </row>
    <row r="3327" spans="2:5">
      <c r="C3327" t="s">
        <v>4736</v>
      </c>
    </row>
    <row r="3329" spans="2:5">
      <c r="B3329" s="61" t="s">
        <v>4487</v>
      </c>
      <c r="C3329" s="130" t="s">
        <v>4737</v>
      </c>
      <c r="D3329" s="130" t="s">
        <v>4738</v>
      </c>
    </row>
    <row r="3330" spans="2:5">
      <c r="B3330" t="s">
        <v>145</v>
      </c>
      <c r="C3330" s="3"/>
      <c r="D3330" s="3"/>
    </row>
    <row r="3331" spans="2:5">
      <c r="B3331" t="s">
        <v>98</v>
      </c>
      <c r="C3331" s="3"/>
      <c r="D3331" s="527">
        <v>-0.02</v>
      </c>
      <c r="E3331" t="s">
        <v>4740</v>
      </c>
    </row>
    <row r="3332" spans="2:5">
      <c r="B3332" t="s">
        <v>3324</v>
      </c>
      <c r="C3332" s="10">
        <v>-4.5999999999999999E-2</v>
      </c>
      <c r="D3332" s="568" t="s">
        <v>4739</v>
      </c>
      <c r="E3332" s="264" t="s">
        <v>4741</v>
      </c>
    </row>
    <row r="3333" spans="2:5">
      <c r="B3333" t="s">
        <v>3860</v>
      </c>
      <c r="D3333" s="3" t="s">
        <v>4742</v>
      </c>
    </row>
    <row r="3335" spans="2:5">
      <c r="B3335" t="s">
        <v>4743</v>
      </c>
      <c r="C3335" t="s">
        <v>4744</v>
      </c>
    </row>
    <row r="3336" spans="2:5">
      <c r="D3336" t="s">
        <v>4745</v>
      </c>
    </row>
    <row r="3337" spans="2:5">
      <c r="D3337" t="s">
        <v>4746</v>
      </c>
    </row>
    <row r="3338" spans="2:5">
      <c r="B3338" t="s">
        <v>16</v>
      </c>
      <c r="C3338" t="s">
        <v>4747</v>
      </c>
    </row>
    <row r="3339" spans="2:5">
      <c r="B3339" t="s">
        <v>4748</v>
      </c>
      <c r="C3339" t="s">
        <v>4749</v>
      </c>
    </row>
    <row r="3341" spans="2:5">
      <c r="B3341" t="s">
        <v>4750</v>
      </c>
    </row>
    <row r="3343" spans="2:5">
      <c r="B3343" s="121" t="s">
        <v>4781</v>
      </c>
    </row>
    <row r="3345" spans="2:3">
      <c r="B3345" s="121" t="s">
        <v>3638</v>
      </c>
    </row>
    <row r="3346" spans="2:3">
      <c r="B3346" t="s">
        <v>1080</v>
      </c>
    </row>
    <row r="3348" spans="2:3">
      <c r="B3348" t="s">
        <v>4795</v>
      </c>
    </row>
    <row r="3350" spans="2:3">
      <c r="B3350" t="s">
        <v>4782</v>
      </c>
    </row>
    <row r="3351" spans="2:3">
      <c r="C3351" t="s">
        <v>4783</v>
      </c>
    </row>
    <row r="3352" spans="2:3">
      <c r="C3352" t="s">
        <v>4784</v>
      </c>
    </row>
    <row r="3354" spans="2:3">
      <c r="B3354" t="s">
        <v>4788</v>
      </c>
    </row>
    <row r="3356" spans="2:3">
      <c r="B3356" t="s">
        <v>4785</v>
      </c>
    </row>
    <row r="3357" spans="2:3">
      <c r="C3357" t="s">
        <v>4786</v>
      </c>
    </row>
    <row r="3359" spans="2:3">
      <c r="B3359" t="s">
        <v>4787</v>
      </c>
    </row>
    <row r="3361" spans="2:3">
      <c r="B3361" s="121" t="s">
        <v>1378</v>
      </c>
    </row>
    <row r="3363" spans="2:3">
      <c r="B3363" t="s">
        <v>4789</v>
      </c>
    </row>
    <row r="3364" spans="2:3">
      <c r="B3364" t="s">
        <v>4790</v>
      </c>
    </row>
    <row r="3365" spans="2:3">
      <c r="B3365" t="s">
        <v>4791</v>
      </c>
    </row>
    <row r="3366" spans="2:3">
      <c r="B3366" t="s">
        <v>4792</v>
      </c>
    </row>
    <row r="3368" spans="2:3">
      <c r="B3368" t="s">
        <v>4793</v>
      </c>
    </row>
    <row r="3369" spans="2:3">
      <c r="B3369" t="s">
        <v>4794</v>
      </c>
    </row>
    <row r="3371" spans="2:3">
      <c r="B3371" t="s">
        <v>3642</v>
      </c>
    </row>
    <row r="3373" spans="2:3">
      <c r="B3373" t="s">
        <v>4796</v>
      </c>
    </row>
    <row r="3374" spans="2:3">
      <c r="C3374" t="s">
        <v>4797</v>
      </c>
    </row>
    <row r="3375" spans="2:3">
      <c r="C3375" t="s">
        <v>4798</v>
      </c>
    </row>
    <row r="3377" spans="2:5">
      <c r="B3377" t="s">
        <v>16</v>
      </c>
    </row>
    <row r="3378" spans="2:5">
      <c r="C3378" t="s">
        <v>4799</v>
      </c>
    </row>
    <row r="3379" spans="2:5">
      <c r="C3379" t="s">
        <v>4800</v>
      </c>
    </row>
    <row r="3380" spans="2:5">
      <c r="C3380" t="s">
        <v>4801</v>
      </c>
    </row>
    <row r="3381" spans="2:5">
      <c r="D3381" t="s">
        <v>4802</v>
      </c>
    </row>
    <row r="3382" spans="2:5">
      <c r="C3382" t="s">
        <v>4803</v>
      </c>
    </row>
    <row r="3383" spans="2:5">
      <c r="C3383" t="s">
        <v>4804</v>
      </c>
    </row>
    <row r="3384" spans="2:5">
      <c r="D3384" t="s">
        <v>4805</v>
      </c>
    </row>
    <row r="3385" spans="2:5">
      <c r="D3385" t="s">
        <v>4806</v>
      </c>
    </row>
    <row r="3386" spans="2:5">
      <c r="E3386" t="s">
        <v>4807</v>
      </c>
    </row>
    <row r="3387" spans="2:5">
      <c r="C3387" t="s">
        <v>4808</v>
      </c>
    </row>
    <row r="3389" spans="2:5">
      <c r="B3389" t="s">
        <v>87</v>
      </c>
    </row>
    <row r="3390" spans="2:5">
      <c r="C3390" t="s">
        <v>4809</v>
      </c>
    </row>
    <row r="3392" spans="2:5">
      <c r="B3392" t="s">
        <v>145</v>
      </c>
    </row>
    <row r="3394" spans="2:3">
      <c r="B3394" t="s">
        <v>4163</v>
      </c>
    </row>
    <row r="3395" spans="2:3">
      <c r="C3395" t="s">
        <v>4810</v>
      </c>
    </row>
    <row r="3396" spans="2:3">
      <c r="C3396" t="s">
        <v>4811</v>
      </c>
    </row>
    <row r="3398" spans="2:3">
      <c r="C3398" t="s">
        <v>4812</v>
      </c>
    </row>
    <row r="3399" spans="2:3">
      <c r="C3399" t="s">
        <v>4813</v>
      </c>
    </row>
    <row r="3401" spans="2:3">
      <c r="B3401" t="s">
        <v>4814</v>
      </c>
    </row>
    <row r="3402" spans="2:3">
      <c r="C3402" t="s">
        <v>4815</v>
      </c>
    </row>
    <row r="3403" spans="2:3">
      <c r="C3403" t="s">
        <v>4816</v>
      </c>
    </row>
    <row r="3405" spans="2:3">
      <c r="B3405" s="2" t="s">
        <v>1259</v>
      </c>
    </row>
    <row r="3406" spans="2:3">
      <c r="B3406" t="s">
        <v>3324</v>
      </c>
      <c r="C3406" t="s">
        <v>4817</v>
      </c>
    </row>
    <row r="3407" spans="2:3">
      <c r="C3407" t="s">
        <v>4818</v>
      </c>
    </row>
    <row r="3409" spans="2:4">
      <c r="B3409" t="s">
        <v>4819</v>
      </c>
    </row>
    <row r="3411" spans="2:4">
      <c r="B3411" t="s">
        <v>4820</v>
      </c>
    </row>
    <row r="3412" spans="2:4">
      <c r="C3412" t="s">
        <v>4821</v>
      </c>
    </row>
    <row r="3414" spans="2:4">
      <c r="B3414" t="s">
        <v>4163</v>
      </c>
    </row>
    <row r="3415" spans="2:4">
      <c r="C3415" t="s">
        <v>4822</v>
      </c>
    </row>
    <row r="3416" spans="2:4">
      <c r="C3416" t="s">
        <v>4823</v>
      </c>
    </row>
    <row r="3417" spans="2:4">
      <c r="D3417" t="s">
        <v>4824</v>
      </c>
    </row>
    <row r="3419" spans="2:4">
      <c r="B3419" s="2" t="s">
        <v>2314</v>
      </c>
    </row>
    <row r="3420" spans="2:4">
      <c r="B3420" t="s">
        <v>4825</v>
      </c>
    </row>
    <row r="3421" spans="2:4">
      <c r="C3421" t="s">
        <v>4826</v>
      </c>
    </row>
    <row r="3422" spans="2:4">
      <c r="D3422" t="s">
        <v>4827</v>
      </c>
    </row>
    <row r="3423" spans="2:4">
      <c r="B3423" t="s">
        <v>4829</v>
      </c>
    </row>
    <row r="3424" spans="2:4">
      <c r="C3424" t="s">
        <v>4828</v>
      </c>
    </row>
    <row r="3426" spans="2:4">
      <c r="B3426" t="s">
        <v>145</v>
      </c>
    </row>
    <row r="3427" spans="2:4">
      <c r="C3427" t="s">
        <v>4830</v>
      </c>
    </row>
    <row r="3428" spans="2:4">
      <c r="C3428" t="s">
        <v>4831</v>
      </c>
    </row>
    <row r="3429" spans="2:4">
      <c r="D3429" t="s">
        <v>4832</v>
      </c>
    </row>
    <row r="3430" spans="2:4">
      <c r="D3430" t="s">
        <v>4833</v>
      </c>
    </row>
    <row r="3431" spans="2:4">
      <c r="D3431" t="s">
        <v>4834</v>
      </c>
    </row>
    <row r="3432" spans="2:4">
      <c r="C3432" t="s">
        <v>4835</v>
      </c>
    </row>
    <row r="3433" spans="2:4">
      <c r="D3433" t="s">
        <v>4836</v>
      </c>
    </row>
    <row r="3434" spans="2:4">
      <c r="D3434" t="s">
        <v>4837</v>
      </c>
    </row>
    <row r="3435" spans="2:4">
      <c r="C3435" t="s">
        <v>4838</v>
      </c>
    </row>
    <row r="3436" spans="2:4">
      <c r="B3436" t="s">
        <v>201</v>
      </c>
    </row>
    <row r="3437" spans="2:4">
      <c r="C3437" t="s">
        <v>4839</v>
      </c>
    </row>
    <row r="3440" spans="2:4">
      <c r="B3440" t="s">
        <v>4841</v>
      </c>
    </row>
    <row r="3441" spans="2:4">
      <c r="B3441" t="s">
        <v>4842</v>
      </c>
    </row>
    <row r="3442" spans="2:4">
      <c r="C3442" t="s">
        <v>4843</v>
      </c>
    </row>
    <row r="3443" spans="2:4">
      <c r="B3443" t="s">
        <v>4840</v>
      </c>
    </row>
    <row r="3445" spans="2:4">
      <c r="B3445" t="s">
        <v>4844</v>
      </c>
    </row>
    <row r="3447" spans="2:4">
      <c r="B3447" t="s">
        <v>2384</v>
      </c>
    </row>
    <row r="3448" spans="2:4">
      <c r="C3448" t="s">
        <v>4850</v>
      </c>
    </row>
    <row r="3451" spans="2:4">
      <c r="B3451" t="s">
        <v>4845</v>
      </c>
    </row>
    <row r="3453" spans="2:4">
      <c r="B3453" t="s">
        <v>4163</v>
      </c>
    </row>
    <row r="3454" spans="2:4">
      <c r="C3454" t="s">
        <v>4846</v>
      </c>
    </row>
    <row r="3455" spans="2:4">
      <c r="C3455" t="s">
        <v>4847</v>
      </c>
    </row>
    <row r="3456" spans="2:4">
      <c r="D3456" t="s">
        <v>4848</v>
      </c>
    </row>
    <row r="3457" spans="2:4">
      <c r="D3457" t="s">
        <v>4849</v>
      </c>
    </row>
    <row r="3458" spans="2:4">
      <c r="B3458" t="s">
        <v>4851</v>
      </c>
    </row>
    <row r="3459" spans="2:4">
      <c r="C3459" t="s">
        <v>4852</v>
      </c>
    </row>
    <row r="3460" spans="2:4">
      <c r="D3460" t="s">
        <v>4853</v>
      </c>
    </row>
    <row r="3462" spans="2:4">
      <c r="B3462" t="s">
        <v>4854</v>
      </c>
    </row>
    <row r="3463" spans="2:4">
      <c r="C3463" t="s">
        <v>4855</v>
      </c>
    </row>
    <row r="3464" spans="2:4">
      <c r="C3464" t="s">
        <v>4856</v>
      </c>
    </row>
    <row r="3465" spans="2:4">
      <c r="B3465" t="s">
        <v>4857</v>
      </c>
    </row>
    <row r="3466" spans="2:4">
      <c r="C3466" t="s">
        <v>4858</v>
      </c>
    </row>
    <row r="3467" spans="2:4">
      <c r="C3467" t="s">
        <v>4859</v>
      </c>
    </row>
    <row r="3468" spans="2:4">
      <c r="D3468" t="s">
        <v>4860</v>
      </c>
    </row>
    <row r="3469" spans="2:4">
      <c r="C3469" t="s">
        <v>4861</v>
      </c>
    </row>
    <row r="3471" spans="2:4">
      <c r="B3471" s="2" t="s">
        <v>5025</v>
      </c>
    </row>
    <row r="3472" spans="2:4">
      <c r="B3472" t="s">
        <v>1171</v>
      </c>
    </row>
    <row r="3473" spans="2:4">
      <c r="B3473" s="2"/>
      <c r="C3473" t="s">
        <v>5011</v>
      </c>
    </row>
    <row r="3474" spans="2:4">
      <c r="B3474" s="2"/>
      <c r="C3474" t="s">
        <v>5012</v>
      </c>
    </row>
    <row r="3475" spans="2:4">
      <c r="B3475" t="s">
        <v>5002</v>
      </c>
    </row>
    <row r="3476" spans="2:4">
      <c r="C3476" t="s">
        <v>5013</v>
      </c>
    </row>
    <row r="3477" spans="2:4">
      <c r="C3477" t="s">
        <v>5014</v>
      </c>
    </row>
    <row r="3478" spans="2:4">
      <c r="D3478" t="s">
        <v>5015</v>
      </c>
    </row>
    <row r="3479" spans="2:4">
      <c r="D3479" t="s">
        <v>5016</v>
      </c>
    </row>
    <row r="3480" spans="2:4">
      <c r="C3480" t="s">
        <v>4485</v>
      </c>
    </row>
    <row r="3481" spans="2:4">
      <c r="D3481" s="605" t="s">
        <v>5017</v>
      </c>
    </row>
    <row r="3482" spans="2:4">
      <c r="C3482" t="s">
        <v>119</v>
      </c>
      <c r="D3482" t="s">
        <v>5018</v>
      </c>
    </row>
    <row r="3483" spans="2:4">
      <c r="D3483" t="s">
        <v>5019</v>
      </c>
    </row>
    <row r="3484" spans="2:4">
      <c r="C3484" t="s">
        <v>5020</v>
      </c>
    </row>
    <row r="3485" spans="2:4">
      <c r="B3485" t="s">
        <v>16</v>
      </c>
    </row>
    <row r="3486" spans="2:4">
      <c r="C3486" t="s">
        <v>5023</v>
      </c>
    </row>
    <row r="3487" spans="2:4">
      <c r="D3487" t="s">
        <v>4087</v>
      </c>
    </row>
    <row r="3488" spans="2:4">
      <c r="D3488" t="s">
        <v>5024</v>
      </c>
    </row>
    <row r="3489" spans="2:5">
      <c r="C3489" t="s">
        <v>5021</v>
      </c>
    </row>
    <row r="3490" spans="2:5">
      <c r="C3490" t="s">
        <v>5022</v>
      </c>
    </row>
    <row r="3491" spans="2:5">
      <c r="B3491" t="s">
        <v>5009</v>
      </c>
    </row>
    <row r="3492" spans="2:5">
      <c r="C3492" t="s">
        <v>5030</v>
      </c>
    </row>
    <row r="3493" spans="2:5">
      <c r="B3493" t="s">
        <v>5010</v>
      </c>
    </row>
    <row r="3494" spans="2:5">
      <c r="B3494" t="s">
        <v>5000</v>
      </c>
    </row>
    <row r="3495" spans="2:5">
      <c r="C3495" t="s">
        <v>5028</v>
      </c>
    </row>
    <row r="3496" spans="2:5">
      <c r="C3496" t="s">
        <v>5029</v>
      </c>
    </row>
    <row r="3497" spans="2:5">
      <c r="B3497" t="s">
        <v>5001</v>
      </c>
    </row>
    <row r="3498" spans="2:5">
      <c r="C3498" t="s">
        <v>5026</v>
      </c>
    </row>
    <row r="3499" spans="2:5">
      <c r="D3499" s="10">
        <v>0.16700000000000001</v>
      </c>
      <c r="E3499" t="s">
        <v>5027</v>
      </c>
    </row>
    <row r="3500" spans="2:5">
      <c r="D3500" s="10">
        <v>0.20100000000000001</v>
      </c>
    </row>
    <row r="3501" spans="2:5">
      <c r="C3501" s="4">
        <f>(1+D3499)*Interims!AR26</f>
        <v>4560.0524999999998</v>
      </c>
    </row>
    <row r="3502" spans="2:5">
      <c r="C3502" s="4" t="e">
        <f>Interims!#REF!</f>
        <v>#REF!</v>
      </c>
    </row>
    <row r="3503" spans="2:5">
      <c r="C3503" s="4" t="e">
        <f>C3502-C3501</f>
        <v>#REF!</v>
      </c>
      <c r="D3503" s="4" t="e">
        <f>C3503*4</f>
        <v>#REF!</v>
      </c>
    </row>
    <row r="3505" spans="2:2">
      <c r="B3505" t="s">
        <v>5080</v>
      </c>
    </row>
    <row r="3507" spans="2:2">
      <c r="B3507" s="121" t="s">
        <v>5080</v>
      </c>
    </row>
    <row r="3509" spans="2:2">
      <c r="B3509" t="s">
        <v>5081</v>
      </c>
    </row>
    <row r="3510" spans="2:2">
      <c r="B3510" t="s">
        <v>5082</v>
      </c>
    </row>
    <row r="3511" spans="2:2">
      <c r="B3511" t="s">
        <v>5083</v>
      </c>
    </row>
    <row r="3513" spans="2:2">
      <c r="B3513" t="s">
        <v>5084</v>
      </c>
    </row>
    <row r="3514" spans="2:2">
      <c r="B3514" t="s">
        <v>5085</v>
      </c>
    </row>
    <row r="3516" spans="2:2">
      <c r="B3516" t="s">
        <v>5086</v>
      </c>
    </row>
    <row r="3517" spans="2:2">
      <c r="B3517" t="s">
        <v>5087</v>
      </c>
    </row>
    <row r="3518" spans="2:2">
      <c r="B3518" t="s">
        <v>5088</v>
      </c>
    </row>
    <row r="3520" spans="2:2">
      <c r="B3520" s="42" t="s">
        <v>5089</v>
      </c>
    </row>
    <row r="3522" spans="2:5">
      <c r="B3522" t="s">
        <v>5090</v>
      </c>
    </row>
    <row r="3523" spans="2:5">
      <c r="C3523" t="s">
        <v>4793</v>
      </c>
      <c r="D3523" t="s">
        <v>5091</v>
      </c>
    </row>
    <row r="3524" spans="2:5">
      <c r="D3524" t="s">
        <v>5092</v>
      </c>
    </row>
    <row r="3525" spans="2:5">
      <c r="D3525" t="s">
        <v>5093</v>
      </c>
    </row>
    <row r="3526" spans="2:5">
      <c r="E3526" t="s">
        <v>5094</v>
      </c>
    </row>
    <row r="3527" spans="2:5">
      <c r="B3527" s="136">
        <v>2020</v>
      </c>
    </row>
    <row r="3528" spans="2:5">
      <c r="C3528" t="s">
        <v>5095</v>
      </c>
    </row>
    <row r="3529" spans="2:5">
      <c r="D3529" t="s">
        <v>5096</v>
      </c>
    </row>
    <row r="3530" spans="2:5">
      <c r="B3530" t="s">
        <v>5097</v>
      </c>
    </row>
    <row r="3531" spans="2:5">
      <c r="C3531" t="s">
        <v>5098</v>
      </c>
    </row>
    <row r="3532" spans="2:5">
      <c r="C3532" t="s">
        <v>5099</v>
      </c>
    </row>
    <row r="3533" spans="2:5">
      <c r="C3533" t="s">
        <v>5100</v>
      </c>
    </row>
    <row r="3534" spans="2:5">
      <c r="D3534" t="s">
        <v>5101</v>
      </c>
    </row>
    <row r="3535" spans="2:5">
      <c r="C3535" t="s">
        <v>5102</v>
      </c>
    </row>
    <row r="3536" spans="2:5">
      <c r="D3536" t="s">
        <v>5103</v>
      </c>
    </row>
    <row r="3538" spans="2:7">
      <c r="B3538" s="61"/>
      <c r="C3538" s="130" t="s">
        <v>5104</v>
      </c>
      <c r="D3538" s="130" t="s">
        <v>5105</v>
      </c>
      <c r="E3538" s="130" t="s">
        <v>5106</v>
      </c>
      <c r="F3538" s="130" t="s">
        <v>2450</v>
      </c>
    </row>
    <row r="3539" spans="2:7">
      <c r="B3539" t="s">
        <v>4485</v>
      </c>
      <c r="C3539">
        <v>-2</v>
      </c>
      <c r="D3539">
        <v>-5</v>
      </c>
      <c r="E3539" s="568" t="s">
        <v>5107</v>
      </c>
      <c r="F3539" s="609" t="s">
        <v>5155</v>
      </c>
    </row>
    <row r="3540" spans="2:7">
      <c r="B3540" s="61" t="s">
        <v>5108</v>
      </c>
      <c r="C3540" s="61"/>
      <c r="D3540" s="61"/>
      <c r="E3540" s="61"/>
      <c r="F3540" s="610" t="s">
        <v>5109</v>
      </c>
    </row>
    <row r="3541" spans="2:7">
      <c r="F3541" s="609" t="s">
        <v>5110</v>
      </c>
    </row>
    <row r="3543" spans="2:7">
      <c r="B3543" t="s">
        <v>145</v>
      </c>
    </row>
    <row r="3544" spans="2:7">
      <c r="C3544" t="s">
        <v>5111</v>
      </c>
    </row>
    <row r="3545" spans="2:7">
      <c r="B3545" t="s">
        <v>2903</v>
      </c>
    </row>
    <row r="3546" spans="2:7">
      <c r="C3546" t="s">
        <v>5112</v>
      </c>
    </row>
    <row r="3547" spans="2:7">
      <c r="C3547" s="136">
        <v>2019</v>
      </c>
    </row>
    <row r="3548" spans="2:7">
      <c r="C3548" t="s">
        <v>5113</v>
      </c>
    </row>
    <row r="3549" spans="2:7">
      <c r="C3549" t="s">
        <v>5114</v>
      </c>
    </row>
    <row r="3550" spans="2:7">
      <c r="C3550" t="s">
        <v>5115</v>
      </c>
    </row>
    <row r="3551" spans="2:7">
      <c r="C3551" t="s">
        <v>35</v>
      </c>
      <c r="D3551" t="s">
        <v>5116</v>
      </c>
      <c r="E3551" t="s">
        <v>5117</v>
      </c>
      <c r="G3551" s="10">
        <v>0.04</v>
      </c>
    </row>
    <row r="3552" spans="2:7">
      <c r="C3552" t="s">
        <v>2238</v>
      </c>
      <c r="D3552" t="s">
        <v>5116</v>
      </c>
      <c r="E3552" t="s">
        <v>5118</v>
      </c>
      <c r="G3552" s="10">
        <v>6.5000000000000002E-2</v>
      </c>
    </row>
    <row r="3553" spans="2:14">
      <c r="C3553" t="s">
        <v>5119</v>
      </c>
    </row>
    <row r="3554" spans="2:14">
      <c r="D3554" t="s">
        <v>5120</v>
      </c>
    </row>
    <row r="3555" spans="2:14">
      <c r="D3555" t="s">
        <v>5121</v>
      </c>
    </row>
    <row r="3556" spans="2:14">
      <c r="C3556" t="s">
        <v>2903</v>
      </c>
      <c r="H3556" t="s">
        <v>74</v>
      </c>
      <c r="J3556" t="s">
        <v>5122</v>
      </c>
      <c r="M3556" t="s">
        <v>5123</v>
      </c>
    </row>
    <row r="3557" spans="2:14">
      <c r="C3557" t="s">
        <v>5124</v>
      </c>
      <c r="E3557" s="3" t="s">
        <v>5125</v>
      </c>
      <c r="F3557" s="3" t="s">
        <v>5126</v>
      </c>
      <c r="H3557" t="s">
        <v>2250</v>
      </c>
      <c r="I3557" t="s">
        <v>5127</v>
      </c>
      <c r="J3557">
        <v>13</v>
      </c>
      <c r="K3557" s="5">
        <v>43374</v>
      </c>
      <c r="M3557" t="s">
        <v>5128</v>
      </c>
      <c r="N3557" s="5">
        <v>43647</v>
      </c>
    </row>
    <row r="3558" spans="2:14">
      <c r="C3558" s="136">
        <v>2016</v>
      </c>
      <c r="D3558">
        <v>4.7</v>
      </c>
      <c r="E3558" s="8">
        <v>0.68</v>
      </c>
      <c r="I3558" t="s">
        <v>5129</v>
      </c>
      <c r="K3558" s="5">
        <v>43405</v>
      </c>
      <c r="M3558" t="s">
        <v>5130</v>
      </c>
      <c r="N3558" s="5">
        <v>43678</v>
      </c>
    </row>
    <row r="3559" spans="2:14">
      <c r="C3559" s="136">
        <f>C3558+1</f>
        <v>2017</v>
      </c>
      <c r="D3559" s="419">
        <v>5.07</v>
      </c>
      <c r="E3559" s="8">
        <v>0.63</v>
      </c>
      <c r="I3559" t="s">
        <v>5131</v>
      </c>
      <c r="K3559" s="5">
        <v>43435</v>
      </c>
      <c r="M3559" t="s">
        <v>5132</v>
      </c>
      <c r="N3559" s="5">
        <v>43709</v>
      </c>
    </row>
    <row r="3560" spans="2:14">
      <c r="C3560" s="136">
        <f>C3559+1</f>
        <v>2018</v>
      </c>
      <c r="D3560">
        <v>5.5</v>
      </c>
      <c r="E3560" s="8">
        <v>0.61499999999999999</v>
      </c>
    </row>
    <row r="3561" spans="2:14">
      <c r="C3561" s="136">
        <f>C3560+1</f>
        <v>2019</v>
      </c>
      <c r="D3561">
        <v>5.3</v>
      </c>
      <c r="E3561" s="8">
        <v>0.629</v>
      </c>
    </row>
    <row r="3562" spans="2:14">
      <c r="C3562" s="136" t="s">
        <v>5133</v>
      </c>
      <c r="E3562" s="8"/>
    </row>
    <row r="3563" spans="2:14">
      <c r="C3563" s="136" t="s">
        <v>5134</v>
      </c>
      <c r="E3563" s="8"/>
    </row>
    <row r="3564" spans="2:14">
      <c r="C3564" s="136" t="s">
        <v>5135</v>
      </c>
      <c r="E3564" s="8"/>
    </row>
    <row r="3565" spans="2:14">
      <c r="B3565" t="s">
        <v>1861</v>
      </c>
    </row>
    <row r="3566" spans="2:14">
      <c r="C3566" t="s">
        <v>5136</v>
      </c>
    </row>
    <row r="3567" spans="2:14">
      <c r="C3567" s="136" t="s">
        <v>5137</v>
      </c>
    </row>
    <row r="3568" spans="2:14">
      <c r="C3568" t="s">
        <v>5138</v>
      </c>
    </row>
    <row r="3569" spans="2:4">
      <c r="D3569" t="s">
        <v>5139</v>
      </c>
    </row>
    <row r="3570" spans="2:4">
      <c r="B3570" t="s">
        <v>5140</v>
      </c>
    </row>
    <row r="3571" spans="2:4">
      <c r="C3571" t="s">
        <v>2480</v>
      </c>
    </row>
    <row r="3572" spans="2:4">
      <c r="C3572">
        <v>2019</v>
      </c>
      <c r="D3572" t="s">
        <v>5141</v>
      </c>
    </row>
    <row r="3573" spans="2:4">
      <c r="C3573">
        <v>2020</v>
      </c>
      <c r="D3573" t="s">
        <v>5142</v>
      </c>
    </row>
    <row r="3574" spans="2:4">
      <c r="B3574" t="s">
        <v>2335</v>
      </c>
    </row>
    <row r="3575" spans="2:4">
      <c r="C3575" s="426">
        <v>43800</v>
      </c>
    </row>
    <row r="3576" spans="2:4">
      <c r="C3576" t="s">
        <v>5143</v>
      </c>
    </row>
    <row r="3577" spans="2:4">
      <c r="D3577" t="s">
        <v>3738</v>
      </c>
    </row>
    <row r="3578" spans="2:4">
      <c r="C3578">
        <v>2020</v>
      </c>
      <c r="D3578" t="s">
        <v>5144</v>
      </c>
    </row>
    <row r="3579" spans="2:4">
      <c r="C3579">
        <v>2021</v>
      </c>
      <c r="D3579" t="s">
        <v>5145</v>
      </c>
    </row>
    <row r="3580" spans="2:4">
      <c r="B3580" t="s">
        <v>5146</v>
      </c>
    </row>
    <row r="3581" spans="2:4">
      <c r="C3581" t="s">
        <v>5147</v>
      </c>
    </row>
    <row r="3582" spans="2:4">
      <c r="C3582" t="s">
        <v>5148</v>
      </c>
    </row>
    <row r="3583" spans="2:4">
      <c r="C3583" t="s">
        <v>5149</v>
      </c>
    </row>
    <row r="3584" spans="2:4">
      <c r="D3584" t="s">
        <v>5150</v>
      </c>
    </row>
    <row r="3585" spans="2:4">
      <c r="D3585" t="s">
        <v>5151</v>
      </c>
    </row>
    <row r="3587" spans="2:4">
      <c r="B3587" s="2" t="s">
        <v>5152</v>
      </c>
    </row>
    <row r="3589" spans="2:4">
      <c r="B3589" t="s">
        <v>5153</v>
      </c>
    </row>
    <row r="3590" spans="2:4">
      <c r="B3590" t="s">
        <v>5154</v>
      </c>
    </row>
    <row r="3592" spans="2:4">
      <c r="B3592" s="2" t="s">
        <v>4676</v>
      </c>
    </row>
    <row r="3594" spans="2:4">
      <c r="B3594" t="s">
        <v>5156</v>
      </c>
    </row>
    <row r="3595" spans="2:4">
      <c r="B3595" t="s">
        <v>5157</v>
      </c>
    </row>
    <row r="3596" spans="2:4">
      <c r="B3596" t="s">
        <v>5158</v>
      </c>
    </row>
    <row r="3597" spans="2:4">
      <c r="B3597" t="s">
        <v>5159</v>
      </c>
    </row>
    <row r="3599" spans="2:4">
      <c r="B3599" t="s">
        <v>5160</v>
      </c>
    </row>
    <row r="3600" spans="2:4">
      <c r="C3600" t="s">
        <v>5161</v>
      </c>
    </row>
    <row r="3601" spans="2:3">
      <c r="C3601" t="s">
        <v>5162</v>
      </c>
    </row>
    <row r="3602" spans="2:3">
      <c r="B3602" t="s">
        <v>5163</v>
      </c>
    </row>
    <row r="3603" spans="2:3">
      <c r="C3603" t="s">
        <v>5164</v>
      </c>
    </row>
    <row r="3604" spans="2:3">
      <c r="C3604" t="s">
        <v>5165</v>
      </c>
    </row>
    <row r="3605" spans="2:3">
      <c r="C3605" t="s">
        <v>748</v>
      </c>
    </row>
    <row r="3606" spans="2:3">
      <c r="B3606" t="s">
        <v>5166</v>
      </c>
    </row>
    <row r="3607" spans="2:3">
      <c r="B3607" t="s">
        <v>5167</v>
      </c>
    </row>
    <row r="3609" spans="2:3">
      <c r="B3609" s="2" t="s">
        <v>3739</v>
      </c>
    </row>
    <row r="3610" spans="2:3">
      <c r="B3610" t="s">
        <v>5168</v>
      </c>
    </row>
    <row r="3612" spans="2:3">
      <c r="B3612" s="121" t="s">
        <v>5182</v>
      </c>
    </row>
    <row r="3614" spans="2:3">
      <c r="B3614" t="s">
        <v>5183</v>
      </c>
    </row>
    <row r="3615" spans="2:3">
      <c r="B3615" t="s">
        <v>5184</v>
      </c>
    </row>
    <row r="3616" spans="2:3">
      <c r="C3616" s="8">
        <v>7.0000000000000007E-2</v>
      </c>
    </row>
    <row r="3617" spans="2:4">
      <c r="B3617" t="s">
        <v>2384</v>
      </c>
    </row>
    <row r="3618" spans="2:4">
      <c r="C3618" t="s">
        <v>5185</v>
      </c>
    </row>
    <row r="3619" spans="2:4">
      <c r="C3619" t="s">
        <v>5186</v>
      </c>
    </row>
    <row r="3620" spans="2:4">
      <c r="C3620" t="s">
        <v>5187</v>
      </c>
    </row>
    <row r="3621" spans="2:4">
      <c r="C3621" t="s">
        <v>5193</v>
      </c>
    </row>
    <row r="3622" spans="2:4">
      <c r="D3622" t="s">
        <v>5194</v>
      </c>
    </row>
    <row r="3623" spans="2:4">
      <c r="D3623" t="s">
        <v>5195</v>
      </c>
    </row>
    <row r="3624" spans="2:4">
      <c r="C3624" t="s">
        <v>5196</v>
      </c>
    </row>
    <row r="3625" spans="2:4">
      <c r="D3625" t="s">
        <v>5197</v>
      </c>
    </row>
    <row r="3626" spans="2:4">
      <c r="D3626" t="s">
        <v>5198</v>
      </c>
    </row>
    <row r="3627" spans="2:4">
      <c r="D3627" t="s">
        <v>5199</v>
      </c>
    </row>
    <row r="3628" spans="2:4">
      <c r="B3628" t="s">
        <v>16</v>
      </c>
    </row>
    <row r="3629" spans="2:4">
      <c r="C3629" t="s">
        <v>5188</v>
      </c>
    </row>
    <row r="3630" spans="2:4">
      <c r="C3630" t="s">
        <v>5189</v>
      </c>
    </row>
    <row r="3631" spans="2:4">
      <c r="C3631" t="s">
        <v>5190</v>
      </c>
    </row>
    <row r="3632" spans="2:4">
      <c r="D3632" t="s">
        <v>5191</v>
      </c>
    </row>
    <row r="3633" spans="2:4">
      <c r="D3633" t="s">
        <v>5192</v>
      </c>
    </row>
    <row r="3635" spans="2:4">
      <c r="B3635" s="121" t="s">
        <v>5200</v>
      </c>
    </row>
    <row r="3637" spans="2:4">
      <c r="B3637" t="s">
        <v>5224</v>
      </c>
    </row>
    <row r="3638" spans="2:4">
      <c r="C3638" t="s">
        <v>5225</v>
      </c>
    </row>
    <row r="3639" spans="2:4">
      <c r="C3639" t="s">
        <v>5226</v>
      </c>
    </row>
    <row r="3640" spans="2:4">
      <c r="B3640" t="s">
        <v>5227</v>
      </c>
    </row>
    <row r="3641" spans="2:4">
      <c r="C3641" t="s">
        <v>5228</v>
      </c>
    </row>
    <row r="3642" spans="2:4">
      <c r="C3642" t="s">
        <v>5229</v>
      </c>
    </row>
    <row r="3643" spans="2:4">
      <c r="C3643" t="s">
        <v>5230</v>
      </c>
    </row>
    <row r="3644" spans="2:4">
      <c r="D3644" t="s">
        <v>5231</v>
      </c>
    </row>
    <row r="3645" spans="2:4">
      <c r="B3645" t="s">
        <v>5201</v>
      </c>
    </row>
    <row r="3646" spans="2:4">
      <c r="C3646" t="s">
        <v>5202</v>
      </c>
    </row>
    <row r="3647" spans="2:4">
      <c r="C3647" t="s">
        <v>5203</v>
      </c>
    </row>
    <row r="3648" spans="2:4">
      <c r="C3648" t="s">
        <v>5204</v>
      </c>
    </row>
    <row r="3649" spans="2:4">
      <c r="D3649" t="s">
        <v>5213</v>
      </c>
    </row>
    <row r="3650" spans="2:4">
      <c r="D3650" t="s">
        <v>5214</v>
      </c>
    </row>
    <row r="3651" spans="2:4">
      <c r="B3651" t="s">
        <v>5205</v>
      </c>
    </row>
    <row r="3652" spans="2:4">
      <c r="C3652" t="s">
        <v>5206</v>
      </c>
    </row>
    <row r="3653" spans="2:4">
      <c r="C3653" t="s">
        <v>5207</v>
      </c>
    </row>
    <row r="3654" spans="2:4">
      <c r="C3654" t="s">
        <v>5208</v>
      </c>
    </row>
    <row r="3656" spans="2:4">
      <c r="C3656" t="s">
        <v>5209</v>
      </c>
    </row>
    <row r="3657" spans="2:4">
      <c r="B3657" t="s">
        <v>5210</v>
      </c>
    </row>
    <row r="3658" spans="2:4">
      <c r="C3658" t="s">
        <v>5211</v>
      </c>
    </row>
    <row r="3659" spans="2:4">
      <c r="B3659" t="s">
        <v>5212</v>
      </c>
    </row>
    <row r="3660" spans="2:4">
      <c r="C3660" t="s">
        <v>5215</v>
      </c>
    </row>
    <row r="3661" spans="2:4">
      <c r="B3661" t="s">
        <v>5216</v>
      </c>
    </row>
    <row r="3662" spans="2:4">
      <c r="C3662" t="s">
        <v>5217</v>
      </c>
    </row>
    <row r="3663" spans="2:4">
      <c r="D3663" t="s">
        <v>5218</v>
      </c>
    </row>
    <row r="3664" spans="2:4">
      <c r="B3664" t="s">
        <v>5219</v>
      </c>
    </row>
    <row r="3665" spans="2:4">
      <c r="C3665" t="s">
        <v>5220</v>
      </c>
    </row>
    <row r="3666" spans="2:4">
      <c r="B3666" t="s">
        <v>5221</v>
      </c>
    </row>
    <row r="3667" spans="2:4">
      <c r="C3667" t="s">
        <v>5222</v>
      </c>
    </row>
    <row r="3668" spans="2:4">
      <c r="D3668" t="s">
        <v>5223</v>
      </c>
    </row>
    <row r="3669" spans="2:4">
      <c r="B3669" t="s">
        <v>16</v>
      </c>
    </row>
    <row r="3670" spans="2:4">
      <c r="C3670" t="s">
        <v>5232</v>
      </c>
    </row>
    <row r="3671" spans="2:4">
      <c r="D3671" t="s">
        <v>5236</v>
      </c>
    </row>
    <row r="3672" spans="2:4">
      <c r="C3672" t="s">
        <v>5233</v>
      </c>
    </row>
    <row r="3673" spans="2:4">
      <c r="B3673" t="s">
        <v>87</v>
      </c>
    </row>
    <row r="3674" spans="2:4">
      <c r="C3674" t="s">
        <v>5234</v>
      </c>
    </row>
    <row r="3675" spans="2:4">
      <c r="D3675" t="s">
        <v>5235</v>
      </c>
    </row>
    <row r="3676" spans="2:4">
      <c r="B3676" t="s">
        <v>4611</v>
      </c>
    </row>
    <row r="3677" spans="2:4">
      <c r="C3677" t="s">
        <v>5237</v>
      </c>
    </row>
    <row r="3678" spans="2:4">
      <c r="C3678" t="s">
        <v>5238</v>
      </c>
    </row>
    <row r="3679" spans="2:4">
      <c r="C3679" t="s">
        <v>5239</v>
      </c>
    </row>
    <row r="3680" spans="2:4">
      <c r="B3680" t="s">
        <v>57</v>
      </c>
    </row>
    <row r="3681" spans="2:4">
      <c r="C3681" s="2" t="s">
        <v>145</v>
      </c>
    </row>
    <row r="3682" spans="2:4">
      <c r="C3682" t="s">
        <v>5240</v>
      </c>
    </row>
    <row r="3683" spans="2:4">
      <c r="C3683" t="s">
        <v>5241</v>
      </c>
    </row>
    <row r="3684" spans="2:4">
      <c r="C3684" t="s">
        <v>3506</v>
      </c>
    </row>
    <row r="3685" spans="2:4">
      <c r="C3685" s="2" t="s">
        <v>5242</v>
      </c>
    </row>
    <row r="3686" spans="2:4">
      <c r="C3686" t="s">
        <v>5243</v>
      </c>
    </row>
    <row r="3687" spans="2:4">
      <c r="C3687" t="s">
        <v>5244</v>
      </c>
    </row>
    <row r="3688" spans="2:4">
      <c r="D3688" t="s">
        <v>5245</v>
      </c>
    </row>
    <row r="3690" spans="2:4">
      <c r="B3690" s="121" t="s">
        <v>5259</v>
      </c>
    </row>
    <row r="3692" spans="2:4">
      <c r="B3692" t="s">
        <v>3324</v>
      </c>
      <c r="C3692" t="s">
        <v>5260</v>
      </c>
    </row>
    <row r="3693" spans="2:4">
      <c r="D3693" t="s">
        <v>5261</v>
      </c>
    </row>
    <row r="3694" spans="2:4">
      <c r="C3694" t="s">
        <v>5262</v>
      </c>
    </row>
    <row r="3695" spans="2:4">
      <c r="D3695" t="s">
        <v>5263</v>
      </c>
    </row>
    <row r="3696" spans="2:4">
      <c r="D3696" t="s">
        <v>5264</v>
      </c>
    </row>
    <row r="3697" spans="2:4">
      <c r="C3697" t="s">
        <v>5266</v>
      </c>
    </row>
    <row r="3698" spans="2:4">
      <c r="C3698" t="s">
        <v>5268</v>
      </c>
    </row>
    <row r="3699" spans="2:4">
      <c r="D3699" t="s">
        <v>5267</v>
      </c>
    </row>
    <row r="3700" spans="2:4">
      <c r="C3700" t="s">
        <v>5265</v>
      </c>
    </row>
    <row r="3701" spans="2:4">
      <c r="B3701" t="s">
        <v>5206</v>
      </c>
    </row>
    <row r="3702" spans="2:4">
      <c r="C3702" t="s">
        <v>5269</v>
      </c>
    </row>
    <row r="3703" spans="2:4">
      <c r="B3703" t="s">
        <v>5270</v>
      </c>
    </row>
    <row r="3704" spans="2:4">
      <c r="C3704" t="s">
        <v>5271</v>
      </c>
    </row>
    <row r="3705" spans="2:4">
      <c r="B3705" t="s">
        <v>4128</v>
      </c>
    </row>
    <row r="3706" spans="2:4">
      <c r="C3706" t="s">
        <v>5272</v>
      </c>
    </row>
    <row r="3707" spans="2:4">
      <c r="C3707" t="s">
        <v>5273</v>
      </c>
    </row>
    <row r="3708" spans="2:4">
      <c r="C3708" t="s">
        <v>5274</v>
      </c>
    </row>
    <row r="3709" spans="2:4">
      <c r="C3709" t="s">
        <v>5275</v>
      </c>
    </row>
    <row r="3711" spans="2:4">
      <c r="C3711" t="s">
        <v>5276</v>
      </c>
    </row>
    <row r="3713" spans="2:4">
      <c r="C3713" t="s">
        <v>5277</v>
      </c>
    </row>
    <row r="3714" spans="2:4">
      <c r="C3714" t="s">
        <v>5278</v>
      </c>
    </row>
    <row r="3715" spans="2:4">
      <c r="C3715" t="s">
        <v>5279</v>
      </c>
    </row>
    <row r="3716" spans="2:4">
      <c r="C3716" t="s">
        <v>5280</v>
      </c>
    </row>
    <row r="3717" spans="2:4">
      <c r="B3717" t="s">
        <v>5281</v>
      </c>
    </row>
    <row r="3718" spans="2:4">
      <c r="C3718" s="264" t="s">
        <v>5282</v>
      </c>
    </row>
    <row r="3719" spans="2:4">
      <c r="C3719" t="s">
        <v>5283</v>
      </c>
    </row>
    <row r="3720" spans="2:4">
      <c r="B3720" t="s">
        <v>5284</v>
      </c>
    </row>
    <row r="3722" spans="2:4">
      <c r="B3722" t="s">
        <v>5285</v>
      </c>
    </row>
    <row r="3723" spans="2:4">
      <c r="B3723" t="s">
        <v>16</v>
      </c>
    </row>
    <row r="3724" spans="2:4">
      <c r="C3724" t="s">
        <v>5290</v>
      </c>
    </row>
    <row r="3725" spans="2:4">
      <c r="D3725" t="s">
        <v>5291</v>
      </c>
    </row>
    <row r="3726" spans="2:4">
      <c r="C3726" t="s">
        <v>5286</v>
      </c>
    </row>
    <row r="3727" spans="2:4">
      <c r="D3727" t="s">
        <v>5287</v>
      </c>
    </row>
    <row r="3728" spans="2:4">
      <c r="D3728" t="s">
        <v>5288</v>
      </c>
    </row>
    <row r="3729" spans="1:7">
      <c r="C3729" t="s">
        <v>5289</v>
      </c>
    </row>
    <row r="3731" spans="1:7">
      <c r="B3731" t="s">
        <v>5292</v>
      </c>
    </row>
    <row r="3732" spans="1:7">
      <c r="C3732" t="s">
        <v>5293</v>
      </c>
    </row>
    <row r="3733" spans="1:7">
      <c r="C3733" t="s">
        <v>5294</v>
      </c>
    </row>
    <row r="3735" spans="1:7">
      <c r="B3735" s="121" t="s">
        <v>5307</v>
      </c>
    </row>
    <row r="3737" spans="1:7">
      <c r="B3737" s="2" t="s">
        <v>145</v>
      </c>
    </row>
    <row r="3738" spans="1:7">
      <c r="A3738" t="s">
        <v>2024</v>
      </c>
      <c r="B3738" t="s">
        <v>5331</v>
      </c>
    </row>
    <row r="3739" spans="1:7">
      <c r="C3739" t="s">
        <v>5333</v>
      </c>
    </row>
    <row r="3740" spans="1:7">
      <c r="B3740" s="2" t="s">
        <v>201</v>
      </c>
    </row>
    <row r="3741" spans="1:7">
      <c r="A3741" t="s">
        <v>2024</v>
      </c>
      <c r="C3741" t="s">
        <v>5359</v>
      </c>
    </row>
    <row r="3742" spans="1:7">
      <c r="C3742" t="s">
        <v>5363</v>
      </c>
    </row>
    <row r="3744" spans="1:7">
      <c r="E3744">
        <v>2019</v>
      </c>
      <c r="F3744" t="s">
        <v>5413</v>
      </c>
      <c r="G3744" t="s">
        <v>5414</v>
      </c>
    </row>
    <row r="3745" spans="1:14">
      <c r="B3745" s="136" t="s">
        <v>5370</v>
      </c>
      <c r="C3745" t="s">
        <v>5369</v>
      </c>
      <c r="E3745" s="4">
        <f>Master!R95</f>
        <v>107.8</v>
      </c>
      <c r="F3745" s="4">
        <f>E3745</f>
        <v>107.8</v>
      </c>
      <c r="G3745" s="4">
        <f>775-G3746-G3747</f>
        <v>65.899999999999977</v>
      </c>
    </row>
    <row r="3746" spans="1:14">
      <c r="B3746" s="136"/>
      <c r="E3746" s="4">
        <f>Master!R96</f>
        <v>209.1</v>
      </c>
      <c r="F3746" s="4">
        <f>E3746</f>
        <v>209.1</v>
      </c>
      <c r="G3746" s="4">
        <f>F3746</f>
        <v>209.1</v>
      </c>
    </row>
    <row r="3747" spans="1:14">
      <c r="E3747" s="4">
        <f>Master!R97</f>
        <v>673.6</v>
      </c>
      <c r="F3747">
        <v>575</v>
      </c>
      <c r="G3747">
        <v>500</v>
      </c>
    </row>
    <row r="3748" spans="1:14">
      <c r="E3748" s="4">
        <f>Master!R98</f>
        <v>990.5</v>
      </c>
      <c r="F3748" s="4">
        <f>SUM(F3745:F3747)</f>
        <v>891.9</v>
      </c>
      <c r="G3748" s="568">
        <v>775</v>
      </c>
    </row>
    <row r="3749" spans="1:14">
      <c r="E3749" s="4"/>
    </row>
    <row r="3751" spans="1:14">
      <c r="A3751" t="s">
        <v>2024</v>
      </c>
      <c r="B3751" t="s">
        <v>5332</v>
      </c>
      <c r="F3751" t="s">
        <v>5371</v>
      </c>
    </row>
    <row r="3752" spans="1:14">
      <c r="C3752" t="s">
        <v>5318</v>
      </c>
    </row>
    <row r="3753" spans="1:14">
      <c r="B3753" t="s">
        <v>5322</v>
      </c>
    </row>
    <row r="3755" spans="1:14">
      <c r="B3755" s="2" t="s">
        <v>204</v>
      </c>
    </row>
    <row r="3756" spans="1:14">
      <c r="A3756" t="s">
        <v>2024</v>
      </c>
      <c r="B3756" t="s">
        <v>5325</v>
      </c>
    </row>
    <row r="3757" spans="1:14">
      <c r="C3757" t="s">
        <v>5321</v>
      </c>
    </row>
    <row r="3758" spans="1:14">
      <c r="C3758" t="s">
        <v>5323</v>
      </c>
    </row>
    <row r="3759" spans="1:14">
      <c r="N3759" s="2" t="s">
        <v>16</v>
      </c>
    </row>
    <row r="3760" spans="1:14">
      <c r="B3760" s="2" t="s">
        <v>16</v>
      </c>
    </row>
    <row r="3761" spans="1:14">
      <c r="A3761" t="s">
        <v>2024</v>
      </c>
      <c r="B3761" s="2"/>
      <c r="C3761" t="s">
        <v>5360</v>
      </c>
      <c r="N3761" t="s">
        <v>5399</v>
      </c>
    </row>
    <row r="3762" spans="1:14">
      <c r="A3762" t="s">
        <v>2024</v>
      </c>
      <c r="C3762" t="s">
        <v>5361</v>
      </c>
      <c r="N3762" t="s">
        <v>5400</v>
      </c>
    </row>
    <row r="3763" spans="1:14">
      <c r="C3763" t="s">
        <v>5362</v>
      </c>
    </row>
    <row r="3764" spans="1:14">
      <c r="D3764" t="s">
        <v>5319</v>
      </c>
    </row>
    <row r="3765" spans="1:14">
      <c r="C3765" t="s">
        <v>5335</v>
      </c>
    </row>
    <row r="3766" spans="1:14">
      <c r="B3766" s="2" t="s">
        <v>87</v>
      </c>
    </row>
    <row r="3767" spans="1:14">
      <c r="C3767" t="s">
        <v>5320</v>
      </c>
      <c r="H3767">
        <f>6/18</f>
        <v>0.33333333333333331</v>
      </c>
    </row>
    <row r="3768" spans="1:14">
      <c r="H3768" s="8">
        <f>H3767*66%</f>
        <v>0.22</v>
      </c>
    </row>
    <row r="3769" spans="1:14">
      <c r="B3769" s="2" t="s">
        <v>5327</v>
      </c>
      <c r="H3769">
        <f>H3768*Interims!$AX$163</f>
        <v>26606.052</v>
      </c>
    </row>
    <row r="3770" spans="1:14">
      <c r="B3770" s="2"/>
    </row>
    <row r="3771" spans="1:14">
      <c r="B3771" s="2" t="s">
        <v>5342</v>
      </c>
    </row>
    <row r="3772" spans="1:14">
      <c r="B3772" t="s">
        <v>5326</v>
      </c>
      <c r="H3772">
        <f>H3769/Master!S73</f>
        <v>0.68554100329036372</v>
      </c>
    </row>
    <row r="3773" spans="1:14">
      <c r="B3773" t="s">
        <v>5328</v>
      </c>
      <c r="C3773" t="s">
        <v>5329</v>
      </c>
    </row>
    <row r="3774" spans="1:14">
      <c r="C3774" t="s">
        <v>5330</v>
      </c>
    </row>
    <row r="3775" spans="1:14">
      <c r="C3775" t="s">
        <v>5334</v>
      </c>
    </row>
    <row r="3776" spans="1:14">
      <c r="B3776" t="s">
        <v>5336</v>
      </c>
    </row>
    <row r="3777" spans="2:3">
      <c r="C3777" t="s">
        <v>5337</v>
      </c>
    </row>
    <row r="3778" spans="2:3">
      <c r="B3778" t="s">
        <v>5338</v>
      </c>
    </row>
    <row r="3779" spans="2:3">
      <c r="C3779" t="s">
        <v>5339</v>
      </c>
    </row>
    <row r="3780" spans="2:3">
      <c r="C3780" t="s">
        <v>5340</v>
      </c>
    </row>
    <row r="3781" spans="2:3">
      <c r="C3781" t="s">
        <v>5341</v>
      </c>
    </row>
    <row r="3782" spans="2:3">
      <c r="B3782" s="2" t="s">
        <v>5343</v>
      </c>
    </row>
    <row r="3783" spans="2:3">
      <c r="B3783" t="s">
        <v>5344</v>
      </c>
    </row>
    <row r="3784" spans="2:3">
      <c r="B3784" t="s">
        <v>5345</v>
      </c>
    </row>
    <row r="3785" spans="2:3">
      <c r="C3785" t="s">
        <v>5346</v>
      </c>
    </row>
    <row r="3786" spans="2:3">
      <c r="C3786" s="264" t="s">
        <v>5347</v>
      </c>
    </row>
    <row r="3787" spans="2:3">
      <c r="C3787" t="s">
        <v>5348</v>
      </c>
    </row>
    <row r="3788" spans="2:3">
      <c r="B3788" t="s">
        <v>5349</v>
      </c>
    </row>
    <row r="3789" spans="2:3">
      <c r="C3789" t="s">
        <v>5350</v>
      </c>
    </row>
    <row r="3790" spans="2:3">
      <c r="C3790" t="s">
        <v>5351</v>
      </c>
    </row>
    <row r="3791" spans="2:3">
      <c r="B3791" t="s">
        <v>5352</v>
      </c>
    </row>
    <row r="3792" spans="2:3">
      <c r="C3792" t="s">
        <v>5353</v>
      </c>
    </row>
    <row r="3793" spans="2:4">
      <c r="B3793" t="s">
        <v>5354</v>
      </c>
    </row>
    <row r="3794" spans="2:4">
      <c r="C3794" t="s">
        <v>5355</v>
      </c>
    </row>
    <row r="3795" spans="2:4">
      <c r="D3795" t="s">
        <v>5356</v>
      </c>
    </row>
    <row r="3796" spans="2:4">
      <c r="D3796" t="s">
        <v>5357</v>
      </c>
    </row>
    <row r="3797" spans="2:4">
      <c r="B3797" s="431">
        <v>2020</v>
      </c>
    </row>
    <row r="3798" spans="2:4">
      <c r="C3798" t="s">
        <v>5358</v>
      </c>
    </row>
    <row r="3800" spans="2:4">
      <c r="B3800" s="2" t="s">
        <v>4163</v>
      </c>
    </row>
    <row r="3801" spans="2:4">
      <c r="C3801" t="s">
        <v>5364</v>
      </c>
    </row>
    <row r="3802" spans="2:4">
      <c r="C3802" t="s">
        <v>5365</v>
      </c>
    </row>
    <row r="3803" spans="2:4">
      <c r="D3803" t="s">
        <v>5366</v>
      </c>
    </row>
    <row r="3804" spans="2:4">
      <c r="D3804" t="s">
        <v>5367</v>
      </c>
    </row>
    <row r="3805" spans="2:4">
      <c r="C3805" t="s">
        <v>5368</v>
      </c>
    </row>
    <row r="3807" spans="2:4">
      <c r="B3807" s="121" t="s">
        <v>1259</v>
      </c>
    </row>
    <row r="3809" spans="2:3">
      <c r="B3809" t="s">
        <v>5372</v>
      </c>
    </row>
    <row r="3810" spans="2:3">
      <c r="C3810" t="s">
        <v>5374</v>
      </c>
    </row>
    <row r="3811" spans="2:3">
      <c r="B3811" t="s">
        <v>1654</v>
      </c>
    </row>
    <row r="3812" spans="2:3">
      <c r="C3812" t="s">
        <v>5373</v>
      </c>
    </row>
    <row r="3813" spans="2:3">
      <c r="C3813" t="s">
        <v>5375</v>
      </c>
    </row>
    <row r="3814" spans="2:3">
      <c r="B3814" t="s">
        <v>3324</v>
      </c>
    </row>
    <row r="3815" spans="2:3">
      <c r="C3815" t="s">
        <v>5376</v>
      </c>
    </row>
    <row r="3816" spans="2:3">
      <c r="C3816" t="s">
        <v>5377</v>
      </c>
    </row>
    <row r="3817" spans="2:3">
      <c r="B3817" t="s">
        <v>87</v>
      </c>
    </row>
    <row r="3818" spans="2:3">
      <c r="C3818" t="s">
        <v>5378</v>
      </c>
    </row>
    <row r="3819" spans="2:3">
      <c r="C3819" t="s">
        <v>5379</v>
      </c>
    </row>
    <row r="3820" spans="2:3">
      <c r="B3820" t="s">
        <v>16</v>
      </c>
    </row>
    <row r="3821" spans="2:3">
      <c r="C3821" t="s">
        <v>5380</v>
      </c>
    </row>
    <row r="3822" spans="2:3">
      <c r="B3822" t="s">
        <v>145</v>
      </c>
    </row>
    <row r="3823" spans="2:3">
      <c r="C3823" t="s">
        <v>5381</v>
      </c>
    </row>
    <row r="3825" spans="2:4">
      <c r="C3825" t="s">
        <v>5382</v>
      </c>
    </row>
    <row r="3826" spans="2:4">
      <c r="C3826" t="s">
        <v>5384</v>
      </c>
    </row>
    <row r="3827" spans="2:4">
      <c r="C3827" t="s">
        <v>5383</v>
      </c>
    </row>
    <row r="3828" spans="2:4">
      <c r="C3828" t="s">
        <v>5385</v>
      </c>
    </row>
    <row r="3829" spans="2:4">
      <c r="C3829" t="s">
        <v>5386</v>
      </c>
    </row>
    <row r="3830" spans="2:4">
      <c r="B3830" t="s">
        <v>5388</v>
      </c>
    </row>
    <row r="3831" spans="2:4">
      <c r="C3831" t="s">
        <v>5389</v>
      </c>
    </row>
    <row r="3832" spans="2:4">
      <c r="C3832" t="s">
        <v>5390</v>
      </c>
    </row>
    <row r="3833" spans="2:4">
      <c r="B3833" t="s">
        <v>5387</v>
      </c>
    </row>
    <row r="3834" spans="2:4">
      <c r="C3834" t="s">
        <v>5391</v>
      </c>
    </row>
    <row r="3835" spans="2:4">
      <c r="C3835" t="s">
        <v>5392</v>
      </c>
    </row>
    <row r="3836" spans="2:4">
      <c r="B3836" t="s">
        <v>3324</v>
      </c>
    </row>
    <row r="3837" spans="2:4">
      <c r="C3837" t="s">
        <v>5393</v>
      </c>
    </row>
    <row r="3838" spans="2:4">
      <c r="D3838" t="s">
        <v>5395</v>
      </c>
    </row>
    <row r="3839" spans="2:4">
      <c r="D3839" t="s">
        <v>5396</v>
      </c>
    </row>
    <row r="3840" spans="2:4">
      <c r="C3840" t="s">
        <v>5394</v>
      </c>
    </row>
    <row r="3841" spans="2:4">
      <c r="B3841" t="s">
        <v>16</v>
      </c>
    </row>
    <row r="3842" spans="2:4">
      <c r="C3842" t="s">
        <v>5397</v>
      </c>
    </row>
    <row r="3844" spans="2:4">
      <c r="B3844" s="2" t="s">
        <v>16</v>
      </c>
    </row>
    <row r="3845" spans="2:4">
      <c r="C3845" t="s">
        <v>5398</v>
      </c>
    </row>
    <row r="3847" spans="2:4">
      <c r="B3847" s="2" t="s">
        <v>5401</v>
      </c>
    </row>
    <row r="3848" spans="2:4">
      <c r="C3848" t="s">
        <v>5402</v>
      </c>
    </row>
    <row r="3849" spans="2:4">
      <c r="C3849" s="2" t="s">
        <v>5412</v>
      </c>
    </row>
    <row r="3850" spans="2:4">
      <c r="B3850" s="2" t="s">
        <v>5405</v>
      </c>
    </row>
    <row r="3851" spans="2:4">
      <c r="C3851" t="s">
        <v>5403</v>
      </c>
    </row>
    <row r="3852" spans="2:4">
      <c r="C3852" t="s">
        <v>5404</v>
      </c>
    </row>
    <row r="3853" spans="2:4">
      <c r="D3853" t="s">
        <v>5407</v>
      </c>
    </row>
    <row r="3854" spans="2:4">
      <c r="C3854" t="s">
        <v>5406</v>
      </c>
    </row>
    <row r="3855" spans="2:4">
      <c r="C3855" t="s">
        <v>5408</v>
      </c>
    </row>
    <row r="3856" spans="2:4">
      <c r="D3856" t="s">
        <v>5409</v>
      </c>
    </row>
    <row r="3857" spans="2:4">
      <c r="D3857" t="s">
        <v>5410</v>
      </c>
    </row>
    <row r="3858" spans="2:4">
      <c r="C3858" t="s">
        <v>5411</v>
      </c>
    </row>
    <row r="3859" spans="2:4">
      <c r="C3859" s="2" t="s">
        <v>5412</v>
      </c>
    </row>
    <row r="3861" spans="2:4">
      <c r="B3861" s="121" t="s">
        <v>5426</v>
      </c>
    </row>
    <row r="3863" spans="2:4">
      <c r="B3863" t="s">
        <v>5427</v>
      </c>
    </row>
    <row r="3864" spans="2:4">
      <c r="C3864" t="s">
        <v>5428</v>
      </c>
    </row>
    <row r="3865" spans="2:4">
      <c r="B3865" t="s">
        <v>5429</v>
      </c>
    </row>
    <row r="3866" spans="2:4">
      <c r="C3866" t="s">
        <v>5430</v>
      </c>
    </row>
    <row r="3867" spans="2:4">
      <c r="C3867" t="s">
        <v>5431</v>
      </c>
    </row>
    <row r="3868" spans="2:4">
      <c r="B3868" t="s">
        <v>5432</v>
      </c>
    </row>
    <row r="3869" spans="2:4">
      <c r="C3869" t="s">
        <v>5433</v>
      </c>
    </row>
    <row r="3870" spans="2:4">
      <c r="B3870" t="s">
        <v>5434</v>
      </c>
    </row>
    <row r="3871" spans="2:4">
      <c r="C3871" t="s">
        <v>5435</v>
      </c>
    </row>
    <row r="3872" spans="2:4">
      <c r="B3872" t="s">
        <v>5436</v>
      </c>
    </row>
    <row r="3873" spans="2:4">
      <c r="C3873" t="s">
        <v>5437</v>
      </c>
    </row>
    <row r="3874" spans="2:4">
      <c r="C3874" t="s">
        <v>5438</v>
      </c>
    </row>
    <row r="3875" spans="2:4">
      <c r="B3875" t="s">
        <v>5440</v>
      </c>
    </row>
    <row r="3876" spans="2:4">
      <c r="B3876" t="s">
        <v>5441</v>
      </c>
    </row>
    <row r="3877" spans="2:4">
      <c r="C3877" t="s">
        <v>5439</v>
      </c>
    </row>
    <row r="3878" spans="2:4">
      <c r="B3878" t="s">
        <v>5442</v>
      </c>
    </row>
    <row r="3879" spans="2:4">
      <c r="C3879" t="s">
        <v>5443</v>
      </c>
    </row>
    <row r="3880" spans="2:4">
      <c r="C3880" t="s">
        <v>5444</v>
      </c>
    </row>
    <row r="3881" spans="2:4">
      <c r="D3881" s="419">
        <f>0.6*4.8</f>
        <v>2.88</v>
      </c>
    </row>
    <row r="3882" spans="2:4">
      <c r="C3882" t="s">
        <v>5445</v>
      </c>
    </row>
    <row r="3883" spans="2:4">
      <c r="D3883" t="s">
        <v>5446</v>
      </c>
    </row>
    <row r="3884" spans="2:4">
      <c r="D3884" s="419">
        <f>0.4*D3881</f>
        <v>1.1519999999999999</v>
      </c>
    </row>
    <row r="3885" spans="2:4">
      <c r="B3885" t="s">
        <v>5447</v>
      </c>
    </row>
    <row r="3886" spans="2:4">
      <c r="C3886" t="s">
        <v>5448</v>
      </c>
    </row>
    <row r="3887" spans="2:4">
      <c r="B3887" t="s">
        <v>5449</v>
      </c>
    </row>
    <row r="3889" spans="2:3">
      <c r="B3889" t="s">
        <v>5454</v>
      </c>
    </row>
    <row r="3890" spans="2:3">
      <c r="C3890" t="s">
        <v>5452</v>
      </c>
    </row>
    <row r="3891" spans="2:3">
      <c r="C3891" t="s">
        <v>5450</v>
      </c>
    </row>
    <row r="3892" spans="2:3">
      <c r="C3892" t="s">
        <v>5451</v>
      </c>
    </row>
    <row r="3893" spans="2:3">
      <c r="C3893" t="s">
        <v>5453</v>
      </c>
    </row>
    <row r="3894" spans="2:3">
      <c r="B3894" t="s">
        <v>5455</v>
      </c>
    </row>
    <row r="3896" spans="2:3">
      <c r="B3896" s="121" t="s">
        <v>5460</v>
      </c>
    </row>
    <row r="3898" spans="2:3">
      <c r="B3898" t="s">
        <v>5463</v>
      </c>
    </row>
    <row r="3899" spans="2:3">
      <c r="B3899" t="s">
        <v>5464</v>
      </c>
    </row>
    <row r="3900" spans="2:3">
      <c r="B3900" t="s">
        <v>5461</v>
      </c>
    </row>
    <row r="3901" spans="2:3">
      <c r="C3901" t="s">
        <v>5462</v>
      </c>
    </row>
    <row r="3902" spans="2:3">
      <c r="C3902" t="s">
        <v>5465</v>
      </c>
    </row>
    <row r="3904" spans="2:3">
      <c r="B3904" s="121" t="s">
        <v>5466</v>
      </c>
    </row>
    <row r="3906" spans="2:4">
      <c r="B3906" t="s">
        <v>5468</v>
      </c>
    </row>
    <row r="3907" spans="2:4">
      <c r="C3907" t="s">
        <v>5469</v>
      </c>
    </row>
    <row r="3908" spans="2:4">
      <c r="B3908" t="s">
        <v>3749</v>
      </c>
    </row>
    <row r="3909" spans="2:4">
      <c r="C3909" t="s">
        <v>5472</v>
      </c>
    </row>
    <row r="3910" spans="2:4">
      <c r="C3910" t="s">
        <v>5470</v>
      </c>
    </row>
    <row r="3911" spans="2:4">
      <c r="D3911" t="s">
        <v>5473</v>
      </c>
    </row>
    <row r="3912" spans="2:4">
      <c r="D3912" t="s">
        <v>5471</v>
      </c>
    </row>
    <row r="3913" spans="2:4">
      <c r="B3913" t="s">
        <v>5474</v>
      </c>
    </row>
    <row r="3914" spans="2:4">
      <c r="C3914" t="s">
        <v>5475</v>
      </c>
    </row>
    <row r="3915" spans="2:4">
      <c r="C3915" t="s">
        <v>5476</v>
      </c>
    </row>
    <row r="3916" spans="2:4">
      <c r="B3916" t="s">
        <v>44</v>
      </c>
      <c r="C3916" t="s">
        <v>5477</v>
      </c>
    </row>
    <row r="3917" spans="2:4">
      <c r="B3917" t="s">
        <v>5467</v>
      </c>
    </row>
    <row r="3919" spans="2:4">
      <c r="B3919" t="s">
        <v>5478</v>
      </c>
      <c r="C3919" s="8">
        <v>0.65</v>
      </c>
    </row>
    <row r="3920" spans="2:4">
      <c r="B3920" t="s">
        <v>929</v>
      </c>
      <c r="C3920" s="8">
        <v>0.5</v>
      </c>
    </row>
    <row r="3921" spans="2:4">
      <c r="B3921" t="s">
        <v>5479</v>
      </c>
      <c r="C3921" t="s">
        <v>5480</v>
      </c>
      <c r="D3921" s="8">
        <f>22500/(Interims!AZ163+Interims!AZ164)</f>
        <v>0.13461172593770529</v>
      </c>
    </row>
    <row r="3923" spans="2:4">
      <c r="B3923" t="s">
        <v>5481</v>
      </c>
    </row>
    <row r="3924" spans="2:4">
      <c r="C3924" t="s">
        <v>5482</v>
      </c>
    </row>
    <row r="3926" spans="2:4">
      <c r="B3926" t="s">
        <v>5483</v>
      </c>
    </row>
    <row r="3928" spans="2:4">
      <c r="B3928" s="121" t="s">
        <v>5484</v>
      </c>
    </row>
    <row r="3930" spans="2:4">
      <c r="B3930" t="s">
        <v>5485</v>
      </c>
    </row>
    <row r="3931" spans="2:4">
      <c r="C3931" t="s">
        <v>5486</v>
      </c>
    </row>
    <row r="3932" spans="2:4">
      <c r="C3932" t="s">
        <v>5487</v>
      </c>
    </row>
    <row r="3933" spans="2:4">
      <c r="B3933" t="s">
        <v>472</v>
      </c>
    </row>
    <row r="3934" spans="2:4">
      <c r="C3934" t="s">
        <v>5488</v>
      </c>
    </row>
    <row r="3935" spans="2:4">
      <c r="C3935" t="s">
        <v>5489</v>
      </c>
    </row>
    <row r="3936" spans="2:4">
      <c r="B3936" t="s">
        <v>4163</v>
      </c>
    </row>
    <row r="3937" spans="2:5">
      <c r="C3937" t="s">
        <v>5490</v>
      </c>
    </row>
    <row r="3938" spans="2:5">
      <c r="B3938" t="s">
        <v>2269</v>
      </c>
    </row>
    <row r="3939" spans="2:5">
      <c r="C3939" t="s">
        <v>5491</v>
      </c>
    </row>
    <row r="3940" spans="2:5">
      <c r="C3940" t="s">
        <v>5492</v>
      </c>
    </row>
    <row r="3941" spans="2:5">
      <c r="C3941" t="s">
        <v>5493</v>
      </c>
    </row>
    <row r="3942" spans="2:5">
      <c r="B3942" t="s">
        <v>16</v>
      </c>
    </row>
    <row r="3943" spans="2:5">
      <c r="C3943" s="416" t="s">
        <v>5494</v>
      </c>
    </row>
    <row r="3944" spans="2:5">
      <c r="C3944" t="s">
        <v>5495</v>
      </c>
    </row>
    <row r="3945" spans="2:5">
      <c r="C3945" t="s">
        <v>5496</v>
      </c>
      <c r="E3945" t="s">
        <v>1399</v>
      </c>
    </row>
    <row r="3947" spans="2:5">
      <c r="C3947" t="s">
        <v>5497</v>
      </c>
    </row>
    <row r="3948" spans="2:5">
      <c r="C3948" t="s">
        <v>5498</v>
      </c>
    </row>
    <row r="3949" spans="2:5">
      <c r="C3949" t="s">
        <v>5499</v>
      </c>
    </row>
    <row r="3950" spans="2:5">
      <c r="B3950" t="s">
        <v>1983</v>
      </c>
    </row>
    <row r="3951" spans="2:5">
      <c r="C3951" t="s">
        <v>5500</v>
      </c>
    </row>
    <row r="3952" spans="2:5">
      <c r="C3952" t="s">
        <v>5501</v>
      </c>
    </row>
    <row r="3953" spans="2:7">
      <c r="D3953" t="s">
        <v>5502</v>
      </c>
    </row>
    <row r="3954" spans="2:7">
      <c r="D3954" t="s">
        <v>5503</v>
      </c>
    </row>
    <row r="3955" spans="2:7">
      <c r="B3955" t="s">
        <v>5506</v>
      </c>
      <c r="C3955" t="s">
        <v>5504</v>
      </c>
    </row>
    <row r="3956" spans="2:7">
      <c r="C3956" t="s">
        <v>5505</v>
      </c>
    </row>
    <row r="3958" spans="2:7">
      <c r="C3958" t="s">
        <v>5507</v>
      </c>
      <c r="D3958" t="s">
        <v>5508</v>
      </c>
      <c r="G3958" t="s">
        <v>5509</v>
      </c>
    </row>
    <row r="3959" spans="2:7">
      <c r="C3959" t="s">
        <v>5510</v>
      </c>
      <c r="D3959" t="s">
        <v>5515</v>
      </c>
    </row>
    <row r="3960" spans="2:7">
      <c r="B3960" t="s">
        <v>5511</v>
      </c>
    </row>
    <row r="3961" spans="2:7">
      <c r="C3961" t="s">
        <v>5512</v>
      </c>
    </row>
    <row r="3962" spans="2:7">
      <c r="C3962" t="s">
        <v>5513</v>
      </c>
    </row>
    <row r="3963" spans="2:7">
      <c r="C3963" t="s">
        <v>5514</v>
      </c>
    </row>
    <row r="3964" spans="2:7">
      <c r="B3964" t="s">
        <v>4163</v>
      </c>
    </row>
    <row r="3965" spans="2:7">
      <c r="C3965" t="s">
        <v>5516</v>
      </c>
    </row>
    <row r="3966" spans="2:7">
      <c r="C3966" t="s">
        <v>5517</v>
      </c>
    </row>
    <row r="3967" spans="2:7">
      <c r="D3967" t="s">
        <v>5518</v>
      </c>
    </row>
    <row r="3968" spans="2:7">
      <c r="C3968" t="s">
        <v>5520</v>
      </c>
    </row>
    <row r="3969" spans="2:4">
      <c r="C3969" t="s">
        <v>5521</v>
      </c>
    </row>
    <row r="3970" spans="2:4">
      <c r="C3970" t="s">
        <v>5522</v>
      </c>
    </row>
    <row r="3971" spans="2:4">
      <c r="B3971" t="s">
        <v>87</v>
      </c>
    </row>
    <row r="3972" spans="2:4">
      <c r="C3972" t="s">
        <v>5519</v>
      </c>
    </row>
    <row r="3973" spans="2:4">
      <c r="B3973" s="121" t="s">
        <v>1259</v>
      </c>
    </row>
    <row r="3975" spans="2:4">
      <c r="B3975" t="s">
        <v>5523</v>
      </c>
    </row>
    <row r="3976" spans="2:4">
      <c r="C3976" t="s">
        <v>5524</v>
      </c>
    </row>
    <row r="3977" spans="2:4">
      <c r="C3977" t="s">
        <v>5525</v>
      </c>
    </row>
    <row r="3978" spans="2:4">
      <c r="C3978" t="s">
        <v>5526</v>
      </c>
    </row>
    <row r="3979" spans="2:4">
      <c r="B3979" t="s">
        <v>4261</v>
      </c>
    </row>
    <row r="3980" spans="2:4">
      <c r="C3980" t="s">
        <v>5527</v>
      </c>
    </row>
    <row r="3981" spans="2:4">
      <c r="D3981" t="s">
        <v>5528</v>
      </c>
    </row>
    <row r="3982" spans="2:4">
      <c r="D3982" t="s">
        <v>5529</v>
      </c>
    </row>
    <row r="3983" spans="2:4">
      <c r="D3983" t="s">
        <v>5530</v>
      </c>
    </row>
    <row r="3984" spans="2:4">
      <c r="C3984" t="s">
        <v>5531</v>
      </c>
    </row>
    <row r="3985" spans="2:5">
      <c r="C3985" t="s">
        <v>5532</v>
      </c>
    </row>
    <row r="3986" spans="2:5">
      <c r="B3986" t="s">
        <v>5533</v>
      </c>
    </row>
    <row r="3987" spans="2:5">
      <c r="C3987" t="s">
        <v>5534</v>
      </c>
    </row>
    <row r="3988" spans="2:5">
      <c r="C3988" t="s">
        <v>5535</v>
      </c>
    </row>
    <row r="3989" spans="2:5">
      <c r="C3989" t="s">
        <v>5536</v>
      </c>
    </row>
    <row r="3990" spans="2:5">
      <c r="C3990" t="s">
        <v>5537</v>
      </c>
    </row>
    <row r="3991" spans="2:5">
      <c r="B3991" t="s">
        <v>16</v>
      </c>
    </row>
    <row r="3992" spans="2:5">
      <c r="C3992" t="s">
        <v>5538</v>
      </c>
    </row>
    <row r="3993" spans="2:5">
      <c r="C3993" t="s">
        <v>5539</v>
      </c>
    </row>
    <row r="3994" spans="2:5">
      <c r="D3994" t="s">
        <v>5540</v>
      </c>
    </row>
    <row r="3995" spans="2:5">
      <c r="C3995" t="s">
        <v>5541</v>
      </c>
    </row>
    <row r="3996" spans="2:5">
      <c r="D3996" t="s">
        <v>5542</v>
      </c>
    </row>
    <row r="3997" spans="2:5">
      <c r="D3997" t="s">
        <v>5543</v>
      </c>
    </row>
    <row r="3998" spans="2:5">
      <c r="E3998" t="s">
        <v>5544</v>
      </c>
    </row>
    <row r="3999" spans="2:5">
      <c r="C3999" t="s">
        <v>5545</v>
      </c>
      <c r="D3999" t="s">
        <v>5546</v>
      </c>
    </row>
    <row r="4000" spans="2:5">
      <c r="C4000" t="s">
        <v>5547</v>
      </c>
    </row>
    <row r="4001" spans="2:4">
      <c r="D4001" t="s">
        <v>5548</v>
      </c>
    </row>
    <row r="4002" spans="2:4">
      <c r="B4002" t="s">
        <v>145</v>
      </c>
    </row>
    <row r="4003" spans="2:4">
      <c r="C4003" t="s">
        <v>5549</v>
      </c>
    </row>
    <row r="4004" spans="2:4">
      <c r="C4004" t="s">
        <v>5551</v>
      </c>
    </row>
    <row r="4005" spans="2:4">
      <c r="C4005" t="s">
        <v>5552</v>
      </c>
    </row>
    <row r="4006" spans="2:4">
      <c r="C4006" t="s">
        <v>5553</v>
      </c>
    </row>
    <row r="4007" spans="2:4">
      <c r="C4007" t="s">
        <v>5554</v>
      </c>
    </row>
    <row r="4008" spans="2:4">
      <c r="B4008" t="s">
        <v>5550</v>
      </c>
    </row>
    <row r="4011" spans="2:4">
      <c r="B4011" t="s">
        <v>1983</v>
      </c>
    </row>
    <row r="4012" spans="2:4">
      <c r="C4012" t="s">
        <v>5555</v>
      </c>
    </row>
    <row r="4013" spans="2:4">
      <c r="C4013" t="s">
        <v>5556</v>
      </c>
    </row>
    <row r="4014" spans="2:4">
      <c r="C4014" t="s">
        <v>5557</v>
      </c>
    </row>
    <row r="4015" spans="2:4">
      <c r="C4015" t="s">
        <v>5558</v>
      </c>
    </row>
    <row r="4016" spans="2:4">
      <c r="D4016" t="s">
        <v>5562</v>
      </c>
    </row>
    <row r="4017" spans="2:5">
      <c r="D4017" t="s">
        <v>5563</v>
      </c>
    </row>
    <row r="4018" spans="2:5">
      <c r="C4018" t="s">
        <v>5564</v>
      </c>
    </row>
    <row r="4019" spans="2:5">
      <c r="C4019" t="s">
        <v>5565</v>
      </c>
    </row>
    <row r="4020" spans="2:5">
      <c r="D4020" t="s">
        <v>5566</v>
      </c>
    </row>
    <row r="4021" spans="2:5">
      <c r="C4021" t="s">
        <v>5567</v>
      </c>
    </row>
    <row r="4022" spans="2:5">
      <c r="D4022" t="s">
        <v>5568</v>
      </c>
    </row>
    <row r="4023" spans="2:5">
      <c r="D4023" t="s">
        <v>5569</v>
      </c>
    </row>
    <row r="4024" spans="2:5">
      <c r="C4024" t="s">
        <v>5570</v>
      </c>
    </row>
    <row r="4025" spans="2:5">
      <c r="D4025" t="s">
        <v>5571</v>
      </c>
    </row>
    <row r="4027" spans="2:5">
      <c r="B4027" t="s">
        <v>87</v>
      </c>
    </row>
    <row r="4028" spans="2:5">
      <c r="C4028" t="s">
        <v>5559</v>
      </c>
    </row>
    <row r="4029" spans="2:5">
      <c r="D4029" s="8">
        <v>0.77</v>
      </c>
      <c r="E4029" t="s">
        <v>5560</v>
      </c>
    </row>
    <row r="4030" spans="2:5">
      <c r="D4030" s="8">
        <v>0.22</v>
      </c>
      <c r="E4030" t="s">
        <v>2793</v>
      </c>
    </row>
    <row r="4031" spans="2:5">
      <c r="D4031" s="8">
        <v>0.01</v>
      </c>
      <c r="E4031" t="s">
        <v>5298</v>
      </c>
    </row>
    <row r="4032" spans="2:5">
      <c r="C4032" t="s">
        <v>5561</v>
      </c>
    </row>
    <row r="4034" spans="2:7">
      <c r="B4034" s="121" t="s">
        <v>2895</v>
      </c>
    </row>
    <row r="4036" spans="2:7">
      <c r="B4036" t="s">
        <v>5574</v>
      </c>
    </row>
    <row r="4037" spans="2:7">
      <c r="B4037" t="s">
        <v>3095</v>
      </c>
    </row>
    <row r="4038" spans="2:7">
      <c r="C4038" t="s">
        <v>5575</v>
      </c>
    </row>
    <row r="4039" spans="2:7">
      <c r="D4039" t="s">
        <v>5576</v>
      </c>
    </row>
    <row r="4040" spans="2:7">
      <c r="B4040" t="s">
        <v>4261</v>
      </c>
    </row>
    <row r="4041" spans="2:7">
      <c r="C4041" t="s">
        <v>5577</v>
      </c>
      <c r="D4041" t="s">
        <v>5578</v>
      </c>
    </row>
    <row r="4042" spans="2:7">
      <c r="C4042" s="136">
        <v>2020</v>
      </c>
    </row>
    <row r="4043" spans="2:7">
      <c r="B4043" t="s">
        <v>1401</v>
      </c>
    </row>
    <row r="4044" spans="2:7">
      <c r="C4044" t="s">
        <v>5579</v>
      </c>
    </row>
    <row r="4045" spans="2:7">
      <c r="C4045" t="s">
        <v>5580</v>
      </c>
    </row>
    <row r="4046" spans="2:7">
      <c r="D4046" t="s">
        <v>5581</v>
      </c>
      <c r="F4046" t="s">
        <v>5582</v>
      </c>
      <c r="G4046" t="s">
        <v>5583</v>
      </c>
    </row>
    <row r="4047" spans="2:7">
      <c r="F4047" t="s">
        <v>5584</v>
      </c>
      <c r="G4047" t="s">
        <v>5585</v>
      </c>
    </row>
    <row r="4048" spans="2:7">
      <c r="F4048" t="s">
        <v>5586</v>
      </c>
      <c r="G4048" t="s">
        <v>57</v>
      </c>
    </row>
    <row r="4049" spans="2:7">
      <c r="D4049" t="s">
        <v>5587</v>
      </c>
      <c r="F4049" t="s">
        <v>5586</v>
      </c>
      <c r="G4049" t="s">
        <v>5588</v>
      </c>
    </row>
    <row r="4050" spans="2:7">
      <c r="C4050" t="s">
        <v>5589</v>
      </c>
    </row>
    <row r="4051" spans="2:7">
      <c r="C4051" t="s">
        <v>5590</v>
      </c>
    </row>
    <row r="4052" spans="2:7">
      <c r="B4052" t="s">
        <v>16</v>
      </c>
    </row>
    <row r="4053" spans="2:7">
      <c r="C4053" t="s">
        <v>5591</v>
      </c>
    </row>
    <row r="4054" spans="2:7">
      <c r="C4054" t="s">
        <v>5592</v>
      </c>
      <c r="D4054" t="s">
        <v>5593</v>
      </c>
    </row>
    <row r="4055" spans="2:7">
      <c r="D4055" t="s">
        <v>5597</v>
      </c>
    </row>
    <row r="4056" spans="2:7">
      <c r="D4056" t="s">
        <v>5598</v>
      </c>
    </row>
    <row r="4058" spans="2:7">
      <c r="C4058" t="s">
        <v>5594</v>
      </c>
      <c r="D4058" t="s">
        <v>5595</v>
      </c>
    </row>
    <row r="4059" spans="2:7">
      <c r="D4059" t="s">
        <v>5596</v>
      </c>
    </row>
    <row r="4060" spans="2:7">
      <c r="C4060" t="s">
        <v>5604</v>
      </c>
    </row>
    <row r="4061" spans="2:7">
      <c r="D4061" t="s">
        <v>5605</v>
      </c>
    </row>
    <row r="4062" spans="2:7">
      <c r="B4062" t="s">
        <v>5599</v>
      </c>
    </row>
    <row r="4063" spans="2:7">
      <c r="C4063" t="s">
        <v>5600</v>
      </c>
    </row>
    <row r="4064" spans="2:7">
      <c r="C4064" t="s">
        <v>5601</v>
      </c>
    </row>
    <row r="4065" spans="2:8">
      <c r="B4065" t="s">
        <v>87</v>
      </c>
    </row>
    <row r="4066" spans="2:8">
      <c r="C4066" t="s">
        <v>5602</v>
      </c>
    </row>
    <row r="4067" spans="2:8">
      <c r="D4067" t="s">
        <v>5603</v>
      </c>
    </row>
    <row r="4068" spans="2:8">
      <c r="B4068" t="s">
        <v>5606</v>
      </c>
    </row>
    <row r="4069" spans="2:8">
      <c r="C4069" t="s">
        <v>5607</v>
      </c>
    </row>
    <row r="4070" spans="2:8">
      <c r="C4070" t="s">
        <v>5608</v>
      </c>
    </row>
    <row r="4072" spans="2:8">
      <c r="B4072" s="121" t="s">
        <v>5609</v>
      </c>
      <c r="H4072" s="121" t="s">
        <v>1259</v>
      </c>
    </row>
    <row r="4074" spans="2:8">
      <c r="B4074" s="42" t="s">
        <v>16</v>
      </c>
    </row>
    <row r="4075" spans="2:8">
      <c r="B4075" t="s">
        <v>5626</v>
      </c>
      <c r="C4075" t="s">
        <v>5617</v>
      </c>
      <c r="H4075" t="s">
        <v>5618</v>
      </c>
    </row>
    <row r="4076" spans="2:8">
      <c r="C4076" t="s">
        <v>5610</v>
      </c>
      <c r="H4076" t="s">
        <v>5647</v>
      </c>
    </row>
    <row r="4077" spans="2:8">
      <c r="C4077" t="s">
        <v>5611</v>
      </c>
      <c r="H4077" t="s">
        <v>5625</v>
      </c>
    </row>
    <row r="4078" spans="2:8">
      <c r="D4078" t="s">
        <v>5612</v>
      </c>
      <c r="H4078" t="s">
        <v>1931</v>
      </c>
    </row>
    <row r="4079" spans="2:8">
      <c r="C4079" s="2" t="s">
        <v>5616</v>
      </c>
    </row>
    <row r="4080" spans="2:8">
      <c r="C4080" t="s">
        <v>5613</v>
      </c>
    </row>
    <row r="4081" spans="2:4">
      <c r="C4081" t="s">
        <v>5614</v>
      </c>
    </row>
    <row r="4082" spans="2:4">
      <c r="C4082" t="s">
        <v>5615</v>
      </c>
    </row>
    <row r="4083" spans="2:4">
      <c r="C4083" t="s">
        <v>5627</v>
      </c>
    </row>
    <row r="4084" spans="2:4">
      <c r="B4084" s="42" t="s">
        <v>87</v>
      </c>
    </row>
    <row r="4085" spans="2:4">
      <c r="B4085" t="s">
        <v>5626</v>
      </c>
      <c r="C4085" t="s">
        <v>5619</v>
      </c>
    </row>
    <row r="4086" spans="2:4">
      <c r="C4086" t="s">
        <v>5620</v>
      </c>
    </row>
    <row r="4087" spans="2:4">
      <c r="C4087" t="s">
        <v>5621</v>
      </c>
    </row>
    <row r="4088" spans="2:4">
      <c r="D4088" t="s">
        <v>5622</v>
      </c>
    </row>
    <row r="4089" spans="2:4">
      <c r="C4089" t="s">
        <v>5623</v>
      </c>
    </row>
    <row r="4090" spans="2:4">
      <c r="C4090" t="s">
        <v>5624</v>
      </c>
    </row>
    <row r="4091" spans="2:4">
      <c r="B4091" s="42" t="s">
        <v>3324</v>
      </c>
    </row>
    <row r="4092" spans="2:4">
      <c r="C4092" t="s">
        <v>5628</v>
      </c>
    </row>
    <row r="4093" spans="2:4">
      <c r="C4093" t="s">
        <v>5629</v>
      </c>
    </row>
    <row r="4094" spans="2:4">
      <c r="C4094" t="s">
        <v>5630</v>
      </c>
    </row>
    <row r="4095" spans="2:4">
      <c r="C4095" t="s">
        <v>5631</v>
      </c>
    </row>
    <row r="4097" spans="2:5">
      <c r="C4097" t="s">
        <v>5632</v>
      </c>
    </row>
    <row r="4098" spans="2:5">
      <c r="B4098" s="42" t="s">
        <v>417</v>
      </c>
    </row>
    <row r="4099" spans="2:5">
      <c r="C4099" t="s">
        <v>5633</v>
      </c>
    </row>
    <row r="4100" spans="2:5">
      <c r="C4100" t="s">
        <v>5634</v>
      </c>
    </row>
    <row r="4101" spans="2:5">
      <c r="D4101" t="s">
        <v>4355</v>
      </c>
      <c r="E4101" t="s">
        <v>5635</v>
      </c>
    </row>
    <row r="4102" spans="2:5">
      <c r="E4102" t="s">
        <v>5636</v>
      </c>
    </row>
    <row r="4103" spans="2:5">
      <c r="B4103" s="42" t="s">
        <v>44</v>
      </c>
      <c r="C4103" t="s">
        <v>5637</v>
      </c>
    </row>
    <row r="4104" spans="2:5">
      <c r="C4104" t="s">
        <v>5638</v>
      </c>
    </row>
    <row r="4105" spans="2:5">
      <c r="C4105" t="s">
        <v>5639</v>
      </c>
    </row>
    <row r="4106" spans="2:5">
      <c r="B4106" s="42" t="s">
        <v>201</v>
      </c>
    </row>
    <row r="4107" spans="2:5">
      <c r="C4107" t="s">
        <v>5369</v>
      </c>
    </row>
    <row r="4108" spans="2:5">
      <c r="D4108" t="s">
        <v>5640</v>
      </c>
    </row>
    <row r="4109" spans="2:5">
      <c r="D4109" t="s">
        <v>5641</v>
      </c>
    </row>
    <row r="4110" spans="2:5">
      <c r="B4110" s="42" t="s">
        <v>224</v>
      </c>
    </row>
    <row r="4111" spans="2:5">
      <c r="C4111" t="s">
        <v>5642</v>
      </c>
    </row>
    <row r="4112" spans="2:5">
      <c r="C4112" t="s">
        <v>5643</v>
      </c>
    </row>
    <row r="4114" spans="2:3">
      <c r="B4114" s="121" t="s">
        <v>1259</v>
      </c>
    </row>
    <row r="4116" spans="2:3">
      <c r="B4116" t="s">
        <v>5644</v>
      </c>
    </row>
    <row r="4117" spans="2:3">
      <c r="B4117" t="s">
        <v>5645</v>
      </c>
    </row>
    <row r="4118" spans="2:3">
      <c r="C4118" t="s">
        <v>5646</v>
      </c>
    </row>
    <row r="4119" spans="2:3">
      <c r="C4119" t="s">
        <v>5674</v>
      </c>
    </row>
    <row r="4120" spans="2:3">
      <c r="B4120" t="s">
        <v>5648</v>
      </c>
    </row>
    <row r="4121" spans="2:3">
      <c r="C4121" t="s">
        <v>5649</v>
      </c>
    </row>
    <row r="4122" spans="2:3">
      <c r="B4122" t="s">
        <v>5650</v>
      </c>
    </row>
    <row r="4123" spans="2:3">
      <c r="C4123" t="s">
        <v>5651</v>
      </c>
    </row>
    <row r="4124" spans="2:3">
      <c r="B4124" t="s">
        <v>5652</v>
      </c>
    </row>
    <row r="4125" spans="2:3">
      <c r="C4125" t="s">
        <v>5653</v>
      </c>
    </row>
    <row r="4126" spans="2:3">
      <c r="C4126" t="s">
        <v>5654</v>
      </c>
    </row>
    <row r="4127" spans="2:3">
      <c r="B4127" t="s">
        <v>5655</v>
      </c>
    </row>
    <row r="4128" spans="2:3">
      <c r="C4128" t="s">
        <v>5656</v>
      </c>
    </row>
    <row r="4129" spans="2:4">
      <c r="B4129" t="s">
        <v>5657</v>
      </c>
    </row>
    <row r="4130" spans="2:4">
      <c r="C4130" t="s">
        <v>5658</v>
      </c>
    </row>
    <row r="4131" spans="2:4">
      <c r="C4131" t="s">
        <v>5659</v>
      </c>
    </row>
    <row r="4132" spans="2:4">
      <c r="C4132" t="s">
        <v>5660</v>
      </c>
    </row>
    <row r="4133" spans="2:4">
      <c r="D4133" t="s">
        <v>5661</v>
      </c>
    </row>
    <row r="4134" spans="2:4">
      <c r="B4134" t="s">
        <v>5662</v>
      </c>
    </row>
    <row r="4135" spans="2:4">
      <c r="B4135" t="s">
        <v>5663</v>
      </c>
    </row>
    <row r="4136" spans="2:4">
      <c r="C4136" t="s">
        <v>5664</v>
      </c>
    </row>
    <row r="4137" spans="2:4">
      <c r="B4137" t="s">
        <v>5665</v>
      </c>
    </row>
    <row r="4138" spans="2:4">
      <c r="C4138" t="s">
        <v>5666</v>
      </c>
    </row>
    <row r="4139" spans="2:4">
      <c r="C4139" t="s">
        <v>5667</v>
      </c>
    </row>
    <row r="4140" spans="2:4">
      <c r="C4140" t="s">
        <v>5668</v>
      </c>
    </row>
    <row r="4141" spans="2:4">
      <c r="C4141" t="s">
        <v>5669</v>
      </c>
    </row>
    <row r="4142" spans="2:4">
      <c r="B4142" t="s">
        <v>5670</v>
      </c>
    </row>
    <row r="4143" spans="2:4">
      <c r="C4143" t="s">
        <v>5671</v>
      </c>
    </row>
    <row r="4144" spans="2:4">
      <c r="C4144" t="s">
        <v>5672</v>
      </c>
    </row>
    <row r="4145" spans="2:4">
      <c r="B4145" t="s">
        <v>4347</v>
      </c>
    </row>
    <row r="4146" spans="2:4">
      <c r="C4146" t="s">
        <v>5673</v>
      </c>
    </row>
    <row r="4147" spans="2:4">
      <c r="B4147" t="s">
        <v>5675</v>
      </c>
    </row>
    <row r="4148" spans="2:4">
      <c r="C4148" t="s">
        <v>5676</v>
      </c>
    </row>
    <row r="4149" spans="2:4">
      <c r="C4149" t="s">
        <v>5678</v>
      </c>
    </row>
    <row r="4150" spans="2:4">
      <c r="C4150" t="s">
        <v>5677</v>
      </c>
    </row>
    <row r="4151" spans="2:4">
      <c r="B4151" t="s">
        <v>5679</v>
      </c>
    </row>
    <row r="4152" spans="2:4">
      <c r="C4152" t="s">
        <v>5680</v>
      </c>
    </row>
    <row r="4153" spans="2:4">
      <c r="C4153" t="s">
        <v>5681</v>
      </c>
    </row>
    <row r="4154" spans="2:4">
      <c r="C4154" t="s">
        <v>5682</v>
      </c>
    </row>
    <row r="4155" spans="2:4">
      <c r="C4155" t="s">
        <v>5683</v>
      </c>
    </row>
    <row r="4156" spans="2:4">
      <c r="C4156" t="s">
        <v>5684</v>
      </c>
    </row>
    <row r="4157" spans="2:4">
      <c r="D4157" t="s">
        <v>5685</v>
      </c>
    </row>
    <row r="4158" spans="2:4">
      <c r="C4158" t="s">
        <v>5686</v>
      </c>
    </row>
    <row r="4160" spans="2:4">
      <c r="B4160" s="612">
        <v>44096</v>
      </c>
    </row>
    <row r="4162" spans="2:5">
      <c r="B4162" t="s">
        <v>5688</v>
      </c>
    </row>
    <row r="4163" spans="2:5">
      <c r="C4163" t="s">
        <v>5689</v>
      </c>
    </row>
    <row r="4164" spans="2:5">
      <c r="C4164" t="s">
        <v>5690</v>
      </c>
    </row>
    <row r="4165" spans="2:5">
      <c r="C4165" t="s">
        <v>4487</v>
      </c>
      <c r="D4165" s="605" t="s">
        <v>5691</v>
      </c>
    </row>
    <row r="4166" spans="2:5">
      <c r="B4166" t="s">
        <v>3749</v>
      </c>
      <c r="C4166" s="264" t="s">
        <v>5692</v>
      </c>
    </row>
    <row r="4167" spans="2:5">
      <c r="B4167" t="s">
        <v>5693</v>
      </c>
      <c r="C4167" t="s">
        <v>5694</v>
      </c>
    </row>
    <row r="4168" spans="2:5">
      <c r="D4168" t="s">
        <v>5695</v>
      </c>
    </row>
    <row r="4169" spans="2:5">
      <c r="C4169" t="s">
        <v>5696</v>
      </c>
    </row>
    <row r="4170" spans="2:5">
      <c r="D4170" t="s">
        <v>5697</v>
      </c>
    </row>
    <row r="4171" spans="2:5">
      <c r="D4171" t="s">
        <v>5698</v>
      </c>
    </row>
    <row r="4172" spans="2:5">
      <c r="E4172" t="s">
        <v>5699</v>
      </c>
    </row>
    <row r="4173" spans="2:5">
      <c r="C4173" t="s">
        <v>5700</v>
      </c>
    </row>
    <row r="4174" spans="2:5">
      <c r="B4174" t="s">
        <v>5701</v>
      </c>
    </row>
    <row r="4175" spans="2:5">
      <c r="B4175" t="s">
        <v>16</v>
      </c>
    </row>
    <row r="4176" spans="2:5">
      <c r="C4176" t="s">
        <v>5702</v>
      </c>
    </row>
    <row r="4177" spans="2:4">
      <c r="D4177" t="s">
        <v>5703</v>
      </c>
    </row>
    <row r="4178" spans="2:4">
      <c r="D4178" t="s">
        <v>5704</v>
      </c>
    </row>
    <row r="4179" spans="2:4">
      <c r="B4179" t="s">
        <v>5706</v>
      </c>
      <c r="C4179" t="s">
        <v>5705</v>
      </c>
    </row>
    <row r="4180" spans="2:4">
      <c r="D4180" t="s">
        <v>5709</v>
      </c>
    </row>
    <row r="4181" spans="2:4">
      <c r="C4181" s="431">
        <v>2019</v>
      </c>
    </row>
    <row r="4182" spans="2:4">
      <c r="C4182" t="s">
        <v>5707</v>
      </c>
    </row>
    <row r="4183" spans="2:4">
      <c r="C4183" t="s">
        <v>5710</v>
      </c>
    </row>
    <row r="4184" spans="2:4">
      <c r="B4184" t="s">
        <v>5717</v>
      </c>
    </row>
    <row r="4185" spans="2:4">
      <c r="C4185" t="s">
        <v>5718</v>
      </c>
    </row>
    <row r="4186" spans="2:4">
      <c r="B4186" t="s">
        <v>5711</v>
      </c>
    </row>
    <row r="4187" spans="2:4">
      <c r="C4187" t="s">
        <v>5712</v>
      </c>
    </row>
    <row r="4188" spans="2:4">
      <c r="D4188" t="s">
        <v>5713</v>
      </c>
    </row>
    <row r="4189" spans="2:4">
      <c r="D4189" t="s">
        <v>5714</v>
      </c>
    </row>
    <row r="4190" spans="2:4">
      <c r="C4190" t="s">
        <v>5715</v>
      </c>
    </row>
    <row r="4191" spans="2:4">
      <c r="C4191" t="s">
        <v>5716</v>
      </c>
    </row>
    <row r="4192" spans="2:4">
      <c r="B4192" t="s">
        <v>5708</v>
      </c>
    </row>
    <row r="4193" spans="2:4">
      <c r="B4193" t="s">
        <v>44</v>
      </c>
    </row>
    <row r="4195" spans="2:4">
      <c r="B4195" t="s">
        <v>590</v>
      </c>
    </row>
    <row r="4196" spans="2:4">
      <c r="C4196" t="s">
        <v>5722</v>
      </c>
    </row>
    <row r="4197" spans="2:4">
      <c r="D4197" t="s">
        <v>5723</v>
      </c>
    </row>
    <row r="4199" spans="2:4">
      <c r="B4199" s="2" t="s">
        <v>5721</v>
      </c>
    </row>
    <row r="4200" spans="2:4">
      <c r="B4200" t="s">
        <v>5720</v>
      </c>
    </row>
    <row r="4201" spans="2:4">
      <c r="B4201" t="s">
        <v>5719</v>
      </c>
    </row>
    <row r="4203" spans="2:4">
      <c r="B4203" t="s">
        <v>5724</v>
      </c>
    </row>
    <row r="4204" spans="2:4">
      <c r="B4204" t="s">
        <v>5725</v>
      </c>
    </row>
    <row r="4205" spans="2:4">
      <c r="B4205" t="s">
        <v>5726</v>
      </c>
    </row>
    <row r="4206" spans="2:4">
      <c r="B4206" t="s">
        <v>372</v>
      </c>
    </row>
    <row r="4207" spans="2:4">
      <c r="C4207" t="s">
        <v>5727</v>
      </c>
    </row>
    <row r="4208" spans="2:4">
      <c r="B4208" t="s">
        <v>5728</v>
      </c>
    </row>
    <row r="4209" spans="2:6">
      <c r="C4209" t="s">
        <v>5729</v>
      </c>
    </row>
    <row r="4210" spans="2:6">
      <c r="C4210" t="s">
        <v>5730</v>
      </c>
    </row>
    <row r="4211" spans="2:6">
      <c r="B4211" t="s">
        <v>5731</v>
      </c>
    </row>
    <row r="4212" spans="2:6">
      <c r="C4212" t="s">
        <v>946</v>
      </c>
      <c r="E4212" s="4">
        <f>Master!T98</f>
        <v>1149.0999999999999</v>
      </c>
    </row>
    <row r="4213" spans="2:6">
      <c r="C4213" t="s">
        <v>5732</v>
      </c>
      <c r="E4213" s="4">
        <v>900</v>
      </c>
      <c r="F4213" s="3" t="s">
        <v>5733</v>
      </c>
    </row>
    <row r="4214" spans="2:6">
      <c r="B4214" t="s">
        <v>5734</v>
      </c>
    </row>
    <row r="4215" spans="2:6">
      <c r="C4215" t="s">
        <v>5735</v>
      </c>
      <c r="E4215" s="264" t="s">
        <v>5736</v>
      </c>
    </row>
    <row r="4216" spans="2:6">
      <c r="C4216" t="s">
        <v>5737</v>
      </c>
      <c r="E4216" t="s">
        <v>5738</v>
      </c>
    </row>
    <row r="4217" spans="2:6">
      <c r="E4217" t="s">
        <v>5739</v>
      </c>
    </row>
    <row r="4219" spans="2:6">
      <c r="B4219" s="121" t="s">
        <v>5741</v>
      </c>
    </row>
    <row r="4221" spans="2:6">
      <c r="B4221" s="2" t="s">
        <v>5742</v>
      </c>
    </row>
    <row r="4222" spans="2:6">
      <c r="B4222" t="s">
        <v>16</v>
      </c>
      <c r="C4222">
        <v>650</v>
      </c>
    </row>
    <row r="4223" spans="2:6">
      <c r="B4223" t="s">
        <v>87</v>
      </c>
      <c r="C4223">
        <v>250</v>
      </c>
    </row>
    <row r="4224" spans="2:6">
      <c r="B4224" s="61" t="s">
        <v>145</v>
      </c>
      <c r="C4224" s="420">
        <f>Master!S95</f>
        <v>26.7</v>
      </c>
    </row>
    <row r="4225" spans="2:3">
      <c r="B4225" t="s">
        <v>1084</v>
      </c>
      <c r="C4225" s="4">
        <f>SUM(C4222:C4224)</f>
        <v>926.7</v>
      </c>
    </row>
    <row r="4227" spans="2:3">
      <c r="B4227" t="s">
        <v>5743</v>
      </c>
    </row>
    <row r="4228" spans="2:3">
      <c r="C4228" t="s">
        <v>5744</v>
      </c>
    </row>
    <row r="4229" spans="2:3">
      <c r="C4229" t="s">
        <v>5745</v>
      </c>
    </row>
    <row r="4230" spans="2:3">
      <c r="C4230" t="s">
        <v>5746</v>
      </c>
    </row>
    <row r="4231" spans="2:3">
      <c r="C4231" t="s">
        <v>5747</v>
      </c>
    </row>
    <row r="4234" spans="2:3">
      <c r="B4234" t="s">
        <v>5748</v>
      </c>
    </row>
    <row r="4235" spans="2:3">
      <c r="C4235" t="s">
        <v>5749</v>
      </c>
    </row>
    <row r="4236" spans="2:3">
      <c r="B4236" s="2" t="s">
        <v>5751</v>
      </c>
    </row>
    <row r="4237" spans="2:3">
      <c r="B4237" t="s">
        <v>5750</v>
      </c>
    </row>
    <row r="4238" spans="2:3">
      <c r="B4238" t="s">
        <v>5752</v>
      </c>
    </row>
    <row r="4239" spans="2:3">
      <c r="B4239" t="s">
        <v>5753</v>
      </c>
    </row>
    <row r="4240" spans="2:3">
      <c r="B4240" t="s">
        <v>5754</v>
      </c>
    </row>
    <row r="4242" spans="2:3">
      <c r="B4242" s="2" t="s">
        <v>5759</v>
      </c>
    </row>
    <row r="4243" spans="2:3">
      <c r="B4243" t="s">
        <v>5757</v>
      </c>
    </row>
    <row r="4244" spans="2:3">
      <c r="B4244" t="s">
        <v>5758</v>
      </c>
    </row>
    <row r="4245" spans="2:3">
      <c r="B4245" t="s">
        <v>5756</v>
      </c>
    </row>
    <row r="4246" spans="2:3">
      <c r="B4246" t="s">
        <v>5755</v>
      </c>
    </row>
    <row r="4248" spans="2:3">
      <c r="B4248" s="2" t="s">
        <v>5760</v>
      </c>
    </row>
    <row r="4250" spans="2:3">
      <c r="B4250" s="121" t="s">
        <v>5762</v>
      </c>
    </row>
    <row r="4252" spans="2:3">
      <c r="B4252" s="2" t="s">
        <v>2384</v>
      </c>
    </row>
    <row r="4253" spans="2:3">
      <c r="B4253" t="s">
        <v>5763</v>
      </c>
    </row>
    <row r="4254" spans="2:3">
      <c r="B4254" t="s">
        <v>5764</v>
      </c>
    </row>
    <row r="4255" spans="2:3">
      <c r="B4255" t="s">
        <v>5781</v>
      </c>
    </row>
    <row r="4256" spans="2:3">
      <c r="C4256" t="s">
        <v>5782</v>
      </c>
    </row>
    <row r="4257" spans="2:4">
      <c r="B4257" t="s">
        <v>5783</v>
      </c>
    </row>
    <row r="4258" spans="2:4">
      <c r="B4258" t="s">
        <v>5784</v>
      </c>
    </row>
    <row r="4259" spans="2:4">
      <c r="B4259" t="s">
        <v>5785</v>
      </c>
    </row>
    <row r="4260" spans="2:4">
      <c r="C4260" t="s">
        <v>5786</v>
      </c>
    </row>
    <row r="4261" spans="2:4">
      <c r="C4261" t="s">
        <v>5787</v>
      </c>
    </row>
    <row r="4263" spans="2:4">
      <c r="B4263" t="s">
        <v>5765</v>
      </c>
    </row>
    <row r="4264" spans="2:4">
      <c r="C4264" t="s">
        <v>5766</v>
      </c>
    </row>
    <row r="4265" spans="2:4">
      <c r="B4265" t="s">
        <v>3324</v>
      </c>
    </row>
    <row r="4266" spans="2:4">
      <c r="C4266" t="s">
        <v>5767</v>
      </c>
    </row>
    <row r="4267" spans="2:4">
      <c r="B4267" t="s">
        <v>4163</v>
      </c>
    </row>
    <row r="4268" spans="2:4">
      <c r="C4268" t="s">
        <v>5768</v>
      </c>
    </row>
    <row r="4269" spans="2:4">
      <c r="C4269" t="s">
        <v>5769</v>
      </c>
    </row>
    <row r="4270" spans="2:4">
      <c r="C4270" t="s">
        <v>5770</v>
      </c>
    </row>
    <row r="4271" spans="2:4">
      <c r="D4271" t="s">
        <v>5771</v>
      </c>
    </row>
    <row r="4272" spans="2:4">
      <c r="B4272" t="s">
        <v>16</v>
      </c>
    </row>
    <row r="4273" spans="2:4">
      <c r="C4273" t="s">
        <v>5776</v>
      </c>
    </row>
    <row r="4274" spans="2:4">
      <c r="C4274" t="s">
        <v>5772</v>
      </c>
    </row>
    <row r="4275" spans="2:4">
      <c r="D4275" t="s">
        <v>5773</v>
      </c>
    </row>
    <row r="4276" spans="2:4">
      <c r="C4276" t="s">
        <v>5774</v>
      </c>
    </row>
    <row r="4277" spans="2:4">
      <c r="C4277" t="s">
        <v>5775</v>
      </c>
    </row>
    <row r="4278" spans="2:4">
      <c r="B4278" s="2" t="s">
        <v>590</v>
      </c>
    </row>
    <row r="4279" spans="2:4">
      <c r="B4279" t="s">
        <v>3293</v>
      </c>
    </row>
    <row r="4280" spans="2:4">
      <c r="C4280" t="s">
        <v>5777</v>
      </c>
    </row>
    <row r="4281" spans="2:4">
      <c r="B4281" t="s">
        <v>16</v>
      </c>
    </row>
    <row r="4282" spans="2:4">
      <c r="C4282" t="s">
        <v>5778</v>
      </c>
    </row>
    <row r="4283" spans="2:4">
      <c r="B4283" t="s">
        <v>4158</v>
      </c>
    </row>
    <row r="4284" spans="2:4">
      <c r="C4284" t="s">
        <v>5779</v>
      </c>
    </row>
    <row r="4285" spans="2:4">
      <c r="C4285" t="s">
        <v>5780</v>
      </c>
    </row>
    <row r="4286" spans="2:4">
      <c r="B4286" s="2" t="s">
        <v>2314</v>
      </c>
    </row>
    <row r="4287" spans="2:4">
      <c r="C4287" t="s">
        <v>5788</v>
      </c>
    </row>
    <row r="4289" spans="1:3">
      <c r="B4289" s="121" t="s">
        <v>5762</v>
      </c>
    </row>
    <row r="4291" spans="1:3">
      <c r="B4291" t="s">
        <v>5789</v>
      </c>
    </row>
    <row r="4292" spans="1:3">
      <c r="B4292" t="s">
        <v>5790</v>
      </c>
    </row>
    <row r="4293" spans="1:3">
      <c r="B4293" t="s">
        <v>5791</v>
      </c>
    </row>
    <row r="4294" spans="1:3">
      <c r="B4294" t="s">
        <v>5792</v>
      </c>
    </row>
    <row r="4295" spans="1:3">
      <c r="B4295" s="2" t="s">
        <v>145</v>
      </c>
    </row>
    <row r="4296" spans="1:3">
      <c r="A4296" t="s">
        <v>2024</v>
      </c>
      <c r="B4296" t="s">
        <v>5793</v>
      </c>
    </row>
    <row r="4297" spans="1:3">
      <c r="B4297" t="s">
        <v>5794</v>
      </c>
    </row>
    <row r="4298" spans="1:3">
      <c r="B4298" t="s">
        <v>5795</v>
      </c>
      <c r="C4298" s="122">
        <v>75000</v>
      </c>
    </row>
    <row r="4299" spans="1:3">
      <c r="B4299" s="2" t="s">
        <v>417</v>
      </c>
    </row>
    <row r="4301" spans="1:3">
      <c r="B4301" s="121" t="s">
        <v>1259</v>
      </c>
    </row>
    <row r="4302" spans="1:3">
      <c r="B4302" t="s">
        <v>417</v>
      </c>
    </row>
    <row r="4303" spans="1:3">
      <c r="C4303" t="s">
        <v>5796</v>
      </c>
    </row>
    <row r="4304" spans="1:3">
      <c r="C4304" t="s">
        <v>5797</v>
      </c>
    </row>
    <row r="4305" spans="2:4">
      <c r="C4305" t="s">
        <v>5798</v>
      </c>
    </row>
    <row r="4306" spans="2:4">
      <c r="C4306" t="s">
        <v>5799</v>
      </c>
    </row>
    <row r="4307" spans="2:4">
      <c r="C4307" t="s">
        <v>5800</v>
      </c>
    </row>
    <row r="4308" spans="2:4">
      <c r="C4308" t="s">
        <v>5801</v>
      </c>
    </row>
    <row r="4309" spans="2:4">
      <c r="B4309" t="s">
        <v>2269</v>
      </c>
    </row>
    <row r="4310" spans="2:4">
      <c r="C4310" t="s">
        <v>5802</v>
      </c>
    </row>
    <row r="4311" spans="2:4">
      <c r="B4311" t="s">
        <v>4163</v>
      </c>
    </row>
    <row r="4312" spans="2:4">
      <c r="C4312" t="s">
        <v>5803</v>
      </c>
    </row>
    <row r="4313" spans="2:4">
      <c r="C4313" t="s">
        <v>5804</v>
      </c>
    </row>
    <row r="4314" spans="2:4">
      <c r="C4314" t="s">
        <v>5805</v>
      </c>
    </row>
    <row r="4315" spans="2:4">
      <c r="B4315" t="s">
        <v>2384</v>
      </c>
    </row>
    <row r="4316" spans="2:4">
      <c r="C4316" t="s">
        <v>5806</v>
      </c>
    </row>
    <row r="4317" spans="2:4">
      <c r="D4317" t="s">
        <v>5808</v>
      </c>
    </row>
    <row r="4318" spans="2:4">
      <c r="C4318" t="s">
        <v>5807</v>
      </c>
    </row>
    <row r="4319" spans="2:4">
      <c r="B4319" t="s">
        <v>16</v>
      </c>
    </row>
    <row r="4320" spans="2:4">
      <c r="C4320" t="s">
        <v>5809</v>
      </c>
    </row>
    <row r="4321" spans="2:3">
      <c r="C4321" t="s">
        <v>5810</v>
      </c>
    </row>
    <row r="4322" spans="2:3">
      <c r="C4322" t="s">
        <v>5811</v>
      </c>
    </row>
    <row r="4324" spans="2:3">
      <c r="B4324" s="121" t="s">
        <v>5815</v>
      </c>
    </row>
    <row r="4325" spans="2:3">
      <c r="B4325" t="s">
        <v>5812</v>
      </c>
      <c r="C4325" s="9">
        <v>1.4999999999999999E-2</v>
      </c>
    </row>
    <row r="4326" spans="2:3">
      <c r="B4326" s="61" t="s">
        <v>5813</v>
      </c>
      <c r="C4326" s="130" t="s">
        <v>5814</v>
      </c>
    </row>
    <row r="4327" spans="2:3">
      <c r="B4327" t="s">
        <v>98</v>
      </c>
      <c r="C4327" s="10">
        <v>0.06</v>
      </c>
    </row>
    <row r="4329" spans="2:3">
      <c r="B4329" s="2" t="s">
        <v>4163</v>
      </c>
    </row>
    <row r="4330" spans="2:3">
      <c r="B4330" t="s">
        <v>5816</v>
      </c>
      <c r="C4330" t="s">
        <v>5817</v>
      </c>
    </row>
    <row r="4331" spans="2:3">
      <c r="B4331" t="s">
        <v>5818</v>
      </c>
    </row>
    <row r="4332" spans="2:3">
      <c r="B4332" t="s">
        <v>5819</v>
      </c>
    </row>
    <row r="4333" spans="2:3">
      <c r="B4333" t="s">
        <v>5820</v>
      </c>
    </row>
    <row r="4334" spans="2:3">
      <c r="B4334" t="s">
        <v>5821</v>
      </c>
    </row>
    <row r="4335" spans="2:3">
      <c r="C4335" t="s">
        <v>5824</v>
      </c>
    </row>
    <row r="4336" spans="2:3">
      <c r="C4336" t="s">
        <v>5825</v>
      </c>
    </row>
    <row r="4337" spans="2:5">
      <c r="C4337" t="s">
        <v>5826</v>
      </c>
    </row>
    <row r="4338" spans="2:5">
      <c r="D4338" t="s">
        <v>5827</v>
      </c>
      <c r="E4338" s="527" t="s">
        <v>5828</v>
      </c>
    </row>
    <row r="4339" spans="2:5">
      <c r="C4339" t="s">
        <v>5829</v>
      </c>
      <c r="E4339" s="8"/>
    </row>
    <row r="4340" spans="2:5">
      <c r="C4340" t="s">
        <v>5830</v>
      </c>
      <c r="E4340" s="8"/>
    </row>
    <row r="4341" spans="2:5">
      <c r="B4341" t="s">
        <v>4163</v>
      </c>
      <c r="E4341" s="8"/>
    </row>
    <row r="4342" spans="2:5">
      <c r="C4342" t="s">
        <v>5831</v>
      </c>
      <c r="E4342" s="8"/>
    </row>
    <row r="4343" spans="2:5">
      <c r="C4343" t="s">
        <v>5832</v>
      </c>
      <c r="E4343" s="8"/>
    </row>
    <row r="4344" spans="2:5">
      <c r="C4344" t="s">
        <v>5833</v>
      </c>
      <c r="E4344" s="8"/>
    </row>
    <row r="4345" spans="2:5">
      <c r="C4345" t="s">
        <v>5834</v>
      </c>
      <c r="E4345" s="8"/>
    </row>
    <row r="4346" spans="2:5">
      <c r="B4346" t="s">
        <v>5822</v>
      </c>
    </row>
    <row r="4347" spans="2:5">
      <c r="C4347" t="s">
        <v>5823</v>
      </c>
    </row>
    <row r="4348" spans="2:5">
      <c r="B4348" t="s">
        <v>2540</v>
      </c>
    </row>
    <row r="4349" spans="2:5">
      <c r="C4349" t="s">
        <v>5835</v>
      </c>
    </row>
    <row r="4350" spans="2:5">
      <c r="C4350" t="s">
        <v>5836</v>
      </c>
    </row>
    <row r="4351" spans="2:5">
      <c r="C4351" t="s">
        <v>5837</v>
      </c>
    </row>
    <row r="4352" spans="2:5">
      <c r="B4352" t="s">
        <v>4079</v>
      </c>
    </row>
    <row r="4353" spans="2:3">
      <c r="B4353" t="s">
        <v>5838</v>
      </c>
    </row>
    <row r="4354" spans="2:3">
      <c r="C4354" t="s">
        <v>5839</v>
      </c>
    </row>
    <row r="4355" spans="2:3">
      <c r="B4355" t="s">
        <v>5840</v>
      </c>
    </row>
    <row r="4356" spans="2:3">
      <c r="B4356" t="s">
        <v>16</v>
      </c>
    </row>
    <row r="4357" spans="2:3">
      <c r="C4357" t="s">
        <v>5841</v>
      </c>
    </row>
    <row r="4358" spans="2:3">
      <c r="B4358" t="s">
        <v>5842</v>
      </c>
    </row>
    <row r="4359" spans="2:3">
      <c r="B4359" t="s">
        <v>5843</v>
      </c>
    </row>
    <row r="4360" spans="2:3">
      <c r="C4360" t="s">
        <v>5844</v>
      </c>
    </row>
    <row r="4361" spans="2:3">
      <c r="C4361" t="s">
        <v>5845</v>
      </c>
    </row>
    <row r="4362" spans="2:3">
      <c r="C4362" t="s">
        <v>5846</v>
      </c>
    </row>
    <row r="4363" spans="2:3">
      <c r="C4363" t="s">
        <v>5847</v>
      </c>
    </row>
    <row r="4364" spans="2:3">
      <c r="B4364" t="s">
        <v>4600</v>
      </c>
    </row>
    <row r="4365" spans="2:3">
      <c r="C4365" t="s">
        <v>5848</v>
      </c>
    </row>
    <row r="4366" spans="2:3">
      <c r="C4366" t="s">
        <v>5849</v>
      </c>
    </row>
    <row r="4367" spans="2:3">
      <c r="C4367" t="s">
        <v>5850</v>
      </c>
    </row>
    <row r="4368" spans="2:3">
      <c r="C4368" t="s">
        <v>5851</v>
      </c>
    </row>
    <row r="4369" spans="2:4">
      <c r="C4369" t="s">
        <v>5852</v>
      </c>
    </row>
    <row r="4370" spans="2:4">
      <c r="B4370" t="s">
        <v>5853</v>
      </c>
    </row>
    <row r="4371" spans="2:4">
      <c r="C4371" t="s">
        <v>16</v>
      </c>
      <c r="D4371" t="s">
        <v>5854</v>
      </c>
    </row>
    <row r="4372" spans="2:4">
      <c r="D4372" t="s">
        <v>5855</v>
      </c>
    </row>
    <row r="4373" spans="2:4">
      <c r="B4373" t="s">
        <v>5856</v>
      </c>
    </row>
    <row r="4374" spans="2:4">
      <c r="B4374" t="s">
        <v>5857</v>
      </c>
    </row>
    <row r="4376" spans="2:4">
      <c r="B4376" s="121" t="s">
        <v>5858</v>
      </c>
    </row>
    <row r="4378" spans="2:4">
      <c r="B4378" t="s">
        <v>5859</v>
      </c>
      <c r="C4378" t="s">
        <v>5860</v>
      </c>
    </row>
    <row r="4380" spans="2:4">
      <c r="B4380" t="s">
        <v>5861</v>
      </c>
      <c r="C4380" t="s">
        <v>5862</v>
      </c>
    </row>
    <row r="4381" spans="2:4">
      <c r="C4381" t="s">
        <v>5863</v>
      </c>
    </row>
    <row r="4382" spans="2:4">
      <c r="C4382" t="s">
        <v>5864</v>
      </c>
    </row>
    <row r="4383" spans="2:4">
      <c r="C4383" t="s">
        <v>5865</v>
      </c>
    </row>
    <row r="4384" spans="2:4">
      <c r="B4384" t="s">
        <v>5868</v>
      </c>
    </row>
    <row r="4385" spans="2:3">
      <c r="C4385" t="s">
        <v>5869</v>
      </c>
    </row>
    <row r="4386" spans="2:3">
      <c r="C4386" t="s">
        <v>5871</v>
      </c>
    </row>
    <row r="4387" spans="2:3">
      <c r="C4387" t="s">
        <v>5870</v>
      </c>
    </row>
    <row r="4388" spans="2:3">
      <c r="C4388" t="s">
        <v>5872</v>
      </c>
    </row>
    <row r="4389" spans="2:3">
      <c r="B4389" t="s">
        <v>5866</v>
      </c>
    </row>
    <row r="4390" spans="2:3">
      <c r="C4390" t="s">
        <v>5873</v>
      </c>
    </row>
    <row r="4391" spans="2:3">
      <c r="C4391" t="s">
        <v>5874</v>
      </c>
    </row>
    <row r="4392" spans="2:3">
      <c r="C4392" t="s">
        <v>5875</v>
      </c>
    </row>
    <row r="4393" spans="2:3">
      <c r="C4393" t="s">
        <v>5876</v>
      </c>
    </row>
    <row r="4394" spans="2:3">
      <c r="B4394" t="s">
        <v>5877</v>
      </c>
    </row>
    <row r="4395" spans="2:3">
      <c r="C4395" t="s">
        <v>5878</v>
      </c>
    </row>
    <row r="4396" spans="2:3">
      <c r="C4396" t="s">
        <v>5879</v>
      </c>
    </row>
    <row r="4397" spans="2:3">
      <c r="C4397" t="s">
        <v>5880</v>
      </c>
    </row>
    <row r="4398" spans="2:3">
      <c r="C4398" t="s">
        <v>5881</v>
      </c>
    </row>
    <row r="4399" spans="2:3">
      <c r="C4399" t="s">
        <v>5882</v>
      </c>
    </row>
    <row r="4400" spans="2:3">
      <c r="B4400" t="s">
        <v>5867</v>
      </c>
    </row>
    <row r="4401" spans="2:6">
      <c r="C4401" t="s">
        <v>5885</v>
      </c>
    </row>
    <row r="4402" spans="2:6">
      <c r="C4402" t="s">
        <v>5884</v>
      </c>
    </row>
    <row r="4403" spans="2:6">
      <c r="C4403" t="s">
        <v>5883</v>
      </c>
    </row>
    <row r="4404" spans="2:6">
      <c r="C4404" t="s">
        <v>5886</v>
      </c>
    </row>
    <row r="4405" spans="2:6">
      <c r="C4405" t="s">
        <v>5887</v>
      </c>
    </row>
    <row r="4406" spans="2:6">
      <c r="C4406" t="s">
        <v>5888</v>
      </c>
    </row>
    <row r="4408" spans="2:6">
      <c r="C4408" s="3" t="s">
        <v>4163</v>
      </c>
      <c r="D4408" s="3" t="s">
        <v>74</v>
      </c>
      <c r="E4408" t="s">
        <v>5890</v>
      </c>
      <c r="F4408" t="s">
        <v>5889</v>
      </c>
    </row>
    <row r="4409" spans="2:6">
      <c r="C4409" s="122">
        <f>Univision!L5</f>
        <v>2678.9</v>
      </c>
      <c r="D4409" s="122">
        <f>Master!T47/20</f>
        <v>1797.095</v>
      </c>
      <c r="E4409" s="122">
        <f>C4409+D4409-F4409</f>
        <v>475.99499999999989</v>
      </c>
      <c r="F4409">
        <v>4000</v>
      </c>
    </row>
    <row r="4410" spans="2:6">
      <c r="C4410" s="122">
        <f>Univision!L14</f>
        <v>977.79849999999999</v>
      </c>
      <c r="D4410" s="122">
        <f>Master!T65/20</f>
        <v>688.95</v>
      </c>
      <c r="E4410" s="122">
        <f>C4410+D4410-F4410</f>
        <v>66.748500000000149</v>
      </c>
      <c r="F4410">
        <v>1600</v>
      </c>
    </row>
    <row r="4411" spans="2:6">
      <c r="B4411" t="s">
        <v>5891</v>
      </c>
    </row>
    <row r="4412" spans="2:6">
      <c r="C4412" t="s">
        <v>5892</v>
      </c>
    </row>
    <row r="4413" spans="2:6">
      <c r="C4413" t="s">
        <v>5893</v>
      </c>
    </row>
    <row r="4414" spans="2:6">
      <c r="B4414" t="s">
        <v>5894</v>
      </c>
    </row>
    <row r="4415" spans="2:6">
      <c r="C4415" t="s">
        <v>5895</v>
      </c>
    </row>
    <row r="4416" spans="2:6">
      <c r="C4416" t="s">
        <v>5896</v>
      </c>
    </row>
    <row r="4417" spans="2:4">
      <c r="B4417" t="s">
        <v>5897</v>
      </c>
    </row>
    <row r="4418" spans="2:4">
      <c r="C4418" t="s">
        <v>5898</v>
      </c>
    </row>
    <row r="4419" spans="2:4">
      <c r="C4419" t="s">
        <v>5899</v>
      </c>
    </row>
    <row r="4420" spans="2:4">
      <c r="C4420" t="s">
        <v>5900</v>
      </c>
    </row>
    <row r="4421" spans="2:4">
      <c r="C4421" t="s">
        <v>5901</v>
      </c>
    </row>
    <row r="4422" spans="2:4">
      <c r="C4422" t="s">
        <v>5902</v>
      </c>
    </row>
    <row r="4423" spans="2:4">
      <c r="B4423" t="s">
        <v>5904</v>
      </c>
    </row>
    <row r="4424" spans="2:4">
      <c r="B4424" t="s">
        <v>5903</v>
      </c>
    </row>
    <row r="4425" spans="2:4">
      <c r="B4425" t="s">
        <v>5905</v>
      </c>
    </row>
    <row r="4426" spans="2:4">
      <c r="C4426" t="s">
        <v>5908</v>
      </c>
    </row>
    <row r="4427" spans="2:4">
      <c r="C4427" t="s">
        <v>5928</v>
      </c>
    </row>
    <row r="4428" spans="2:4">
      <c r="D4428" t="s">
        <v>5929</v>
      </c>
    </row>
    <row r="4429" spans="2:4">
      <c r="C4429" t="s">
        <v>4201</v>
      </c>
    </row>
    <row r="4430" spans="2:4">
      <c r="D4430" t="s">
        <v>5906</v>
      </c>
    </row>
    <row r="4431" spans="2:4">
      <c r="D4431" t="s">
        <v>5907</v>
      </c>
    </row>
    <row r="4432" spans="2:4">
      <c r="C4432" t="s">
        <v>4203</v>
      </c>
    </row>
    <row r="4433" spans="2:5">
      <c r="D4433" t="s">
        <v>5909</v>
      </c>
    </row>
    <row r="4434" spans="2:5">
      <c r="D4434" t="s">
        <v>5910</v>
      </c>
    </row>
    <row r="4435" spans="2:5">
      <c r="D4435" t="s">
        <v>5911</v>
      </c>
    </row>
    <row r="4436" spans="2:5">
      <c r="B4436" s="121" t="s">
        <v>1259</v>
      </c>
    </row>
    <row r="4437" spans="2:5">
      <c r="B4437" s="2"/>
    </row>
    <row r="4438" spans="2:5">
      <c r="B4438" t="s">
        <v>5912</v>
      </c>
    </row>
    <row r="4439" spans="2:5">
      <c r="C4439" t="s">
        <v>5913</v>
      </c>
      <c r="E4439">
        <f>2.7/0.45</f>
        <v>6</v>
      </c>
    </row>
    <row r="4440" spans="2:5">
      <c r="C4440" t="s">
        <v>5914</v>
      </c>
    </row>
    <row r="4441" spans="2:5">
      <c r="B4441" t="s">
        <v>5915</v>
      </c>
    </row>
    <row r="4442" spans="2:5">
      <c r="C4442" t="s">
        <v>5916</v>
      </c>
    </row>
    <row r="4443" spans="2:5">
      <c r="C4443" t="s">
        <v>5917</v>
      </c>
    </row>
    <row r="4444" spans="2:5">
      <c r="B4444" s="2" t="s">
        <v>5920</v>
      </c>
    </row>
    <row r="4445" spans="2:5">
      <c r="B4445" t="s">
        <v>5919</v>
      </c>
      <c r="C4445" s="8">
        <v>0.38</v>
      </c>
    </row>
    <row r="4446" spans="2:5">
      <c r="B4446" t="s">
        <v>5918</v>
      </c>
      <c r="C4446" s="8">
        <v>0.17</v>
      </c>
    </row>
    <row r="4448" spans="2:5">
      <c r="B4448" t="s">
        <v>5921</v>
      </c>
    </row>
    <row r="4450" spans="2:4">
      <c r="B4450" t="s">
        <v>5922</v>
      </c>
    </row>
    <row r="4451" spans="2:4">
      <c r="B4451" t="s">
        <v>5923</v>
      </c>
    </row>
    <row r="4452" spans="2:4">
      <c r="C4452" t="s">
        <v>5925</v>
      </c>
    </row>
    <row r="4453" spans="2:4">
      <c r="D4453" t="s">
        <v>5924</v>
      </c>
    </row>
    <row r="4454" spans="2:4">
      <c r="B4454" t="s">
        <v>5927</v>
      </c>
    </row>
    <row r="4455" spans="2:4">
      <c r="C4455" t="s">
        <v>5926</v>
      </c>
    </row>
    <row r="4456" spans="2:4">
      <c r="B4456" t="s">
        <v>5930</v>
      </c>
    </row>
    <row r="4457" spans="2:4">
      <c r="C4457" t="s">
        <v>5931</v>
      </c>
    </row>
    <row r="4458" spans="2:4">
      <c r="C4458" t="s">
        <v>5932</v>
      </c>
    </row>
    <row r="4459" spans="2:4">
      <c r="D4459" t="s">
        <v>5933</v>
      </c>
    </row>
    <row r="4460" spans="2:4">
      <c r="C4460" t="s">
        <v>5934</v>
      </c>
    </row>
    <row r="4461" spans="2:4">
      <c r="D4461" t="s">
        <v>5935</v>
      </c>
    </row>
    <row r="4462" spans="2:4">
      <c r="D4462" t="s">
        <v>5936</v>
      </c>
    </row>
    <row r="4463" spans="2:4">
      <c r="D4463" t="s">
        <v>5937</v>
      </c>
    </row>
    <row r="4464" spans="2:4">
      <c r="B4464" s="121" t="s">
        <v>5943</v>
      </c>
    </row>
    <row r="4465" spans="2:4">
      <c r="B4465" s="121"/>
    </row>
    <row r="4466" spans="2:4">
      <c r="B4466" s="121" t="s">
        <v>6004</v>
      </c>
    </row>
    <row r="4467" spans="2:4">
      <c r="B4467" t="s">
        <v>2641</v>
      </c>
      <c r="C4467" t="s">
        <v>5944</v>
      </c>
      <c r="D4467" t="s">
        <v>5945</v>
      </c>
    </row>
    <row r="4468" spans="2:4">
      <c r="B4468" t="s">
        <v>3044</v>
      </c>
      <c r="C4468" t="s">
        <v>5946</v>
      </c>
      <c r="D4468" t="s">
        <v>5947</v>
      </c>
    </row>
    <row r="4469" spans="2:4">
      <c r="B4469" t="s">
        <v>5967</v>
      </c>
      <c r="C4469" t="s">
        <v>5968</v>
      </c>
    </row>
    <row r="4471" spans="2:4">
      <c r="D4471" t="s">
        <v>5969</v>
      </c>
    </row>
    <row r="4473" spans="2:4">
      <c r="B4473" t="s">
        <v>5948</v>
      </c>
    </row>
    <row r="4474" spans="2:4">
      <c r="C4474" t="s">
        <v>5949</v>
      </c>
    </row>
    <row r="4475" spans="2:4">
      <c r="B4475" t="s">
        <v>5950</v>
      </c>
    </row>
    <row r="4476" spans="2:4">
      <c r="B4476" t="s">
        <v>5951</v>
      </c>
    </row>
    <row r="4477" spans="2:4">
      <c r="B4477" t="s">
        <v>5952</v>
      </c>
    </row>
    <row r="4479" spans="2:4">
      <c r="B4479" t="s">
        <v>5953</v>
      </c>
    </row>
    <row r="4480" spans="2:4">
      <c r="C4480" t="s">
        <v>5966</v>
      </c>
    </row>
    <row r="4481" spans="2:5">
      <c r="B4481" t="s">
        <v>5954</v>
      </c>
    </row>
    <row r="4483" spans="2:5">
      <c r="B4483" t="s">
        <v>4163</v>
      </c>
      <c r="C4483" t="s">
        <v>5955</v>
      </c>
    </row>
    <row r="4484" spans="2:5">
      <c r="B4484" t="s">
        <v>5956</v>
      </c>
    </row>
    <row r="4485" spans="2:5">
      <c r="B4485" t="s">
        <v>5957</v>
      </c>
    </row>
    <row r="4487" spans="2:5">
      <c r="B4487" t="s">
        <v>5958</v>
      </c>
    </row>
    <row r="4488" spans="2:5">
      <c r="C4488" t="s">
        <v>5959</v>
      </c>
    </row>
    <row r="4489" spans="2:5">
      <c r="C4489" t="s">
        <v>5960</v>
      </c>
      <c r="E4489" t="s">
        <v>5964</v>
      </c>
    </row>
    <row r="4490" spans="2:5">
      <c r="C4490" t="s">
        <v>5961</v>
      </c>
      <c r="E4490" s="9">
        <v>5.5E-2</v>
      </c>
    </row>
    <row r="4491" spans="2:5">
      <c r="E4491" s="9" t="s">
        <v>5965</v>
      </c>
    </row>
    <row r="4492" spans="2:5">
      <c r="B4492" t="s">
        <v>5962</v>
      </c>
    </row>
    <row r="4493" spans="2:5">
      <c r="B4493" t="s">
        <v>5963</v>
      </c>
    </row>
    <row r="4494" spans="2:5">
      <c r="C4494">
        <f>1500/0.25</f>
        <v>6000</v>
      </c>
    </row>
    <row r="4495" spans="2:5">
      <c r="B4495" t="s">
        <v>4163</v>
      </c>
    </row>
    <row r="4496" spans="2:5">
      <c r="C4496" t="s">
        <v>5970</v>
      </c>
      <c r="D4496">
        <v>1850</v>
      </c>
      <c r="E4496">
        <f>6*1.85</f>
        <v>11.100000000000001</v>
      </c>
    </row>
    <row r="4497" spans="2:5">
      <c r="B4497" t="s">
        <v>5971</v>
      </c>
      <c r="D4497">
        <v>9000</v>
      </c>
      <c r="E4497" s="419">
        <f>D4497/1800</f>
        <v>5</v>
      </c>
    </row>
    <row r="4499" spans="2:5">
      <c r="B4499" t="s">
        <v>5972</v>
      </c>
    </row>
    <row r="4500" spans="2:5">
      <c r="B4500" t="s">
        <v>5973</v>
      </c>
    </row>
    <row r="4501" spans="2:5">
      <c r="B4501" t="s">
        <v>5974</v>
      </c>
    </row>
    <row r="4502" spans="2:5">
      <c r="B4502" t="s">
        <v>5975</v>
      </c>
      <c r="C4502" t="s">
        <v>5976</v>
      </c>
    </row>
    <row r="4503" spans="2:5">
      <c r="C4503" t="s">
        <v>5977</v>
      </c>
    </row>
    <row r="4504" spans="2:5">
      <c r="B4504" s="2" t="s">
        <v>5978</v>
      </c>
    </row>
    <row r="4505" spans="2:5">
      <c r="B4505" t="s">
        <v>5979</v>
      </c>
    </row>
    <row r="4506" spans="2:5">
      <c r="B4506" t="s">
        <v>5980</v>
      </c>
    </row>
    <row r="4507" spans="2:5">
      <c r="B4507" t="s">
        <v>2540</v>
      </c>
    </row>
    <row r="4508" spans="2:5">
      <c r="C4508" t="s">
        <v>5981</v>
      </c>
    </row>
    <row r="4509" spans="2:5">
      <c r="C4509" t="s">
        <v>5982</v>
      </c>
    </row>
    <row r="4510" spans="2:5">
      <c r="C4510" t="s">
        <v>5983</v>
      </c>
    </row>
    <row r="4511" spans="2:5">
      <c r="D4511" t="s">
        <v>5984</v>
      </c>
    </row>
    <row r="4512" spans="2:5">
      <c r="C4512" t="s">
        <v>5985</v>
      </c>
    </row>
    <row r="4513" spans="2:4">
      <c r="D4513" t="s">
        <v>5986</v>
      </c>
    </row>
    <row r="4514" spans="2:4">
      <c r="C4514" t="s">
        <v>5987</v>
      </c>
    </row>
    <row r="4515" spans="2:4">
      <c r="C4515" t="s">
        <v>5988</v>
      </c>
    </row>
    <row r="4516" spans="2:4">
      <c r="B4516" t="s">
        <v>5989</v>
      </c>
    </row>
    <row r="4517" spans="2:4">
      <c r="C4517" t="s">
        <v>5990</v>
      </c>
    </row>
    <row r="4518" spans="2:4">
      <c r="B4518" t="s">
        <v>5991</v>
      </c>
    </row>
    <row r="4519" spans="2:4">
      <c r="B4519" t="s">
        <v>5992</v>
      </c>
    </row>
    <row r="4520" spans="2:4">
      <c r="B4520" t="s">
        <v>5993</v>
      </c>
    </row>
    <row r="4521" spans="2:4">
      <c r="C4521" t="s">
        <v>5994</v>
      </c>
    </row>
    <row r="4522" spans="2:4">
      <c r="C4522" t="s">
        <v>5995</v>
      </c>
    </row>
    <row r="4523" spans="2:4">
      <c r="B4523" t="s">
        <v>5996</v>
      </c>
    </row>
    <row r="4524" spans="2:4">
      <c r="C4524" t="s">
        <v>5997</v>
      </c>
    </row>
    <row r="4525" spans="2:4">
      <c r="C4525" t="s">
        <v>5998</v>
      </c>
    </row>
    <row r="4526" spans="2:4">
      <c r="C4526" t="s">
        <v>5999</v>
      </c>
    </row>
    <row r="4527" spans="2:4">
      <c r="C4527" t="s">
        <v>6000</v>
      </c>
    </row>
    <row r="4528" spans="2:4">
      <c r="C4528" t="s">
        <v>6001</v>
      </c>
    </row>
    <row r="4529" spans="1:4">
      <c r="D4529" t="s">
        <v>6002</v>
      </c>
    </row>
    <row r="4530" spans="1:4">
      <c r="C4530" t="s">
        <v>6003</v>
      </c>
    </row>
    <row r="4532" spans="1:4">
      <c r="B4532" s="121" t="s">
        <v>6013</v>
      </c>
    </row>
    <row r="4534" spans="1:4">
      <c r="B4534" t="s">
        <v>6022</v>
      </c>
    </row>
    <row r="4535" spans="1:4">
      <c r="B4535" t="s">
        <v>6019</v>
      </c>
    </row>
    <row r="4536" spans="1:4">
      <c r="B4536" t="s">
        <v>6015</v>
      </c>
    </row>
    <row r="4537" spans="1:4">
      <c r="A4537" t="s">
        <v>2024</v>
      </c>
      <c r="B4537" t="s">
        <v>6014</v>
      </c>
      <c r="D4537" t="s">
        <v>6048</v>
      </c>
    </row>
    <row r="4539" spans="1:4">
      <c r="A4539" t="s">
        <v>2024</v>
      </c>
      <c r="B4539" t="s">
        <v>6017</v>
      </c>
    </row>
    <row r="4540" spans="1:4">
      <c r="B4540" t="s">
        <v>6018</v>
      </c>
    </row>
    <row r="4541" spans="1:4">
      <c r="B4541" t="s">
        <v>6016</v>
      </c>
    </row>
    <row r="4543" spans="1:4">
      <c r="B4543" t="s">
        <v>6020</v>
      </c>
    </row>
    <row r="4544" spans="1:4">
      <c r="B4544" t="s">
        <v>6021</v>
      </c>
    </row>
    <row r="4546" spans="1:4">
      <c r="B4546" s="2" t="s">
        <v>6023</v>
      </c>
    </row>
    <row r="4547" spans="1:4">
      <c r="B4547" t="s">
        <v>6024</v>
      </c>
    </row>
    <row r="4548" spans="1:4">
      <c r="B4548" t="s">
        <v>6025</v>
      </c>
    </row>
    <row r="4549" spans="1:4">
      <c r="B4549" t="s">
        <v>6026</v>
      </c>
    </row>
    <row r="4550" spans="1:4">
      <c r="B4550" t="s">
        <v>6027</v>
      </c>
    </row>
    <row r="4551" spans="1:4">
      <c r="C4551" t="s">
        <v>6028</v>
      </c>
    </row>
    <row r="4552" spans="1:4">
      <c r="C4552" t="s">
        <v>6029</v>
      </c>
    </row>
    <row r="4553" spans="1:4">
      <c r="B4553" t="s">
        <v>6030</v>
      </c>
    </row>
    <row r="4554" spans="1:4">
      <c r="C4554" t="s">
        <v>6031</v>
      </c>
    </row>
    <row r="4555" spans="1:4">
      <c r="C4555" s="136">
        <f>200/2</f>
        <v>100</v>
      </c>
      <c r="D4555" t="s">
        <v>6032</v>
      </c>
    </row>
    <row r="4556" spans="1:4">
      <c r="C4556" t="s">
        <v>6040</v>
      </c>
    </row>
    <row r="4557" spans="1:4">
      <c r="C4557" t="s">
        <v>6041</v>
      </c>
    </row>
    <row r="4558" spans="1:4">
      <c r="C4558" t="s">
        <v>6042</v>
      </c>
    </row>
    <row r="4559" spans="1:4">
      <c r="A4559" t="s">
        <v>2024</v>
      </c>
      <c r="B4559" t="s">
        <v>6033</v>
      </c>
    </row>
    <row r="4560" spans="1:4">
      <c r="C4560" t="s">
        <v>4600</v>
      </c>
    </row>
    <row r="4561" spans="1:3">
      <c r="C4561" t="s">
        <v>2335</v>
      </c>
    </row>
    <row r="4562" spans="1:3">
      <c r="C4562" t="s">
        <v>513</v>
      </c>
    </row>
    <row r="4563" spans="1:3">
      <c r="B4563" t="s">
        <v>6034</v>
      </c>
    </row>
    <row r="4564" spans="1:3">
      <c r="B4564" t="s">
        <v>6035</v>
      </c>
    </row>
    <row r="4565" spans="1:3">
      <c r="A4565" t="s">
        <v>2024</v>
      </c>
      <c r="B4565" t="s">
        <v>6047</v>
      </c>
    </row>
    <row r="4566" spans="1:3">
      <c r="B4566" t="s">
        <v>6036</v>
      </c>
    </row>
    <row r="4568" spans="1:3">
      <c r="B4568" t="s">
        <v>6037</v>
      </c>
    </row>
    <row r="4569" spans="1:3">
      <c r="B4569" t="s">
        <v>6038</v>
      </c>
    </row>
    <row r="4571" spans="1:3">
      <c r="B4571" t="s">
        <v>6039</v>
      </c>
    </row>
    <row r="4573" spans="1:3">
      <c r="B4573" t="s">
        <v>6043</v>
      </c>
    </row>
    <row r="4574" spans="1:3">
      <c r="C4574" t="s">
        <v>6044</v>
      </c>
    </row>
    <row r="4575" spans="1:3">
      <c r="B4575" t="s">
        <v>6045</v>
      </c>
    </row>
    <row r="4576" spans="1:3">
      <c r="C4576" t="s">
        <v>6046</v>
      </c>
    </row>
    <row r="4577" spans="2:3">
      <c r="C4577" t="s">
        <v>6049</v>
      </c>
    </row>
    <row r="4579" spans="2:3" ht="16.5">
      <c r="B4579" s="199"/>
      <c r="C4579" s="616" t="s">
        <v>5049</v>
      </c>
    </row>
    <row r="4580" spans="2:3" ht="16.5">
      <c r="B4580" s="193" t="s">
        <v>6050</v>
      </c>
      <c r="C4580" s="207">
        <v>1800</v>
      </c>
    </row>
    <row r="4581" spans="2:3" ht="16.5">
      <c r="B4581" s="193" t="s">
        <v>531</v>
      </c>
      <c r="C4581" s="617" t="s">
        <v>6051</v>
      </c>
    </row>
    <row r="4582" spans="2:3" ht="16.5">
      <c r="B4582" s="199" t="s">
        <v>6052</v>
      </c>
      <c r="C4582" s="616" t="s">
        <v>6053</v>
      </c>
    </row>
    <row r="4583" spans="2:3" ht="16.5">
      <c r="B4583" s="193" t="s">
        <v>6054</v>
      </c>
      <c r="C4583" s="207">
        <v>1000</v>
      </c>
    </row>
    <row r="4584" spans="2:3" ht="16.5">
      <c r="B4584" s="193"/>
      <c r="C4584" s="193"/>
    </row>
    <row r="4585" spans="2:3" ht="16.5">
      <c r="B4585" s="193" t="s">
        <v>6055</v>
      </c>
      <c r="C4585" s="618">
        <v>6000</v>
      </c>
    </row>
    <row r="4586" spans="2:3" ht="16.5">
      <c r="B4586" s="193" t="s">
        <v>6056</v>
      </c>
      <c r="C4586" s="619">
        <f>C4583/C4585</f>
        <v>0.16666666666666666</v>
      </c>
    </row>
    <row r="4589" spans="2:3">
      <c r="B4589" s="121" t="s">
        <v>4163</v>
      </c>
    </row>
    <row r="4590" spans="2:3">
      <c r="B4590" s="121" t="s">
        <v>6075</v>
      </c>
      <c r="C4590" s="121" t="s">
        <v>6153</v>
      </c>
    </row>
    <row r="4591" spans="2:3">
      <c r="B4591" t="s">
        <v>6074</v>
      </c>
    </row>
    <row r="4592" spans="2:3">
      <c r="B4592" t="s">
        <v>6073</v>
      </c>
    </row>
    <row r="4593" spans="2:4">
      <c r="B4593" t="s">
        <v>6076</v>
      </c>
    </row>
    <row r="4594" spans="2:4">
      <c r="C4594" t="s">
        <v>6077</v>
      </c>
    </row>
    <row r="4595" spans="2:4">
      <c r="C4595" t="s">
        <v>6078</v>
      </c>
    </row>
    <row r="4596" spans="2:4">
      <c r="C4596" t="s">
        <v>6079</v>
      </c>
    </row>
    <row r="4597" spans="2:4">
      <c r="C4597" t="s">
        <v>6080</v>
      </c>
    </row>
    <row r="4598" spans="2:4">
      <c r="D4598" t="s">
        <v>6081</v>
      </c>
    </row>
    <row r="4599" spans="2:4">
      <c r="C4599" t="s">
        <v>6082</v>
      </c>
    </row>
    <row r="4600" spans="2:4">
      <c r="C4600" t="s">
        <v>6083</v>
      </c>
    </row>
    <row r="4601" spans="2:4">
      <c r="B4601" t="s">
        <v>6084</v>
      </c>
    </row>
    <row r="4602" spans="2:4">
      <c r="C4602" t="s">
        <v>6086</v>
      </c>
    </row>
    <row r="4603" spans="2:4">
      <c r="C4603" t="s">
        <v>6085</v>
      </c>
    </row>
    <row r="4604" spans="2:4">
      <c r="B4604" t="s">
        <v>6087</v>
      </c>
    </row>
    <row r="4605" spans="2:4">
      <c r="C4605" t="s">
        <v>6088</v>
      </c>
    </row>
    <row r="4606" spans="2:4">
      <c r="C4606" t="s">
        <v>6089</v>
      </c>
    </row>
    <row r="4607" spans="2:4">
      <c r="C4607" t="s">
        <v>6090</v>
      </c>
    </row>
    <row r="4608" spans="2:4">
      <c r="B4608" t="s">
        <v>5824</v>
      </c>
    </row>
    <row r="4609" spans="2:3">
      <c r="C4609" t="s">
        <v>6091</v>
      </c>
    </row>
    <row r="4610" spans="2:3">
      <c r="C4610" t="s">
        <v>6092</v>
      </c>
    </row>
    <row r="4611" spans="2:3">
      <c r="C4611" t="s">
        <v>6093</v>
      </c>
    </row>
    <row r="4612" spans="2:3">
      <c r="C4612" t="s">
        <v>80</v>
      </c>
    </row>
    <row r="4613" spans="2:3">
      <c r="C4613" t="s">
        <v>6094</v>
      </c>
    </row>
    <row r="4614" spans="2:3">
      <c r="C4614" t="s">
        <v>6095</v>
      </c>
    </row>
    <row r="4615" spans="2:3">
      <c r="B4615" t="s">
        <v>6096</v>
      </c>
    </row>
    <row r="4616" spans="2:3">
      <c r="C4616" t="s">
        <v>6097</v>
      </c>
    </row>
    <row r="4617" spans="2:3">
      <c r="B4617" t="s">
        <v>6098</v>
      </c>
    </row>
    <row r="4618" spans="2:3">
      <c r="C4618" t="s">
        <v>6099</v>
      </c>
    </row>
    <row r="4619" spans="2:3">
      <c r="C4619" t="s">
        <v>6100</v>
      </c>
    </row>
    <row r="4620" spans="2:3">
      <c r="C4620" t="s">
        <v>6101</v>
      </c>
    </row>
    <row r="4621" spans="2:3">
      <c r="B4621" t="s">
        <v>6102</v>
      </c>
    </row>
    <row r="4622" spans="2:3">
      <c r="C4622" t="s">
        <v>6104</v>
      </c>
    </row>
    <row r="4623" spans="2:3">
      <c r="C4623" t="s">
        <v>6103</v>
      </c>
    </row>
    <row r="4624" spans="2:3">
      <c r="C4624" t="s">
        <v>6105</v>
      </c>
    </row>
    <row r="4625" spans="2:4">
      <c r="C4625" t="s">
        <v>6106</v>
      </c>
    </row>
    <row r="4626" spans="2:4">
      <c r="B4626" t="s">
        <v>6107</v>
      </c>
    </row>
    <row r="4627" spans="2:4">
      <c r="C4627" t="s">
        <v>6108</v>
      </c>
    </row>
    <row r="4628" spans="2:4">
      <c r="C4628" t="s">
        <v>6109</v>
      </c>
    </row>
    <row r="4629" spans="2:4">
      <c r="C4629" t="s">
        <v>6110</v>
      </c>
    </row>
    <row r="4630" spans="2:4">
      <c r="C4630" t="s">
        <v>6111</v>
      </c>
    </row>
    <row r="4631" spans="2:4">
      <c r="C4631" t="s">
        <v>6112</v>
      </c>
    </row>
    <row r="4632" spans="2:4">
      <c r="C4632" t="s">
        <v>6113</v>
      </c>
    </row>
    <row r="4633" spans="2:4">
      <c r="C4633" t="s">
        <v>6114</v>
      </c>
    </row>
    <row r="4634" spans="2:4">
      <c r="C4634" t="s">
        <v>6115</v>
      </c>
    </row>
    <row r="4635" spans="2:4">
      <c r="B4635" t="s">
        <v>6116</v>
      </c>
    </row>
    <row r="4636" spans="2:4">
      <c r="C4636" t="s">
        <v>6117</v>
      </c>
    </row>
    <row r="4637" spans="2:4">
      <c r="C4637" t="s">
        <v>6118</v>
      </c>
    </row>
    <row r="4638" spans="2:4">
      <c r="D4638" t="s">
        <v>6119</v>
      </c>
    </row>
    <row r="4639" spans="2:4">
      <c r="D4639" t="s">
        <v>6113</v>
      </c>
    </row>
    <row r="4640" spans="2:4">
      <c r="C4640" t="s">
        <v>6120</v>
      </c>
    </row>
    <row r="4641" spans="2:4">
      <c r="C4641" t="s">
        <v>6121</v>
      </c>
    </row>
    <row r="4642" spans="2:4">
      <c r="B4642" t="s">
        <v>6122</v>
      </c>
    </row>
    <row r="4643" spans="2:4">
      <c r="C4643" t="s">
        <v>6123</v>
      </c>
    </row>
    <row r="4644" spans="2:4">
      <c r="C4644" t="s">
        <v>6124</v>
      </c>
    </row>
    <row r="4645" spans="2:4">
      <c r="B4645" t="s">
        <v>6125</v>
      </c>
    </row>
    <row r="4646" spans="2:4">
      <c r="C4646" t="s">
        <v>6126</v>
      </c>
    </row>
    <row r="4647" spans="2:4">
      <c r="C4647" t="s">
        <v>6127</v>
      </c>
    </row>
    <row r="4648" spans="2:4">
      <c r="C4648" t="s">
        <v>6128</v>
      </c>
    </row>
    <row r="4649" spans="2:4">
      <c r="D4649" t="s">
        <v>6129</v>
      </c>
    </row>
    <row r="4650" spans="2:4">
      <c r="D4650" t="s">
        <v>6130</v>
      </c>
    </row>
    <row r="4651" spans="2:4">
      <c r="C4651" t="s">
        <v>6131</v>
      </c>
    </row>
    <row r="4652" spans="2:4">
      <c r="D4652" t="s">
        <v>6132</v>
      </c>
    </row>
    <row r="4653" spans="2:4">
      <c r="B4653" t="s">
        <v>6133</v>
      </c>
    </row>
    <row r="4654" spans="2:4">
      <c r="C4654" t="s">
        <v>6134</v>
      </c>
    </row>
    <row r="4655" spans="2:4">
      <c r="C4655" t="s">
        <v>6135</v>
      </c>
    </row>
    <row r="4656" spans="2:4">
      <c r="B4656" t="s">
        <v>6136</v>
      </c>
    </row>
    <row r="4657" spans="2:4">
      <c r="C4657" t="s">
        <v>6137</v>
      </c>
    </row>
    <row r="4658" spans="2:4">
      <c r="C4658" t="s">
        <v>6138</v>
      </c>
    </row>
    <row r="4659" spans="2:4">
      <c r="B4659" t="s">
        <v>6139</v>
      </c>
    </row>
    <row r="4660" spans="2:4">
      <c r="C4660" t="s">
        <v>6141</v>
      </c>
    </row>
    <row r="4661" spans="2:4">
      <c r="C4661" t="s">
        <v>6140</v>
      </c>
    </row>
    <row r="4662" spans="2:4">
      <c r="C4662" t="s">
        <v>6142</v>
      </c>
    </row>
    <row r="4663" spans="2:4">
      <c r="D4663" t="s">
        <v>6143</v>
      </c>
    </row>
    <row r="4664" spans="2:4">
      <c r="C4664" t="s">
        <v>6144</v>
      </c>
    </row>
    <row r="4665" spans="2:4">
      <c r="D4665" t="s">
        <v>6145</v>
      </c>
    </row>
    <row r="4666" spans="2:4">
      <c r="C4666" t="s">
        <v>6146</v>
      </c>
    </row>
    <row r="4667" spans="2:4">
      <c r="C4667" t="s">
        <v>6147</v>
      </c>
    </row>
    <row r="4668" spans="2:4">
      <c r="B4668" t="s">
        <v>6148</v>
      </c>
    </row>
    <row r="4669" spans="2:4">
      <c r="C4669" t="s">
        <v>6149</v>
      </c>
    </row>
    <row r="4670" spans="2:4">
      <c r="C4670" t="s">
        <v>6150</v>
      </c>
    </row>
    <row r="4671" spans="2:4">
      <c r="B4671" t="s">
        <v>6151</v>
      </c>
    </row>
    <row r="4672" spans="2:4">
      <c r="C4672" t="s">
        <v>6152</v>
      </c>
    </row>
    <row r="4674" spans="2:4">
      <c r="B4674" s="2" t="s">
        <v>6203</v>
      </c>
      <c r="C4674" s="2" t="s">
        <v>507</v>
      </c>
    </row>
    <row r="4675" spans="2:4">
      <c r="B4675" t="s">
        <v>6178</v>
      </c>
      <c r="C4675" t="s">
        <v>6183</v>
      </c>
      <c r="D4675" t="s">
        <v>6179</v>
      </c>
    </row>
    <row r="4676" spans="2:4">
      <c r="D4676" t="s">
        <v>6180</v>
      </c>
    </row>
    <row r="4677" spans="2:4">
      <c r="D4677" t="s">
        <v>6181</v>
      </c>
    </row>
    <row r="4678" spans="2:4">
      <c r="D4678" t="s">
        <v>6182</v>
      </c>
    </row>
    <row r="4679" spans="2:4">
      <c r="C4679" t="s">
        <v>6186</v>
      </c>
    </row>
    <row r="4680" spans="2:4">
      <c r="C4680" t="s">
        <v>6187</v>
      </c>
    </row>
    <row r="4681" spans="2:4">
      <c r="B4681" t="s">
        <v>6202</v>
      </c>
    </row>
    <row r="4683" spans="2:4">
      <c r="B4683" t="s">
        <v>6184</v>
      </c>
      <c r="C4683" t="s">
        <v>6185</v>
      </c>
    </row>
    <row r="4685" spans="2:4">
      <c r="B4685" t="s">
        <v>6155</v>
      </c>
      <c r="C4685" t="s">
        <v>6154</v>
      </c>
    </row>
    <row r="4686" spans="2:4">
      <c r="C4686" t="s">
        <v>6176</v>
      </c>
    </row>
    <row r="4687" spans="2:4">
      <c r="C4687" t="s">
        <v>6177</v>
      </c>
    </row>
    <row r="4688" spans="2:4">
      <c r="B4688" t="s">
        <v>6156</v>
      </c>
    </row>
    <row r="4689" spans="2:4">
      <c r="C4689" t="s">
        <v>6157</v>
      </c>
    </row>
    <row r="4690" spans="2:4">
      <c r="B4690" t="s">
        <v>6158</v>
      </c>
    </row>
    <row r="4691" spans="2:4">
      <c r="C4691" t="s">
        <v>6159</v>
      </c>
    </row>
    <row r="4692" spans="2:4">
      <c r="C4692" t="s">
        <v>6160</v>
      </c>
    </row>
    <row r="4693" spans="2:4">
      <c r="D4693" t="s">
        <v>6161</v>
      </c>
    </row>
    <row r="4694" spans="2:4">
      <c r="C4694" t="s">
        <v>6162</v>
      </c>
    </row>
    <row r="4695" spans="2:4">
      <c r="C4695" t="s">
        <v>6163</v>
      </c>
    </row>
    <row r="4697" spans="2:4">
      <c r="C4697" t="s">
        <v>6164</v>
      </c>
    </row>
    <row r="4698" spans="2:4">
      <c r="C4698" t="s">
        <v>6165</v>
      </c>
    </row>
    <row r="4699" spans="2:4">
      <c r="D4699" t="s">
        <v>6166</v>
      </c>
    </row>
    <row r="4700" spans="2:4">
      <c r="B4700" t="s">
        <v>6167</v>
      </c>
    </row>
    <row r="4701" spans="2:4">
      <c r="C4701" t="s">
        <v>6168</v>
      </c>
    </row>
    <row r="4702" spans="2:4">
      <c r="C4702" t="s">
        <v>6169</v>
      </c>
    </row>
    <row r="4703" spans="2:4">
      <c r="B4703" t="s">
        <v>6170</v>
      </c>
    </row>
    <row r="4704" spans="2:4">
      <c r="C4704" t="s">
        <v>6201</v>
      </c>
    </row>
    <row r="4705" spans="2:3">
      <c r="C4705" t="s">
        <v>6171</v>
      </c>
    </row>
    <row r="4706" spans="2:3">
      <c r="B4706" t="s">
        <v>6172</v>
      </c>
    </row>
    <row r="4707" spans="2:3">
      <c r="C4707" t="s">
        <v>6173</v>
      </c>
    </row>
    <row r="4708" spans="2:3">
      <c r="C4708" t="s">
        <v>6174</v>
      </c>
    </row>
    <row r="4709" spans="2:3">
      <c r="C4709" t="s">
        <v>6175</v>
      </c>
    </row>
    <row r="4710" spans="2:3">
      <c r="B4710" t="s">
        <v>1401</v>
      </c>
    </row>
    <row r="4711" spans="2:3">
      <c r="C4711" t="s">
        <v>6188</v>
      </c>
    </row>
    <row r="4712" spans="2:3">
      <c r="B4712" t="s">
        <v>6189</v>
      </c>
    </row>
    <row r="4713" spans="2:3">
      <c r="C4713" t="s">
        <v>6190</v>
      </c>
    </row>
    <row r="4714" spans="2:3">
      <c r="B4714" t="s">
        <v>6191</v>
      </c>
    </row>
    <row r="4715" spans="2:3">
      <c r="C4715" t="s">
        <v>6192</v>
      </c>
    </row>
    <row r="4716" spans="2:3">
      <c r="B4716" t="s">
        <v>6193</v>
      </c>
    </row>
    <row r="4717" spans="2:3">
      <c r="C4717" t="s">
        <v>4163</v>
      </c>
    </row>
    <row r="4718" spans="2:3">
      <c r="B4718" t="s">
        <v>6194</v>
      </c>
    </row>
    <row r="4719" spans="2:3">
      <c r="B4719" t="s">
        <v>6195</v>
      </c>
    </row>
    <row r="4721" spans="2:3">
      <c r="B4721" t="s">
        <v>6196</v>
      </c>
      <c r="C4721" t="s">
        <v>6197</v>
      </c>
    </row>
    <row r="4722" spans="2:3">
      <c r="C4722" t="s">
        <v>6198</v>
      </c>
    </row>
    <row r="4723" spans="2:3">
      <c r="C4723" t="s">
        <v>6199</v>
      </c>
    </row>
    <row r="4724" spans="2:3">
      <c r="B4724" t="s">
        <v>6200</v>
      </c>
    </row>
    <row r="4726" spans="2:3">
      <c r="B4726" s="121" t="s">
        <v>6245</v>
      </c>
    </row>
    <row r="4728" spans="2:3">
      <c r="B4728" t="s">
        <v>3653</v>
      </c>
    </row>
    <row r="4729" spans="2:3">
      <c r="C4729" t="s">
        <v>6289</v>
      </c>
    </row>
    <row r="4730" spans="2:3">
      <c r="C4730" t="s">
        <v>6246</v>
      </c>
    </row>
    <row r="4731" spans="2:3">
      <c r="B4731" t="s">
        <v>6247</v>
      </c>
    </row>
    <row r="4732" spans="2:3">
      <c r="C4732" t="s">
        <v>6248</v>
      </c>
    </row>
    <row r="4733" spans="2:3">
      <c r="C4733" t="s">
        <v>6252</v>
      </c>
    </row>
    <row r="4734" spans="2:3">
      <c r="B4734" t="s">
        <v>6249</v>
      </c>
    </row>
    <row r="4735" spans="2:3">
      <c r="C4735" t="s">
        <v>6251</v>
      </c>
    </row>
    <row r="4736" spans="2:3">
      <c r="C4736" t="s">
        <v>6250</v>
      </c>
    </row>
    <row r="4737" spans="2:4">
      <c r="B4737" t="s">
        <v>16</v>
      </c>
    </row>
    <row r="4738" spans="2:4">
      <c r="C4738" t="s">
        <v>6253</v>
      </c>
    </row>
    <row r="4739" spans="2:4">
      <c r="D4739" t="s">
        <v>6254</v>
      </c>
    </row>
    <row r="4740" spans="2:4">
      <c r="D4740" t="s">
        <v>6255</v>
      </c>
    </row>
    <row r="4741" spans="2:4">
      <c r="D4741" t="s">
        <v>6256</v>
      </c>
    </row>
    <row r="4742" spans="2:4">
      <c r="C4742" t="s">
        <v>6257</v>
      </c>
    </row>
    <row r="4743" spans="2:4">
      <c r="D4743" t="s">
        <v>6258</v>
      </c>
    </row>
    <row r="4744" spans="2:4">
      <c r="C4744" t="s">
        <v>6259</v>
      </c>
    </row>
    <row r="4745" spans="2:4">
      <c r="D4745" t="s">
        <v>6260</v>
      </c>
    </row>
    <row r="4746" spans="2:4">
      <c r="C4746" t="s">
        <v>6261</v>
      </c>
    </row>
    <row r="4747" spans="2:4">
      <c r="D4747" t="s">
        <v>6262</v>
      </c>
    </row>
    <row r="4748" spans="2:4">
      <c r="D4748" t="s">
        <v>6265</v>
      </c>
    </row>
    <row r="4749" spans="2:4">
      <c r="B4749" t="s">
        <v>6263</v>
      </c>
    </row>
    <row r="4750" spans="2:4">
      <c r="C4750" t="s">
        <v>6264</v>
      </c>
    </row>
    <row r="4751" spans="2:4">
      <c r="B4751" t="s">
        <v>87</v>
      </c>
    </row>
    <row r="4752" spans="2:4">
      <c r="C4752" t="s">
        <v>6266</v>
      </c>
    </row>
    <row r="4753" spans="2:4">
      <c r="C4753" t="s">
        <v>6267</v>
      </c>
    </row>
    <row r="4754" spans="2:4">
      <c r="B4754" t="s">
        <v>44</v>
      </c>
    </row>
    <row r="4755" spans="2:4">
      <c r="C4755" t="s">
        <v>6268</v>
      </c>
    </row>
    <row r="4756" spans="2:4">
      <c r="C4756" t="s">
        <v>6269</v>
      </c>
    </row>
    <row r="4757" spans="2:4">
      <c r="B4757" t="s">
        <v>6271</v>
      </c>
    </row>
    <row r="4758" spans="2:4">
      <c r="C4758" t="s">
        <v>6270</v>
      </c>
    </row>
    <row r="4759" spans="2:4">
      <c r="C4759" t="s">
        <v>6287</v>
      </c>
    </row>
    <row r="4760" spans="2:4">
      <c r="B4760" s="42" t="s">
        <v>57</v>
      </c>
    </row>
    <row r="4762" spans="2:4">
      <c r="B4762" t="s">
        <v>3809</v>
      </c>
      <c r="C4762" t="s">
        <v>6272</v>
      </c>
    </row>
    <row r="4763" spans="2:4">
      <c r="C4763" t="s">
        <v>6273</v>
      </c>
    </row>
    <row r="4764" spans="2:4">
      <c r="C4764" s="2" t="s">
        <v>4018</v>
      </c>
    </row>
    <row r="4765" spans="2:4">
      <c r="C4765" t="s">
        <v>6274</v>
      </c>
    </row>
    <row r="4766" spans="2:4">
      <c r="D4766" t="s">
        <v>6275</v>
      </c>
    </row>
    <row r="4767" spans="2:4">
      <c r="C4767" t="s">
        <v>6276</v>
      </c>
    </row>
    <row r="4768" spans="2:4">
      <c r="C4768" t="s">
        <v>6277</v>
      </c>
    </row>
    <row r="4769" spans="2:3">
      <c r="C4769" t="s">
        <v>6278</v>
      </c>
    </row>
    <row r="4770" spans="2:3">
      <c r="C4770" t="s">
        <v>3860</v>
      </c>
    </row>
    <row r="4771" spans="2:3">
      <c r="B4771" t="s">
        <v>2941</v>
      </c>
    </row>
    <row r="4772" spans="2:3">
      <c r="C4772" t="s">
        <v>6279</v>
      </c>
    </row>
    <row r="4773" spans="2:3">
      <c r="B4773" t="s">
        <v>16</v>
      </c>
    </row>
    <row r="4774" spans="2:3">
      <c r="C4774" t="s">
        <v>6280</v>
      </c>
    </row>
    <row r="4775" spans="2:3">
      <c r="C4775" t="s">
        <v>6281</v>
      </c>
    </row>
    <row r="4776" spans="2:3">
      <c r="B4776" t="s">
        <v>87</v>
      </c>
    </row>
    <row r="4777" spans="2:3">
      <c r="C4777" t="s">
        <v>6282</v>
      </c>
    </row>
    <row r="4778" spans="2:3">
      <c r="C4778" t="s">
        <v>6283</v>
      </c>
    </row>
    <row r="4779" spans="2:3">
      <c r="C4779" t="s">
        <v>6284</v>
      </c>
    </row>
    <row r="4780" spans="2:3">
      <c r="C4780" t="s">
        <v>6285</v>
      </c>
    </row>
    <row r="4781" spans="2:3">
      <c r="B4781" t="s">
        <v>6286</v>
      </c>
    </row>
    <row r="4782" spans="2:3">
      <c r="C4782" t="s">
        <v>6288</v>
      </c>
    </row>
    <row r="4784" spans="2:3">
      <c r="B4784" s="2" t="s">
        <v>6302</v>
      </c>
    </row>
    <row r="4786" spans="2:5">
      <c r="B4786" t="s">
        <v>6178</v>
      </c>
      <c r="C4786" t="s">
        <v>507</v>
      </c>
      <c r="D4786">
        <v>5</v>
      </c>
    </row>
    <row r="4787" spans="2:5">
      <c r="C4787" t="s">
        <v>6296</v>
      </c>
      <c r="D4787">
        <f>D4786*12</f>
        <v>60</v>
      </c>
    </row>
    <row r="4788" spans="2:5">
      <c r="C4788" t="s">
        <v>6297</v>
      </c>
      <c r="D4788">
        <v>36</v>
      </c>
    </row>
    <row r="4789" spans="2:5">
      <c r="D4789">
        <f>D4788*D4787</f>
        <v>2160</v>
      </c>
    </row>
    <row r="4790" spans="2:5">
      <c r="D4790" s="4">
        <f>D4789*0.72</f>
        <v>1555.2</v>
      </c>
    </row>
    <row r="4791" spans="2:5">
      <c r="D4791">
        <f>D4790/8%</f>
        <v>19440</v>
      </c>
    </row>
    <row r="4793" spans="2:5">
      <c r="C4793" t="s">
        <v>6298</v>
      </c>
      <c r="D4793">
        <v>200</v>
      </c>
      <c r="E4793">
        <v>600</v>
      </c>
    </row>
    <row r="4794" spans="2:5">
      <c r="D4794" s="8">
        <f>D4788/D4793</f>
        <v>0.18</v>
      </c>
      <c r="E4794" s="8">
        <f>D4788/E4793</f>
        <v>0.06</v>
      </c>
    </row>
    <row r="4796" spans="2:5">
      <c r="B4796" s="2" t="s">
        <v>6301</v>
      </c>
    </row>
    <row r="4797" spans="2:5">
      <c r="B4797" t="s">
        <v>6299</v>
      </c>
      <c r="C4797">
        <v>36</v>
      </c>
    </row>
    <row r="4798" spans="2:5">
      <c r="B4798" t="s">
        <v>6300</v>
      </c>
      <c r="C4798">
        <v>20</v>
      </c>
    </row>
    <row r="4799" spans="2:5">
      <c r="B4799" t="s">
        <v>1401</v>
      </c>
      <c r="C4799">
        <v>600</v>
      </c>
    </row>
    <row r="4802" spans="2:9">
      <c r="B4802" s="121"/>
    </row>
    <row r="4803" spans="2:9" ht="15.75">
      <c r="B4803" s="217" t="s">
        <v>6167</v>
      </c>
      <c r="C4803" s="217">
        <v>2018</v>
      </c>
      <c r="D4803" s="620">
        <v>44166</v>
      </c>
      <c r="E4803" s="620">
        <v>44256</v>
      </c>
      <c r="F4803" s="620">
        <v>44348</v>
      </c>
      <c r="G4803" s="620">
        <v>44440</v>
      </c>
      <c r="H4803" s="388" t="s">
        <v>6244</v>
      </c>
      <c r="I4803" s="217">
        <v>2021</v>
      </c>
    </row>
    <row r="4804" spans="2:9" ht="15.75">
      <c r="B4804" s="66" t="s">
        <v>200</v>
      </c>
      <c r="C4804" s="66">
        <v>70</v>
      </c>
      <c r="D4804" s="66">
        <v>160</v>
      </c>
      <c r="E4804" s="66">
        <v>200</v>
      </c>
      <c r="F4804" s="66">
        <v>250</v>
      </c>
      <c r="G4804" s="66">
        <v>270</v>
      </c>
      <c r="H4804" s="66">
        <v>290</v>
      </c>
      <c r="I4804" s="111" t="s">
        <v>6313</v>
      </c>
    </row>
    <row r="4805" spans="2:9" ht="15.75">
      <c r="B4805" s="66" t="s">
        <v>6536</v>
      </c>
      <c r="C4805" s="66"/>
      <c r="D4805" s="119">
        <f>E4805-6</f>
        <v>44</v>
      </c>
      <c r="E4805" s="119">
        <v>50</v>
      </c>
      <c r="F4805" s="119">
        <v>52</v>
      </c>
      <c r="G4805" s="119">
        <v>54</v>
      </c>
      <c r="H4805" s="621">
        <v>56</v>
      </c>
      <c r="I4805" s="66"/>
    </row>
    <row r="4806" spans="2:9" ht="15.75">
      <c r="B4806" s="66" t="s">
        <v>6314</v>
      </c>
      <c r="C4806" s="66"/>
      <c r="D4806" s="214">
        <f>D4804/AVERAGE(C4805,D4805)/3</f>
        <v>1.2121212121212122</v>
      </c>
      <c r="E4806" s="214">
        <f>E4804/AVERAGE(D4805,E4805)/3</f>
        <v>1.4184397163120568</v>
      </c>
      <c r="F4806" s="214">
        <f>F4804/AVERAGE(E4805,F4805)/3</f>
        <v>1.6339869281045754</v>
      </c>
      <c r="G4806" s="214">
        <f>G4804/AVERAGE(F4805,G4805)/3</f>
        <v>1.6981132075471699</v>
      </c>
      <c r="H4806" s="214">
        <f>H4804/AVERAGE(G4805,H4805)/3</f>
        <v>1.7575757575757576</v>
      </c>
      <c r="I4806" s="66"/>
    </row>
    <row r="4807" spans="2:9" ht="15.75">
      <c r="B4807" s="66" t="s">
        <v>6327</v>
      </c>
      <c r="C4807" s="66"/>
      <c r="D4807" s="66"/>
      <c r="E4807" s="66"/>
      <c r="F4807" s="66"/>
      <c r="G4807" s="66"/>
      <c r="H4807" s="258">
        <v>5</v>
      </c>
      <c r="I4807" s="66"/>
    </row>
    <row r="4808" spans="2:9" ht="15.75">
      <c r="B4808" s="66" t="s">
        <v>6326</v>
      </c>
      <c r="C4808" s="66"/>
      <c r="D4808" s="66"/>
      <c r="E4808" s="66"/>
      <c r="F4808" s="66"/>
      <c r="G4808" s="66"/>
      <c r="H4808" s="112">
        <f>H4807/30</f>
        <v>0.16666666666666666</v>
      </c>
      <c r="I4808" s="66"/>
    </row>
    <row r="4809" spans="2:9" ht="15.75">
      <c r="B4809" s="66" t="s">
        <v>6315</v>
      </c>
      <c r="C4809" s="66"/>
      <c r="D4809" s="66"/>
      <c r="E4809" s="66"/>
      <c r="F4809" s="66"/>
      <c r="G4809" s="66"/>
      <c r="H4809" s="112">
        <v>7.5</v>
      </c>
      <c r="I4809" s="66"/>
    </row>
    <row r="4810" spans="2:9" ht="15.75">
      <c r="B4810" s="66" t="s">
        <v>6317</v>
      </c>
      <c r="C4810" s="66"/>
      <c r="D4810" s="66"/>
      <c r="E4810" s="66"/>
      <c r="F4810" s="66"/>
      <c r="G4810" s="66"/>
      <c r="H4810" s="112">
        <f>H4808*H4809</f>
        <v>1.25</v>
      </c>
      <c r="I4810" s="66"/>
    </row>
    <row r="4811" spans="2:9" ht="15.75">
      <c r="B4811" s="66" t="s">
        <v>6316</v>
      </c>
      <c r="C4811" s="66"/>
      <c r="D4811" s="66"/>
      <c r="E4811" s="66"/>
      <c r="F4811" s="66"/>
      <c r="G4811" s="66"/>
      <c r="H4811" s="71">
        <f>H4810*30</f>
        <v>37.5</v>
      </c>
      <c r="I4811" s="66"/>
    </row>
    <row r="4812" spans="2:9" ht="15.75">
      <c r="B4812" s="66" t="s">
        <v>6318</v>
      </c>
      <c r="C4812" s="66"/>
      <c r="D4812" s="66"/>
      <c r="E4812" s="66"/>
      <c r="F4812" s="66"/>
      <c r="G4812" s="66"/>
      <c r="H4812" s="71">
        <f>H4811*AVERAGE(G4805,H4805)</f>
        <v>2062.5</v>
      </c>
      <c r="I4812" s="66"/>
    </row>
    <row r="4813" spans="2:9" ht="15.75">
      <c r="B4813" s="66" t="s">
        <v>6328</v>
      </c>
      <c r="C4813" s="66"/>
      <c r="D4813" s="66"/>
      <c r="E4813" s="66"/>
      <c r="F4813" s="66"/>
      <c r="G4813" s="66"/>
      <c r="H4813" s="71">
        <f>H4812*3</f>
        <v>6187.5</v>
      </c>
      <c r="I4813" s="66"/>
    </row>
    <row r="4814" spans="2:9" ht="15.75">
      <c r="B4814" s="66" t="s">
        <v>6319</v>
      </c>
      <c r="C4814" s="66"/>
      <c r="D4814" s="66"/>
      <c r="E4814" s="66"/>
      <c r="F4814" s="66"/>
      <c r="G4814" s="66"/>
      <c r="H4814" s="214">
        <f>H4804/H4813</f>
        <v>4.6868686868686872E-2</v>
      </c>
      <c r="I4814" s="66"/>
    </row>
    <row r="4815" spans="2:9" ht="16.5" thickBot="1">
      <c r="B4815" s="622" t="s">
        <v>6320</v>
      </c>
      <c r="C4815" s="622"/>
      <c r="D4815" s="622"/>
      <c r="E4815" s="622"/>
      <c r="F4815" s="622"/>
      <c r="G4815" s="622"/>
      <c r="H4815" s="623">
        <f>H4814*100</f>
        <v>4.6868686868686869</v>
      </c>
      <c r="I4815" s="66"/>
    </row>
    <row r="4816" spans="2:9" ht="16.5" thickTop="1">
      <c r="B4816" s="66"/>
      <c r="C4816" s="66"/>
      <c r="D4816" s="66"/>
      <c r="E4816" s="66"/>
      <c r="F4816" s="66"/>
      <c r="G4816" s="66"/>
      <c r="H4816" s="66"/>
      <c r="I4816" s="66"/>
    </row>
    <row r="4817" spans="2:9" ht="15.75">
      <c r="B4817" s="74" t="s">
        <v>5824</v>
      </c>
      <c r="C4817" s="66"/>
      <c r="D4817" s="66"/>
      <c r="E4817" s="66"/>
      <c r="F4817" s="66"/>
      <c r="G4817" s="66"/>
      <c r="H4817" s="66"/>
      <c r="I4817" s="66"/>
    </row>
    <row r="4818" spans="2:9" ht="15.75">
      <c r="B4818" s="66" t="s">
        <v>6321</v>
      </c>
      <c r="C4818" s="66"/>
      <c r="D4818" s="66"/>
      <c r="E4818" s="66"/>
      <c r="F4818" s="66"/>
      <c r="G4818" s="66"/>
      <c r="H4818" s="66">
        <v>1.2</v>
      </c>
      <c r="I4818" s="66"/>
    </row>
    <row r="4819" spans="2:9" ht="15.75">
      <c r="B4819" s="66" t="s">
        <v>6322</v>
      </c>
      <c r="C4819" s="66"/>
      <c r="D4819" s="66"/>
      <c r="E4819" s="66"/>
      <c r="F4819" s="66"/>
      <c r="G4819" s="66"/>
      <c r="H4819" s="112">
        <f>H4809</f>
        <v>7.5</v>
      </c>
      <c r="I4819" s="66"/>
    </row>
    <row r="4820" spans="2:9" ht="15.75">
      <c r="B4820" s="66" t="s">
        <v>6323</v>
      </c>
      <c r="C4820" s="66"/>
      <c r="D4820" s="66"/>
      <c r="E4820" s="66"/>
      <c r="F4820" s="66"/>
      <c r="G4820" s="66"/>
      <c r="H4820" s="112">
        <f>H4818*H4819</f>
        <v>9</v>
      </c>
      <c r="I4820" s="66"/>
    </row>
    <row r="4821" spans="2:9" ht="15.75">
      <c r="B4821" s="66" t="s">
        <v>6324</v>
      </c>
      <c r="C4821" s="66"/>
      <c r="D4821" s="66"/>
      <c r="E4821" s="66"/>
      <c r="F4821" s="66"/>
      <c r="G4821" s="66"/>
      <c r="H4821" s="112">
        <f>H4820*4</f>
        <v>36</v>
      </c>
      <c r="I4821" s="66"/>
    </row>
    <row r="4822" spans="2:9" ht="15.75">
      <c r="B4822" s="66"/>
      <c r="C4822" s="66"/>
      <c r="D4822" s="66"/>
      <c r="E4822" s="66"/>
      <c r="F4822" s="66"/>
      <c r="G4822" s="66"/>
      <c r="H4822" s="66"/>
      <c r="I4822" s="66"/>
    </row>
    <row r="4823" spans="2:9" ht="16.5" thickBot="1">
      <c r="B4823" s="622" t="s">
        <v>6325</v>
      </c>
      <c r="C4823" s="622"/>
      <c r="D4823" s="622"/>
      <c r="E4823" s="622"/>
      <c r="F4823" s="622"/>
      <c r="G4823" s="622"/>
      <c r="H4823" s="623">
        <f>H4821*H4814</f>
        <v>1.6872727272727275</v>
      </c>
      <c r="I4823" s="66"/>
    </row>
    <row r="4824" spans="2:9" ht="15.75" thickTop="1"/>
    <row r="4825" spans="2:9" ht="15.75">
      <c r="B4825" s="74" t="s">
        <v>6524</v>
      </c>
    </row>
    <row r="4826" spans="2:9" ht="15.75">
      <c r="B4826" s="66" t="s">
        <v>6531</v>
      </c>
      <c r="E4826">
        <v>33</v>
      </c>
    </row>
    <row r="4827" spans="2:9" ht="15.75">
      <c r="B4827" s="66" t="s">
        <v>6532</v>
      </c>
      <c r="E4827">
        <f>2500/4</f>
        <v>625</v>
      </c>
    </row>
    <row r="4828" spans="2:9" ht="15.75">
      <c r="B4828" s="66" t="s">
        <v>6535</v>
      </c>
      <c r="E4828" s="4">
        <f>E4827/E4826</f>
        <v>18.939393939393938</v>
      </c>
    </row>
    <row r="4829" spans="2:9" ht="15.75">
      <c r="B4829" s="66" t="s">
        <v>6533</v>
      </c>
      <c r="E4829" s="419">
        <f>E4828/90</f>
        <v>0.21043771043771042</v>
      </c>
    </row>
    <row r="4830" spans="2:9" ht="15.75">
      <c r="B4830" s="66" t="s">
        <v>6534</v>
      </c>
      <c r="E4830" s="419">
        <f>E4829*60</f>
        <v>12.626262626262626</v>
      </c>
    </row>
    <row r="4832" spans="2:9">
      <c r="B4832" t="s">
        <v>6528</v>
      </c>
      <c r="C4832">
        <v>40000</v>
      </c>
    </row>
    <row r="4833" spans="2:3">
      <c r="B4833" t="s">
        <v>715</v>
      </c>
      <c r="C4833">
        <v>60000</v>
      </c>
    </row>
    <row r="4834" spans="2:3">
      <c r="C4834">
        <f>C4832+C4833</f>
        <v>100000</v>
      </c>
    </row>
    <row r="4836" spans="2:3">
      <c r="B4836" t="s">
        <v>6303</v>
      </c>
    </row>
    <row r="4837" spans="2:3">
      <c r="B4837" t="s">
        <v>6304</v>
      </c>
    </row>
    <row r="4839" spans="2:3">
      <c r="B4839" t="s">
        <v>6305</v>
      </c>
      <c r="C4839">
        <f>25*6*4*2</f>
        <v>1200</v>
      </c>
    </row>
    <row r="4840" spans="2:3">
      <c r="B4840" t="s">
        <v>6311</v>
      </c>
      <c r="C4840" s="4">
        <f>C4839/60</f>
        <v>20</v>
      </c>
    </row>
    <row r="4841" spans="2:3">
      <c r="B4841" t="s">
        <v>6312</v>
      </c>
      <c r="C4841" s="4"/>
    </row>
    <row r="4842" spans="2:3">
      <c r="C4842" s="4"/>
    </row>
    <row r="4843" spans="2:3">
      <c r="B4843" t="s">
        <v>6309</v>
      </c>
      <c r="C4843" s="4">
        <v>2</v>
      </c>
    </row>
    <row r="4844" spans="2:3">
      <c r="B4844" t="s">
        <v>6310</v>
      </c>
      <c r="C4844" s="4"/>
    </row>
    <row r="4845" spans="2:3">
      <c r="C4845" s="4"/>
    </row>
    <row r="4847" spans="2:3">
      <c r="B4847" t="s">
        <v>3219</v>
      </c>
    </row>
    <row r="4848" spans="2:3">
      <c r="B4848" t="s">
        <v>6306</v>
      </c>
      <c r="C4848" t="s">
        <v>6307</v>
      </c>
    </row>
    <row r="4850" spans="2:4">
      <c r="B4850" t="s">
        <v>35</v>
      </c>
      <c r="C4850" t="s">
        <v>6308</v>
      </c>
    </row>
    <row r="4852" spans="2:4">
      <c r="B4852" s="121" t="s">
        <v>6340</v>
      </c>
    </row>
    <row r="4854" spans="2:4">
      <c r="B4854" s="121" t="s">
        <v>16</v>
      </c>
    </row>
    <row r="4856" spans="2:4">
      <c r="B4856" t="s">
        <v>6329</v>
      </c>
    </row>
    <row r="4857" spans="2:4">
      <c r="C4857" t="s">
        <v>6335</v>
      </c>
    </row>
    <row r="4858" spans="2:4">
      <c r="D4858" t="s">
        <v>6344</v>
      </c>
    </row>
    <row r="4859" spans="2:4">
      <c r="D4859" t="s">
        <v>6345</v>
      </c>
    </row>
    <row r="4860" spans="2:4">
      <c r="D4860" t="s">
        <v>6346</v>
      </c>
    </row>
    <row r="4861" spans="2:4">
      <c r="C4861" t="s">
        <v>6336</v>
      </c>
    </row>
    <row r="4862" spans="2:4">
      <c r="B4862" t="s">
        <v>6330</v>
      </c>
    </row>
    <row r="4863" spans="2:4">
      <c r="B4863" t="s">
        <v>6331</v>
      </c>
    </row>
    <row r="4864" spans="2:4">
      <c r="C4864" t="s">
        <v>6332</v>
      </c>
    </row>
    <row r="4865" spans="2:3">
      <c r="C4865" s="2" t="s">
        <v>4018</v>
      </c>
    </row>
    <row r="4866" spans="2:3">
      <c r="C4866" t="s">
        <v>6333</v>
      </c>
    </row>
    <row r="4867" spans="2:3">
      <c r="B4867" t="s">
        <v>6334</v>
      </c>
    </row>
    <row r="4869" spans="2:3">
      <c r="B4869" t="s">
        <v>6341</v>
      </c>
    </row>
    <row r="4870" spans="2:3">
      <c r="C4870" t="s">
        <v>6342</v>
      </c>
    </row>
    <row r="4871" spans="2:3">
      <c r="B4871" t="s">
        <v>6343</v>
      </c>
    </row>
    <row r="4875" spans="2:3">
      <c r="B4875" s="121" t="s">
        <v>87</v>
      </c>
    </row>
    <row r="4876" spans="2:3">
      <c r="B4876" t="s">
        <v>6337</v>
      </c>
    </row>
    <row r="4877" spans="2:3">
      <c r="C4877" t="s">
        <v>6338</v>
      </c>
    </row>
    <row r="4878" spans="2:3">
      <c r="B4878" s="121" t="s">
        <v>5560</v>
      </c>
    </row>
    <row r="4879" spans="2:3">
      <c r="B4879" t="s">
        <v>6339</v>
      </c>
    </row>
    <row r="4881" spans="2:3">
      <c r="B4881" s="42" t="s">
        <v>6347</v>
      </c>
    </row>
    <row r="4882" spans="2:3">
      <c r="B4882" t="s">
        <v>6348</v>
      </c>
    </row>
    <row r="4883" spans="2:3">
      <c r="B4883" t="s">
        <v>6349</v>
      </c>
    </row>
    <row r="4884" spans="2:3">
      <c r="B4884" t="s">
        <v>6350</v>
      </c>
    </row>
    <row r="4886" spans="2:3">
      <c r="B4886" s="42" t="s">
        <v>962</v>
      </c>
    </row>
    <row r="4887" spans="2:3">
      <c r="B4887" t="s">
        <v>6351</v>
      </c>
    </row>
    <row r="4889" spans="2:3">
      <c r="B4889" s="42" t="s">
        <v>6352</v>
      </c>
    </row>
    <row r="4890" spans="2:3">
      <c r="B4890" t="s">
        <v>6353</v>
      </c>
    </row>
    <row r="4892" spans="2:3">
      <c r="B4892" s="121" t="s">
        <v>6243</v>
      </c>
    </row>
    <row r="4894" spans="2:3">
      <c r="B4894" t="s">
        <v>2335</v>
      </c>
    </row>
    <row r="4895" spans="2:3">
      <c r="C4895" t="s">
        <v>6360</v>
      </c>
    </row>
    <row r="4896" spans="2:3">
      <c r="C4896" t="s">
        <v>6361</v>
      </c>
    </row>
    <row r="4897" spans="2:5">
      <c r="D4897" t="s">
        <v>6364</v>
      </c>
    </row>
    <row r="4898" spans="2:5">
      <c r="C4898" t="s">
        <v>6365</v>
      </c>
    </row>
    <row r="4899" spans="2:5">
      <c r="C4899" t="s">
        <v>6366</v>
      </c>
    </row>
    <row r="4900" spans="2:5">
      <c r="B4900" t="s">
        <v>74</v>
      </c>
    </row>
    <row r="4901" spans="2:5">
      <c r="C4901" t="s">
        <v>6362</v>
      </c>
    </row>
    <row r="4902" spans="2:5">
      <c r="C4902" t="s">
        <v>6363</v>
      </c>
    </row>
    <row r="4903" spans="2:5">
      <c r="D4903" t="s">
        <v>6393</v>
      </c>
    </row>
    <row r="4904" spans="2:5">
      <c r="C4904" t="s">
        <v>6394</v>
      </c>
    </row>
    <row r="4905" spans="2:5">
      <c r="D4905" t="s">
        <v>6395</v>
      </c>
    </row>
    <row r="4906" spans="2:5">
      <c r="E4906" t="s">
        <v>6396</v>
      </c>
    </row>
    <row r="4907" spans="2:5">
      <c r="E4907" t="s">
        <v>6397</v>
      </c>
    </row>
    <row r="4908" spans="2:5">
      <c r="D4908" t="s">
        <v>6398</v>
      </c>
    </row>
    <row r="4909" spans="2:5">
      <c r="D4909" t="s">
        <v>6399</v>
      </c>
    </row>
    <row r="4910" spans="2:5">
      <c r="C4910" s="136">
        <v>2021</v>
      </c>
    </row>
    <row r="4911" spans="2:5">
      <c r="C4911" s="136"/>
      <c r="D4911" t="s">
        <v>6406</v>
      </c>
    </row>
    <row r="4912" spans="2:5">
      <c r="C4912" t="s">
        <v>6400</v>
      </c>
    </row>
    <row r="4913" spans="2:4">
      <c r="D4913" t="s">
        <v>6401</v>
      </c>
    </row>
    <row r="4914" spans="2:4">
      <c r="C4914" t="s">
        <v>6402</v>
      </c>
    </row>
    <row r="4915" spans="2:4">
      <c r="D4915" t="s">
        <v>6403</v>
      </c>
    </row>
    <row r="4916" spans="2:4">
      <c r="D4916" t="s">
        <v>6404</v>
      </c>
    </row>
    <row r="4917" spans="2:4">
      <c r="D4917" t="s">
        <v>6405</v>
      </c>
    </row>
    <row r="4918" spans="2:4">
      <c r="B4918" t="s">
        <v>4600</v>
      </c>
    </row>
    <row r="4919" spans="2:4">
      <c r="C4919" t="s">
        <v>6367</v>
      </c>
    </row>
    <row r="4920" spans="2:4">
      <c r="C4920" t="s">
        <v>6368</v>
      </c>
    </row>
    <row r="4921" spans="2:4">
      <c r="B4921" t="s">
        <v>6369</v>
      </c>
    </row>
    <row r="4922" spans="2:4">
      <c r="C4922" t="s">
        <v>6370</v>
      </c>
    </row>
    <row r="4923" spans="2:4">
      <c r="D4923" t="s">
        <v>6371</v>
      </c>
    </row>
    <row r="4924" spans="2:4">
      <c r="D4924" t="s">
        <v>6372</v>
      </c>
    </row>
    <row r="4925" spans="2:4">
      <c r="D4925" t="s">
        <v>6373</v>
      </c>
    </row>
    <row r="4926" spans="2:4">
      <c r="D4926" t="s">
        <v>6374</v>
      </c>
    </row>
    <row r="4927" spans="2:4">
      <c r="D4927" t="s">
        <v>6375</v>
      </c>
    </row>
    <row r="4928" spans="2:4">
      <c r="C4928" t="s">
        <v>6376</v>
      </c>
    </row>
    <row r="4929" spans="2:4">
      <c r="D4929" t="s">
        <v>6377</v>
      </c>
    </row>
    <row r="4930" spans="2:4">
      <c r="C4930" t="s">
        <v>6378</v>
      </c>
    </row>
    <row r="4931" spans="2:4">
      <c r="C4931" t="s">
        <v>6379</v>
      </c>
    </row>
    <row r="4932" spans="2:4">
      <c r="C4932" t="s">
        <v>6380</v>
      </c>
    </row>
    <row r="4933" spans="2:4">
      <c r="C4933" t="s">
        <v>6381</v>
      </c>
    </row>
    <row r="4934" spans="2:4">
      <c r="B4934" t="s">
        <v>6382</v>
      </c>
    </row>
    <row r="4936" spans="2:4">
      <c r="B4936" s="2" t="s">
        <v>4556</v>
      </c>
    </row>
    <row r="4937" spans="2:4">
      <c r="C4937" s="2" t="s">
        <v>16</v>
      </c>
    </row>
    <row r="4938" spans="2:4">
      <c r="D4938" t="s">
        <v>6386</v>
      </c>
    </row>
    <row r="4939" spans="2:4">
      <c r="D4939" t="s">
        <v>6383</v>
      </c>
    </row>
    <row r="4940" spans="2:4">
      <c r="C4940" t="s">
        <v>6385</v>
      </c>
    </row>
    <row r="4941" spans="2:4">
      <c r="D4941" t="s">
        <v>6384</v>
      </c>
    </row>
    <row r="4942" spans="2:4">
      <c r="C4942" t="s">
        <v>6387</v>
      </c>
    </row>
    <row r="4943" spans="2:4">
      <c r="C4943" t="s">
        <v>6388</v>
      </c>
    </row>
    <row r="4944" spans="2:4">
      <c r="D4944" t="s">
        <v>6389</v>
      </c>
    </row>
    <row r="4945" spans="3:4">
      <c r="C4945" t="s">
        <v>6390</v>
      </c>
    </row>
    <row r="4946" spans="3:4">
      <c r="D4946" t="s">
        <v>6391</v>
      </c>
    </row>
    <row r="4947" spans="3:4">
      <c r="D4947" t="s">
        <v>6392</v>
      </c>
    </row>
    <row r="4948" spans="3:4">
      <c r="C4948" t="s">
        <v>6407</v>
      </c>
    </row>
    <row r="4949" spans="3:4">
      <c r="C4949" t="s">
        <v>6408</v>
      </c>
    </row>
    <row r="4950" spans="3:4">
      <c r="D4950" t="s">
        <v>6409</v>
      </c>
    </row>
    <row r="4951" spans="3:4">
      <c r="D4951" t="s">
        <v>6410</v>
      </c>
    </row>
    <row r="4952" spans="3:4">
      <c r="C4952" t="s">
        <v>57</v>
      </c>
    </row>
    <row r="4953" spans="3:4">
      <c r="D4953" t="s">
        <v>6411</v>
      </c>
    </row>
    <row r="4954" spans="3:4">
      <c r="D4954" t="s">
        <v>6412</v>
      </c>
    </row>
    <row r="4956" spans="3:4">
      <c r="C4956" s="61"/>
      <c r="D4956" s="130" t="s">
        <v>6414</v>
      </c>
    </row>
    <row r="4957" spans="3:4">
      <c r="C4957" t="s">
        <v>6413</v>
      </c>
      <c r="D4957" s="3" t="s">
        <v>4371</v>
      </c>
    </row>
    <row r="4958" spans="3:4">
      <c r="C4958" t="s">
        <v>6413</v>
      </c>
      <c r="D4958" s="527" t="s">
        <v>6415</v>
      </c>
    </row>
    <row r="4959" spans="3:4">
      <c r="D4959" s="527" t="s">
        <v>6416</v>
      </c>
    </row>
    <row r="4960" spans="3:4">
      <c r="C4960" t="s">
        <v>6417</v>
      </c>
      <c r="D4960" s="527"/>
    </row>
    <row r="4961" spans="3:4">
      <c r="D4961" s="527"/>
    </row>
    <row r="4962" spans="3:4">
      <c r="C4962" t="s">
        <v>6418</v>
      </c>
    </row>
    <row r="4965" spans="3:4">
      <c r="C4965" s="2" t="s">
        <v>146</v>
      </c>
    </row>
    <row r="4966" spans="3:4">
      <c r="C4966" t="s">
        <v>6426</v>
      </c>
    </row>
    <row r="4967" spans="3:4">
      <c r="D4967" t="s">
        <v>6419</v>
      </c>
    </row>
    <row r="4968" spans="3:4">
      <c r="C4968" t="s">
        <v>6420</v>
      </c>
    </row>
    <row r="4969" spans="3:4">
      <c r="D4969" t="s">
        <v>6421</v>
      </c>
    </row>
    <row r="4970" spans="3:4">
      <c r="D4970" t="s">
        <v>6422</v>
      </c>
    </row>
    <row r="4971" spans="3:4">
      <c r="D4971" t="s">
        <v>6423</v>
      </c>
    </row>
    <row r="4972" spans="3:4">
      <c r="C4972" t="s">
        <v>6424</v>
      </c>
    </row>
    <row r="4973" spans="3:4">
      <c r="D4973" t="s">
        <v>6425</v>
      </c>
    </row>
    <row r="4974" spans="3:4">
      <c r="C4974" s="136">
        <v>2022</v>
      </c>
    </row>
    <row r="4975" spans="3:4">
      <c r="D4975" t="s">
        <v>6427</v>
      </c>
    </row>
    <row r="4976" spans="3:4">
      <c r="D4976" t="s">
        <v>6428</v>
      </c>
    </row>
    <row r="4977" spans="3:5">
      <c r="C4977" t="s">
        <v>6429</v>
      </c>
    </row>
    <row r="4978" spans="3:5">
      <c r="D4978" t="s">
        <v>6430</v>
      </c>
    </row>
    <row r="4979" spans="3:5">
      <c r="D4979" t="s">
        <v>6434</v>
      </c>
    </row>
    <row r="4980" spans="3:5">
      <c r="D4980" t="s">
        <v>6431</v>
      </c>
    </row>
    <row r="4981" spans="3:5">
      <c r="E4981" t="s">
        <v>6436</v>
      </c>
    </row>
    <row r="4982" spans="3:5">
      <c r="E4982" t="s">
        <v>6432</v>
      </c>
    </row>
    <row r="4983" spans="3:5">
      <c r="E4983" t="s">
        <v>6435</v>
      </c>
    </row>
    <row r="4984" spans="3:5">
      <c r="D4984" t="s">
        <v>6433</v>
      </c>
    </row>
    <row r="4985" spans="3:5">
      <c r="E4985" t="s">
        <v>6437</v>
      </c>
    </row>
    <row r="4986" spans="3:5">
      <c r="C4986" t="s">
        <v>6438</v>
      </c>
    </row>
    <row r="4987" spans="3:5">
      <c r="D4987" t="s">
        <v>6439</v>
      </c>
    </row>
    <row r="4988" spans="3:5">
      <c r="D4988" t="s">
        <v>6440</v>
      </c>
    </row>
    <row r="4989" spans="3:5">
      <c r="C4989" s="2" t="s">
        <v>1443</v>
      </c>
    </row>
    <row r="4990" spans="3:5">
      <c r="D4990" t="s">
        <v>6441</v>
      </c>
    </row>
    <row r="4991" spans="3:5">
      <c r="D4991" t="s">
        <v>6442</v>
      </c>
    </row>
    <row r="4992" spans="3:5">
      <c r="C4992" s="2" t="s">
        <v>6443</v>
      </c>
    </row>
    <row r="4993" spans="3:5">
      <c r="C4993" s="2"/>
      <c r="D4993" t="s">
        <v>6445</v>
      </c>
    </row>
    <row r="4994" spans="3:5">
      <c r="D4994" t="s">
        <v>6444</v>
      </c>
    </row>
    <row r="4995" spans="3:5">
      <c r="E4995" t="s">
        <v>6447</v>
      </c>
    </row>
    <row r="4996" spans="3:5">
      <c r="E4996" t="s">
        <v>6448</v>
      </c>
    </row>
    <row r="4997" spans="3:5">
      <c r="E4997" t="s">
        <v>6449</v>
      </c>
    </row>
    <row r="4998" spans="3:5">
      <c r="E4998" t="s">
        <v>6450</v>
      </c>
    </row>
    <row r="4999" spans="3:5">
      <c r="D4999" t="s">
        <v>5110</v>
      </c>
    </row>
    <row r="5000" spans="3:5">
      <c r="D5000" t="s">
        <v>6446</v>
      </c>
    </row>
    <row r="5001" spans="3:5">
      <c r="C5001" t="s">
        <v>6451</v>
      </c>
    </row>
    <row r="5003" spans="3:5">
      <c r="C5003" s="2" t="s">
        <v>145</v>
      </c>
    </row>
    <row r="5004" spans="3:5">
      <c r="C5004" s="2"/>
      <c r="D5004" s="2" t="s">
        <v>6454</v>
      </c>
    </row>
    <row r="5005" spans="3:5">
      <c r="D5005" t="s">
        <v>6453</v>
      </c>
    </row>
    <row r="5006" spans="3:5">
      <c r="E5006" t="s">
        <v>6457</v>
      </c>
    </row>
    <row r="5007" spans="3:5">
      <c r="E5007" t="s">
        <v>6458</v>
      </c>
    </row>
    <row r="5008" spans="3:5">
      <c r="E5008" t="s">
        <v>6459</v>
      </c>
    </row>
    <row r="5009" spans="3:5">
      <c r="E5009" t="s">
        <v>6460</v>
      </c>
    </row>
    <row r="5010" spans="3:5">
      <c r="D5010" t="s">
        <v>6452</v>
      </c>
    </row>
    <row r="5011" spans="3:5">
      <c r="D5011" t="s">
        <v>6456</v>
      </c>
    </row>
    <row r="5012" spans="3:5">
      <c r="D5012" s="2" t="s">
        <v>6455</v>
      </c>
    </row>
    <row r="5013" spans="3:5">
      <c r="D5013" t="s">
        <v>6461</v>
      </c>
    </row>
    <row r="5014" spans="3:5">
      <c r="C5014" s="2" t="s">
        <v>87</v>
      </c>
    </row>
    <row r="5015" spans="3:5">
      <c r="D5015" t="s">
        <v>6462</v>
      </c>
    </row>
    <row r="5016" spans="3:5">
      <c r="D5016" t="s">
        <v>6463</v>
      </c>
    </row>
    <row r="5017" spans="3:5">
      <c r="E5017" t="s">
        <v>6464</v>
      </c>
    </row>
    <row r="5018" spans="3:5">
      <c r="E5018" t="s">
        <v>6465</v>
      </c>
    </row>
    <row r="5019" spans="3:5">
      <c r="D5019" t="s">
        <v>6466</v>
      </c>
    </row>
    <row r="5020" spans="3:5">
      <c r="E5020" t="s">
        <v>6467</v>
      </c>
    </row>
    <row r="5021" spans="3:5">
      <c r="D5021" t="s">
        <v>6468</v>
      </c>
    </row>
    <row r="5022" spans="3:5">
      <c r="E5022" t="s">
        <v>6469</v>
      </c>
    </row>
    <row r="5023" spans="3:5">
      <c r="C5023" t="s">
        <v>6470</v>
      </c>
    </row>
    <row r="5025" spans="2:15">
      <c r="B5025" s="121" t="s">
        <v>6565</v>
      </c>
    </row>
    <row r="5026" spans="2:15">
      <c r="B5026" t="s">
        <v>4163</v>
      </c>
      <c r="C5026" t="s">
        <v>6566</v>
      </c>
    </row>
    <row r="5027" spans="2:15">
      <c r="C5027" t="s">
        <v>6567</v>
      </c>
    </row>
    <row r="5028" spans="2:15">
      <c r="D5028" s="576" t="s">
        <v>6602</v>
      </c>
      <c r="G5028" s="121">
        <v>2021</v>
      </c>
      <c r="H5028" s="121"/>
      <c r="I5028" s="121">
        <v>2022</v>
      </c>
      <c r="J5028" s="121"/>
      <c r="K5028" s="121"/>
      <c r="L5028" s="121">
        <v>2023</v>
      </c>
    </row>
    <row r="5029" spans="2:15">
      <c r="C5029" t="s">
        <v>6568</v>
      </c>
      <c r="D5029">
        <v>4000</v>
      </c>
      <c r="E5029" t="s">
        <v>6569</v>
      </c>
      <c r="G5029">
        <v>4200</v>
      </c>
      <c r="H5029" t="s">
        <v>6570</v>
      </c>
      <c r="I5029" t="s">
        <v>6571</v>
      </c>
      <c r="L5029" t="s">
        <v>6582</v>
      </c>
    </row>
    <row r="5030" spans="2:15">
      <c r="G5030" s="8"/>
      <c r="J5030" t="s">
        <v>6572</v>
      </c>
    </row>
    <row r="5031" spans="2:15">
      <c r="D5031">
        <v>1600</v>
      </c>
      <c r="G5031">
        <v>1600</v>
      </c>
      <c r="I5031">
        <v>1600</v>
      </c>
      <c r="L5031" s="264" t="s">
        <v>6591</v>
      </c>
      <c r="O5031" t="s">
        <v>6618</v>
      </c>
    </row>
    <row r="5032" spans="2:15">
      <c r="I5032" t="s">
        <v>6612</v>
      </c>
      <c r="L5032" s="264"/>
    </row>
    <row r="5033" spans="2:15">
      <c r="I5033" t="s">
        <v>6613</v>
      </c>
      <c r="L5033" s="264"/>
    </row>
    <row r="5034" spans="2:15">
      <c r="J5034" t="s">
        <v>6617</v>
      </c>
      <c r="L5034" s="264"/>
    </row>
    <row r="5035" spans="2:15">
      <c r="I5035" t="s">
        <v>6614</v>
      </c>
      <c r="L5035" s="264"/>
    </row>
    <row r="5036" spans="2:15">
      <c r="I5036" t="s">
        <v>6615</v>
      </c>
      <c r="L5036" s="264"/>
    </row>
    <row r="5037" spans="2:15">
      <c r="I5037" t="s">
        <v>6616</v>
      </c>
      <c r="L5037" s="264"/>
    </row>
    <row r="5038" spans="2:15">
      <c r="C5038" t="s">
        <v>6573</v>
      </c>
    </row>
    <row r="5039" spans="2:15">
      <c r="D5039" t="s">
        <v>6574</v>
      </c>
    </row>
    <row r="5040" spans="2:15">
      <c r="D5040" t="s">
        <v>6575</v>
      </c>
    </row>
    <row r="5041" spans="2:5">
      <c r="C5041" t="s">
        <v>6576</v>
      </c>
    </row>
    <row r="5042" spans="2:5">
      <c r="C5042" s="136">
        <v>2022</v>
      </c>
      <c r="D5042" t="s">
        <v>6577</v>
      </c>
    </row>
    <row r="5043" spans="2:5">
      <c r="C5043" s="136"/>
      <c r="E5043" t="s">
        <v>6579</v>
      </c>
    </row>
    <row r="5044" spans="2:5">
      <c r="C5044" s="136"/>
      <c r="E5044" t="s">
        <v>6580</v>
      </c>
    </row>
    <row r="5045" spans="2:5">
      <c r="C5045" s="136"/>
      <c r="E5045" t="s">
        <v>6581</v>
      </c>
    </row>
    <row r="5046" spans="2:5">
      <c r="D5046" t="s">
        <v>6578</v>
      </c>
    </row>
    <row r="5047" spans="2:5">
      <c r="C5047" t="s">
        <v>6583</v>
      </c>
    </row>
    <row r="5048" spans="2:5">
      <c r="C5048" t="s">
        <v>6584</v>
      </c>
    </row>
    <row r="5049" spans="2:5">
      <c r="D5049" t="s">
        <v>6585</v>
      </c>
    </row>
    <row r="5050" spans="2:5">
      <c r="C5050" t="s">
        <v>6586</v>
      </c>
    </row>
    <row r="5051" spans="2:5">
      <c r="B5051" t="s">
        <v>4680</v>
      </c>
    </row>
    <row r="5052" spans="2:5">
      <c r="C5052" t="s">
        <v>1401</v>
      </c>
    </row>
    <row r="5053" spans="2:5">
      <c r="C5053" t="s">
        <v>6619</v>
      </c>
    </row>
    <row r="5054" spans="2:5">
      <c r="D5054" t="s">
        <v>6624</v>
      </c>
    </row>
    <row r="5055" spans="2:5">
      <c r="C5055" t="s">
        <v>6620</v>
      </c>
    </row>
    <row r="5056" spans="2:5">
      <c r="C5056" t="s">
        <v>6621</v>
      </c>
    </row>
    <row r="5057" spans="2:4">
      <c r="D5057" t="s">
        <v>6622</v>
      </c>
    </row>
    <row r="5058" spans="2:4">
      <c r="D5058" t="s">
        <v>6623</v>
      </c>
    </row>
    <row r="5060" spans="2:4">
      <c r="B5060" t="s">
        <v>6587</v>
      </c>
    </row>
    <row r="5061" spans="2:4">
      <c r="C5061" t="s">
        <v>6588</v>
      </c>
    </row>
    <row r="5062" spans="2:4">
      <c r="D5062" t="s">
        <v>6589</v>
      </c>
    </row>
    <row r="5063" spans="2:4">
      <c r="C5063" t="s">
        <v>6590</v>
      </c>
    </row>
    <row r="5064" spans="2:4">
      <c r="B5064" t="s">
        <v>6592</v>
      </c>
    </row>
    <row r="5065" spans="2:4">
      <c r="C5065" t="s">
        <v>6593</v>
      </c>
    </row>
    <row r="5066" spans="2:4">
      <c r="C5066" t="s">
        <v>6594</v>
      </c>
    </row>
    <row r="5067" spans="2:4">
      <c r="B5067" t="s">
        <v>2238</v>
      </c>
    </row>
    <row r="5068" spans="2:4">
      <c r="C5068" t="s">
        <v>6595</v>
      </c>
    </row>
    <row r="5069" spans="2:4">
      <c r="C5069" t="s">
        <v>6597</v>
      </c>
    </row>
    <row r="5070" spans="2:4">
      <c r="D5070" t="s">
        <v>6598</v>
      </c>
    </row>
    <row r="5071" spans="2:4">
      <c r="D5071" t="s">
        <v>6596</v>
      </c>
    </row>
    <row r="5072" spans="2:4">
      <c r="C5072" t="s">
        <v>6599</v>
      </c>
    </row>
    <row r="5073" spans="2:4">
      <c r="C5073" t="s">
        <v>6600</v>
      </c>
    </row>
    <row r="5074" spans="2:4">
      <c r="C5074" t="s">
        <v>6601</v>
      </c>
    </row>
    <row r="5075" spans="2:4">
      <c r="B5075" t="s">
        <v>6603</v>
      </c>
    </row>
    <row r="5076" spans="2:4">
      <c r="C5076" t="s">
        <v>6604</v>
      </c>
    </row>
    <row r="5077" spans="2:4">
      <c r="C5077" t="s">
        <v>6605</v>
      </c>
    </row>
    <row r="5078" spans="2:4">
      <c r="D5078" t="s">
        <v>6433</v>
      </c>
    </row>
    <row r="5079" spans="2:4">
      <c r="D5079" t="s">
        <v>6606</v>
      </c>
    </row>
    <row r="5080" spans="2:4">
      <c r="C5080" s="5">
        <v>44197</v>
      </c>
    </row>
    <row r="5081" spans="2:4">
      <c r="D5081" t="s">
        <v>6608</v>
      </c>
    </row>
    <row r="5082" spans="2:4">
      <c r="D5082" t="s">
        <v>6607</v>
      </c>
    </row>
    <row r="5083" spans="2:4">
      <c r="C5083" t="s">
        <v>6609</v>
      </c>
    </row>
    <row r="5084" spans="2:4">
      <c r="C5084" t="s">
        <v>6610</v>
      </c>
    </row>
    <row r="5085" spans="2:4">
      <c r="C5085" t="s">
        <v>6611</v>
      </c>
    </row>
    <row r="5086" spans="2:4">
      <c r="B5086" t="s">
        <v>6679</v>
      </c>
    </row>
    <row r="5087" spans="2:4">
      <c r="B5087" t="s">
        <v>6436</v>
      </c>
    </row>
    <row r="5089" spans="2:7">
      <c r="B5089" t="s">
        <v>16</v>
      </c>
    </row>
    <row r="5090" spans="2:7">
      <c r="C5090" t="s">
        <v>6625</v>
      </c>
    </row>
    <row r="5091" spans="2:7">
      <c r="D5091" t="s">
        <v>6626</v>
      </c>
    </row>
    <row r="5092" spans="2:7">
      <c r="E5092" t="s">
        <v>6628</v>
      </c>
      <c r="G5092" t="s">
        <v>6627</v>
      </c>
    </row>
    <row r="5093" spans="2:7">
      <c r="E5093" t="s">
        <v>6629</v>
      </c>
      <c r="G5093" t="s">
        <v>6630</v>
      </c>
    </row>
    <row r="5094" spans="2:7">
      <c r="E5094" t="s">
        <v>6631</v>
      </c>
      <c r="G5094" t="s">
        <v>6632</v>
      </c>
    </row>
    <row r="5095" spans="2:7">
      <c r="C5095" t="s">
        <v>6633</v>
      </c>
    </row>
    <row r="5096" spans="2:7">
      <c r="C5096" t="s">
        <v>6635</v>
      </c>
    </row>
    <row r="5097" spans="2:7">
      <c r="D5097" t="s">
        <v>6634</v>
      </c>
    </row>
    <row r="5098" spans="2:7">
      <c r="C5098" t="s">
        <v>6636</v>
      </c>
    </row>
    <row r="5099" spans="2:7">
      <c r="D5099" t="s">
        <v>6637</v>
      </c>
    </row>
    <row r="5100" spans="2:7">
      <c r="D5100" t="s">
        <v>6638</v>
      </c>
    </row>
    <row r="5101" spans="2:7">
      <c r="B5101" t="s">
        <v>2335</v>
      </c>
    </row>
    <row r="5102" spans="2:7">
      <c r="C5102" t="s">
        <v>6639</v>
      </c>
    </row>
    <row r="5103" spans="2:7">
      <c r="C5103" t="s">
        <v>6640</v>
      </c>
    </row>
    <row r="5104" spans="2:7">
      <c r="D5104" t="s">
        <v>6641</v>
      </c>
    </row>
    <row r="5105" spans="2:10">
      <c r="C5105" t="s">
        <v>6642</v>
      </c>
    </row>
    <row r="5106" spans="2:10">
      <c r="D5106" s="2" t="s">
        <v>6646</v>
      </c>
      <c r="G5106" s="2" t="s">
        <v>1909</v>
      </c>
    </row>
    <row r="5107" spans="2:10">
      <c r="D5107" t="s">
        <v>6643</v>
      </c>
      <c r="G5107" t="s">
        <v>6651</v>
      </c>
    </row>
    <row r="5108" spans="2:10">
      <c r="D5108" s="136">
        <f>50/0.25</f>
        <v>200</v>
      </c>
      <c r="E5108" t="s">
        <v>6645</v>
      </c>
    </row>
    <row r="5109" spans="2:10">
      <c r="D5109" t="s">
        <v>6644</v>
      </c>
    </row>
    <row r="5110" spans="2:10">
      <c r="C5110" t="s">
        <v>6648</v>
      </c>
      <c r="G5110" t="s">
        <v>6647</v>
      </c>
    </row>
    <row r="5111" spans="2:10">
      <c r="C5111" t="s">
        <v>6649</v>
      </c>
      <c r="G5111" t="s">
        <v>6650</v>
      </c>
    </row>
    <row r="5112" spans="2:10">
      <c r="B5112" t="s">
        <v>4600</v>
      </c>
    </row>
    <row r="5113" spans="2:10">
      <c r="C5113" t="s">
        <v>6653</v>
      </c>
    </row>
    <row r="5114" spans="2:10">
      <c r="C5114" t="s">
        <v>6652</v>
      </c>
    </row>
    <row r="5115" spans="2:10">
      <c r="C5115" s="2">
        <v>2020</v>
      </c>
      <c r="D5115" s="2">
        <v>2021</v>
      </c>
      <c r="E5115" s="645" t="s">
        <v>6473</v>
      </c>
    </row>
    <row r="5116" spans="2:10">
      <c r="B5116" t="s">
        <v>6654</v>
      </c>
      <c r="C5116" s="419">
        <v>10</v>
      </c>
      <c r="D5116">
        <v>15.4</v>
      </c>
      <c r="E5116">
        <v>17.399999999999999</v>
      </c>
    </row>
    <row r="5118" spans="2:10">
      <c r="B5118" s="2" t="s">
        <v>6244</v>
      </c>
      <c r="I5118">
        <v>10</v>
      </c>
      <c r="J5118">
        <f>I5118*100</f>
        <v>1000</v>
      </c>
    </row>
    <row r="5119" spans="2:10">
      <c r="B5119" t="s">
        <v>6655</v>
      </c>
    </row>
    <row r="5120" spans="2:10">
      <c r="C5120" t="s">
        <v>6658</v>
      </c>
    </row>
    <row r="5121" spans="2:3">
      <c r="B5121" t="s">
        <v>6656</v>
      </c>
    </row>
    <row r="5122" spans="2:3">
      <c r="B5122" t="s">
        <v>6657</v>
      </c>
    </row>
    <row r="5124" spans="2:3">
      <c r="B5124" s="2" t="s">
        <v>145</v>
      </c>
    </row>
    <row r="5125" spans="2:3">
      <c r="B5125" t="s">
        <v>588</v>
      </c>
      <c r="C5125" t="s">
        <v>6659</v>
      </c>
    </row>
    <row r="5126" spans="2:3">
      <c r="B5126" t="s">
        <v>3860</v>
      </c>
      <c r="C5126" t="s">
        <v>6660</v>
      </c>
    </row>
    <row r="5127" spans="2:3">
      <c r="C5127" t="s">
        <v>6661</v>
      </c>
    </row>
    <row r="5128" spans="2:3">
      <c r="C5128" t="s">
        <v>6662</v>
      </c>
    </row>
    <row r="5129" spans="2:3">
      <c r="B5129" s="2" t="s">
        <v>87</v>
      </c>
    </row>
    <row r="5130" spans="2:3">
      <c r="B5130" t="s">
        <v>6663</v>
      </c>
    </row>
    <row r="5131" spans="2:3">
      <c r="B5131" t="s">
        <v>6664</v>
      </c>
    </row>
    <row r="5132" spans="2:3">
      <c r="C5132" t="s">
        <v>6665</v>
      </c>
    </row>
    <row r="5133" spans="2:3">
      <c r="C5133" t="s">
        <v>6666</v>
      </c>
    </row>
    <row r="5134" spans="2:3">
      <c r="B5134" t="s">
        <v>3860</v>
      </c>
    </row>
    <row r="5135" spans="2:3">
      <c r="C5135" t="s">
        <v>6667</v>
      </c>
    </row>
    <row r="5136" spans="2:3">
      <c r="C5136" t="s">
        <v>6668</v>
      </c>
    </row>
    <row r="5137" spans="2:4">
      <c r="D5137" t="s">
        <v>6673</v>
      </c>
    </row>
    <row r="5138" spans="2:4">
      <c r="C5138" t="s">
        <v>6674</v>
      </c>
    </row>
    <row r="5139" spans="2:4">
      <c r="B5139" t="s">
        <v>6669</v>
      </c>
    </row>
    <row r="5140" spans="2:4">
      <c r="C5140" t="s">
        <v>6670</v>
      </c>
    </row>
    <row r="5141" spans="2:4">
      <c r="D5141" t="s">
        <v>6671</v>
      </c>
    </row>
    <row r="5142" spans="2:4">
      <c r="D5142" t="s">
        <v>6672</v>
      </c>
    </row>
    <row r="5143" spans="2:4">
      <c r="B5143" t="s">
        <v>6675</v>
      </c>
    </row>
    <row r="5144" spans="2:4">
      <c r="C5144" t="s">
        <v>6676</v>
      </c>
    </row>
    <row r="5145" spans="2:4">
      <c r="C5145" t="s">
        <v>6677</v>
      </c>
    </row>
    <row r="5147" spans="2:4">
      <c r="B5147" s="121" t="s">
        <v>6750</v>
      </c>
    </row>
    <row r="5149" spans="2:4">
      <c r="B5149" s="2" t="s">
        <v>6751</v>
      </c>
    </row>
    <row r="5150" spans="2:4">
      <c r="B5150" t="s">
        <v>6752</v>
      </c>
    </row>
    <row r="5151" spans="2:4">
      <c r="B5151" t="s">
        <v>6753</v>
      </c>
    </row>
    <row r="5152" spans="2:4">
      <c r="B5152" t="s">
        <v>6754</v>
      </c>
    </row>
    <row r="5154" spans="2:3">
      <c r="B5154" t="s">
        <v>6755</v>
      </c>
    </row>
    <row r="5155" spans="2:3">
      <c r="B5155" t="s">
        <v>6756</v>
      </c>
    </row>
    <row r="5156" spans="2:3">
      <c r="B5156" t="s">
        <v>6757</v>
      </c>
    </row>
    <row r="5158" spans="2:3">
      <c r="B5158" t="s">
        <v>6758</v>
      </c>
      <c r="C5158" t="s">
        <v>6455</v>
      </c>
    </row>
    <row r="5159" spans="2:3">
      <c r="B5159" t="s">
        <v>6759</v>
      </c>
      <c r="C5159" t="s">
        <v>6523</v>
      </c>
    </row>
    <row r="5160" spans="2:3">
      <c r="B5160" t="s">
        <v>6760</v>
      </c>
    </row>
    <row r="5162" spans="2:3">
      <c r="B5162" t="s">
        <v>6761</v>
      </c>
      <c r="C5162" t="s">
        <v>6762</v>
      </c>
    </row>
    <row r="5164" spans="2:3">
      <c r="B5164" t="s">
        <v>6763</v>
      </c>
      <c r="C5164" t="s">
        <v>6764</v>
      </c>
    </row>
    <row r="5166" spans="2:3">
      <c r="B5166" t="s">
        <v>6765</v>
      </c>
    </row>
    <row r="5168" spans="2:3">
      <c r="B5168" s="2" t="s">
        <v>6455</v>
      </c>
    </row>
    <row r="5169" spans="2:3">
      <c r="B5169" t="s">
        <v>6766</v>
      </c>
    </row>
    <row r="5170" spans="2:3">
      <c r="B5170" t="s">
        <v>6767</v>
      </c>
    </row>
    <row r="5171" spans="2:3">
      <c r="B5171" t="s">
        <v>6768</v>
      </c>
    </row>
    <row r="5172" spans="2:3">
      <c r="B5172" t="s">
        <v>6769</v>
      </c>
    </row>
    <row r="5173" spans="2:3">
      <c r="B5173" t="s">
        <v>6770</v>
      </c>
    </row>
    <row r="5174" spans="2:3">
      <c r="B5174" t="s">
        <v>6771</v>
      </c>
    </row>
    <row r="5175" spans="2:3">
      <c r="B5175" t="s">
        <v>6772</v>
      </c>
    </row>
    <row r="5176" spans="2:3">
      <c r="B5176" t="s">
        <v>6783</v>
      </c>
    </row>
    <row r="5177" spans="2:3">
      <c r="B5177" t="s">
        <v>6773</v>
      </c>
    </row>
    <row r="5178" spans="2:3">
      <c r="B5178" t="s">
        <v>6774</v>
      </c>
    </row>
    <row r="5179" spans="2:3">
      <c r="B5179" t="s">
        <v>6775</v>
      </c>
    </row>
    <row r="5180" spans="2:3">
      <c r="B5180" t="s">
        <v>6776</v>
      </c>
    </row>
    <row r="5181" spans="2:3">
      <c r="C5181" t="s">
        <v>6777</v>
      </c>
    </row>
    <row r="5182" spans="2:3">
      <c r="B5182" t="s">
        <v>6778</v>
      </c>
    </row>
    <row r="5183" spans="2:3">
      <c r="C5183" t="s">
        <v>6779</v>
      </c>
    </row>
    <row r="5184" spans="2:3">
      <c r="B5184" t="s">
        <v>6780</v>
      </c>
    </row>
    <row r="5185" spans="2:3">
      <c r="B5185" t="s">
        <v>80</v>
      </c>
    </row>
    <row r="5186" spans="2:3">
      <c r="C5186" t="s">
        <v>6781</v>
      </c>
    </row>
    <row r="5187" spans="2:3">
      <c r="C5187" t="s">
        <v>6782</v>
      </c>
    </row>
    <row r="5188" spans="2:3">
      <c r="B5188" s="2" t="s">
        <v>6784</v>
      </c>
    </row>
    <row r="5189" spans="2:3">
      <c r="B5189" t="s">
        <v>6785</v>
      </c>
    </row>
    <row r="5190" spans="2:3">
      <c r="B5190" t="s">
        <v>6786</v>
      </c>
    </row>
    <row r="5191" spans="2:3">
      <c r="B5191" t="s">
        <v>6787</v>
      </c>
    </row>
    <row r="5192" spans="2:3">
      <c r="B5192" t="s">
        <v>6788</v>
      </c>
    </row>
    <row r="5193" spans="2:3">
      <c r="C5193" t="s">
        <v>6790</v>
      </c>
    </row>
    <row r="5194" spans="2:3">
      <c r="C5194" t="s">
        <v>6789</v>
      </c>
    </row>
    <row r="5195" spans="2:3">
      <c r="C5195" t="s">
        <v>6791</v>
      </c>
    </row>
    <row r="5196" spans="2:3">
      <c r="C5196" t="s">
        <v>6792</v>
      </c>
    </row>
    <row r="5197" spans="2:3">
      <c r="B5197" t="s">
        <v>6793</v>
      </c>
    </row>
    <row r="5198" spans="2:3">
      <c r="C5198" t="s">
        <v>6794</v>
      </c>
    </row>
    <row r="5199" spans="2:3">
      <c r="B5199" t="s">
        <v>6795</v>
      </c>
    </row>
    <row r="5200" spans="2:3">
      <c r="B5200" t="s">
        <v>6801</v>
      </c>
    </row>
    <row r="5201" spans="2:4">
      <c r="C5201" t="s">
        <v>6796</v>
      </c>
    </row>
    <row r="5202" spans="2:4">
      <c r="D5202" t="s">
        <v>6797</v>
      </c>
    </row>
    <row r="5203" spans="2:4">
      <c r="C5203" t="s">
        <v>6798</v>
      </c>
    </row>
    <row r="5204" spans="2:4">
      <c r="C5204" t="s">
        <v>6799</v>
      </c>
    </row>
    <row r="5205" spans="2:4">
      <c r="B5205" t="s">
        <v>6800</v>
      </c>
    </row>
    <row r="5206" spans="2:4">
      <c r="C5206" t="s">
        <v>6802</v>
      </c>
    </row>
    <row r="5207" spans="2:4">
      <c r="D5207" t="s">
        <v>6803</v>
      </c>
    </row>
    <row r="5208" spans="2:4">
      <c r="C5208" t="s">
        <v>6804</v>
      </c>
    </row>
    <row r="5209" spans="2:4">
      <c r="C5209" t="s">
        <v>6805</v>
      </c>
    </row>
    <row r="5210" spans="2:4">
      <c r="B5210" t="s">
        <v>4253</v>
      </c>
    </row>
    <row r="5211" spans="2:4">
      <c r="C5211" t="s">
        <v>6806</v>
      </c>
    </row>
    <row r="5212" spans="2:4">
      <c r="B5212" t="s">
        <v>80</v>
      </c>
    </row>
    <row r="5213" spans="2:4">
      <c r="C5213" t="s">
        <v>6807</v>
      </c>
    </row>
    <row r="5214" spans="2:4">
      <c r="C5214" t="s">
        <v>6808</v>
      </c>
    </row>
    <row r="5215" spans="2:4">
      <c r="C5215" t="s">
        <v>6809</v>
      </c>
    </row>
    <row r="5216" spans="2:4">
      <c r="C5216" t="s">
        <v>6810</v>
      </c>
    </row>
    <row r="5217" spans="1:3">
      <c r="C5217" t="s">
        <v>6811</v>
      </c>
    </row>
    <row r="5218" spans="1:3">
      <c r="C5218" t="s">
        <v>6812</v>
      </c>
    </row>
    <row r="5219" spans="1:3">
      <c r="B5219" t="s">
        <v>6813</v>
      </c>
    </row>
    <row r="5221" spans="1:3">
      <c r="B5221" s="2" t="s">
        <v>6818</v>
      </c>
    </row>
    <row r="5223" spans="1:3">
      <c r="A5223" t="s">
        <v>2801</v>
      </c>
      <c r="B5223" t="s">
        <v>6824</v>
      </c>
    </row>
    <row r="5225" spans="1:3">
      <c r="B5225" s="42" t="s">
        <v>3638</v>
      </c>
    </row>
    <row r="5227" spans="1:3">
      <c r="B5227" s="2" t="s">
        <v>5891</v>
      </c>
    </row>
    <row r="5228" spans="1:3">
      <c r="A5228" t="s">
        <v>2801</v>
      </c>
      <c r="B5228" t="s">
        <v>6825</v>
      </c>
    </row>
    <row r="5229" spans="1:3">
      <c r="A5229" t="s">
        <v>2801</v>
      </c>
      <c r="B5229" t="s">
        <v>6823</v>
      </c>
    </row>
    <row r="5230" spans="1:3">
      <c r="B5230" t="s">
        <v>6820</v>
      </c>
    </row>
    <row r="5231" spans="1:3">
      <c r="B5231" t="s">
        <v>6819</v>
      </c>
    </row>
    <row r="5233" spans="2:2">
      <c r="B5233" t="s">
        <v>6826</v>
      </c>
    </row>
    <row r="5235" spans="2:2">
      <c r="B5235" s="2" t="s">
        <v>16</v>
      </c>
    </row>
    <row r="5236" spans="2:2">
      <c r="B5236" t="s">
        <v>6827</v>
      </c>
    </row>
    <row r="5237" spans="2:2">
      <c r="B5237" t="s">
        <v>6821</v>
      </c>
    </row>
    <row r="5238" spans="2:2">
      <c r="B5238" t="s">
        <v>6835</v>
      </c>
    </row>
    <row r="5239" spans="2:2">
      <c r="B5239" t="s">
        <v>6822</v>
      </c>
    </row>
    <row r="5241" spans="2:2">
      <c r="B5241" s="2" t="s">
        <v>87</v>
      </c>
    </row>
    <row r="5242" spans="2:2">
      <c r="B5242" t="s">
        <v>6828</v>
      </c>
    </row>
    <row r="5243" spans="2:2">
      <c r="B5243" t="s">
        <v>6829</v>
      </c>
    </row>
    <row r="5245" spans="2:2">
      <c r="B5245" s="42" t="s">
        <v>1378</v>
      </c>
    </row>
    <row r="5247" spans="2:2">
      <c r="B5247" s="431" t="s">
        <v>145</v>
      </c>
    </row>
    <row r="5248" spans="2:2">
      <c r="B5248" t="s">
        <v>6833</v>
      </c>
    </row>
    <row r="5249" spans="1:6">
      <c r="B5249" t="s">
        <v>6830</v>
      </c>
    </row>
    <row r="5250" spans="1:6">
      <c r="B5250" t="s">
        <v>6831</v>
      </c>
    </row>
    <row r="5251" spans="1:6">
      <c r="B5251" t="s">
        <v>6832</v>
      </c>
    </row>
    <row r="5252" spans="1:6">
      <c r="B5252" t="s">
        <v>6834</v>
      </c>
    </row>
    <row r="5253" spans="1:6">
      <c r="B5253" s="2" t="s">
        <v>16</v>
      </c>
    </row>
    <row r="5254" spans="1:6">
      <c r="B5254" t="s">
        <v>6836</v>
      </c>
    </row>
    <row r="5255" spans="1:6">
      <c r="B5255" t="s">
        <v>6837</v>
      </c>
      <c r="C5255" t="s">
        <v>6838</v>
      </c>
    </row>
    <row r="5256" spans="1:6">
      <c r="B5256" s="431" t="s">
        <v>87</v>
      </c>
    </row>
    <row r="5257" spans="1:6">
      <c r="B5257" t="s">
        <v>6839</v>
      </c>
    </row>
    <row r="5258" spans="1:6">
      <c r="A5258" t="s">
        <v>2801</v>
      </c>
      <c r="B5258" t="s">
        <v>6840</v>
      </c>
      <c r="F5258" t="s">
        <v>6849</v>
      </c>
    </row>
    <row r="5259" spans="1:6">
      <c r="B5259" s="431" t="s">
        <v>201</v>
      </c>
    </row>
    <row r="5260" spans="1:6">
      <c r="B5260" s="136" t="s">
        <v>6841</v>
      </c>
    </row>
    <row r="5261" spans="1:6">
      <c r="B5261" s="136" t="s">
        <v>6842</v>
      </c>
    </row>
    <row r="5262" spans="1:6">
      <c r="B5262" s="136" t="s">
        <v>6843</v>
      </c>
    </row>
    <row r="5263" spans="1:6">
      <c r="B5263" s="136" t="s">
        <v>6844</v>
      </c>
    </row>
    <row r="5264" spans="1:6">
      <c r="B5264" s="431"/>
    </row>
    <row r="5265" spans="1:4">
      <c r="B5265" s="121" t="s">
        <v>1259</v>
      </c>
    </row>
    <row r="5267" spans="1:4">
      <c r="B5267" t="s">
        <v>2540</v>
      </c>
    </row>
    <row r="5268" spans="1:4">
      <c r="A5268" t="s">
        <v>2801</v>
      </c>
      <c r="C5268" t="s">
        <v>6846</v>
      </c>
    </row>
    <row r="5269" spans="1:4">
      <c r="C5269" t="s">
        <v>6847</v>
      </c>
    </row>
    <row r="5270" spans="1:4">
      <c r="B5270" t="s">
        <v>2384</v>
      </c>
    </row>
    <row r="5271" spans="1:4">
      <c r="B5271" s="42"/>
      <c r="C5271" t="s">
        <v>6845</v>
      </c>
    </row>
    <row r="5272" spans="1:4">
      <c r="C5272" t="s">
        <v>6848</v>
      </c>
    </row>
    <row r="5273" spans="1:4">
      <c r="C5273" t="s">
        <v>6856</v>
      </c>
    </row>
    <row r="5274" spans="1:4">
      <c r="C5274" t="s">
        <v>6857</v>
      </c>
    </row>
    <row r="5275" spans="1:4">
      <c r="C5275" t="s">
        <v>6858</v>
      </c>
    </row>
    <row r="5276" spans="1:4">
      <c r="C5276" t="s">
        <v>6859</v>
      </c>
    </row>
    <row r="5277" spans="1:4">
      <c r="C5277" t="s">
        <v>6860</v>
      </c>
    </row>
    <row r="5278" spans="1:4">
      <c r="D5278" t="s">
        <v>6861</v>
      </c>
    </row>
    <row r="5280" spans="1:4">
      <c r="B5280" t="s">
        <v>6850</v>
      </c>
    </row>
    <row r="5281" spans="2:3">
      <c r="C5281" t="s">
        <v>6851</v>
      </c>
    </row>
    <row r="5282" spans="2:3">
      <c r="B5282" t="s">
        <v>6852</v>
      </c>
    </row>
    <row r="5284" spans="2:3">
      <c r="B5284" t="s">
        <v>6853</v>
      </c>
    </row>
    <row r="5286" spans="2:3">
      <c r="B5286" t="s">
        <v>5067</v>
      </c>
      <c r="C5286" t="s">
        <v>6854</v>
      </c>
    </row>
    <row r="5288" spans="2:3">
      <c r="B5288" t="s">
        <v>6855</v>
      </c>
    </row>
    <row r="5290" spans="2:3">
      <c r="B5290" t="s">
        <v>6862</v>
      </c>
    </row>
    <row r="5291" spans="2:3">
      <c r="B5291" t="s">
        <v>6863</v>
      </c>
    </row>
    <row r="5293" spans="2:3">
      <c r="B5293" t="s">
        <v>1348</v>
      </c>
    </row>
    <row r="5294" spans="2:3">
      <c r="C5294" t="s">
        <v>6864</v>
      </c>
    </row>
    <row r="5295" spans="2:3">
      <c r="C5295" t="s">
        <v>6865</v>
      </c>
    </row>
    <row r="5296" spans="2:3">
      <c r="C5296" t="s">
        <v>6866</v>
      </c>
    </row>
    <row r="5298" spans="2:4">
      <c r="B5298" s="121" t="s">
        <v>6888</v>
      </c>
    </row>
    <row r="5300" spans="2:4">
      <c r="B5300" t="s">
        <v>145</v>
      </c>
    </row>
    <row r="5301" spans="2:4">
      <c r="C5301" t="s">
        <v>6897</v>
      </c>
    </row>
    <row r="5302" spans="2:4">
      <c r="C5302" t="s">
        <v>6898</v>
      </c>
    </row>
    <row r="5303" spans="2:4">
      <c r="C5303" t="s">
        <v>6907</v>
      </c>
    </row>
    <row r="5304" spans="2:4">
      <c r="D5304" t="s">
        <v>6936</v>
      </c>
    </row>
    <row r="5305" spans="2:4">
      <c r="C5305" t="s">
        <v>6935</v>
      </c>
    </row>
    <row r="5306" spans="2:4">
      <c r="D5306" t="s">
        <v>6938</v>
      </c>
    </row>
    <row r="5307" spans="2:4">
      <c r="B5307" t="s">
        <v>6940</v>
      </c>
      <c r="C5307" t="s">
        <v>6939</v>
      </c>
    </row>
    <row r="5309" spans="2:4">
      <c r="C5309" t="s">
        <v>6937</v>
      </c>
    </row>
    <row r="5310" spans="2:4">
      <c r="B5310" t="s">
        <v>3642</v>
      </c>
    </row>
    <row r="5311" spans="2:4">
      <c r="C5311" t="s">
        <v>6908</v>
      </c>
    </row>
    <row r="5312" spans="2:4">
      <c r="B5312" t="s">
        <v>6455</v>
      </c>
    </row>
    <row r="5313" spans="1:4">
      <c r="C5313" t="s">
        <v>6915</v>
      </c>
    </row>
    <row r="5314" spans="1:4">
      <c r="D5314" t="s">
        <v>6916</v>
      </c>
    </row>
    <row r="5315" spans="1:4">
      <c r="C5315" t="s">
        <v>6900</v>
      </c>
    </row>
    <row r="5316" spans="1:4">
      <c r="D5316" t="s">
        <v>6941</v>
      </c>
    </row>
    <row r="5317" spans="1:4">
      <c r="D5317" t="s">
        <v>6942</v>
      </c>
    </row>
    <row r="5318" spans="1:4">
      <c r="B5318" t="s">
        <v>6889</v>
      </c>
    </row>
    <row r="5319" spans="1:4">
      <c r="C5319" t="s">
        <v>6923</v>
      </c>
    </row>
    <row r="5321" spans="1:4">
      <c r="B5321" t="s">
        <v>16</v>
      </c>
    </row>
    <row r="5322" spans="1:4">
      <c r="C5322" t="s">
        <v>6929</v>
      </c>
    </row>
    <row r="5323" spans="1:4">
      <c r="C5323" t="s">
        <v>6921</v>
      </c>
    </row>
    <row r="5324" spans="1:4">
      <c r="C5324" t="s">
        <v>6922</v>
      </c>
    </row>
    <row r="5325" spans="1:4">
      <c r="C5325" t="s">
        <v>6890</v>
      </c>
    </row>
    <row r="5326" spans="1:4">
      <c r="C5326" t="s">
        <v>6896</v>
      </c>
    </row>
    <row r="5327" spans="1:4">
      <c r="D5327" t="s">
        <v>6926</v>
      </c>
    </row>
    <row r="5328" spans="1:4">
      <c r="A5328" t="s">
        <v>2024</v>
      </c>
      <c r="C5328" t="s">
        <v>6934</v>
      </c>
    </row>
    <row r="5329" spans="2:3">
      <c r="B5329" t="s">
        <v>87</v>
      </c>
    </row>
    <row r="5330" spans="2:3">
      <c r="C5330" t="s">
        <v>6925</v>
      </c>
    </row>
    <row r="5331" spans="2:3">
      <c r="C5331" t="s">
        <v>6924</v>
      </c>
    </row>
    <row r="5333" spans="2:3">
      <c r="B5333" s="2" t="s">
        <v>1259</v>
      </c>
    </row>
    <row r="5334" spans="2:3">
      <c r="B5334" t="s">
        <v>6891</v>
      </c>
      <c r="C5334" t="s">
        <v>6892</v>
      </c>
    </row>
    <row r="5335" spans="2:3">
      <c r="C5335" t="s">
        <v>6893</v>
      </c>
    </row>
    <row r="5336" spans="2:3">
      <c r="C5336" t="s">
        <v>6894</v>
      </c>
    </row>
    <row r="5337" spans="2:3">
      <c r="C5337" t="s">
        <v>6895</v>
      </c>
    </row>
    <row r="5338" spans="2:3">
      <c r="B5338" t="s">
        <v>6899</v>
      </c>
    </row>
    <row r="5339" spans="2:3">
      <c r="B5339" t="s">
        <v>6901</v>
      </c>
    </row>
    <row r="5340" spans="2:3">
      <c r="B5340" t="s">
        <v>6902</v>
      </c>
    </row>
    <row r="5341" spans="2:3">
      <c r="B5341" t="s">
        <v>6903</v>
      </c>
    </row>
    <row r="5343" spans="2:3">
      <c r="B5343" t="s">
        <v>6904</v>
      </c>
    </row>
    <row r="5344" spans="2:3">
      <c r="C5344" t="s">
        <v>6905</v>
      </c>
    </row>
    <row r="5345" spans="1:5">
      <c r="C5345" s="42" t="s">
        <v>6974</v>
      </c>
    </row>
    <row r="5347" spans="1:5">
      <c r="B5347" t="s">
        <v>87</v>
      </c>
    </row>
    <row r="5348" spans="1:5">
      <c r="C5348" t="s">
        <v>2196</v>
      </c>
    </row>
    <row r="5349" spans="1:5">
      <c r="D5349" t="s">
        <v>6917</v>
      </c>
    </row>
    <row r="5350" spans="1:5">
      <c r="E5350" t="s">
        <v>6906</v>
      </c>
    </row>
    <row r="5351" spans="1:5">
      <c r="A5351" t="s">
        <v>2024</v>
      </c>
      <c r="E5351" t="s">
        <v>6914</v>
      </c>
    </row>
    <row r="5352" spans="1:5">
      <c r="C5352" t="s">
        <v>756</v>
      </c>
    </row>
    <row r="5353" spans="1:5">
      <c r="D5353" t="s">
        <v>6918</v>
      </c>
    </row>
    <row r="5354" spans="1:5">
      <c r="D5354" t="s">
        <v>6919</v>
      </c>
    </row>
    <row r="5355" spans="1:5">
      <c r="D5355" t="s">
        <v>6920</v>
      </c>
    </row>
    <row r="5356" spans="1:5">
      <c r="A5356" t="s">
        <v>2024</v>
      </c>
      <c r="B5356" t="s">
        <v>16</v>
      </c>
    </row>
    <row r="5357" spans="1:5">
      <c r="C5357" t="s">
        <v>6913</v>
      </c>
    </row>
    <row r="5358" spans="1:5">
      <c r="C5358" t="s">
        <v>6909</v>
      </c>
    </row>
    <row r="5359" spans="1:5">
      <c r="C5359" t="s">
        <v>6910</v>
      </c>
    </row>
    <row r="5360" spans="1:5">
      <c r="C5360" t="s">
        <v>6912</v>
      </c>
    </row>
    <row r="5361" spans="2:4">
      <c r="C5361" t="s">
        <v>6911</v>
      </c>
    </row>
    <row r="5363" spans="2:4">
      <c r="B5363" s="2" t="s">
        <v>3638</v>
      </c>
    </row>
    <row r="5365" spans="2:4">
      <c r="B5365" t="s">
        <v>87</v>
      </c>
      <c r="C5365" t="s">
        <v>6927</v>
      </c>
    </row>
    <row r="5366" spans="2:4">
      <c r="D5366" t="s">
        <v>6928</v>
      </c>
    </row>
    <row r="5367" spans="2:4">
      <c r="B5367" t="s">
        <v>6930</v>
      </c>
    </row>
    <row r="5368" spans="2:4">
      <c r="C5368" t="s">
        <v>6931</v>
      </c>
    </row>
    <row r="5369" spans="2:4">
      <c r="C5369" t="s">
        <v>6932</v>
      </c>
    </row>
    <row r="5370" spans="2:4">
      <c r="B5370" t="s">
        <v>6933</v>
      </c>
    </row>
    <row r="5371" spans="2:4">
      <c r="C5371" t="s">
        <v>6943</v>
      </c>
    </row>
    <row r="5372" spans="2:4">
      <c r="B5372" t="s">
        <v>6944</v>
      </c>
    </row>
    <row r="5374" spans="2:4">
      <c r="B5374" s="121" t="s">
        <v>4676</v>
      </c>
    </row>
    <row r="5375" spans="2:4">
      <c r="B5375" t="s">
        <v>6945</v>
      </c>
    </row>
    <row r="5376" spans="2:4">
      <c r="B5376" t="s">
        <v>6946</v>
      </c>
    </row>
    <row r="5377" spans="2:6">
      <c r="C5377" t="s">
        <v>6966</v>
      </c>
    </row>
    <row r="5378" spans="2:6">
      <c r="C5378" t="s">
        <v>6970</v>
      </c>
    </row>
    <row r="5379" spans="2:6">
      <c r="C5379" t="s">
        <v>6967</v>
      </c>
    </row>
    <row r="5380" spans="2:6">
      <c r="C5380" t="s">
        <v>6969</v>
      </c>
    </row>
    <row r="5381" spans="2:6">
      <c r="D5381" t="s">
        <v>6971</v>
      </c>
    </row>
    <row r="5382" spans="2:6">
      <c r="D5382" t="s">
        <v>6972</v>
      </c>
    </row>
    <row r="5383" spans="2:6">
      <c r="D5383" t="s">
        <v>6973</v>
      </c>
    </row>
    <row r="5384" spans="2:6">
      <c r="B5384" t="s">
        <v>6947</v>
      </c>
    </row>
    <row r="5385" spans="2:6">
      <c r="C5385" t="s">
        <v>6955</v>
      </c>
    </row>
    <row r="5386" spans="2:6">
      <c r="C5386" t="s">
        <v>6956</v>
      </c>
    </row>
    <row r="5387" spans="2:6">
      <c r="C5387" t="s">
        <v>6957</v>
      </c>
    </row>
    <row r="5388" spans="2:6">
      <c r="D5388" t="s">
        <v>6968</v>
      </c>
    </row>
    <row r="5389" spans="2:6">
      <c r="C5389" t="s">
        <v>6958</v>
      </c>
    </row>
    <row r="5390" spans="2:6">
      <c r="D5390" s="3" t="s">
        <v>6959</v>
      </c>
      <c r="E5390" s="3" t="s">
        <v>6960</v>
      </c>
      <c r="F5390" s="3" t="s">
        <v>6961</v>
      </c>
    </row>
    <row r="5391" spans="2:6">
      <c r="D5391" s="136" t="s">
        <v>6962</v>
      </c>
      <c r="E5391" s="3"/>
      <c r="F5391" s="3"/>
    </row>
    <row r="5392" spans="2:6">
      <c r="D5392" s="136" t="s">
        <v>6963</v>
      </c>
      <c r="E5392" s="3"/>
      <c r="F5392" s="3"/>
    </row>
    <row r="5393" spans="2:6">
      <c r="D5393" s="136" t="s">
        <v>6964</v>
      </c>
      <c r="E5393" s="3"/>
      <c r="F5393" s="3"/>
    </row>
    <row r="5394" spans="2:6">
      <c r="D5394" s="136" t="s">
        <v>6965</v>
      </c>
      <c r="E5394" s="3"/>
      <c r="F5394" s="3"/>
    </row>
    <row r="5395" spans="2:6">
      <c r="B5395" t="s">
        <v>6948</v>
      </c>
    </row>
    <row r="5396" spans="2:6">
      <c r="B5396" t="s">
        <v>6949</v>
      </c>
    </row>
    <row r="5397" spans="2:6">
      <c r="B5397" t="s">
        <v>6950</v>
      </c>
    </row>
    <row r="5398" spans="2:6">
      <c r="B5398" t="s">
        <v>6951</v>
      </c>
    </row>
    <row r="5399" spans="2:6">
      <c r="B5399" t="s">
        <v>6952</v>
      </c>
    </row>
    <row r="5401" spans="2:6">
      <c r="B5401" t="s">
        <v>6953</v>
      </c>
    </row>
    <row r="5402" spans="2:6">
      <c r="B5402" t="s">
        <v>6954</v>
      </c>
    </row>
    <row r="5404" spans="2:6">
      <c r="B5404" s="121" t="s">
        <v>4372</v>
      </c>
    </row>
    <row r="5406" spans="2:6">
      <c r="B5406" t="s">
        <v>6904</v>
      </c>
      <c r="C5406" t="s">
        <v>6980</v>
      </c>
    </row>
    <row r="5407" spans="2:6">
      <c r="C5407" t="s">
        <v>6981</v>
      </c>
    </row>
    <row r="5408" spans="2:6">
      <c r="C5408" t="s">
        <v>6982</v>
      </c>
    </row>
    <row r="5409" spans="2:4">
      <c r="C5409" t="s">
        <v>6983</v>
      </c>
    </row>
    <row r="5410" spans="2:4">
      <c r="C5410" t="s">
        <v>6984</v>
      </c>
    </row>
    <row r="5411" spans="2:4">
      <c r="C5411" t="s">
        <v>6985</v>
      </c>
    </row>
    <row r="5412" spans="2:4">
      <c r="D5412" t="s">
        <v>6988</v>
      </c>
    </row>
    <row r="5413" spans="2:4">
      <c r="C5413" t="s">
        <v>6986</v>
      </c>
    </row>
    <row r="5414" spans="2:4">
      <c r="C5414" t="s">
        <v>6987</v>
      </c>
    </row>
    <row r="5415" spans="2:4">
      <c r="B5415" t="s">
        <v>6989</v>
      </c>
    </row>
    <row r="5416" spans="2:4">
      <c r="C5416" t="s">
        <v>6990</v>
      </c>
    </row>
    <row r="5417" spans="2:4">
      <c r="C5417" t="s">
        <v>6991</v>
      </c>
    </row>
    <row r="5418" spans="2:4">
      <c r="C5418" t="s">
        <v>6992</v>
      </c>
    </row>
    <row r="5419" spans="2:4">
      <c r="C5419" t="s">
        <v>6993</v>
      </c>
    </row>
    <row r="5420" spans="2:4">
      <c r="D5420" t="s">
        <v>6994</v>
      </c>
    </row>
    <row r="5421" spans="2:4">
      <c r="C5421" s="136">
        <v>2021</v>
      </c>
      <c r="D5421" s="8" t="s">
        <v>6996</v>
      </c>
    </row>
    <row r="5422" spans="2:4">
      <c r="D5422" t="s">
        <v>6995</v>
      </c>
    </row>
    <row r="5423" spans="2:4">
      <c r="C5423" t="s">
        <v>6997</v>
      </c>
    </row>
    <row r="5424" spans="2:4">
      <c r="D5424" t="s">
        <v>6998</v>
      </c>
    </row>
    <row r="5425" spans="2:4">
      <c r="D5425" t="s">
        <v>6999</v>
      </c>
    </row>
    <row r="5426" spans="2:4">
      <c r="B5426" t="s">
        <v>7000</v>
      </c>
    </row>
    <row r="5427" spans="2:4">
      <c r="C5427" t="s">
        <v>7001</v>
      </c>
    </row>
    <row r="5428" spans="2:4">
      <c r="C5428" t="s">
        <v>7002</v>
      </c>
    </row>
    <row r="5429" spans="2:4">
      <c r="C5429" t="s">
        <v>7003</v>
      </c>
    </row>
    <row r="5430" spans="2:4">
      <c r="D5430" t="s">
        <v>7004</v>
      </c>
    </row>
    <row r="5431" spans="2:4">
      <c r="D5431" t="s">
        <v>7005</v>
      </c>
    </row>
    <row r="5432" spans="2:4">
      <c r="B5432" t="s">
        <v>7006</v>
      </c>
    </row>
    <row r="5433" spans="2:4">
      <c r="C5433" t="s">
        <v>7007</v>
      </c>
    </row>
    <row r="5434" spans="2:4">
      <c r="C5434" t="s">
        <v>7008</v>
      </c>
    </row>
    <row r="5435" spans="2:4">
      <c r="C5435" t="s">
        <v>7009</v>
      </c>
    </row>
    <row r="5436" spans="2:4">
      <c r="C5436" t="s">
        <v>7010</v>
      </c>
    </row>
    <row r="5437" spans="2:4">
      <c r="C5437" t="s">
        <v>7011</v>
      </c>
    </row>
    <row r="5438" spans="2:4">
      <c r="C5438" t="s">
        <v>7012</v>
      </c>
    </row>
    <row r="5439" spans="2:4">
      <c r="B5439" t="s">
        <v>16</v>
      </c>
    </row>
    <row r="5440" spans="2:4">
      <c r="C5440" t="s">
        <v>7013</v>
      </c>
    </row>
    <row r="5441" spans="2:4">
      <c r="D5441" t="s">
        <v>7024</v>
      </c>
    </row>
    <row r="5442" spans="2:4">
      <c r="D5442" t="s">
        <v>7025</v>
      </c>
    </row>
    <row r="5443" spans="2:4">
      <c r="D5443" t="s">
        <v>7026</v>
      </c>
    </row>
    <row r="5444" spans="2:4">
      <c r="C5444" t="s">
        <v>7014</v>
      </c>
    </row>
    <row r="5445" spans="2:4">
      <c r="C5445" t="s">
        <v>7015</v>
      </c>
    </row>
    <row r="5446" spans="2:4">
      <c r="C5446" t="s">
        <v>7016</v>
      </c>
    </row>
    <row r="5447" spans="2:4">
      <c r="C5447" t="s">
        <v>7017</v>
      </c>
    </row>
    <row r="5448" spans="2:4">
      <c r="D5448" t="s">
        <v>7018</v>
      </c>
    </row>
    <row r="5449" spans="2:4">
      <c r="D5449" t="s">
        <v>7019</v>
      </c>
    </row>
    <row r="5450" spans="2:4">
      <c r="C5450" t="s">
        <v>7020</v>
      </c>
    </row>
    <row r="5451" spans="2:4">
      <c r="D5451" t="s">
        <v>7021</v>
      </c>
    </row>
    <row r="5452" spans="2:4">
      <c r="D5452" t="s">
        <v>7022</v>
      </c>
    </row>
    <row r="5453" spans="2:4">
      <c r="C5453" t="s">
        <v>7023</v>
      </c>
    </row>
    <row r="5454" spans="2:4">
      <c r="C5454" t="s">
        <v>7029</v>
      </c>
    </row>
    <row r="5455" spans="2:4">
      <c r="C5455" t="s">
        <v>7030</v>
      </c>
    </row>
    <row r="5456" spans="2:4">
      <c r="B5456" t="s">
        <v>2175</v>
      </c>
    </row>
    <row r="5457" spans="2:4">
      <c r="C5457" t="s">
        <v>7027</v>
      </c>
    </row>
    <row r="5458" spans="2:4">
      <c r="C5458" t="s">
        <v>7028</v>
      </c>
    </row>
    <row r="5459" spans="2:4">
      <c r="B5459" t="s">
        <v>87</v>
      </c>
    </row>
    <row r="5460" spans="2:4">
      <c r="C5460" t="s">
        <v>7031</v>
      </c>
    </row>
    <row r="5461" spans="2:4">
      <c r="C5461" t="s">
        <v>7032</v>
      </c>
    </row>
    <row r="5462" spans="2:4">
      <c r="C5462" t="s">
        <v>7033</v>
      </c>
    </row>
    <row r="5463" spans="2:4">
      <c r="C5463" t="s">
        <v>7034</v>
      </c>
    </row>
    <row r="5464" spans="2:4">
      <c r="C5464" t="s">
        <v>7035</v>
      </c>
    </row>
    <row r="5465" spans="2:4">
      <c r="C5465" t="s">
        <v>7036</v>
      </c>
    </row>
    <row r="5466" spans="2:4">
      <c r="C5466" t="s">
        <v>7037</v>
      </c>
    </row>
    <row r="5467" spans="2:4">
      <c r="D5467" t="s">
        <v>7045</v>
      </c>
    </row>
    <row r="5468" spans="2:4">
      <c r="C5468" t="s">
        <v>7038</v>
      </c>
    </row>
    <row r="5469" spans="2:4">
      <c r="D5469" t="s">
        <v>7039</v>
      </c>
    </row>
    <row r="5470" spans="2:4">
      <c r="C5470" t="s">
        <v>7040</v>
      </c>
    </row>
    <row r="5471" spans="2:4">
      <c r="C5471" t="s">
        <v>7041</v>
      </c>
    </row>
    <row r="5472" spans="2:4">
      <c r="C5472" t="s">
        <v>7044</v>
      </c>
    </row>
    <row r="5473" spans="2:3">
      <c r="B5473" t="s">
        <v>44</v>
      </c>
    </row>
    <row r="5474" spans="2:3">
      <c r="C5474" t="s">
        <v>7042</v>
      </c>
    </row>
    <row r="5476" spans="2:3">
      <c r="B5476" s="121" t="s">
        <v>7058</v>
      </c>
    </row>
    <row r="5478" spans="2:3">
      <c r="B5478" t="s">
        <v>7059</v>
      </c>
      <c r="C5478" t="s">
        <v>7060</v>
      </c>
    </row>
    <row r="5479" spans="2:3">
      <c r="C5479" t="s">
        <v>7117</v>
      </c>
    </row>
    <row r="5480" spans="2:3">
      <c r="C5480" t="s">
        <v>7118</v>
      </c>
    </row>
    <row r="5481" spans="2:3">
      <c r="B5481" t="s">
        <v>16</v>
      </c>
    </row>
    <row r="5482" spans="2:3">
      <c r="C5482" t="s">
        <v>7061</v>
      </c>
    </row>
    <row r="5483" spans="2:3">
      <c r="B5483" t="s">
        <v>87</v>
      </c>
    </row>
    <row r="5484" spans="2:3">
      <c r="C5484" t="s">
        <v>7062</v>
      </c>
    </row>
    <row r="5485" spans="2:3">
      <c r="C5485" t="s">
        <v>7063</v>
      </c>
    </row>
    <row r="5486" spans="2:3">
      <c r="C5486" t="s">
        <v>7064</v>
      </c>
    </row>
    <row r="5487" spans="2:3">
      <c r="C5487" t="s">
        <v>7065</v>
      </c>
    </row>
    <row r="5488" spans="2:3">
      <c r="C5488" t="s">
        <v>7066</v>
      </c>
    </row>
    <row r="5489" spans="2:5">
      <c r="B5489" t="s">
        <v>7067</v>
      </c>
    </row>
    <row r="5490" spans="2:5">
      <c r="C5490" t="s">
        <v>7068</v>
      </c>
    </row>
    <row r="5491" spans="2:5">
      <c r="D5491" t="s">
        <v>7069</v>
      </c>
    </row>
    <row r="5492" spans="2:5">
      <c r="D5492" t="s">
        <v>7070</v>
      </c>
    </row>
    <row r="5493" spans="2:5">
      <c r="D5493">
        <f>0.15/0.03</f>
        <v>5</v>
      </c>
    </row>
    <row r="5494" spans="2:5">
      <c r="D5494" s="8">
        <f>D5493/60</f>
        <v>8.3333333333333329E-2</v>
      </c>
      <c r="E5494" t="s">
        <v>7071</v>
      </c>
    </row>
    <row r="5495" spans="2:5">
      <c r="D5495" t="s">
        <v>7072</v>
      </c>
    </row>
    <row r="5496" spans="2:5">
      <c r="C5496" t="s">
        <v>7073</v>
      </c>
    </row>
    <row r="5497" spans="2:5">
      <c r="C5497" t="s">
        <v>7074</v>
      </c>
    </row>
    <row r="5498" spans="2:5">
      <c r="D5498" t="s">
        <v>7075</v>
      </c>
    </row>
    <row r="5499" spans="2:5">
      <c r="D5499" t="s">
        <v>7076</v>
      </c>
    </row>
    <row r="5500" spans="2:5">
      <c r="C5500" t="s">
        <v>7077</v>
      </c>
    </row>
    <row r="5501" spans="2:5">
      <c r="D5501" t="s">
        <v>7078</v>
      </c>
    </row>
    <row r="5503" spans="2:5">
      <c r="C5503" t="s">
        <v>7079</v>
      </c>
    </row>
    <row r="5505" spans="2:4">
      <c r="C5505" t="s">
        <v>7080</v>
      </c>
    </row>
    <row r="5507" spans="2:4">
      <c r="C5507" t="s">
        <v>7081</v>
      </c>
    </row>
    <row r="5508" spans="2:4">
      <c r="C5508" t="s">
        <v>7082</v>
      </c>
    </row>
    <row r="5509" spans="2:4">
      <c r="C5509" t="s">
        <v>7083</v>
      </c>
    </row>
    <row r="5510" spans="2:4">
      <c r="C5510" t="s">
        <v>7084</v>
      </c>
    </row>
    <row r="5511" spans="2:4">
      <c r="D5511" t="s">
        <v>7085</v>
      </c>
    </row>
    <row r="5512" spans="2:4">
      <c r="D5512" t="s">
        <v>7086</v>
      </c>
    </row>
    <row r="5513" spans="2:4">
      <c r="C5513" t="s">
        <v>7087</v>
      </c>
    </row>
    <row r="5514" spans="2:4">
      <c r="D5514" t="s">
        <v>7088</v>
      </c>
    </row>
    <row r="5516" spans="2:4">
      <c r="C5516" t="s">
        <v>7089</v>
      </c>
    </row>
    <row r="5517" spans="2:4">
      <c r="C5517" t="s">
        <v>7090</v>
      </c>
    </row>
    <row r="5519" spans="2:4">
      <c r="B5519" t="s">
        <v>1259</v>
      </c>
    </row>
    <row r="5520" spans="2:4">
      <c r="C5520" t="s">
        <v>16</v>
      </c>
    </row>
    <row r="5521" spans="2:4">
      <c r="D5521" t="s">
        <v>7091</v>
      </c>
    </row>
    <row r="5522" spans="2:4">
      <c r="C5522" t="s">
        <v>87</v>
      </c>
    </row>
    <row r="5523" spans="2:4">
      <c r="D5523" t="s">
        <v>7092</v>
      </c>
    </row>
    <row r="5524" spans="2:4">
      <c r="C5524" t="s">
        <v>7093</v>
      </c>
    </row>
    <row r="5525" spans="2:4">
      <c r="C5525" t="s">
        <v>7094</v>
      </c>
    </row>
    <row r="5526" spans="2:4">
      <c r="D5526" t="s">
        <v>7095</v>
      </c>
    </row>
    <row r="5527" spans="2:4">
      <c r="B5527" t="s">
        <v>7096</v>
      </c>
    </row>
    <row r="5529" spans="2:4">
      <c r="B5529" t="s">
        <v>7097</v>
      </c>
    </row>
    <row r="5530" spans="2:4">
      <c r="C5530" t="s">
        <v>7098</v>
      </c>
    </row>
    <row r="5531" spans="2:4">
      <c r="C5531" t="s">
        <v>962</v>
      </c>
    </row>
    <row r="5532" spans="2:4">
      <c r="C5532" t="s">
        <v>7099</v>
      </c>
    </row>
    <row r="5533" spans="2:4">
      <c r="B5533" t="s">
        <v>350</v>
      </c>
    </row>
    <row r="5535" spans="2:4">
      <c r="B5535" t="s">
        <v>87</v>
      </c>
    </row>
    <row r="5536" spans="2:4">
      <c r="C5536" t="s">
        <v>7100</v>
      </c>
    </row>
    <row r="5537" spans="2:3">
      <c r="B5537" t="s">
        <v>7101</v>
      </c>
    </row>
    <row r="5538" spans="2:3">
      <c r="C5538" t="s">
        <v>7102</v>
      </c>
    </row>
    <row r="5539" spans="2:3">
      <c r="B5539" t="s">
        <v>7103</v>
      </c>
    </row>
    <row r="5540" spans="2:3">
      <c r="C5540" t="s">
        <v>7104</v>
      </c>
    </row>
    <row r="5541" spans="2:3">
      <c r="C5541" t="s">
        <v>7105</v>
      </c>
    </row>
    <row r="5542" spans="2:3">
      <c r="B5542" t="s">
        <v>7106</v>
      </c>
    </row>
    <row r="5543" spans="2:3">
      <c r="C5543" t="s">
        <v>7110</v>
      </c>
    </row>
    <row r="5544" spans="2:3">
      <c r="C5544" t="s">
        <v>7111</v>
      </c>
    </row>
    <row r="5545" spans="2:3">
      <c r="C5545" t="s">
        <v>7112</v>
      </c>
    </row>
    <row r="5546" spans="2:3">
      <c r="C5546" t="s">
        <v>7113</v>
      </c>
    </row>
    <row r="5547" spans="2:3">
      <c r="B5547" t="s">
        <v>7107</v>
      </c>
    </row>
    <row r="5548" spans="2:3">
      <c r="C5548" t="s">
        <v>7108</v>
      </c>
    </row>
    <row r="5549" spans="2:3">
      <c r="C5549" t="s">
        <v>7109</v>
      </c>
    </row>
    <row r="5550" spans="2:3">
      <c r="C5550" t="s">
        <v>7114</v>
      </c>
    </row>
    <row r="5551" spans="2:3">
      <c r="C5551" t="s">
        <v>7115</v>
      </c>
    </row>
    <row r="5553" spans="2:3">
      <c r="C5553" t="s">
        <v>7116</v>
      </c>
    </row>
    <row r="5555" spans="2:3">
      <c r="B5555" s="121" t="s">
        <v>7120</v>
      </c>
    </row>
    <row r="5557" spans="2:3">
      <c r="B5557" t="s">
        <v>1762</v>
      </c>
    </row>
    <row r="5558" spans="2:3">
      <c r="C5558" t="s">
        <v>7124</v>
      </c>
    </row>
    <row r="5559" spans="2:3">
      <c r="C5559" t="s">
        <v>7125</v>
      </c>
    </row>
    <row r="5560" spans="2:3">
      <c r="C5560" t="s">
        <v>7126</v>
      </c>
    </row>
    <row r="5561" spans="2:3">
      <c r="C5561" t="s">
        <v>7127</v>
      </c>
    </row>
    <row r="5562" spans="2:3">
      <c r="B5562" t="s">
        <v>1042</v>
      </c>
    </row>
    <row r="5563" spans="2:3">
      <c r="C5563" t="s">
        <v>7122</v>
      </c>
    </row>
    <row r="5564" spans="2:3">
      <c r="C5564" t="s">
        <v>7123</v>
      </c>
    </row>
    <row r="5565" spans="2:3">
      <c r="C5565" t="s">
        <v>7121</v>
      </c>
    </row>
    <row r="5566" spans="2:3">
      <c r="B5566" t="s">
        <v>201</v>
      </c>
    </row>
    <row r="5567" spans="2:3">
      <c r="B5567" t="s">
        <v>84</v>
      </c>
      <c r="C5567" t="s">
        <v>7128</v>
      </c>
    </row>
    <row r="5568" spans="2:3">
      <c r="B5568" t="s">
        <v>6904</v>
      </c>
    </row>
    <row r="5569" spans="2:6">
      <c r="C5569" t="s">
        <v>7129</v>
      </c>
    </row>
    <row r="5570" spans="2:6">
      <c r="C5570" t="s">
        <v>7130</v>
      </c>
    </row>
    <row r="5571" spans="2:6">
      <c r="D5571" t="s">
        <v>7131</v>
      </c>
    </row>
    <row r="5572" spans="2:6">
      <c r="D5572" t="s">
        <v>7132</v>
      </c>
    </row>
    <row r="5573" spans="2:6">
      <c r="E5573" t="s">
        <v>7135</v>
      </c>
    </row>
    <row r="5574" spans="2:6">
      <c r="E5574" t="s">
        <v>7133</v>
      </c>
    </row>
    <row r="5575" spans="2:6">
      <c r="F5575" t="s">
        <v>7136</v>
      </c>
    </row>
    <row r="5576" spans="2:6">
      <c r="F5576" t="s">
        <v>7134</v>
      </c>
    </row>
    <row r="5577" spans="2:6">
      <c r="E5577" t="s">
        <v>7137</v>
      </c>
    </row>
    <row r="5578" spans="2:6">
      <c r="B5578" t="s">
        <v>5891</v>
      </c>
      <c r="C5578" t="s">
        <v>84</v>
      </c>
      <c r="E5578" t="s">
        <v>84</v>
      </c>
    </row>
    <row r="5579" spans="2:6">
      <c r="C5579" t="s">
        <v>7138</v>
      </c>
    </row>
    <row r="5580" spans="2:6">
      <c r="C5580" t="s">
        <v>7139</v>
      </c>
    </row>
    <row r="5581" spans="2:6">
      <c r="C5581" t="s">
        <v>7140</v>
      </c>
    </row>
    <row r="5582" spans="2:6">
      <c r="B5582" t="s">
        <v>2384</v>
      </c>
    </row>
    <row r="5583" spans="2:6">
      <c r="C5583" t="s">
        <v>7141</v>
      </c>
    </row>
    <row r="5584" spans="2:6">
      <c r="D5584" t="s">
        <v>7142</v>
      </c>
    </row>
    <row r="5585" spans="2:4">
      <c r="D5585" t="s">
        <v>7143</v>
      </c>
    </row>
    <row r="5586" spans="2:4">
      <c r="C5586" t="s">
        <v>7145</v>
      </c>
    </row>
    <row r="5587" spans="2:4">
      <c r="D5587" t="s">
        <v>7144</v>
      </c>
    </row>
    <row r="5588" spans="2:4">
      <c r="D5588" t="s">
        <v>7146</v>
      </c>
    </row>
    <row r="5589" spans="2:4">
      <c r="C5589" t="s">
        <v>7147</v>
      </c>
    </row>
    <row r="5590" spans="2:4">
      <c r="C5590" t="s">
        <v>7148</v>
      </c>
    </row>
    <row r="5591" spans="2:4">
      <c r="B5591" t="s">
        <v>7149</v>
      </c>
    </row>
    <row r="5592" spans="2:4">
      <c r="C5592" t="s">
        <v>7150</v>
      </c>
    </row>
    <row r="5593" spans="2:4">
      <c r="B5593" t="s">
        <v>16</v>
      </c>
    </row>
    <row r="5594" spans="2:4">
      <c r="C5594" t="s">
        <v>7151</v>
      </c>
    </row>
    <row r="5595" spans="2:4">
      <c r="D5595" t="s">
        <v>7152</v>
      </c>
    </row>
    <row r="5596" spans="2:4">
      <c r="D5596" t="s">
        <v>7153</v>
      </c>
    </row>
    <row r="5597" spans="2:4">
      <c r="D5597" t="s">
        <v>7154</v>
      </c>
    </row>
    <row r="5598" spans="2:4">
      <c r="C5598" t="s">
        <v>1983</v>
      </c>
      <c r="D5598" t="s">
        <v>7155</v>
      </c>
    </row>
    <row r="5599" spans="2:4">
      <c r="C5599" t="s">
        <v>7156</v>
      </c>
    </row>
    <row r="5600" spans="2:4">
      <c r="D5600" t="s">
        <v>7157</v>
      </c>
    </row>
    <row r="5601" spans="2:8">
      <c r="D5601" t="s">
        <v>7158</v>
      </c>
    </row>
    <row r="5602" spans="2:8">
      <c r="C5602" t="s">
        <v>7159</v>
      </c>
    </row>
    <row r="5603" spans="2:8">
      <c r="D5603" t="s">
        <v>7166</v>
      </c>
    </row>
    <row r="5604" spans="2:8">
      <c r="D5604" t="s">
        <v>7160</v>
      </c>
    </row>
    <row r="5605" spans="2:8">
      <c r="E5605" s="3" t="s">
        <v>4128</v>
      </c>
      <c r="F5605" s="3" t="s">
        <v>4555</v>
      </c>
      <c r="G5605" s="3" t="s">
        <v>4556</v>
      </c>
      <c r="H5605" s="3" t="s">
        <v>7043</v>
      </c>
    </row>
    <row r="5606" spans="2:8">
      <c r="E5606" s="9">
        <v>3.4000000000000002E-2</v>
      </c>
      <c r="F5606" s="9">
        <v>3.7999999999999999E-2</v>
      </c>
      <c r="G5606" s="3" t="s">
        <v>7162</v>
      </c>
      <c r="H5606" t="s">
        <v>3427</v>
      </c>
    </row>
    <row r="5607" spans="2:8">
      <c r="D5607" t="s">
        <v>7161</v>
      </c>
    </row>
    <row r="5608" spans="2:8">
      <c r="D5608" t="s">
        <v>7164</v>
      </c>
      <c r="G5608" t="s">
        <v>84</v>
      </c>
    </row>
    <row r="5609" spans="2:8">
      <c r="C5609" s="136">
        <v>2023</v>
      </c>
    </row>
    <row r="5610" spans="2:8">
      <c r="D5610" t="s">
        <v>7163</v>
      </c>
    </row>
    <row r="5611" spans="2:8">
      <c r="C5611" t="s">
        <v>7165</v>
      </c>
    </row>
    <row r="5612" spans="2:8">
      <c r="B5612" t="s">
        <v>2335</v>
      </c>
    </row>
    <row r="5613" spans="2:8">
      <c r="C5613" t="s">
        <v>7169</v>
      </c>
    </row>
    <row r="5614" spans="2:8">
      <c r="D5614" t="s">
        <v>7170</v>
      </c>
    </row>
    <row r="5615" spans="2:8">
      <c r="C5615" t="s">
        <v>7168</v>
      </c>
    </row>
    <row r="5616" spans="2:8">
      <c r="D5616" t="s">
        <v>7167</v>
      </c>
    </row>
    <row r="5617" spans="2:6">
      <c r="D5617" t="s">
        <v>7171</v>
      </c>
    </row>
    <row r="5618" spans="2:6">
      <c r="C5618" t="s">
        <v>7172</v>
      </c>
    </row>
    <row r="5619" spans="2:6">
      <c r="D5619" t="s">
        <v>7174</v>
      </c>
    </row>
    <row r="5620" spans="2:6">
      <c r="C5620" t="s">
        <v>2335</v>
      </c>
    </row>
    <row r="5621" spans="2:6">
      <c r="D5621" t="s">
        <v>7175</v>
      </c>
    </row>
    <row r="5622" spans="2:6">
      <c r="C5622" t="s">
        <v>7173</v>
      </c>
    </row>
    <row r="5623" spans="2:6">
      <c r="B5623" t="s">
        <v>7176</v>
      </c>
    </row>
    <row r="5624" spans="2:6">
      <c r="C5624" t="s">
        <v>7177</v>
      </c>
    </row>
    <row r="5625" spans="2:6">
      <c r="C5625" t="s">
        <v>7178</v>
      </c>
    </row>
    <row r="5626" spans="2:6">
      <c r="B5626" t="s">
        <v>3103</v>
      </c>
    </row>
    <row r="5627" spans="2:6">
      <c r="C5627" t="s">
        <v>7179</v>
      </c>
    </row>
    <row r="5628" spans="2:6">
      <c r="C5628" t="s">
        <v>7180</v>
      </c>
    </row>
    <row r="5629" spans="2:6">
      <c r="B5629" t="s">
        <v>87</v>
      </c>
    </row>
    <row r="5630" spans="2:6">
      <c r="C5630" t="s">
        <v>7181</v>
      </c>
    </row>
    <row r="5631" spans="2:6">
      <c r="C5631" t="s">
        <v>7182</v>
      </c>
    </row>
    <row r="5632" spans="2:6">
      <c r="C5632" t="s">
        <v>7183</v>
      </c>
      <c r="F5632" t="s">
        <v>84</v>
      </c>
    </row>
    <row r="5633" spans="2:5">
      <c r="C5633" t="s">
        <v>7184</v>
      </c>
    </row>
    <row r="5634" spans="2:5">
      <c r="C5634" t="s">
        <v>7185</v>
      </c>
      <c r="E5634" s="3" t="s">
        <v>7186</v>
      </c>
    </row>
    <row r="5635" spans="2:5">
      <c r="D5635" t="s">
        <v>4555</v>
      </c>
      <c r="E5635">
        <v>6</v>
      </c>
    </row>
    <row r="5636" spans="2:5">
      <c r="D5636" t="s">
        <v>4556</v>
      </c>
      <c r="E5636">
        <v>14</v>
      </c>
    </row>
    <row r="5637" spans="2:5">
      <c r="D5637" t="s">
        <v>3754</v>
      </c>
      <c r="E5637">
        <v>30</v>
      </c>
    </row>
    <row r="5638" spans="2:5">
      <c r="C5638" t="s">
        <v>7187</v>
      </c>
    </row>
    <row r="5639" spans="2:5">
      <c r="B5639" t="s">
        <v>44</v>
      </c>
    </row>
    <row r="5640" spans="2:5">
      <c r="C5640" t="s">
        <v>7188</v>
      </c>
    </row>
    <row r="5641" spans="2:5">
      <c r="C5641" t="s">
        <v>7189</v>
      </c>
    </row>
    <row r="5643" spans="2:5">
      <c r="B5643" s="121" t="s">
        <v>7191</v>
      </c>
    </row>
    <row r="5645" spans="2:5">
      <c r="B5645" s="42" t="s">
        <v>16</v>
      </c>
    </row>
    <row r="5646" spans="2:5">
      <c r="B5646" t="s">
        <v>7192</v>
      </c>
    </row>
    <row r="5647" spans="2:5">
      <c r="B5647" t="s">
        <v>7193</v>
      </c>
    </row>
    <row r="5648" spans="2:5">
      <c r="B5648" t="s">
        <v>7194</v>
      </c>
    </row>
    <row r="5649" spans="2:3">
      <c r="B5649" t="s">
        <v>7195</v>
      </c>
    </row>
    <row r="5652" spans="2:3">
      <c r="B5652" s="42" t="s">
        <v>6904</v>
      </c>
    </row>
    <row r="5653" spans="2:3">
      <c r="B5653" t="s">
        <v>7196</v>
      </c>
    </row>
    <row r="5654" spans="2:3">
      <c r="C5654" t="s">
        <v>7197</v>
      </c>
    </row>
    <row r="5656" spans="2:3">
      <c r="B5656" s="42" t="s">
        <v>2769</v>
      </c>
    </row>
    <row r="5657" spans="2:3">
      <c r="B5657" t="s">
        <v>7198</v>
      </c>
    </row>
    <row r="5658" spans="2:3">
      <c r="B5658" t="s">
        <v>7199</v>
      </c>
    </row>
    <row r="5659" spans="2:3">
      <c r="B5659" t="s">
        <v>7200</v>
      </c>
    </row>
    <row r="5660" spans="2:3">
      <c r="B5660" t="s">
        <v>7201</v>
      </c>
    </row>
    <row r="5661" spans="2:3">
      <c r="B5661" t="s">
        <v>6904</v>
      </c>
    </row>
    <row r="5662" spans="2:3">
      <c r="C5662" t="s">
        <v>7202</v>
      </c>
    </row>
    <row r="5663" spans="2:3">
      <c r="C5663" t="s">
        <v>7203</v>
      </c>
    </row>
    <row r="5664" spans="2:3">
      <c r="C5664" t="s">
        <v>7204</v>
      </c>
    </row>
    <row r="5665" spans="2:5">
      <c r="C5665" t="s">
        <v>7205</v>
      </c>
    </row>
    <row r="5666" spans="2:5">
      <c r="C5666" t="s">
        <v>7206</v>
      </c>
    </row>
    <row r="5667" spans="2:5">
      <c r="D5667" t="s">
        <v>7207</v>
      </c>
    </row>
    <row r="5668" spans="2:5">
      <c r="D5668" t="s">
        <v>7208</v>
      </c>
    </row>
    <row r="5669" spans="2:5">
      <c r="E5669" t="s">
        <v>7209</v>
      </c>
    </row>
    <row r="5670" spans="2:5">
      <c r="C5670" t="s">
        <v>7210</v>
      </c>
    </row>
    <row r="5671" spans="2:5">
      <c r="B5671" t="s">
        <v>7211</v>
      </c>
    </row>
    <row r="5673" spans="2:5">
      <c r="B5673" t="s">
        <v>7212</v>
      </c>
    </row>
    <row r="5675" spans="2:5">
      <c r="B5675" s="42" t="s">
        <v>16</v>
      </c>
    </row>
    <row r="5676" spans="2:5">
      <c r="C5676" t="s">
        <v>7213</v>
      </c>
    </row>
    <row r="5677" spans="2:5">
      <c r="C5677" t="s">
        <v>7214</v>
      </c>
    </row>
    <row r="5678" spans="2:5">
      <c r="C5678" t="s">
        <v>7215</v>
      </c>
    </row>
    <row r="5679" spans="2:5">
      <c r="C5679" t="s">
        <v>7216</v>
      </c>
    </row>
    <row r="5680" spans="2:5">
      <c r="C5680" t="s">
        <v>7217</v>
      </c>
    </row>
    <row r="5681" spans="2:5">
      <c r="D5681" t="s">
        <v>7218</v>
      </c>
    </row>
    <row r="5682" spans="2:5">
      <c r="C5682" t="s">
        <v>7219</v>
      </c>
    </row>
    <row r="5683" spans="2:5">
      <c r="D5683" t="s">
        <v>7220</v>
      </c>
    </row>
    <row r="5684" spans="2:5">
      <c r="C5684" t="s">
        <v>7221</v>
      </c>
    </row>
    <row r="5686" spans="2:5">
      <c r="C5686" s="9">
        <v>0.34100000000000003</v>
      </c>
      <c r="E5686" t="s">
        <v>84</v>
      </c>
    </row>
    <row r="5687" spans="2:5">
      <c r="C5687" s="9">
        <v>0.39500000000000002</v>
      </c>
      <c r="D5687">
        <f>C5687*Interims!BL13</f>
        <v>1969.7070000000003</v>
      </c>
    </row>
    <row r="5688" spans="2:5">
      <c r="C5688" t="s">
        <v>7256</v>
      </c>
    </row>
    <row r="5690" spans="2:5">
      <c r="B5690" s="42" t="s">
        <v>7257</v>
      </c>
    </row>
    <row r="5691" spans="2:5">
      <c r="C5691" t="s">
        <v>7258</v>
      </c>
    </row>
    <row r="5692" spans="2:5">
      <c r="C5692" t="s">
        <v>438</v>
      </c>
    </row>
    <row r="5693" spans="2:5">
      <c r="C5693" t="s">
        <v>7259</v>
      </c>
    </row>
    <row r="5694" spans="2:5">
      <c r="C5694" t="s">
        <v>7260</v>
      </c>
    </row>
    <row r="5695" spans="2:5">
      <c r="C5695" t="s">
        <v>7261</v>
      </c>
    </row>
    <row r="5696" spans="2:5">
      <c r="C5696" t="s">
        <v>7262</v>
      </c>
    </row>
    <row r="5697" spans="2:6">
      <c r="D5697">
        <f>0.034*(Interims!BE28+Interims!BF28+Interims!BG28)*4/3</f>
        <v>1380.4997333333333</v>
      </c>
    </row>
    <row r="5699" spans="2:6">
      <c r="D5699" s="4"/>
    </row>
    <row r="5700" spans="2:6">
      <c r="D5700" s="4">
        <f>D5697/20</f>
        <v>69.024986666666663</v>
      </c>
    </row>
    <row r="5701" spans="2:6">
      <c r="D5701" s="8"/>
    </row>
    <row r="5702" spans="2:6">
      <c r="C5702" t="s">
        <v>7263</v>
      </c>
      <c r="D5702" s="419"/>
    </row>
    <row r="5704" spans="2:6">
      <c r="B5704" s="121" t="s">
        <v>1259</v>
      </c>
    </row>
    <row r="5706" spans="2:6">
      <c r="B5706" t="s">
        <v>7227</v>
      </c>
    </row>
    <row r="5707" spans="2:6">
      <c r="C5707" t="s">
        <v>7228</v>
      </c>
    </row>
    <row r="5708" spans="2:6">
      <c r="C5708" t="s">
        <v>7229</v>
      </c>
    </row>
    <row r="5709" spans="2:6">
      <c r="C5709" t="s">
        <v>7230</v>
      </c>
    </row>
    <row r="5710" spans="2:6">
      <c r="B5710" t="s">
        <v>7231</v>
      </c>
    </row>
    <row r="5712" spans="2:6">
      <c r="B5712" t="s">
        <v>7232</v>
      </c>
      <c r="F5712">
        <f>0.15*2000000</f>
        <v>300000</v>
      </c>
    </row>
    <row r="5713" spans="2:4">
      <c r="B5713" t="s">
        <v>7233</v>
      </c>
      <c r="C5713" t="s">
        <v>7234</v>
      </c>
    </row>
    <row r="5715" spans="2:4">
      <c r="B5715" t="s">
        <v>5067</v>
      </c>
    </row>
    <row r="5716" spans="2:4">
      <c r="C5716" t="s">
        <v>7235</v>
      </c>
    </row>
    <row r="5717" spans="2:4">
      <c r="B5717" t="s">
        <v>7236</v>
      </c>
    </row>
    <row r="5718" spans="2:4">
      <c r="C5718" t="s">
        <v>7237</v>
      </c>
    </row>
    <row r="5719" spans="2:4">
      <c r="C5719" t="s">
        <v>7238</v>
      </c>
    </row>
    <row r="5720" spans="2:4">
      <c r="C5720" t="s">
        <v>7239</v>
      </c>
    </row>
    <row r="5721" spans="2:4">
      <c r="C5721" t="s">
        <v>7240</v>
      </c>
    </row>
    <row r="5722" spans="2:4">
      <c r="C5722" t="s">
        <v>7241</v>
      </c>
    </row>
    <row r="5723" spans="2:4">
      <c r="C5723" t="s">
        <v>7242</v>
      </c>
    </row>
    <row r="5724" spans="2:4">
      <c r="B5724" t="s">
        <v>7243</v>
      </c>
    </row>
    <row r="5725" spans="2:4">
      <c r="B5725" t="s">
        <v>7244</v>
      </c>
    </row>
    <row r="5727" spans="2:4">
      <c r="B5727" t="s">
        <v>7245</v>
      </c>
    </row>
    <row r="5728" spans="2:4">
      <c r="C5728" t="s">
        <v>87</v>
      </c>
      <c r="D5728" t="s">
        <v>7246</v>
      </c>
    </row>
    <row r="5729" spans="2:4">
      <c r="C5729" t="s">
        <v>16</v>
      </c>
    </row>
    <row r="5730" spans="2:4">
      <c r="B5730" t="s">
        <v>7247</v>
      </c>
    </row>
    <row r="5731" spans="2:4">
      <c r="C5731" t="s">
        <v>7248</v>
      </c>
    </row>
    <row r="5732" spans="2:4">
      <c r="C5732" t="s">
        <v>7249</v>
      </c>
    </row>
    <row r="5733" spans="2:4">
      <c r="D5733" t="s">
        <v>7250</v>
      </c>
    </row>
    <row r="5734" spans="2:4">
      <c r="C5734" t="s">
        <v>7251</v>
      </c>
    </row>
    <row r="5735" spans="2:4">
      <c r="B5735" t="s">
        <v>7059</v>
      </c>
    </row>
    <row r="5736" spans="2:4">
      <c r="C5736" t="s">
        <v>7252</v>
      </c>
    </row>
    <row r="5737" spans="2:4">
      <c r="B5737" t="s">
        <v>3593</v>
      </c>
    </row>
    <row r="5738" spans="2:4">
      <c r="C5738" t="s">
        <v>7253</v>
      </c>
    </row>
    <row r="5739" spans="2:4">
      <c r="C5739" t="s">
        <v>7254</v>
      </c>
    </row>
    <row r="5740" spans="2:4">
      <c r="C5740" t="s">
        <v>7255</v>
      </c>
    </row>
    <row r="5742" spans="2:4">
      <c r="B5742" s="121" t="s">
        <v>7280</v>
      </c>
    </row>
    <row r="5744" spans="2:4">
      <c r="B5744" t="s">
        <v>5891</v>
      </c>
    </row>
    <row r="5745" spans="2:3">
      <c r="C5745" t="s">
        <v>7281</v>
      </c>
    </row>
    <row r="5746" spans="2:3">
      <c r="C5746" t="s">
        <v>7283</v>
      </c>
    </row>
    <row r="5747" spans="2:3">
      <c r="C5747" t="s">
        <v>7282</v>
      </c>
    </row>
    <row r="5748" spans="2:3">
      <c r="C5748" t="s">
        <v>6523</v>
      </c>
    </row>
    <row r="5749" spans="2:3">
      <c r="B5749" t="s">
        <v>7285</v>
      </c>
    </row>
    <row r="5750" spans="2:3">
      <c r="C5750" t="s">
        <v>7286</v>
      </c>
    </row>
    <row r="5751" spans="2:3">
      <c r="C5751" t="s">
        <v>7287</v>
      </c>
    </row>
    <row r="5752" spans="2:3">
      <c r="C5752" t="s">
        <v>7288</v>
      </c>
    </row>
    <row r="5753" spans="2:3">
      <c r="B5753" t="s">
        <v>7289</v>
      </c>
    </row>
    <row r="5754" spans="2:3">
      <c r="C5754" t="s">
        <v>7290</v>
      </c>
    </row>
    <row r="5755" spans="2:3">
      <c r="C5755" t="s">
        <v>7291</v>
      </c>
    </row>
    <row r="5756" spans="2:3">
      <c r="C5756" t="s">
        <v>7292</v>
      </c>
    </row>
    <row r="5757" spans="2:3">
      <c r="B5757" t="s">
        <v>7293</v>
      </c>
    </row>
    <row r="5759" spans="2:3">
      <c r="B5759" t="s">
        <v>16</v>
      </c>
    </row>
    <row r="5760" spans="2:3">
      <c r="C5760" t="s">
        <v>7296</v>
      </c>
    </row>
    <row r="5761" spans="2:5">
      <c r="C5761" t="s">
        <v>7297</v>
      </c>
    </row>
    <row r="5762" spans="2:5">
      <c r="C5762" t="s">
        <v>7298</v>
      </c>
    </row>
    <row r="5763" spans="2:5">
      <c r="B5763" t="s">
        <v>7304</v>
      </c>
    </row>
    <row r="5764" spans="2:5">
      <c r="C5764" t="s">
        <v>7305</v>
      </c>
    </row>
    <row r="5765" spans="2:5">
      <c r="B5765" t="s">
        <v>16</v>
      </c>
    </row>
    <row r="5766" spans="2:5">
      <c r="C5766" t="s">
        <v>7306</v>
      </c>
    </row>
    <row r="5767" spans="2:5">
      <c r="C5767" t="s">
        <v>7308</v>
      </c>
    </row>
    <row r="5768" spans="2:5">
      <c r="C5768" t="s">
        <v>7307</v>
      </c>
    </row>
    <row r="5769" spans="2:5">
      <c r="C5769" t="s">
        <v>7309</v>
      </c>
    </row>
    <row r="5770" spans="2:5">
      <c r="D5770" t="s">
        <v>7310</v>
      </c>
      <c r="E5770" t="s">
        <v>7311</v>
      </c>
    </row>
    <row r="5771" spans="2:5">
      <c r="D5771" t="s">
        <v>7312</v>
      </c>
    </row>
    <row r="5772" spans="2:5">
      <c r="C5772" t="s">
        <v>7313</v>
      </c>
    </row>
    <row r="5773" spans="2:5">
      <c r="B5773" t="s">
        <v>87</v>
      </c>
    </row>
    <row r="5774" spans="2:5">
      <c r="C5774" t="s">
        <v>7314</v>
      </c>
    </row>
    <row r="5775" spans="2:5">
      <c r="C5775" t="s">
        <v>7315</v>
      </c>
    </row>
    <row r="5776" spans="2:5">
      <c r="C5776" t="s">
        <v>7316</v>
      </c>
    </row>
    <row r="5777" spans="2:8">
      <c r="B5777" s="42" t="s">
        <v>1259</v>
      </c>
    </row>
    <row r="5779" spans="2:8">
      <c r="B5779" t="s">
        <v>7294</v>
      </c>
    </row>
    <row r="5780" spans="2:8">
      <c r="C5780" t="s">
        <v>7295</v>
      </c>
    </row>
    <row r="5781" spans="2:8">
      <c r="C5781" t="s">
        <v>7299</v>
      </c>
    </row>
    <row r="5782" spans="2:8">
      <c r="D5782" t="s">
        <v>7300</v>
      </c>
    </row>
    <row r="5783" spans="2:8">
      <c r="C5783" t="s">
        <v>7284</v>
      </c>
    </row>
    <row r="5784" spans="2:8">
      <c r="B5784" t="s">
        <v>16</v>
      </c>
    </row>
    <row r="5785" spans="2:8">
      <c r="C5785" t="s">
        <v>7301</v>
      </c>
    </row>
    <row r="5786" spans="2:8">
      <c r="C5786" t="s">
        <v>7302</v>
      </c>
    </row>
    <row r="5787" spans="2:8">
      <c r="C5787" t="s">
        <v>7303</v>
      </c>
    </row>
    <row r="5788" spans="2:8">
      <c r="B5788" t="s">
        <v>201</v>
      </c>
    </row>
    <row r="5790" spans="2:8">
      <c r="B5790" t="s">
        <v>7317</v>
      </c>
    </row>
    <row r="5791" spans="2:8">
      <c r="C5791" t="s">
        <v>7318</v>
      </c>
    </row>
    <row r="5792" spans="2:8">
      <c r="C5792" t="s">
        <v>7319</v>
      </c>
      <c r="H5792">
        <f>55/18</f>
        <v>3.0555555555555554</v>
      </c>
    </row>
    <row r="5793" spans="2:4">
      <c r="C5793" t="s">
        <v>7320</v>
      </c>
    </row>
    <row r="5795" spans="2:4">
      <c r="C5795" t="s">
        <v>7321</v>
      </c>
    </row>
    <row r="5796" spans="2:4">
      <c r="D5796" t="s">
        <v>7323</v>
      </c>
    </row>
    <row r="5797" spans="2:4">
      <c r="D5797" t="s">
        <v>7324</v>
      </c>
    </row>
    <row r="5798" spans="2:4">
      <c r="C5798" t="s">
        <v>7322</v>
      </c>
    </row>
    <row r="5800" spans="2:4">
      <c r="B5800" s="42" t="s">
        <v>2335</v>
      </c>
    </row>
    <row r="5801" spans="2:4">
      <c r="B5801" s="42"/>
    </row>
    <row r="5802" spans="2:4">
      <c r="B5802" t="s">
        <v>16</v>
      </c>
    </row>
    <row r="5803" spans="2:4">
      <c r="C5803" t="s">
        <v>7327</v>
      </c>
    </row>
    <row r="5804" spans="2:4">
      <c r="C5804" t="s">
        <v>7328</v>
      </c>
    </row>
    <row r="5805" spans="2:4">
      <c r="C5805" t="s">
        <v>7329</v>
      </c>
    </row>
    <row r="5806" spans="2:4">
      <c r="C5806" t="s">
        <v>7330</v>
      </c>
    </row>
    <row r="5807" spans="2:4">
      <c r="B5807" t="s">
        <v>7325</v>
      </c>
    </row>
    <row r="5808" spans="2:4">
      <c r="C5808" t="s">
        <v>7326</v>
      </c>
    </row>
    <row r="5809" spans="2:2">
      <c r="B5809" t="s">
        <v>7331</v>
      </c>
    </row>
    <row r="5810" spans="2:2">
      <c r="B5810" t="s">
        <v>7332</v>
      </c>
    </row>
    <row r="5812" spans="2:2">
      <c r="B5812" s="121" t="s">
        <v>7359</v>
      </c>
    </row>
    <row r="5814" spans="2:2">
      <c r="B5814" s="762" t="s">
        <v>7335</v>
      </c>
    </row>
    <row r="5815" spans="2:2">
      <c r="B5815" s="762" t="s">
        <v>7336</v>
      </c>
    </row>
    <row r="5816" spans="2:2">
      <c r="B5816" s="762" t="s">
        <v>7337</v>
      </c>
    </row>
    <row r="5817" spans="2:2">
      <c r="B5817" s="762" t="s">
        <v>7338</v>
      </c>
    </row>
    <row r="5818" spans="2:2">
      <c r="B5818" s="762" t="s">
        <v>7339</v>
      </c>
    </row>
    <row r="5819" spans="2:2">
      <c r="B5819" s="762" t="s">
        <v>7340</v>
      </c>
    </row>
    <row r="5820" spans="2:2">
      <c r="B5820" s="762" t="s">
        <v>7341</v>
      </c>
    </row>
    <row r="5821" spans="2:2">
      <c r="B5821" s="762" t="s">
        <v>7342</v>
      </c>
    </row>
    <row r="5822" spans="2:2">
      <c r="B5822" s="762" t="s">
        <v>7343</v>
      </c>
    </row>
    <row r="5823" spans="2:2">
      <c r="B5823" s="762" t="s">
        <v>7344</v>
      </c>
    </row>
    <row r="5824" spans="2:2">
      <c r="B5824" s="762" t="s">
        <v>7345</v>
      </c>
    </row>
    <row r="5825" spans="2:2">
      <c r="B5825" s="762" t="s">
        <v>7346</v>
      </c>
    </row>
    <row r="5826" spans="2:2">
      <c r="B5826" s="762" t="s">
        <v>7347</v>
      </c>
    </row>
    <row r="5827" spans="2:2">
      <c r="B5827" s="762" t="s">
        <v>7348</v>
      </c>
    </row>
    <row r="5828" spans="2:2">
      <c r="B5828" s="762" t="s">
        <v>7349</v>
      </c>
    </row>
    <row r="5829" spans="2:2">
      <c r="B5829" s="762" t="s">
        <v>7350</v>
      </c>
    </row>
    <row r="5830" spans="2:2">
      <c r="B5830" s="762" t="s">
        <v>7351</v>
      </c>
    </row>
    <row r="5831" spans="2:2">
      <c r="B5831" s="762" t="s">
        <v>7352</v>
      </c>
    </row>
    <row r="5832" spans="2:2">
      <c r="B5832" s="762" t="s">
        <v>7353</v>
      </c>
    </row>
    <row r="5833" spans="2:2">
      <c r="B5833" s="762" t="s">
        <v>7354</v>
      </c>
    </row>
    <row r="5834" spans="2:2">
      <c r="B5834" s="762" t="s">
        <v>7355</v>
      </c>
    </row>
    <row r="5835" spans="2:2">
      <c r="B5835" s="762" t="s">
        <v>7356</v>
      </c>
    </row>
    <row r="5836" spans="2:2">
      <c r="B5836" s="762" t="s">
        <v>7357</v>
      </c>
    </row>
    <row r="5837" spans="2:2">
      <c r="B5837" s="762" t="s">
        <v>7358</v>
      </c>
    </row>
    <row r="5839" spans="2:2">
      <c r="B5839" s="802" t="s">
        <v>7457</v>
      </c>
    </row>
    <row r="5840" spans="2:2">
      <c r="B5840" s="802"/>
    </row>
    <row r="5841" spans="2:5">
      <c r="B5841" s="803" t="s">
        <v>7377</v>
      </c>
    </row>
    <row r="5842" spans="2:5">
      <c r="B5842" s="762" t="s">
        <v>7367</v>
      </c>
    </row>
    <row r="5843" spans="2:5">
      <c r="B5843" s="762" t="s">
        <v>7368</v>
      </c>
    </row>
    <row r="5844" spans="2:5">
      <c r="B5844" s="762" t="s">
        <v>7369</v>
      </c>
    </row>
    <row r="5845" spans="2:5">
      <c r="B5845" s="762"/>
      <c r="C5845" s="762" t="s">
        <v>7371</v>
      </c>
      <c r="D5845" s="762"/>
    </row>
    <row r="5846" spans="2:5">
      <c r="B5846" s="762"/>
      <c r="C5846" s="762" t="s">
        <v>7370</v>
      </c>
      <c r="D5846" s="762"/>
    </row>
    <row r="5847" spans="2:5">
      <c r="B5847" s="762" t="s">
        <v>7372</v>
      </c>
      <c r="C5847" s="762"/>
      <c r="D5847" s="762"/>
    </row>
    <row r="5848" spans="2:5">
      <c r="B5848" s="762" t="s">
        <v>7373</v>
      </c>
      <c r="C5848" s="762"/>
      <c r="D5848" s="762"/>
    </row>
    <row r="5849" spans="2:5">
      <c r="B5849" s="762"/>
      <c r="C5849" s="762" t="s">
        <v>7374</v>
      </c>
      <c r="D5849" s="762"/>
    </row>
    <row r="5850" spans="2:5">
      <c r="B5850" s="804" t="s">
        <v>7375</v>
      </c>
      <c r="C5850" s="762"/>
      <c r="D5850" s="762"/>
    </row>
    <row r="5851" spans="2:5">
      <c r="B5851" s="762"/>
      <c r="C5851" s="762" t="s">
        <v>7376</v>
      </c>
      <c r="D5851" s="762"/>
    </row>
    <row r="5852" spans="2:5">
      <c r="B5852" s="762" t="s">
        <v>7378</v>
      </c>
      <c r="C5852" s="762"/>
      <c r="D5852" s="762"/>
    </row>
    <row r="5853" spans="2:5">
      <c r="B5853" s="762" t="s">
        <v>7379</v>
      </c>
      <c r="C5853" s="762"/>
      <c r="D5853" s="762"/>
      <c r="E5853" s="685"/>
    </row>
    <row r="5854" spans="2:5">
      <c r="B5854" s="762" t="s">
        <v>7380</v>
      </c>
      <c r="C5854" s="762"/>
      <c r="D5854" s="762"/>
      <c r="E5854" s="685"/>
    </row>
    <row r="5855" spans="2:5">
      <c r="B5855" s="803" t="s">
        <v>7381</v>
      </c>
      <c r="C5855" s="762"/>
      <c r="D5855" s="762"/>
      <c r="E5855" s="685"/>
    </row>
    <row r="5856" spans="2:5">
      <c r="B5856" s="762" t="s">
        <v>7382</v>
      </c>
      <c r="C5856" s="762"/>
      <c r="D5856" s="762"/>
      <c r="E5856" s="685"/>
    </row>
    <row r="5857" spans="2:5">
      <c r="B5857" s="762" t="s">
        <v>7383</v>
      </c>
      <c r="C5857" s="685"/>
      <c r="D5857" s="685"/>
      <c r="E5857" s="685"/>
    </row>
    <row r="5858" spans="2:5">
      <c r="B5858" s="685"/>
      <c r="C5858" s="685"/>
      <c r="D5858" s="685"/>
      <c r="E5858" s="685"/>
    </row>
    <row r="5859" spans="2:5">
      <c r="B5859" s="803" t="s">
        <v>4555</v>
      </c>
      <c r="C5859" s="685"/>
      <c r="D5859" s="685"/>
      <c r="E5859" s="685"/>
    </row>
    <row r="5860" spans="2:5">
      <c r="B5860" s="762" t="s">
        <v>7384</v>
      </c>
      <c r="C5860" s="685"/>
      <c r="D5860" s="685"/>
      <c r="E5860" s="685"/>
    </row>
    <row r="5861" spans="2:5">
      <c r="B5861" s="762" t="s">
        <v>7385</v>
      </c>
      <c r="C5861" s="685"/>
      <c r="D5861" s="685"/>
      <c r="E5861" s="685"/>
    </row>
    <row r="5862" spans="2:5">
      <c r="B5862" s="685"/>
      <c r="C5862" s="685"/>
      <c r="D5862" s="685"/>
      <c r="E5862" s="685"/>
    </row>
    <row r="5863" spans="2:5">
      <c r="B5863" s="805" t="s">
        <v>5711</v>
      </c>
      <c r="C5863" s="685"/>
      <c r="D5863" s="685"/>
      <c r="E5863" s="685"/>
    </row>
    <row r="5864" spans="2:5">
      <c r="B5864" s="685" t="s">
        <v>7386</v>
      </c>
      <c r="C5864" s="685" t="s">
        <v>7387</v>
      </c>
      <c r="D5864" s="685"/>
      <c r="E5864" s="685"/>
    </row>
    <row r="5865" spans="2:5">
      <c r="B5865" s="685" t="s">
        <v>7388</v>
      </c>
      <c r="C5865" s="685"/>
      <c r="D5865" s="685"/>
      <c r="E5865" s="685"/>
    </row>
    <row r="5866" spans="2:5">
      <c r="B5866" s="685" t="s">
        <v>7389</v>
      </c>
      <c r="C5866" s="685"/>
      <c r="D5866" s="685"/>
      <c r="E5866" s="685"/>
    </row>
    <row r="5867" spans="2:5">
      <c r="B5867" s="685" t="s">
        <v>7390</v>
      </c>
      <c r="C5867" s="685"/>
      <c r="D5867" s="685"/>
      <c r="E5867" s="685"/>
    </row>
    <row r="5868" spans="2:5">
      <c r="B5868" s="685"/>
      <c r="C5868" s="685"/>
      <c r="D5868" s="685"/>
      <c r="E5868" s="685"/>
    </row>
    <row r="5869" spans="2:5">
      <c r="B5869" s="805" t="s">
        <v>2335</v>
      </c>
      <c r="C5869" s="685"/>
      <c r="D5869" s="685"/>
      <c r="E5869" s="685"/>
    </row>
    <row r="5870" spans="2:5">
      <c r="B5870" s="685" t="s">
        <v>7391</v>
      </c>
      <c r="C5870" s="685"/>
      <c r="D5870" s="685"/>
      <c r="E5870" s="685"/>
    </row>
    <row r="5871" spans="2:5">
      <c r="B5871" s="685"/>
      <c r="C5871" s="685"/>
      <c r="D5871" s="685"/>
      <c r="E5871" s="685"/>
    </row>
    <row r="5872" spans="2:5">
      <c r="B5872" s="806" t="s">
        <v>4555</v>
      </c>
      <c r="C5872" s="685"/>
      <c r="D5872" s="685"/>
      <c r="E5872" s="685"/>
    </row>
    <row r="5873" spans="2:5">
      <c r="B5873" s="805" t="s">
        <v>16</v>
      </c>
      <c r="C5873" s="685"/>
      <c r="D5873" s="685"/>
      <c r="E5873" s="685"/>
    </row>
    <row r="5874" spans="2:5">
      <c r="B5874" s="685" t="s">
        <v>7392</v>
      </c>
      <c r="C5874" s="685"/>
      <c r="D5874" s="685"/>
      <c r="E5874" s="685"/>
    </row>
    <row r="5875" spans="2:5">
      <c r="B5875" s="685"/>
      <c r="C5875" s="685" t="s">
        <v>7393</v>
      </c>
      <c r="D5875" s="685"/>
      <c r="E5875" s="685"/>
    </row>
    <row r="5876" spans="2:5">
      <c r="B5876" s="685"/>
      <c r="C5876" s="685" t="s">
        <v>7394</v>
      </c>
      <c r="D5876" s="685"/>
      <c r="E5876" s="685"/>
    </row>
    <row r="5877" spans="2:5">
      <c r="B5877" s="685"/>
      <c r="C5877" s="685" t="s">
        <v>7395</v>
      </c>
      <c r="D5877" s="685"/>
      <c r="E5877" s="685"/>
    </row>
    <row r="5878" spans="2:5">
      <c r="B5878" s="685" t="s">
        <v>7396</v>
      </c>
      <c r="C5878" s="685"/>
      <c r="D5878" s="685"/>
      <c r="E5878" s="685"/>
    </row>
    <row r="5879" spans="2:5">
      <c r="B5879" s="685" t="s">
        <v>7397</v>
      </c>
      <c r="C5879" s="685"/>
      <c r="D5879" s="685"/>
      <c r="E5879" s="685"/>
    </row>
    <row r="5880" spans="2:5">
      <c r="B5880" s="685"/>
      <c r="C5880" s="685" t="s">
        <v>7398</v>
      </c>
      <c r="D5880" s="685"/>
      <c r="E5880" s="685"/>
    </row>
    <row r="5881" spans="2:5">
      <c r="B5881" s="685" t="s">
        <v>7399</v>
      </c>
      <c r="C5881" s="685"/>
      <c r="D5881" s="685"/>
      <c r="E5881" s="685"/>
    </row>
    <row r="5882" spans="2:5">
      <c r="B5882" s="685"/>
      <c r="C5882" s="685"/>
      <c r="D5882" s="685"/>
      <c r="E5882" s="685"/>
    </row>
    <row r="5883" spans="2:5">
      <c r="B5883" s="685" t="s">
        <v>7400</v>
      </c>
      <c r="C5883" s="685"/>
      <c r="D5883" s="685"/>
      <c r="E5883" s="685"/>
    </row>
    <row r="5884" spans="2:5">
      <c r="B5884" s="685"/>
      <c r="C5884" s="685" t="s">
        <v>7401</v>
      </c>
      <c r="D5884" s="685"/>
      <c r="E5884" s="685"/>
    </row>
    <row r="5885" spans="2:5">
      <c r="B5885" s="685"/>
      <c r="C5885" s="685" t="s">
        <v>7402</v>
      </c>
      <c r="D5885" s="685"/>
      <c r="E5885" s="685"/>
    </row>
    <row r="5886" spans="2:5">
      <c r="B5886" s="685"/>
      <c r="C5886" s="685" t="s">
        <v>7403</v>
      </c>
      <c r="D5886" s="685"/>
      <c r="E5886" s="685"/>
    </row>
    <row r="5887" spans="2:5">
      <c r="B5887" s="805" t="s">
        <v>87</v>
      </c>
      <c r="C5887" s="685"/>
      <c r="D5887" s="685"/>
      <c r="E5887" s="685"/>
    </row>
    <row r="5888" spans="2:5">
      <c r="B5888" s="685" t="s">
        <v>7404</v>
      </c>
      <c r="C5888" s="685"/>
      <c r="D5888" s="685"/>
      <c r="E5888" s="685"/>
    </row>
    <row r="5889" spans="2:5">
      <c r="B5889" s="685"/>
      <c r="C5889" s="685" t="s">
        <v>7405</v>
      </c>
      <c r="D5889" s="685"/>
      <c r="E5889" s="685"/>
    </row>
    <row r="5890" spans="2:5">
      <c r="B5890" s="685"/>
      <c r="C5890" s="685" t="s">
        <v>7406</v>
      </c>
      <c r="D5890" s="685"/>
      <c r="E5890" s="685"/>
    </row>
    <row r="5891" spans="2:5">
      <c r="C5891" s="685" t="s">
        <v>7407</v>
      </c>
    </row>
    <row r="5892" spans="2:5">
      <c r="B5892" s="685" t="s">
        <v>7408</v>
      </c>
    </row>
    <row r="5893" spans="2:5">
      <c r="B5893" s="685" t="s">
        <v>7409</v>
      </c>
    </row>
    <row r="5894" spans="2:5">
      <c r="B5894" s="685" t="s">
        <v>7410</v>
      </c>
    </row>
    <row r="5895" spans="2:5">
      <c r="C5895" s="685" t="s">
        <v>7411</v>
      </c>
    </row>
    <row r="5896" spans="2:5">
      <c r="D5896" s="685" t="s">
        <v>7412</v>
      </c>
    </row>
    <row r="5897" spans="2:5">
      <c r="C5897" s="685" t="s">
        <v>7413</v>
      </c>
    </row>
    <row r="5898" spans="2:5">
      <c r="B5898" s="685" t="s">
        <v>7414</v>
      </c>
    </row>
    <row r="5899" spans="2:5">
      <c r="B5899" s="685" t="s">
        <v>7415</v>
      </c>
    </row>
    <row r="5901" spans="2:5">
      <c r="B5901" s="805" t="s">
        <v>44</v>
      </c>
    </row>
    <row r="5902" spans="2:5">
      <c r="B5902" s="685" t="s">
        <v>7416</v>
      </c>
    </row>
    <row r="5904" spans="2:5">
      <c r="B5904" s="805" t="s">
        <v>5861</v>
      </c>
    </row>
    <row r="5905" spans="2:7">
      <c r="B5905" s="685" t="s">
        <v>7417</v>
      </c>
    </row>
    <row r="5906" spans="2:7">
      <c r="B5906" s="685"/>
      <c r="C5906" s="685" t="s">
        <v>7426</v>
      </c>
    </row>
    <row r="5907" spans="2:7">
      <c r="B5907" s="685"/>
      <c r="C5907" s="685"/>
      <c r="D5907" s="685" t="s">
        <v>7427</v>
      </c>
    </row>
    <row r="5908" spans="2:7">
      <c r="C5908" s="685" t="s">
        <v>7420</v>
      </c>
    </row>
    <row r="5909" spans="2:7">
      <c r="D5909" s="685" t="s">
        <v>7418</v>
      </c>
    </row>
    <row r="5910" spans="2:7">
      <c r="D5910" s="685" t="s">
        <v>7419</v>
      </c>
    </row>
    <row r="5911" spans="2:7">
      <c r="C5911" s="685" t="s">
        <v>148</v>
      </c>
    </row>
    <row r="5912" spans="2:7">
      <c r="D5912" s="685" t="s">
        <v>7421</v>
      </c>
    </row>
    <row r="5913" spans="2:7">
      <c r="C5913" s="685" t="s">
        <v>7428</v>
      </c>
      <c r="D5913" s="685"/>
    </row>
    <row r="5914" spans="2:7">
      <c r="C5914" s="685" t="s">
        <v>7429</v>
      </c>
      <c r="D5914" s="685"/>
    </row>
    <row r="5915" spans="2:7">
      <c r="C5915" s="685" t="s">
        <v>7430</v>
      </c>
      <c r="D5915" s="685"/>
    </row>
    <row r="5916" spans="2:7">
      <c r="B5916" s="685" t="s">
        <v>2238</v>
      </c>
      <c r="C5916" s="685"/>
      <c r="D5916" s="685"/>
      <c r="E5916" s="685"/>
      <c r="F5916" s="685"/>
      <c r="G5916" s="685"/>
    </row>
    <row r="5917" spans="2:7">
      <c r="B5917" s="685"/>
      <c r="C5917" s="685" t="s">
        <v>7422</v>
      </c>
      <c r="D5917" s="685"/>
      <c r="E5917" s="685"/>
      <c r="F5917" s="685"/>
      <c r="G5917" s="685"/>
    </row>
    <row r="5918" spans="2:7">
      <c r="B5918" s="685"/>
      <c r="C5918" s="685" t="s">
        <v>7423</v>
      </c>
      <c r="D5918" s="685"/>
      <c r="E5918" s="685"/>
      <c r="F5918" s="685"/>
      <c r="G5918" s="685"/>
    </row>
    <row r="5919" spans="2:7">
      <c r="B5919" s="685"/>
      <c r="C5919" s="685" t="s">
        <v>7431</v>
      </c>
      <c r="D5919" s="685"/>
      <c r="E5919" s="685"/>
      <c r="F5919" s="685"/>
      <c r="G5919" s="685"/>
    </row>
    <row r="5920" spans="2:7">
      <c r="B5920" s="685"/>
      <c r="C5920" s="685" t="s">
        <v>7432</v>
      </c>
      <c r="D5920" s="685"/>
      <c r="E5920" s="685"/>
      <c r="F5920" s="685"/>
      <c r="G5920" s="685"/>
    </row>
    <row r="5921" spans="2:9">
      <c r="B5921" s="685"/>
      <c r="C5921" s="685" t="s">
        <v>7433</v>
      </c>
      <c r="D5921" s="685"/>
      <c r="E5921" s="685"/>
      <c r="F5921" s="685"/>
      <c r="G5921" s="685"/>
    </row>
    <row r="5922" spans="2:9">
      <c r="B5922" s="805" t="s">
        <v>7425</v>
      </c>
      <c r="C5922" s="685"/>
      <c r="D5922" s="685"/>
      <c r="E5922" s="685"/>
      <c r="F5922" s="685"/>
      <c r="G5922" s="685"/>
    </row>
    <row r="5923" spans="2:9">
      <c r="B5923" s="685" t="s">
        <v>7424</v>
      </c>
      <c r="C5923" s="685"/>
      <c r="D5923" s="685"/>
      <c r="E5923" s="685"/>
      <c r="F5923" s="685"/>
      <c r="G5923" s="685"/>
    </row>
    <row r="5924" spans="2:9">
      <c r="B5924" s="685" t="s">
        <v>7434</v>
      </c>
      <c r="C5924" s="685"/>
      <c r="D5924" s="685"/>
      <c r="E5924" s="685"/>
      <c r="F5924" s="685"/>
      <c r="G5924" s="685"/>
    </row>
    <row r="5925" spans="2:9">
      <c r="B5925" s="685"/>
      <c r="C5925" s="685" t="s">
        <v>7435</v>
      </c>
      <c r="D5925" s="685"/>
      <c r="E5925" s="685"/>
      <c r="F5925" s="685"/>
      <c r="G5925" s="685"/>
    </row>
    <row r="5926" spans="2:9">
      <c r="B5926" s="805" t="s">
        <v>5891</v>
      </c>
      <c r="C5926" s="685"/>
      <c r="D5926" s="685"/>
      <c r="E5926" s="685"/>
      <c r="F5926" s="685"/>
      <c r="G5926" s="685"/>
    </row>
    <row r="5927" spans="2:9">
      <c r="B5927" s="685"/>
      <c r="C5927" s="685" t="s">
        <v>7446</v>
      </c>
      <c r="D5927" s="685"/>
      <c r="E5927" s="685"/>
      <c r="F5927" s="685"/>
      <c r="G5927" s="685"/>
    </row>
    <row r="5928" spans="2:9">
      <c r="B5928" s="685"/>
      <c r="C5928" s="685"/>
      <c r="D5928" s="685">
        <f>500/12</f>
        <v>41.666666666666664</v>
      </c>
      <c r="E5928" s="685"/>
      <c r="F5928" s="685"/>
      <c r="G5928" s="685"/>
    </row>
    <row r="5929" spans="2:9">
      <c r="B5929" s="685"/>
      <c r="C5929" s="685" t="s">
        <v>7436</v>
      </c>
      <c r="D5929" s="685"/>
      <c r="E5929" s="685"/>
      <c r="F5929" s="685"/>
      <c r="G5929" s="685"/>
    </row>
    <row r="5930" spans="2:9">
      <c r="B5930" s="685"/>
      <c r="C5930" s="685"/>
      <c r="D5930" s="685" t="s">
        <v>7447</v>
      </c>
      <c r="E5930" s="685"/>
      <c r="F5930" s="685"/>
      <c r="G5930" s="685"/>
    </row>
    <row r="5931" spans="2:9">
      <c r="B5931" s="685"/>
      <c r="C5931" s="685"/>
      <c r="D5931" s="685" t="s">
        <v>7437</v>
      </c>
      <c r="E5931" s="685"/>
      <c r="F5931" s="685"/>
      <c r="G5931" s="685"/>
    </row>
    <row r="5932" spans="2:9">
      <c r="B5932" s="685"/>
      <c r="C5932" s="685" t="s">
        <v>7438</v>
      </c>
      <c r="D5932" s="685"/>
      <c r="E5932" s="685"/>
      <c r="F5932" s="685"/>
      <c r="G5932" s="685"/>
    </row>
    <row r="5933" spans="2:9">
      <c r="B5933" s="685"/>
      <c r="C5933" s="685"/>
      <c r="D5933" s="685"/>
      <c r="E5933" s="685"/>
      <c r="F5933" s="805" t="s">
        <v>4872</v>
      </c>
      <c r="G5933" s="685"/>
    </row>
    <row r="5934" spans="2:9">
      <c r="B5934" s="685"/>
      <c r="C5934" s="685"/>
      <c r="D5934" s="685" t="s">
        <v>7439</v>
      </c>
      <c r="E5934" s="685"/>
      <c r="F5934" s="685">
        <f>250</f>
        <v>250</v>
      </c>
      <c r="G5934" s="685"/>
    </row>
    <row r="5935" spans="2:9">
      <c r="B5935" s="685"/>
      <c r="C5935" s="685"/>
      <c r="D5935" s="685"/>
      <c r="E5935" s="685"/>
      <c r="F5935" s="685">
        <v>6.99</v>
      </c>
      <c r="G5935" s="685"/>
    </row>
    <row r="5936" spans="2:9">
      <c r="B5936" s="685"/>
      <c r="C5936" s="685"/>
      <c r="D5936" s="685"/>
      <c r="E5936" s="685"/>
      <c r="F5936" s="685">
        <v>189</v>
      </c>
      <c r="G5936" s="685">
        <f>F5936/18</f>
        <v>10.5</v>
      </c>
      <c r="H5936" s="808">
        <f>F5934/(8.5*12)</f>
        <v>2.4509803921568629</v>
      </c>
      <c r="I5936" s="685" t="s">
        <v>7449</v>
      </c>
    </row>
    <row r="5937" spans="2:8">
      <c r="B5937" s="685"/>
      <c r="C5937" s="685" t="s">
        <v>7443</v>
      </c>
      <c r="D5937" s="685"/>
      <c r="E5937" s="685"/>
      <c r="F5937" s="685"/>
      <c r="G5937" s="685"/>
      <c r="H5937" s="685" t="s">
        <v>7448</v>
      </c>
    </row>
    <row r="5938" spans="2:8">
      <c r="B5938" s="685"/>
      <c r="C5938" s="685"/>
      <c r="D5938" s="685" t="s">
        <v>7440</v>
      </c>
      <c r="E5938" s="685"/>
      <c r="F5938" s="685"/>
      <c r="G5938" s="685"/>
    </row>
    <row r="5939" spans="2:8">
      <c r="B5939" s="685"/>
      <c r="C5939" s="685"/>
      <c r="D5939" s="685" t="s">
        <v>7441</v>
      </c>
      <c r="E5939" s="685"/>
      <c r="F5939" s="685"/>
      <c r="G5939" s="685"/>
    </row>
    <row r="5940" spans="2:8">
      <c r="B5940" s="685"/>
      <c r="C5940" s="685" t="s">
        <v>7442</v>
      </c>
      <c r="D5940" s="685"/>
      <c r="E5940" s="685"/>
      <c r="F5940" s="685"/>
      <c r="G5940" s="685"/>
    </row>
    <row r="5941" spans="2:8">
      <c r="B5941" s="685"/>
      <c r="C5941" s="685"/>
      <c r="D5941" s="807">
        <f>30/125</f>
        <v>0.24</v>
      </c>
      <c r="E5941" s="685"/>
      <c r="F5941" s="685"/>
      <c r="G5941" s="685"/>
    </row>
    <row r="5942" spans="2:8">
      <c r="C5942" s="685" t="s">
        <v>7444</v>
      </c>
      <c r="D5942" s="685"/>
    </row>
    <row r="5943" spans="2:8">
      <c r="C5943" s="685" t="s">
        <v>7445</v>
      </c>
      <c r="D5943" s="685"/>
    </row>
    <row r="5945" spans="2:8">
      <c r="C5945" s="685" t="s">
        <v>7450</v>
      </c>
    </row>
    <row r="5946" spans="2:8">
      <c r="C5946" s="685" t="s">
        <v>7451</v>
      </c>
    </row>
    <row r="5947" spans="2:8">
      <c r="C5947" s="685" t="s">
        <v>7452</v>
      </c>
    </row>
    <row r="5948" spans="2:8">
      <c r="B5948" s="685" t="s">
        <v>7453</v>
      </c>
    </row>
    <row r="5949" spans="2:8">
      <c r="C5949" s="685" t="s">
        <v>7454</v>
      </c>
    </row>
    <row r="5950" spans="2:8">
      <c r="B5950" s="685" t="s">
        <v>7455</v>
      </c>
    </row>
    <row r="5951" spans="2:8">
      <c r="B5951" s="685" t="s">
        <v>7456</v>
      </c>
    </row>
    <row r="5957" spans="2:2">
      <c r="B5957" s="121" t="s">
        <v>7481</v>
      </c>
    </row>
    <row r="5983" spans="2:3">
      <c r="B5983" s="121" t="s">
        <v>7521</v>
      </c>
    </row>
    <row r="5984" spans="2:3">
      <c r="B5984" t="s">
        <v>201</v>
      </c>
      <c r="C5984" t="s">
        <v>7498</v>
      </c>
    </row>
    <row r="5985" spans="2:4">
      <c r="C5985" t="s">
        <v>7495</v>
      </c>
    </row>
    <row r="5986" spans="2:4">
      <c r="D5986" t="s">
        <v>7496</v>
      </c>
    </row>
    <row r="5987" spans="2:4">
      <c r="D5987" t="s">
        <v>7497</v>
      </c>
    </row>
    <row r="5988" spans="2:4">
      <c r="C5988" t="s">
        <v>7509</v>
      </c>
    </row>
    <row r="5989" spans="2:4">
      <c r="B5989" t="s">
        <v>7499</v>
      </c>
    </row>
    <row r="5991" spans="2:4">
      <c r="B5991" t="s">
        <v>7500</v>
      </c>
    </row>
    <row r="5993" spans="2:4">
      <c r="B5993" t="s">
        <v>7501</v>
      </c>
    </row>
    <row r="5994" spans="2:4">
      <c r="C5994" t="s">
        <v>7502</v>
      </c>
    </row>
    <row r="5995" spans="2:4">
      <c r="C5995" t="s">
        <v>7503</v>
      </c>
    </row>
    <row r="5996" spans="2:4">
      <c r="B5996" t="s">
        <v>7504</v>
      </c>
    </row>
    <row r="5997" spans="2:4">
      <c r="C5997" t="s">
        <v>7505</v>
      </c>
    </row>
    <row r="5998" spans="2:4">
      <c r="C5998" t="s">
        <v>7506</v>
      </c>
    </row>
    <row r="5999" spans="2:4">
      <c r="C5999" t="s">
        <v>7526</v>
      </c>
    </row>
    <row r="6000" spans="2:4">
      <c r="B6000" t="s">
        <v>7513</v>
      </c>
    </row>
    <row r="6001" spans="2:3">
      <c r="C6001" t="s">
        <v>7507</v>
      </c>
    </row>
    <row r="6002" spans="2:3">
      <c r="C6002" t="s">
        <v>7508</v>
      </c>
    </row>
    <row r="6003" spans="2:3">
      <c r="C6003" t="s">
        <v>7514</v>
      </c>
    </row>
    <row r="6004" spans="2:3">
      <c r="C6004" t="s">
        <v>7515</v>
      </c>
    </row>
    <row r="6005" spans="2:3">
      <c r="C6005" t="s">
        <v>7516</v>
      </c>
    </row>
    <row r="6006" spans="2:3">
      <c r="C6006" t="s">
        <v>7517</v>
      </c>
    </row>
    <row r="6007" spans="2:3">
      <c r="B6007" t="s">
        <v>7510</v>
      </c>
    </row>
    <row r="6008" spans="2:3">
      <c r="C6008" t="s">
        <v>7511</v>
      </c>
    </row>
    <row r="6009" spans="2:3">
      <c r="B6009" t="s">
        <v>7512</v>
      </c>
    </row>
    <row r="6010" spans="2:3">
      <c r="B6010" t="s">
        <v>7518</v>
      </c>
    </row>
    <row r="6011" spans="2:3">
      <c r="C6011" t="s">
        <v>7519</v>
      </c>
    </row>
    <row r="6012" spans="2:3">
      <c r="B6012" t="s">
        <v>201</v>
      </c>
    </row>
    <row r="6013" spans="2:3">
      <c r="C6013" t="s">
        <v>7520</v>
      </c>
    </row>
    <row r="6014" spans="2:3">
      <c r="B6014" t="s">
        <v>7522</v>
      </c>
    </row>
    <row r="6015" spans="2:3">
      <c r="C6015" t="s">
        <v>7523</v>
      </c>
    </row>
    <row r="6016" spans="2:3">
      <c r="C6016" t="s">
        <v>7524</v>
      </c>
    </row>
    <row r="6017" spans="2:5">
      <c r="C6017" t="s">
        <v>7525</v>
      </c>
    </row>
    <row r="6018" spans="2:5">
      <c r="B6018" t="s">
        <v>192</v>
      </c>
    </row>
    <row r="6019" spans="2:5">
      <c r="C6019" t="s">
        <v>7527</v>
      </c>
    </row>
    <row r="6020" spans="2:5">
      <c r="D6020" t="s">
        <v>7528</v>
      </c>
    </row>
    <row r="6021" spans="2:5">
      <c r="C6021" t="s">
        <v>7529</v>
      </c>
    </row>
    <row r="6022" spans="2:5">
      <c r="C6022" t="s">
        <v>7530</v>
      </c>
    </row>
    <row r="6024" spans="2:5">
      <c r="C6024" t="s">
        <v>7531</v>
      </c>
      <c r="D6024">
        <v>2022</v>
      </c>
      <c r="E6024">
        <v>600</v>
      </c>
    </row>
    <row r="6025" spans="2:5">
      <c r="C6025" s="61"/>
      <c r="D6025" s="61">
        <v>2023</v>
      </c>
      <c r="E6025" s="61">
        <v>150</v>
      </c>
    </row>
    <row r="6026" spans="2:5">
      <c r="E6026">
        <f>SUM(E6024:E6025)</f>
        <v>750</v>
      </c>
    </row>
    <row r="6028" spans="2:5">
      <c r="B6028" s="903">
        <v>45194</v>
      </c>
    </row>
    <row r="6029" spans="2:5">
      <c r="B6029" s="42" t="s">
        <v>7578</v>
      </c>
    </row>
    <row r="6031" spans="2:5">
      <c r="B6031" t="s">
        <v>1171</v>
      </c>
    </row>
    <row r="6032" spans="2:5">
      <c r="C6032" t="s">
        <v>7535</v>
      </c>
    </row>
    <row r="6033" spans="2:6">
      <c r="C6033" t="s">
        <v>7534</v>
      </c>
    </row>
    <row r="6034" spans="2:6">
      <c r="C6034" t="s">
        <v>7536</v>
      </c>
    </row>
    <row r="6035" spans="2:6">
      <c r="C6035" t="s">
        <v>7537</v>
      </c>
    </row>
    <row r="6036" spans="2:6">
      <c r="C6036" t="s">
        <v>7538</v>
      </c>
    </row>
    <row r="6037" spans="2:6">
      <c r="B6037" t="s">
        <v>7539</v>
      </c>
    </row>
    <row r="6038" spans="2:6">
      <c r="C6038" t="s">
        <v>7540</v>
      </c>
    </row>
    <row r="6039" spans="2:6">
      <c r="D6039" t="s">
        <v>7547</v>
      </c>
    </row>
    <row r="6040" spans="2:6">
      <c r="D6040" t="s">
        <v>7548</v>
      </c>
    </row>
    <row r="6041" spans="2:6">
      <c r="E6041" t="s">
        <v>7557</v>
      </c>
    </row>
    <row r="6042" spans="2:6">
      <c r="F6042" t="s">
        <v>7558</v>
      </c>
    </row>
    <row r="6043" spans="2:6">
      <c r="F6043" t="s">
        <v>7559</v>
      </c>
    </row>
    <row r="6044" spans="2:6">
      <c r="F6044" t="s">
        <v>7560</v>
      </c>
    </row>
    <row r="6045" spans="2:6">
      <c r="F6045" t="s">
        <v>7561</v>
      </c>
    </row>
    <row r="6046" spans="2:6">
      <c r="E6046" t="s">
        <v>7562</v>
      </c>
    </row>
    <row r="6047" spans="2:6">
      <c r="E6047" t="s">
        <v>7563</v>
      </c>
    </row>
    <row r="6048" spans="2:6">
      <c r="F6048" t="s">
        <v>7564</v>
      </c>
    </row>
    <row r="6049" spans="3:6">
      <c r="F6049" t="s">
        <v>7565</v>
      </c>
    </row>
    <row r="6050" spans="3:6">
      <c r="F6050" t="s">
        <v>7566</v>
      </c>
    </row>
    <row r="6051" spans="3:6">
      <c r="D6051" t="s">
        <v>7549</v>
      </c>
    </row>
    <row r="6052" spans="3:6">
      <c r="D6052" t="s">
        <v>7550</v>
      </c>
    </row>
    <row r="6053" spans="3:6">
      <c r="D6053" t="s">
        <v>7551</v>
      </c>
    </row>
    <row r="6054" spans="3:6">
      <c r="D6054" t="s">
        <v>7552</v>
      </c>
    </row>
    <row r="6055" spans="3:6">
      <c r="D6055" t="s">
        <v>7553</v>
      </c>
    </row>
    <row r="6056" spans="3:6">
      <c r="D6056" t="s">
        <v>7554</v>
      </c>
    </row>
    <row r="6057" spans="3:6">
      <c r="E6057" t="s">
        <v>7556</v>
      </c>
    </row>
    <row r="6058" spans="3:6">
      <c r="D6058" t="s">
        <v>7555</v>
      </c>
    </row>
    <row r="6059" spans="3:6">
      <c r="C6059" t="s">
        <v>7541</v>
      </c>
    </row>
    <row r="6060" spans="3:6">
      <c r="D6060" t="s">
        <v>7542</v>
      </c>
    </row>
    <row r="6061" spans="3:6">
      <c r="D6061" t="s">
        <v>7543</v>
      </c>
    </row>
    <row r="6062" spans="3:6">
      <c r="C6062" t="s">
        <v>7544</v>
      </c>
    </row>
    <row r="6063" spans="3:6">
      <c r="D6063" t="s">
        <v>7545</v>
      </c>
    </row>
    <row r="6064" spans="3:6">
      <c r="C6064" t="s">
        <v>7546</v>
      </c>
    </row>
    <row r="6066" spans="2:4">
      <c r="B6066" t="s">
        <v>7570</v>
      </c>
    </row>
    <row r="6067" spans="2:4">
      <c r="C6067" t="s">
        <v>7567</v>
      </c>
    </row>
    <row r="6068" spans="2:4">
      <c r="C6068" t="s">
        <v>7568</v>
      </c>
    </row>
    <row r="6069" spans="2:4">
      <c r="C6069" t="s">
        <v>7569</v>
      </c>
    </row>
    <row r="6070" spans="2:4">
      <c r="C6070" t="s">
        <v>7571</v>
      </c>
    </row>
    <row r="6071" spans="2:4">
      <c r="D6071" t="s">
        <v>7572</v>
      </c>
    </row>
    <row r="6072" spans="2:4">
      <c r="C6072" t="s">
        <v>7573</v>
      </c>
    </row>
    <row r="6073" spans="2:4">
      <c r="D6073" t="s">
        <v>7574</v>
      </c>
    </row>
    <row r="6074" spans="2:4">
      <c r="D6074" t="s">
        <v>7575</v>
      </c>
    </row>
    <row r="6075" spans="2:4">
      <c r="B6075" t="s">
        <v>87</v>
      </c>
    </row>
    <row r="6076" spans="2:4">
      <c r="C6076" t="s">
        <v>7576</v>
      </c>
    </row>
    <row r="6077" spans="2:4">
      <c r="C6077" t="s">
        <v>7577</v>
      </c>
    </row>
    <row r="6078" spans="2:4">
      <c r="B6078" t="s">
        <v>6904</v>
      </c>
    </row>
    <row r="6079" spans="2:4">
      <c r="C6079" t="s">
        <v>7579</v>
      </c>
    </row>
    <row r="6080" spans="2:4">
      <c r="D6080" t="s">
        <v>7581</v>
      </c>
    </row>
    <row r="6081" spans="3:5">
      <c r="D6081" t="s">
        <v>7582</v>
      </c>
    </row>
    <row r="6082" spans="3:5">
      <c r="E6082" t="s">
        <v>7589</v>
      </c>
    </row>
    <row r="6083" spans="3:5">
      <c r="C6083" t="s">
        <v>7583</v>
      </c>
    </row>
    <row r="6084" spans="3:5">
      <c r="D6084" t="s">
        <v>7584</v>
      </c>
    </row>
    <row r="6085" spans="3:5">
      <c r="C6085" t="s">
        <v>7580</v>
      </c>
    </row>
    <row r="6086" spans="3:5">
      <c r="C6086" t="s">
        <v>6076</v>
      </c>
    </row>
    <row r="6087" spans="3:5">
      <c r="D6087" t="s">
        <v>7585</v>
      </c>
    </row>
    <row r="6088" spans="3:5">
      <c r="D6088" t="s">
        <v>7586</v>
      </c>
    </row>
    <row r="6089" spans="3:5">
      <c r="D6089" t="s">
        <v>7587</v>
      </c>
    </row>
    <row r="6090" spans="3:5">
      <c r="D6090" t="s">
        <v>7588</v>
      </c>
    </row>
    <row r="6172" spans="2:2">
      <c r="B6172" s="121" t="s">
        <v>7601</v>
      </c>
    </row>
    <row r="6174" spans="2:2">
      <c r="B6174" t="s">
        <v>7602</v>
      </c>
    </row>
    <row r="6175" spans="2:2">
      <c r="B6175" t="s">
        <v>7603</v>
      </c>
    </row>
    <row r="6176" spans="2:2">
      <c r="B6176" t="s">
        <v>7604</v>
      </c>
    </row>
    <row r="6177" spans="2:4">
      <c r="C6177" t="s">
        <v>7605</v>
      </c>
    </row>
    <row r="6178" spans="2:4">
      <c r="C6178" t="s">
        <v>7606</v>
      </c>
    </row>
    <row r="6179" spans="2:4">
      <c r="B6179" t="s">
        <v>7607</v>
      </c>
    </row>
    <row r="6180" spans="2:4">
      <c r="C6180" t="s">
        <v>7608</v>
      </c>
    </row>
    <row r="6181" spans="2:4">
      <c r="C6181" t="s">
        <v>7609</v>
      </c>
    </row>
    <row r="6182" spans="2:4">
      <c r="D6182" t="s">
        <v>7610</v>
      </c>
    </row>
    <row r="6183" spans="2:4">
      <c r="D6183" t="s">
        <v>7612</v>
      </c>
    </row>
    <row r="6184" spans="2:4">
      <c r="C6184" t="s">
        <v>7611</v>
      </c>
    </row>
    <row r="6185" spans="2:4">
      <c r="B6185" t="s">
        <v>200</v>
      </c>
    </row>
    <row r="6186" spans="2:4">
      <c r="C6186" t="s">
        <v>7613</v>
      </c>
    </row>
    <row r="6187" spans="2:4">
      <c r="C6187" t="s">
        <v>7614</v>
      </c>
    </row>
    <row r="6188" spans="2:4">
      <c r="C6188" t="s">
        <v>7616</v>
      </c>
    </row>
    <row r="6189" spans="2:4">
      <c r="C6189" t="s">
        <v>7617</v>
      </c>
    </row>
    <row r="6190" spans="2:4">
      <c r="C6190" t="s">
        <v>7618</v>
      </c>
    </row>
    <row r="6192" spans="2:4">
      <c r="C6192" t="s">
        <v>7619</v>
      </c>
    </row>
    <row r="6193" spans="2:5">
      <c r="C6193" t="s">
        <v>7620</v>
      </c>
    </row>
    <row r="6194" spans="2:5">
      <c r="B6194" t="s">
        <v>87</v>
      </c>
    </row>
    <row r="6195" spans="2:5">
      <c r="C6195" t="s">
        <v>519</v>
      </c>
    </row>
    <row r="6196" spans="2:5">
      <c r="D6196" t="s">
        <v>7621</v>
      </c>
    </row>
    <row r="6197" spans="2:5">
      <c r="D6197" t="s">
        <v>7622</v>
      </c>
    </row>
    <row r="6198" spans="2:5">
      <c r="D6198" t="s">
        <v>7623</v>
      </c>
    </row>
    <row r="6199" spans="2:5">
      <c r="C6199" t="s">
        <v>653</v>
      </c>
    </row>
    <row r="6200" spans="2:5">
      <c r="D6200" t="s">
        <v>7624</v>
      </c>
    </row>
    <row r="6201" spans="2:5">
      <c r="E6201" t="s">
        <v>7625</v>
      </c>
    </row>
    <row r="6202" spans="2:5">
      <c r="E6202" t="s">
        <v>7626</v>
      </c>
    </row>
    <row r="6203" spans="2:5">
      <c r="E6203" t="s">
        <v>7627</v>
      </c>
    </row>
    <row r="6204" spans="2:5">
      <c r="D6204" t="s">
        <v>7628</v>
      </c>
    </row>
    <row r="6205" spans="2:5">
      <c r="C6205" t="s">
        <v>57</v>
      </c>
    </row>
    <row r="6206" spans="2:5">
      <c r="D6206" t="s">
        <v>7629</v>
      </c>
    </row>
    <row r="6207" spans="2:5">
      <c r="E6207" t="s">
        <v>7631</v>
      </c>
    </row>
    <row r="6208" spans="2:5">
      <c r="E6208" t="s">
        <v>7632</v>
      </c>
    </row>
    <row r="6209" spans="2:4">
      <c r="D6209" t="s">
        <v>7630</v>
      </c>
    </row>
    <row r="6210" spans="2:4">
      <c r="B6210" t="s">
        <v>44</v>
      </c>
    </row>
    <row r="6211" spans="2:4">
      <c r="C6211" t="s">
        <v>1450</v>
      </c>
    </row>
    <row r="6212" spans="2:4">
      <c r="C6212" t="s">
        <v>7633</v>
      </c>
    </row>
    <row r="6213" spans="2:4">
      <c r="B6213" t="s">
        <v>350</v>
      </c>
    </row>
    <row r="6214" spans="2:4">
      <c r="C6214" t="s">
        <v>7634</v>
      </c>
    </row>
    <row r="6215" spans="2:4">
      <c r="C6215" t="s">
        <v>7635</v>
      </c>
    </row>
    <row r="6216" spans="2:4">
      <c r="B6216" t="s">
        <v>6904</v>
      </c>
    </row>
    <row r="6217" spans="2:4">
      <c r="C6217" t="s">
        <v>7636</v>
      </c>
    </row>
    <row r="6218" spans="2:4">
      <c r="D6218" t="s">
        <v>7637</v>
      </c>
    </row>
    <row r="6219" spans="2:4">
      <c r="D6219" t="s">
        <v>7638</v>
      </c>
    </row>
    <row r="6220" spans="2:4">
      <c r="C6220" t="s">
        <v>7639</v>
      </c>
    </row>
    <row r="6221" spans="2:4">
      <c r="D6221" t="s">
        <v>7640</v>
      </c>
    </row>
    <row r="6222" spans="2:4">
      <c r="D6222" t="s">
        <v>7641</v>
      </c>
    </row>
    <row r="6224" spans="2:4">
      <c r="C6224" t="s">
        <v>7642</v>
      </c>
    </row>
    <row r="6225" spans="2:7">
      <c r="C6225" t="s">
        <v>7643</v>
      </c>
    </row>
    <row r="6226" spans="2:7">
      <c r="D6226" t="s">
        <v>7644</v>
      </c>
    </row>
    <row r="6227" spans="2:7">
      <c r="C6227" t="s">
        <v>7645</v>
      </c>
    </row>
    <row r="6228" spans="2:7">
      <c r="D6228" t="s">
        <v>7646</v>
      </c>
    </row>
    <row r="6229" spans="2:7">
      <c r="C6229" t="s">
        <v>7647</v>
      </c>
    </row>
    <row r="6230" spans="2:7">
      <c r="C6230" t="s">
        <v>7648</v>
      </c>
    </row>
    <row r="6232" spans="2:7">
      <c r="C6232" t="s">
        <v>7649</v>
      </c>
    </row>
    <row r="6233" spans="2:7">
      <c r="C6233" t="s">
        <v>7650</v>
      </c>
    </row>
    <row r="6234" spans="2:7">
      <c r="C6234" t="s">
        <v>7651</v>
      </c>
    </row>
    <row r="6235" spans="2:7">
      <c r="D6235" t="s">
        <v>653</v>
      </c>
      <c r="E6235">
        <f>700</f>
        <v>700</v>
      </c>
      <c r="G6235" t="s">
        <v>7652</v>
      </c>
    </row>
    <row r="6236" spans="2:7">
      <c r="D6236" t="s">
        <v>6531</v>
      </c>
      <c r="E6236">
        <v>40</v>
      </c>
      <c r="G6236" t="s">
        <v>7653</v>
      </c>
    </row>
    <row r="6237" spans="2:7">
      <c r="C6237" s="136">
        <v>2024</v>
      </c>
    </row>
    <row r="6238" spans="2:7">
      <c r="D6238" t="s">
        <v>7654</v>
      </c>
      <c r="E6238" s="419"/>
    </row>
    <row r="6239" spans="2:7">
      <c r="D6239" t="s">
        <v>7655</v>
      </c>
    </row>
    <row r="6240" spans="2:7">
      <c r="B6240" t="s">
        <v>7654</v>
      </c>
    </row>
    <row r="6241" spans="2:3">
      <c r="C6241" t="s">
        <v>7656</v>
      </c>
    </row>
    <row r="6242" spans="2:3">
      <c r="B6242" t="s">
        <v>2238</v>
      </c>
    </row>
    <row r="6243" spans="2:3">
      <c r="C6243" t="s">
        <v>7657</v>
      </c>
    </row>
    <row r="6244" spans="2:3">
      <c r="C6244" t="s">
        <v>7658</v>
      </c>
    </row>
    <row r="6245" spans="2:3">
      <c r="C6245" t="s">
        <v>7659</v>
      </c>
    </row>
    <row r="6246" spans="2:3">
      <c r="C6246" t="s">
        <v>7660</v>
      </c>
    </row>
    <row r="6247" spans="2:3">
      <c r="C6247" t="s">
        <v>7661</v>
      </c>
    </row>
  </sheetData>
  <hyperlinks>
    <hyperlink ref="B32" r:id="rId1" tooltip="Emilio Azcárraga Jean" display="http://en.wikipedia.org/wiki/Emilio_Azc%C3%A1rraga_Jean" xr:uid="{00000000-0004-0000-0300-000000000000}"/>
    <hyperlink ref="B49" r:id="rId2" xr:uid="{00000000-0004-0000-0300-000001000000}"/>
    <hyperlink ref="B54" r:id="rId3" xr:uid="{00000000-0004-0000-0300-000002000000}"/>
  </hyperlinks>
  <pageMargins left="0.70866141732283472" right="0.70866141732283472" top="0.74803149606299213" bottom="0.74803149606299213" header="0.31496062992125984" footer="0.31496062992125984"/>
  <pageSetup paperSize="9" scale="10" orientation="portrait" r:id="rId4"/>
  <drawing r:id="rId5"/>
  <legacy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P256"/>
  <sheetViews>
    <sheetView zoomScale="85" zoomScaleNormal="85" workbookViewId="0">
      <selection activeCell="C20" sqref="C20"/>
    </sheetView>
  </sheetViews>
  <sheetFormatPr defaultRowHeight="15"/>
  <cols>
    <col min="2" max="2" width="16.5703125" customWidth="1"/>
  </cols>
  <sheetData>
    <row r="2" spans="2:3">
      <c r="B2" s="121" t="s">
        <v>1201</v>
      </c>
    </row>
    <row r="4" spans="2:3">
      <c r="B4" t="s">
        <v>1214</v>
      </c>
      <c r="C4" t="s">
        <v>1215</v>
      </c>
    </row>
    <row r="5" spans="2:3">
      <c r="C5" t="s">
        <v>1216</v>
      </c>
    </row>
    <row r="6" spans="2:3">
      <c r="C6" s="42" t="s">
        <v>1236</v>
      </c>
    </row>
    <row r="7" spans="2:3">
      <c r="C7" s="42" t="s">
        <v>1233</v>
      </c>
    </row>
    <row r="8" spans="2:3">
      <c r="C8" s="42" t="s">
        <v>1235</v>
      </c>
    </row>
    <row r="9" spans="2:3">
      <c r="B9" t="s">
        <v>16</v>
      </c>
      <c r="C9" t="s">
        <v>1202</v>
      </c>
    </row>
    <row r="10" spans="2:3">
      <c r="C10" t="s">
        <v>1204</v>
      </c>
    </row>
    <row r="11" spans="2:3">
      <c r="C11" t="s">
        <v>1203</v>
      </c>
    </row>
    <row r="12" spans="2:3">
      <c r="C12" t="s">
        <v>1205</v>
      </c>
    </row>
    <row r="13" spans="2:3">
      <c r="C13" s="42" t="s">
        <v>1220</v>
      </c>
    </row>
    <row r="14" spans="2:3">
      <c r="C14" s="42" t="s">
        <v>1221</v>
      </c>
    </row>
    <row r="15" spans="2:3">
      <c r="C15" s="42" t="s">
        <v>1222</v>
      </c>
    </row>
    <row r="16" spans="2:3">
      <c r="C16" s="42" t="s">
        <v>1223</v>
      </c>
    </row>
    <row r="17" spans="2:3">
      <c r="C17" s="42" t="s">
        <v>1224</v>
      </c>
    </row>
    <row r="18" spans="2:3">
      <c r="C18" s="42" t="s">
        <v>1225</v>
      </c>
    </row>
    <row r="19" spans="2:3">
      <c r="C19" s="42" t="s">
        <v>1226</v>
      </c>
    </row>
    <row r="20" spans="2:3">
      <c r="C20" s="42" t="s">
        <v>1227</v>
      </c>
    </row>
    <row r="21" spans="2:3">
      <c r="B21" t="s">
        <v>145</v>
      </c>
      <c r="C21" t="s">
        <v>1206</v>
      </c>
    </row>
    <row r="22" spans="2:3">
      <c r="C22" t="s">
        <v>1207</v>
      </c>
    </row>
    <row r="23" spans="2:3">
      <c r="C23" s="42" t="s">
        <v>1228</v>
      </c>
    </row>
    <row r="24" spans="2:3">
      <c r="C24" s="42" t="s">
        <v>1231</v>
      </c>
    </row>
    <row r="25" spans="2:3">
      <c r="C25" s="42" t="s">
        <v>1229</v>
      </c>
    </row>
    <row r="26" spans="2:3">
      <c r="C26" s="42" t="s">
        <v>1230</v>
      </c>
    </row>
    <row r="27" spans="2:3">
      <c r="C27" s="42" t="s">
        <v>1232</v>
      </c>
    </row>
    <row r="28" spans="2:3">
      <c r="C28" t="s">
        <v>1218</v>
      </c>
    </row>
    <row r="29" spans="2:3">
      <c r="C29" t="s">
        <v>1217</v>
      </c>
    </row>
    <row r="30" spans="2:3">
      <c r="B30" t="s">
        <v>87</v>
      </c>
      <c r="C30" t="s">
        <v>1208</v>
      </c>
    </row>
    <row r="31" spans="2:3">
      <c r="B31" t="s">
        <v>50</v>
      </c>
      <c r="C31" t="s">
        <v>1219</v>
      </c>
    </row>
    <row r="32" spans="2:3">
      <c r="C32" t="s">
        <v>1212</v>
      </c>
    </row>
    <row r="33" spans="2:3">
      <c r="C33" t="s">
        <v>1213</v>
      </c>
    </row>
    <row r="34" spans="2:3">
      <c r="B34" t="s">
        <v>1210</v>
      </c>
    </row>
    <row r="35" spans="2:3">
      <c r="B35" t="s">
        <v>1211</v>
      </c>
    </row>
    <row r="36" spans="2:3">
      <c r="C36" s="42" t="s">
        <v>1234</v>
      </c>
    </row>
    <row r="37" spans="2:3">
      <c r="C37" s="42" t="s">
        <v>779</v>
      </c>
    </row>
    <row r="39" spans="2:3">
      <c r="B39" s="121" t="s">
        <v>956</v>
      </c>
    </row>
    <row r="40" spans="2:3">
      <c r="B40" t="s">
        <v>957</v>
      </c>
    </row>
    <row r="43" spans="2:3">
      <c r="B43" s="121" t="s">
        <v>895</v>
      </c>
    </row>
    <row r="44" spans="2:3">
      <c r="B44" t="s">
        <v>896</v>
      </c>
    </row>
    <row r="45" spans="2:3">
      <c r="B45" t="s">
        <v>897</v>
      </c>
    </row>
    <row r="46" spans="2:3">
      <c r="B46" t="s">
        <v>905</v>
      </c>
      <c r="C46" s="157">
        <v>41207</v>
      </c>
    </row>
    <row r="47" spans="2:3">
      <c r="B47" t="s">
        <v>910</v>
      </c>
    </row>
    <row r="48" spans="2:3">
      <c r="B48" t="s">
        <v>919</v>
      </c>
    </row>
    <row r="49" spans="2:3">
      <c r="B49" t="s">
        <v>931</v>
      </c>
    </row>
    <row r="50" spans="2:3">
      <c r="B50" t="s">
        <v>949</v>
      </c>
    </row>
    <row r="51" spans="2:3">
      <c r="B51" t="s">
        <v>932</v>
      </c>
    </row>
    <row r="53" spans="2:3">
      <c r="B53" s="121"/>
    </row>
    <row r="54" spans="2:3">
      <c r="B54" t="s">
        <v>708</v>
      </c>
    </row>
    <row r="55" spans="2:3">
      <c r="B55" t="s">
        <v>720</v>
      </c>
    </row>
    <row r="56" spans="2:3">
      <c r="B56" t="s">
        <v>735</v>
      </c>
    </row>
    <row r="57" spans="2:3">
      <c r="B57" t="s">
        <v>736</v>
      </c>
    </row>
    <row r="58" spans="2:3">
      <c r="C58" t="s">
        <v>776</v>
      </c>
    </row>
    <row r="59" spans="2:3">
      <c r="C59" t="s">
        <v>778</v>
      </c>
    </row>
    <row r="60" spans="2:3">
      <c r="C60" t="s">
        <v>777</v>
      </c>
    </row>
    <row r="61" spans="2:3">
      <c r="B61" t="s">
        <v>774</v>
      </c>
    </row>
    <row r="62" spans="2:3">
      <c r="C62" t="s">
        <v>775</v>
      </c>
    </row>
    <row r="65" spans="2:15">
      <c r="B65" s="121" t="s">
        <v>586</v>
      </c>
      <c r="O65" s="121" t="s">
        <v>696</v>
      </c>
    </row>
    <row r="66" spans="2:15">
      <c r="B66" s="121"/>
      <c r="O66" t="s">
        <v>697</v>
      </c>
    </row>
    <row r="67" spans="2:15">
      <c r="B67" t="s">
        <v>417</v>
      </c>
      <c r="O67" t="s">
        <v>699</v>
      </c>
    </row>
    <row r="68" spans="2:15">
      <c r="C68" t="s">
        <v>587</v>
      </c>
      <c r="H68" s="42" t="s">
        <v>779</v>
      </c>
    </row>
    <row r="69" spans="2:15">
      <c r="C69" t="s">
        <v>623</v>
      </c>
      <c r="K69" t="s">
        <v>674</v>
      </c>
    </row>
    <row r="70" spans="2:15">
      <c r="C70" t="s">
        <v>640</v>
      </c>
    </row>
    <row r="71" spans="2:15">
      <c r="C71" t="s">
        <v>641</v>
      </c>
    </row>
    <row r="72" spans="2:15">
      <c r="D72" s="42" t="s">
        <v>780</v>
      </c>
    </row>
    <row r="73" spans="2:15">
      <c r="D73" s="42" t="s">
        <v>782</v>
      </c>
    </row>
    <row r="74" spans="2:15">
      <c r="D74" s="42" t="s">
        <v>781</v>
      </c>
    </row>
    <row r="75" spans="2:15">
      <c r="D75" s="42" t="s">
        <v>783</v>
      </c>
    </row>
    <row r="76" spans="2:15">
      <c r="D76" s="42" t="s">
        <v>785</v>
      </c>
    </row>
    <row r="77" spans="2:15">
      <c r="D77" s="42" t="s">
        <v>786</v>
      </c>
    </row>
    <row r="78" spans="2:15">
      <c r="D78" s="42" t="s">
        <v>784</v>
      </c>
    </row>
    <row r="79" spans="2:15">
      <c r="D79" s="42" t="s">
        <v>787</v>
      </c>
    </row>
    <row r="80" spans="2:15">
      <c r="D80" s="42" t="s">
        <v>788</v>
      </c>
    </row>
    <row r="81" spans="2:5">
      <c r="B81" t="s">
        <v>588</v>
      </c>
    </row>
    <row r="82" spans="2:5">
      <c r="C82" s="42" t="s">
        <v>722</v>
      </c>
    </row>
    <row r="83" spans="2:5">
      <c r="C83" t="s">
        <v>659</v>
      </c>
    </row>
    <row r="84" spans="2:5">
      <c r="D84" s="42" t="s">
        <v>721</v>
      </c>
    </row>
    <row r="85" spans="2:5">
      <c r="D85" s="42" t="s">
        <v>789</v>
      </c>
    </row>
    <row r="86" spans="2:5">
      <c r="C86" s="42" t="s">
        <v>709</v>
      </c>
    </row>
    <row r="87" spans="2:5">
      <c r="C87" s="42"/>
      <c r="D87" s="42" t="s">
        <v>790</v>
      </c>
    </row>
    <row r="88" spans="2:5">
      <c r="C88" s="42"/>
      <c r="D88" s="42" t="s">
        <v>791</v>
      </c>
    </row>
    <row r="89" spans="2:5">
      <c r="C89" s="42"/>
      <c r="D89" s="42" t="s">
        <v>792</v>
      </c>
    </row>
    <row r="90" spans="2:5">
      <c r="C90" s="42"/>
      <c r="D90" s="42" t="s">
        <v>793</v>
      </c>
    </row>
    <row r="91" spans="2:5">
      <c r="C91" s="42"/>
      <c r="D91" s="42" t="s">
        <v>794</v>
      </c>
    </row>
    <row r="92" spans="2:5">
      <c r="C92" s="42"/>
      <c r="D92" s="42" t="s">
        <v>795</v>
      </c>
    </row>
    <row r="93" spans="2:5">
      <c r="C93" s="42"/>
      <c r="D93" s="42" t="s">
        <v>809</v>
      </c>
    </row>
    <row r="94" spans="2:5">
      <c r="C94" s="42"/>
      <c r="D94" s="42"/>
      <c r="E94" s="42" t="s">
        <v>810</v>
      </c>
    </row>
    <row r="95" spans="2:5">
      <c r="C95" s="42"/>
      <c r="D95" s="42"/>
      <c r="E95" s="42" t="s">
        <v>811</v>
      </c>
    </row>
    <row r="96" spans="2:5">
      <c r="C96" s="42" t="s">
        <v>724</v>
      </c>
    </row>
    <row r="97" spans="3:5">
      <c r="C97" s="42"/>
      <c r="D97" s="42" t="s">
        <v>796</v>
      </c>
    </row>
    <row r="98" spans="3:5">
      <c r="C98" s="42"/>
      <c r="D98" s="42" t="s">
        <v>797</v>
      </c>
    </row>
    <row r="99" spans="3:5">
      <c r="C99" s="42"/>
      <c r="D99" s="42" t="s">
        <v>798</v>
      </c>
    </row>
    <row r="100" spans="3:5">
      <c r="C100" s="42"/>
      <c r="D100" s="42" t="s">
        <v>799</v>
      </c>
    </row>
    <row r="101" spans="3:5">
      <c r="C101" s="42"/>
      <c r="D101" s="42" t="s">
        <v>807</v>
      </c>
    </row>
    <row r="102" spans="3:5">
      <c r="C102" s="42" t="s">
        <v>723</v>
      </c>
    </row>
    <row r="103" spans="3:5">
      <c r="C103" s="42"/>
      <c r="D103" s="42" t="s">
        <v>800</v>
      </c>
    </row>
    <row r="104" spans="3:5">
      <c r="C104" s="42"/>
      <c r="D104" s="42" t="s">
        <v>801</v>
      </c>
    </row>
    <row r="105" spans="3:5">
      <c r="C105" s="42"/>
      <c r="D105" s="42" t="s">
        <v>802</v>
      </c>
    </row>
    <row r="106" spans="3:5">
      <c r="C106" s="42"/>
      <c r="D106" s="42"/>
      <c r="E106" s="42" t="s">
        <v>803</v>
      </c>
    </row>
    <row r="107" spans="3:5">
      <c r="C107" s="42"/>
      <c r="D107" s="42"/>
      <c r="E107" s="42" t="s">
        <v>804</v>
      </c>
    </row>
    <row r="108" spans="3:5">
      <c r="C108" s="42"/>
      <c r="D108" s="42"/>
      <c r="E108" s="42" t="s">
        <v>805</v>
      </c>
    </row>
    <row r="109" spans="3:5">
      <c r="C109" s="42"/>
      <c r="D109" s="42"/>
      <c r="E109" s="42" t="s">
        <v>806</v>
      </c>
    </row>
    <row r="110" spans="3:5">
      <c r="C110" s="42"/>
      <c r="D110" s="42" t="s">
        <v>808</v>
      </c>
      <c r="E110" s="42"/>
    </row>
    <row r="111" spans="3:5">
      <c r="C111" s="42" t="s">
        <v>826</v>
      </c>
      <c r="D111" s="42"/>
      <c r="E111" s="42"/>
    </row>
    <row r="112" spans="3:5">
      <c r="C112" s="42"/>
      <c r="D112" s="42" t="s">
        <v>827</v>
      </c>
      <c r="E112" s="42"/>
    </row>
    <row r="113" spans="2:9">
      <c r="C113" s="42"/>
      <c r="D113" s="42" t="s">
        <v>828</v>
      </c>
      <c r="E113" s="42"/>
    </row>
    <row r="114" spans="2:9">
      <c r="C114" t="s">
        <v>638</v>
      </c>
    </row>
    <row r="115" spans="2:9">
      <c r="C115" t="s">
        <v>589</v>
      </c>
      <c r="I115" t="s">
        <v>658</v>
      </c>
    </row>
    <row r="116" spans="2:9">
      <c r="C116" t="s">
        <v>657</v>
      </c>
    </row>
    <row r="117" spans="2:9">
      <c r="B117" t="s">
        <v>590</v>
      </c>
    </row>
    <row r="118" spans="2:9">
      <c r="C118" t="s">
        <v>639</v>
      </c>
    </row>
    <row r="119" spans="2:9">
      <c r="D119" s="42" t="s">
        <v>812</v>
      </c>
    </row>
    <row r="120" spans="2:9">
      <c r="D120" s="42" t="s">
        <v>813</v>
      </c>
    </row>
    <row r="121" spans="2:9">
      <c r="B121" t="s">
        <v>87</v>
      </c>
    </row>
    <row r="122" spans="2:9">
      <c r="C122" t="s">
        <v>644</v>
      </c>
    </row>
    <row r="123" spans="2:9">
      <c r="D123" s="42" t="s">
        <v>814</v>
      </c>
    </row>
    <row r="124" spans="2:9">
      <c r="D124" s="42" t="s">
        <v>816</v>
      </c>
    </row>
    <row r="125" spans="2:9">
      <c r="D125" s="42" t="s">
        <v>815</v>
      </c>
    </row>
    <row r="126" spans="2:9">
      <c r="D126" s="42" t="s">
        <v>817</v>
      </c>
    </row>
    <row r="127" spans="2:9">
      <c r="D127" s="42" t="s">
        <v>829</v>
      </c>
    </row>
    <row r="128" spans="2:9">
      <c r="D128" s="42" t="s">
        <v>830</v>
      </c>
    </row>
    <row r="129" spans="2:4">
      <c r="C129" t="s">
        <v>617</v>
      </c>
    </row>
    <row r="130" spans="2:4">
      <c r="B130" t="s">
        <v>44</v>
      </c>
    </row>
    <row r="132" spans="2:4">
      <c r="C132" t="s">
        <v>591</v>
      </c>
    </row>
    <row r="133" spans="2:4">
      <c r="C133" t="s">
        <v>592</v>
      </c>
    </row>
    <row r="134" spans="2:4">
      <c r="B134" t="s">
        <v>593</v>
      </c>
    </row>
    <row r="135" spans="2:4">
      <c r="C135" t="s">
        <v>594</v>
      </c>
    </row>
    <row r="136" spans="2:4">
      <c r="B136" t="s">
        <v>16</v>
      </c>
    </row>
    <row r="137" spans="2:4">
      <c r="C137" t="s">
        <v>637</v>
      </c>
    </row>
    <row r="138" spans="2:4">
      <c r="D138" s="42" t="s">
        <v>818</v>
      </c>
    </row>
    <row r="139" spans="2:4">
      <c r="D139" s="42" t="s">
        <v>819</v>
      </c>
    </row>
    <row r="140" spans="2:4">
      <c r="D140" s="42" t="s">
        <v>820</v>
      </c>
    </row>
    <row r="141" spans="2:4">
      <c r="D141" s="42" t="s">
        <v>821</v>
      </c>
    </row>
    <row r="142" spans="2:4">
      <c r="C142" t="s">
        <v>663</v>
      </c>
    </row>
    <row r="143" spans="2:4">
      <c r="D143" s="42" t="s">
        <v>822</v>
      </c>
    </row>
    <row r="144" spans="2:4">
      <c r="D144" s="42" t="s">
        <v>824</v>
      </c>
    </row>
    <row r="145" spans="2:5">
      <c r="D145" s="42" t="s">
        <v>823</v>
      </c>
    </row>
    <row r="146" spans="2:5">
      <c r="D146" s="42" t="s">
        <v>825</v>
      </c>
    </row>
    <row r="147" spans="2:5">
      <c r="C147" t="s">
        <v>673</v>
      </c>
    </row>
    <row r="148" spans="2:5">
      <c r="C148" t="s">
        <v>680</v>
      </c>
    </row>
    <row r="149" spans="2:5">
      <c r="B149" t="s">
        <v>50</v>
      </c>
    </row>
    <row r="150" spans="2:5">
      <c r="C150" t="s">
        <v>615</v>
      </c>
    </row>
    <row r="151" spans="2:5">
      <c r="C151" t="s">
        <v>690</v>
      </c>
    </row>
    <row r="152" spans="2:5">
      <c r="D152" s="42" t="s">
        <v>831</v>
      </c>
    </row>
    <row r="153" spans="2:5">
      <c r="D153" s="42" t="s">
        <v>832</v>
      </c>
    </row>
    <row r="154" spans="2:5">
      <c r="D154" s="42" t="s">
        <v>833</v>
      </c>
    </row>
    <row r="155" spans="2:5">
      <c r="D155" s="42" t="s">
        <v>836</v>
      </c>
    </row>
    <row r="156" spans="2:5">
      <c r="D156" s="42" t="s">
        <v>834</v>
      </c>
    </row>
    <row r="157" spans="2:5">
      <c r="D157" s="42" t="s">
        <v>835</v>
      </c>
    </row>
    <row r="158" spans="2:5">
      <c r="D158" s="42" t="s">
        <v>840</v>
      </c>
    </row>
    <row r="159" spans="2:5">
      <c r="D159" s="42" t="s">
        <v>837</v>
      </c>
    </row>
    <row r="160" spans="2:5">
      <c r="D160" s="42"/>
      <c r="E160" s="42" t="s">
        <v>838</v>
      </c>
    </row>
    <row r="161" spans="2:5">
      <c r="D161" s="42"/>
      <c r="E161" s="42" t="s">
        <v>839</v>
      </c>
    </row>
    <row r="162" spans="2:5">
      <c r="B162" t="s">
        <v>635</v>
      </c>
    </row>
    <row r="163" spans="2:5">
      <c r="C163" t="s">
        <v>636</v>
      </c>
    </row>
    <row r="164" spans="2:5">
      <c r="C164" t="s">
        <v>645</v>
      </c>
    </row>
    <row r="165" spans="2:5">
      <c r="B165" t="s">
        <v>700</v>
      </c>
    </row>
    <row r="166" spans="2:5">
      <c r="C166" t="s">
        <v>701</v>
      </c>
    </row>
    <row r="167" spans="2:5">
      <c r="D167" s="42" t="s">
        <v>841</v>
      </c>
    </row>
    <row r="168" spans="2:5">
      <c r="D168" s="42" t="s">
        <v>842</v>
      </c>
    </row>
    <row r="169" spans="2:5">
      <c r="D169" s="42" t="s">
        <v>845</v>
      </c>
    </row>
    <row r="170" spans="2:5">
      <c r="D170" s="42" t="s">
        <v>843</v>
      </c>
    </row>
    <row r="171" spans="2:5">
      <c r="B171" t="s">
        <v>84</v>
      </c>
      <c r="D171" s="42" t="s">
        <v>844</v>
      </c>
    </row>
    <row r="172" spans="2:5">
      <c r="D172" s="42" t="s">
        <v>846</v>
      </c>
    </row>
    <row r="173" spans="2:5">
      <c r="B173" t="s">
        <v>44</v>
      </c>
    </row>
    <row r="174" spans="2:5">
      <c r="C174" t="s">
        <v>698</v>
      </c>
    </row>
    <row r="176" spans="2:5">
      <c r="B176" s="121" t="s">
        <v>616</v>
      </c>
    </row>
    <row r="177" spans="2:16" ht="15.75">
      <c r="B177" s="66" t="s">
        <v>50</v>
      </c>
      <c r="C177" s="66"/>
      <c r="D177" s="66"/>
      <c r="E177" s="66"/>
      <c r="F177" s="66"/>
      <c r="G177" s="66"/>
      <c r="H177" s="66"/>
      <c r="I177" s="66"/>
      <c r="J177" s="66"/>
      <c r="K177" s="66"/>
      <c r="L177" s="66"/>
      <c r="M177" s="66"/>
      <c r="N177" s="66"/>
      <c r="O177" s="66"/>
      <c r="P177" s="66"/>
    </row>
    <row r="178" spans="2:16" ht="15.75">
      <c r="B178" s="66"/>
      <c r="C178" s="66" t="s">
        <v>487</v>
      </c>
      <c r="D178" s="66"/>
      <c r="E178" s="66"/>
      <c r="F178" s="66"/>
      <c r="G178" s="66"/>
      <c r="H178" s="66"/>
      <c r="I178" s="66"/>
      <c r="J178" s="66"/>
      <c r="K178" s="66"/>
      <c r="L178" s="66"/>
      <c r="M178" s="66"/>
      <c r="N178" s="66"/>
      <c r="O178" s="66"/>
      <c r="P178" s="66"/>
    </row>
    <row r="179" spans="2:16" ht="15.75">
      <c r="B179" s="66"/>
      <c r="C179" s="66" t="s">
        <v>488</v>
      </c>
      <c r="D179" s="66"/>
      <c r="E179" s="66"/>
      <c r="F179" s="66"/>
      <c r="G179" s="66"/>
      <c r="H179" s="66"/>
      <c r="I179" s="66"/>
      <c r="J179" s="66"/>
      <c r="K179" s="66"/>
      <c r="L179" s="66"/>
      <c r="M179" s="66"/>
      <c r="N179" s="66"/>
      <c r="O179" s="66"/>
      <c r="P179" s="66"/>
    </row>
    <row r="180" spans="2:16" ht="15.75">
      <c r="B180" s="66"/>
      <c r="C180" s="66" t="s">
        <v>486</v>
      </c>
      <c r="D180" s="66"/>
      <c r="E180" s="66"/>
      <c r="F180" s="66"/>
      <c r="G180" s="66"/>
      <c r="H180" s="66"/>
      <c r="I180" s="66"/>
      <c r="J180" s="66"/>
      <c r="K180" s="66"/>
      <c r="L180" s="66"/>
      <c r="M180" s="66"/>
      <c r="N180" s="66"/>
      <c r="O180" s="66"/>
      <c r="P180" s="66"/>
    </row>
    <row r="181" spans="2:16" ht="15.75">
      <c r="B181" s="66"/>
      <c r="C181" s="66" t="s">
        <v>489</v>
      </c>
      <c r="D181" s="66"/>
      <c r="E181" s="66"/>
      <c r="F181" s="66"/>
      <c r="G181" s="66"/>
      <c r="H181" s="66"/>
      <c r="I181" s="66"/>
      <c r="J181" s="66"/>
      <c r="K181" s="66"/>
      <c r="L181" s="66"/>
      <c r="M181" s="66"/>
      <c r="N181" s="66"/>
      <c r="O181" s="66"/>
      <c r="P181" s="66"/>
    </row>
    <row r="182" spans="2:16" ht="15.75">
      <c r="B182" s="66"/>
      <c r="C182" s="66" t="s">
        <v>425</v>
      </c>
      <c r="D182" s="66"/>
      <c r="E182" s="66"/>
      <c r="F182" s="66"/>
      <c r="G182" s="66"/>
      <c r="H182" s="66"/>
      <c r="I182" s="66"/>
      <c r="J182" s="66"/>
      <c r="K182" s="66"/>
      <c r="L182" s="66"/>
      <c r="M182" s="66"/>
      <c r="N182" s="66"/>
      <c r="O182" s="66"/>
      <c r="P182" s="66"/>
    </row>
    <row r="183" spans="2:16" ht="15.75">
      <c r="B183" s="66"/>
      <c r="C183" s="66" t="s">
        <v>529</v>
      </c>
      <c r="D183" s="66"/>
      <c r="E183" s="66"/>
      <c r="F183" s="66"/>
      <c r="G183" s="66"/>
      <c r="H183" s="66"/>
      <c r="I183" s="66"/>
      <c r="J183" s="66"/>
      <c r="K183" s="66"/>
      <c r="L183" s="66"/>
      <c r="M183" s="66"/>
      <c r="N183" s="66"/>
      <c r="O183" s="66"/>
      <c r="P183" s="66"/>
    </row>
    <row r="184" spans="2:16" ht="15.75">
      <c r="B184" s="66"/>
      <c r="C184" s="66" t="s">
        <v>490</v>
      </c>
      <c r="D184" s="66"/>
      <c r="E184" s="66"/>
      <c r="F184" s="66"/>
      <c r="G184" s="66"/>
      <c r="H184" s="66"/>
      <c r="I184" s="66"/>
      <c r="J184" s="66"/>
      <c r="K184" s="66"/>
      <c r="L184" s="66"/>
      <c r="M184" s="66"/>
      <c r="N184" s="66"/>
      <c r="O184" s="66"/>
      <c r="P184" s="66"/>
    </row>
    <row r="185" spans="2:16" ht="15.75">
      <c r="B185" s="66"/>
      <c r="C185" s="66" t="s">
        <v>401</v>
      </c>
      <c r="D185" s="66"/>
      <c r="E185" s="66"/>
      <c r="F185" s="66"/>
      <c r="G185" s="66"/>
      <c r="H185" s="66"/>
      <c r="I185" s="66"/>
      <c r="J185" s="66"/>
      <c r="K185" s="66"/>
      <c r="L185" s="66"/>
      <c r="M185" s="66"/>
      <c r="N185" s="66"/>
      <c r="O185" s="66"/>
      <c r="P185" s="66"/>
    </row>
    <row r="186" spans="2:16" ht="15.75">
      <c r="B186" s="66"/>
      <c r="C186" s="66" t="s">
        <v>402</v>
      </c>
      <c r="D186" s="66"/>
      <c r="E186" s="66"/>
      <c r="F186" s="66"/>
      <c r="G186" s="66"/>
      <c r="H186" s="66"/>
      <c r="I186" s="66"/>
      <c r="J186" s="66"/>
      <c r="K186" s="66"/>
      <c r="L186" s="66"/>
      <c r="M186" s="66"/>
      <c r="N186" s="66"/>
      <c r="O186" s="66"/>
      <c r="P186" s="66"/>
    </row>
    <row r="187" spans="2:16" ht="15.75">
      <c r="B187" s="66"/>
      <c r="C187" s="66" t="s">
        <v>408</v>
      </c>
      <c r="D187" s="66"/>
      <c r="E187" s="66"/>
      <c r="F187" s="66"/>
      <c r="G187" s="66"/>
      <c r="H187" s="66"/>
      <c r="I187" s="66"/>
      <c r="J187" s="66"/>
      <c r="K187" s="66"/>
      <c r="L187" s="66"/>
      <c r="M187" s="66"/>
      <c r="N187" s="66"/>
      <c r="O187" s="66"/>
      <c r="P187" s="66"/>
    </row>
    <row r="188" spans="2:16" ht="15.75">
      <c r="B188" s="66"/>
      <c r="C188" s="66"/>
      <c r="D188" s="66" t="s">
        <v>409</v>
      </c>
      <c r="E188" s="66"/>
      <c r="F188" s="66"/>
      <c r="G188" s="66"/>
      <c r="H188" s="66"/>
      <c r="I188" s="66"/>
      <c r="J188" s="66"/>
      <c r="K188" s="66"/>
      <c r="L188" s="66"/>
      <c r="M188" s="66"/>
      <c r="N188" s="66"/>
      <c r="O188" s="66"/>
      <c r="P188" s="66"/>
    </row>
    <row r="189" spans="2:16" ht="15.75">
      <c r="B189" s="66"/>
      <c r="C189" s="66"/>
      <c r="D189" s="66" t="s">
        <v>410</v>
      </c>
      <c r="E189" s="66"/>
      <c r="F189" s="66"/>
      <c r="G189" s="66"/>
      <c r="H189" s="66"/>
      <c r="I189" s="66"/>
      <c r="J189" s="66"/>
      <c r="K189" s="66"/>
      <c r="L189" s="66"/>
      <c r="M189" s="66"/>
      <c r="N189" s="66"/>
      <c r="O189" s="66"/>
      <c r="P189" s="66"/>
    </row>
    <row r="190" spans="2:16" ht="15.75">
      <c r="B190" s="66"/>
      <c r="C190" s="66"/>
      <c r="D190" s="66" t="s">
        <v>412</v>
      </c>
      <c r="E190" s="66"/>
      <c r="F190" s="66"/>
      <c r="G190" s="66"/>
      <c r="H190" s="66"/>
      <c r="I190" s="66"/>
      <c r="J190" s="66"/>
      <c r="K190" s="66"/>
      <c r="L190" s="66"/>
      <c r="M190" s="66"/>
      <c r="N190" s="66"/>
      <c r="O190" s="66"/>
      <c r="P190" s="66"/>
    </row>
    <row r="191" spans="2:16" ht="15.75">
      <c r="B191" s="66"/>
      <c r="C191" s="66" t="s">
        <v>426</v>
      </c>
      <c r="D191" s="66"/>
      <c r="E191" s="66"/>
      <c r="F191" s="66"/>
      <c r="G191" s="66"/>
      <c r="H191" s="66"/>
      <c r="I191" s="66"/>
      <c r="J191" s="66"/>
      <c r="K191" s="66"/>
      <c r="L191" s="66"/>
      <c r="M191" s="66"/>
      <c r="N191" s="66"/>
      <c r="O191" s="66"/>
      <c r="P191" s="66"/>
    </row>
    <row r="192" spans="2:16" ht="15.75">
      <c r="B192" s="66"/>
      <c r="C192" s="66" t="s">
        <v>444</v>
      </c>
      <c r="D192" s="66"/>
      <c r="E192" s="66"/>
      <c r="F192" s="66"/>
      <c r="G192" s="66"/>
      <c r="H192" s="66"/>
      <c r="I192" s="66"/>
      <c r="J192" s="66"/>
      <c r="K192" s="66"/>
      <c r="L192" s="66"/>
      <c r="M192" s="66"/>
      <c r="N192" s="66"/>
      <c r="O192" s="66"/>
      <c r="P192" s="66"/>
    </row>
    <row r="193" spans="2:16" ht="15.75">
      <c r="B193" s="66"/>
      <c r="C193" s="66" t="s">
        <v>491</v>
      </c>
      <c r="D193" s="66"/>
      <c r="E193" s="66"/>
      <c r="F193" s="66"/>
      <c r="G193" s="66"/>
      <c r="H193" s="66"/>
      <c r="I193" s="66"/>
      <c r="J193" s="66"/>
      <c r="K193" s="66"/>
      <c r="L193" s="66"/>
      <c r="M193" s="66"/>
      <c r="N193" s="66"/>
      <c r="O193" s="66"/>
      <c r="P193" s="66"/>
    </row>
    <row r="194" spans="2:16" ht="15.75">
      <c r="B194" s="66"/>
      <c r="C194" s="66" t="s">
        <v>492</v>
      </c>
      <c r="D194" s="66"/>
      <c r="E194" s="66"/>
      <c r="F194" s="66"/>
      <c r="G194" s="66"/>
      <c r="H194" s="66"/>
      <c r="I194" s="66"/>
      <c r="J194" s="66"/>
      <c r="K194" s="66"/>
      <c r="L194" s="66"/>
      <c r="M194" s="66"/>
      <c r="N194" s="66"/>
      <c r="O194" s="66"/>
      <c r="P194" s="66"/>
    </row>
    <row r="195" spans="2:16" ht="15.75">
      <c r="B195" s="66"/>
      <c r="C195" s="66" t="s">
        <v>493</v>
      </c>
      <c r="D195" s="66"/>
      <c r="E195" s="66"/>
      <c r="F195" s="66"/>
      <c r="G195" s="66"/>
      <c r="H195" s="66"/>
      <c r="I195" s="66"/>
      <c r="J195" s="66"/>
      <c r="K195" s="66"/>
      <c r="L195" s="66"/>
      <c r="M195" s="66"/>
      <c r="N195" s="66"/>
      <c r="O195" s="66"/>
      <c r="P195" s="66"/>
    </row>
    <row r="196" spans="2:16" ht="15.75">
      <c r="B196" s="66"/>
      <c r="C196" s="66" t="s">
        <v>494</v>
      </c>
      <c r="D196" s="66"/>
      <c r="E196" s="66"/>
      <c r="F196" s="66"/>
      <c r="G196" s="66"/>
      <c r="H196" s="66"/>
      <c r="I196" s="66"/>
      <c r="J196" s="66"/>
      <c r="K196" s="66"/>
      <c r="L196" s="66"/>
      <c r="M196" s="66"/>
      <c r="N196" s="66"/>
      <c r="O196" s="66"/>
      <c r="P196" s="66"/>
    </row>
    <row r="197" spans="2:16" ht="15.75">
      <c r="B197" s="66" t="s">
        <v>411</v>
      </c>
      <c r="C197" s="66"/>
      <c r="D197" s="66"/>
      <c r="E197" s="66"/>
      <c r="F197" s="66"/>
      <c r="G197" s="66"/>
      <c r="H197" s="66"/>
      <c r="I197" s="66"/>
      <c r="J197" s="66"/>
      <c r="K197" s="66"/>
      <c r="L197" s="66"/>
      <c r="M197" s="66"/>
      <c r="N197" s="66"/>
      <c r="O197" s="66"/>
      <c r="P197" s="66"/>
    </row>
    <row r="198" spans="2:16" ht="15.75">
      <c r="B198" s="66"/>
      <c r="C198" s="66" t="s">
        <v>430</v>
      </c>
      <c r="D198" s="66"/>
      <c r="E198" s="66"/>
      <c r="F198" s="66"/>
      <c r="G198" s="66"/>
      <c r="H198" s="66"/>
      <c r="I198" s="66"/>
      <c r="J198" s="66"/>
      <c r="K198" s="66"/>
      <c r="L198" s="66"/>
      <c r="M198" s="66"/>
      <c r="N198" s="66"/>
      <c r="O198" s="66"/>
      <c r="P198" s="66"/>
    </row>
    <row r="199" spans="2:16" ht="15.75">
      <c r="B199" s="66"/>
      <c r="C199" s="66" t="s">
        <v>445</v>
      </c>
      <c r="D199" s="66"/>
      <c r="E199" s="66"/>
      <c r="F199" s="66"/>
      <c r="G199" s="66"/>
      <c r="H199" s="66"/>
      <c r="I199" s="66"/>
      <c r="J199" s="66"/>
      <c r="K199" s="66"/>
      <c r="L199" s="66"/>
      <c r="M199" s="66"/>
      <c r="N199" s="66"/>
      <c r="O199" s="66"/>
      <c r="P199" s="66"/>
    </row>
    <row r="200" spans="2:16" ht="15.75">
      <c r="B200" s="66"/>
      <c r="C200" s="66" t="s">
        <v>443</v>
      </c>
      <c r="D200" s="66"/>
      <c r="E200" s="66"/>
      <c r="F200" s="66"/>
      <c r="G200" s="66"/>
      <c r="H200" s="66"/>
      <c r="I200" s="66"/>
      <c r="J200" s="66"/>
      <c r="K200" s="66"/>
      <c r="L200" s="66"/>
      <c r="M200" s="66"/>
      <c r="N200" s="66"/>
      <c r="O200" s="66"/>
      <c r="P200" s="66"/>
    </row>
    <row r="201" spans="2:16" ht="15.75">
      <c r="B201" s="66"/>
      <c r="C201" s="66" t="s">
        <v>446</v>
      </c>
      <c r="D201" s="66"/>
      <c r="E201" s="66"/>
      <c r="F201" s="66"/>
      <c r="G201" s="66"/>
      <c r="H201" s="66"/>
      <c r="I201" s="66"/>
      <c r="J201" s="66"/>
      <c r="K201" s="66"/>
      <c r="L201" s="66"/>
      <c r="M201" s="66"/>
      <c r="N201" s="66"/>
      <c r="O201" s="66"/>
      <c r="P201" s="66"/>
    </row>
    <row r="202" spans="2:16" ht="15.75">
      <c r="B202" s="66"/>
      <c r="C202" s="66" t="s">
        <v>447</v>
      </c>
      <c r="D202" s="66"/>
      <c r="E202" s="66"/>
      <c r="F202" s="66"/>
      <c r="G202" s="66"/>
      <c r="H202" s="66"/>
      <c r="I202" s="66"/>
      <c r="J202" s="66"/>
      <c r="K202" s="66"/>
      <c r="L202" s="66"/>
      <c r="M202" s="66"/>
      <c r="N202" s="66"/>
      <c r="O202" s="66"/>
      <c r="P202" s="66"/>
    </row>
    <row r="203" spans="2:16" ht="15.75">
      <c r="B203" s="66"/>
      <c r="C203" s="66" t="s">
        <v>509</v>
      </c>
      <c r="D203" s="66"/>
      <c r="E203" s="66"/>
      <c r="F203" s="66"/>
      <c r="G203" s="66"/>
      <c r="H203" s="66"/>
      <c r="I203" s="66"/>
      <c r="J203" s="66"/>
      <c r="K203" s="66"/>
      <c r="L203" s="66"/>
      <c r="M203" s="66"/>
      <c r="N203" s="66"/>
      <c r="O203" s="66"/>
      <c r="P203" s="66"/>
    </row>
    <row r="204" spans="2:16" ht="15.75">
      <c r="B204" s="66"/>
      <c r="C204" s="66" t="s">
        <v>452</v>
      </c>
      <c r="D204" s="66"/>
      <c r="E204" s="66"/>
      <c r="F204" s="66"/>
      <c r="G204" s="66"/>
      <c r="H204" s="66"/>
      <c r="I204" s="66"/>
      <c r="J204" s="66"/>
      <c r="K204" s="66"/>
      <c r="L204" s="66"/>
      <c r="M204" s="66"/>
      <c r="N204" s="66"/>
      <c r="O204" s="66"/>
      <c r="P204" s="66"/>
    </row>
    <row r="205" spans="2:16" ht="15.75">
      <c r="B205" s="66"/>
      <c r="C205" s="66" t="s">
        <v>448</v>
      </c>
      <c r="D205" s="66"/>
      <c r="E205" s="66"/>
      <c r="F205" s="66"/>
      <c r="G205" s="66"/>
      <c r="H205" s="66"/>
      <c r="I205" s="66"/>
      <c r="J205" s="66"/>
      <c r="K205" s="66"/>
      <c r="L205" s="66"/>
      <c r="M205" s="66"/>
      <c r="N205" s="66"/>
      <c r="O205" s="66"/>
      <c r="P205" s="66"/>
    </row>
    <row r="206" spans="2:16" ht="15.75">
      <c r="B206" s="66" t="s">
        <v>450</v>
      </c>
      <c r="C206" s="66"/>
      <c r="D206" s="66"/>
      <c r="E206" s="66"/>
      <c r="F206" s="66"/>
      <c r="G206" s="66"/>
      <c r="H206" s="66"/>
      <c r="I206" s="66"/>
      <c r="J206" s="66"/>
      <c r="K206" s="66"/>
      <c r="L206" s="66"/>
      <c r="M206" s="66"/>
      <c r="N206" s="66"/>
      <c r="O206" s="66"/>
      <c r="P206" s="66"/>
    </row>
    <row r="207" spans="2:16" ht="15.75">
      <c r="B207" s="66"/>
      <c r="C207" s="66" t="s">
        <v>451</v>
      </c>
      <c r="D207" s="66"/>
      <c r="E207" s="66"/>
      <c r="F207" s="66"/>
      <c r="G207" s="66"/>
      <c r="H207" s="66"/>
      <c r="I207" s="66"/>
      <c r="J207" s="66"/>
      <c r="K207" s="66"/>
      <c r="L207" s="66"/>
      <c r="M207" s="66"/>
      <c r="N207" s="66"/>
      <c r="O207" s="66"/>
      <c r="P207" s="66"/>
    </row>
    <row r="208" spans="2:16" ht="15.75">
      <c r="B208" s="66"/>
      <c r="C208" s="66" t="s">
        <v>398</v>
      </c>
      <c r="D208" s="66"/>
      <c r="E208" s="66"/>
      <c r="F208" s="66"/>
      <c r="G208" s="66"/>
      <c r="H208" s="66"/>
      <c r="I208" s="66"/>
      <c r="J208" s="66"/>
      <c r="K208" s="66"/>
      <c r="L208" s="66"/>
      <c r="M208" s="66"/>
      <c r="N208" s="66"/>
      <c r="O208" s="66"/>
      <c r="P208" s="66"/>
    </row>
    <row r="209" spans="2:16" ht="15.75">
      <c r="B209" s="66" t="s">
        <v>403</v>
      </c>
      <c r="C209" s="66"/>
      <c r="D209" s="66"/>
      <c r="E209" s="66"/>
      <c r="F209" s="66"/>
      <c r="G209" s="66"/>
      <c r="H209" s="66"/>
      <c r="I209" s="66"/>
      <c r="J209" s="66"/>
      <c r="K209" s="66"/>
      <c r="L209" s="66"/>
      <c r="M209" s="66"/>
      <c r="N209" s="66"/>
      <c r="O209" s="66"/>
      <c r="P209" s="66"/>
    </row>
    <row r="210" spans="2:16" ht="15.75">
      <c r="B210" s="66"/>
      <c r="C210" s="66" t="s">
        <v>422</v>
      </c>
      <c r="D210" s="66"/>
      <c r="E210" s="66"/>
      <c r="F210" s="66"/>
      <c r="G210" s="66"/>
      <c r="H210" s="66"/>
      <c r="I210" s="66"/>
      <c r="J210" s="66"/>
      <c r="K210" s="66"/>
      <c r="L210" s="66"/>
      <c r="M210" s="66"/>
      <c r="N210" s="66"/>
      <c r="O210" s="66"/>
      <c r="P210" s="66"/>
    </row>
    <row r="211" spans="2:16" ht="15.75">
      <c r="B211" s="66"/>
      <c r="C211" s="66" t="s">
        <v>420</v>
      </c>
      <c r="D211" s="66"/>
      <c r="E211" s="66"/>
      <c r="F211" s="66"/>
      <c r="G211" s="66"/>
      <c r="H211" s="66"/>
      <c r="I211" s="66"/>
      <c r="J211" s="66"/>
      <c r="K211" s="66"/>
      <c r="L211" s="66"/>
      <c r="M211" s="66"/>
      <c r="N211" s="66"/>
      <c r="O211" s="66"/>
      <c r="P211" s="66"/>
    </row>
    <row r="212" spans="2:16" ht="15.75">
      <c r="B212" s="66"/>
      <c r="C212" s="66" t="s">
        <v>404</v>
      </c>
      <c r="D212" s="66"/>
      <c r="E212" s="66"/>
      <c r="F212" s="66"/>
      <c r="G212" s="66"/>
      <c r="H212" s="66"/>
      <c r="I212" s="66"/>
      <c r="J212" s="66"/>
      <c r="K212" s="66"/>
      <c r="L212" s="66"/>
      <c r="M212" s="66"/>
      <c r="N212" s="66"/>
      <c r="O212" s="66"/>
      <c r="P212" s="66"/>
    </row>
    <row r="213" spans="2:16" ht="15.75">
      <c r="B213" s="66"/>
      <c r="C213" s="66" t="s">
        <v>421</v>
      </c>
      <c r="D213" s="66"/>
      <c r="E213" s="66"/>
      <c r="F213" s="66"/>
      <c r="G213" s="66"/>
      <c r="H213" s="66"/>
      <c r="I213" s="66"/>
      <c r="J213" s="66"/>
      <c r="K213" s="66"/>
      <c r="L213" s="66"/>
      <c r="M213" s="66"/>
      <c r="N213" s="66"/>
      <c r="O213" s="66"/>
      <c r="P213" s="66"/>
    </row>
    <row r="214" spans="2:16" ht="15.75">
      <c r="B214" s="66"/>
      <c r="C214" s="66" t="s">
        <v>423</v>
      </c>
      <c r="D214" s="66"/>
      <c r="E214" s="66"/>
      <c r="F214" s="66"/>
      <c r="G214" s="66"/>
      <c r="H214" s="66"/>
      <c r="I214" s="66"/>
      <c r="J214" s="66"/>
      <c r="K214" s="66"/>
      <c r="L214" s="66"/>
      <c r="M214" s="66"/>
      <c r="N214" s="66"/>
      <c r="O214" s="66"/>
      <c r="P214" s="66"/>
    </row>
    <row r="215" spans="2:16" ht="15.75">
      <c r="B215" s="66"/>
      <c r="C215" s="66" t="s">
        <v>424</v>
      </c>
      <c r="D215" s="66"/>
      <c r="E215" s="66"/>
      <c r="F215" s="66"/>
      <c r="G215" s="66"/>
      <c r="H215" s="66"/>
      <c r="I215" s="66"/>
      <c r="J215" s="66"/>
      <c r="K215" s="66"/>
      <c r="L215" s="66"/>
      <c r="M215" s="66"/>
      <c r="N215" s="66"/>
      <c r="O215" s="66"/>
      <c r="P215" s="66"/>
    </row>
    <row r="216" spans="2:16" ht="15.75">
      <c r="B216" s="66"/>
      <c r="C216" s="66" t="s">
        <v>453</v>
      </c>
      <c r="D216" s="66"/>
      <c r="E216" s="66"/>
      <c r="F216" s="66"/>
      <c r="G216" s="66"/>
      <c r="H216" s="66"/>
      <c r="I216" s="66"/>
      <c r="J216" s="66"/>
      <c r="K216" s="66"/>
      <c r="L216" s="66"/>
      <c r="M216" s="66"/>
      <c r="N216" s="66"/>
      <c r="O216" s="66"/>
      <c r="P216" s="66"/>
    </row>
    <row r="217" spans="2:16" ht="15.75">
      <c r="B217" s="66"/>
      <c r="C217" s="66" t="s">
        <v>495</v>
      </c>
      <c r="D217" s="66"/>
      <c r="E217" s="66"/>
      <c r="F217" s="66"/>
      <c r="G217" s="66"/>
      <c r="H217" s="66"/>
      <c r="I217" s="66"/>
      <c r="J217" s="66"/>
      <c r="K217" s="66"/>
      <c r="L217" s="66"/>
      <c r="M217" s="66"/>
      <c r="N217" s="66"/>
      <c r="O217" s="66"/>
      <c r="P217" s="66"/>
    </row>
    <row r="218" spans="2:16" ht="15.75">
      <c r="B218" s="66"/>
      <c r="C218" s="66" t="s">
        <v>496</v>
      </c>
      <c r="D218" s="66"/>
      <c r="E218" s="66"/>
      <c r="F218" s="66"/>
      <c r="G218" s="66"/>
      <c r="H218" s="66"/>
      <c r="I218" s="66"/>
      <c r="J218" s="66"/>
      <c r="K218" s="66"/>
      <c r="L218" s="66"/>
      <c r="M218" s="66"/>
      <c r="N218" s="66"/>
      <c r="O218" s="66"/>
      <c r="P218" s="66"/>
    </row>
    <row r="219" spans="2:16" ht="15.75">
      <c r="B219" s="66"/>
      <c r="C219" s="66" t="s">
        <v>497</v>
      </c>
      <c r="D219" s="66"/>
      <c r="E219" s="66"/>
      <c r="F219" s="66"/>
      <c r="G219" s="66"/>
      <c r="H219" s="66"/>
      <c r="I219" s="66"/>
      <c r="J219" s="66"/>
      <c r="K219" s="66"/>
      <c r="L219" s="66"/>
      <c r="M219" s="66"/>
      <c r="N219" s="66"/>
      <c r="O219" s="66"/>
      <c r="P219" s="66"/>
    </row>
    <row r="220" spans="2:16" ht="15.75">
      <c r="B220" s="66"/>
      <c r="C220" s="66" t="s">
        <v>498</v>
      </c>
      <c r="D220" s="66"/>
      <c r="E220" s="66"/>
      <c r="F220" s="66"/>
      <c r="G220" s="66"/>
      <c r="H220" s="66"/>
      <c r="I220" s="66"/>
      <c r="J220" s="66"/>
      <c r="K220" s="66"/>
      <c r="L220" s="66"/>
      <c r="M220" s="66"/>
      <c r="N220" s="66"/>
      <c r="O220" s="66"/>
      <c r="P220" s="66"/>
    </row>
    <row r="221" spans="2:16" ht="15.75">
      <c r="B221" s="66"/>
      <c r="J221" s="66"/>
      <c r="K221" s="66"/>
      <c r="L221" s="66"/>
      <c r="M221" s="66"/>
      <c r="N221" s="66"/>
      <c r="O221" s="66"/>
      <c r="P221" s="66"/>
    </row>
    <row r="222" spans="2:16" ht="15.75">
      <c r="B222" s="66" t="s">
        <v>414</v>
      </c>
      <c r="C222" s="66"/>
      <c r="D222" s="66"/>
      <c r="E222" s="66"/>
      <c r="F222" s="66"/>
      <c r="G222" s="66"/>
      <c r="H222" s="66"/>
      <c r="I222" s="66"/>
      <c r="J222" s="66"/>
      <c r="K222" s="66"/>
      <c r="L222" s="66"/>
      <c r="M222" s="66"/>
      <c r="N222" s="66"/>
      <c r="O222" s="66"/>
      <c r="P222" s="66"/>
    </row>
    <row r="223" spans="2:16" ht="15.75">
      <c r="B223" s="66"/>
      <c r="C223" s="66" t="s">
        <v>449</v>
      </c>
      <c r="D223" s="66"/>
      <c r="E223" s="66"/>
      <c r="F223" s="66"/>
      <c r="G223" s="66"/>
      <c r="H223" s="66"/>
      <c r="I223" s="66"/>
      <c r="J223" s="66"/>
      <c r="K223" s="66"/>
      <c r="L223" s="66"/>
      <c r="M223" s="66"/>
      <c r="N223" s="66"/>
      <c r="O223" s="66"/>
      <c r="P223" s="66"/>
    </row>
    <row r="224" spans="2:16" ht="15.75">
      <c r="B224" s="66"/>
      <c r="C224" s="66" t="s">
        <v>413</v>
      </c>
      <c r="D224" s="66"/>
      <c r="E224" s="66"/>
      <c r="F224" s="66"/>
      <c r="G224" s="66"/>
      <c r="H224" s="66"/>
      <c r="I224" s="66"/>
      <c r="J224" s="66"/>
      <c r="K224" s="66"/>
      <c r="L224" s="66"/>
      <c r="M224" s="66"/>
      <c r="N224" s="66"/>
      <c r="O224" s="66"/>
      <c r="P224" s="66"/>
    </row>
    <row r="225" spans="2:16" ht="15.75">
      <c r="B225" s="66"/>
      <c r="C225" s="66" t="s">
        <v>399</v>
      </c>
      <c r="D225" s="66"/>
      <c r="E225" s="66"/>
      <c r="F225" s="66"/>
      <c r="G225" s="66"/>
      <c r="H225" s="66"/>
      <c r="I225" s="66"/>
      <c r="J225" s="66"/>
      <c r="K225" s="66"/>
      <c r="L225" s="66"/>
      <c r="M225" s="66"/>
      <c r="N225" s="66"/>
      <c r="O225" s="66"/>
      <c r="P225" s="66"/>
    </row>
    <row r="226" spans="2:16" ht="15.75">
      <c r="B226" s="66"/>
      <c r="C226" s="66" t="s">
        <v>397</v>
      </c>
      <c r="D226" s="66"/>
      <c r="E226" s="66"/>
      <c r="F226" s="66"/>
      <c r="G226" s="66"/>
      <c r="H226" s="66"/>
      <c r="I226" s="66"/>
      <c r="J226" s="66"/>
      <c r="K226" s="66"/>
      <c r="L226" s="66"/>
      <c r="M226" s="66"/>
      <c r="N226" s="66"/>
      <c r="O226" s="66"/>
      <c r="P226" s="66"/>
    </row>
    <row r="227" spans="2:16" ht="15.75">
      <c r="B227" s="66"/>
      <c r="C227" s="66" t="s">
        <v>400</v>
      </c>
      <c r="D227" s="66"/>
      <c r="E227" s="66"/>
      <c r="F227" s="66"/>
      <c r="G227" s="66"/>
      <c r="H227" s="66"/>
      <c r="I227" s="66"/>
      <c r="J227" s="66"/>
      <c r="K227" s="66"/>
      <c r="L227" s="66"/>
      <c r="M227" s="66"/>
      <c r="N227" s="66"/>
      <c r="O227" s="66"/>
      <c r="P227" s="66"/>
    </row>
    <row r="228" spans="2:16" ht="15.75">
      <c r="B228" s="66" t="s">
        <v>84</v>
      </c>
      <c r="C228" s="66"/>
      <c r="D228" s="66"/>
      <c r="E228" s="66"/>
      <c r="F228" s="66"/>
      <c r="G228" s="66"/>
      <c r="H228" s="66"/>
      <c r="I228" s="66"/>
      <c r="J228" s="66"/>
      <c r="K228" s="66"/>
      <c r="L228" s="66"/>
      <c r="M228" s="66"/>
      <c r="N228" s="66"/>
      <c r="O228" s="66"/>
      <c r="P228" s="66"/>
    </row>
    <row r="229" spans="2:16" ht="15.75">
      <c r="B229" s="66"/>
      <c r="C229" s="66" t="s">
        <v>434</v>
      </c>
      <c r="D229" s="66"/>
      <c r="E229" s="66"/>
      <c r="F229" s="66"/>
      <c r="G229" s="66"/>
      <c r="H229" s="66"/>
      <c r="I229" s="66"/>
      <c r="J229" s="66"/>
      <c r="K229" s="66"/>
      <c r="L229" s="66"/>
      <c r="M229" s="66"/>
      <c r="N229" s="66"/>
      <c r="O229" s="66"/>
      <c r="P229" s="66"/>
    </row>
    <row r="230" spans="2:16" ht="15.75">
      <c r="B230" s="66"/>
      <c r="C230" s="66" t="s">
        <v>441</v>
      </c>
      <c r="D230" s="66"/>
      <c r="E230" s="66"/>
      <c r="F230" s="66"/>
      <c r="G230" s="66"/>
      <c r="H230" s="66"/>
      <c r="I230" s="66"/>
      <c r="J230" s="66"/>
      <c r="K230" s="66"/>
      <c r="L230" s="66"/>
      <c r="M230" s="66"/>
      <c r="N230" s="66"/>
      <c r="O230" s="66"/>
      <c r="P230" s="66"/>
    </row>
    <row r="231" spans="2:16" ht="15.75">
      <c r="B231" s="66"/>
      <c r="C231" s="66" t="s">
        <v>442</v>
      </c>
      <c r="D231" s="66"/>
      <c r="E231" s="66"/>
      <c r="F231" s="66"/>
      <c r="G231" s="66"/>
      <c r="H231" s="66"/>
      <c r="I231" s="66"/>
      <c r="J231" s="66"/>
      <c r="K231" s="66"/>
      <c r="L231" s="66"/>
      <c r="M231" s="66"/>
      <c r="N231" s="66"/>
      <c r="O231" s="66"/>
      <c r="P231" s="66"/>
    </row>
    <row r="232" spans="2:16" ht="15.75">
      <c r="B232" s="66"/>
      <c r="C232" s="66"/>
      <c r="D232" s="66" t="s">
        <v>433</v>
      </c>
      <c r="E232" s="66"/>
      <c r="F232" s="66"/>
      <c r="G232" s="66"/>
      <c r="H232" s="66"/>
      <c r="I232" s="66"/>
      <c r="J232" s="66"/>
      <c r="K232" s="66"/>
      <c r="L232" s="66"/>
      <c r="M232" s="66"/>
      <c r="N232" s="66"/>
      <c r="O232" s="66"/>
      <c r="P232" s="66"/>
    </row>
    <row r="233" spans="2:16" ht="15.75">
      <c r="B233" s="66"/>
      <c r="C233" s="66"/>
      <c r="D233" s="66" t="s">
        <v>432</v>
      </c>
      <c r="E233" s="66"/>
      <c r="F233" s="66"/>
      <c r="G233" s="66"/>
      <c r="H233" s="66"/>
      <c r="I233" s="66"/>
      <c r="J233" s="66"/>
      <c r="K233" s="66"/>
      <c r="L233" s="66"/>
      <c r="M233" s="66"/>
      <c r="N233" s="66"/>
      <c r="O233" s="66"/>
      <c r="P233" s="66"/>
    </row>
    <row r="234" spans="2:16" ht="15.75">
      <c r="B234" s="66"/>
      <c r="C234" s="66"/>
      <c r="D234" s="66" t="s">
        <v>435</v>
      </c>
      <c r="E234" s="66"/>
      <c r="F234" s="66"/>
      <c r="G234" s="66"/>
      <c r="H234" s="66"/>
      <c r="I234" s="66"/>
      <c r="J234" s="66"/>
      <c r="K234" s="66"/>
      <c r="L234" s="66"/>
      <c r="M234" s="66"/>
      <c r="N234" s="66"/>
      <c r="O234" s="66"/>
      <c r="P234" s="66"/>
    </row>
    <row r="235" spans="2:16" ht="15.75">
      <c r="B235" s="66"/>
      <c r="C235" s="66"/>
      <c r="D235" s="66" t="s">
        <v>436</v>
      </c>
      <c r="E235" s="66"/>
      <c r="F235" s="66"/>
      <c r="G235" s="66"/>
      <c r="H235" s="66"/>
      <c r="I235" s="66"/>
      <c r="J235" s="66"/>
      <c r="K235" s="66"/>
      <c r="L235" s="66"/>
      <c r="M235" s="66"/>
      <c r="N235" s="66"/>
      <c r="O235" s="66"/>
      <c r="P235" s="66"/>
    </row>
    <row r="236" spans="2:16" ht="15.75">
      <c r="B236" s="66"/>
      <c r="C236" s="66"/>
      <c r="D236" s="66" t="s">
        <v>437</v>
      </c>
      <c r="E236" s="66"/>
      <c r="F236" s="66"/>
      <c r="G236" s="66"/>
      <c r="H236" s="66"/>
      <c r="I236" s="66"/>
      <c r="J236" s="66"/>
      <c r="K236" s="66"/>
      <c r="L236" s="66"/>
      <c r="M236" s="66"/>
      <c r="N236" s="66"/>
      <c r="O236" s="66"/>
      <c r="P236" s="66"/>
    </row>
    <row r="237" spans="2:16" ht="15.75">
      <c r="B237" s="66"/>
      <c r="C237" s="66"/>
      <c r="D237" s="66" t="s">
        <v>438</v>
      </c>
      <c r="E237" s="66"/>
      <c r="F237" s="66"/>
      <c r="G237" s="66"/>
      <c r="H237" s="66"/>
      <c r="I237" s="66"/>
      <c r="J237" s="66"/>
      <c r="K237" s="66"/>
      <c r="L237" s="66"/>
      <c r="M237" s="66"/>
      <c r="N237" s="66"/>
      <c r="O237" s="66"/>
      <c r="P237" s="66"/>
    </row>
    <row r="238" spans="2:16" ht="15.75">
      <c r="B238" s="66"/>
      <c r="C238" s="66"/>
      <c r="D238" s="66" t="s">
        <v>439</v>
      </c>
      <c r="E238" s="66"/>
      <c r="F238" s="66"/>
      <c r="G238" s="66"/>
      <c r="H238" s="66"/>
      <c r="I238" s="66"/>
      <c r="J238" s="66"/>
      <c r="K238" s="66"/>
      <c r="L238" s="66"/>
      <c r="M238" s="66"/>
      <c r="N238" s="66"/>
      <c r="O238" s="66"/>
      <c r="P238" s="66"/>
    </row>
    <row r="239" spans="2:16" ht="15.75">
      <c r="B239" s="66" t="s">
        <v>431</v>
      </c>
      <c r="C239" s="66"/>
      <c r="D239" s="66"/>
      <c r="E239" s="66"/>
      <c r="F239" s="66"/>
      <c r="G239" s="66"/>
      <c r="H239" s="66"/>
      <c r="I239" s="66"/>
      <c r="J239" s="66"/>
      <c r="K239" s="66"/>
      <c r="L239" s="66"/>
      <c r="M239" s="66"/>
      <c r="N239" s="66"/>
      <c r="O239" s="66"/>
      <c r="P239" s="66"/>
    </row>
    <row r="240" spans="2:16" ht="15.75">
      <c r="B240" s="66" t="s">
        <v>417</v>
      </c>
      <c r="C240" s="66"/>
      <c r="D240" s="66"/>
      <c r="E240" s="66"/>
      <c r="F240" s="66"/>
      <c r="G240" s="66"/>
      <c r="H240" s="66"/>
      <c r="I240" s="66"/>
      <c r="J240" s="66"/>
      <c r="K240" s="66"/>
      <c r="L240" s="66"/>
      <c r="M240" s="66"/>
      <c r="N240" s="66"/>
      <c r="O240" s="66"/>
      <c r="P240" s="66"/>
    </row>
    <row r="241" spans="2:16" ht="15.75">
      <c r="B241" s="66"/>
      <c r="C241" s="66" t="s">
        <v>427</v>
      </c>
      <c r="D241" s="66"/>
      <c r="E241" s="66"/>
      <c r="F241" s="66"/>
      <c r="G241" s="66"/>
      <c r="H241" s="66"/>
      <c r="I241" s="66"/>
      <c r="J241" s="66"/>
      <c r="K241" s="70" t="s">
        <v>429</v>
      </c>
      <c r="L241" s="66"/>
      <c r="M241" s="66"/>
      <c r="N241" s="66"/>
      <c r="O241" s="66"/>
      <c r="P241" s="66"/>
    </row>
    <row r="242" spans="2:16" ht="15.75">
      <c r="B242" s="66"/>
      <c r="C242" s="66" t="s">
        <v>642</v>
      </c>
      <c r="D242" s="66"/>
      <c r="E242" s="66"/>
      <c r="F242" s="66"/>
      <c r="G242" s="66"/>
      <c r="H242" s="66"/>
      <c r="I242" s="66"/>
      <c r="J242" s="66"/>
      <c r="K242" s="71">
        <f>1255/0.35</f>
        <v>3585.7142857142858</v>
      </c>
      <c r="L242" s="66"/>
      <c r="M242" s="66"/>
      <c r="N242" s="66"/>
      <c r="O242" s="66"/>
      <c r="P242" s="66"/>
    </row>
    <row r="243" spans="2:16" ht="15.75">
      <c r="B243" s="66"/>
      <c r="C243" s="66" t="s">
        <v>428</v>
      </c>
      <c r="D243" s="66"/>
      <c r="E243" s="66"/>
      <c r="F243" s="66"/>
      <c r="G243" s="66"/>
      <c r="H243" s="66"/>
      <c r="I243" s="66"/>
      <c r="J243" s="66"/>
      <c r="K243" s="71">
        <f>49/0.021</f>
        <v>2333.333333333333</v>
      </c>
      <c r="L243" s="66"/>
      <c r="M243" s="66"/>
      <c r="N243" s="66"/>
      <c r="O243" s="66"/>
      <c r="P243" s="66"/>
    </row>
    <row r="244" spans="2:16" ht="15.75">
      <c r="B244" s="66"/>
      <c r="C244" s="66" t="s">
        <v>577</v>
      </c>
      <c r="D244" s="66"/>
      <c r="E244" s="66"/>
      <c r="F244" s="66"/>
      <c r="G244" s="66"/>
      <c r="H244" s="66"/>
      <c r="I244" s="66"/>
      <c r="J244" s="66"/>
      <c r="K244" s="71"/>
      <c r="L244" s="66"/>
      <c r="M244" s="66"/>
      <c r="N244" s="66"/>
      <c r="O244" s="66"/>
      <c r="P244" s="66"/>
    </row>
    <row r="245" spans="2:16" ht="15.75">
      <c r="B245" s="66"/>
      <c r="C245" s="66" t="s">
        <v>98</v>
      </c>
      <c r="D245" s="66"/>
      <c r="E245" s="66"/>
      <c r="F245" s="66"/>
      <c r="G245" s="66"/>
      <c r="H245" s="66"/>
      <c r="I245" s="66"/>
      <c r="J245" s="66"/>
      <c r="K245" s="66"/>
      <c r="L245" s="66"/>
      <c r="M245" s="66"/>
      <c r="N245" s="66"/>
      <c r="O245" s="66"/>
      <c r="P245" s="66"/>
    </row>
    <row r="246" spans="2:16" ht="15.75">
      <c r="B246" s="66"/>
      <c r="C246" s="66" t="s">
        <v>454</v>
      </c>
      <c r="D246" s="66"/>
      <c r="E246" s="66"/>
      <c r="F246" s="66"/>
      <c r="G246" s="66"/>
      <c r="H246" s="66"/>
      <c r="I246" s="66"/>
      <c r="J246" s="66"/>
      <c r="K246" s="66"/>
      <c r="L246" s="66"/>
      <c r="M246" s="66"/>
      <c r="N246" s="66"/>
      <c r="O246" s="66"/>
      <c r="P246" s="66"/>
    </row>
    <row r="247" spans="2:16" ht="15.75">
      <c r="B247" s="66"/>
      <c r="C247" s="66" t="s">
        <v>499</v>
      </c>
      <c r="D247" s="66"/>
      <c r="E247" s="66"/>
      <c r="F247" s="66"/>
      <c r="G247" s="66"/>
      <c r="H247" s="66"/>
      <c r="I247" s="66"/>
      <c r="J247" s="66"/>
      <c r="K247" s="66"/>
      <c r="L247" s="66"/>
      <c r="M247" s="66"/>
      <c r="N247" s="66"/>
      <c r="O247" s="66"/>
      <c r="P247" s="66"/>
    </row>
    <row r="248" spans="2:16" ht="15.75">
      <c r="B248" s="66"/>
      <c r="C248" s="66" t="s">
        <v>418</v>
      </c>
      <c r="D248" s="66"/>
      <c r="E248" s="66"/>
      <c r="F248" s="66"/>
      <c r="G248" s="66"/>
      <c r="H248" s="66"/>
      <c r="I248" s="66"/>
      <c r="J248" s="66"/>
      <c r="K248" s="66"/>
      <c r="L248" s="66"/>
      <c r="M248" s="66"/>
      <c r="N248" s="66"/>
      <c r="O248" s="66"/>
      <c r="P248" s="66"/>
    </row>
    <row r="249" spans="2:16" ht="15.75">
      <c r="B249" s="66"/>
      <c r="C249" s="66" t="s">
        <v>419</v>
      </c>
      <c r="D249" s="66"/>
      <c r="E249" s="66"/>
      <c r="F249" s="66"/>
      <c r="G249" s="66"/>
      <c r="H249" s="66"/>
      <c r="I249" s="66"/>
      <c r="J249" s="66"/>
      <c r="K249" s="66"/>
      <c r="L249" s="66"/>
      <c r="M249" s="66"/>
      <c r="N249" s="66"/>
      <c r="O249" s="66"/>
      <c r="P249" s="66"/>
    </row>
    <row r="250" spans="2:16" ht="15.75">
      <c r="B250" s="66" t="s">
        <v>475</v>
      </c>
      <c r="C250" s="66"/>
      <c r="D250" s="66"/>
      <c r="E250" s="66"/>
      <c r="F250" s="66"/>
      <c r="G250" s="66"/>
      <c r="H250" s="66"/>
      <c r="I250" s="66"/>
      <c r="J250" s="66"/>
      <c r="K250" s="66"/>
      <c r="L250" s="66"/>
      <c r="M250" s="66"/>
      <c r="N250" s="66"/>
      <c r="O250" s="66"/>
      <c r="P250" s="66"/>
    </row>
    <row r="251" spans="2:16" ht="15.75">
      <c r="B251" s="66"/>
      <c r="C251" s="66" t="s">
        <v>474</v>
      </c>
      <c r="D251" s="66"/>
      <c r="E251" s="66"/>
      <c r="F251" s="66"/>
      <c r="G251" s="66"/>
      <c r="H251" s="66"/>
      <c r="I251" s="66"/>
      <c r="J251" s="66"/>
      <c r="K251" s="66"/>
      <c r="L251" s="66"/>
      <c r="M251" s="66"/>
      <c r="N251" s="66"/>
      <c r="O251" s="66"/>
      <c r="P251" s="66"/>
    </row>
    <row r="252" spans="2:16" ht="15.75">
      <c r="B252" s="66"/>
      <c r="C252" s="66"/>
      <c r="D252" s="66" t="s">
        <v>501</v>
      </c>
      <c r="E252" s="66"/>
      <c r="F252" s="66"/>
      <c r="G252" s="66"/>
      <c r="H252" s="66">
        <f>1400+2100</f>
        <v>3500</v>
      </c>
      <c r="I252" s="72">
        <f>H252/Valuation!$H$19</f>
        <v>265.95744680851061</v>
      </c>
      <c r="J252">
        <v>2016</v>
      </c>
      <c r="K252" s="66" t="s">
        <v>500</v>
      </c>
      <c r="L252" s="66"/>
      <c r="M252" s="66"/>
      <c r="N252" s="66"/>
      <c r="O252" s="66"/>
      <c r="P252" s="66"/>
    </row>
    <row r="253" spans="2:16" ht="15.75">
      <c r="B253" s="66"/>
      <c r="C253" s="66"/>
      <c r="D253" s="66" t="s">
        <v>155</v>
      </c>
      <c r="E253" s="66"/>
      <c r="F253" s="66"/>
      <c r="G253" s="66"/>
      <c r="H253" s="66">
        <f>580+1270</f>
        <v>1850</v>
      </c>
      <c r="I253" s="72">
        <f>H253/Valuation!$H$19</f>
        <v>140.57750759878419</v>
      </c>
      <c r="J253" s="66" t="s">
        <v>502</v>
      </c>
      <c r="K253" s="66"/>
      <c r="L253" s="66"/>
      <c r="M253" s="66"/>
      <c r="N253" s="66"/>
      <c r="O253" s="66"/>
      <c r="P253" s="66"/>
    </row>
    <row r="254" spans="2:16" ht="15.75">
      <c r="B254" s="66"/>
      <c r="C254" s="66" t="s">
        <v>406</v>
      </c>
      <c r="D254" s="66"/>
      <c r="E254" s="66"/>
      <c r="F254" s="66"/>
      <c r="G254" s="66"/>
      <c r="H254" s="66"/>
      <c r="I254" s="66"/>
      <c r="J254" s="66"/>
      <c r="K254" s="66"/>
      <c r="L254" s="66"/>
      <c r="M254" s="66"/>
      <c r="N254" s="66"/>
      <c r="O254" s="66"/>
      <c r="P254" s="66"/>
    </row>
    <row r="255" spans="2:16" ht="15.75">
      <c r="B255" s="66"/>
      <c r="C255" s="66" t="s">
        <v>416</v>
      </c>
      <c r="D255" s="66"/>
      <c r="E255" s="66"/>
      <c r="F255" s="66"/>
      <c r="G255" s="66"/>
      <c r="H255" s="66"/>
      <c r="I255" s="66"/>
      <c r="J255" s="66"/>
      <c r="K255" s="66"/>
      <c r="L255" s="66"/>
      <c r="M255" s="66"/>
      <c r="N255" s="66"/>
      <c r="O255" s="66"/>
      <c r="P255" s="66"/>
    </row>
    <row r="256" spans="2:16" ht="15.75">
      <c r="B256" s="66"/>
      <c r="C256" s="66" t="s">
        <v>476</v>
      </c>
      <c r="D256" s="66"/>
      <c r="E256" s="66"/>
      <c r="F256" s="66"/>
      <c r="G256" s="66"/>
      <c r="H256" s="66"/>
      <c r="I256" s="66"/>
      <c r="J256" s="66"/>
      <c r="K256" s="66"/>
      <c r="L256" s="66"/>
      <c r="M256" s="66"/>
      <c r="N256" s="66"/>
      <c r="O256" s="66"/>
      <c r="P256" s="66"/>
    </row>
  </sheetData>
  <pageMargins left="0.70866141732283472" right="0.70866141732283472" top="0.74803149606299213" bottom="0.74803149606299213" header="0.31496062992125984" footer="0.31496062992125984"/>
  <pageSetup paperSize="9" scale="6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B2:AI181"/>
  <sheetViews>
    <sheetView showGridLines="0" zoomScale="70" zoomScaleNormal="70" zoomScalePageLayoutView="85" workbookViewId="0">
      <selection activeCell="J75" sqref="J75"/>
    </sheetView>
  </sheetViews>
  <sheetFormatPr defaultColWidth="9.140625" defaultRowHeight="15"/>
  <cols>
    <col min="1" max="1" width="2.5703125" style="161" customWidth="1"/>
    <col min="2" max="2" width="43.5703125" style="161" bestFit="1" customWidth="1"/>
    <col min="3" max="4" width="9.42578125" style="161" customWidth="1"/>
    <col min="5" max="5" width="9.140625" style="161" customWidth="1"/>
    <col min="6" max="6" width="9" style="161" customWidth="1"/>
    <col min="7" max="7" width="9.140625" style="161" customWidth="1"/>
    <col min="8" max="8" width="12.140625" style="161" customWidth="1"/>
    <col min="9" max="9" width="12.42578125" style="161" bestFit="1" customWidth="1"/>
    <col min="10" max="19" width="11.5703125" style="161" bestFit="1" customWidth="1"/>
    <col min="20" max="20" width="11.85546875" style="161" bestFit="1" customWidth="1"/>
    <col min="21" max="21" width="9.140625" style="161" bestFit="1" customWidth="1"/>
    <col min="22" max="23" width="9.7109375" style="161" bestFit="1" customWidth="1"/>
    <col min="24" max="16384" width="9.140625" style="161"/>
  </cols>
  <sheetData>
    <row r="2" spans="2:35">
      <c r="B2" s="160" t="s">
        <v>593</v>
      </c>
      <c r="C2" s="160">
        <v>1998</v>
      </c>
      <c r="D2" s="166">
        <v>1999</v>
      </c>
      <c r="E2" s="166">
        <v>2000</v>
      </c>
      <c r="F2" s="166">
        <v>2001</v>
      </c>
      <c r="G2" s="166">
        <v>2002</v>
      </c>
      <c r="H2" s="166">
        <v>2003</v>
      </c>
      <c r="I2" s="166">
        <v>2004</v>
      </c>
      <c r="J2" s="166">
        <v>2005</v>
      </c>
      <c r="K2" s="166">
        <v>2006</v>
      </c>
      <c r="L2" s="166">
        <v>2007</v>
      </c>
      <c r="M2" s="166">
        <v>2008</v>
      </c>
      <c r="N2" s="166">
        <v>2009</v>
      </c>
      <c r="O2" s="166">
        <v>2010</v>
      </c>
      <c r="P2" s="166">
        <v>2011</v>
      </c>
      <c r="Q2" s="166">
        <v>2012</v>
      </c>
      <c r="R2" s="160">
        <v>2013</v>
      </c>
      <c r="S2" s="160">
        <v>2014</v>
      </c>
      <c r="T2" s="160">
        <v>2015</v>
      </c>
      <c r="U2" s="160">
        <v>2016</v>
      </c>
      <c r="V2" s="160">
        <v>2017</v>
      </c>
      <c r="W2" s="160">
        <v>2018</v>
      </c>
      <c r="X2" s="160">
        <f>W2+1</f>
        <v>2019</v>
      </c>
      <c r="Y2" s="160">
        <f t="shared" ref="Y2:AI2" si="0">X2+1</f>
        <v>2020</v>
      </c>
      <c r="Z2" s="160">
        <f t="shared" si="0"/>
        <v>2021</v>
      </c>
      <c r="AA2" s="160">
        <f t="shared" si="0"/>
        <v>2022</v>
      </c>
      <c r="AB2" s="160">
        <f t="shared" si="0"/>
        <v>2023</v>
      </c>
      <c r="AC2" s="160">
        <f t="shared" si="0"/>
        <v>2024</v>
      </c>
      <c r="AD2" s="160">
        <f t="shared" si="0"/>
        <v>2025</v>
      </c>
      <c r="AE2" s="160">
        <f t="shared" si="0"/>
        <v>2026</v>
      </c>
      <c r="AF2" s="160">
        <f t="shared" si="0"/>
        <v>2027</v>
      </c>
      <c r="AG2" s="160">
        <f t="shared" si="0"/>
        <v>2028</v>
      </c>
      <c r="AH2" s="160">
        <f t="shared" si="0"/>
        <v>2029</v>
      </c>
      <c r="AI2" s="160">
        <f t="shared" si="0"/>
        <v>2030</v>
      </c>
    </row>
    <row r="3" spans="2:35">
      <c r="B3" s="161" t="s">
        <v>964</v>
      </c>
      <c r="C3" s="175"/>
      <c r="D3" s="175"/>
      <c r="E3" s="175"/>
      <c r="F3" s="175"/>
      <c r="G3" s="175"/>
      <c r="H3" s="175"/>
      <c r="I3" s="175"/>
      <c r="J3" s="175"/>
      <c r="K3" s="175"/>
      <c r="L3" s="175"/>
      <c r="M3" s="175"/>
      <c r="N3" s="175">
        <f>Master!H509</f>
        <v>559.36923076923074</v>
      </c>
      <c r="O3" s="175">
        <f>Master!I509</f>
        <v>555.59487179487178</v>
      </c>
      <c r="P3" s="175">
        <f>Master!J509</f>
        <v>565.60119658119652</v>
      </c>
      <c r="Q3" s="175">
        <f>Master!K509</f>
        <v>571.21572649572659</v>
      </c>
      <c r="R3" s="175">
        <f>Master!L509</f>
        <v>573.5094017094018</v>
      </c>
      <c r="S3" s="175">
        <f>Master!M509</f>
        <v>577.8735042735043</v>
      </c>
      <c r="T3" s="175">
        <f>Master!N509</f>
        <v>578.57948717948716</v>
      </c>
      <c r="U3" s="175">
        <f>Master!O509</f>
        <v>578.57948717948716</v>
      </c>
      <c r="V3" s="175">
        <f>Master!P509</f>
        <v>578.57948717948716</v>
      </c>
      <c r="W3" s="175">
        <f>Master!Q509</f>
        <v>578.34034188034184</v>
      </c>
      <c r="X3" s="175">
        <f>Master!R509</f>
        <v>571.50273504273503</v>
      </c>
      <c r="Y3" s="175">
        <f>Master!S509</f>
        <v>573.38307692307694</v>
      </c>
      <c r="Z3" s="175">
        <f>Master!T509</f>
        <v>573.38307692307694</v>
      </c>
      <c r="AA3" s="175">
        <f>Master!U509</f>
        <v>573.38307692307694</v>
      </c>
      <c r="AB3" s="175">
        <f>Master!V509</f>
        <v>573.38307692307694</v>
      </c>
      <c r="AC3" s="175">
        <f>Master!W509</f>
        <v>573.38307692307694</v>
      </c>
      <c r="AD3" s="175">
        <f>Master!X509</f>
        <v>573.38307692307694</v>
      </c>
      <c r="AE3" s="175">
        <f>Master!Y509</f>
        <v>573.38307692307694</v>
      </c>
      <c r="AF3" s="175">
        <f>Master!Z509</f>
        <v>573.38307692307694</v>
      </c>
      <c r="AG3" s="175">
        <f>Master!AA509</f>
        <v>573.38307692307694</v>
      </c>
      <c r="AH3" s="175">
        <f>Master!AB509</f>
        <v>573.38307692307694</v>
      </c>
      <c r="AI3" s="175">
        <f>Master!AC509</f>
        <v>573.38307692307694</v>
      </c>
    </row>
    <row r="4" spans="2:35">
      <c r="B4" s="161" t="s">
        <v>965</v>
      </c>
      <c r="C4" s="175"/>
      <c r="D4" s="175"/>
      <c r="E4" s="175"/>
      <c r="F4" s="175"/>
      <c r="G4" s="175"/>
      <c r="H4" s="175"/>
      <c r="I4" s="175"/>
      <c r="J4" s="175"/>
      <c r="K4" s="175"/>
      <c r="L4" s="175"/>
      <c r="M4" s="175"/>
      <c r="N4" s="175">
        <f>N3</f>
        <v>559.36923076923074</v>
      </c>
      <c r="O4" s="175">
        <f>O3</f>
        <v>555.59487179487178</v>
      </c>
      <c r="P4" s="175">
        <f>P3</f>
        <v>565.60119658119652</v>
      </c>
      <c r="Q4" s="175">
        <f>AVERAGE(P3:Q3)</f>
        <v>568.40846153846155</v>
      </c>
      <c r="R4" s="175">
        <f t="shared" ref="R4:AI4" si="1">AVERAGE(Q3:R3)</f>
        <v>572.36256410256419</v>
      </c>
      <c r="S4" s="175">
        <f t="shared" si="1"/>
        <v>575.69145299145305</v>
      </c>
      <c r="T4" s="175">
        <f t="shared" si="1"/>
        <v>578.22649572649573</v>
      </c>
      <c r="U4" s="175">
        <f t="shared" si="1"/>
        <v>578.57948717948716</v>
      </c>
      <c r="V4" s="175">
        <f t="shared" si="1"/>
        <v>578.57948717948716</v>
      </c>
      <c r="W4" s="175">
        <f t="shared" si="1"/>
        <v>578.4599145299145</v>
      </c>
      <c r="X4" s="175">
        <f t="shared" si="1"/>
        <v>574.92153846153838</v>
      </c>
      <c r="Y4" s="175">
        <f t="shared" si="1"/>
        <v>572.44290598290604</v>
      </c>
      <c r="Z4" s="175">
        <f t="shared" si="1"/>
        <v>573.38307692307694</v>
      </c>
      <c r="AA4" s="175">
        <f t="shared" si="1"/>
        <v>573.38307692307694</v>
      </c>
      <c r="AB4" s="175">
        <f t="shared" si="1"/>
        <v>573.38307692307694</v>
      </c>
      <c r="AC4" s="175">
        <f t="shared" si="1"/>
        <v>573.38307692307694</v>
      </c>
      <c r="AD4" s="175">
        <f t="shared" si="1"/>
        <v>573.38307692307694</v>
      </c>
      <c r="AE4" s="175">
        <f t="shared" si="1"/>
        <v>573.38307692307694</v>
      </c>
      <c r="AF4" s="175">
        <f t="shared" si="1"/>
        <v>573.38307692307694</v>
      </c>
      <c r="AG4" s="175">
        <f t="shared" si="1"/>
        <v>573.38307692307694</v>
      </c>
      <c r="AH4" s="175">
        <f t="shared" si="1"/>
        <v>573.38307692307694</v>
      </c>
      <c r="AI4" s="175">
        <f t="shared" si="1"/>
        <v>573.38307692307694</v>
      </c>
    </row>
    <row r="5" spans="2:35">
      <c r="B5" s="161" t="s">
        <v>966</v>
      </c>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row>
    <row r="6" spans="2:35">
      <c r="B6" s="161" t="s">
        <v>967</v>
      </c>
      <c r="C6" s="175"/>
      <c r="D6" s="175"/>
      <c r="E6" s="175"/>
      <c r="F6" s="175"/>
      <c r="G6" s="175"/>
      <c r="H6" s="175"/>
      <c r="I6" s="175"/>
      <c r="J6" s="175"/>
      <c r="K6" s="175"/>
      <c r="L6" s="175"/>
      <c r="M6" s="175"/>
      <c r="N6" s="175"/>
      <c r="O6" s="175"/>
      <c r="P6" s="175"/>
      <c r="Q6" s="175"/>
      <c r="R6" s="175"/>
      <c r="S6" s="175"/>
      <c r="T6" s="175"/>
      <c r="U6" s="175"/>
      <c r="V6" s="175"/>
      <c r="W6" s="175"/>
      <c r="X6" s="175"/>
      <c r="Y6" s="175"/>
      <c r="Z6" s="175"/>
      <c r="AA6" s="175"/>
      <c r="AB6" s="175"/>
      <c r="AC6" s="175"/>
      <c r="AD6" s="175"/>
      <c r="AE6" s="175"/>
      <c r="AF6" s="175"/>
      <c r="AG6" s="175"/>
      <c r="AH6" s="175"/>
      <c r="AI6" s="175"/>
    </row>
    <row r="7" spans="2:35">
      <c r="B7" s="161" t="s">
        <v>968</v>
      </c>
      <c r="C7" s="175"/>
      <c r="D7" s="175"/>
      <c r="E7" s="175"/>
      <c r="F7" s="175"/>
      <c r="G7" s="175"/>
      <c r="H7" s="175"/>
      <c r="I7" s="175"/>
      <c r="J7" s="175"/>
      <c r="K7" s="175"/>
      <c r="L7" s="175"/>
      <c r="M7" s="175"/>
      <c r="N7" s="175">
        <f>Master!H258</f>
        <v>576.90000000000146</v>
      </c>
      <c r="O7" s="175">
        <f>Master!I258</f>
        <v>12718</v>
      </c>
      <c r="P7" s="175">
        <f>Master!J258</f>
        <v>31773</v>
      </c>
      <c r="Q7" s="175">
        <f>Master!K258</f>
        <v>25610</v>
      </c>
      <c r="R7" s="175">
        <f>Master!L258</f>
        <v>34993</v>
      </c>
      <c r="S7" s="175">
        <f>Master!M258</f>
        <v>40507.000000000007</v>
      </c>
      <c r="T7" s="175">
        <f>Master!N258</f>
        <v>55481</v>
      </c>
      <c r="U7" s="175">
        <f>Master!O258</f>
        <v>78405.899999999994</v>
      </c>
      <c r="V7" s="175">
        <f>Master!P258</f>
        <v>79273</v>
      </c>
      <c r="W7" s="175">
        <f>Master!Q258</f>
        <v>83317.7</v>
      </c>
      <c r="X7" s="175">
        <f>Master!R258</f>
        <v>93733.1</v>
      </c>
      <c r="Y7" s="175">
        <f>Master!S258</f>
        <v>96143</v>
      </c>
      <c r="Z7" s="175">
        <f>Master!T258</f>
        <v>105219.9</v>
      </c>
      <c r="AA7" s="175">
        <f>Master!U258</f>
        <v>54109.7</v>
      </c>
      <c r="AB7" s="175">
        <f>Master!V258</f>
        <v>55949.599999999991</v>
      </c>
      <c r="AC7" s="175">
        <f ca="1">Master!W258</f>
        <v>58915.414928870276</v>
      </c>
      <c r="AD7" s="175">
        <f ca="1">Master!X258</f>
        <v>58356.225383469093</v>
      </c>
      <c r="AE7" s="175">
        <f ca="1">Master!Y258</f>
        <v>56534.767320228821</v>
      </c>
      <c r="AF7" s="175">
        <f ca="1">Master!Z258</f>
        <v>53923.411629310416</v>
      </c>
      <c r="AG7" s="175">
        <f ca="1">Master!AA258</f>
        <v>50257.167119492078</v>
      </c>
      <c r="AH7" s="175">
        <f ca="1">Master!AB258</f>
        <v>46075.951010475808</v>
      </c>
      <c r="AI7" s="175">
        <f ca="1">Master!AC258</f>
        <v>41461.805049316274</v>
      </c>
    </row>
    <row r="8" spans="2:35">
      <c r="B8" s="161" t="s">
        <v>969</v>
      </c>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row>
    <row r="9" spans="2:35">
      <c r="B9" s="161" t="s">
        <v>970</v>
      </c>
      <c r="C9" s="175"/>
      <c r="D9" s="176"/>
      <c r="E9" s="176"/>
      <c r="F9" s="176"/>
      <c r="G9" s="176"/>
      <c r="H9" s="176"/>
      <c r="I9" s="176"/>
      <c r="J9" s="176"/>
      <c r="K9" s="176"/>
      <c r="L9" s="176"/>
      <c r="M9" s="176"/>
      <c r="N9" s="176">
        <f>SOP!$G$15</f>
        <v>2677.3321745870207</v>
      </c>
      <c r="O9" s="176">
        <f>N9</f>
        <v>2677.3321745870207</v>
      </c>
      <c r="P9" s="176">
        <f t="shared" ref="P9:AI9" si="2">O9</f>
        <v>2677.3321745870207</v>
      </c>
      <c r="Q9" s="176">
        <f t="shared" si="2"/>
        <v>2677.3321745870207</v>
      </c>
      <c r="R9" s="176">
        <f t="shared" si="2"/>
        <v>2677.3321745870207</v>
      </c>
      <c r="S9" s="176">
        <f t="shared" si="2"/>
        <v>2677.3321745870207</v>
      </c>
      <c r="T9" s="176">
        <f t="shared" si="2"/>
        <v>2677.3321745870207</v>
      </c>
      <c r="U9" s="176">
        <f t="shared" si="2"/>
        <v>2677.3321745870207</v>
      </c>
      <c r="V9" s="176">
        <f t="shared" si="2"/>
        <v>2677.3321745870207</v>
      </c>
      <c r="W9" s="176">
        <f t="shared" si="2"/>
        <v>2677.3321745870207</v>
      </c>
      <c r="X9" s="176">
        <f t="shared" si="2"/>
        <v>2677.3321745870207</v>
      </c>
      <c r="Y9" s="176">
        <f t="shared" si="2"/>
        <v>2677.3321745870207</v>
      </c>
      <c r="Z9" s="176">
        <f t="shared" si="2"/>
        <v>2677.3321745870207</v>
      </c>
      <c r="AA9" s="176">
        <f t="shared" si="2"/>
        <v>2677.3321745870207</v>
      </c>
      <c r="AB9" s="176">
        <f t="shared" si="2"/>
        <v>2677.3321745870207</v>
      </c>
      <c r="AC9" s="176">
        <f t="shared" si="2"/>
        <v>2677.3321745870207</v>
      </c>
      <c r="AD9" s="176">
        <f t="shared" si="2"/>
        <v>2677.3321745870207</v>
      </c>
      <c r="AE9" s="176">
        <f t="shared" si="2"/>
        <v>2677.3321745870207</v>
      </c>
      <c r="AF9" s="176">
        <f t="shared" si="2"/>
        <v>2677.3321745870207</v>
      </c>
      <c r="AG9" s="176">
        <f t="shared" si="2"/>
        <v>2677.3321745870207</v>
      </c>
      <c r="AH9" s="176">
        <f t="shared" si="2"/>
        <v>2677.3321745870207</v>
      </c>
      <c r="AI9" s="176">
        <f t="shared" si="2"/>
        <v>2677.3321745870207</v>
      </c>
    </row>
    <row r="10" spans="2:35">
      <c r="B10" s="161" t="s">
        <v>971</v>
      </c>
      <c r="C10" s="175"/>
      <c r="D10" s="176"/>
      <c r="E10" s="176"/>
      <c r="F10" s="176"/>
      <c r="G10" s="176"/>
      <c r="H10" s="176"/>
      <c r="I10" s="176"/>
      <c r="J10" s="176"/>
      <c r="K10" s="176"/>
      <c r="L10" s="176"/>
      <c r="M10" s="176"/>
      <c r="N10" s="176">
        <f ca="1">SOP!$G$20</f>
        <v>522.03146293983821</v>
      </c>
      <c r="O10" s="176">
        <f t="shared" ref="O10:AI10" ca="1" si="3">N10</f>
        <v>522.03146293983821</v>
      </c>
      <c r="P10" s="176">
        <f t="shared" ca="1" si="3"/>
        <v>522.03146293983821</v>
      </c>
      <c r="Q10" s="176">
        <f t="shared" ca="1" si="3"/>
        <v>522.03146293983821</v>
      </c>
      <c r="R10" s="176">
        <f t="shared" ca="1" si="3"/>
        <v>522.03146293983821</v>
      </c>
      <c r="S10" s="176">
        <f t="shared" ca="1" si="3"/>
        <v>522.03146293983821</v>
      </c>
      <c r="T10" s="176">
        <f t="shared" ca="1" si="3"/>
        <v>522.03146293983821</v>
      </c>
      <c r="U10" s="176">
        <f t="shared" ca="1" si="3"/>
        <v>522.03146293983821</v>
      </c>
      <c r="V10" s="176">
        <f t="shared" ca="1" si="3"/>
        <v>522.03146293983821</v>
      </c>
      <c r="W10" s="176">
        <f t="shared" ca="1" si="3"/>
        <v>522.03146293983821</v>
      </c>
      <c r="X10" s="176">
        <f t="shared" ca="1" si="3"/>
        <v>522.03146293983821</v>
      </c>
      <c r="Y10" s="176">
        <f t="shared" ca="1" si="3"/>
        <v>522.03146293983821</v>
      </c>
      <c r="Z10" s="176">
        <f t="shared" ca="1" si="3"/>
        <v>522.03146293983821</v>
      </c>
      <c r="AA10" s="176">
        <f t="shared" ca="1" si="3"/>
        <v>522.03146293983821</v>
      </c>
      <c r="AB10" s="176">
        <f t="shared" ca="1" si="3"/>
        <v>522.03146293983821</v>
      </c>
      <c r="AC10" s="176">
        <f t="shared" ca="1" si="3"/>
        <v>522.03146293983821</v>
      </c>
      <c r="AD10" s="176">
        <f t="shared" ca="1" si="3"/>
        <v>522.03146293983821</v>
      </c>
      <c r="AE10" s="176">
        <f t="shared" ca="1" si="3"/>
        <v>522.03146293983821</v>
      </c>
      <c r="AF10" s="176">
        <f t="shared" ca="1" si="3"/>
        <v>522.03146293983821</v>
      </c>
      <c r="AG10" s="176">
        <f t="shared" ca="1" si="3"/>
        <v>522.03146293983821</v>
      </c>
      <c r="AH10" s="176">
        <f t="shared" ca="1" si="3"/>
        <v>522.03146293983821</v>
      </c>
      <c r="AI10" s="176">
        <f t="shared" ca="1" si="3"/>
        <v>522.03146293983821</v>
      </c>
    </row>
    <row r="11" spans="2:35">
      <c r="B11" s="161" t="s">
        <v>972</v>
      </c>
      <c r="C11" s="175"/>
      <c r="D11" s="176"/>
      <c r="E11" s="176"/>
      <c r="F11" s="176"/>
      <c r="G11" s="176"/>
      <c r="H11" s="176"/>
      <c r="I11" s="176"/>
      <c r="J11" s="176"/>
      <c r="K11" s="176"/>
      <c r="L11" s="176"/>
      <c r="M11" s="176"/>
      <c r="N11" s="176"/>
      <c r="O11" s="176"/>
      <c r="P11" s="176"/>
      <c r="Q11" s="176"/>
      <c r="R11" s="176"/>
      <c r="S11" s="176">
        <f>-Valuation!J16*Master!M92</f>
        <v>0</v>
      </c>
      <c r="T11" s="176">
        <f>-Valuation!K16*Master!N92</f>
        <v>0</v>
      </c>
      <c r="U11" s="176">
        <f>-Valuation!L16*Master!O92</f>
        <v>0</v>
      </c>
      <c r="V11" s="176">
        <f>-Valuation!M16*Master!P92</f>
        <v>0</v>
      </c>
      <c r="W11" s="176">
        <f>-Valuation!N16*Master!Q92</f>
        <v>0</v>
      </c>
      <c r="X11" s="176">
        <f>-Valuation!O16*Master!R92</f>
        <v>0</v>
      </c>
      <c r="Y11" s="176">
        <f>-Valuation!P16*Master!S92</f>
        <v>0</v>
      </c>
      <c r="Z11" s="176">
        <f>-Valuation!Q16*Master!T92</f>
        <v>0</v>
      </c>
      <c r="AA11" s="176">
        <f>-Valuation!R16*Master!U92</f>
        <v>0</v>
      </c>
      <c r="AB11" s="176">
        <f>-Valuation!S16*Master!V92</f>
        <v>0</v>
      </c>
      <c r="AC11" s="176">
        <f>-Valuation!T16*Master!W92</f>
        <v>1078.0036153101805</v>
      </c>
      <c r="AD11" s="176">
        <f>-Valuation!U16*Master!X92</f>
        <v>2170.8775552034726</v>
      </c>
      <c r="AE11" s="176">
        <f>-Valuation!V16*Master!Y92</f>
        <v>3292.2987216177225</v>
      </c>
      <c r="AF11" s="176">
        <f>-Valuation!W16*Master!Z92</f>
        <v>4436.148311360258</v>
      </c>
      <c r="AG11" s="176">
        <f>-Valuation!X16*Master!AA92</f>
        <v>5602.8748928976429</v>
      </c>
      <c r="AH11" s="176">
        <f>-Valuation!Y16*Master!AB92</f>
        <v>6792.9360060657764</v>
      </c>
      <c r="AI11" s="176">
        <f>-Valuation!Z16*Master!AC92</f>
        <v>8006.7983414972723</v>
      </c>
    </row>
    <row r="12" spans="2:35">
      <c r="B12" s="161" t="s">
        <v>973</v>
      </c>
      <c r="C12" s="175"/>
      <c r="D12" s="175"/>
      <c r="E12" s="176"/>
      <c r="F12" s="176"/>
      <c r="G12" s="176"/>
      <c r="H12" s="176"/>
      <c r="I12" s="176"/>
      <c r="J12" s="176"/>
      <c r="K12" s="176"/>
      <c r="L12" s="176"/>
      <c r="M12" s="176"/>
      <c r="N12" s="176"/>
      <c r="O12" s="176"/>
      <c r="P12" s="176"/>
      <c r="Q12" s="176"/>
      <c r="R12" s="176"/>
      <c r="S12" s="176"/>
      <c r="T12" s="176"/>
      <c r="U12" s="176"/>
      <c r="V12" s="176"/>
      <c r="W12" s="176"/>
      <c r="X12" s="176"/>
      <c r="Y12" s="176"/>
      <c r="Z12" s="176"/>
      <c r="AA12" s="176"/>
      <c r="AB12" s="176"/>
      <c r="AC12" s="176"/>
      <c r="AD12" s="176"/>
      <c r="AE12" s="176"/>
      <c r="AF12" s="176"/>
      <c r="AG12" s="176"/>
      <c r="AH12" s="176"/>
      <c r="AI12" s="176"/>
    </row>
    <row r="13" spans="2:35">
      <c r="B13" s="161" t="s">
        <v>197</v>
      </c>
      <c r="C13" s="175"/>
      <c r="D13" s="175"/>
      <c r="E13" s="175"/>
      <c r="F13" s="175"/>
      <c r="G13" s="175"/>
      <c r="H13" s="175"/>
      <c r="I13" s="175"/>
      <c r="J13" s="175"/>
      <c r="K13" s="175"/>
      <c r="L13" s="175"/>
      <c r="M13" s="175"/>
      <c r="N13" s="180">
        <f>Master!H34</f>
        <v>0</v>
      </c>
      <c r="O13" s="180">
        <f>Master!I34</f>
        <v>1.75</v>
      </c>
      <c r="P13" s="180">
        <f>Master!J34</f>
        <v>1.75</v>
      </c>
      <c r="Q13" s="180">
        <f>Master!K34</f>
        <v>1.75</v>
      </c>
      <c r="R13" s="180">
        <f>Master!L34</f>
        <v>1.75</v>
      </c>
      <c r="S13" s="180">
        <f>Master!M34</f>
        <v>0</v>
      </c>
      <c r="T13" s="180">
        <f>Master!N34</f>
        <v>1.75</v>
      </c>
      <c r="U13" s="180">
        <f>Master!O34</f>
        <v>1.75</v>
      </c>
      <c r="V13" s="180">
        <f>Master!P34</f>
        <v>1.75</v>
      </c>
      <c r="W13" s="180">
        <f>Master!Q34</f>
        <v>1.75</v>
      </c>
      <c r="X13" s="180">
        <f>Master!R34</f>
        <v>0</v>
      </c>
      <c r="Y13" s="180">
        <f>Master!S34</f>
        <v>1.75</v>
      </c>
      <c r="Z13" s="180">
        <f>Master!T34</f>
        <v>1.764957264955</v>
      </c>
      <c r="AA13" s="180">
        <f>Master!U34</f>
        <v>1.764957264955</v>
      </c>
      <c r="AB13" s="180">
        <f>Master!V34</f>
        <v>1.764957264955</v>
      </c>
      <c r="AC13" s="180">
        <f>Master!W34</f>
        <v>1.764957264955</v>
      </c>
      <c r="AD13" s="180">
        <f>Master!X34</f>
        <v>1.764957264955</v>
      </c>
      <c r="AE13" s="180">
        <f>Master!Y34</f>
        <v>1.764957264955</v>
      </c>
      <c r="AF13" s="180">
        <f>Master!Z34</f>
        <v>1.764957264955</v>
      </c>
      <c r="AG13" s="180">
        <f>Master!AA34</f>
        <v>1.764957264955</v>
      </c>
      <c r="AH13" s="180">
        <f>Master!AB34</f>
        <v>1.764957264955</v>
      </c>
      <c r="AI13" s="180">
        <f>Master!AC34</f>
        <v>1.764957264955</v>
      </c>
    </row>
    <row r="14" spans="2:35">
      <c r="B14" s="161" t="s">
        <v>195</v>
      </c>
      <c r="C14" s="175"/>
      <c r="D14" s="175"/>
      <c r="E14" s="175"/>
      <c r="F14" s="175"/>
      <c r="G14" s="175"/>
      <c r="H14" s="175"/>
      <c r="I14" s="175"/>
      <c r="J14" s="175"/>
      <c r="K14" s="175"/>
      <c r="L14" s="175"/>
      <c r="M14" s="175"/>
      <c r="N14" s="180">
        <f>Master!H32</f>
        <v>10.738881707417697</v>
      </c>
      <c r="O14" s="180">
        <f>Master!I32</f>
        <v>12.76109690698812</v>
      </c>
      <c r="P14" s="180">
        <f>Master!J32</f>
        <v>12.139648999158904</v>
      </c>
      <c r="Q14" s="180">
        <f>Master!K32</f>
        <v>15.337637942406241</v>
      </c>
      <c r="R14" s="180">
        <f>Master!L32</f>
        <v>13.511373966849769</v>
      </c>
      <c r="S14" s="180">
        <f>Master!M32</f>
        <v>9.3179561966064828</v>
      </c>
      <c r="T14" s="180">
        <f>Master!N32</f>
        <v>21.992310964962812</v>
      </c>
      <c r="U14" s="180">
        <f>Master!O32</f>
        <v>6.4316141212341362</v>
      </c>
      <c r="V14" s="180">
        <f>Master!P32</f>
        <v>7.8208787215372784</v>
      </c>
      <c r="W14" s="180">
        <f>Master!Q32</f>
        <v>4.3137229401786596</v>
      </c>
      <c r="X14" s="180">
        <f>Master!R32</f>
        <v>8.2645273773655923</v>
      </c>
      <c r="Y14" s="180">
        <f>Master!S32</f>
        <v>-0.65436183086083755</v>
      </c>
      <c r="Z14" s="180">
        <f>Master!T32</f>
        <v>8.9617224623623812</v>
      </c>
      <c r="AA14" s="180">
        <f>Master!U32</f>
        <v>-22.238308930262765</v>
      </c>
      <c r="AB14" s="180">
        <f>Master!V32</f>
        <v>-17.851765097303719</v>
      </c>
      <c r="AC14" s="180">
        <f ca="1">Master!W32</f>
        <v>1.1195841263227924</v>
      </c>
      <c r="AD14" s="180">
        <f ca="1">Master!X32</f>
        <v>-2.5015138041580185</v>
      </c>
      <c r="AE14" s="180">
        <f ca="1">Master!Y32</f>
        <v>-0.53701318828824507</v>
      </c>
      <c r="AF14" s="180">
        <f ca="1">Master!Z32</f>
        <v>1.0381461582579081</v>
      </c>
      <c r="AG14" s="180">
        <f ca="1">Master!AA32</f>
        <v>2.7269045813508748</v>
      </c>
      <c r="AH14" s="180">
        <f ca="1">Master!AB32</f>
        <v>4.3853255379097478</v>
      </c>
      <c r="AI14" s="180">
        <f ca="1">Master!AC32</f>
        <v>6.1391565499188037</v>
      </c>
    </row>
    <row r="15" spans="2:35">
      <c r="B15" s="161" t="s">
        <v>196</v>
      </c>
      <c r="C15" s="175"/>
      <c r="D15" s="175"/>
      <c r="E15" s="175"/>
      <c r="F15" s="175"/>
      <c r="G15" s="175"/>
      <c r="H15" s="175"/>
      <c r="I15" s="175"/>
      <c r="J15" s="175"/>
      <c r="K15" s="175"/>
      <c r="L15" s="175"/>
      <c r="M15" s="175"/>
      <c r="N15" s="180">
        <f>Master!H33</f>
        <v>15.485299375670399</v>
      </c>
      <c r="O15" s="180">
        <f>Master!I33</f>
        <v>14.611365964870179</v>
      </c>
      <c r="P15" s="180">
        <f>Master!J33</f>
        <v>13.948343899706449</v>
      </c>
      <c r="Q15" s="180">
        <f>Master!K33</f>
        <v>15.381579309626613</v>
      </c>
      <c r="R15" s="180">
        <f>Master!L33</f>
        <v>14.754207804447718</v>
      </c>
      <c r="S15" s="180">
        <f>Master!M33</f>
        <v>17.266754620536243</v>
      </c>
      <c r="T15" s="180">
        <f>Master!N33</f>
        <v>8.2621318348209041</v>
      </c>
      <c r="U15" s="180">
        <f>Master!O33</f>
        <v>10.810787693998556</v>
      </c>
      <c r="V15" s="180">
        <f>Master!P33</f>
        <v>4.9310424292919031</v>
      </c>
      <c r="W15" s="180">
        <f>Master!Q33</f>
        <v>5.419646137444281</v>
      </c>
      <c r="X15" s="180">
        <f>Master!R33</f>
        <v>8.2645273773655923</v>
      </c>
      <c r="Y15" s="180">
        <f>Master!S33</f>
        <v>8.8600452375777667</v>
      </c>
      <c r="Z15" s="180">
        <f>Master!T33</f>
        <v>8.9617224623623812</v>
      </c>
      <c r="AA15" s="180">
        <f>Master!U33</f>
        <v>-22.238308930262765</v>
      </c>
      <c r="AB15" s="180">
        <f>Master!V33</f>
        <v>-17.851765097303719</v>
      </c>
      <c r="AC15" s="180">
        <f ca="1">Master!W33</f>
        <v>0.96000494848759554</v>
      </c>
      <c r="AD15" s="180">
        <f ca="1">Master!X33</f>
        <v>-2.5015138041580185</v>
      </c>
      <c r="AE15" s="180">
        <f ca="1">Master!Y33</f>
        <v>-0.53701318828824507</v>
      </c>
      <c r="AF15" s="180">
        <f ca="1">Master!Z33</f>
        <v>1.0381461582579081</v>
      </c>
      <c r="AG15" s="180">
        <f ca="1">Master!AA33</f>
        <v>2.7269045813508748</v>
      </c>
      <c r="AH15" s="180">
        <f ca="1">Master!AB33</f>
        <v>4.3853255379097478</v>
      </c>
      <c r="AI15" s="180">
        <f ca="1">Master!AC33</f>
        <v>6.1391565499188037</v>
      </c>
    </row>
    <row r="16" spans="2:35">
      <c r="D16" s="164"/>
      <c r="E16" s="164"/>
      <c r="F16" s="164"/>
      <c r="G16" s="164"/>
      <c r="H16" s="164"/>
      <c r="I16" s="164"/>
      <c r="J16" s="164"/>
      <c r="K16" s="164"/>
      <c r="L16" s="164"/>
      <c r="M16" s="165"/>
      <c r="N16" s="164"/>
      <c r="O16" s="164"/>
      <c r="P16" s="164"/>
      <c r="Q16" s="164"/>
    </row>
    <row r="17" spans="2:35">
      <c r="B17" s="160" t="s">
        <v>974</v>
      </c>
      <c r="C17" s="160">
        <v>1998</v>
      </c>
      <c r="D17" s="166">
        <v>1999</v>
      </c>
      <c r="E17" s="166">
        <v>2000</v>
      </c>
      <c r="F17" s="166">
        <v>2001</v>
      </c>
      <c r="G17" s="166">
        <v>2002</v>
      </c>
      <c r="H17" s="166">
        <v>2003</v>
      </c>
      <c r="I17" s="166">
        <v>2004</v>
      </c>
      <c r="J17" s="166">
        <v>2005</v>
      </c>
      <c r="K17" s="166">
        <v>2006</v>
      </c>
      <c r="L17" s="166">
        <v>2007</v>
      </c>
      <c r="M17" s="166">
        <v>2008</v>
      </c>
      <c r="N17" s="166">
        <v>2009</v>
      </c>
      <c r="O17" s="166">
        <v>2010</v>
      </c>
      <c r="P17" s="166">
        <v>2011</v>
      </c>
      <c r="Q17" s="166">
        <v>2012</v>
      </c>
      <c r="R17" s="160">
        <v>2013</v>
      </c>
      <c r="S17" s="160">
        <v>2014</v>
      </c>
      <c r="T17" s="160">
        <v>2015</v>
      </c>
      <c r="U17" s="160">
        <v>2016</v>
      </c>
      <c r="V17" s="160">
        <v>2017</v>
      </c>
      <c r="W17" s="160">
        <v>2018</v>
      </c>
      <c r="X17" s="160">
        <f>W17+1</f>
        <v>2019</v>
      </c>
      <c r="Y17" s="160">
        <f t="shared" ref="Y17:AI17" si="4">X17+1</f>
        <v>2020</v>
      </c>
      <c r="Z17" s="160">
        <f t="shared" si="4"/>
        <v>2021</v>
      </c>
      <c r="AA17" s="160">
        <f t="shared" si="4"/>
        <v>2022</v>
      </c>
      <c r="AB17" s="160">
        <f t="shared" si="4"/>
        <v>2023</v>
      </c>
      <c r="AC17" s="160">
        <f t="shared" si="4"/>
        <v>2024</v>
      </c>
      <c r="AD17" s="160">
        <f t="shared" si="4"/>
        <v>2025</v>
      </c>
      <c r="AE17" s="160">
        <f t="shared" si="4"/>
        <v>2026</v>
      </c>
      <c r="AF17" s="160">
        <f t="shared" si="4"/>
        <v>2027</v>
      </c>
      <c r="AG17" s="160">
        <f t="shared" si="4"/>
        <v>2028</v>
      </c>
      <c r="AH17" s="160">
        <f t="shared" si="4"/>
        <v>2029</v>
      </c>
      <c r="AI17" s="160">
        <f t="shared" si="4"/>
        <v>2030</v>
      </c>
    </row>
    <row r="18" spans="2:35">
      <c r="B18" s="161" t="s">
        <v>975</v>
      </c>
      <c r="C18" s="175"/>
      <c r="D18" s="175"/>
      <c r="E18" s="175"/>
      <c r="F18" s="175"/>
      <c r="G18" s="175"/>
      <c r="H18" s="175"/>
      <c r="I18" s="175"/>
      <c r="J18" s="175">
        <f>Master!D5</f>
        <v>35067.93778783601</v>
      </c>
      <c r="K18" s="175">
        <f>Master!E5</f>
        <v>39357.682798718743</v>
      </c>
      <c r="L18" s="175">
        <f>Master!F5</f>
        <v>41561.558807027344</v>
      </c>
      <c r="M18" s="175">
        <f>Master!G5</f>
        <v>47972.188249737257</v>
      </c>
      <c r="N18" s="175">
        <f>Master!H5</f>
        <v>52352.373298644896</v>
      </c>
      <c r="O18" s="175">
        <f>Master!I5</f>
        <v>57856.799999999996</v>
      </c>
      <c r="P18" s="175">
        <f>Master!J5</f>
        <v>62581.500000000007</v>
      </c>
      <c r="Q18" s="175">
        <f>Master!K5</f>
        <v>69290.399999999994</v>
      </c>
      <c r="R18" s="175">
        <f>Master!L5</f>
        <v>73793.600000000006</v>
      </c>
      <c r="S18" s="175">
        <f>Master!M5</f>
        <v>80118.399999999994</v>
      </c>
      <c r="T18" s="175">
        <f>Master!N5</f>
        <v>88052</v>
      </c>
      <c r="U18" s="175">
        <f>Master!O5</f>
        <v>96287.4</v>
      </c>
      <c r="V18" s="175">
        <f>Master!P5</f>
        <v>94275</v>
      </c>
      <c r="W18" s="175">
        <f>Master!Q5</f>
        <v>101310</v>
      </c>
      <c r="X18" s="175">
        <f>Master!R5</f>
        <v>100650.6</v>
      </c>
      <c r="Y18" s="175">
        <f>Master!S5</f>
        <v>97138.3</v>
      </c>
      <c r="Z18" s="175">
        <f>Master!T5</f>
        <v>103521.8</v>
      </c>
      <c r="AA18" s="175">
        <f>Master!U5</f>
        <v>75526.600000000006</v>
      </c>
      <c r="AB18" s="175">
        <f>Master!V5</f>
        <v>73767.900000000009</v>
      </c>
      <c r="AC18" s="175">
        <f>Master!W5</f>
        <v>64302.151064570928</v>
      </c>
      <c r="AD18" s="175">
        <f>Master!X5</f>
        <v>63593.794268350568</v>
      </c>
      <c r="AE18" s="175">
        <f>Master!Y5</f>
        <v>63757.303063595296</v>
      </c>
      <c r="AF18" s="175">
        <f>Master!Z5</f>
        <v>64323.113340935619</v>
      </c>
      <c r="AG18" s="175">
        <f>Master!AA5</f>
        <v>65331.502767064427</v>
      </c>
      <c r="AH18" s="175">
        <f>Master!AB5</f>
        <v>66551.615598526143</v>
      </c>
      <c r="AI18" s="175">
        <f>Master!AC5</f>
        <v>67860.544809081461</v>
      </c>
    </row>
    <row r="19" spans="2:35">
      <c r="B19" s="161" t="s">
        <v>976</v>
      </c>
      <c r="C19" s="175"/>
      <c r="D19" s="175"/>
      <c r="E19" s="175"/>
      <c r="F19" s="175"/>
      <c r="G19" s="175"/>
      <c r="H19" s="175"/>
      <c r="I19" s="175"/>
      <c r="J19" s="175">
        <f>Master!D13</f>
        <v>0</v>
      </c>
      <c r="K19" s="175">
        <f>Master!E13</f>
        <v>17559.151691940959</v>
      </c>
      <c r="L19" s="175">
        <f>Master!F13</f>
        <v>18072.703278763511</v>
      </c>
      <c r="M19" s="175">
        <f>Master!G13</f>
        <v>19916.829977941648</v>
      </c>
      <c r="N19" s="175">
        <f>Master!H13</f>
        <v>20087</v>
      </c>
      <c r="O19" s="175">
        <f>Master!I13</f>
        <v>21568</v>
      </c>
      <c r="P19" s="175">
        <f>Master!J13</f>
        <v>23634.9</v>
      </c>
      <c r="Q19" s="175">
        <f>Master!K13</f>
        <v>26613.8</v>
      </c>
      <c r="R19" s="175">
        <f>Master!L13</f>
        <v>28205.576890624998</v>
      </c>
      <c r="S19" s="175">
        <f>Master!M13</f>
        <v>30007.9</v>
      </c>
      <c r="T19" s="175">
        <f>Master!N13</f>
        <v>32375.299999999992</v>
      </c>
      <c r="U19" s="175">
        <f>Master!O13</f>
        <v>33577.899999999994</v>
      </c>
      <c r="V19" s="175">
        <f>Master!P13</f>
        <v>32780</v>
      </c>
      <c r="W19" s="175">
        <f>Master!Q13</f>
        <v>36572.5</v>
      </c>
      <c r="X19" s="175">
        <f>Master!R13</f>
        <v>38218.1</v>
      </c>
      <c r="Y19" s="175">
        <f>Master!S13</f>
        <v>38810.299999999996</v>
      </c>
      <c r="Z19" s="175">
        <f>Master!T13</f>
        <v>43601.599999999999</v>
      </c>
      <c r="AA19" s="175">
        <f>Master!U13</f>
        <v>25536.03</v>
      </c>
      <c r="AB19" s="175">
        <f>Master!V13</f>
        <v>24218.100000000002</v>
      </c>
      <c r="AC19" s="175">
        <f>Master!W13</f>
        <v>24362.760803532561</v>
      </c>
      <c r="AD19" s="175">
        <f>Master!X13</f>
        <v>21401.905240149226</v>
      </c>
      <c r="AE19" s="175">
        <f>Master!Y13</f>
        <v>21415.856886123318</v>
      </c>
      <c r="AF19" s="175">
        <f>Master!Z13</f>
        <v>21580.9097714204</v>
      </c>
      <c r="AG19" s="175">
        <f>Master!AA13</f>
        <v>21913.908011292671</v>
      </c>
      <c r="AH19" s="175">
        <f>Master!AB13</f>
        <v>22329.002138978634</v>
      </c>
      <c r="AI19" s="175">
        <f>Master!AC13</f>
        <v>22780.389856373589</v>
      </c>
    </row>
    <row r="20" spans="2:35">
      <c r="B20" s="161" t="s">
        <v>977</v>
      </c>
      <c r="C20" s="175"/>
      <c r="D20" s="175"/>
      <c r="E20" s="175"/>
      <c r="F20" s="175"/>
      <c r="G20" s="175"/>
      <c r="H20" s="175"/>
      <c r="I20" s="175"/>
      <c r="J20" s="175"/>
      <c r="K20" s="175"/>
      <c r="L20" s="175"/>
      <c r="M20" s="175"/>
      <c r="N20" s="175">
        <f>Master!H182</f>
        <v>4390</v>
      </c>
      <c r="O20" s="175">
        <f>Master!I182</f>
        <v>5697</v>
      </c>
      <c r="P20" s="175">
        <f>Master!J182</f>
        <v>6501</v>
      </c>
      <c r="Q20" s="175">
        <f>Master!K182</f>
        <v>7122.2916099069244</v>
      </c>
      <c r="R20" s="175">
        <f>Master!L182</f>
        <v>8426.7308289351131</v>
      </c>
      <c r="S20" s="175">
        <f>Master!M182</f>
        <v>9411.8212326843186</v>
      </c>
      <c r="T20" s="175">
        <f>Master!N182</f>
        <v>11222.332339055185</v>
      </c>
      <c r="U20" s="175">
        <f>Master!O182</f>
        <v>12681.492375298647</v>
      </c>
      <c r="V20" s="175">
        <f>Master!P182</f>
        <v>13775.112009065635</v>
      </c>
      <c r="W20" s="175">
        <f>Master!Q182</f>
        <v>15461.690203840175</v>
      </c>
      <c r="X20" s="175">
        <f>Master!R182</f>
        <v>15598.453258756492</v>
      </c>
      <c r="Y20" s="175">
        <f>Master!S182</f>
        <v>15664.841174858946</v>
      </c>
      <c r="Z20" s="175">
        <f>Master!T182</f>
        <v>16057.827405879905</v>
      </c>
      <c r="AA20" s="175">
        <f>Master!U182</f>
        <v>15135.795108159535</v>
      </c>
      <c r="AB20" s="175">
        <f>Master!V182</f>
        <v>17056.628302968726</v>
      </c>
      <c r="AC20" s="175">
        <f>Master!W182</f>
        <v>16645.827061610464</v>
      </c>
      <c r="AD20" s="175">
        <f>Master!X182</f>
        <v>15398.62882583176</v>
      </c>
      <c r="AE20" s="175">
        <f>Master!Y182</f>
        <v>15154.176444513179</v>
      </c>
      <c r="AF20" s="175">
        <f>Master!Z182</f>
        <v>14991.13011103594</v>
      </c>
      <c r="AG20" s="175">
        <f>Master!AA182</f>
        <v>14855.062468107748</v>
      </c>
      <c r="AH20" s="175">
        <f>Master!AB182</f>
        <v>14763.968475931628</v>
      </c>
      <c r="AI20" s="175">
        <f>Master!AC182</f>
        <v>14719.920510663285</v>
      </c>
    </row>
    <row r="21" spans="2:35">
      <c r="B21" s="161" t="s">
        <v>978</v>
      </c>
      <c r="C21" s="175"/>
      <c r="D21" s="175"/>
      <c r="E21" s="175"/>
      <c r="F21" s="175"/>
      <c r="G21" s="175"/>
      <c r="H21" s="175"/>
      <c r="I21" s="175"/>
      <c r="J21" s="175"/>
      <c r="K21" s="175"/>
      <c r="L21" s="175"/>
      <c r="M21" s="175"/>
      <c r="N21" s="175">
        <f>Master!H206</f>
        <v>540</v>
      </c>
      <c r="O21" s="175">
        <f>Master!I206</f>
        <v>882</v>
      </c>
      <c r="P21" s="175">
        <f>Master!J206</f>
        <v>928.69999999999982</v>
      </c>
      <c r="Q21" s="175">
        <f>Master!K206</f>
        <v>1351.7083900930756</v>
      </c>
      <c r="R21" s="175">
        <f>Master!L206</f>
        <v>1419.2691710648869</v>
      </c>
      <c r="S21" s="175">
        <f>Master!M206</f>
        <v>2151.1787673156814</v>
      </c>
      <c r="T21" s="175">
        <f>Master!N206</f>
        <v>3438.5676609448146</v>
      </c>
      <c r="U21" s="175">
        <f>Master!O206</f>
        <v>4298.3076247013523</v>
      </c>
      <c r="V21" s="175">
        <f>Master!P206</f>
        <v>4760.887990934365</v>
      </c>
      <c r="W21" s="175">
        <f>Master!Q206</f>
        <v>4372.3097961598251</v>
      </c>
      <c r="X21" s="175">
        <f>Master!R206</f>
        <v>5409.5467412435082</v>
      </c>
      <c r="Y21" s="175">
        <f>Master!S206</f>
        <v>5596.158825141054</v>
      </c>
      <c r="Z21" s="175">
        <f>Master!T206</f>
        <v>5360.4725941200941</v>
      </c>
      <c r="AA21" s="175">
        <f>Master!U206</f>
        <v>5981.6048918404667</v>
      </c>
      <c r="AB21" s="175">
        <f>Master!V206</f>
        <v>4497.7716970312758</v>
      </c>
      <c r="AC21" s="175">
        <f>Master!W206</f>
        <v>4443.835</v>
      </c>
      <c r="AD21" s="175">
        <f>Master!X206</f>
        <v>4454.7206399999995</v>
      </c>
      <c r="AE21" s="175">
        <f>Master!Y206</f>
        <v>4489.8955867999994</v>
      </c>
      <c r="AF21" s="175">
        <f>Master!Z206</f>
        <v>4468.4457682479988</v>
      </c>
      <c r="AG21" s="175">
        <f>Master!AA206</f>
        <v>4397.8096507427981</v>
      </c>
      <c r="AH21" s="175">
        <f>Master!AB206</f>
        <v>4286.5005366734695</v>
      </c>
      <c r="AI21" s="175">
        <f>Master!AC206</f>
        <v>4143.5519189810711</v>
      </c>
    </row>
    <row r="22" spans="2:35">
      <c r="B22" s="161" t="s">
        <v>979</v>
      </c>
      <c r="C22" s="175"/>
      <c r="D22" s="175"/>
      <c r="E22" s="175"/>
      <c r="F22" s="175"/>
      <c r="G22" s="175"/>
      <c r="H22" s="175"/>
      <c r="I22" s="175"/>
      <c r="J22" s="175"/>
      <c r="K22" s="175"/>
      <c r="L22" s="175"/>
      <c r="M22" s="175"/>
      <c r="N22" s="175">
        <f>Master!H419</f>
        <v>6740.55</v>
      </c>
      <c r="O22" s="175">
        <f>Master!I419</f>
        <v>12768.93</v>
      </c>
      <c r="P22" s="175">
        <f>Master!J419</f>
        <v>9840.0399999999991</v>
      </c>
      <c r="Q22" s="175">
        <f>Master!K419</f>
        <v>11593.960000000001</v>
      </c>
      <c r="R22" s="175">
        <f>Master!L419</f>
        <v>14773.527999999998</v>
      </c>
      <c r="S22" s="175">
        <f>Master!M419</f>
        <v>16944.960999999999</v>
      </c>
      <c r="T22" s="175">
        <f>Master!N419</f>
        <v>25477.698</v>
      </c>
      <c r="U22" s="175">
        <f>Master!O419</f>
        <v>27913.08</v>
      </c>
      <c r="V22" s="175">
        <f>Master!P419</f>
        <v>16720.829999999998</v>
      </c>
      <c r="W22" s="175">
        <f>Master!Q419</f>
        <v>18660.95</v>
      </c>
      <c r="X22" s="175">
        <f>Master!R419</f>
        <v>19067.125</v>
      </c>
      <c r="Y22" s="175">
        <f>Master!S419</f>
        <v>20178.311999999998</v>
      </c>
      <c r="Z22" s="175">
        <f>Master!T419</f>
        <v>23310.092270413064</v>
      </c>
      <c r="AA22" s="175">
        <f>Master!U419</f>
        <v>17214.16</v>
      </c>
      <c r="AB22" s="175">
        <f>Master!V419</f>
        <v>14664.45</v>
      </c>
      <c r="AC22" s="175">
        <f>Master!W419</f>
        <v>12866.448770046549</v>
      </c>
      <c r="AD22" s="175">
        <f>Master!X419</f>
        <v>12292.698727155317</v>
      </c>
      <c r="AE22" s="175">
        <f>Master!Y419</f>
        <v>12513.332557101819</v>
      </c>
      <c r="AF22" s="175">
        <f>Master!Z419</f>
        <v>12559.355343909161</v>
      </c>
      <c r="AG22" s="175">
        <f>Master!AA419</f>
        <v>12689.686489851127</v>
      </c>
      <c r="AH22" s="175">
        <f>Master!AB419</f>
        <v>12853.795826216288</v>
      </c>
      <c r="AI22" s="175">
        <f>Master!AC419</f>
        <v>13167.867920728491</v>
      </c>
    </row>
    <row r="23" spans="2:35">
      <c r="B23" s="161" t="s">
        <v>980</v>
      </c>
      <c r="C23" s="175"/>
      <c r="D23" s="175"/>
      <c r="E23" s="175"/>
      <c r="F23" s="175"/>
      <c r="G23" s="175"/>
      <c r="H23" s="175"/>
      <c r="I23" s="175"/>
      <c r="J23" s="175"/>
      <c r="K23" s="175"/>
      <c r="L23" s="175"/>
      <c r="M23" s="175"/>
      <c r="N23" s="175">
        <f>Master!H116</f>
        <v>13346.45</v>
      </c>
      <c r="O23" s="175">
        <f>Master!I116</f>
        <v>8799.0699999999979</v>
      </c>
      <c r="P23" s="175">
        <f>Master!J116</f>
        <v>13794.86</v>
      </c>
      <c r="Q23" s="175">
        <f>Master!K116</f>
        <v>15019.84</v>
      </c>
      <c r="R23" s="175">
        <f>Master!L116</f>
        <v>13432.048890624999</v>
      </c>
      <c r="S23" s="175">
        <f>Master!M116</f>
        <v>13062.938999999998</v>
      </c>
      <c r="T23" s="175">
        <f>Master!N116</f>
        <v>6897.6019999999999</v>
      </c>
      <c r="U23" s="175">
        <f>Master!O116</f>
        <v>5664.8199999999979</v>
      </c>
      <c r="V23" s="175">
        <f>Master!P116</f>
        <v>16059.169999999998</v>
      </c>
      <c r="W23" s="175">
        <f>Master!Q116</f>
        <v>17911.550000000003</v>
      </c>
      <c r="X23" s="175">
        <f>Master!R116</f>
        <v>19150.974999999999</v>
      </c>
      <c r="Y23" s="175">
        <f>Master!S116</f>
        <v>18631.987999999998</v>
      </c>
      <c r="Z23" s="175">
        <f>Master!T116</f>
        <v>20291.507729586941</v>
      </c>
      <c r="AA23" s="175">
        <f>Master!U116</f>
        <v>8321.8700000000008</v>
      </c>
      <c r="AB23" s="175">
        <f>Master!V116</f>
        <v>9553.6500000000015</v>
      </c>
      <c r="AC23" s="175">
        <f>Master!W116</f>
        <v>11496.312033486009</v>
      </c>
      <c r="AD23" s="175">
        <f>Master!X116</f>
        <v>9109.2065129939092</v>
      </c>
      <c r="AE23" s="175">
        <f>Master!Y116</f>
        <v>8902.5243290215003</v>
      </c>
      <c r="AF23" s="175">
        <f>Master!Z116</f>
        <v>9021.5544275112406</v>
      </c>
      <c r="AG23" s="175">
        <f>Master!AA116</f>
        <v>9224.2215214415446</v>
      </c>
      <c r="AH23" s="175">
        <f>Master!AB116</f>
        <v>9475.2063127623478</v>
      </c>
      <c r="AI23" s="175">
        <f>Master!AC116</f>
        <v>9612.5219356450998</v>
      </c>
    </row>
    <row r="24" spans="2:35">
      <c r="B24" s="161" t="s">
        <v>981</v>
      </c>
      <c r="C24" s="175"/>
      <c r="D24" s="175"/>
      <c r="E24" s="175"/>
      <c r="F24" s="175"/>
      <c r="G24" s="175"/>
      <c r="H24" s="175"/>
      <c r="I24" s="175"/>
      <c r="J24" s="175"/>
      <c r="K24" s="175"/>
      <c r="L24" s="175"/>
      <c r="M24" s="175"/>
      <c r="N24" s="175">
        <f>(N23*(1-Master!H332))</f>
        <v>9609.4439999999995</v>
      </c>
      <c r="O24" s="175">
        <f>(O23*(1-Master!I332))</f>
        <v>6335.330399999998</v>
      </c>
      <c r="P24" s="175">
        <f>(P23*(1-Master!J332))</f>
        <v>9932.2991999999995</v>
      </c>
      <c r="Q24" s="175">
        <f>(Q23*(1-Master!K332))</f>
        <v>11264.880000000001</v>
      </c>
      <c r="R24" s="175">
        <f>(R23*(1-Master!L332))</f>
        <v>10074.03666796875</v>
      </c>
      <c r="S24" s="175">
        <f>(S23*(1-Master!M332))</f>
        <v>9797.2042499999989</v>
      </c>
      <c r="T24" s="175">
        <f>(T23*(1-Master!N332))</f>
        <v>5173.2015000000001</v>
      </c>
      <c r="U24" s="175">
        <f>(U23*(1-Master!O332))</f>
        <v>4248.614999999998</v>
      </c>
      <c r="V24" s="175">
        <f>(V23*(1-Master!P332))</f>
        <v>11105.941120733203</v>
      </c>
      <c r="W24" s="175">
        <f>(W23*(1-Master!Q332))</f>
        <v>11970.304330369623</v>
      </c>
      <c r="X24" s="175">
        <f>(X23*(1-Master!R332))</f>
        <v>14636.13016395948</v>
      </c>
      <c r="Y24" s="175">
        <f>(Y23*(1-Master!S332))</f>
        <v>3219.8929236835043</v>
      </c>
      <c r="Z24" s="175">
        <f>(Z23*(1-Master!T332))</f>
        <v>9190.4324065652145</v>
      </c>
      <c r="AA24" s="175">
        <f>(AA23*(1-Master!U332))</f>
        <v>7574.1455628661161</v>
      </c>
      <c r="AB24" s="175">
        <f>(AB23*(1-Master!V332))</f>
        <v>-61956.636062557031</v>
      </c>
      <c r="AC24" s="175">
        <f>(AC23*(1-Master!W332))</f>
        <v>8277.3446641099254</v>
      </c>
      <c r="AD24" s="175">
        <f>(AD23*(1-Master!X332))</f>
        <v>6558.6286893556144</v>
      </c>
      <c r="AE24" s="175">
        <f>(AE23*(1-Master!Y332))</f>
        <v>6409.8175168954804</v>
      </c>
      <c r="AF24" s="175">
        <f>(AF23*(1-Master!Z332))</f>
        <v>6495.5191878080932</v>
      </c>
      <c r="AG24" s="175">
        <f>(AG23*(1-Master!AA332))</f>
        <v>6641.4394954379122</v>
      </c>
      <c r="AH24" s="175">
        <f>(AH23*(1-Master!AB332))</f>
        <v>6822.1485451888902</v>
      </c>
      <c r="AI24" s="175">
        <f>(AI23*(1-Master!AC332))</f>
        <v>6921.0157936644719</v>
      </c>
    </row>
    <row r="25" spans="2:35">
      <c r="B25" s="161" t="s">
        <v>968</v>
      </c>
      <c r="C25" s="175"/>
      <c r="D25" s="175"/>
      <c r="E25" s="175"/>
      <c r="F25" s="175"/>
      <c r="G25" s="175"/>
      <c r="H25" s="175"/>
      <c r="I25" s="175"/>
      <c r="J25" s="175"/>
      <c r="K25" s="175"/>
      <c r="L25" s="175"/>
      <c r="M25" s="175"/>
      <c r="N25" s="175"/>
      <c r="O25" s="175">
        <f t="shared" ref="O25:W25" si="5">O7</f>
        <v>12718</v>
      </c>
      <c r="P25" s="175">
        <f t="shared" si="5"/>
        <v>31773</v>
      </c>
      <c r="Q25" s="175">
        <f t="shared" si="5"/>
        <v>25610</v>
      </c>
      <c r="R25" s="175">
        <f t="shared" si="5"/>
        <v>34993</v>
      </c>
      <c r="S25" s="175">
        <f t="shared" si="5"/>
        <v>40507.000000000007</v>
      </c>
      <c r="T25" s="175">
        <f t="shared" si="5"/>
        <v>55481</v>
      </c>
      <c r="U25" s="175">
        <f t="shared" si="5"/>
        <v>78405.899999999994</v>
      </c>
      <c r="V25" s="175">
        <f t="shared" si="5"/>
        <v>79273</v>
      </c>
      <c r="W25" s="175">
        <f t="shared" si="5"/>
        <v>83317.7</v>
      </c>
      <c r="X25" s="175">
        <f t="shared" ref="X25:AD25" si="6">X7</f>
        <v>93733.1</v>
      </c>
      <c r="Y25" s="175">
        <f t="shared" si="6"/>
        <v>96143</v>
      </c>
      <c r="Z25" s="175">
        <f t="shared" si="6"/>
        <v>105219.9</v>
      </c>
      <c r="AA25" s="175">
        <f t="shared" si="6"/>
        <v>54109.7</v>
      </c>
      <c r="AB25" s="175">
        <f t="shared" si="6"/>
        <v>55949.599999999991</v>
      </c>
      <c r="AC25" s="175">
        <f t="shared" ca="1" si="6"/>
        <v>58915.414928870276</v>
      </c>
      <c r="AD25" s="175">
        <f t="shared" ca="1" si="6"/>
        <v>58356.225383469093</v>
      </c>
      <c r="AE25" s="175">
        <f t="shared" ref="AE25:AF25" ca="1" si="7">AE7</f>
        <v>56534.767320228821</v>
      </c>
      <c r="AF25" s="175">
        <f t="shared" ca="1" si="7"/>
        <v>53923.411629310416</v>
      </c>
      <c r="AG25" s="175">
        <f t="shared" ref="AG25:AI25" ca="1" si="8">AG7</f>
        <v>50257.167119492078</v>
      </c>
      <c r="AH25" s="175">
        <f t="shared" ca="1" si="8"/>
        <v>46075.951010475808</v>
      </c>
      <c r="AI25" s="175">
        <f t="shared" ca="1" si="8"/>
        <v>41461.805049316274</v>
      </c>
    </row>
    <row r="26" spans="2:35">
      <c r="B26" s="161" t="s">
        <v>982</v>
      </c>
      <c r="C26" s="175"/>
      <c r="D26" s="175"/>
      <c r="E26" s="175"/>
      <c r="F26" s="175"/>
      <c r="G26" s="175"/>
      <c r="H26" s="175"/>
      <c r="I26" s="175"/>
      <c r="J26" s="175"/>
      <c r="K26" s="175"/>
      <c r="L26" s="175"/>
      <c r="M26" s="175"/>
      <c r="N26" s="175"/>
      <c r="O26" s="175">
        <f>Master!I403</f>
        <v>6793</v>
      </c>
      <c r="P26" s="175">
        <f>Master!J403</f>
        <v>7197</v>
      </c>
      <c r="Q26" s="175">
        <f>Master!K403</f>
        <v>7891</v>
      </c>
      <c r="R26" s="175">
        <f>Master!L403</f>
        <v>10234</v>
      </c>
      <c r="S26" s="175">
        <f>Master!M403</f>
        <v>11110</v>
      </c>
      <c r="T26" s="175">
        <f>Master!N403</f>
        <v>12138.8</v>
      </c>
      <c r="U26" s="175">
        <f>Master!O403</f>
        <v>12589.5</v>
      </c>
      <c r="V26" s="175">
        <f>Master!P403</f>
        <v>13995</v>
      </c>
      <c r="W26" s="175">
        <f>Master!Q403</f>
        <v>15070</v>
      </c>
      <c r="X26" s="175">
        <f>Master!R403</f>
        <v>14874</v>
      </c>
      <c r="Y26" s="175">
        <f>Master!S403</f>
        <v>14510.1</v>
      </c>
      <c r="Z26" s="175">
        <f>Master!T403</f>
        <v>15299.2</v>
      </c>
      <c r="AA26" s="175">
        <f>Master!U403</f>
        <v>15619.3</v>
      </c>
      <c r="AB26" s="175">
        <f>Master!V403</f>
        <v>15400.9</v>
      </c>
      <c r="AC26" s="175">
        <f>Master!W403</f>
        <v>15495.836994650477</v>
      </c>
      <c r="AD26" s="175">
        <f>Master!X403</f>
        <v>15548.05234170824</v>
      </c>
      <c r="AE26" s="175">
        <f>Master!Y403</f>
        <v>15605.489223471779</v>
      </c>
      <c r="AF26" s="175">
        <f>Master!Z403</f>
        <v>15668.669793411671</v>
      </c>
      <c r="AG26" s="175">
        <f>Master!AA403</f>
        <v>15738.168420345552</v>
      </c>
      <c r="AH26" s="175">
        <f>Master!AB403</f>
        <v>15814.616909972821</v>
      </c>
      <c r="AI26" s="175">
        <f>Master!AC403</f>
        <v>15898.710248562818</v>
      </c>
    </row>
    <row r="27" spans="2:35">
      <c r="B27" s="161" t="s">
        <v>221</v>
      </c>
      <c r="C27" s="175"/>
      <c r="D27" s="175"/>
      <c r="E27" s="175"/>
      <c r="F27" s="175"/>
      <c r="G27" s="175"/>
      <c r="H27" s="175"/>
      <c r="I27" s="175"/>
      <c r="J27" s="175"/>
      <c r="K27" s="175"/>
      <c r="L27" s="175"/>
      <c r="M27" s="175"/>
      <c r="N27" s="175"/>
      <c r="O27" s="175">
        <f>Master!I408</f>
        <v>45064</v>
      </c>
      <c r="P27" s="175">
        <f>Master!J408</f>
        <v>51660</v>
      </c>
      <c r="Q27" s="175">
        <f>Master!K408</f>
        <v>60644</v>
      </c>
      <c r="R27" s="175">
        <f>Master!L408</f>
        <v>68675</v>
      </c>
      <c r="S27" s="175">
        <f>Master!M408</f>
        <v>76805</v>
      </c>
      <c r="T27" s="175">
        <f>Master!N408</f>
        <v>87382.5</v>
      </c>
      <c r="U27" s="175">
        <f>Master!O408</f>
        <v>82204.2</v>
      </c>
      <c r="V27" s="175">
        <f>Master!P408</f>
        <v>85662</v>
      </c>
      <c r="W27" s="175">
        <f>Master!Q408</f>
        <v>89710</v>
      </c>
      <c r="X27" s="175">
        <f>Master!R408</f>
        <v>90627</v>
      </c>
      <c r="Y27" s="175">
        <f>Master!S408</f>
        <v>73801</v>
      </c>
      <c r="Z27" s="175">
        <f>Master!T408</f>
        <v>80487.5</v>
      </c>
      <c r="AA27" s="175">
        <f>Master!U408</f>
        <v>126772.4</v>
      </c>
      <c r="AB27" s="175">
        <f>Master!V408</f>
        <v>117625.9</v>
      </c>
      <c r="AC27" s="175">
        <f ca="1">Master!W408</f>
        <v>118268.55445442518</v>
      </c>
      <c r="AD27" s="175">
        <f ca="1">Master!X408</f>
        <v>116710.2620359914</v>
      </c>
      <c r="AE27" s="175">
        <f ca="1">Master!Y408</f>
        <v>117176.81292483107</v>
      </c>
      <c r="AF27" s="175">
        <f ca="1">Master!Z408</f>
        <v>119793.52134385171</v>
      </c>
      <c r="AG27" s="175">
        <f ca="1">Master!AA408</f>
        <v>124483.29454050999</v>
      </c>
      <c r="AH27" s="175">
        <f ca="1">Master!AB408</f>
        <v>130498.3051863166</v>
      </c>
      <c r="AI27" s="175">
        <f ca="1">Master!AC408</f>
        <v>137912.36220174801</v>
      </c>
    </row>
    <row r="28" spans="2:35">
      <c r="B28" s="161" t="s">
        <v>983</v>
      </c>
      <c r="C28" s="175"/>
      <c r="D28" s="175"/>
      <c r="E28" s="175"/>
      <c r="F28" s="175"/>
      <c r="G28" s="175"/>
      <c r="H28" s="175"/>
      <c r="I28" s="175"/>
      <c r="J28" s="175"/>
      <c r="K28" s="175"/>
      <c r="L28" s="175"/>
      <c r="M28" s="175"/>
      <c r="N28" s="175"/>
      <c r="O28" s="175">
        <f>Master!I20</f>
        <v>3028</v>
      </c>
      <c r="P28" s="175">
        <f>Master!J20</f>
        <v>4143</v>
      </c>
      <c r="Q28" s="175">
        <f>Master!K20</f>
        <v>3350.5</v>
      </c>
      <c r="R28" s="175">
        <f>Master!L20</f>
        <v>-885</v>
      </c>
      <c r="S28" s="175">
        <f>Master!M20</f>
        <v>4329</v>
      </c>
      <c r="T28" s="175">
        <f>Master!N20</f>
        <v>-1702</v>
      </c>
      <c r="U28" s="175">
        <f>Master!O20</f>
        <v>9532.1</v>
      </c>
      <c r="V28" s="175">
        <f>Master!P20</f>
        <v>5305</v>
      </c>
      <c r="W28" s="175">
        <f>Master!Q20</f>
        <v>8779.6</v>
      </c>
      <c r="X28" s="175">
        <f>Master!R20</f>
        <v>8810.8000000000011</v>
      </c>
      <c r="Y28" s="175">
        <f>Master!S20</f>
        <v>5584.2</v>
      </c>
      <c r="Z28" s="175">
        <f>Master!T20</f>
        <v>11918</v>
      </c>
      <c r="AA28" s="175">
        <f>Master!U20</f>
        <v>9206.2000000000007</v>
      </c>
      <c r="AB28" s="175">
        <f>Master!V20</f>
        <v>4624.2999999999993</v>
      </c>
      <c r="AC28" s="175">
        <f ca="1">Master!W20</f>
        <v>4586.7847606338692</v>
      </c>
      <c r="AD28" s="175">
        <f ca="1">Master!X20</f>
        <v>4942.0396161709232</v>
      </c>
      <c r="AE28" s="175">
        <f ca="1">Master!Y20</f>
        <v>4872.2733613876389</v>
      </c>
      <c r="AF28" s="175">
        <f ca="1">Master!Z20</f>
        <v>4731.9534104969716</v>
      </c>
      <c r="AG28" s="175">
        <f ca="1">Master!AA20</f>
        <v>4528.2394431840949</v>
      </c>
      <c r="AH28" s="175">
        <f ca="1">Master!AB20</f>
        <v>4270.6216297725532</v>
      </c>
      <c r="AI28" s="175">
        <f ca="1">Master!AC20</f>
        <v>3980.5631004840288</v>
      </c>
    </row>
    <row r="29" spans="2:35">
      <c r="B29" s="161" t="s">
        <v>984</v>
      </c>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row>
    <row r="30" spans="2:35">
      <c r="B30" s="161" t="s">
        <v>329</v>
      </c>
      <c r="C30" s="175"/>
      <c r="D30" s="175"/>
      <c r="E30" s="175"/>
      <c r="F30" s="175"/>
      <c r="G30" s="175"/>
      <c r="H30" s="175"/>
      <c r="I30" s="175"/>
      <c r="J30" s="175"/>
      <c r="K30" s="175"/>
      <c r="L30" s="175"/>
      <c r="M30" s="175"/>
      <c r="N30" s="175">
        <f>Master!H525</f>
        <v>8662</v>
      </c>
      <c r="O30" s="175">
        <f>Master!I525</f>
        <v>8118</v>
      </c>
      <c r="P30" s="175">
        <f>Master!J525</f>
        <v>7889.2000000000007</v>
      </c>
      <c r="Q30" s="175">
        <f>Master!K525</f>
        <v>8786.2000000000025</v>
      </c>
      <c r="R30" s="175">
        <f>Master!L525</f>
        <v>8461.6768906249981</v>
      </c>
      <c r="S30" s="175">
        <f>Master!M525</f>
        <v>9978.0000000000018</v>
      </c>
      <c r="T30" s="175">
        <f>Master!N525</f>
        <v>4780.2999999999938</v>
      </c>
      <c r="U30" s="175">
        <f>Master!O525</f>
        <v>6254.8999999999951</v>
      </c>
      <c r="V30" s="175">
        <f>Master!P525</f>
        <v>2853.0000000000018</v>
      </c>
      <c r="W30" s="175">
        <f>Master!Q525</f>
        <v>3134.3999999999996</v>
      </c>
      <c r="X30" s="175">
        <f>Master!R525</f>
        <v>4723.199999999998</v>
      </c>
      <c r="Y30" s="175">
        <f>Master!S525</f>
        <v>5080.1999999999944</v>
      </c>
      <c r="Z30" s="175">
        <f>Master!T525</f>
        <v>5138.4999999999955</v>
      </c>
      <c r="AA30" s="175">
        <f>Master!U525</f>
        <v>-12751.070000000003</v>
      </c>
      <c r="AB30" s="175">
        <f>Master!V525</f>
        <v>-10235.899999999998</v>
      </c>
      <c r="AC30" s="175">
        <f ca="1">Master!W525</f>
        <v>550.45059122519751</v>
      </c>
      <c r="AD30" s="175">
        <f ca="1">Master!X525</f>
        <v>-1434.325681993676</v>
      </c>
      <c r="AE30" s="175">
        <f ca="1">Master!Y525</f>
        <v>-307.91427424898563</v>
      </c>
      <c r="AF30" s="175">
        <f ca="1">Master!Z525</f>
        <v>595.25543851779094</v>
      </c>
      <c r="AG30" s="175">
        <f ca="1">Master!AA525</f>
        <v>1563.5609393305995</v>
      </c>
      <c r="AH30" s="175">
        <f ca="1">Master!AB525</f>
        <v>2514.4714502360389</v>
      </c>
      <c r="AI30" s="175">
        <f ca="1">Master!AC525</f>
        <v>3520.0884723049053</v>
      </c>
    </row>
    <row r="31" spans="2:35">
      <c r="B31" s="161" t="s">
        <v>985</v>
      </c>
      <c r="C31" s="175"/>
      <c r="D31" s="175"/>
      <c r="E31" s="175"/>
      <c r="F31" s="175"/>
      <c r="G31" s="175"/>
      <c r="H31" s="175"/>
      <c r="I31" s="175"/>
      <c r="J31" s="175"/>
      <c r="K31" s="175"/>
      <c r="L31" s="175"/>
      <c r="M31" s="175"/>
      <c r="N31" s="175">
        <f>Master!H529</f>
        <v>6851.45</v>
      </c>
      <c r="O31" s="175">
        <f>Master!I529</f>
        <v>1928.0699999999997</v>
      </c>
      <c r="P31" s="175">
        <f>Master!J529</f>
        <v>5478.8600000000024</v>
      </c>
      <c r="Q31" s="175">
        <f>Master!K529</f>
        <v>5666.2400000000034</v>
      </c>
      <c r="R31" s="175">
        <f>Master!L529</f>
        <v>3534.1488906250015</v>
      </c>
      <c r="S31" s="175">
        <f>Master!M529</f>
        <v>4596.0390000000007</v>
      </c>
      <c r="T31" s="175">
        <f>Master!N529</f>
        <v>-6036.4980000000069</v>
      </c>
      <c r="U31" s="175">
        <f>Master!O529</f>
        <v>-4678.3800000000083</v>
      </c>
      <c r="V31" s="175">
        <f>Valuation!M32*Valuation!M19</f>
        <v>-1039.8299999999958</v>
      </c>
      <c r="W31" s="175">
        <f>Valuation!N32*Valuation!N19</f>
        <v>-6336.4500000000016</v>
      </c>
      <c r="X31" s="175">
        <f>Valuation!O32*Valuation!O19</f>
        <v>1558.974999999999</v>
      </c>
      <c r="Y31" s="175">
        <f>Valuation!P32*Valuation!P19</f>
        <v>1357.487999999998</v>
      </c>
      <c r="Z31" s="175">
        <f>Valuation!Q32*Valuation!Q19</f>
        <v>-3236.8922704130696</v>
      </c>
      <c r="AA31" s="175">
        <f>Valuation!R32*Valuation!R19</f>
        <v>-13936.812500000005</v>
      </c>
      <c r="AB31" s="175">
        <f>Valuation!S32*Valuation!S19</f>
        <v>-4241.3849999999975</v>
      </c>
      <c r="AC31" s="175">
        <f ca="1">Valuation!T32*Valuation!T19</f>
        <v>2337.5805612914396</v>
      </c>
      <c r="AD31" s="175">
        <f ca="1">Valuation!U32*Valuation!U19</f>
        <v>4060.386282554276</v>
      </c>
      <c r="AE31" s="175">
        <f ca="1">Valuation!V32*Valuation!V19</f>
        <v>4687.5506456568519</v>
      </c>
      <c r="AF31" s="175">
        <f ca="1">Valuation!W32*Valuation!W19</f>
        <v>6002.5202275607253</v>
      </c>
      <c r="AG31" s="175">
        <f ca="1">Valuation!X32*Valuation!X19</f>
        <v>7249.3146160875422</v>
      </c>
      <c r="AH31" s="175">
        <f ca="1">Valuation!Y32*Valuation!Y19</f>
        <v>7619.6687785675795</v>
      </c>
      <c r="AI31" s="175">
        <f ca="1">Valuation!Z32*Valuation!Z19</f>
        <v>8011.4630433549264</v>
      </c>
    </row>
    <row r="32" spans="2:35">
      <c r="B32" s="161" t="s">
        <v>986</v>
      </c>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row>
    <row r="33" spans="2:35">
      <c r="B33" s="161" t="s">
        <v>987</v>
      </c>
      <c r="C33" s="175"/>
      <c r="D33" s="175"/>
      <c r="E33" s="175"/>
      <c r="F33" s="175"/>
      <c r="G33" s="175"/>
      <c r="H33" s="175"/>
      <c r="I33" s="175"/>
      <c r="J33" s="175"/>
      <c r="K33" s="175"/>
      <c r="L33" s="175"/>
      <c r="M33" s="175"/>
      <c r="N33" s="175"/>
      <c r="O33" s="175">
        <f>Master!I136</f>
        <v>38652</v>
      </c>
      <c r="P33" s="175">
        <f>Master!J136</f>
        <v>41499</v>
      </c>
      <c r="Q33" s="175">
        <f>Master!K136</f>
        <v>48363</v>
      </c>
      <c r="R33" s="175">
        <f>Master!L136</f>
        <v>53476.5</v>
      </c>
      <c r="S33" s="175">
        <f>Master!M136</f>
        <v>61213</v>
      </c>
      <c r="T33" s="175">
        <f>Master!N136</f>
        <v>76089.3</v>
      </c>
      <c r="U33" s="175">
        <f>Master!O136</f>
        <v>86783.6</v>
      </c>
      <c r="V33" s="175">
        <f>Master!P136</f>
        <v>85720</v>
      </c>
      <c r="W33" s="175">
        <f>Master!Q136</f>
        <v>87343</v>
      </c>
      <c r="X33" s="175">
        <f>Master!R136</f>
        <v>83329</v>
      </c>
      <c r="Y33" s="175">
        <f>Master!S136</f>
        <v>83284</v>
      </c>
      <c r="Z33" s="175">
        <f>Master!T136</f>
        <v>87922.1</v>
      </c>
      <c r="AA33" s="175">
        <f>Master!U136</f>
        <v>82236.399999999994</v>
      </c>
      <c r="AB33" s="175">
        <f>Master!V136</f>
        <v>77848.100000000006</v>
      </c>
      <c r="AC33" s="175">
        <f>Master!W136</f>
        <v>68414.521708436077</v>
      </c>
      <c r="AD33" s="175">
        <f>Master!X136</f>
        <v>65308.591609759635</v>
      </c>
      <c r="AE33" s="175">
        <f>Master!Y136</f>
        <v>62667.747722348257</v>
      </c>
      <c r="AF33" s="175">
        <f>Master!Z136</f>
        <v>60235.972955221485</v>
      </c>
      <c r="AG33" s="175">
        <f>Master!AA136</f>
        <v>58070.596976964822</v>
      </c>
      <c r="AH33" s="175">
        <f>Master!AB136</f>
        <v>56160.424327249493</v>
      </c>
      <c r="AI33" s="175">
        <f>Master!AC136</f>
        <v>54608.371737314737</v>
      </c>
    </row>
    <row r="34" spans="2:35">
      <c r="B34" s="161" t="s">
        <v>988</v>
      </c>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row>
    <row r="35" spans="2:35">
      <c r="B35" s="161" t="s">
        <v>989</v>
      </c>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row>
    <row r="36" spans="2:35">
      <c r="B36" s="161" t="s">
        <v>990</v>
      </c>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row>
    <row r="37" spans="2:35">
      <c r="B37" s="161" t="s">
        <v>991</v>
      </c>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row>
    <row r="38" spans="2:35">
      <c r="B38" s="161" t="s">
        <v>992</v>
      </c>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row>
    <row r="39" spans="2:35">
      <c r="B39" s="161" t="s">
        <v>993</v>
      </c>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row>
    <row r="40" spans="2:35">
      <c r="B40" s="161" t="s">
        <v>994</v>
      </c>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row>
    <row r="41" spans="2:35">
      <c r="B41" s="161" t="s">
        <v>995</v>
      </c>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row>
    <row r="42" spans="2:35">
      <c r="B42" s="161" t="s">
        <v>996</v>
      </c>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row>
    <row r="43" spans="2:35">
      <c r="B43" s="161" t="s">
        <v>997</v>
      </c>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row>
    <row r="44" spans="2:35">
      <c r="B44" s="161" t="s">
        <v>998</v>
      </c>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row>
    <row r="45" spans="2:35">
      <c r="B45" s="161" t="s">
        <v>999</v>
      </c>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row>
    <row r="46" spans="2:35">
      <c r="B46" s="161" t="s">
        <v>1000</v>
      </c>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row>
    <row r="47" spans="2:35">
      <c r="B47" s="161" t="s">
        <v>1001</v>
      </c>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row>
    <row r="48" spans="2:35">
      <c r="B48" s="161" t="s">
        <v>1002</v>
      </c>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row>
    <row r="49" spans="2:35">
      <c r="B49" s="161" t="s">
        <v>1003</v>
      </c>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row>
    <row r="50" spans="2:35">
      <c r="B50" s="161" t="s">
        <v>1004</v>
      </c>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row>
    <row r="51" spans="2:35">
      <c r="B51" s="161" t="s">
        <v>1005</v>
      </c>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row>
    <row r="52" spans="2:35">
      <c r="B52" s="161" t="s">
        <v>1006</v>
      </c>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row>
    <row r="53" spans="2:35">
      <c r="B53" s="161" t="s">
        <v>1007</v>
      </c>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row>
    <row r="54" spans="2:35">
      <c r="B54" s="161" t="s">
        <v>1008</v>
      </c>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row>
    <row r="55" spans="2:35">
      <c r="B55" s="161" t="s">
        <v>1009</v>
      </c>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row>
    <row r="56" spans="2:35">
      <c r="B56" s="161" t="s">
        <v>1010</v>
      </c>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row>
    <row r="57" spans="2:35">
      <c r="B57" s="161" t="s">
        <v>1011</v>
      </c>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row>
    <row r="58" spans="2:35">
      <c r="B58" s="161" t="s">
        <v>1012</v>
      </c>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row>
    <row r="59" spans="2:35">
      <c r="B59" s="161" t="s">
        <v>1013</v>
      </c>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row>
    <row r="60" spans="2:35">
      <c r="B60" s="161" t="s">
        <v>1014</v>
      </c>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row>
    <row r="61" spans="2:35">
      <c r="B61" s="161" t="s">
        <v>1015</v>
      </c>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row>
    <row r="62" spans="2:35">
      <c r="B62" s="161" t="s">
        <v>1016</v>
      </c>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row>
    <row r="63" spans="2:35">
      <c r="B63" s="161" t="s">
        <v>1017</v>
      </c>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row>
    <row r="64" spans="2:35">
      <c r="B64" s="161" t="s">
        <v>1018</v>
      </c>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row>
    <row r="65" spans="2:35">
      <c r="B65" s="161" t="s">
        <v>1019</v>
      </c>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row>
    <row r="66" spans="2:35">
      <c r="B66" s="161" t="s">
        <v>1020</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row>
    <row r="67" spans="2:35">
      <c r="B67" s="161" t="s">
        <v>1021</v>
      </c>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row>
    <row r="68" spans="2:35">
      <c r="B68" s="161" t="s">
        <v>1022</v>
      </c>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row>
    <row r="69" spans="2:35">
      <c r="B69" s="161" t="s">
        <v>1023</v>
      </c>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row>
    <row r="71" spans="2:35">
      <c r="B71" s="160" t="s">
        <v>1024</v>
      </c>
      <c r="C71" s="160">
        <v>1998</v>
      </c>
      <c r="D71" s="166">
        <v>1999</v>
      </c>
      <c r="E71" s="166">
        <v>2000</v>
      </c>
      <c r="F71" s="166">
        <v>2001</v>
      </c>
      <c r="G71" s="166">
        <v>2002</v>
      </c>
      <c r="H71" s="166">
        <v>2003</v>
      </c>
      <c r="I71" s="166">
        <v>2004</v>
      </c>
      <c r="J71" s="166">
        <v>2005</v>
      </c>
      <c r="K71" s="166">
        <v>2006</v>
      </c>
      <c r="L71" s="166">
        <v>2007</v>
      </c>
      <c r="M71" s="166">
        <v>2008</v>
      </c>
      <c r="N71" s="166">
        <v>2009</v>
      </c>
      <c r="O71" s="166">
        <v>2010</v>
      </c>
      <c r="P71" s="166">
        <v>2011</v>
      </c>
      <c r="Q71" s="166">
        <v>2012</v>
      </c>
      <c r="R71" s="160">
        <v>2013</v>
      </c>
      <c r="S71" s="160">
        <v>2014</v>
      </c>
      <c r="T71" s="160">
        <v>2015</v>
      </c>
      <c r="U71" s="160">
        <v>2016</v>
      </c>
      <c r="V71" s="160">
        <v>2017</v>
      </c>
      <c r="W71" s="160">
        <v>2018</v>
      </c>
      <c r="X71" s="160">
        <f>W71+1</f>
        <v>2019</v>
      </c>
      <c r="Y71" s="160">
        <f t="shared" ref="Y71:AI71" si="9">X71+1</f>
        <v>2020</v>
      </c>
      <c r="Z71" s="160">
        <f t="shared" si="9"/>
        <v>2021</v>
      </c>
      <c r="AA71" s="160">
        <f t="shared" si="9"/>
        <v>2022</v>
      </c>
      <c r="AB71" s="160">
        <f t="shared" si="9"/>
        <v>2023</v>
      </c>
      <c r="AC71" s="160">
        <f t="shared" si="9"/>
        <v>2024</v>
      </c>
      <c r="AD71" s="160">
        <f t="shared" si="9"/>
        <v>2025</v>
      </c>
      <c r="AE71" s="160">
        <f t="shared" si="9"/>
        <v>2026</v>
      </c>
      <c r="AF71" s="160">
        <f t="shared" si="9"/>
        <v>2027</v>
      </c>
      <c r="AG71" s="160">
        <f t="shared" si="9"/>
        <v>2028</v>
      </c>
      <c r="AH71" s="160">
        <f t="shared" si="9"/>
        <v>2029</v>
      </c>
      <c r="AI71" s="160">
        <f t="shared" si="9"/>
        <v>2030</v>
      </c>
    </row>
    <row r="72" spans="2:35">
      <c r="B72" s="177"/>
      <c r="C72" s="168"/>
      <c r="D72" s="168"/>
      <c r="E72" s="167"/>
      <c r="F72" s="167"/>
      <c r="G72" s="167"/>
      <c r="H72" s="167"/>
      <c r="I72" s="167"/>
      <c r="J72" s="167"/>
      <c r="K72" s="167"/>
      <c r="L72" s="167"/>
      <c r="M72" s="167"/>
      <c r="N72" s="167"/>
      <c r="O72" s="162"/>
      <c r="P72" s="162"/>
      <c r="Q72" s="162"/>
      <c r="R72" s="162"/>
      <c r="S72" s="162"/>
      <c r="T72" s="162"/>
      <c r="U72" s="162"/>
      <c r="V72" s="162"/>
      <c r="W72" s="162"/>
      <c r="X72" s="162"/>
      <c r="Y72" s="162"/>
      <c r="Z72" s="162"/>
      <c r="AA72" s="162"/>
      <c r="AB72" s="162"/>
      <c r="AC72" s="162"/>
      <c r="AD72" s="162"/>
      <c r="AE72" s="162"/>
      <c r="AF72" s="162"/>
      <c r="AG72" s="162"/>
      <c r="AH72" s="162"/>
      <c r="AI72" s="162"/>
    </row>
    <row r="73" spans="2:35">
      <c r="B73" s="177"/>
      <c r="C73" s="168"/>
      <c r="D73" s="168"/>
      <c r="E73" s="167"/>
      <c r="F73" s="167"/>
      <c r="G73" s="167"/>
      <c r="H73" s="167"/>
      <c r="I73" s="167"/>
      <c r="J73" s="167"/>
      <c r="K73" s="167"/>
      <c r="L73" s="167"/>
      <c r="M73" s="167"/>
      <c r="N73" s="167"/>
      <c r="O73" s="162"/>
      <c r="P73" s="162"/>
      <c r="Q73" s="162"/>
      <c r="R73" s="162"/>
      <c r="S73" s="162"/>
      <c r="T73" s="162"/>
      <c r="U73" s="162"/>
      <c r="V73" s="162"/>
      <c r="W73" s="162"/>
      <c r="X73" s="162"/>
      <c r="Y73" s="162"/>
      <c r="Z73" s="162"/>
      <c r="AA73" s="162"/>
      <c r="AB73" s="162"/>
      <c r="AC73" s="162"/>
      <c r="AD73" s="162"/>
      <c r="AE73" s="162"/>
      <c r="AF73" s="162"/>
      <c r="AG73" s="162"/>
      <c r="AH73" s="162"/>
      <c r="AI73" s="162"/>
    </row>
    <row r="74" spans="2:35">
      <c r="B74" s="177"/>
      <c r="C74" s="168"/>
      <c r="D74" s="168"/>
      <c r="E74" s="167"/>
      <c r="F74" s="167"/>
      <c r="G74" s="167"/>
      <c r="H74" s="167"/>
      <c r="I74" s="167"/>
      <c r="J74" s="167"/>
      <c r="K74" s="167"/>
      <c r="L74" s="167"/>
      <c r="M74" s="167"/>
      <c r="N74" s="167"/>
      <c r="O74" s="162"/>
      <c r="P74" s="162"/>
      <c r="Q74" s="162"/>
      <c r="R74" s="162"/>
      <c r="S74" s="162"/>
      <c r="T74" s="162"/>
      <c r="U74" s="162"/>
      <c r="V74" s="162"/>
      <c r="W74" s="162"/>
      <c r="X74" s="162"/>
      <c r="Y74" s="162"/>
      <c r="Z74" s="162"/>
      <c r="AA74" s="162"/>
      <c r="AB74" s="162"/>
      <c r="AC74" s="162"/>
      <c r="AD74" s="162"/>
      <c r="AE74" s="162"/>
      <c r="AF74" s="162"/>
      <c r="AG74" s="162"/>
      <c r="AH74" s="162"/>
      <c r="AI74" s="162"/>
    </row>
    <row r="75" spans="2:35">
      <c r="B75" s="177"/>
      <c r="C75" s="168"/>
      <c r="D75" s="168"/>
      <c r="E75" s="167"/>
      <c r="F75" s="167"/>
      <c r="G75" s="167"/>
      <c r="H75" s="167"/>
      <c r="I75" s="167"/>
      <c r="J75" s="167"/>
      <c r="K75" s="167"/>
      <c r="L75" s="167"/>
      <c r="M75" s="167"/>
      <c r="N75" s="167"/>
      <c r="O75" s="162"/>
      <c r="P75" s="162"/>
      <c r="Q75" s="162"/>
      <c r="R75" s="162"/>
      <c r="S75" s="162"/>
      <c r="T75" s="162"/>
      <c r="U75" s="162"/>
      <c r="V75" s="162"/>
      <c r="W75" s="162"/>
      <c r="X75" s="162"/>
      <c r="Y75" s="162"/>
      <c r="Z75" s="162"/>
      <c r="AA75" s="162"/>
      <c r="AB75" s="162"/>
      <c r="AC75" s="162"/>
      <c r="AD75" s="162"/>
      <c r="AE75" s="162"/>
      <c r="AF75" s="162"/>
      <c r="AG75" s="162"/>
      <c r="AH75" s="162"/>
      <c r="AI75" s="162"/>
    </row>
    <row r="76" spans="2:35">
      <c r="B76" s="177"/>
      <c r="C76" s="168"/>
      <c r="D76" s="168"/>
      <c r="E76" s="167"/>
      <c r="F76" s="167"/>
      <c r="G76" s="167"/>
      <c r="H76" s="167"/>
      <c r="I76" s="167"/>
      <c r="J76" s="167"/>
      <c r="K76" s="167"/>
      <c r="L76" s="167"/>
      <c r="M76" s="167"/>
      <c r="N76" s="167"/>
      <c r="O76" s="162"/>
      <c r="P76" s="162"/>
      <c r="Q76" s="162"/>
      <c r="R76" s="162"/>
      <c r="S76" s="162"/>
      <c r="T76" s="162"/>
      <c r="U76" s="162"/>
      <c r="V76" s="162"/>
      <c r="W76" s="162"/>
      <c r="X76" s="162"/>
      <c r="Y76" s="162"/>
      <c r="Z76" s="162"/>
      <c r="AA76" s="162"/>
      <c r="AB76" s="162"/>
      <c r="AC76" s="162"/>
      <c r="AD76" s="162"/>
      <c r="AE76" s="162"/>
      <c r="AF76" s="162"/>
      <c r="AG76" s="162"/>
      <c r="AH76" s="162"/>
      <c r="AI76" s="162"/>
    </row>
    <row r="77" spans="2:35">
      <c r="B77" s="177"/>
      <c r="C77" s="168"/>
      <c r="D77" s="168"/>
      <c r="E77" s="167"/>
      <c r="F77" s="167"/>
      <c r="G77" s="167"/>
      <c r="H77" s="167"/>
      <c r="I77" s="167"/>
      <c r="J77" s="167"/>
      <c r="K77" s="167"/>
      <c r="L77" s="167"/>
      <c r="M77" s="167"/>
      <c r="N77" s="167"/>
      <c r="O77" s="162"/>
      <c r="P77" s="162"/>
      <c r="Q77" s="162"/>
      <c r="R77" s="162"/>
      <c r="S77" s="162"/>
      <c r="T77" s="162"/>
      <c r="U77" s="162"/>
      <c r="V77" s="162"/>
      <c r="W77" s="162"/>
      <c r="X77" s="162"/>
      <c r="Y77" s="162"/>
      <c r="Z77" s="162"/>
      <c r="AA77" s="162"/>
      <c r="AB77" s="162"/>
      <c r="AC77" s="162"/>
      <c r="AD77" s="162"/>
      <c r="AE77" s="162"/>
      <c r="AF77" s="162"/>
      <c r="AG77" s="162"/>
      <c r="AH77" s="162"/>
      <c r="AI77" s="162"/>
    </row>
    <row r="78" spans="2:35">
      <c r="B78" s="177"/>
      <c r="C78" s="168"/>
      <c r="D78" s="168"/>
      <c r="E78" s="167"/>
      <c r="F78" s="167"/>
      <c r="G78" s="167"/>
      <c r="H78" s="167"/>
      <c r="I78" s="167"/>
      <c r="J78" s="167"/>
      <c r="K78" s="167"/>
      <c r="L78" s="167"/>
      <c r="M78" s="167"/>
      <c r="N78" s="167"/>
      <c r="O78" s="162"/>
      <c r="P78" s="162"/>
      <c r="Q78" s="162"/>
      <c r="R78" s="162"/>
      <c r="S78" s="162"/>
      <c r="T78" s="162"/>
      <c r="U78" s="162"/>
      <c r="V78" s="162"/>
      <c r="W78" s="162"/>
      <c r="X78" s="162"/>
      <c r="Y78" s="162"/>
      <c r="Z78" s="162"/>
      <c r="AA78" s="162"/>
      <c r="AB78" s="162"/>
      <c r="AC78" s="162"/>
      <c r="AD78" s="162"/>
      <c r="AE78" s="162"/>
      <c r="AF78" s="162"/>
      <c r="AG78" s="162"/>
      <c r="AH78" s="162"/>
      <c r="AI78" s="162"/>
    </row>
    <row r="79" spans="2:35">
      <c r="B79" s="177"/>
      <c r="C79" s="168"/>
      <c r="D79" s="168"/>
      <c r="E79" s="167"/>
      <c r="F79" s="167"/>
      <c r="G79" s="167"/>
      <c r="H79" s="167"/>
      <c r="I79" s="167"/>
      <c r="J79" s="167"/>
      <c r="K79" s="167"/>
      <c r="L79" s="167"/>
      <c r="M79" s="167"/>
      <c r="N79" s="167"/>
      <c r="O79" s="162"/>
      <c r="P79" s="162"/>
      <c r="Q79" s="162"/>
      <c r="R79" s="162"/>
      <c r="S79" s="162"/>
      <c r="T79" s="162"/>
      <c r="U79" s="162"/>
      <c r="V79" s="162"/>
      <c r="W79" s="162"/>
      <c r="X79" s="162"/>
      <c r="Y79" s="162"/>
      <c r="Z79" s="162"/>
      <c r="AA79" s="162"/>
      <c r="AB79" s="162"/>
      <c r="AC79" s="162"/>
      <c r="AD79" s="162"/>
      <c r="AE79" s="162"/>
      <c r="AF79" s="162"/>
      <c r="AG79" s="162"/>
      <c r="AH79" s="162"/>
      <c r="AI79" s="162"/>
    </row>
    <row r="80" spans="2:35">
      <c r="B80" s="177"/>
      <c r="C80" s="168"/>
      <c r="D80" s="168"/>
      <c r="E80" s="167"/>
      <c r="F80" s="167"/>
      <c r="G80" s="167"/>
      <c r="H80" s="167"/>
      <c r="I80" s="167"/>
      <c r="J80" s="167"/>
      <c r="K80" s="167"/>
      <c r="L80" s="167"/>
      <c r="M80" s="167"/>
      <c r="N80" s="167"/>
      <c r="O80" s="162"/>
      <c r="P80" s="162"/>
      <c r="Q80" s="162"/>
      <c r="R80" s="162"/>
      <c r="S80" s="162"/>
      <c r="T80" s="162"/>
      <c r="U80" s="162"/>
      <c r="V80" s="162"/>
      <c r="W80" s="162"/>
      <c r="X80" s="162"/>
      <c r="Y80" s="162"/>
      <c r="Z80" s="162"/>
      <c r="AA80" s="162"/>
      <c r="AB80" s="162"/>
      <c r="AC80" s="162"/>
      <c r="AD80" s="162"/>
      <c r="AE80" s="162"/>
      <c r="AF80" s="162"/>
      <c r="AG80" s="162"/>
      <c r="AH80" s="162"/>
      <c r="AI80" s="162"/>
    </row>
    <row r="81" spans="2:35">
      <c r="B81" s="177"/>
      <c r="C81" s="168"/>
      <c r="D81" s="168"/>
      <c r="E81" s="167"/>
      <c r="F81" s="167"/>
      <c r="G81" s="167"/>
      <c r="H81" s="167"/>
      <c r="I81" s="167"/>
      <c r="J81" s="167"/>
      <c r="K81" s="167"/>
      <c r="L81" s="167"/>
      <c r="M81" s="167"/>
      <c r="N81" s="167"/>
      <c r="O81" s="162"/>
      <c r="P81" s="162"/>
      <c r="Q81" s="162"/>
      <c r="R81" s="162"/>
      <c r="S81" s="162"/>
      <c r="T81" s="162"/>
      <c r="U81" s="162"/>
      <c r="V81" s="162"/>
      <c r="W81" s="162"/>
      <c r="X81" s="162"/>
      <c r="Y81" s="162"/>
      <c r="Z81" s="162"/>
      <c r="AA81" s="162"/>
      <c r="AB81" s="162"/>
      <c r="AC81" s="162"/>
      <c r="AD81" s="162"/>
      <c r="AE81" s="162"/>
      <c r="AF81" s="162"/>
      <c r="AG81" s="162"/>
      <c r="AH81" s="162"/>
      <c r="AI81" s="162"/>
    </row>
    <row r="82" spans="2:35">
      <c r="B82" s="177"/>
      <c r="C82" s="168"/>
      <c r="D82" s="168"/>
      <c r="E82" s="167"/>
      <c r="F82" s="167"/>
      <c r="G82" s="167"/>
      <c r="H82" s="167"/>
      <c r="I82" s="167"/>
      <c r="J82" s="167"/>
      <c r="K82" s="167"/>
      <c r="L82" s="167"/>
      <c r="M82" s="167"/>
      <c r="N82" s="167"/>
      <c r="O82" s="162"/>
      <c r="P82" s="162"/>
      <c r="Q82" s="162"/>
      <c r="R82" s="162"/>
      <c r="S82" s="162"/>
      <c r="T82" s="162"/>
      <c r="U82" s="162"/>
      <c r="V82" s="162"/>
      <c r="W82" s="162"/>
      <c r="X82" s="162"/>
      <c r="Y82" s="162"/>
      <c r="Z82" s="162"/>
      <c r="AA82" s="162"/>
      <c r="AB82" s="162"/>
      <c r="AC82" s="162"/>
      <c r="AD82" s="162"/>
      <c r="AE82" s="162"/>
      <c r="AF82" s="162"/>
      <c r="AG82" s="162"/>
      <c r="AH82" s="162"/>
      <c r="AI82" s="162"/>
    </row>
    <row r="83" spans="2:35">
      <c r="B83" s="177"/>
      <c r="C83" s="168"/>
      <c r="D83" s="168"/>
      <c r="E83" s="167"/>
      <c r="F83" s="167"/>
      <c r="G83" s="167"/>
      <c r="H83" s="167"/>
      <c r="I83" s="167"/>
      <c r="J83" s="167"/>
      <c r="K83" s="167"/>
      <c r="L83" s="167"/>
      <c r="M83" s="167"/>
      <c r="N83" s="167"/>
      <c r="O83" s="162"/>
      <c r="P83" s="162"/>
      <c r="Q83" s="162"/>
      <c r="R83" s="162"/>
      <c r="S83" s="162"/>
      <c r="T83" s="162"/>
      <c r="U83" s="162"/>
      <c r="V83" s="162"/>
      <c r="W83" s="162"/>
      <c r="X83" s="162"/>
      <c r="Y83" s="162"/>
      <c r="Z83" s="162"/>
      <c r="AA83" s="162"/>
      <c r="AB83" s="162"/>
      <c r="AC83" s="162"/>
      <c r="AD83" s="162"/>
      <c r="AE83" s="162"/>
      <c r="AF83" s="162"/>
      <c r="AG83" s="162"/>
      <c r="AH83" s="162"/>
      <c r="AI83" s="162"/>
    </row>
    <row r="84" spans="2:35">
      <c r="B84" s="177"/>
      <c r="C84" s="168"/>
      <c r="D84" s="168"/>
      <c r="E84" s="167"/>
      <c r="F84" s="167"/>
      <c r="G84" s="167"/>
      <c r="H84" s="167"/>
      <c r="I84" s="167"/>
      <c r="J84" s="167"/>
      <c r="K84" s="167"/>
      <c r="L84" s="167"/>
      <c r="M84" s="167"/>
      <c r="N84" s="167"/>
      <c r="O84" s="162"/>
      <c r="P84" s="162"/>
      <c r="Q84" s="162"/>
      <c r="R84" s="162"/>
      <c r="S84" s="162"/>
      <c r="T84" s="162"/>
      <c r="U84" s="162"/>
      <c r="V84" s="162"/>
      <c r="W84" s="162"/>
      <c r="X84" s="162"/>
      <c r="Y84" s="162"/>
      <c r="Z84" s="162"/>
      <c r="AA84" s="162"/>
      <c r="AB84" s="162"/>
      <c r="AC84" s="162"/>
      <c r="AD84" s="162"/>
      <c r="AE84" s="162"/>
      <c r="AF84" s="162"/>
      <c r="AG84" s="162"/>
      <c r="AH84" s="162"/>
      <c r="AI84" s="162"/>
    </row>
    <row r="85" spans="2:35">
      <c r="B85" s="177"/>
      <c r="C85" s="168"/>
      <c r="D85" s="168"/>
      <c r="E85" s="167"/>
      <c r="F85" s="167"/>
      <c r="G85" s="167"/>
      <c r="H85" s="167"/>
      <c r="I85" s="167"/>
      <c r="J85" s="167"/>
      <c r="K85" s="167"/>
      <c r="L85" s="167"/>
      <c r="M85" s="167"/>
      <c r="N85" s="167"/>
      <c r="O85" s="162"/>
      <c r="P85" s="162"/>
      <c r="Q85" s="162"/>
      <c r="R85" s="162"/>
      <c r="S85" s="162"/>
      <c r="T85" s="162"/>
      <c r="U85" s="162"/>
      <c r="V85" s="162"/>
      <c r="W85" s="162"/>
      <c r="X85" s="162"/>
      <c r="Y85" s="162"/>
      <c r="Z85" s="162"/>
      <c r="AA85" s="162"/>
      <c r="AB85" s="162"/>
      <c r="AC85" s="162"/>
      <c r="AD85" s="162"/>
      <c r="AE85" s="162"/>
      <c r="AF85" s="162"/>
      <c r="AG85" s="162"/>
      <c r="AH85" s="162"/>
      <c r="AI85" s="162"/>
    </row>
    <row r="86" spans="2:35">
      <c r="B86" s="177"/>
      <c r="C86" s="168"/>
      <c r="D86" s="168"/>
      <c r="E86" s="167"/>
      <c r="F86" s="167"/>
      <c r="G86" s="167"/>
      <c r="H86" s="167"/>
      <c r="I86" s="167"/>
      <c r="J86" s="167"/>
      <c r="K86" s="167"/>
      <c r="L86" s="167"/>
      <c r="M86" s="167"/>
      <c r="N86" s="167"/>
      <c r="O86" s="162"/>
      <c r="P86" s="162"/>
      <c r="Q86" s="162"/>
      <c r="R86" s="162"/>
      <c r="S86" s="162"/>
      <c r="T86" s="162"/>
      <c r="U86" s="162"/>
      <c r="V86" s="162"/>
      <c r="W86" s="162"/>
      <c r="X86" s="162"/>
      <c r="Y86" s="162"/>
      <c r="Z86" s="162"/>
      <c r="AA86" s="162"/>
      <c r="AB86" s="162"/>
      <c r="AC86" s="162"/>
      <c r="AD86" s="162"/>
      <c r="AE86" s="162"/>
      <c r="AF86" s="162"/>
      <c r="AG86" s="162"/>
      <c r="AH86" s="162"/>
      <c r="AI86" s="162"/>
    </row>
    <row r="87" spans="2:35">
      <c r="B87" s="177"/>
      <c r="C87" s="168"/>
      <c r="D87" s="168"/>
      <c r="E87" s="167"/>
      <c r="F87" s="167"/>
      <c r="G87" s="167"/>
      <c r="H87" s="167"/>
      <c r="I87" s="167"/>
      <c r="J87" s="167"/>
      <c r="K87" s="167"/>
      <c r="L87" s="167"/>
      <c r="M87" s="167"/>
      <c r="N87" s="167"/>
      <c r="O87" s="162"/>
      <c r="P87" s="162"/>
      <c r="Q87" s="162"/>
      <c r="R87" s="162"/>
      <c r="S87" s="162"/>
      <c r="T87" s="162"/>
      <c r="U87" s="162"/>
      <c r="V87" s="162"/>
      <c r="W87" s="162"/>
      <c r="X87" s="162"/>
      <c r="Y87" s="162"/>
      <c r="Z87" s="162"/>
      <c r="AA87" s="162"/>
      <c r="AB87" s="162"/>
      <c r="AC87" s="162"/>
      <c r="AD87" s="162"/>
      <c r="AE87" s="162"/>
      <c r="AF87" s="162"/>
      <c r="AG87" s="162"/>
      <c r="AH87" s="162"/>
      <c r="AI87" s="162"/>
    </row>
    <row r="88" spans="2:35">
      <c r="B88" s="177"/>
      <c r="C88" s="168"/>
      <c r="D88" s="168"/>
      <c r="E88" s="167"/>
      <c r="F88" s="167"/>
      <c r="G88" s="167"/>
      <c r="H88" s="167"/>
      <c r="I88" s="167"/>
      <c r="J88" s="167"/>
      <c r="K88" s="167"/>
      <c r="L88" s="167"/>
      <c r="M88" s="167"/>
      <c r="N88" s="167"/>
      <c r="O88" s="162"/>
      <c r="P88" s="162"/>
      <c r="Q88" s="162"/>
      <c r="R88" s="162"/>
      <c r="S88" s="162"/>
      <c r="T88" s="162"/>
      <c r="U88" s="162"/>
      <c r="V88" s="162"/>
      <c r="W88" s="162"/>
      <c r="X88" s="162"/>
      <c r="Y88" s="162"/>
      <c r="Z88" s="162"/>
      <c r="AA88" s="162"/>
      <c r="AB88" s="162"/>
      <c r="AC88" s="162"/>
      <c r="AD88" s="162"/>
      <c r="AE88" s="162"/>
      <c r="AF88" s="162"/>
      <c r="AG88" s="162"/>
      <c r="AH88" s="162"/>
      <c r="AI88" s="162"/>
    </row>
    <row r="89" spans="2:35">
      <c r="B89" s="177"/>
      <c r="C89" s="168"/>
      <c r="D89" s="168"/>
      <c r="E89" s="167"/>
      <c r="F89" s="167"/>
      <c r="G89" s="167"/>
      <c r="H89" s="167"/>
      <c r="I89" s="167"/>
      <c r="J89" s="167"/>
      <c r="K89" s="167"/>
      <c r="L89" s="167"/>
      <c r="M89" s="167"/>
      <c r="N89" s="167"/>
      <c r="O89" s="162"/>
      <c r="P89" s="162"/>
      <c r="Q89" s="162"/>
      <c r="R89" s="162"/>
      <c r="S89" s="162"/>
      <c r="T89" s="162"/>
      <c r="U89" s="162"/>
      <c r="V89" s="162"/>
      <c r="W89" s="162"/>
      <c r="X89" s="162"/>
      <c r="Y89" s="162"/>
      <c r="Z89" s="162"/>
      <c r="AA89" s="162"/>
      <c r="AB89" s="162"/>
      <c r="AC89" s="162"/>
      <c r="AD89" s="162"/>
      <c r="AE89" s="162"/>
      <c r="AF89" s="162"/>
      <c r="AG89" s="162"/>
      <c r="AH89" s="162"/>
      <c r="AI89" s="162"/>
    </row>
    <row r="90" spans="2:35">
      <c r="B90" s="177"/>
      <c r="C90" s="168"/>
      <c r="D90" s="168"/>
      <c r="E90" s="167"/>
      <c r="F90" s="167"/>
      <c r="G90" s="167"/>
      <c r="H90" s="167"/>
      <c r="I90" s="167"/>
      <c r="J90" s="167"/>
      <c r="K90" s="167"/>
      <c r="L90" s="167"/>
      <c r="M90" s="167"/>
      <c r="N90" s="167"/>
      <c r="O90" s="162"/>
      <c r="P90" s="162"/>
      <c r="Q90" s="162"/>
      <c r="R90" s="162"/>
      <c r="S90" s="162"/>
      <c r="T90" s="162"/>
      <c r="U90" s="162"/>
      <c r="V90" s="162"/>
      <c r="W90" s="162"/>
      <c r="X90" s="162"/>
      <c r="Y90" s="162"/>
      <c r="Z90" s="162"/>
      <c r="AA90" s="162"/>
      <c r="AB90" s="162"/>
      <c r="AC90" s="162"/>
      <c r="AD90" s="162"/>
      <c r="AE90" s="162"/>
      <c r="AF90" s="162"/>
      <c r="AG90" s="162"/>
      <c r="AH90" s="162"/>
      <c r="AI90" s="162"/>
    </row>
    <row r="91" spans="2:35">
      <c r="B91" s="177"/>
      <c r="C91" s="168"/>
      <c r="D91" s="168"/>
      <c r="E91" s="167"/>
      <c r="F91" s="167"/>
      <c r="G91" s="167"/>
      <c r="H91" s="167"/>
      <c r="I91" s="167"/>
      <c r="J91" s="167"/>
      <c r="K91" s="167"/>
      <c r="L91" s="167"/>
      <c r="M91" s="167"/>
      <c r="N91" s="167"/>
      <c r="O91" s="162"/>
      <c r="P91" s="162"/>
      <c r="Q91" s="162"/>
      <c r="R91" s="162"/>
      <c r="S91" s="162"/>
      <c r="T91" s="162"/>
      <c r="U91" s="162"/>
      <c r="V91" s="162"/>
      <c r="W91" s="162"/>
      <c r="X91" s="162"/>
      <c r="Y91" s="162"/>
      <c r="Z91" s="162"/>
      <c r="AA91" s="162"/>
      <c r="AB91" s="162"/>
      <c r="AC91" s="162"/>
      <c r="AD91" s="162"/>
      <c r="AE91" s="162"/>
      <c r="AF91" s="162"/>
      <c r="AG91" s="162"/>
      <c r="AH91" s="162"/>
      <c r="AI91" s="162"/>
    </row>
    <row r="92" spans="2:35">
      <c r="B92" s="177"/>
      <c r="C92" s="168"/>
      <c r="D92" s="168"/>
      <c r="E92" s="167"/>
      <c r="F92" s="167"/>
      <c r="G92" s="167"/>
      <c r="H92" s="167"/>
      <c r="I92" s="167"/>
      <c r="J92" s="167"/>
      <c r="K92" s="167"/>
      <c r="L92" s="167"/>
      <c r="M92" s="167"/>
      <c r="N92" s="167"/>
      <c r="O92" s="162"/>
      <c r="P92" s="162"/>
      <c r="Q92" s="162"/>
      <c r="R92" s="162"/>
      <c r="S92" s="162"/>
      <c r="T92" s="162"/>
      <c r="U92" s="162"/>
      <c r="V92" s="162"/>
      <c r="W92" s="162"/>
      <c r="X92" s="162"/>
      <c r="Y92" s="162"/>
      <c r="Z92" s="162"/>
      <c r="AA92" s="162"/>
      <c r="AB92" s="162"/>
      <c r="AC92" s="162"/>
      <c r="AD92" s="162"/>
      <c r="AE92" s="162"/>
      <c r="AF92" s="162"/>
      <c r="AG92" s="162"/>
      <c r="AH92" s="162"/>
      <c r="AI92" s="162"/>
    </row>
    <row r="93" spans="2:35">
      <c r="B93" s="177"/>
      <c r="C93" s="168"/>
      <c r="D93" s="168"/>
      <c r="E93" s="167"/>
      <c r="F93" s="167"/>
      <c r="G93" s="167"/>
      <c r="H93" s="167"/>
      <c r="I93" s="167"/>
      <c r="J93" s="167"/>
      <c r="K93" s="167"/>
      <c r="L93" s="167"/>
      <c r="M93" s="167"/>
      <c r="N93" s="167"/>
      <c r="O93" s="162"/>
      <c r="P93" s="162"/>
      <c r="Q93" s="162"/>
      <c r="R93" s="162"/>
      <c r="S93" s="162"/>
      <c r="T93" s="162"/>
      <c r="U93" s="162"/>
      <c r="V93" s="162"/>
      <c r="W93" s="162"/>
      <c r="X93" s="162"/>
      <c r="Y93" s="162"/>
      <c r="Z93" s="162"/>
      <c r="AA93" s="162"/>
      <c r="AB93" s="162"/>
      <c r="AC93" s="162"/>
      <c r="AD93" s="162"/>
      <c r="AE93" s="162"/>
      <c r="AF93" s="162"/>
      <c r="AG93" s="162"/>
      <c r="AH93" s="162"/>
      <c r="AI93" s="162"/>
    </row>
    <row r="94" spans="2:35">
      <c r="B94" s="177"/>
      <c r="C94" s="168"/>
      <c r="D94" s="168"/>
      <c r="E94" s="167"/>
      <c r="F94" s="167"/>
      <c r="G94" s="167"/>
      <c r="H94" s="167"/>
      <c r="I94" s="167"/>
      <c r="J94" s="167"/>
      <c r="K94" s="167"/>
      <c r="L94" s="167"/>
      <c r="M94" s="167"/>
      <c r="N94" s="167"/>
      <c r="O94" s="162"/>
      <c r="P94" s="162"/>
      <c r="Q94" s="162"/>
      <c r="R94" s="162"/>
      <c r="S94" s="162"/>
      <c r="T94" s="162"/>
      <c r="U94" s="162"/>
      <c r="V94" s="162"/>
      <c r="W94" s="162"/>
      <c r="X94" s="162"/>
      <c r="Y94" s="162"/>
      <c r="Z94" s="162"/>
      <c r="AA94" s="162"/>
      <c r="AB94" s="162"/>
      <c r="AC94" s="162"/>
      <c r="AD94" s="162"/>
      <c r="AE94" s="162"/>
      <c r="AF94" s="162"/>
      <c r="AG94" s="162"/>
      <c r="AH94" s="162"/>
      <c r="AI94" s="162"/>
    </row>
    <row r="95" spans="2:35">
      <c r="B95" s="177"/>
      <c r="C95" s="168"/>
      <c r="D95" s="168"/>
      <c r="E95" s="167"/>
      <c r="F95" s="167"/>
      <c r="G95" s="167"/>
      <c r="H95" s="167"/>
      <c r="I95" s="167"/>
      <c r="J95" s="167"/>
      <c r="K95" s="167"/>
      <c r="L95" s="167"/>
      <c r="M95" s="167"/>
      <c r="N95" s="167"/>
      <c r="O95" s="162"/>
      <c r="P95" s="162"/>
      <c r="Q95" s="162"/>
      <c r="R95" s="162"/>
      <c r="S95" s="162"/>
      <c r="T95" s="162"/>
      <c r="U95" s="162"/>
      <c r="V95" s="162"/>
      <c r="W95" s="162"/>
      <c r="X95" s="162"/>
      <c r="Y95" s="162"/>
      <c r="Z95" s="162"/>
      <c r="AA95" s="162"/>
      <c r="AB95" s="162"/>
      <c r="AC95" s="162"/>
      <c r="AD95" s="162"/>
      <c r="AE95" s="162"/>
      <c r="AF95" s="162"/>
      <c r="AG95" s="162"/>
      <c r="AH95" s="162"/>
      <c r="AI95" s="162"/>
    </row>
    <row r="96" spans="2:35">
      <c r="B96" s="177"/>
      <c r="C96" s="168"/>
      <c r="D96" s="168"/>
      <c r="E96" s="167"/>
      <c r="F96" s="167"/>
      <c r="G96" s="167"/>
      <c r="H96" s="167"/>
      <c r="I96" s="167"/>
      <c r="J96" s="167"/>
      <c r="K96" s="167"/>
      <c r="L96" s="167"/>
      <c r="M96" s="167"/>
      <c r="N96" s="167"/>
      <c r="O96" s="162"/>
      <c r="P96" s="162"/>
      <c r="Q96" s="162"/>
      <c r="R96" s="162"/>
      <c r="S96" s="162"/>
      <c r="T96" s="162"/>
      <c r="U96" s="162"/>
      <c r="V96" s="162"/>
      <c r="W96" s="162"/>
      <c r="X96" s="162"/>
      <c r="Y96" s="162"/>
      <c r="Z96" s="162"/>
      <c r="AA96" s="162"/>
      <c r="AB96" s="162"/>
      <c r="AC96" s="162"/>
      <c r="AD96" s="162"/>
      <c r="AE96" s="162"/>
      <c r="AF96" s="162"/>
      <c r="AG96" s="162"/>
      <c r="AH96" s="162"/>
      <c r="AI96" s="162"/>
    </row>
    <row r="97" spans="2:35">
      <c r="B97" s="177"/>
      <c r="C97" s="168"/>
      <c r="D97" s="168"/>
      <c r="E97" s="167"/>
      <c r="F97" s="167"/>
      <c r="G97" s="167"/>
      <c r="H97" s="167"/>
      <c r="I97" s="167"/>
      <c r="J97" s="167"/>
      <c r="K97" s="167"/>
      <c r="L97" s="167"/>
      <c r="M97" s="167"/>
      <c r="N97" s="167"/>
      <c r="O97" s="162"/>
      <c r="P97" s="162"/>
      <c r="Q97" s="162"/>
      <c r="R97" s="162"/>
      <c r="S97" s="162"/>
      <c r="T97" s="162"/>
      <c r="U97" s="162"/>
      <c r="V97" s="162"/>
      <c r="W97" s="162"/>
      <c r="X97" s="162"/>
      <c r="Y97" s="162"/>
      <c r="Z97" s="162"/>
      <c r="AA97" s="162"/>
      <c r="AB97" s="162"/>
      <c r="AC97" s="162"/>
      <c r="AD97" s="162"/>
      <c r="AE97" s="162"/>
      <c r="AF97" s="162"/>
      <c r="AG97" s="162"/>
      <c r="AH97" s="162"/>
      <c r="AI97" s="162"/>
    </row>
    <row r="98" spans="2:35">
      <c r="B98" s="177"/>
      <c r="C98" s="168"/>
      <c r="D98" s="168"/>
      <c r="E98" s="167"/>
      <c r="F98" s="167"/>
      <c r="G98" s="167"/>
      <c r="H98" s="167"/>
      <c r="I98" s="167"/>
      <c r="J98" s="167"/>
      <c r="K98" s="167"/>
      <c r="L98" s="167"/>
      <c r="M98" s="167"/>
      <c r="N98" s="167"/>
      <c r="O98" s="162"/>
      <c r="P98" s="162"/>
      <c r="Q98" s="162"/>
      <c r="R98" s="162"/>
      <c r="S98" s="162"/>
      <c r="T98" s="162"/>
      <c r="U98" s="162"/>
      <c r="V98" s="162"/>
      <c r="W98" s="162"/>
      <c r="X98" s="162"/>
      <c r="Y98" s="162"/>
      <c r="Z98" s="162"/>
      <c r="AA98" s="162"/>
      <c r="AB98" s="162"/>
      <c r="AC98" s="162"/>
      <c r="AD98" s="162"/>
      <c r="AE98" s="162"/>
      <c r="AF98" s="162"/>
      <c r="AG98" s="162"/>
      <c r="AH98" s="162"/>
      <c r="AI98" s="162"/>
    </row>
    <row r="99" spans="2:35">
      <c r="B99" s="177"/>
      <c r="C99" s="168"/>
      <c r="D99" s="168"/>
      <c r="E99" s="167"/>
      <c r="F99" s="167"/>
      <c r="G99" s="167"/>
      <c r="H99" s="167"/>
      <c r="I99" s="167"/>
      <c r="J99" s="167"/>
      <c r="K99" s="167"/>
      <c r="L99" s="167"/>
      <c r="M99" s="167"/>
      <c r="N99" s="167"/>
      <c r="O99" s="162"/>
      <c r="P99" s="162"/>
      <c r="Q99" s="162"/>
      <c r="R99" s="162"/>
      <c r="S99" s="162"/>
      <c r="T99" s="162"/>
      <c r="U99" s="162"/>
      <c r="V99" s="162"/>
      <c r="W99" s="162"/>
      <c r="X99" s="162"/>
      <c r="Y99" s="162"/>
      <c r="Z99" s="162"/>
      <c r="AA99" s="162"/>
      <c r="AB99" s="162"/>
      <c r="AC99" s="162"/>
      <c r="AD99" s="162"/>
      <c r="AE99" s="162"/>
      <c r="AF99" s="162"/>
      <c r="AG99" s="162"/>
      <c r="AH99" s="162"/>
      <c r="AI99" s="162"/>
    </row>
    <row r="100" spans="2:35">
      <c r="B100" s="177"/>
      <c r="C100" s="168"/>
      <c r="D100" s="168"/>
      <c r="E100" s="167"/>
      <c r="F100" s="167"/>
      <c r="G100" s="167"/>
      <c r="H100" s="167"/>
      <c r="I100" s="167"/>
      <c r="J100" s="167"/>
      <c r="K100" s="167"/>
      <c r="L100" s="167"/>
      <c r="M100" s="167"/>
      <c r="N100" s="167"/>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row>
    <row r="101" spans="2:35">
      <c r="B101" s="177"/>
      <c r="C101" s="168"/>
      <c r="D101" s="168"/>
      <c r="E101" s="167"/>
      <c r="F101" s="167"/>
      <c r="G101" s="167"/>
      <c r="H101" s="167"/>
      <c r="I101" s="167"/>
      <c r="J101" s="167"/>
      <c r="K101" s="167"/>
      <c r="L101" s="167"/>
      <c r="M101" s="167"/>
      <c r="N101" s="167"/>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row>
    <row r="102" spans="2:35">
      <c r="B102" s="177"/>
      <c r="C102" s="168"/>
      <c r="D102" s="168"/>
      <c r="E102" s="167"/>
      <c r="F102" s="167"/>
      <c r="G102" s="167"/>
      <c r="H102" s="167"/>
      <c r="I102" s="167"/>
      <c r="J102" s="167"/>
      <c r="K102" s="167"/>
      <c r="L102" s="167"/>
      <c r="M102" s="167"/>
      <c r="N102" s="167"/>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row>
    <row r="103" spans="2:35">
      <c r="B103" s="177"/>
      <c r="C103" s="168"/>
      <c r="D103" s="168"/>
      <c r="E103" s="167"/>
      <c r="F103" s="167"/>
      <c r="G103" s="167"/>
      <c r="H103" s="167"/>
      <c r="I103" s="167"/>
      <c r="J103" s="167"/>
      <c r="K103" s="167"/>
      <c r="L103" s="167"/>
      <c r="M103" s="167"/>
      <c r="N103" s="167"/>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row>
    <row r="104" spans="2:35">
      <c r="B104" s="177"/>
      <c r="C104" s="168"/>
      <c r="D104" s="168"/>
      <c r="E104" s="167"/>
      <c r="F104" s="167"/>
      <c r="G104" s="167"/>
      <c r="H104" s="167"/>
      <c r="I104" s="167"/>
      <c r="J104" s="167"/>
      <c r="K104" s="167"/>
      <c r="L104" s="167"/>
      <c r="M104" s="167"/>
      <c r="N104" s="167"/>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row>
    <row r="105" spans="2:35">
      <c r="B105" s="177"/>
      <c r="C105" s="168"/>
      <c r="D105" s="168"/>
      <c r="E105" s="167"/>
      <c r="F105" s="167"/>
      <c r="G105" s="167"/>
      <c r="H105" s="167"/>
      <c r="I105" s="167"/>
      <c r="J105" s="167"/>
      <c r="K105" s="167"/>
      <c r="L105" s="167"/>
      <c r="M105" s="167"/>
      <c r="N105" s="167"/>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row>
    <row r="106" spans="2:35">
      <c r="B106" s="177"/>
      <c r="C106" s="168"/>
      <c r="D106" s="168"/>
      <c r="E106" s="167"/>
      <c r="F106" s="167"/>
      <c r="G106" s="167"/>
      <c r="H106" s="167"/>
      <c r="I106" s="167"/>
      <c r="J106" s="167"/>
      <c r="K106" s="167"/>
      <c r="L106" s="167"/>
      <c r="M106" s="167"/>
      <c r="N106" s="167"/>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row>
    <row r="107" spans="2:35">
      <c r="B107" s="169"/>
      <c r="C107" s="169"/>
      <c r="D107" s="169"/>
    </row>
    <row r="108" spans="2:35">
      <c r="B108" s="160" t="s">
        <v>1025</v>
      </c>
      <c r="C108" s="160">
        <v>1998</v>
      </c>
      <c r="D108" s="160">
        <v>1999</v>
      </c>
      <c r="E108" s="160">
        <v>2000</v>
      </c>
      <c r="F108" s="160">
        <v>2001</v>
      </c>
      <c r="G108" s="160">
        <v>2002</v>
      </c>
      <c r="H108" s="160">
        <v>2003</v>
      </c>
      <c r="I108" s="160">
        <v>2004</v>
      </c>
      <c r="J108" s="160">
        <v>2005</v>
      </c>
      <c r="K108" s="160">
        <v>2006</v>
      </c>
      <c r="L108" s="160">
        <v>2007</v>
      </c>
      <c r="M108" s="160">
        <v>2008</v>
      </c>
      <c r="N108" s="160">
        <v>2009</v>
      </c>
      <c r="O108" s="160">
        <v>2010</v>
      </c>
      <c r="P108" s="160">
        <v>2011</v>
      </c>
      <c r="Q108" s="160">
        <v>2012</v>
      </c>
      <c r="R108" s="160">
        <v>2013</v>
      </c>
      <c r="S108" s="160">
        <v>2014</v>
      </c>
      <c r="T108" s="160">
        <v>2015</v>
      </c>
      <c r="U108" s="160">
        <v>2016</v>
      </c>
      <c r="V108" s="160">
        <v>2017</v>
      </c>
      <c r="W108" s="160">
        <v>2018</v>
      </c>
      <c r="X108" s="160">
        <f>W108+1</f>
        <v>2019</v>
      </c>
      <c r="Y108" s="160">
        <f t="shared" ref="Y108:AI108" si="10">X108+1</f>
        <v>2020</v>
      </c>
      <c r="Z108" s="160">
        <f t="shared" si="10"/>
        <v>2021</v>
      </c>
      <c r="AA108" s="160">
        <f t="shared" si="10"/>
        <v>2022</v>
      </c>
      <c r="AB108" s="160">
        <f t="shared" si="10"/>
        <v>2023</v>
      </c>
      <c r="AC108" s="160">
        <f t="shared" si="10"/>
        <v>2024</v>
      </c>
      <c r="AD108" s="160">
        <f t="shared" si="10"/>
        <v>2025</v>
      </c>
      <c r="AE108" s="160">
        <f t="shared" si="10"/>
        <v>2026</v>
      </c>
      <c r="AF108" s="160">
        <f t="shared" si="10"/>
        <v>2027</v>
      </c>
      <c r="AG108" s="160">
        <f t="shared" si="10"/>
        <v>2028</v>
      </c>
      <c r="AH108" s="160">
        <f t="shared" si="10"/>
        <v>2029</v>
      </c>
      <c r="AI108" s="160">
        <f t="shared" si="10"/>
        <v>2030</v>
      </c>
    </row>
    <row r="109" spans="2:35">
      <c r="B109" s="161" t="s">
        <v>203</v>
      </c>
      <c r="C109" s="162"/>
      <c r="D109" s="163"/>
      <c r="E109" s="163"/>
      <c r="F109" s="163"/>
      <c r="G109" s="163"/>
      <c r="H109" s="163"/>
      <c r="I109" s="163"/>
      <c r="J109" s="163"/>
      <c r="K109" s="163"/>
      <c r="L109" s="163"/>
      <c r="M109" s="163"/>
      <c r="N109" s="175">
        <f>Master!H162</f>
        <v>13346.45</v>
      </c>
      <c r="O109" s="175">
        <f>Master!I162</f>
        <v>8799.0699999999979</v>
      </c>
      <c r="P109" s="175">
        <f>Master!J162</f>
        <v>13794.86</v>
      </c>
      <c r="Q109" s="175">
        <f>Master!K162</f>
        <v>15019.84</v>
      </c>
      <c r="R109" s="175">
        <f>Master!L162</f>
        <v>13432.048890624999</v>
      </c>
      <c r="S109" s="175">
        <f>Master!M162</f>
        <v>13062.938999999998</v>
      </c>
      <c r="T109" s="175">
        <f>Master!N162</f>
        <v>6897.6019999999999</v>
      </c>
      <c r="U109" s="175">
        <f>Master!O162</f>
        <v>5664.8199999999979</v>
      </c>
      <c r="V109" s="175">
        <f>Master!P162</f>
        <v>16059.169999999998</v>
      </c>
      <c r="W109" s="175">
        <f>Master!Q162</f>
        <v>17911.550000000003</v>
      </c>
      <c r="X109" s="175">
        <f>Master!R162</f>
        <v>19150.974999999999</v>
      </c>
      <c r="Y109" s="175">
        <f>Master!S162</f>
        <v>18631.987999999998</v>
      </c>
      <c r="Z109" s="175">
        <f>Master!T162</f>
        <v>20291.507729586941</v>
      </c>
      <c r="AA109" s="175">
        <f>Master!U162</f>
        <v>8321.8700000000008</v>
      </c>
      <c r="AB109" s="175">
        <f>Master!V162</f>
        <v>9553.6500000000015</v>
      </c>
      <c r="AC109" s="175">
        <f>Master!W162</f>
        <v>9996.3120334860087</v>
      </c>
      <c r="AD109" s="175">
        <f>Master!X162</f>
        <v>9109.2065129939092</v>
      </c>
      <c r="AE109" s="175">
        <f>Master!Y162</f>
        <v>8902.5243290215003</v>
      </c>
      <c r="AF109" s="175">
        <f>Master!Z162</f>
        <v>9021.5544275112406</v>
      </c>
      <c r="AG109" s="175">
        <f>Master!AA162</f>
        <v>9224.2215214415446</v>
      </c>
      <c r="AH109" s="175">
        <f>Master!AB162</f>
        <v>9475.2063127623478</v>
      </c>
      <c r="AI109" s="175">
        <f>Master!AC162</f>
        <v>9612.5219356450998</v>
      </c>
    </row>
    <row r="110" spans="2:35">
      <c r="B110" s="161" t="s">
        <v>227</v>
      </c>
      <c r="C110" s="162"/>
      <c r="D110" s="163"/>
      <c r="E110" s="163"/>
      <c r="F110" s="163"/>
      <c r="G110" s="163"/>
      <c r="H110" s="163"/>
      <c r="I110" s="163"/>
      <c r="J110" s="163"/>
      <c r="K110" s="163"/>
      <c r="L110" s="163"/>
      <c r="M110" s="163"/>
      <c r="N110" s="175">
        <f>Master!H163</f>
        <v>-2973</v>
      </c>
      <c r="O110" s="175">
        <f>Master!I163</f>
        <v>-3028</v>
      </c>
      <c r="P110" s="175">
        <f>Master!J163</f>
        <v>-4143</v>
      </c>
      <c r="Q110" s="175">
        <f>Master!K163</f>
        <v>-3350.5</v>
      </c>
      <c r="R110" s="175">
        <f>Master!L163</f>
        <v>885</v>
      </c>
      <c r="S110" s="175">
        <f>Master!M163</f>
        <v>-4329</v>
      </c>
      <c r="T110" s="175">
        <f>Master!N163</f>
        <v>1702</v>
      </c>
      <c r="U110" s="175">
        <f>Master!O163</f>
        <v>-9532.1</v>
      </c>
      <c r="V110" s="175">
        <f>Master!P163</f>
        <v>-5305</v>
      </c>
      <c r="W110" s="175">
        <f>Master!Q163</f>
        <v>-8779.6</v>
      </c>
      <c r="X110" s="175">
        <f>Master!R163</f>
        <v>-8810.8000000000011</v>
      </c>
      <c r="Y110" s="175">
        <f>Master!S163</f>
        <v>-5584.2</v>
      </c>
      <c r="Z110" s="175">
        <f>Master!T163</f>
        <v>-11918</v>
      </c>
      <c r="AA110" s="175">
        <f>Master!U163</f>
        <v>-9206.2000000000007</v>
      </c>
      <c r="AB110" s="175">
        <f>Master!V163</f>
        <v>-4624.2999999999993</v>
      </c>
      <c r="AC110" s="175">
        <f ca="1">Master!W163</f>
        <v>-4586.7847606338692</v>
      </c>
      <c r="AD110" s="175">
        <f ca="1">Master!X163</f>
        <v>-4942.0396161709232</v>
      </c>
      <c r="AE110" s="175">
        <f ca="1">Master!Y163</f>
        <v>-4872.2733613876389</v>
      </c>
      <c r="AF110" s="175">
        <f ca="1">Master!Z163</f>
        <v>-4731.9534104969716</v>
      </c>
      <c r="AG110" s="175">
        <f ca="1">Master!AA163</f>
        <v>-4528.2394431840949</v>
      </c>
      <c r="AH110" s="175">
        <f ca="1">Master!AB163</f>
        <v>-4270.6216297725532</v>
      </c>
      <c r="AI110" s="175">
        <f ca="1">Master!AC163</f>
        <v>-3980.5631004840288</v>
      </c>
    </row>
    <row r="111" spans="2:35">
      <c r="B111" s="161" t="s">
        <v>1026</v>
      </c>
      <c r="C111" s="162"/>
      <c r="D111" s="163"/>
      <c r="E111" s="163"/>
      <c r="F111" s="163"/>
      <c r="G111" s="163"/>
      <c r="H111" s="163"/>
      <c r="I111" s="163"/>
      <c r="J111" s="163"/>
      <c r="K111" s="163"/>
      <c r="L111" s="163"/>
      <c r="M111" s="163"/>
      <c r="N111" s="175">
        <f>Master!H164</f>
        <v>-3121</v>
      </c>
      <c r="O111" s="175">
        <f>Master!I164</f>
        <v>-3259</v>
      </c>
      <c r="P111" s="175">
        <f>Master!J164</f>
        <v>-3410</v>
      </c>
      <c r="Q111" s="175">
        <f>Master!K164</f>
        <v>-4053</v>
      </c>
      <c r="R111" s="175">
        <f>Master!L164</f>
        <v>-3728.9999999999995</v>
      </c>
      <c r="S111" s="175">
        <f>Master!M164</f>
        <v>-2983</v>
      </c>
      <c r="T111" s="175">
        <f>Master!N164</f>
        <v>-4396.5599999999995</v>
      </c>
      <c r="U111" s="175">
        <f>Master!O164</f>
        <v>-7269</v>
      </c>
      <c r="V111" s="175">
        <f>Master!P164</f>
        <v>-6420</v>
      </c>
      <c r="W111" s="175">
        <f>Master!Q164</f>
        <v>-6723</v>
      </c>
      <c r="X111" s="175">
        <f>Master!R164</f>
        <v>-4593.5</v>
      </c>
      <c r="Y111" s="175">
        <f>Master!S164</f>
        <v>-8681</v>
      </c>
      <c r="Z111" s="175">
        <f>Master!T164</f>
        <v>-9166</v>
      </c>
      <c r="AA111" s="175">
        <f>Master!U164</f>
        <v>-12188</v>
      </c>
      <c r="AB111" s="175">
        <f>Master!V164</f>
        <v>-7014.3090000000002</v>
      </c>
      <c r="AC111" s="175">
        <f ca="1">Master!W164</f>
        <v>746.5544852392967</v>
      </c>
      <c r="AD111" s="175">
        <f ca="1">Master!X164</f>
        <v>455.97547571896786</v>
      </c>
      <c r="AE111" s="175">
        <f ca="1">Master!Y164</f>
        <v>369.65278184170018</v>
      </c>
      <c r="AF111" s="175">
        <f ca="1">Master!Z164</f>
        <v>228.11978514094324</v>
      </c>
      <c r="AG111" s="175">
        <f ca="1">Master!AA164</f>
        <v>15.50624060775117</v>
      </c>
      <c r="AH111" s="175">
        <f ca="1">Master!AB164</f>
        <v>-234.07218772027571</v>
      </c>
      <c r="AI111" s="175">
        <f ca="1">Master!AC164</f>
        <v>-498.6733193940974</v>
      </c>
    </row>
    <row r="112" spans="2:35">
      <c r="B112" s="161" t="s">
        <v>1027</v>
      </c>
      <c r="C112" s="162"/>
      <c r="D112" s="163"/>
      <c r="E112" s="163"/>
      <c r="F112" s="163"/>
      <c r="G112" s="163"/>
      <c r="H112" s="163"/>
      <c r="I112" s="163"/>
      <c r="J112" s="163"/>
      <c r="K112" s="163"/>
      <c r="L112" s="163"/>
      <c r="M112" s="163"/>
      <c r="N112" s="175">
        <f>Master!H165</f>
        <v>0</v>
      </c>
      <c r="O112" s="175">
        <f>Master!I165</f>
        <v>7312</v>
      </c>
      <c r="P112" s="175">
        <f>Master!J165</f>
        <v>1914</v>
      </c>
      <c r="Q112" s="175">
        <f>Master!K165</f>
        <v>-612</v>
      </c>
      <c r="R112" s="175">
        <f>Master!L165</f>
        <v>3956</v>
      </c>
      <c r="S112" s="175">
        <f>Master!M165</f>
        <v>-7848.8999999999978</v>
      </c>
      <c r="T112" s="175">
        <f>Master!N165</f>
        <v>10889.599999999993</v>
      </c>
      <c r="U112" s="175">
        <f>Master!O165</f>
        <v>1519.0999999999976</v>
      </c>
      <c r="V112" s="175">
        <f>Master!P165</f>
        <v>-7444.7999999999938</v>
      </c>
      <c r="W112" s="175">
        <f>Master!Q165</f>
        <v>11570.000000000002</v>
      </c>
      <c r="X112" s="175">
        <f>Master!R165</f>
        <v>-9514.2999999999975</v>
      </c>
      <c r="Y112" s="175">
        <f>Master!S165</f>
        <v>-2134.7000000000053</v>
      </c>
      <c r="Z112" s="175">
        <f>Master!T165</f>
        <v>80.300000000019281</v>
      </c>
      <c r="AA112" s="175">
        <f>Master!U165</f>
        <v>-6119.1000000000167</v>
      </c>
      <c r="AB112" s="175">
        <f>Master!V165</f>
        <v>-8211.7999999999975</v>
      </c>
      <c r="AC112" s="175">
        <f>Master!W165</f>
        <v>-4688.3941526020753</v>
      </c>
      <c r="AD112" s="175">
        <f>Master!X165</f>
        <v>143.55866860207107</v>
      </c>
      <c r="AE112" s="175">
        <f>Master!Y165</f>
        <v>793.35701914749006</v>
      </c>
      <c r="AF112" s="175">
        <f>Master!Z165</f>
        <v>283.27314464682104</v>
      </c>
      <c r="AG112" s="175">
        <f>Master!AA165</f>
        <v>106.65541633951261</v>
      </c>
      <c r="AH112" s="175">
        <f>Master!AB165</f>
        <v>57.59614018407683</v>
      </c>
      <c r="AI112" s="175">
        <f>Master!AC165</f>
        <v>6.0540251536292544</v>
      </c>
    </row>
    <row r="113" spans="2:35">
      <c r="B113" s="161" t="s">
        <v>5065</v>
      </c>
      <c r="C113" s="162"/>
      <c r="D113" s="162"/>
      <c r="E113" s="162"/>
      <c r="F113" s="162"/>
      <c r="G113" s="162"/>
      <c r="H113" s="163"/>
      <c r="I113" s="163"/>
      <c r="J113" s="163"/>
      <c r="K113" s="163"/>
      <c r="L113" s="163"/>
      <c r="M113" s="163"/>
      <c r="N113" s="175"/>
      <c r="O113" s="175"/>
      <c r="P113" s="175"/>
      <c r="Q113" s="175"/>
      <c r="R113" s="175"/>
      <c r="S113" s="175"/>
      <c r="T113" s="175"/>
      <c r="U113" s="175"/>
      <c r="V113" s="175"/>
      <c r="W113" s="175"/>
      <c r="X113" s="175">
        <f>Master!R171</f>
        <v>-600</v>
      </c>
      <c r="Y113" s="175">
        <f>Master!S171</f>
        <v>-208</v>
      </c>
      <c r="Z113" s="175">
        <f>Master!T171</f>
        <v>-216</v>
      </c>
      <c r="AA113" s="175">
        <f>Master!U171</f>
        <v>-249</v>
      </c>
      <c r="AB113" s="175">
        <f>Master!V171</f>
        <v>-1345.002</v>
      </c>
      <c r="AC113" s="175">
        <f>Master!W171</f>
        <v>-1385.3520599999999</v>
      </c>
      <c r="AD113" s="175">
        <f>Master!X171</f>
        <v>-1426.9126217999999</v>
      </c>
      <c r="AE113" s="175">
        <f>Master!Y171</f>
        <v>-1469.720000454</v>
      </c>
      <c r="AF113" s="175">
        <f>Master!Z171</f>
        <v>-1513.8116004676201</v>
      </c>
      <c r="AG113" s="175">
        <f>Master!AA171</f>
        <v>-1559.2259484816489</v>
      </c>
      <c r="AH113" s="175">
        <f>Master!AB171</f>
        <v>-1606.0027269360983</v>
      </c>
      <c r="AI113" s="175">
        <f>Master!AC171</f>
        <v>-1654.1828087441813</v>
      </c>
    </row>
    <row r="114" spans="2:35">
      <c r="B114" s="161" t="s">
        <v>1029</v>
      </c>
      <c r="C114" s="162"/>
      <c r="D114" s="167"/>
      <c r="E114" s="167"/>
      <c r="F114" s="167"/>
      <c r="G114" s="167"/>
      <c r="H114" s="163"/>
      <c r="I114" s="163"/>
      <c r="J114" s="163"/>
      <c r="K114" s="163"/>
      <c r="L114" s="163"/>
      <c r="M114" s="163"/>
      <c r="N114" s="175">
        <f>Master!H174</f>
        <v>0</v>
      </c>
      <c r="O114" s="175">
        <f>Master!I174</f>
        <v>-13966</v>
      </c>
      <c r="P114" s="175">
        <f>Master!J174</f>
        <v>-19299</v>
      </c>
      <c r="Q114" s="175">
        <f>Master!K174</f>
        <v>0</v>
      </c>
      <c r="R114" s="175">
        <f>Master!L174</f>
        <v>-11122.5</v>
      </c>
      <c r="S114" s="175">
        <f>Master!M174</f>
        <v>-6015</v>
      </c>
      <c r="T114" s="175">
        <f>Master!N174</f>
        <v>-879</v>
      </c>
      <c r="U114" s="175">
        <f>Master!O174</f>
        <v>-6750</v>
      </c>
      <c r="V114" s="175">
        <f>Master!P174</f>
        <v>0</v>
      </c>
      <c r="W114" s="175">
        <f>Master!Q174</f>
        <v>4057.7800000000007</v>
      </c>
      <c r="X114" s="175">
        <f>Master!R174</f>
        <v>-9500</v>
      </c>
      <c r="Y114" s="175">
        <f>Master!S174</f>
        <v>0</v>
      </c>
      <c r="Z114" s="175">
        <f>Master!T174</f>
        <v>5206</v>
      </c>
      <c r="AA114" s="175">
        <f>Master!U174</f>
        <v>45247.5</v>
      </c>
      <c r="AB114" s="175">
        <f>Master!V174</f>
        <v>0</v>
      </c>
      <c r="AC114" s="175">
        <f>Master!W174</f>
        <v>-851.80000000000007</v>
      </c>
      <c r="AD114" s="175">
        <f>Master!X174</f>
        <v>0</v>
      </c>
      <c r="AE114" s="175">
        <f>Master!Y174</f>
        <v>0</v>
      </c>
      <c r="AF114" s="175">
        <f>Master!Z174</f>
        <v>0</v>
      </c>
      <c r="AG114" s="175">
        <f>Master!AA174</f>
        <v>0</v>
      </c>
      <c r="AH114" s="175">
        <f>Master!AB174</f>
        <v>0</v>
      </c>
      <c r="AI114" s="175">
        <f>Master!AC174</f>
        <v>0</v>
      </c>
    </row>
    <row r="115" spans="2:35">
      <c r="B115" s="161" t="s">
        <v>231</v>
      </c>
      <c r="C115" s="162"/>
      <c r="D115" s="163"/>
      <c r="E115" s="163"/>
      <c r="F115" s="163"/>
      <c r="G115" s="163"/>
      <c r="H115" s="163"/>
      <c r="I115" s="163"/>
      <c r="J115" s="163"/>
      <c r="K115" s="163"/>
      <c r="L115" s="163"/>
      <c r="M115" s="163"/>
      <c r="N115" s="175">
        <f>Master!H167</f>
        <v>0</v>
      </c>
      <c r="O115" s="175">
        <f>Master!I167</f>
        <v>-1066.6543162393161</v>
      </c>
      <c r="P115" s="175">
        <f>Master!J167</f>
        <v>-1084.2353846153844</v>
      </c>
      <c r="Q115" s="175">
        <f>Master!K167</f>
        <v>-1094.060811965812</v>
      </c>
      <c r="R115" s="175">
        <f>Master!L167</f>
        <v>-1098.0747435897435</v>
      </c>
      <c r="S115" s="175">
        <f>Master!M167</f>
        <v>0</v>
      </c>
      <c r="T115" s="175">
        <f>Master!N167</f>
        <v>-1084.1938034188033</v>
      </c>
      <c r="U115" s="175">
        <f>Master!O167</f>
        <v>-1084.1938034188033</v>
      </c>
      <c r="V115" s="175">
        <f>Master!P167</f>
        <v>-1084.1938034188033</v>
      </c>
      <c r="W115" s="175">
        <f>Master!Q167</f>
        <v>-1068.8679914529912</v>
      </c>
      <c r="X115" s="175">
        <f>Master!R167</f>
        <v>0</v>
      </c>
      <c r="Y115" s="175">
        <f>Master!S167</f>
        <v>-1068.8679914529912</v>
      </c>
      <c r="Z115" s="175">
        <f>Master!T167</f>
        <v>-1053.3920000000001</v>
      </c>
      <c r="AA115" s="175">
        <f>Master!U167</f>
        <v>-1053.3920000000001</v>
      </c>
      <c r="AB115" s="175">
        <f>Master!V167</f>
        <v>-1027.354</v>
      </c>
      <c r="AC115" s="175">
        <f>Master!W167</f>
        <v>-1078.0036153101805</v>
      </c>
      <c r="AD115" s="175">
        <f>Master!X167</f>
        <v>-1078.0036153101805</v>
      </c>
      <c r="AE115" s="175">
        <f>Master!Y167</f>
        <v>-1078.0036153101805</v>
      </c>
      <c r="AF115" s="175">
        <f>Master!Z167</f>
        <v>-1078.0036153101805</v>
      </c>
      <c r="AG115" s="175">
        <f>Master!AA167</f>
        <v>-1078.0036153101805</v>
      </c>
      <c r="AH115" s="175">
        <f>Master!AB167</f>
        <v>-1078.0036153101805</v>
      </c>
      <c r="AI115" s="175">
        <f>Master!AC167</f>
        <v>-1078.0036153101805</v>
      </c>
    </row>
    <row r="116" spans="2:35">
      <c r="B116" s="161" t="s">
        <v>1041</v>
      </c>
      <c r="C116" s="162"/>
      <c r="D116" s="163"/>
      <c r="E116" s="163"/>
      <c r="F116" s="163"/>
      <c r="G116" s="163"/>
      <c r="H116" s="163"/>
      <c r="I116" s="163"/>
      <c r="J116" s="163"/>
      <c r="K116" s="163"/>
      <c r="L116" s="163"/>
      <c r="M116" s="163"/>
      <c r="N116" s="175">
        <f>Master!H168</f>
        <v>-76.3</v>
      </c>
      <c r="O116" s="175">
        <f>Master!I168</f>
        <v>-243.55799999999999</v>
      </c>
      <c r="P116" s="175">
        <f>Master!J168</f>
        <v>-2649</v>
      </c>
      <c r="Q116" s="175" t="e">
        <f>Master!K168</f>
        <v>#REF!</v>
      </c>
      <c r="R116" s="175" t="e">
        <f>Master!L168</f>
        <v>#REF!</v>
      </c>
      <c r="S116" s="175" t="e">
        <f>Master!M168</f>
        <v>#REF!</v>
      </c>
      <c r="T116" s="175">
        <f>Master!N168</f>
        <v>0</v>
      </c>
      <c r="U116" s="175">
        <f>Master!O168</f>
        <v>0</v>
      </c>
      <c r="V116" s="175">
        <f>Master!P168</f>
        <v>0</v>
      </c>
      <c r="W116" s="175">
        <f>Master!Q168</f>
        <v>0</v>
      </c>
      <c r="X116" s="175">
        <f>Master!R168</f>
        <v>0</v>
      </c>
      <c r="Y116" s="175">
        <f>Master!S168</f>
        <v>-1420</v>
      </c>
      <c r="Z116" s="175">
        <f>Master!T168</f>
        <v>-329</v>
      </c>
      <c r="AA116" s="175">
        <f>Master!U168</f>
        <v>0</v>
      </c>
      <c r="AB116" s="175">
        <f>Master!V168</f>
        <v>0</v>
      </c>
      <c r="AC116" s="175">
        <f>Master!W168</f>
        <v>0</v>
      </c>
      <c r="AD116" s="175">
        <f>Master!X168</f>
        <v>-52.215347057762266</v>
      </c>
      <c r="AE116" s="175">
        <f>Master!Y168</f>
        <v>-57.436881763538494</v>
      </c>
      <c r="AF116" s="175">
        <f>Master!Z168</f>
        <v>-63.180569939892351</v>
      </c>
      <c r="AG116" s="175">
        <f>Master!AA168</f>
        <v>-69.498626933881596</v>
      </c>
      <c r="AH116" s="175">
        <f>Master!AB168</f>
        <v>-76.448489627269765</v>
      </c>
      <c r="AI116" s="175">
        <f>Master!AC168</f>
        <v>-84.093338589996748</v>
      </c>
    </row>
    <row r="117" spans="2:35">
      <c r="B117" s="161" t="s">
        <v>1028</v>
      </c>
      <c r="C117" s="162"/>
      <c r="D117" s="162"/>
      <c r="E117" s="167"/>
      <c r="F117" s="167"/>
      <c r="G117" s="167"/>
      <c r="H117" s="163"/>
      <c r="I117" s="163"/>
      <c r="J117" s="163"/>
      <c r="K117" s="163"/>
      <c r="L117" s="163"/>
      <c r="M117" s="163"/>
      <c r="N117" s="175"/>
      <c r="O117" s="175">
        <f>O118-SUM(O109:O116)</f>
        <v>-6688.9576837606801</v>
      </c>
      <c r="P117" s="175">
        <f>P118-SUM(P109:P116)</f>
        <v>-4178.6246153846168</v>
      </c>
      <c r="Q117" s="175" t="e">
        <f t="shared" ref="Q117:W117" si="11">Q118-SUM(Q109:Q116)</f>
        <v>#REF!</v>
      </c>
      <c r="R117" s="175" t="e">
        <f t="shared" si="11"/>
        <v>#REF!</v>
      </c>
      <c r="S117" s="175" t="e">
        <f t="shared" si="11"/>
        <v>#REF!</v>
      </c>
      <c r="T117" s="175">
        <f t="shared" si="11"/>
        <v>-28103.448196581183</v>
      </c>
      <c r="U117" s="175">
        <f t="shared" si="11"/>
        <v>-5473.5261965811878</v>
      </c>
      <c r="V117" s="175">
        <f t="shared" si="11"/>
        <v>3327.7238034187931</v>
      </c>
      <c r="W117" s="175">
        <f t="shared" si="11"/>
        <v>-21012.562008547007</v>
      </c>
      <c r="X117" s="175">
        <f t="shared" ref="X117:AD117" si="12">X118-SUM(X109:X116)</f>
        <v>3452.2249999999913</v>
      </c>
      <c r="Y117" s="175">
        <f t="shared" si="12"/>
        <v>-1945.1200085469945</v>
      </c>
      <c r="Z117" s="175">
        <f t="shared" si="12"/>
        <v>-11972.315729586955</v>
      </c>
      <c r="AA117" s="175">
        <f t="shared" si="12"/>
        <v>26356.522000000012</v>
      </c>
      <c r="AB117" s="175">
        <f t="shared" si="12"/>
        <v>10829.215</v>
      </c>
      <c r="AC117" s="175">
        <f t="shared" ca="1" si="12"/>
        <v>-1118.3468590494649</v>
      </c>
      <c r="AD117" s="175">
        <f t="shared" ca="1" si="12"/>
        <v>-1650.3799115748984</v>
      </c>
      <c r="AE117" s="175">
        <f t="shared" ref="AE117:AF117" ca="1" si="13">AE118-SUM(AE109:AE116)</f>
        <v>-766.64220785505995</v>
      </c>
      <c r="AF117" s="175">
        <f t="shared" ca="1" si="13"/>
        <v>465.35752983406474</v>
      </c>
      <c r="AG117" s="175">
        <f t="shared" ref="AG117:AI117" ca="1" si="14">AG118-SUM(AG109:AG116)</f>
        <v>1554.8289653393344</v>
      </c>
      <c r="AH117" s="175">
        <f t="shared" ca="1" si="14"/>
        <v>1913.5623054362227</v>
      </c>
      <c r="AI117" s="175">
        <f t="shared" ca="1" si="14"/>
        <v>2291.0861828832899</v>
      </c>
    </row>
    <row r="118" spans="2:35">
      <c r="B118" s="161" t="s">
        <v>225</v>
      </c>
      <c r="C118" s="162"/>
      <c r="D118" s="162"/>
      <c r="E118" s="167"/>
      <c r="F118" s="167"/>
      <c r="G118" s="167"/>
      <c r="H118" s="163"/>
      <c r="I118" s="163"/>
      <c r="J118" s="163"/>
      <c r="K118" s="163"/>
      <c r="L118" s="163"/>
      <c r="M118" s="163"/>
      <c r="N118" s="175"/>
      <c r="O118" s="175">
        <f>-(O119-N119)</f>
        <v>-12141.099999999999</v>
      </c>
      <c r="P118" s="175">
        <f>-(P119-O119)</f>
        <v>-19055</v>
      </c>
      <c r="Q118" s="175">
        <f>-(Q119-P119)</f>
        <v>6163</v>
      </c>
      <c r="R118" s="175">
        <f t="shared" ref="R118:AI118" si="15">-(R119-Q119)</f>
        <v>-9383</v>
      </c>
      <c r="S118" s="175">
        <f t="shared" si="15"/>
        <v>-5514.0000000000073</v>
      </c>
      <c r="T118" s="175">
        <f t="shared" si="15"/>
        <v>-14973.999999999993</v>
      </c>
      <c r="U118" s="175">
        <f t="shared" si="15"/>
        <v>-22924.899999999994</v>
      </c>
      <c r="V118" s="175">
        <f t="shared" si="15"/>
        <v>-867.10000000000582</v>
      </c>
      <c r="W118" s="175">
        <f t="shared" si="15"/>
        <v>-4044.6999999999971</v>
      </c>
      <c r="X118" s="175">
        <f t="shared" si="15"/>
        <v>-10415.400000000009</v>
      </c>
      <c r="Y118" s="175">
        <f t="shared" si="15"/>
        <v>-2409.8999999999942</v>
      </c>
      <c r="Z118" s="175">
        <f t="shared" si="15"/>
        <v>-9076.8999999999942</v>
      </c>
      <c r="AA118" s="175">
        <f t="shared" si="15"/>
        <v>51110.2</v>
      </c>
      <c r="AB118" s="175">
        <f t="shared" si="15"/>
        <v>-1839.8999999999942</v>
      </c>
      <c r="AC118" s="175">
        <f t="shared" ca="1" si="15"/>
        <v>-2965.8149288702843</v>
      </c>
      <c r="AD118" s="175">
        <f t="shared" ca="1" si="15"/>
        <v>559.18954540118284</v>
      </c>
      <c r="AE118" s="175">
        <f t="shared" ca="1" si="15"/>
        <v>1821.4580632402722</v>
      </c>
      <c r="AF118" s="175">
        <f t="shared" ca="1" si="15"/>
        <v>2611.3556909184044</v>
      </c>
      <c r="AG118" s="175">
        <f t="shared" ca="1" si="15"/>
        <v>3666.244509818338</v>
      </c>
      <c r="AH118" s="175">
        <f t="shared" ca="1" si="15"/>
        <v>4181.2161090162699</v>
      </c>
      <c r="AI118" s="175">
        <f t="shared" ca="1" si="15"/>
        <v>4614.1459611595346</v>
      </c>
    </row>
    <row r="119" spans="2:35">
      <c r="B119" s="161" t="s">
        <v>224</v>
      </c>
      <c r="C119" s="162"/>
      <c r="D119" s="162"/>
      <c r="E119" s="162"/>
      <c r="F119" s="162"/>
      <c r="G119" s="162"/>
      <c r="H119" s="163"/>
      <c r="I119" s="163"/>
      <c r="J119" s="163"/>
      <c r="K119" s="163"/>
      <c r="L119" s="163"/>
      <c r="M119" s="163"/>
      <c r="N119" s="175">
        <f>Master!H258</f>
        <v>576.90000000000146</v>
      </c>
      <c r="O119" s="175">
        <f>Master!I258</f>
        <v>12718</v>
      </c>
      <c r="P119" s="175">
        <f>Master!J258</f>
        <v>31773</v>
      </c>
      <c r="Q119" s="175">
        <f>Master!K258</f>
        <v>25610</v>
      </c>
      <c r="R119" s="175">
        <f>Master!L258</f>
        <v>34993</v>
      </c>
      <c r="S119" s="175">
        <f>Master!M258</f>
        <v>40507.000000000007</v>
      </c>
      <c r="T119" s="175">
        <f>Master!N258</f>
        <v>55481</v>
      </c>
      <c r="U119" s="175">
        <f>Master!O258</f>
        <v>78405.899999999994</v>
      </c>
      <c r="V119" s="175">
        <f>Master!P258</f>
        <v>79273</v>
      </c>
      <c r="W119" s="175">
        <f>Master!Q258</f>
        <v>83317.7</v>
      </c>
      <c r="X119" s="175">
        <f>Master!R258</f>
        <v>93733.1</v>
      </c>
      <c r="Y119" s="175">
        <f>Master!S258</f>
        <v>96143</v>
      </c>
      <c r="Z119" s="175">
        <f>Master!T258</f>
        <v>105219.9</v>
      </c>
      <c r="AA119" s="175">
        <f>Master!U258</f>
        <v>54109.7</v>
      </c>
      <c r="AB119" s="175">
        <f>Master!V258</f>
        <v>55949.599999999991</v>
      </c>
      <c r="AC119" s="175">
        <f ca="1">Master!W258</f>
        <v>58915.414928870276</v>
      </c>
      <c r="AD119" s="175">
        <f ca="1">Master!X258</f>
        <v>58356.225383469093</v>
      </c>
      <c r="AE119" s="175">
        <f ca="1">Master!Y258</f>
        <v>56534.767320228821</v>
      </c>
      <c r="AF119" s="175">
        <f ca="1">Master!Z258</f>
        <v>53923.411629310416</v>
      </c>
      <c r="AG119" s="175">
        <f ca="1">Master!AA258</f>
        <v>50257.167119492078</v>
      </c>
      <c r="AH119" s="175">
        <f ca="1">Master!AB258</f>
        <v>46075.951010475808</v>
      </c>
      <c r="AI119" s="175">
        <f ca="1">Master!AC258</f>
        <v>41461.805049316274</v>
      </c>
    </row>
    <row r="120" spans="2:35">
      <c r="E120" s="170"/>
      <c r="F120" s="170"/>
    </row>
    <row r="121" spans="2:35">
      <c r="B121" s="160" t="s">
        <v>1030</v>
      </c>
      <c r="C121" s="160">
        <v>1998</v>
      </c>
      <c r="D121" s="160">
        <v>1999</v>
      </c>
      <c r="E121" s="160">
        <v>2000</v>
      </c>
      <c r="F121" s="160">
        <v>2001</v>
      </c>
      <c r="G121" s="160">
        <v>2002</v>
      </c>
      <c r="H121" s="160">
        <v>2003</v>
      </c>
      <c r="I121" s="160">
        <v>2004</v>
      </c>
      <c r="J121" s="160">
        <v>2005</v>
      </c>
      <c r="K121" s="160">
        <v>2006</v>
      </c>
      <c r="L121" s="160">
        <v>2007</v>
      </c>
      <c r="M121" s="160">
        <v>2008</v>
      </c>
      <c r="N121" s="160">
        <v>2009</v>
      </c>
      <c r="O121" s="160">
        <v>2010</v>
      </c>
      <c r="P121" s="160">
        <v>2011</v>
      </c>
      <c r="Q121" s="160">
        <v>2012</v>
      </c>
      <c r="R121" s="160">
        <v>2013</v>
      </c>
      <c r="S121" s="160">
        <v>2014</v>
      </c>
      <c r="T121" s="160">
        <v>2015</v>
      </c>
      <c r="U121" s="160">
        <v>2016</v>
      </c>
      <c r="V121" s="160">
        <v>2017</v>
      </c>
      <c r="W121" s="160">
        <v>2018</v>
      </c>
      <c r="X121" s="160">
        <f>W121+1</f>
        <v>2019</v>
      </c>
      <c r="Y121" s="160">
        <f t="shared" ref="Y121:AI121" si="16">X121+1</f>
        <v>2020</v>
      </c>
      <c r="Z121" s="160">
        <f t="shared" si="16"/>
        <v>2021</v>
      </c>
      <c r="AA121" s="160">
        <f t="shared" si="16"/>
        <v>2022</v>
      </c>
      <c r="AB121" s="160">
        <f t="shared" si="16"/>
        <v>2023</v>
      </c>
      <c r="AC121" s="160">
        <f t="shared" si="16"/>
        <v>2024</v>
      </c>
      <c r="AD121" s="160">
        <f t="shared" si="16"/>
        <v>2025</v>
      </c>
      <c r="AE121" s="160">
        <f t="shared" si="16"/>
        <v>2026</v>
      </c>
      <c r="AF121" s="160">
        <f t="shared" si="16"/>
        <v>2027</v>
      </c>
      <c r="AG121" s="160">
        <f t="shared" si="16"/>
        <v>2028</v>
      </c>
      <c r="AH121" s="160">
        <f t="shared" si="16"/>
        <v>2029</v>
      </c>
      <c r="AI121" s="160">
        <f t="shared" si="16"/>
        <v>2030</v>
      </c>
    </row>
    <row r="122" spans="2:35">
      <c r="B122" s="161" t="s">
        <v>1031</v>
      </c>
      <c r="C122" s="162"/>
      <c r="D122" s="163"/>
      <c r="E122" s="163"/>
      <c r="F122" s="163"/>
      <c r="G122" s="163"/>
      <c r="H122" s="163"/>
      <c r="I122" s="163"/>
      <c r="J122" s="163"/>
      <c r="K122" s="163"/>
      <c r="L122" s="163"/>
      <c r="M122" s="163"/>
      <c r="N122" s="163">
        <f>-SOP!$G$15</f>
        <v>-2677.3321745870207</v>
      </c>
      <c r="O122" s="163">
        <f>N122</f>
        <v>-2677.3321745870207</v>
      </c>
      <c r="P122" s="163">
        <f t="shared" ref="P122:AI122" si="17">O122</f>
        <v>-2677.3321745870207</v>
      </c>
      <c r="Q122" s="163">
        <f t="shared" si="17"/>
        <v>-2677.3321745870207</v>
      </c>
      <c r="R122" s="163">
        <f t="shared" si="17"/>
        <v>-2677.3321745870207</v>
      </c>
      <c r="S122" s="163">
        <f t="shared" si="17"/>
        <v>-2677.3321745870207</v>
      </c>
      <c r="T122" s="163">
        <f t="shared" si="17"/>
        <v>-2677.3321745870207</v>
      </c>
      <c r="U122" s="163">
        <f t="shared" si="17"/>
        <v>-2677.3321745870207</v>
      </c>
      <c r="V122" s="163">
        <f t="shared" si="17"/>
        <v>-2677.3321745870207</v>
      </c>
      <c r="W122" s="163">
        <f t="shared" si="17"/>
        <v>-2677.3321745870207</v>
      </c>
      <c r="X122" s="163">
        <f t="shared" si="17"/>
        <v>-2677.3321745870207</v>
      </c>
      <c r="Y122" s="163">
        <f t="shared" si="17"/>
        <v>-2677.3321745870207</v>
      </c>
      <c r="Z122" s="163">
        <f t="shared" si="17"/>
        <v>-2677.3321745870207</v>
      </c>
      <c r="AA122" s="163">
        <f t="shared" si="17"/>
        <v>-2677.3321745870207</v>
      </c>
      <c r="AB122" s="163">
        <f t="shared" si="17"/>
        <v>-2677.3321745870207</v>
      </c>
      <c r="AC122" s="163">
        <f t="shared" si="17"/>
        <v>-2677.3321745870207</v>
      </c>
      <c r="AD122" s="163">
        <f t="shared" si="17"/>
        <v>-2677.3321745870207</v>
      </c>
      <c r="AE122" s="163">
        <f t="shared" si="17"/>
        <v>-2677.3321745870207</v>
      </c>
      <c r="AF122" s="163">
        <f t="shared" si="17"/>
        <v>-2677.3321745870207</v>
      </c>
      <c r="AG122" s="163">
        <f t="shared" si="17"/>
        <v>-2677.3321745870207</v>
      </c>
      <c r="AH122" s="163">
        <f t="shared" si="17"/>
        <v>-2677.3321745870207</v>
      </c>
      <c r="AI122" s="163">
        <f t="shared" si="17"/>
        <v>-2677.3321745870207</v>
      </c>
    </row>
    <row r="123" spans="2:35">
      <c r="B123" s="161" t="s">
        <v>1032</v>
      </c>
      <c r="C123" s="162"/>
      <c r="D123" s="162"/>
      <c r="E123" s="167"/>
      <c r="F123" s="167"/>
      <c r="G123" s="167"/>
      <c r="H123" s="167"/>
      <c r="I123" s="167"/>
      <c r="J123" s="167"/>
      <c r="K123" s="167"/>
      <c r="L123" s="167"/>
      <c r="M123" s="167"/>
      <c r="N123" s="167"/>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row>
    <row r="124" spans="2:35">
      <c r="B124" s="161" t="s">
        <v>1033</v>
      </c>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row>
    <row r="125" spans="2:35">
      <c r="B125" s="161" t="s">
        <v>1034</v>
      </c>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row>
    <row r="126" spans="2:35">
      <c r="B126" s="161" t="s">
        <v>1035</v>
      </c>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row>
    <row r="127" spans="2:35">
      <c r="B127" s="161" t="s">
        <v>1036</v>
      </c>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row>
    <row r="129" spans="2:35">
      <c r="B129" s="160" t="s">
        <v>1037</v>
      </c>
      <c r="C129" s="160">
        <v>1998</v>
      </c>
      <c r="D129" s="160">
        <v>1999</v>
      </c>
      <c r="E129" s="160">
        <v>2000</v>
      </c>
      <c r="F129" s="160">
        <v>2001</v>
      </c>
      <c r="G129" s="160">
        <v>2002</v>
      </c>
      <c r="H129" s="160">
        <v>2003</v>
      </c>
      <c r="I129" s="160">
        <v>2004</v>
      </c>
      <c r="J129" s="160">
        <v>2005</v>
      </c>
      <c r="K129" s="160">
        <v>2006</v>
      </c>
      <c r="L129" s="160">
        <v>2007</v>
      </c>
      <c r="M129" s="160">
        <v>2008</v>
      </c>
      <c r="N129" s="160">
        <v>2009</v>
      </c>
      <c r="O129" s="160">
        <v>2010</v>
      </c>
      <c r="P129" s="160">
        <v>2011</v>
      </c>
      <c r="Q129" s="160">
        <v>2012</v>
      </c>
      <c r="R129" s="160">
        <v>2013</v>
      </c>
      <c r="S129" s="160">
        <v>2014</v>
      </c>
      <c r="T129" s="160">
        <v>2015</v>
      </c>
      <c r="U129" s="160">
        <v>2016</v>
      </c>
      <c r="V129" s="160">
        <v>2017</v>
      </c>
      <c r="W129" s="160">
        <v>2018</v>
      </c>
      <c r="X129" s="160">
        <f>W129+1</f>
        <v>2019</v>
      </c>
      <c r="Y129" s="160">
        <f t="shared" ref="Y129:AI129" si="18">X129+1</f>
        <v>2020</v>
      </c>
      <c r="Z129" s="160">
        <f t="shared" si="18"/>
        <v>2021</v>
      </c>
      <c r="AA129" s="160">
        <f t="shared" si="18"/>
        <v>2022</v>
      </c>
      <c r="AB129" s="160">
        <f t="shared" si="18"/>
        <v>2023</v>
      </c>
      <c r="AC129" s="160">
        <f t="shared" si="18"/>
        <v>2024</v>
      </c>
      <c r="AD129" s="160">
        <f t="shared" si="18"/>
        <v>2025</v>
      </c>
      <c r="AE129" s="160">
        <f t="shared" si="18"/>
        <v>2026</v>
      </c>
      <c r="AF129" s="160">
        <f t="shared" si="18"/>
        <v>2027</v>
      </c>
      <c r="AG129" s="160">
        <f t="shared" si="18"/>
        <v>2028</v>
      </c>
      <c r="AH129" s="160">
        <f t="shared" si="18"/>
        <v>2029</v>
      </c>
      <c r="AI129" s="160">
        <f t="shared" si="18"/>
        <v>2030</v>
      </c>
    </row>
    <row r="130" spans="2:35">
      <c r="B130" s="171" t="s">
        <v>1038</v>
      </c>
      <c r="C130" s="175"/>
      <c r="D130" s="175"/>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c r="AA130" s="175"/>
      <c r="AB130" s="175"/>
      <c r="AC130" s="175"/>
      <c r="AD130" s="175"/>
      <c r="AE130" s="175"/>
      <c r="AF130" s="175"/>
      <c r="AG130" s="175"/>
      <c r="AH130" s="175"/>
      <c r="AI130" s="175"/>
    </row>
    <row r="131" spans="2:35">
      <c r="B131" s="55" t="s">
        <v>359</v>
      </c>
      <c r="C131" s="175"/>
      <c r="D131" s="175"/>
      <c r="E131" s="175"/>
      <c r="F131" s="175"/>
      <c r="G131" s="175"/>
      <c r="H131" s="175"/>
      <c r="I131" s="175"/>
      <c r="J131" s="175"/>
      <c r="K131" s="175"/>
      <c r="L131" s="175"/>
      <c r="M131" s="175"/>
      <c r="N131" s="175">
        <f>Master!H47+Master!H50+Master!H53+Master!H55</f>
        <v>33368.443377914999</v>
      </c>
      <c r="O131" s="175">
        <f>Master!I47+Master!I50+Master!I53+Master!I55</f>
        <v>35058.300000000003</v>
      </c>
      <c r="P131" s="175">
        <f>Master!J47+Master!J50+Master!J53+Master!J55</f>
        <v>36466.9</v>
      </c>
      <c r="Q131" s="175">
        <f>Master!K47+Master!K50+Master!K53+Master!K55</f>
        <v>39254.600000000006</v>
      </c>
      <c r="R131" s="175">
        <f>Master!L47+Master!L50+Master!L53+Master!L55</f>
        <v>40556.6</v>
      </c>
      <c r="S131" s="175">
        <f>Master!M47+Master!M50+Master!M53+Master!M55</f>
        <v>41682.699999999997</v>
      </c>
      <c r="T131" s="175">
        <f>Master!N47+Master!N50+Master!N53+Master!N55</f>
        <v>40310</v>
      </c>
      <c r="U131" s="175">
        <f>Master!O47+Master!O50+Master!O53+Master!O55</f>
        <v>42450.6</v>
      </c>
      <c r="V131" s="175">
        <f>Master!P47+Master!P50+Master!P53+Master!P55</f>
        <v>39030</v>
      </c>
      <c r="W131" s="175">
        <f>Master!Q47+Master!Q50+Master!Q53+Master!Q55</f>
        <v>43075</v>
      </c>
      <c r="X131" s="175">
        <f>Master!R47+Master!R50+Master!R53+Master!R55</f>
        <v>37601.600000000006</v>
      </c>
      <c r="Y131" s="175">
        <f>Master!S47+Master!S50+Master!S53+Master!S55</f>
        <v>29636.5</v>
      </c>
      <c r="Z131" s="175">
        <f>Master!T47+Master!T50+Master!T53+Master!T55</f>
        <v>33474.300000000003</v>
      </c>
      <c r="AA131" s="175">
        <f>Master!U47+Master!U50+Master!U53+Master!U55</f>
        <v>6775.8</v>
      </c>
      <c r="AB131" s="175">
        <f>Master!V47+Master!V50+Master!V53+Master!V55</f>
        <v>7380.2000000000007</v>
      </c>
      <c r="AC131" s="175">
        <f>Master!W47+Master!W50+Master!W53+Master!W55</f>
        <v>-170</v>
      </c>
      <c r="AD131" s="175">
        <f>Master!X47+Master!X50+Master!X53+Master!X55</f>
        <v>-168.12726863154955</v>
      </c>
      <c r="AE131" s="175">
        <f>Master!Y47+Master!Y50+Master!Y53+Master!Y55</f>
        <v>-168.55954803016084</v>
      </c>
      <c r="AF131" s="175">
        <f>Master!Z47+Master!Z50+Master!Z53+Master!Z55</f>
        <v>-170.05541940546311</v>
      </c>
      <c r="AG131" s="175">
        <f>Master!AA47+Master!AA50+Master!AA53+Master!AA55</f>
        <v>-172.72136758299382</v>
      </c>
      <c r="AH131" s="175">
        <f>Master!AB47+Master!AB50+Master!AB53+Master!AB55</f>
        <v>-175.94706342542693</v>
      </c>
      <c r="AI131" s="175">
        <f>Master!AC47+Master!AC50+Master!AC53+Master!AC55</f>
        <v>-179.40756921116582</v>
      </c>
    </row>
    <row r="132" spans="2:35">
      <c r="B132" s="55" t="s">
        <v>128</v>
      </c>
      <c r="C132" s="175"/>
      <c r="D132" s="175"/>
      <c r="E132" s="175"/>
      <c r="F132" s="175"/>
      <c r="G132" s="175"/>
      <c r="H132" s="175"/>
      <c r="I132" s="175"/>
      <c r="J132" s="175"/>
      <c r="K132" s="175"/>
      <c r="L132" s="175"/>
      <c r="M132" s="175"/>
      <c r="N132" s="175">
        <f>Master!H51</f>
        <v>10005.1</v>
      </c>
      <c r="O132" s="175">
        <f>Master!I51</f>
        <v>11248.2</v>
      </c>
      <c r="P132" s="175">
        <f>Master!J51</f>
        <v>12479.2</v>
      </c>
      <c r="Q132" s="175">
        <f>Master!K51</f>
        <v>14465.4</v>
      </c>
      <c r="R132" s="175">
        <f>Master!L51</f>
        <v>16098.3</v>
      </c>
      <c r="S132" s="175">
        <f>Master!M51</f>
        <v>17498.5</v>
      </c>
      <c r="T132" s="175">
        <f>Master!N51</f>
        <v>19253.5</v>
      </c>
      <c r="U132" s="175">
        <f>Master!O51</f>
        <v>21941.200000000001</v>
      </c>
      <c r="V132" s="175">
        <f>Master!P51</f>
        <v>22197</v>
      </c>
      <c r="W132" s="175">
        <f>Master!Q51</f>
        <v>22002</v>
      </c>
      <c r="X132" s="175">
        <f>Master!R51</f>
        <v>21347</v>
      </c>
      <c r="Y132" s="175">
        <f>Master!S51</f>
        <v>22134.7</v>
      </c>
      <c r="Z132" s="175">
        <f>Master!T51</f>
        <v>22026.6</v>
      </c>
      <c r="AA132" s="175">
        <f>Master!U51</f>
        <v>20339</v>
      </c>
      <c r="AB132" s="175">
        <f>Master!V51</f>
        <v>17585.2</v>
      </c>
      <c r="AC132" s="175">
        <f>Master!W51</f>
        <v>15669.651064570926</v>
      </c>
      <c r="AD132" s="175">
        <f>Master!X51</f>
        <v>14471.39653698212</v>
      </c>
      <c r="AE132" s="175">
        <f>Master!Y51</f>
        <v>13649.527111625455</v>
      </c>
      <c r="AF132" s="175">
        <f>Master!Z51</f>
        <v>12959.924872841093</v>
      </c>
      <c r="AG132" s="175">
        <f>Master!AA51</f>
        <v>12296.149820803679</v>
      </c>
      <c r="AH132" s="175">
        <f>Master!AB51</f>
        <v>11657.205747123304</v>
      </c>
      <c r="AI132" s="175">
        <f>Master!AC51</f>
        <v>11042.13297144538</v>
      </c>
    </row>
    <row r="133" spans="2:35" ht="15.75">
      <c r="B133" s="178" t="s">
        <v>16</v>
      </c>
      <c r="C133" s="175"/>
      <c r="D133" s="175"/>
      <c r="E133" s="175"/>
      <c r="F133" s="175"/>
      <c r="G133" s="175"/>
      <c r="H133" s="175"/>
      <c r="I133" s="175"/>
      <c r="J133" s="175"/>
      <c r="K133" s="175"/>
      <c r="L133" s="175"/>
      <c r="M133" s="175"/>
      <c r="N133" s="175">
        <f>Master!H52</f>
        <v>9241.7000000000007</v>
      </c>
      <c r="O133" s="175">
        <f>Master!I52</f>
        <v>11814.2</v>
      </c>
      <c r="P133" s="175">
        <f>Master!J52</f>
        <v>13635.400000000001</v>
      </c>
      <c r="Q133" s="175">
        <f>Master!K52</f>
        <v>15570.4</v>
      </c>
      <c r="R133" s="175">
        <f>Master!L52</f>
        <v>17138.8</v>
      </c>
      <c r="S133" s="175">
        <f>Master!M52</f>
        <v>20937.2</v>
      </c>
      <c r="T133" s="175">
        <f>Master!N52</f>
        <v>28488.3</v>
      </c>
      <c r="U133" s="175">
        <f>Master!O52</f>
        <v>31891.599999999999</v>
      </c>
      <c r="V133" s="175">
        <f>Master!P52</f>
        <v>33048</v>
      </c>
      <c r="W133" s="175">
        <f>Master!Q52</f>
        <v>36233</v>
      </c>
      <c r="X133" s="175">
        <f>Master!R52</f>
        <v>41702</v>
      </c>
      <c r="Y133" s="175">
        <f>Master!S52</f>
        <v>45367.1</v>
      </c>
      <c r="Z133" s="175">
        <f>Master!T52</f>
        <v>48020.9</v>
      </c>
      <c r="AA133" s="175">
        <f>Master!U52</f>
        <v>48411.8</v>
      </c>
      <c r="AB133" s="175">
        <f>Master!V52</f>
        <v>48802.5</v>
      </c>
      <c r="AC133" s="175">
        <f>Master!W52</f>
        <v>48802.5</v>
      </c>
      <c r="AD133" s="175">
        <f>Master!X52</f>
        <v>49290.525000000001</v>
      </c>
      <c r="AE133" s="175">
        <f>Master!Y52</f>
        <v>50276.335500000001</v>
      </c>
      <c r="AF133" s="175">
        <f>Master!Z52</f>
        <v>51533.243887499993</v>
      </c>
      <c r="AG133" s="175">
        <f>Master!AA52</f>
        <v>53208.074313843739</v>
      </c>
      <c r="AH133" s="175">
        <f>Master!AB52</f>
        <v>55070.356914828262</v>
      </c>
      <c r="AI133" s="175">
        <f>Master!AC52</f>
        <v>56997.819406847244</v>
      </c>
    </row>
    <row r="134" spans="2:35" ht="15.75">
      <c r="B134" s="178" t="s">
        <v>98</v>
      </c>
      <c r="C134" s="175"/>
      <c r="D134" s="175"/>
      <c r="E134" s="175"/>
      <c r="F134" s="175"/>
      <c r="G134" s="175"/>
      <c r="H134" s="175"/>
      <c r="I134" s="175"/>
      <c r="J134" s="175"/>
      <c r="K134" s="175"/>
      <c r="L134" s="175"/>
      <c r="M134" s="175"/>
      <c r="N134" s="179">
        <f>Master!H56</f>
        <v>52352.373298644896</v>
      </c>
      <c r="O134" s="179">
        <f>Master!I56</f>
        <v>57856.799999999996</v>
      </c>
      <c r="P134" s="179">
        <f>Master!J56</f>
        <v>62581.500000000007</v>
      </c>
      <c r="Q134" s="179">
        <f>Master!K56</f>
        <v>69290.399999999994</v>
      </c>
      <c r="R134" s="179">
        <f>Master!L56</f>
        <v>73793.600000000006</v>
      </c>
      <c r="S134" s="179">
        <f>Master!M56</f>
        <v>80118.399999999994</v>
      </c>
      <c r="T134" s="179">
        <f>Master!N56</f>
        <v>88052</v>
      </c>
      <c r="U134" s="179">
        <f>Master!O56</f>
        <v>96287.4</v>
      </c>
      <c r="V134" s="179">
        <f>Master!P56</f>
        <v>94275</v>
      </c>
      <c r="W134" s="179">
        <f>Master!Q56</f>
        <v>101310</v>
      </c>
      <c r="X134" s="179">
        <f>Master!R56</f>
        <v>100650.6</v>
      </c>
      <c r="Y134" s="179">
        <f>Master!S56</f>
        <v>97138.3</v>
      </c>
      <c r="Z134" s="179">
        <f>Master!T56</f>
        <v>103521.8</v>
      </c>
      <c r="AA134" s="179">
        <f>Master!U56</f>
        <v>75526.600000000006</v>
      </c>
      <c r="AB134" s="179">
        <f>Master!V56</f>
        <v>73767.900000000009</v>
      </c>
      <c r="AC134" s="179">
        <f>Master!W56</f>
        <v>64302.151064570928</v>
      </c>
      <c r="AD134" s="179">
        <f>Master!X56</f>
        <v>63593.794268350568</v>
      </c>
      <c r="AE134" s="179">
        <f>Master!Y56</f>
        <v>63757.303063595296</v>
      </c>
      <c r="AF134" s="179">
        <f>Master!Z56</f>
        <v>64323.113340935619</v>
      </c>
      <c r="AG134" s="179">
        <f>Master!AA56</f>
        <v>65331.502767064427</v>
      </c>
      <c r="AH134" s="179">
        <f>Master!AB56</f>
        <v>66551.615598526143</v>
      </c>
      <c r="AI134" s="179">
        <f>Master!AC56</f>
        <v>67860.544809081461</v>
      </c>
    </row>
    <row r="135" spans="2:35" ht="15.75">
      <c r="B135" s="178"/>
      <c r="C135" s="175"/>
      <c r="D135" s="175"/>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c r="AA135" s="175"/>
      <c r="AB135" s="175"/>
      <c r="AC135" s="175"/>
      <c r="AD135" s="175"/>
      <c r="AE135" s="175"/>
      <c r="AF135" s="175"/>
      <c r="AG135" s="175"/>
      <c r="AH135" s="175"/>
      <c r="AI135" s="175"/>
    </row>
    <row r="136" spans="2:35">
      <c r="C136" s="175"/>
      <c r="D136" s="175"/>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c r="AA136" s="175"/>
      <c r="AB136" s="175"/>
      <c r="AC136" s="175"/>
      <c r="AD136" s="175"/>
      <c r="AE136" s="175"/>
      <c r="AF136" s="175"/>
      <c r="AG136" s="175"/>
      <c r="AH136" s="175"/>
      <c r="AI136" s="175"/>
    </row>
    <row r="137" spans="2:35" ht="15.75">
      <c r="B137" s="178"/>
      <c r="C137" s="175"/>
      <c r="D137" s="175"/>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c r="AA137" s="175"/>
      <c r="AB137" s="175"/>
      <c r="AC137" s="175"/>
      <c r="AD137" s="175"/>
      <c r="AE137" s="175"/>
      <c r="AF137" s="175"/>
      <c r="AG137" s="175"/>
      <c r="AH137" s="175"/>
      <c r="AI137" s="175"/>
    </row>
    <row r="138" spans="2:35">
      <c r="B138" s="171" t="s">
        <v>57</v>
      </c>
      <c r="C138" s="175"/>
      <c r="D138" s="175"/>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c r="AA138" s="175"/>
      <c r="AB138" s="175"/>
      <c r="AC138" s="175"/>
      <c r="AD138" s="175"/>
      <c r="AE138" s="175"/>
      <c r="AF138" s="175"/>
      <c r="AG138" s="175"/>
      <c r="AH138" s="175"/>
      <c r="AI138" s="175"/>
    </row>
    <row r="139" spans="2:35">
      <c r="B139" s="55" t="str">
        <f>B131</f>
        <v>Content/other</v>
      </c>
      <c r="C139" s="175"/>
      <c r="D139" s="175"/>
      <c r="E139" s="175"/>
      <c r="F139" s="175"/>
      <c r="G139" s="175"/>
      <c r="H139" s="175"/>
      <c r="I139" s="175"/>
      <c r="J139" s="175"/>
      <c r="K139" s="175"/>
      <c r="L139" s="175"/>
      <c r="M139" s="175"/>
      <c r="N139" s="175">
        <f>Master!H65+Master!H66+Master!H69+Master!H71+Master!H72</f>
        <v>12636</v>
      </c>
      <c r="O139" s="175">
        <f>Master!I65+Master!I66+Master!I69+Master!I71+Master!I72</f>
        <v>12586</v>
      </c>
      <c r="P139" s="175">
        <f>Master!J65+Master!J66+Master!J69+Master!J71+Master!J72</f>
        <v>13066.1</v>
      </c>
      <c r="Q139" s="175">
        <f>Master!K65+Master!K66+Master!K69+Master!K71+Master!K72</f>
        <v>14243.000000000002</v>
      </c>
      <c r="R139" s="175">
        <f>Master!L65+Master!L66+Master!L69+Master!L71+Master!L72</f>
        <v>14733.276890624998</v>
      </c>
      <c r="S139" s="175">
        <f>Master!M65+Master!M66+Master!M69+Master!M71+Master!M72</f>
        <v>13913.7</v>
      </c>
      <c r="T139" s="175">
        <f>Master!N65+Master!N66+Master!N69+Master!N71+Master!N72</f>
        <v>11997.400000000001</v>
      </c>
      <c r="U139" s="175">
        <f>Master!O65+Master!O66+Master!O69+Master!O71+Master!O72</f>
        <v>10443.300000000001</v>
      </c>
      <c r="V139" s="175">
        <f>Master!P65+Master!P66+Master!P69+Master!P71+Master!P72</f>
        <v>8638</v>
      </c>
      <c r="W139" s="175">
        <f>Master!Q65+Master!Q66+Master!Q69+Master!Q71+Master!Q72</f>
        <v>11502.5</v>
      </c>
      <c r="X139" s="175">
        <f>Master!R65+Master!R66+Master!R69+Master!R71+Master!R72</f>
        <v>11299.1</v>
      </c>
      <c r="Y139" s="175">
        <f>Master!S65+Master!S66+Master!S69+Master!S71+Master!S72</f>
        <v>10776.199999999999</v>
      </c>
      <c r="Z139" s="175">
        <f>Master!T65+Master!T66+Master!T69+Master!T71+Master!T72</f>
        <v>14812.4</v>
      </c>
      <c r="AA139" s="175">
        <f>Master!U65+Master!U66+Master!U69+Master!U71+Master!U72</f>
        <v>-783.09999999999991</v>
      </c>
      <c r="AB139" s="175">
        <f>Master!V65+Master!V66+Master!V69+Master!V71+Master!V72</f>
        <v>-334.29999999999995</v>
      </c>
      <c r="AC139" s="175">
        <f>Master!W65+Master!W66+Master!W69+Master!W71+Master!W72</f>
        <v>1261.08</v>
      </c>
      <c r="AD139" s="175">
        <f>Master!X65+Master!X66+Master!X69+Master!X71+Master!X72</f>
        <v>-1765</v>
      </c>
      <c r="AE139" s="175">
        <f>Master!Y65+Master!Y66+Master!Y69+Master!Y71+Master!Y72</f>
        <v>-1780.3000000000002</v>
      </c>
      <c r="AF139" s="175">
        <f>Master!Z65+Master!Z66+Master!Z69+Master!Z71+Master!Z72</f>
        <v>-1795.9059999999999</v>
      </c>
      <c r="AG139" s="175">
        <f>Master!AA65+Master!AA66+Master!AA69+Master!AA71+Master!AA72</f>
        <v>-1811.8241200000002</v>
      </c>
      <c r="AH139" s="175">
        <f>Master!AB65+Master!AB66+Master!AB69+Master!AB71+Master!AB72</f>
        <v>-1828.0606024000001</v>
      </c>
      <c r="AI139" s="175">
        <f>Master!AC65+Master!AC66+Master!AC69+Master!AC71+Master!AC72</f>
        <v>-1844.6218144480001</v>
      </c>
    </row>
    <row r="140" spans="2:35">
      <c r="B140" s="55" t="s">
        <v>128</v>
      </c>
      <c r="C140" s="175"/>
      <c r="D140" s="175"/>
      <c r="E140" s="175"/>
      <c r="F140" s="175"/>
      <c r="G140" s="175"/>
      <c r="H140" s="175"/>
      <c r="I140" s="175"/>
      <c r="J140" s="175"/>
      <c r="K140" s="175"/>
      <c r="L140" s="175"/>
      <c r="M140" s="175"/>
      <c r="N140" s="175">
        <f>Master!H67</f>
        <v>4479</v>
      </c>
      <c r="O140" s="175">
        <f>Master!I67</f>
        <v>5075</v>
      </c>
      <c r="P140" s="175">
        <f>Master!J67</f>
        <v>5789.8</v>
      </c>
      <c r="Q140" s="175">
        <f>Master!K67</f>
        <v>6558</v>
      </c>
      <c r="R140" s="175">
        <f>Master!L67</f>
        <v>7340.5</v>
      </c>
      <c r="S140" s="175">
        <f>Master!M67</f>
        <v>8211.2999999999993</v>
      </c>
      <c r="T140" s="175">
        <f>Master!N67</f>
        <v>8972.2999999999993</v>
      </c>
      <c r="U140" s="175">
        <f>Master!O67</f>
        <v>9898.5</v>
      </c>
      <c r="V140" s="175">
        <f>Master!P67</f>
        <v>10107</v>
      </c>
      <c r="W140" s="175">
        <f>Master!Q67</f>
        <v>9767</v>
      </c>
      <c r="X140" s="175">
        <f>Master!R67</f>
        <v>9121</v>
      </c>
      <c r="Y140" s="175">
        <f>Master!S67</f>
        <v>9135.7999999999993</v>
      </c>
      <c r="Z140" s="175">
        <f>Master!T67</f>
        <v>8504.2000000000007</v>
      </c>
      <c r="AA140" s="175">
        <f>Master!U67</f>
        <v>6416.33</v>
      </c>
      <c r="AB140" s="175">
        <f>Master!V67</f>
        <v>5731.4</v>
      </c>
      <c r="AC140" s="175">
        <f>Master!W67</f>
        <v>4922.7495535325561</v>
      </c>
      <c r="AD140" s="175">
        <f>Master!X67</f>
        <v>4929.4109901492266</v>
      </c>
      <c r="AE140" s="175">
        <f>Master!Y67</f>
        <v>4593.9127511233182</v>
      </c>
      <c r="AF140" s="175">
        <f>Master!Z67</f>
        <v>4309.5155330454008</v>
      </c>
      <c r="AG140" s="175">
        <f>Master!AA67</f>
        <v>4038.7446351704884</v>
      </c>
      <c r="AH140" s="175">
        <f>Master!AB67</f>
        <v>3781.0306828921803</v>
      </c>
      <c r="AI140" s="175">
        <f>Master!AC67</f>
        <v>3535.8184902881126</v>
      </c>
    </row>
    <row r="141" spans="2:35" ht="15.75">
      <c r="B141" s="178" t="s">
        <v>16</v>
      </c>
      <c r="C141" s="175"/>
      <c r="D141" s="175"/>
      <c r="E141" s="175"/>
      <c r="F141" s="175"/>
      <c r="G141" s="175"/>
      <c r="H141" s="175"/>
      <c r="I141" s="175"/>
      <c r="J141" s="175"/>
      <c r="K141" s="175"/>
      <c r="L141" s="175"/>
      <c r="M141" s="175"/>
      <c r="N141" s="175">
        <f>Master!H68</f>
        <v>2972</v>
      </c>
      <c r="O141" s="175">
        <f>Master!I68</f>
        <v>3907</v>
      </c>
      <c r="P141" s="175">
        <f>Master!J68</f>
        <v>4779</v>
      </c>
      <c r="Q141" s="175">
        <f>Master!K68</f>
        <v>5812.7999999999993</v>
      </c>
      <c r="R141" s="175">
        <f>Master!L68</f>
        <v>6131.8</v>
      </c>
      <c r="S141" s="175">
        <f>Master!M68</f>
        <v>7882.9</v>
      </c>
      <c r="T141" s="175">
        <f>Master!N68</f>
        <v>11405.6</v>
      </c>
      <c r="U141" s="175">
        <f>Master!O68</f>
        <v>13236.1</v>
      </c>
      <c r="V141" s="175">
        <f>Master!P68</f>
        <v>14035</v>
      </c>
      <c r="W141" s="175">
        <f>Master!Q68</f>
        <v>15303</v>
      </c>
      <c r="X141" s="175">
        <f>Master!R68</f>
        <v>17798</v>
      </c>
      <c r="Y141" s="175">
        <f>Master!S68</f>
        <v>18898.3</v>
      </c>
      <c r="Z141" s="175">
        <f>Master!T68</f>
        <v>20285</v>
      </c>
      <c r="AA141" s="175">
        <f>Master!U68</f>
        <v>19902.8</v>
      </c>
      <c r="AB141" s="175">
        <f>Master!V68</f>
        <v>18821</v>
      </c>
      <c r="AC141" s="175">
        <f>Master!W68</f>
        <v>18178.931250000001</v>
      </c>
      <c r="AD141" s="175">
        <f>Master!X68</f>
        <v>18237.49425</v>
      </c>
      <c r="AE141" s="175">
        <f>Master!Y68</f>
        <v>18602.244135000001</v>
      </c>
      <c r="AF141" s="175">
        <f>Master!Z68</f>
        <v>19067.300238374999</v>
      </c>
      <c r="AG141" s="175">
        <f>Master!AA68</f>
        <v>19686.987496122183</v>
      </c>
      <c r="AH141" s="175">
        <f>Master!AB68</f>
        <v>20376.032058486457</v>
      </c>
      <c r="AI141" s="175">
        <f>Master!AC68</f>
        <v>21089.193180533479</v>
      </c>
    </row>
    <row r="142" spans="2:35" ht="15.75">
      <c r="B142" s="178" t="s">
        <v>98</v>
      </c>
      <c r="C142" s="175"/>
      <c r="D142" s="175"/>
      <c r="E142" s="175"/>
      <c r="F142" s="175"/>
      <c r="G142" s="175"/>
      <c r="H142" s="175"/>
      <c r="I142" s="175"/>
      <c r="J142" s="175"/>
      <c r="K142" s="175"/>
      <c r="L142" s="175"/>
      <c r="M142" s="175"/>
      <c r="N142" s="179">
        <f>Master!H73</f>
        <v>20087</v>
      </c>
      <c r="O142" s="179">
        <f>Master!I73</f>
        <v>21568</v>
      </c>
      <c r="P142" s="179">
        <f>Master!J73</f>
        <v>23634.9</v>
      </c>
      <c r="Q142" s="179">
        <f>Master!K73</f>
        <v>26613.8</v>
      </c>
      <c r="R142" s="179">
        <f>Master!L73</f>
        <v>28205.576890624998</v>
      </c>
      <c r="S142" s="179">
        <f>Master!M73</f>
        <v>30007.9</v>
      </c>
      <c r="T142" s="179">
        <f>Master!N73</f>
        <v>32375.299999999992</v>
      </c>
      <c r="U142" s="179">
        <f>Master!O73</f>
        <v>33577.899999999994</v>
      </c>
      <c r="V142" s="179">
        <f>Master!P73</f>
        <v>32780</v>
      </c>
      <c r="W142" s="179">
        <f>Master!Q73</f>
        <v>36572.5</v>
      </c>
      <c r="X142" s="179">
        <f>Master!R73</f>
        <v>38218.1</v>
      </c>
      <c r="Y142" s="179">
        <f>Master!S73</f>
        <v>38810.299999999996</v>
      </c>
      <c r="Z142" s="179">
        <f>Master!T73</f>
        <v>43601.599999999999</v>
      </c>
      <c r="AA142" s="179">
        <f>Master!U73</f>
        <v>25536.03</v>
      </c>
      <c r="AB142" s="179">
        <f>Master!V73</f>
        <v>24218.100000000002</v>
      </c>
      <c r="AC142" s="179">
        <f>Master!W73</f>
        <v>24362.760803532561</v>
      </c>
      <c r="AD142" s="179">
        <f>Master!X73</f>
        <v>21401.905240149226</v>
      </c>
      <c r="AE142" s="179">
        <f>Master!Y73</f>
        <v>21415.856886123318</v>
      </c>
      <c r="AF142" s="179">
        <f>Master!Z73</f>
        <v>21580.9097714204</v>
      </c>
      <c r="AG142" s="179">
        <f>Master!AA73</f>
        <v>21913.908011292671</v>
      </c>
      <c r="AH142" s="179">
        <f>Master!AB73</f>
        <v>22329.002138978634</v>
      </c>
      <c r="AI142" s="179">
        <f>Master!AC73</f>
        <v>22780.389856373589</v>
      </c>
    </row>
    <row r="143" spans="2:35">
      <c r="C143" s="175"/>
      <c r="D143" s="175"/>
      <c r="E143" s="175"/>
      <c r="F143" s="175"/>
      <c r="G143" s="175"/>
      <c r="H143" s="175"/>
      <c r="I143" s="175"/>
      <c r="J143" s="175"/>
      <c r="K143" s="175"/>
      <c r="L143" s="175"/>
      <c r="M143" s="175"/>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row>
    <row r="144" spans="2:35" ht="15.75">
      <c r="B144" s="178"/>
      <c r="C144" s="175"/>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c r="AA144" s="175"/>
      <c r="AB144" s="175"/>
      <c r="AC144" s="175"/>
      <c r="AD144" s="175"/>
      <c r="AE144" s="175"/>
      <c r="AF144" s="175"/>
      <c r="AG144" s="175"/>
      <c r="AH144" s="175"/>
      <c r="AI144" s="175"/>
    </row>
    <row r="145" spans="2:35">
      <c r="B145" s="171" t="s">
        <v>201</v>
      </c>
      <c r="C145" s="175"/>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c r="AA145" s="175"/>
      <c r="AB145" s="175"/>
      <c r="AC145" s="175"/>
      <c r="AD145" s="175"/>
      <c r="AE145" s="175"/>
      <c r="AF145" s="175"/>
      <c r="AG145" s="175"/>
      <c r="AH145" s="175"/>
      <c r="AI145" s="175"/>
    </row>
    <row r="146" spans="2:35">
      <c r="B146" s="55" t="str">
        <f>B139</f>
        <v>Content/other</v>
      </c>
      <c r="C146" s="175"/>
      <c r="D146" s="175"/>
      <c r="E146" s="175"/>
      <c r="F146" s="175"/>
      <c r="G146" s="175"/>
      <c r="H146" s="175"/>
      <c r="I146" s="175"/>
      <c r="J146" s="175"/>
      <c r="K146" s="175"/>
      <c r="L146" s="175"/>
      <c r="M146" s="175"/>
      <c r="N146" s="175">
        <f>Master!H87</f>
        <v>1775.25</v>
      </c>
      <c r="O146" s="175">
        <f>Master!I87</f>
        <v>1717.68</v>
      </c>
      <c r="P146" s="175">
        <f>Master!J87</f>
        <v>1783.8959999999997</v>
      </c>
      <c r="Q146" s="175">
        <f>Master!K87</f>
        <v>1763.44</v>
      </c>
      <c r="R146" s="175">
        <f>Master!L87</f>
        <v>2044.1519999999991</v>
      </c>
      <c r="S146" s="175">
        <f>Master!M87</f>
        <v>2414.4339999999997</v>
      </c>
      <c r="T146" s="175">
        <f>Master!N87</f>
        <v>2643.9419999999996</v>
      </c>
      <c r="U146" s="175">
        <f>Master!O87</f>
        <v>2827.5</v>
      </c>
      <c r="V146" s="175">
        <f>Master!P87</f>
        <v>2147.0399999999995</v>
      </c>
      <c r="W146" s="175">
        <f>Master!Q87</f>
        <v>1824.8999999999999</v>
      </c>
      <c r="X146" s="175">
        <f>Master!R87</f>
        <v>2075.15</v>
      </c>
      <c r="Y146" s="175">
        <f>Master!S87</f>
        <v>573.51599999999996</v>
      </c>
      <c r="Z146" s="175">
        <f>Master!T87</f>
        <v>1024.4188144250802</v>
      </c>
      <c r="AA146" s="175">
        <f>Master!U87</f>
        <v>341.87</v>
      </c>
      <c r="AB146" s="175">
        <f>Master!V87</f>
        <v>819.50999999999988</v>
      </c>
      <c r="AC146" s="175">
        <f>Master!W87</f>
        <v>0</v>
      </c>
      <c r="AD146" s="175">
        <f>Master!X87</f>
        <v>0</v>
      </c>
      <c r="AE146" s="175">
        <f>Master!Y87</f>
        <v>0</v>
      </c>
      <c r="AF146" s="175">
        <f>Master!Z87</f>
        <v>0</v>
      </c>
      <c r="AG146" s="175">
        <f>Master!AA87</f>
        <v>0</v>
      </c>
      <c r="AH146" s="175">
        <f>Master!AB87</f>
        <v>0</v>
      </c>
      <c r="AI146" s="175">
        <f>Master!AC87</f>
        <v>0</v>
      </c>
    </row>
    <row r="147" spans="2:35">
      <c r="B147" s="55" t="str">
        <f>B140</f>
        <v>Sky</v>
      </c>
      <c r="C147" s="175"/>
      <c r="D147" s="175"/>
      <c r="E147" s="175"/>
      <c r="F147" s="175"/>
      <c r="G147" s="175"/>
      <c r="H147" s="175"/>
      <c r="I147" s="175"/>
      <c r="J147" s="175"/>
      <c r="K147" s="175"/>
      <c r="L147" s="175"/>
      <c r="M147" s="175"/>
      <c r="N147" s="175">
        <f>Master!H88</f>
        <v>1738.8000000000002</v>
      </c>
      <c r="O147" s="175">
        <f>Master!I88</f>
        <v>5519.31</v>
      </c>
      <c r="P147" s="175">
        <f>Master!J88</f>
        <v>3005.5039999999999</v>
      </c>
      <c r="Q147" s="175">
        <f>Master!K88</f>
        <v>3842.7200000000003</v>
      </c>
      <c r="R147" s="175">
        <f>Master!L88</f>
        <v>5074.652</v>
      </c>
      <c r="S147" s="175">
        <f>Master!M88</f>
        <v>5174.9280000000008</v>
      </c>
      <c r="T147" s="175">
        <f>Master!N88</f>
        <v>5738.5919999999996</v>
      </c>
      <c r="U147" s="175">
        <f>Master!O88</f>
        <v>6533.4100000000008</v>
      </c>
      <c r="V147" s="175">
        <f>Master!P88</f>
        <v>3995.4599999999996</v>
      </c>
      <c r="W147" s="175">
        <f>Master!Q88</f>
        <v>4034.7999999999997</v>
      </c>
      <c r="X147" s="175">
        <f>Master!R88</f>
        <v>4025.1749999999997</v>
      </c>
      <c r="Y147" s="175">
        <f>Master!S88</f>
        <v>5374.2960000000003</v>
      </c>
      <c r="Z147" s="175">
        <f>Master!T88</f>
        <v>4951.6956950725162</v>
      </c>
      <c r="AA147" s="175">
        <f>Master!U88</f>
        <v>3883.241</v>
      </c>
      <c r="AB147" s="175">
        <f>Master!V88</f>
        <v>2640.8399999999997</v>
      </c>
      <c r="AC147" s="175">
        <f>Master!W88</f>
        <v>2251.9050200465481</v>
      </c>
      <c r="AD147" s="175">
        <f>Master!X88</f>
        <v>1941.688477155318</v>
      </c>
      <c r="AE147" s="175">
        <f>Master!Y88</f>
        <v>1829.6112633518183</v>
      </c>
      <c r="AF147" s="175">
        <f>Master!Z88</f>
        <v>1737.3741275341638</v>
      </c>
      <c r="AG147" s="175">
        <f>Master!AA88</f>
        <v>1649.0110697285515</v>
      </c>
      <c r="AH147" s="175">
        <f>Master!AB88</f>
        <v>1564.3726586764956</v>
      </c>
      <c r="AI147" s="175">
        <f>Master!AC88</f>
        <v>1483.3149423248069</v>
      </c>
    </row>
    <row r="148" spans="2:35">
      <c r="B148" s="55" t="str">
        <f>B141</f>
        <v>Cable</v>
      </c>
      <c r="C148" s="175"/>
      <c r="D148" s="175"/>
      <c r="E148" s="175"/>
      <c r="F148" s="175"/>
      <c r="G148" s="175"/>
      <c r="H148" s="175"/>
      <c r="I148" s="175"/>
      <c r="J148" s="175"/>
      <c r="K148" s="175"/>
      <c r="L148" s="175"/>
      <c r="M148" s="175"/>
      <c r="N148" s="175">
        <f>Master!H89</f>
        <v>3226.5</v>
      </c>
      <c r="O148" s="175">
        <f>Master!I89</f>
        <v>5531.9400000000005</v>
      </c>
      <c r="P148" s="175">
        <f>Master!J89</f>
        <v>5050.6399999999994</v>
      </c>
      <c r="Q148" s="175">
        <f>Master!K89</f>
        <v>5987.8</v>
      </c>
      <c r="R148" s="175">
        <f>Master!L89</f>
        <v>7654.7239999999993</v>
      </c>
      <c r="S148" s="175">
        <f>Master!M89</f>
        <v>9355.5990000000002</v>
      </c>
      <c r="T148" s="175">
        <f>Master!N89</f>
        <v>17095.164000000001</v>
      </c>
      <c r="U148" s="175">
        <f>Master!O89</f>
        <v>18552.170000000002</v>
      </c>
      <c r="V148" s="175">
        <f>Master!P89</f>
        <v>10578.33</v>
      </c>
      <c r="W148" s="175">
        <f>Master!Q89</f>
        <v>12801.25</v>
      </c>
      <c r="X148" s="175">
        <f>Master!R89</f>
        <v>12966.800000000001</v>
      </c>
      <c r="Y148" s="175">
        <f>Master!S89</f>
        <v>14230.5</v>
      </c>
      <c r="Z148" s="175">
        <f>Master!T89</f>
        <v>17333.977760915466</v>
      </c>
      <c r="AA148" s="175">
        <f>Master!U89</f>
        <v>12989.048999999999</v>
      </c>
      <c r="AB148" s="175">
        <f>Master!V89</f>
        <v>11204.1</v>
      </c>
      <c r="AC148" s="175">
        <f>Master!W89</f>
        <v>10614.543750000001</v>
      </c>
      <c r="AD148" s="175">
        <f>Master!X89</f>
        <v>10351.010249999999</v>
      </c>
      <c r="AE148" s="175">
        <f>Master!Y89</f>
        <v>10683.721293750001</v>
      </c>
      <c r="AF148" s="175">
        <f>Master!Z89</f>
        <v>10821.981216374998</v>
      </c>
      <c r="AG148" s="175">
        <f>Master!AA89</f>
        <v>11040.675420122576</v>
      </c>
      <c r="AH148" s="175">
        <f>Master!AB89</f>
        <v>11289.423167539793</v>
      </c>
      <c r="AI148" s="175">
        <f>Master!AC89</f>
        <v>11684.552978403684</v>
      </c>
    </row>
    <row r="149" spans="2:35">
      <c r="B149" s="55" t="str">
        <f>B142</f>
        <v>Total</v>
      </c>
      <c r="C149" s="175"/>
      <c r="D149" s="175"/>
      <c r="E149" s="175"/>
      <c r="F149" s="175"/>
      <c r="G149" s="175"/>
      <c r="H149" s="175"/>
      <c r="I149" s="175"/>
      <c r="J149" s="175"/>
      <c r="K149" s="175"/>
      <c r="L149" s="175"/>
      <c r="M149" s="175"/>
      <c r="N149" s="179">
        <f>Master!H90</f>
        <v>6740.55</v>
      </c>
      <c r="O149" s="179">
        <f>Master!I90</f>
        <v>12768.93</v>
      </c>
      <c r="P149" s="179">
        <f>Master!J90</f>
        <v>9840.0399999999991</v>
      </c>
      <c r="Q149" s="179">
        <f>Master!K90</f>
        <v>11593.960000000001</v>
      </c>
      <c r="R149" s="179">
        <f>Master!L90</f>
        <v>14773.527999999998</v>
      </c>
      <c r="S149" s="179">
        <f>Master!M90</f>
        <v>16944.960999999999</v>
      </c>
      <c r="T149" s="179">
        <f>Master!N90</f>
        <v>25477.698</v>
      </c>
      <c r="U149" s="179">
        <f>Master!O90</f>
        <v>27913.08</v>
      </c>
      <c r="V149" s="179">
        <f>Master!P90</f>
        <v>16720.829999999998</v>
      </c>
      <c r="W149" s="179">
        <f>Master!Q90</f>
        <v>18660.95</v>
      </c>
      <c r="X149" s="179">
        <f>Master!R90</f>
        <v>19067.125</v>
      </c>
      <c r="Y149" s="179">
        <f>Master!S90</f>
        <v>20178.311999999998</v>
      </c>
      <c r="Z149" s="179">
        <f>Master!T90</f>
        <v>23310.092270413064</v>
      </c>
      <c r="AA149" s="179">
        <f>Master!U90</f>
        <v>17214.16</v>
      </c>
      <c r="AB149" s="179">
        <f>Master!V90</f>
        <v>14664.45</v>
      </c>
      <c r="AC149" s="179">
        <f>Master!W90</f>
        <v>12866.448770046549</v>
      </c>
      <c r="AD149" s="179">
        <f>Master!X90</f>
        <v>12292.698727155317</v>
      </c>
      <c r="AE149" s="179">
        <f>Master!Y90</f>
        <v>12513.332557101819</v>
      </c>
      <c r="AF149" s="179">
        <f>Master!Z90</f>
        <v>12559.355343909161</v>
      </c>
      <c r="AG149" s="179">
        <f>Master!AA90</f>
        <v>12689.686489851127</v>
      </c>
      <c r="AH149" s="179">
        <f>Master!AB90</f>
        <v>12853.795826216288</v>
      </c>
      <c r="AI149" s="179">
        <f>Master!AC90</f>
        <v>13167.867920728491</v>
      </c>
    </row>
    <row r="150" spans="2:35">
      <c r="B150" s="55"/>
      <c r="C150" s="175"/>
      <c r="D150" s="175"/>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c r="AA150" s="175"/>
      <c r="AB150" s="175"/>
      <c r="AC150" s="175"/>
      <c r="AD150" s="175"/>
      <c r="AE150" s="175"/>
      <c r="AF150" s="175"/>
      <c r="AG150" s="175"/>
      <c r="AH150" s="175"/>
      <c r="AI150" s="175"/>
    </row>
    <row r="151" spans="2:35" ht="15.75">
      <c r="B151" s="191" t="s">
        <v>203</v>
      </c>
      <c r="C151" s="175"/>
      <c r="D151" s="175"/>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c r="AA151" s="175"/>
      <c r="AB151" s="175"/>
      <c r="AC151" s="175"/>
      <c r="AD151" s="175"/>
      <c r="AE151" s="175"/>
      <c r="AF151" s="175"/>
      <c r="AG151" s="175"/>
      <c r="AH151" s="175"/>
      <c r="AI151" s="175"/>
    </row>
    <row r="152" spans="2:35">
      <c r="B152" s="55" t="s">
        <v>359</v>
      </c>
      <c r="C152" s="175"/>
      <c r="D152" s="175"/>
      <c r="E152" s="175"/>
      <c r="F152" s="175"/>
      <c r="G152" s="175"/>
      <c r="H152" s="175"/>
      <c r="I152" s="175"/>
      <c r="J152" s="175"/>
      <c r="K152" s="175"/>
      <c r="L152" s="175"/>
      <c r="M152" s="175"/>
      <c r="N152" s="175">
        <f>N139-N146</f>
        <v>10860.75</v>
      </c>
      <c r="O152" s="175">
        <f t="shared" ref="O152:W152" si="19">O139-O146</f>
        <v>10868.32</v>
      </c>
      <c r="P152" s="175">
        <f t="shared" si="19"/>
        <v>11282.204000000002</v>
      </c>
      <c r="Q152" s="175">
        <f t="shared" si="19"/>
        <v>12479.560000000001</v>
      </c>
      <c r="R152" s="175">
        <f t="shared" si="19"/>
        <v>12689.124890625</v>
      </c>
      <c r="S152" s="175">
        <f t="shared" si="19"/>
        <v>11499.266000000001</v>
      </c>
      <c r="T152" s="175">
        <f t="shared" si="19"/>
        <v>9353.4580000000024</v>
      </c>
      <c r="U152" s="175">
        <f t="shared" si="19"/>
        <v>7615.8000000000011</v>
      </c>
      <c r="V152" s="175">
        <f t="shared" si="19"/>
        <v>6490.9600000000009</v>
      </c>
      <c r="W152" s="175">
        <f t="shared" si="19"/>
        <v>9677.6</v>
      </c>
      <c r="X152" s="175">
        <f t="shared" ref="X152:Y155" si="20">X139-X146</f>
        <v>9223.9500000000007</v>
      </c>
      <c r="Y152" s="175">
        <f t="shared" si="20"/>
        <v>10202.683999999999</v>
      </c>
      <c r="Z152" s="175">
        <f t="shared" ref="Z152:AD155" si="21">Z139-Z146</f>
        <v>13787.981185574919</v>
      </c>
      <c r="AA152" s="175">
        <f t="shared" si="21"/>
        <v>-1124.9699999999998</v>
      </c>
      <c r="AB152" s="175">
        <f t="shared" si="21"/>
        <v>-1153.81</v>
      </c>
      <c r="AC152" s="175">
        <f t="shared" si="21"/>
        <v>1261.08</v>
      </c>
      <c r="AD152" s="175">
        <f t="shared" si="21"/>
        <v>-1765</v>
      </c>
      <c r="AE152" s="175">
        <f t="shared" ref="AE152:AF152" si="22">AE139-AE146</f>
        <v>-1780.3000000000002</v>
      </c>
      <c r="AF152" s="175">
        <f t="shared" si="22"/>
        <v>-1795.9059999999999</v>
      </c>
      <c r="AG152" s="175">
        <f t="shared" ref="AG152:AI152" si="23">AG139-AG146</f>
        <v>-1811.8241200000002</v>
      </c>
      <c r="AH152" s="175">
        <f t="shared" si="23"/>
        <v>-1828.0606024000001</v>
      </c>
      <c r="AI152" s="175">
        <f t="shared" si="23"/>
        <v>-1844.6218144480001</v>
      </c>
    </row>
    <row r="153" spans="2:35">
      <c r="B153" s="55" t="s">
        <v>128</v>
      </c>
      <c r="C153" s="175"/>
      <c r="D153" s="175"/>
      <c r="E153" s="175"/>
      <c r="F153" s="175"/>
      <c r="G153" s="175"/>
      <c r="H153" s="175"/>
      <c r="I153" s="175"/>
      <c r="J153" s="175"/>
      <c r="K153" s="175"/>
      <c r="L153" s="175"/>
      <c r="M153" s="175"/>
      <c r="N153" s="175">
        <f t="shared" ref="N153:W155" si="24">N140-N147</f>
        <v>2740.2</v>
      </c>
      <c r="O153" s="175">
        <f t="shared" si="24"/>
        <v>-444.3100000000004</v>
      </c>
      <c r="P153" s="175">
        <f t="shared" si="24"/>
        <v>2784.2960000000003</v>
      </c>
      <c r="Q153" s="175">
        <f t="shared" si="24"/>
        <v>2715.2799999999997</v>
      </c>
      <c r="R153" s="175">
        <f t="shared" si="24"/>
        <v>2265.848</v>
      </c>
      <c r="S153" s="175">
        <f t="shared" si="24"/>
        <v>3036.3719999999985</v>
      </c>
      <c r="T153" s="175">
        <f t="shared" si="24"/>
        <v>3233.7079999999996</v>
      </c>
      <c r="U153" s="175">
        <f t="shared" si="24"/>
        <v>3365.0899999999992</v>
      </c>
      <c r="V153" s="175">
        <f t="shared" si="24"/>
        <v>6111.5400000000009</v>
      </c>
      <c r="W153" s="175">
        <f t="shared" si="24"/>
        <v>5732.2000000000007</v>
      </c>
      <c r="X153" s="175">
        <f t="shared" si="20"/>
        <v>5095.8250000000007</v>
      </c>
      <c r="Y153" s="175">
        <f t="shared" si="20"/>
        <v>3761.503999999999</v>
      </c>
      <c r="Z153" s="175">
        <f t="shared" si="21"/>
        <v>3552.5043049274846</v>
      </c>
      <c r="AA153" s="175">
        <f t="shared" si="21"/>
        <v>2533.0889999999999</v>
      </c>
      <c r="AB153" s="175">
        <f t="shared" si="21"/>
        <v>3090.56</v>
      </c>
      <c r="AC153" s="175">
        <f t="shared" si="21"/>
        <v>2670.844533486008</v>
      </c>
      <c r="AD153" s="175">
        <f t="shared" si="21"/>
        <v>2987.7225129939088</v>
      </c>
      <c r="AE153" s="175">
        <f t="shared" ref="AE153:AF153" si="25">AE140-AE147</f>
        <v>2764.3014877715</v>
      </c>
      <c r="AF153" s="175">
        <f t="shared" si="25"/>
        <v>2572.1414055112373</v>
      </c>
      <c r="AG153" s="175">
        <f t="shared" ref="AG153:AI153" si="26">AG140-AG147</f>
        <v>2389.7335654419367</v>
      </c>
      <c r="AH153" s="175">
        <f t="shared" si="26"/>
        <v>2216.6580242156847</v>
      </c>
      <c r="AI153" s="175">
        <f t="shared" si="26"/>
        <v>2052.5035479633057</v>
      </c>
    </row>
    <row r="154" spans="2:35">
      <c r="B154" s="55" t="s">
        <v>16</v>
      </c>
      <c r="C154" s="175"/>
      <c r="D154" s="175"/>
      <c r="E154" s="175"/>
      <c r="F154" s="175"/>
      <c r="G154" s="175"/>
      <c r="H154" s="175"/>
      <c r="I154" s="175"/>
      <c r="J154" s="175"/>
      <c r="K154" s="175"/>
      <c r="L154" s="175"/>
      <c r="M154" s="175"/>
      <c r="N154" s="175">
        <f t="shared" si="24"/>
        <v>-254.5</v>
      </c>
      <c r="O154" s="175">
        <f t="shared" si="24"/>
        <v>-1624.9400000000005</v>
      </c>
      <c r="P154" s="175">
        <f t="shared" si="24"/>
        <v>-271.63999999999942</v>
      </c>
      <c r="Q154" s="175">
        <f t="shared" si="24"/>
        <v>-175.00000000000091</v>
      </c>
      <c r="R154" s="175">
        <f t="shared" si="24"/>
        <v>-1522.9239999999991</v>
      </c>
      <c r="S154" s="175">
        <f t="shared" si="24"/>
        <v>-1472.6990000000005</v>
      </c>
      <c r="T154" s="175">
        <f t="shared" si="24"/>
        <v>-5689.5640000000003</v>
      </c>
      <c r="U154" s="175">
        <f t="shared" si="24"/>
        <v>-5316.0700000000015</v>
      </c>
      <c r="V154" s="175">
        <f t="shared" si="24"/>
        <v>3456.67</v>
      </c>
      <c r="W154" s="175">
        <f t="shared" si="24"/>
        <v>2501.75</v>
      </c>
      <c r="X154" s="175">
        <f t="shared" si="20"/>
        <v>4831.1999999999989</v>
      </c>
      <c r="Y154" s="175">
        <f t="shared" si="20"/>
        <v>4667.7999999999993</v>
      </c>
      <c r="Z154" s="175">
        <f t="shared" si="21"/>
        <v>2951.0222390845338</v>
      </c>
      <c r="AA154" s="175">
        <f t="shared" si="21"/>
        <v>6913.7510000000002</v>
      </c>
      <c r="AB154" s="175">
        <f t="shared" si="21"/>
        <v>7616.9</v>
      </c>
      <c r="AC154" s="175">
        <f t="shared" si="21"/>
        <v>7564.3875000000007</v>
      </c>
      <c r="AD154" s="175">
        <f t="shared" si="21"/>
        <v>7886.4840000000004</v>
      </c>
      <c r="AE154" s="175">
        <f t="shared" ref="AE154:AF154" si="27">AE141-AE148</f>
        <v>7918.5228412500001</v>
      </c>
      <c r="AF154" s="175">
        <f t="shared" si="27"/>
        <v>8245.3190220000015</v>
      </c>
      <c r="AG154" s="175">
        <f t="shared" ref="AG154:AI154" si="28">AG141-AG148</f>
        <v>8646.3120759996073</v>
      </c>
      <c r="AH154" s="175">
        <f t="shared" si="28"/>
        <v>9086.6088909466635</v>
      </c>
      <c r="AI154" s="175">
        <f t="shared" si="28"/>
        <v>9404.6402021297945</v>
      </c>
    </row>
    <row r="155" spans="2:35">
      <c r="B155" s="55" t="s">
        <v>98</v>
      </c>
      <c r="C155" s="175"/>
      <c r="D155" s="175"/>
      <c r="E155" s="175"/>
      <c r="F155" s="175"/>
      <c r="G155" s="175"/>
      <c r="H155" s="175"/>
      <c r="I155" s="175"/>
      <c r="J155" s="175"/>
      <c r="K155" s="175"/>
      <c r="L155" s="175"/>
      <c r="M155" s="175"/>
      <c r="N155" s="179">
        <f t="shared" si="24"/>
        <v>13346.45</v>
      </c>
      <c r="O155" s="179">
        <f t="shared" si="24"/>
        <v>8799.07</v>
      </c>
      <c r="P155" s="179">
        <f t="shared" si="24"/>
        <v>13794.860000000002</v>
      </c>
      <c r="Q155" s="179">
        <f t="shared" si="24"/>
        <v>15019.839999999998</v>
      </c>
      <c r="R155" s="179">
        <f t="shared" si="24"/>
        <v>13432.048890624999</v>
      </c>
      <c r="S155" s="179">
        <f t="shared" si="24"/>
        <v>13062.939000000002</v>
      </c>
      <c r="T155" s="179">
        <f t="shared" si="24"/>
        <v>6897.6019999999917</v>
      </c>
      <c r="U155" s="179">
        <f t="shared" si="24"/>
        <v>5664.8199999999924</v>
      </c>
      <c r="V155" s="179">
        <f t="shared" si="24"/>
        <v>16059.170000000002</v>
      </c>
      <c r="W155" s="179">
        <f t="shared" si="24"/>
        <v>17911.55</v>
      </c>
      <c r="X155" s="179">
        <f t="shared" si="20"/>
        <v>19150.974999999999</v>
      </c>
      <c r="Y155" s="179">
        <f t="shared" si="20"/>
        <v>18631.987999999998</v>
      </c>
      <c r="Z155" s="179">
        <f t="shared" si="21"/>
        <v>20291.507729586934</v>
      </c>
      <c r="AA155" s="179">
        <f t="shared" si="21"/>
        <v>8321.869999999999</v>
      </c>
      <c r="AB155" s="179">
        <f t="shared" si="21"/>
        <v>9553.6500000000015</v>
      </c>
      <c r="AC155" s="179">
        <f t="shared" si="21"/>
        <v>11496.312033486012</v>
      </c>
      <c r="AD155" s="179">
        <f t="shared" si="21"/>
        <v>9109.2065129939092</v>
      </c>
      <c r="AE155" s="179">
        <f t="shared" ref="AE155:AF155" si="29">AE142-AE149</f>
        <v>8902.5243290214985</v>
      </c>
      <c r="AF155" s="179">
        <f t="shared" si="29"/>
        <v>9021.5544275112388</v>
      </c>
      <c r="AG155" s="179">
        <f t="shared" ref="AG155:AI155" si="30">AG142-AG149</f>
        <v>9224.2215214415446</v>
      </c>
      <c r="AH155" s="179">
        <f t="shared" si="30"/>
        <v>9475.206312762346</v>
      </c>
      <c r="AI155" s="179">
        <f t="shared" si="30"/>
        <v>9612.521935645098</v>
      </c>
    </row>
    <row r="156" spans="2:35">
      <c r="C156" s="175"/>
      <c r="D156" s="175"/>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c r="AA156" s="175"/>
      <c r="AB156" s="175"/>
      <c r="AC156" s="175"/>
      <c r="AD156" s="175"/>
      <c r="AE156" s="175"/>
      <c r="AF156" s="175"/>
      <c r="AG156" s="175"/>
      <c r="AH156" s="175"/>
      <c r="AI156" s="175"/>
    </row>
    <row r="157" spans="2:35">
      <c r="C157" s="175"/>
      <c r="D157" s="175"/>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c r="AA157" s="175"/>
      <c r="AB157" s="175"/>
      <c r="AC157" s="175"/>
      <c r="AD157" s="175"/>
      <c r="AE157" s="175"/>
      <c r="AF157" s="175"/>
      <c r="AG157" s="175"/>
      <c r="AH157" s="175"/>
      <c r="AI157" s="175"/>
    </row>
    <row r="158" spans="2:35">
      <c r="C158" s="175"/>
      <c r="D158" s="175"/>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c r="AA158" s="175"/>
      <c r="AB158" s="175"/>
      <c r="AC158" s="175"/>
      <c r="AD158" s="175"/>
      <c r="AE158" s="175"/>
      <c r="AF158" s="175"/>
      <c r="AG158" s="175"/>
      <c r="AH158" s="175"/>
      <c r="AI158" s="175"/>
    </row>
    <row r="159" spans="2:35">
      <c r="C159" s="175"/>
      <c r="D159" s="175"/>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c r="AA159" s="175"/>
      <c r="AB159" s="175"/>
      <c r="AC159" s="175"/>
      <c r="AD159" s="175"/>
      <c r="AE159" s="175"/>
      <c r="AF159" s="175"/>
      <c r="AG159" s="175"/>
      <c r="AH159" s="175"/>
      <c r="AI159" s="175"/>
    </row>
    <row r="160" spans="2:35">
      <c r="B160" s="171"/>
      <c r="C160" s="175"/>
      <c r="D160" s="175"/>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c r="AA160" s="175"/>
      <c r="AB160" s="175"/>
      <c r="AC160" s="175"/>
      <c r="AD160" s="175"/>
      <c r="AE160" s="175"/>
      <c r="AF160" s="175"/>
      <c r="AG160" s="175"/>
      <c r="AH160" s="175"/>
      <c r="AI160" s="175"/>
    </row>
    <row r="161" spans="2:35">
      <c r="C161" s="175"/>
      <c r="D161" s="175"/>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c r="AA161" s="175"/>
      <c r="AB161" s="175"/>
      <c r="AC161" s="175"/>
      <c r="AD161" s="175"/>
      <c r="AE161" s="175"/>
      <c r="AF161" s="175"/>
      <c r="AG161" s="175"/>
      <c r="AH161" s="175"/>
      <c r="AI161" s="175"/>
    </row>
    <row r="162" spans="2:35">
      <c r="C162" s="175"/>
      <c r="D162" s="175"/>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c r="AA162" s="175"/>
      <c r="AB162" s="175"/>
      <c r="AC162" s="175"/>
      <c r="AD162" s="175"/>
      <c r="AE162" s="175"/>
      <c r="AF162" s="175"/>
      <c r="AG162" s="175"/>
      <c r="AH162" s="175"/>
      <c r="AI162" s="175"/>
    </row>
    <row r="163" spans="2:35">
      <c r="C163" s="175"/>
      <c r="D163" s="175"/>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c r="AA163" s="175"/>
      <c r="AB163" s="175"/>
      <c r="AC163" s="175"/>
      <c r="AD163" s="175"/>
      <c r="AE163" s="175"/>
      <c r="AF163" s="175"/>
      <c r="AG163" s="175"/>
      <c r="AH163" s="175"/>
      <c r="AI163" s="175"/>
    </row>
    <row r="164" spans="2:35">
      <c r="C164" s="175"/>
      <c r="D164" s="175"/>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c r="AA164" s="175"/>
      <c r="AB164" s="175"/>
      <c r="AC164" s="175"/>
      <c r="AD164" s="175"/>
      <c r="AE164" s="175"/>
      <c r="AF164" s="175"/>
      <c r="AG164" s="175"/>
      <c r="AH164" s="175"/>
      <c r="AI164" s="175"/>
    </row>
    <row r="165" spans="2:35">
      <c r="C165" s="175"/>
      <c r="D165" s="175"/>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c r="AA165" s="175"/>
      <c r="AB165" s="175"/>
      <c r="AC165" s="175"/>
      <c r="AD165" s="175"/>
      <c r="AE165" s="175"/>
      <c r="AF165" s="175"/>
      <c r="AG165" s="175"/>
      <c r="AH165" s="175"/>
      <c r="AI165" s="175"/>
    </row>
    <row r="166" spans="2:3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c r="AA166" s="175"/>
      <c r="AB166" s="175"/>
      <c r="AC166" s="175"/>
      <c r="AD166" s="175"/>
      <c r="AE166" s="175"/>
      <c r="AF166" s="175"/>
      <c r="AG166" s="175"/>
      <c r="AH166" s="175"/>
      <c r="AI166" s="175"/>
    </row>
    <row r="167" spans="2:35">
      <c r="C167" s="175"/>
      <c r="D167" s="175"/>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c r="AA167" s="175"/>
      <c r="AB167" s="175"/>
      <c r="AC167" s="175"/>
      <c r="AD167" s="175"/>
      <c r="AE167" s="175"/>
      <c r="AF167" s="175"/>
      <c r="AG167" s="175"/>
      <c r="AH167" s="175"/>
      <c r="AI167" s="175"/>
    </row>
    <row r="169" spans="2:35">
      <c r="B169" s="160" t="s">
        <v>1039</v>
      </c>
      <c r="C169" s="160" t="s">
        <v>2508</v>
      </c>
      <c r="D169" s="160" t="s">
        <v>2509</v>
      </c>
      <c r="E169" s="160" t="s">
        <v>2510</v>
      </c>
      <c r="F169" s="160"/>
      <c r="G169" s="160" t="s">
        <v>2511</v>
      </c>
      <c r="H169" s="160" t="s">
        <v>2512</v>
      </c>
      <c r="I169" s="160" t="s">
        <v>2513</v>
      </c>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row>
    <row r="170" spans="2:35" ht="15.75">
      <c r="C170" s="172"/>
      <c r="D170" s="172"/>
      <c r="E170" s="172"/>
      <c r="F170" s="173"/>
      <c r="G170" s="172"/>
      <c r="H170" s="172"/>
      <c r="I170" s="172"/>
      <c r="J170" s="172"/>
      <c r="K170" s="172"/>
      <c r="L170" s="172"/>
      <c r="M170" s="172"/>
      <c r="N170" s="17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row>
    <row r="171" spans="2:35">
      <c r="B171" s="55" t="s">
        <v>359</v>
      </c>
      <c r="C171" s="175">
        <f t="shared" ref="C171:E174" si="31">V139</f>
        <v>8638</v>
      </c>
      <c r="D171" s="175">
        <f t="shared" si="31"/>
        <v>11502.5</v>
      </c>
      <c r="E171" s="175">
        <f t="shared" si="31"/>
        <v>11299.1</v>
      </c>
      <c r="F171" s="175"/>
      <c r="G171" s="175">
        <f t="shared" ref="G171:I174" si="32">V152</f>
        <v>6490.9600000000009</v>
      </c>
      <c r="H171" s="175">
        <f t="shared" si="32"/>
        <v>9677.6</v>
      </c>
      <c r="I171" s="175">
        <f t="shared" si="32"/>
        <v>9223.9500000000007</v>
      </c>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row>
    <row r="172" spans="2:35">
      <c r="B172" s="55" t="s">
        <v>128</v>
      </c>
      <c r="C172" s="175">
        <f t="shared" si="31"/>
        <v>10107</v>
      </c>
      <c r="D172" s="175">
        <f t="shared" si="31"/>
        <v>9767</v>
      </c>
      <c r="E172" s="175">
        <f t="shared" si="31"/>
        <v>9121</v>
      </c>
      <c r="F172" s="175"/>
      <c r="G172" s="175">
        <f t="shared" si="32"/>
        <v>6111.5400000000009</v>
      </c>
      <c r="H172" s="175">
        <f t="shared" si="32"/>
        <v>5732.2000000000007</v>
      </c>
      <c r="I172" s="175">
        <f t="shared" si="32"/>
        <v>5095.8250000000007</v>
      </c>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row>
    <row r="173" spans="2:35" ht="15.75">
      <c r="B173" s="178" t="s">
        <v>16</v>
      </c>
      <c r="C173" s="175">
        <f t="shared" si="31"/>
        <v>14035</v>
      </c>
      <c r="D173" s="175">
        <f t="shared" si="31"/>
        <v>15303</v>
      </c>
      <c r="E173" s="175">
        <f t="shared" si="31"/>
        <v>17798</v>
      </c>
      <c r="F173" s="175"/>
      <c r="G173" s="175">
        <f t="shared" si="32"/>
        <v>3456.67</v>
      </c>
      <c r="H173" s="175">
        <f t="shared" si="32"/>
        <v>2501.75</v>
      </c>
      <c r="I173" s="175">
        <f t="shared" si="32"/>
        <v>4831.1999999999989</v>
      </c>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row>
    <row r="174" spans="2:35" ht="15.75">
      <c r="B174" s="178" t="s">
        <v>98</v>
      </c>
      <c r="C174" s="175">
        <f t="shared" si="31"/>
        <v>32780</v>
      </c>
      <c r="D174" s="175">
        <f t="shared" si="31"/>
        <v>36572.5</v>
      </c>
      <c r="E174" s="175">
        <f t="shared" si="31"/>
        <v>38218.1</v>
      </c>
      <c r="F174" s="175"/>
      <c r="G174" s="175">
        <f t="shared" si="32"/>
        <v>16059.170000000002</v>
      </c>
      <c r="H174" s="175">
        <f t="shared" si="32"/>
        <v>17911.55</v>
      </c>
      <c r="I174" s="175">
        <f t="shared" si="32"/>
        <v>19150.974999999999</v>
      </c>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row>
    <row r="175" spans="2:35" ht="15.75">
      <c r="B175" s="178"/>
      <c r="C175" s="163"/>
      <c r="D175" s="163"/>
      <c r="E175" s="163"/>
      <c r="F175" s="167"/>
      <c r="G175" s="167"/>
      <c r="H175" s="167"/>
      <c r="I175" s="167"/>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row>
    <row r="176" spans="2:35">
      <c r="B176" s="174"/>
      <c r="C176" s="163"/>
      <c r="D176" s="163"/>
      <c r="E176" s="163"/>
      <c r="F176" s="167"/>
      <c r="G176" s="167"/>
      <c r="H176" s="167"/>
      <c r="I176" s="167"/>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row>
    <row r="177" spans="2:35">
      <c r="B177" s="174"/>
      <c r="C177" s="163"/>
      <c r="D177" s="163"/>
      <c r="E177" s="163"/>
      <c r="F177" s="167"/>
      <c r="G177" s="167"/>
      <c r="H177" s="167"/>
      <c r="I177" s="167"/>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row>
    <row r="178" spans="2:35">
      <c r="B178" s="174"/>
      <c r="C178" s="163"/>
      <c r="D178" s="163"/>
      <c r="E178" s="163"/>
      <c r="F178" s="167"/>
      <c r="G178" s="167"/>
      <c r="H178" s="167"/>
      <c r="I178" s="167"/>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row>
    <row r="179" spans="2:35">
      <c r="B179" s="174"/>
      <c r="C179" s="163"/>
      <c r="D179" s="163"/>
      <c r="E179" s="163"/>
      <c r="F179" s="167"/>
      <c r="G179" s="167"/>
      <c r="H179" s="167"/>
      <c r="I179" s="167"/>
      <c r="J179" s="167"/>
      <c r="K179" s="167"/>
      <c r="L179" s="167"/>
      <c r="M179" s="167"/>
      <c r="N179" s="167"/>
      <c r="O179" s="167"/>
      <c r="P179" s="167"/>
      <c r="Q179" s="167"/>
      <c r="R179" s="167"/>
      <c r="S179" s="167"/>
      <c r="T179" s="167"/>
      <c r="U179" s="167"/>
      <c r="V179" s="167"/>
      <c r="W179" s="167"/>
      <c r="X179" s="167"/>
      <c r="Y179" s="167"/>
      <c r="Z179" s="167"/>
      <c r="AA179" s="167"/>
      <c r="AB179" s="167"/>
      <c r="AC179" s="167"/>
      <c r="AD179" s="167"/>
      <c r="AE179" s="167"/>
      <c r="AF179" s="167"/>
      <c r="AG179" s="167"/>
      <c r="AH179" s="167"/>
      <c r="AI179" s="167"/>
    </row>
    <row r="180" spans="2:35">
      <c r="B180" s="174"/>
      <c r="C180" s="163"/>
      <c r="D180" s="163"/>
      <c r="E180" s="163"/>
      <c r="F180" s="167"/>
      <c r="G180" s="167"/>
      <c r="H180" s="167"/>
      <c r="I180" s="167"/>
      <c r="J180" s="167"/>
      <c r="K180" s="167"/>
      <c r="L180" s="167"/>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row>
    <row r="181" spans="2:35">
      <c r="B181" s="174"/>
      <c r="C181" s="163"/>
      <c r="D181" s="163"/>
      <c r="E181" s="163"/>
      <c r="F181" s="167"/>
      <c r="G181" s="167"/>
      <c r="H181" s="167"/>
      <c r="I181" s="167"/>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row>
  </sheetData>
  <pageMargins left="0.7" right="0.7" top="0.75" bottom="0.75" header="0.3" footer="0.3"/>
  <pageSetup paperSize="9" scale="2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AE149"/>
  <sheetViews>
    <sheetView topLeftCell="A19" zoomScale="70" zoomScaleNormal="70" workbookViewId="0">
      <selection activeCell="B67" sqref="B67"/>
    </sheetView>
  </sheetViews>
  <sheetFormatPr defaultRowHeight="15"/>
  <cols>
    <col min="1" max="1" width="12" bestFit="1" customWidth="1"/>
    <col min="2" max="2" width="16.85546875" customWidth="1"/>
    <col min="3" max="3" width="10.5703125" customWidth="1"/>
    <col min="4" max="4" width="22.140625" customWidth="1"/>
    <col min="5" max="5" width="13.140625" customWidth="1"/>
    <col min="6" max="9" width="11" customWidth="1"/>
    <col min="10" max="13" width="9.140625" customWidth="1"/>
    <col min="14" max="17" width="11" customWidth="1"/>
    <col min="18" max="21" width="11.7109375" customWidth="1"/>
    <col min="22" max="26" width="11.5703125" customWidth="1"/>
    <col min="27" max="27" width="13" customWidth="1"/>
  </cols>
  <sheetData>
    <row r="3" spans="1:31">
      <c r="M3" s="8"/>
    </row>
    <row r="5" spans="1:31">
      <c r="B5" s="61" t="s">
        <v>764</v>
      </c>
      <c r="C5" s="130" t="s">
        <v>74</v>
      </c>
      <c r="D5" s="61"/>
      <c r="E5" s="61"/>
      <c r="F5" s="61"/>
      <c r="G5" s="61"/>
      <c r="H5" s="61"/>
      <c r="I5" s="61"/>
      <c r="J5" s="61"/>
      <c r="K5" s="61"/>
      <c r="L5" s="61"/>
      <c r="M5" s="131" t="s">
        <v>612</v>
      </c>
      <c r="N5" s="149" t="str">
        <f>N13</f>
        <v>3-play</v>
      </c>
      <c r="O5" s="130"/>
      <c r="P5" s="61"/>
      <c r="Q5" s="131"/>
      <c r="R5" s="149" t="str">
        <f>R13</f>
        <v>2-play (voice + BB)</v>
      </c>
      <c r="S5" s="61"/>
      <c r="T5" s="61"/>
      <c r="U5" s="131"/>
      <c r="V5" s="149" t="str">
        <f>V13</f>
        <v>Naked BB</v>
      </c>
      <c r="W5" s="61"/>
      <c r="X5" s="61"/>
      <c r="Y5" s="61"/>
      <c r="Z5" s="131"/>
    </row>
    <row r="6" spans="1:31">
      <c r="C6" s="140" t="s">
        <v>853</v>
      </c>
      <c r="D6" s="3" t="s">
        <v>737</v>
      </c>
      <c r="E6" s="3" t="s">
        <v>771</v>
      </c>
      <c r="F6" s="3" t="s">
        <v>772</v>
      </c>
      <c r="G6" t="s">
        <v>773</v>
      </c>
      <c r="M6" s="132"/>
      <c r="O6" s="3"/>
      <c r="Q6" s="132"/>
      <c r="U6" s="132"/>
      <c r="Z6" s="132"/>
    </row>
    <row r="7" spans="1:31">
      <c r="B7" t="s">
        <v>87</v>
      </c>
      <c r="C7">
        <v>169</v>
      </c>
      <c r="D7">
        <v>226</v>
      </c>
      <c r="E7">
        <v>309</v>
      </c>
      <c r="F7">
        <v>429</v>
      </c>
      <c r="G7">
        <v>734</v>
      </c>
      <c r="M7" s="132"/>
      <c r="Q7" s="132"/>
      <c r="U7" s="132"/>
      <c r="Z7" s="132"/>
    </row>
    <row r="8" spans="1:31">
      <c r="B8" t="s">
        <v>757</v>
      </c>
      <c r="C8">
        <v>43</v>
      </c>
      <c r="E8">
        <v>173</v>
      </c>
      <c r="F8">
        <v>219</v>
      </c>
      <c r="G8">
        <v>246</v>
      </c>
      <c r="M8" s="132"/>
      <c r="Q8" s="132"/>
      <c r="U8" s="132"/>
      <c r="Z8" s="132"/>
    </row>
    <row r="9" spans="1:31">
      <c r="C9" s="3"/>
      <c r="D9" s="3"/>
      <c r="E9" s="3"/>
      <c r="F9" s="3"/>
      <c r="G9" s="3"/>
      <c r="H9" s="3"/>
      <c r="I9" s="3"/>
      <c r="J9" s="3"/>
      <c r="K9" s="3"/>
      <c r="L9" s="3"/>
      <c r="M9" s="133"/>
      <c r="N9" s="3"/>
      <c r="O9" s="3"/>
      <c r="P9" s="3"/>
      <c r="Q9" s="133"/>
      <c r="R9" s="3"/>
      <c r="S9" s="3"/>
      <c r="T9" s="3"/>
      <c r="U9" s="132"/>
      <c r="Z9" s="132"/>
    </row>
    <row r="10" spans="1:31">
      <c r="C10" s="3" t="s">
        <v>737</v>
      </c>
      <c r="D10" s="3" t="s">
        <v>765</v>
      </c>
      <c r="E10" s="3" t="s">
        <v>768</v>
      </c>
      <c r="F10" s="3"/>
      <c r="G10" s="3"/>
      <c r="H10" s="3"/>
      <c r="I10" s="3"/>
      <c r="J10" s="3"/>
      <c r="K10" s="3"/>
      <c r="L10" s="3"/>
      <c r="M10" s="133"/>
      <c r="N10" s="3"/>
      <c r="O10" s="3"/>
      <c r="P10" s="3"/>
      <c r="Q10" s="133"/>
      <c r="R10" s="3"/>
      <c r="S10" s="3"/>
      <c r="T10" s="3"/>
      <c r="U10" s="132"/>
      <c r="Z10" s="132"/>
    </row>
    <row r="11" spans="1:31">
      <c r="B11" t="s">
        <v>88</v>
      </c>
      <c r="C11" s="3">
        <v>149</v>
      </c>
      <c r="D11">
        <v>199</v>
      </c>
      <c r="E11" s="3">
        <v>389</v>
      </c>
      <c r="F11" s="3"/>
      <c r="G11" s="3"/>
      <c r="H11" s="3"/>
      <c r="I11" s="3"/>
      <c r="J11" s="3"/>
      <c r="K11" s="3"/>
      <c r="L11" s="3"/>
      <c r="M11" s="133"/>
      <c r="N11" s="3"/>
      <c r="O11" s="3"/>
      <c r="P11" s="3"/>
      <c r="Q11" s="133"/>
      <c r="R11" s="3"/>
      <c r="S11" s="3"/>
      <c r="T11" s="3"/>
      <c r="U11" s="132"/>
      <c r="Z11" s="132"/>
    </row>
    <row r="12" spans="1:31">
      <c r="B12" t="s">
        <v>757</v>
      </c>
      <c r="C12" s="3" t="s">
        <v>766</v>
      </c>
      <c r="D12" s="3" t="s">
        <v>767</v>
      </c>
      <c r="E12" s="3" t="s">
        <v>769</v>
      </c>
      <c r="F12" s="3"/>
      <c r="G12" s="3"/>
      <c r="H12" s="3"/>
      <c r="I12" s="3"/>
      <c r="J12" s="3"/>
      <c r="K12" s="3"/>
      <c r="L12" s="3"/>
      <c r="M12" s="133"/>
      <c r="N12" s="3"/>
      <c r="O12" s="3"/>
      <c r="P12" s="3"/>
      <c r="Q12" s="133"/>
      <c r="R12" s="3"/>
      <c r="S12" s="3"/>
      <c r="T12" s="3"/>
      <c r="U12" s="132"/>
      <c r="Z12" s="132"/>
    </row>
    <row r="13" spans="1:31">
      <c r="C13" s="3"/>
      <c r="D13" s="3"/>
      <c r="E13" s="3"/>
      <c r="F13" s="3"/>
      <c r="G13" s="3"/>
      <c r="H13" s="3"/>
      <c r="I13" s="3"/>
      <c r="J13" s="3"/>
      <c r="K13" s="3"/>
      <c r="L13" s="3"/>
      <c r="M13" s="133"/>
      <c r="N13" s="148" t="s">
        <v>744</v>
      </c>
      <c r="O13" s="3"/>
      <c r="P13" s="3"/>
      <c r="Q13" s="133"/>
      <c r="R13" s="148" t="s">
        <v>874</v>
      </c>
      <c r="S13" s="3"/>
      <c r="T13" s="3"/>
      <c r="U13" s="132"/>
      <c r="V13" s="148" t="s">
        <v>872</v>
      </c>
      <c r="Z13" s="132"/>
      <c r="AA13" s="148" t="s">
        <v>875</v>
      </c>
    </row>
    <row r="14" spans="1:31">
      <c r="C14" s="3" t="s">
        <v>739</v>
      </c>
      <c r="D14" s="3" t="s">
        <v>740</v>
      </c>
      <c r="E14" s="3" t="s">
        <v>606</v>
      </c>
      <c r="L14" s="3"/>
      <c r="M14" s="133" t="s">
        <v>737</v>
      </c>
      <c r="N14" s="136"/>
      <c r="O14" s="3" t="s">
        <v>738</v>
      </c>
      <c r="P14" s="3" t="s">
        <v>751</v>
      </c>
      <c r="Q14" s="133" t="s">
        <v>752</v>
      </c>
      <c r="R14" s="3"/>
      <c r="S14" s="3" t="s">
        <v>753</v>
      </c>
      <c r="T14" s="3" t="s">
        <v>754</v>
      </c>
      <c r="U14" s="132"/>
      <c r="Z14" s="132"/>
    </row>
    <row r="15" spans="1:31">
      <c r="A15" s="61"/>
      <c r="B15" s="61" t="s">
        <v>90</v>
      </c>
      <c r="C15" s="130">
        <v>170</v>
      </c>
      <c r="D15" s="130">
        <v>339</v>
      </c>
      <c r="E15" s="130">
        <v>119</v>
      </c>
      <c r="F15" s="61"/>
      <c r="G15" s="130">
        <v>179</v>
      </c>
      <c r="H15" s="130">
        <v>399</v>
      </c>
      <c r="I15" s="130">
        <v>599</v>
      </c>
      <c r="J15" s="130">
        <v>949</v>
      </c>
      <c r="K15" s="130">
        <v>1899</v>
      </c>
      <c r="L15" s="130"/>
      <c r="M15" s="134">
        <v>149</v>
      </c>
      <c r="N15" s="137" t="s">
        <v>759</v>
      </c>
      <c r="O15" s="130">
        <v>528</v>
      </c>
      <c r="P15" s="130">
        <v>734</v>
      </c>
      <c r="Q15" s="134">
        <v>999</v>
      </c>
      <c r="R15" s="130" t="str">
        <f>N15</f>
        <v>Price</v>
      </c>
      <c r="S15" s="130">
        <v>389</v>
      </c>
      <c r="T15" s="130">
        <v>549</v>
      </c>
      <c r="U15" s="131"/>
      <c r="V15" s="61">
        <v>179</v>
      </c>
      <c r="W15" s="61">
        <v>399</v>
      </c>
      <c r="X15" s="61">
        <v>599</v>
      </c>
      <c r="Y15" s="61">
        <v>949</v>
      </c>
      <c r="Z15" s="131">
        <v>1899</v>
      </c>
      <c r="AA15" s="150"/>
      <c r="AB15" s="61"/>
      <c r="AC15" s="61"/>
      <c r="AD15" s="61"/>
      <c r="AE15" s="61"/>
    </row>
    <row r="16" spans="1:31">
      <c r="B16" t="s">
        <v>757</v>
      </c>
      <c r="C16" s="3" t="s">
        <v>770</v>
      </c>
      <c r="D16" s="3">
        <v>70</v>
      </c>
      <c r="E16" s="3"/>
      <c r="G16" s="3"/>
      <c r="H16" s="3"/>
      <c r="I16" s="3"/>
      <c r="J16" s="3"/>
      <c r="K16" s="3"/>
      <c r="M16" s="133"/>
      <c r="N16" s="136" t="s">
        <v>757</v>
      </c>
      <c r="O16" s="3" t="s">
        <v>758</v>
      </c>
      <c r="P16" s="3" t="s">
        <v>769</v>
      </c>
      <c r="Q16" s="133" t="s">
        <v>769</v>
      </c>
      <c r="R16" s="3"/>
      <c r="S16" s="3"/>
      <c r="T16" s="3"/>
      <c r="U16" s="132"/>
      <c r="Z16" s="132"/>
    </row>
    <row r="17" spans="1:31">
      <c r="B17" t="s">
        <v>756</v>
      </c>
      <c r="C17" s="3"/>
      <c r="D17" s="3"/>
      <c r="E17" s="3"/>
      <c r="G17" s="3">
        <v>3</v>
      </c>
      <c r="H17" s="3">
        <v>5</v>
      </c>
      <c r="I17" s="3">
        <v>10</v>
      </c>
      <c r="J17" s="3">
        <v>30</v>
      </c>
      <c r="K17" s="3">
        <v>100</v>
      </c>
      <c r="M17" s="133"/>
      <c r="N17" s="136" t="s">
        <v>756</v>
      </c>
      <c r="O17" s="3">
        <v>5</v>
      </c>
      <c r="P17" s="3">
        <v>10</v>
      </c>
      <c r="Q17" s="133">
        <v>20</v>
      </c>
      <c r="R17" s="3" t="str">
        <f>N17</f>
        <v>BB</v>
      </c>
      <c r="S17" s="3">
        <v>5</v>
      </c>
      <c r="T17" s="3">
        <v>10</v>
      </c>
      <c r="U17" s="132"/>
      <c r="V17" s="3">
        <v>3</v>
      </c>
      <c r="W17" s="3">
        <v>5</v>
      </c>
      <c r="X17" s="3">
        <v>10</v>
      </c>
      <c r="Y17" s="3">
        <v>30</v>
      </c>
      <c r="Z17" s="133">
        <v>100</v>
      </c>
    </row>
    <row r="18" spans="1:31">
      <c r="E18" s="3"/>
      <c r="G18" s="3"/>
      <c r="H18" s="3"/>
      <c r="I18" s="3"/>
      <c r="J18" s="3"/>
      <c r="K18" s="3"/>
      <c r="M18" s="133"/>
      <c r="N18" s="136" t="s">
        <v>867</v>
      </c>
      <c r="O18" s="3" t="s">
        <v>747</v>
      </c>
      <c r="P18" s="3" t="s">
        <v>747</v>
      </c>
      <c r="Q18" s="133" t="s">
        <v>747</v>
      </c>
      <c r="R18" s="3" t="str">
        <f>N18</f>
        <v>F-F (local)</v>
      </c>
      <c r="S18" s="3" t="s">
        <v>747</v>
      </c>
      <c r="T18" s="3" t="s">
        <v>747</v>
      </c>
      <c r="U18" s="132"/>
      <c r="Z18" s="132"/>
    </row>
    <row r="19" spans="1:31">
      <c r="C19" s="3"/>
      <c r="D19" s="3"/>
      <c r="E19" s="3"/>
      <c r="G19" s="3"/>
      <c r="H19" s="3"/>
      <c r="I19" s="3"/>
      <c r="J19" s="3"/>
      <c r="K19" s="3"/>
      <c r="M19" s="133"/>
      <c r="N19" s="136" t="s">
        <v>755</v>
      </c>
      <c r="O19" s="3">
        <v>30</v>
      </c>
      <c r="P19" s="3">
        <v>50</v>
      </c>
      <c r="Q19" s="133">
        <v>1000</v>
      </c>
      <c r="R19" s="3" t="str">
        <f>N19</f>
        <v>F-M</v>
      </c>
      <c r="S19" s="3"/>
      <c r="T19" s="3"/>
      <c r="U19" s="132"/>
      <c r="Z19" s="132"/>
    </row>
    <row r="20" spans="1:31">
      <c r="C20" s="3"/>
      <c r="D20" s="3"/>
      <c r="E20" s="3"/>
      <c r="G20" s="3"/>
      <c r="H20" s="3"/>
      <c r="I20" s="3"/>
      <c r="J20" s="3"/>
      <c r="K20" s="3"/>
      <c r="L20" s="3"/>
      <c r="M20" s="133"/>
      <c r="N20" s="136"/>
      <c r="O20" s="3"/>
      <c r="P20" s="3"/>
      <c r="Q20" s="133"/>
      <c r="R20" s="3"/>
      <c r="S20" s="3"/>
      <c r="T20" s="3"/>
      <c r="U20" s="132"/>
      <c r="Z20" s="132"/>
    </row>
    <row r="21" spans="1:31">
      <c r="C21" s="3" t="s">
        <v>741</v>
      </c>
      <c r="D21" s="3" t="s">
        <v>746</v>
      </c>
      <c r="E21" s="3" t="s">
        <v>606</v>
      </c>
      <c r="G21" s="3">
        <v>3</v>
      </c>
      <c r="H21" s="3">
        <v>6</v>
      </c>
      <c r="I21" s="3">
        <v>8</v>
      </c>
      <c r="J21" s="3"/>
      <c r="K21" s="3"/>
      <c r="L21" s="3"/>
      <c r="M21" s="133" t="s">
        <v>742</v>
      </c>
      <c r="N21" s="136"/>
      <c r="O21" s="3" t="s">
        <v>745</v>
      </c>
      <c r="P21" s="3" t="s">
        <v>873</v>
      </c>
      <c r="Q21" s="133"/>
      <c r="R21" s="3"/>
      <c r="S21" s="3"/>
      <c r="T21" s="3"/>
      <c r="U21" s="132"/>
      <c r="Z21" s="132"/>
    </row>
    <row r="22" spans="1:31">
      <c r="A22" s="61" t="s">
        <v>743</v>
      </c>
      <c r="B22" s="61" t="s">
        <v>91</v>
      </c>
      <c r="C22" s="130">
        <v>169</v>
      </c>
      <c r="D22" s="130">
        <v>295</v>
      </c>
      <c r="E22" s="130"/>
      <c r="F22" s="61"/>
      <c r="G22" s="130">
        <v>149</v>
      </c>
      <c r="H22" s="130">
        <v>599</v>
      </c>
      <c r="I22" s="130">
        <v>799</v>
      </c>
      <c r="J22" s="130"/>
      <c r="K22" s="130"/>
      <c r="L22" s="130"/>
      <c r="M22" s="134">
        <v>149</v>
      </c>
      <c r="N22" s="137"/>
      <c r="O22" s="130">
        <v>499</v>
      </c>
      <c r="P22" s="130">
        <v>649</v>
      </c>
      <c r="Q22" s="134">
        <v>999</v>
      </c>
      <c r="R22" s="130"/>
      <c r="S22" s="130">
        <f>V22+$AC$22</f>
        <v>298</v>
      </c>
      <c r="T22" s="130">
        <f>W22+$AC$22</f>
        <v>608</v>
      </c>
      <c r="U22" s="130">
        <f>X22+$AC$22</f>
        <v>698</v>
      </c>
      <c r="V22" s="150">
        <v>149</v>
      </c>
      <c r="W22" s="61">
        <v>459</v>
      </c>
      <c r="X22" s="61">
        <v>549</v>
      </c>
      <c r="Y22" s="61"/>
      <c r="Z22" s="131"/>
      <c r="AA22" s="150"/>
      <c r="AB22" s="61">
        <v>149</v>
      </c>
      <c r="AC22" s="61">
        <v>149</v>
      </c>
      <c r="AD22" s="61">
        <v>217</v>
      </c>
      <c r="AE22" s="61">
        <v>284</v>
      </c>
    </row>
    <row r="23" spans="1:31">
      <c r="B23" t="s">
        <v>757</v>
      </c>
      <c r="C23" s="3" t="s">
        <v>760</v>
      </c>
      <c r="D23" s="3" t="s">
        <v>761</v>
      </c>
      <c r="E23" s="3"/>
      <c r="G23" s="3"/>
      <c r="H23" s="3"/>
      <c r="I23" s="3"/>
      <c r="J23" s="3"/>
      <c r="K23" s="3"/>
      <c r="L23" s="3"/>
      <c r="M23" s="133"/>
      <c r="N23" s="136" t="str">
        <f>N16</f>
        <v>Channels</v>
      </c>
      <c r="O23" s="3" t="str">
        <f>C23</f>
        <v xml:space="preserve">&gt;70 </v>
      </c>
      <c r="P23" s="3" t="str">
        <f>D23</f>
        <v xml:space="preserve">&gt;165 </v>
      </c>
      <c r="Q23" s="133" t="s">
        <v>865</v>
      </c>
      <c r="R23" s="3"/>
      <c r="S23" s="3"/>
      <c r="T23" s="3"/>
      <c r="U23" s="132"/>
      <c r="V23">
        <v>3</v>
      </c>
      <c r="W23">
        <v>6</v>
      </c>
      <c r="X23">
        <v>8</v>
      </c>
      <c r="Z23" s="132"/>
    </row>
    <row r="24" spans="1:31">
      <c r="C24" s="3"/>
      <c r="D24" s="3"/>
      <c r="E24" s="3"/>
      <c r="G24" s="3"/>
      <c r="H24" s="3"/>
      <c r="I24" s="3"/>
      <c r="J24" s="3"/>
      <c r="K24" s="3"/>
      <c r="L24" s="3"/>
      <c r="M24" s="133"/>
      <c r="N24" s="136" t="str">
        <f>N17</f>
        <v>BB</v>
      </c>
      <c r="O24" s="3">
        <v>3</v>
      </c>
      <c r="P24" s="3">
        <v>6</v>
      </c>
      <c r="Q24" s="133">
        <v>20</v>
      </c>
      <c r="R24" s="3" t="str">
        <f>R17</f>
        <v>BB</v>
      </c>
      <c r="S24" s="3">
        <f>V23</f>
        <v>3</v>
      </c>
      <c r="T24" s="3">
        <f>W23</f>
        <v>6</v>
      </c>
      <c r="U24" s="133">
        <f>X23</f>
        <v>8</v>
      </c>
      <c r="Z24" s="132"/>
    </row>
    <row r="25" spans="1:31">
      <c r="C25" s="3"/>
      <c r="D25" s="3"/>
      <c r="E25" s="3"/>
      <c r="G25" s="3"/>
      <c r="H25" s="3"/>
      <c r="I25" s="3"/>
      <c r="J25" s="3"/>
      <c r="K25" s="3"/>
      <c r="L25" s="3"/>
      <c r="M25" s="133"/>
      <c r="N25" s="136" t="str">
        <f>N18</f>
        <v>F-F (local)</v>
      </c>
      <c r="O25" s="3" t="s">
        <v>747</v>
      </c>
      <c r="P25" s="3" t="s">
        <v>747</v>
      </c>
      <c r="Q25" s="133" t="s">
        <v>747</v>
      </c>
      <c r="R25" s="3" t="str">
        <f>R18</f>
        <v>F-F (local)</v>
      </c>
      <c r="S25" s="3"/>
      <c r="T25" s="3"/>
      <c r="U25" s="132"/>
      <c r="Z25" s="132"/>
      <c r="AA25" t="str">
        <f>N18</f>
        <v>F-F (local)</v>
      </c>
      <c r="AB25">
        <v>100</v>
      </c>
      <c r="AC25">
        <v>100</v>
      </c>
      <c r="AD25" t="s">
        <v>747</v>
      </c>
      <c r="AE25" t="s">
        <v>747</v>
      </c>
    </row>
    <row r="26" spans="1:31">
      <c r="C26" s="3"/>
      <c r="D26" s="3"/>
      <c r="E26" s="3"/>
      <c r="G26" s="3"/>
      <c r="H26" s="3"/>
      <c r="I26" s="3"/>
      <c r="J26" s="3"/>
      <c r="K26" s="3"/>
      <c r="L26" s="3"/>
      <c r="M26" s="133"/>
      <c r="N26" s="136" t="str">
        <f>N19</f>
        <v>F-M</v>
      </c>
      <c r="O26" s="3">
        <v>30</v>
      </c>
      <c r="P26" s="3">
        <v>50</v>
      </c>
      <c r="Q26" s="133">
        <v>50</v>
      </c>
      <c r="R26" s="3" t="str">
        <f>R19</f>
        <v>F-M</v>
      </c>
      <c r="S26" s="3"/>
      <c r="T26" s="3"/>
      <c r="U26" s="132"/>
      <c r="Z26" s="132"/>
      <c r="AA26" t="str">
        <f>N19</f>
        <v>F-M</v>
      </c>
      <c r="AB26">
        <v>0</v>
      </c>
      <c r="AC26">
        <v>20</v>
      </c>
      <c r="AD26">
        <v>30</v>
      </c>
    </row>
    <row r="27" spans="1:31">
      <c r="C27" s="3"/>
      <c r="D27" s="3"/>
      <c r="E27" s="3"/>
      <c r="G27" s="3"/>
      <c r="H27" s="3"/>
      <c r="I27" s="3"/>
      <c r="J27" s="3"/>
      <c r="K27" s="3"/>
      <c r="L27" s="3"/>
      <c r="M27" s="133"/>
      <c r="N27" s="136"/>
      <c r="O27" s="3"/>
      <c r="P27" s="3"/>
      <c r="Q27" s="133"/>
      <c r="R27" s="3"/>
      <c r="S27" s="3"/>
      <c r="T27" s="3"/>
      <c r="U27" s="132"/>
      <c r="Z27" s="132"/>
    </row>
    <row r="28" spans="1:31">
      <c r="A28" t="s">
        <v>748</v>
      </c>
      <c r="B28" t="s">
        <v>155</v>
      </c>
      <c r="C28" s="3">
        <v>179</v>
      </c>
      <c r="D28" s="3"/>
      <c r="E28" s="3"/>
      <c r="G28" s="3">
        <v>2</v>
      </c>
      <c r="H28" s="3">
        <v>4</v>
      </c>
      <c r="I28" s="3">
        <v>6</v>
      </c>
      <c r="J28" s="3"/>
      <c r="K28" s="3"/>
      <c r="L28" s="3"/>
      <c r="M28" s="133"/>
      <c r="N28" s="136"/>
      <c r="O28" s="3" t="s">
        <v>749</v>
      </c>
      <c r="P28" s="3" t="s">
        <v>750</v>
      </c>
      <c r="Q28" s="133" t="s">
        <v>763</v>
      </c>
      <c r="R28" s="3"/>
      <c r="S28" s="3"/>
      <c r="T28" s="3"/>
      <c r="U28" s="132"/>
      <c r="Z28" s="132"/>
    </row>
    <row r="29" spans="1:31">
      <c r="A29" s="61"/>
      <c r="B29" s="61"/>
      <c r="C29" s="130"/>
      <c r="D29" s="130"/>
      <c r="E29" s="130"/>
      <c r="F29" s="61"/>
      <c r="G29" s="130">
        <v>149</v>
      </c>
      <c r="H29" s="130">
        <v>299</v>
      </c>
      <c r="I29" s="130">
        <v>399</v>
      </c>
      <c r="J29" s="130"/>
      <c r="K29" s="130"/>
      <c r="L29" s="130"/>
      <c r="M29" s="134"/>
      <c r="N29" s="137"/>
      <c r="O29" s="130">
        <v>479</v>
      </c>
      <c r="P29" s="130">
        <v>525</v>
      </c>
      <c r="Q29" s="134">
        <v>699</v>
      </c>
      <c r="R29" s="130"/>
      <c r="S29" s="130"/>
      <c r="T29" s="130"/>
      <c r="U29" s="131"/>
      <c r="V29" s="150">
        <v>149</v>
      </c>
      <c r="W29" s="61">
        <v>299</v>
      </c>
      <c r="X29" s="61">
        <v>399</v>
      </c>
      <c r="Y29" s="61"/>
      <c r="Z29" s="131"/>
    </row>
    <row r="30" spans="1:31">
      <c r="C30" s="3"/>
      <c r="D30" s="3"/>
      <c r="E30" s="3"/>
      <c r="F30" s="3"/>
      <c r="G30" s="3"/>
      <c r="H30" s="3"/>
      <c r="I30" s="3"/>
      <c r="J30" s="3"/>
      <c r="K30" s="3"/>
      <c r="L30" s="3"/>
      <c r="M30" s="133"/>
      <c r="N30" s="136" t="str">
        <f>N23</f>
        <v>Channels</v>
      </c>
      <c r="O30" s="3" t="s">
        <v>758</v>
      </c>
      <c r="P30" s="3" t="s">
        <v>758</v>
      </c>
      <c r="Q30" s="133" t="s">
        <v>762</v>
      </c>
      <c r="R30" s="3"/>
      <c r="S30" s="3"/>
      <c r="T30" s="3"/>
      <c r="U30" s="132"/>
      <c r="V30">
        <v>2</v>
      </c>
      <c r="W30">
        <v>4</v>
      </c>
      <c r="X30">
        <v>6</v>
      </c>
      <c r="Z30" s="132"/>
    </row>
    <row r="31" spans="1:31">
      <c r="C31" s="3"/>
      <c r="D31" s="3"/>
      <c r="E31" s="3"/>
      <c r="F31" s="3"/>
      <c r="G31" s="3"/>
      <c r="H31" s="3"/>
      <c r="I31" s="3"/>
      <c r="J31" s="3"/>
      <c r="K31" s="3"/>
      <c r="L31" s="3"/>
      <c r="M31" s="133"/>
      <c r="N31" s="136" t="str">
        <f>N24</f>
        <v>BB</v>
      </c>
      <c r="O31" s="3">
        <v>1</v>
      </c>
      <c r="P31" s="3">
        <v>2</v>
      </c>
      <c r="Q31" s="133">
        <v>4</v>
      </c>
      <c r="R31" s="3"/>
      <c r="S31" s="3"/>
      <c r="T31" s="3"/>
      <c r="U31" s="132"/>
      <c r="Z31" s="132"/>
    </row>
    <row r="32" spans="1:31">
      <c r="C32" s="3"/>
      <c r="D32" s="3"/>
      <c r="E32" s="3"/>
      <c r="F32" s="3"/>
      <c r="G32" s="3"/>
      <c r="H32" s="3"/>
      <c r="I32" s="3"/>
      <c r="J32" s="3"/>
      <c r="K32" s="3"/>
      <c r="L32" s="3"/>
      <c r="M32" s="133"/>
      <c r="N32" s="136" t="str">
        <f>N25</f>
        <v>F-F (local)</v>
      </c>
      <c r="O32" s="3">
        <v>50</v>
      </c>
      <c r="P32" s="3" t="s">
        <v>747</v>
      </c>
      <c r="Q32" s="133" t="s">
        <v>747</v>
      </c>
      <c r="R32" s="3"/>
      <c r="S32" s="3"/>
      <c r="T32" s="3"/>
      <c r="U32" s="132"/>
      <c r="Z32" s="132"/>
    </row>
    <row r="33" spans="1:26">
      <c r="C33" s="3"/>
      <c r="D33" s="3"/>
      <c r="E33" s="3"/>
      <c r="F33" s="3"/>
      <c r="G33" s="3"/>
      <c r="H33" s="3"/>
      <c r="I33" s="3"/>
      <c r="J33" s="3"/>
      <c r="K33" s="3"/>
      <c r="L33" s="3"/>
      <c r="M33" s="133"/>
      <c r="N33" s="136" t="str">
        <f>N26</f>
        <v>F-M</v>
      </c>
      <c r="O33" s="3">
        <v>30</v>
      </c>
      <c r="P33" s="3"/>
      <c r="Q33" s="133"/>
      <c r="R33" s="3"/>
      <c r="S33" s="3"/>
      <c r="T33" s="3"/>
      <c r="U33" s="132"/>
      <c r="Z33" s="132"/>
    </row>
    <row r="34" spans="1:26">
      <c r="C34" s="3"/>
      <c r="D34" s="3"/>
      <c r="E34" s="3"/>
      <c r="F34" s="3"/>
      <c r="G34" s="3"/>
      <c r="H34" s="3"/>
      <c r="I34" s="3"/>
      <c r="J34" s="3"/>
      <c r="K34" s="3"/>
      <c r="L34" s="3"/>
      <c r="M34" s="133"/>
      <c r="N34" s="3"/>
      <c r="O34" s="3"/>
      <c r="P34" s="3"/>
      <c r="Q34" s="133"/>
      <c r="R34" s="3"/>
      <c r="U34" s="132"/>
      <c r="Z34" s="132"/>
    </row>
    <row r="35" spans="1:26">
      <c r="A35" s="61"/>
      <c r="B35" s="61" t="s">
        <v>665</v>
      </c>
      <c r="C35" s="61"/>
      <c r="D35" s="61"/>
      <c r="E35" s="61"/>
      <c r="F35" s="61"/>
      <c r="G35" s="61"/>
      <c r="H35" s="61"/>
      <c r="I35" s="61"/>
      <c r="J35" s="61"/>
      <c r="K35" s="61"/>
      <c r="L35" s="61"/>
      <c r="M35" s="131"/>
      <c r="N35" s="61" t="str">
        <f>N15</f>
        <v>Price</v>
      </c>
      <c r="O35" s="61">
        <f>S35+C11</f>
        <v>538</v>
      </c>
      <c r="P35" s="61">
        <f>T35+D11</f>
        <v>798</v>
      </c>
      <c r="Q35" s="131">
        <f>U35+E11</f>
        <v>1388</v>
      </c>
      <c r="R35" s="61" t="s">
        <v>759</v>
      </c>
      <c r="S35" s="61">
        <v>389</v>
      </c>
      <c r="T35" s="130">
        <v>599</v>
      </c>
      <c r="U35" s="131">
        <v>999</v>
      </c>
      <c r="V35" s="150"/>
      <c r="W35" s="61">
        <v>399</v>
      </c>
      <c r="X35" s="61">
        <v>499</v>
      </c>
      <c r="Y35" s="61"/>
      <c r="Z35" s="131"/>
    </row>
    <row r="36" spans="1:26">
      <c r="M36" s="132"/>
      <c r="N36" t="str">
        <f>N16</f>
        <v>Channels</v>
      </c>
      <c r="O36" s="3" t="str">
        <f>C12</f>
        <v>&gt; 40</v>
      </c>
      <c r="P36" s="3" t="str">
        <f>D12</f>
        <v>&gt; 60</v>
      </c>
      <c r="Q36" s="135" t="str">
        <f>E12</f>
        <v>&gt;70</v>
      </c>
      <c r="U36" s="132"/>
      <c r="Z36" s="132"/>
    </row>
    <row r="37" spans="1:26">
      <c r="M37" s="132"/>
      <c r="N37" t="str">
        <f>N17</f>
        <v>BB</v>
      </c>
      <c r="O37">
        <f t="shared" ref="O37:Q39" si="0">S37</f>
        <v>3</v>
      </c>
      <c r="P37">
        <f t="shared" si="0"/>
        <v>5</v>
      </c>
      <c r="Q37" s="132">
        <f t="shared" si="0"/>
        <v>10</v>
      </c>
      <c r="R37" t="str">
        <f>N17</f>
        <v>BB</v>
      </c>
      <c r="S37">
        <v>3</v>
      </c>
      <c r="T37">
        <v>5</v>
      </c>
      <c r="U37" s="132">
        <v>10</v>
      </c>
      <c r="W37">
        <v>5</v>
      </c>
      <c r="X37">
        <v>10</v>
      </c>
      <c r="Z37" s="132"/>
    </row>
    <row r="38" spans="1:26">
      <c r="M38" s="132"/>
      <c r="N38" t="str">
        <f>N18</f>
        <v>F-F (local)</v>
      </c>
      <c r="O38">
        <f t="shared" si="0"/>
        <v>100</v>
      </c>
      <c r="P38" s="3">
        <f t="shared" si="0"/>
        <v>200</v>
      </c>
      <c r="Q38" s="132" t="str">
        <f t="shared" si="0"/>
        <v>unlimited</v>
      </c>
      <c r="R38" t="str">
        <f>N18</f>
        <v>F-F (local)</v>
      </c>
      <c r="S38">
        <v>100</v>
      </c>
      <c r="T38" s="3">
        <v>200</v>
      </c>
      <c r="U38" s="133" t="s">
        <v>747</v>
      </c>
      <c r="Z38" s="132"/>
    </row>
    <row r="39" spans="1:26">
      <c r="M39" s="132"/>
      <c r="N39" t="str">
        <f>N19</f>
        <v>F-M</v>
      </c>
      <c r="O39">
        <f t="shared" si="0"/>
        <v>100</v>
      </c>
      <c r="P39">
        <f t="shared" si="0"/>
        <v>100</v>
      </c>
      <c r="Q39" s="132">
        <f t="shared" si="0"/>
        <v>100</v>
      </c>
      <c r="R39" t="str">
        <f>N19</f>
        <v>F-M</v>
      </c>
      <c r="S39">
        <v>100</v>
      </c>
      <c r="T39">
        <v>100</v>
      </c>
      <c r="U39" s="132">
        <v>100</v>
      </c>
      <c r="Z39" s="132"/>
    </row>
    <row r="40" spans="1:26">
      <c r="M40" s="132"/>
      <c r="Q40" s="132"/>
      <c r="U40" s="132"/>
      <c r="Z40" s="132"/>
    </row>
    <row r="41" spans="1:26">
      <c r="A41" s="61" t="s">
        <v>743</v>
      </c>
      <c r="B41" s="61" t="s">
        <v>868</v>
      </c>
      <c r="C41" s="61"/>
      <c r="D41" s="61"/>
      <c r="E41" s="61"/>
      <c r="F41" s="61"/>
      <c r="G41" s="61"/>
      <c r="H41" s="61"/>
      <c r="I41" s="61"/>
      <c r="J41" s="61"/>
      <c r="K41" s="61"/>
      <c r="L41" s="61"/>
      <c r="M41" s="131"/>
      <c r="N41" s="61" t="s">
        <v>759</v>
      </c>
      <c r="O41" s="61">
        <v>649</v>
      </c>
      <c r="P41" s="61">
        <v>999</v>
      </c>
      <c r="Q41" s="131">
        <v>1599</v>
      </c>
      <c r="R41" s="61" t="s">
        <v>759</v>
      </c>
      <c r="S41" s="61">
        <v>649</v>
      </c>
      <c r="T41" s="61"/>
      <c r="U41" s="131"/>
      <c r="Z41" s="132"/>
    </row>
    <row r="42" spans="1:26">
      <c r="A42" t="s">
        <v>869</v>
      </c>
      <c r="M42" s="145"/>
      <c r="N42" t="str">
        <f>N36</f>
        <v>Channels</v>
      </c>
      <c r="O42" s="3">
        <v>140</v>
      </c>
      <c r="P42" s="3">
        <v>240</v>
      </c>
      <c r="Q42" s="135">
        <v>260</v>
      </c>
      <c r="U42" s="132"/>
      <c r="Z42" s="132"/>
    </row>
    <row r="43" spans="1:26">
      <c r="M43" s="132"/>
      <c r="N43" t="str">
        <f>N37</f>
        <v>BB</v>
      </c>
      <c r="O43">
        <v>10</v>
      </c>
      <c r="P43">
        <v>30</v>
      </c>
      <c r="Q43" s="132">
        <v>50</v>
      </c>
      <c r="R43" t="str">
        <f>R37</f>
        <v>BB</v>
      </c>
      <c r="S43">
        <v>15</v>
      </c>
      <c r="U43" s="132"/>
      <c r="Z43" s="132"/>
    </row>
    <row r="44" spans="1:26">
      <c r="M44" s="132"/>
      <c r="N44" t="str">
        <f>N38</f>
        <v>F-F (local)</v>
      </c>
      <c r="O44" s="3" t="s">
        <v>747</v>
      </c>
      <c r="P44" s="3" t="s">
        <v>747</v>
      </c>
      <c r="Q44" s="133" t="s">
        <v>747</v>
      </c>
      <c r="R44" t="str">
        <f>R38</f>
        <v>F-F (local)</v>
      </c>
      <c r="S44" s="3" t="s">
        <v>747</v>
      </c>
      <c r="U44" s="132"/>
      <c r="Z44" s="132"/>
    </row>
    <row r="45" spans="1:26">
      <c r="M45" s="132"/>
      <c r="N45" t="str">
        <f>N39</f>
        <v>F-M</v>
      </c>
      <c r="O45">
        <v>0</v>
      </c>
      <c r="P45">
        <v>50</v>
      </c>
      <c r="Q45" s="132">
        <v>100</v>
      </c>
      <c r="R45" t="str">
        <f>R39</f>
        <v>F-M</v>
      </c>
      <c r="S45">
        <v>0</v>
      </c>
      <c r="U45" s="132"/>
      <c r="Z45" s="132"/>
    </row>
    <row r="47" spans="1:26">
      <c r="B47" s="42" t="s">
        <v>876</v>
      </c>
      <c r="N47" t="s">
        <v>870</v>
      </c>
    </row>
    <row r="48" spans="1:26">
      <c r="B48" s="61" t="s">
        <v>871</v>
      </c>
      <c r="C48" s="61">
        <v>2</v>
      </c>
      <c r="D48" s="61">
        <v>3</v>
      </c>
      <c r="E48" s="61">
        <v>5</v>
      </c>
      <c r="F48" s="61">
        <v>10</v>
      </c>
      <c r="G48" s="61">
        <v>20</v>
      </c>
      <c r="H48" s="61">
        <v>30</v>
      </c>
      <c r="I48" s="61">
        <v>50</v>
      </c>
    </row>
    <row r="49" spans="2:9">
      <c r="B49" t="s">
        <v>90</v>
      </c>
      <c r="D49">
        <f>O15</f>
        <v>528</v>
      </c>
      <c r="F49">
        <f>P15</f>
        <v>734</v>
      </c>
      <c r="G49">
        <f>Q15</f>
        <v>999</v>
      </c>
    </row>
    <row r="50" spans="2:9">
      <c r="B50" s="1" t="s">
        <v>757</v>
      </c>
      <c r="D50" s="146" t="str">
        <f>O16</f>
        <v>&gt;40</v>
      </c>
      <c r="E50" s="146"/>
      <c r="F50" s="146" t="str">
        <f>P16</f>
        <v>&gt;70</v>
      </c>
      <c r="G50" s="146" t="str">
        <f>Q16</f>
        <v>&gt;70</v>
      </c>
    </row>
    <row r="51" spans="2:9">
      <c r="B51" t="s">
        <v>91</v>
      </c>
      <c r="D51">
        <f>O22</f>
        <v>499</v>
      </c>
      <c r="E51">
        <f>P22</f>
        <v>649</v>
      </c>
      <c r="G51">
        <f>Q22</f>
        <v>999</v>
      </c>
      <c r="H51">
        <v>1399</v>
      </c>
    </row>
    <row r="52" spans="2:9">
      <c r="B52" s="1" t="s">
        <v>757</v>
      </c>
      <c r="D52" s="146" t="str">
        <f>O23</f>
        <v xml:space="preserve">&gt;70 </v>
      </c>
      <c r="E52" s="146" t="str">
        <f>P23</f>
        <v xml:space="preserve">&gt;165 </v>
      </c>
      <c r="F52" s="146"/>
      <c r="G52" s="146" t="str">
        <f>Q23</f>
        <v>Premium</v>
      </c>
      <c r="H52" s="146" t="s">
        <v>865</v>
      </c>
    </row>
    <row r="53" spans="2:9">
      <c r="B53" t="s">
        <v>155</v>
      </c>
      <c r="C53">
        <f>P29</f>
        <v>525</v>
      </c>
      <c r="E53">
        <f>Q29</f>
        <v>699</v>
      </c>
    </row>
    <row r="54" spans="2:9">
      <c r="B54" s="1" t="s">
        <v>757</v>
      </c>
      <c r="C54" s="146" t="str">
        <f>P30</f>
        <v>&gt;40</v>
      </c>
      <c r="D54" s="146"/>
      <c r="E54" s="146" t="str">
        <f>Q30</f>
        <v>&gt;150</v>
      </c>
    </row>
    <row r="55" spans="2:9">
      <c r="B55" t="s">
        <v>866</v>
      </c>
      <c r="F55">
        <f>O41</f>
        <v>649</v>
      </c>
      <c r="H55">
        <f>P41</f>
        <v>999</v>
      </c>
      <c r="I55">
        <f>Q41</f>
        <v>1599</v>
      </c>
    </row>
    <row r="56" spans="2:9">
      <c r="B56" s="147" t="s">
        <v>757</v>
      </c>
      <c r="C56" s="61"/>
      <c r="D56" s="61"/>
      <c r="E56" s="61"/>
      <c r="F56" s="147">
        <f>O42</f>
        <v>140</v>
      </c>
      <c r="G56" s="147"/>
      <c r="H56" s="147">
        <f>P42</f>
        <v>240</v>
      </c>
      <c r="I56" s="147">
        <f>Q42</f>
        <v>260</v>
      </c>
    </row>
    <row r="57" spans="2:9">
      <c r="B57" t="s">
        <v>665</v>
      </c>
      <c r="D57">
        <f t="shared" ref="D57:F58" si="1">O35</f>
        <v>538</v>
      </c>
      <c r="E57">
        <f t="shared" si="1"/>
        <v>798</v>
      </c>
      <c r="F57">
        <f t="shared" si="1"/>
        <v>1388</v>
      </c>
    </row>
    <row r="58" spans="2:9">
      <c r="B58" s="1" t="s">
        <v>757</v>
      </c>
      <c r="D58" s="146" t="str">
        <f t="shared" si="1"/>
        <v>&gt; 40</v>
      </c>
      <c r="E58" s="146" t="str">
        <f t="shared" si="1"/>
        <v>&gt; 60</v>
      </c>
      <c r="F58" s="146" t="str">
        <f t="shared" si="1"/>
        <v>&gt;70</v>
      </c>
    </row>
    <row r="60" spans="2:9">
      <c r="B60" s="42" t="s">
        <v>877</v>
      </c>
    </row>
    <row r="61" spans="2:9">
      <c r="B61" s="61" t="str">
        <f>B48</f>
        <v>Mbps</v>
      </c>
      <c r="C61" s="61">
        <f>V17</f>
        <v>3</v>
      </c>
      <c r="D61" s="61">
        <f>W17</f>
        <v>5</v>
      </c>
      <c r="E61" s="61">
        <f>X17</f>
        <v>10</v>
      </c>
    </row>
    <row r="62" spans="2:9">
      <c r="B62" t="str">
        <f>B49</f>
        <v>Cablemas</v>
      </c>
      <c r="C62">
        <f>V15</f>
        <v>179</v>
      </c>
      <c r="D62">
        <f>W15</f>
        <v>399</v>
      </c>
      <c r="E62">
        <f>X15</f>
        <v>599</v>
      </c>
    </row>
    <row r="63" spans="2:9">
      <c r="B63" t="str">
        <f>B22</f>
        <v>Cablevision</v>
      </c>
      <c r="C63">
        <f>V22</f>
        <v>149</v>
      </c>
      <c r="D63">
        <f>W22</f>
        <v>459</v>
      </c>
      <c r="E63">
        <f>X22</f>
        <v>549</v>
      </c>
    </row>
    <row r="64" spans="2:9">
      <c r="B64" s="61" t="s">
        <v>155</v>
      </c>
      <c r="C64" s="61">
        <f>AVERAGE(V29:W29)</f>
        <v>224</v>
      </c>
      <c r="D64" s="61">
        <f>AVERAGE(W29:X29)</f>
        <v>349</v>
      </c>
      <c r="E64" s="61"/>
    </row>
    <row r="65" spans="1:8">
      <c r="B65" t="s">
        <v>880</v>
      </c>
      <c r="C65">
        <f>AVERAGE(C62:C64)</f>
        <v>184</v>
      </c>
      <c r="D65" s="4">
        <f>AVERAGE(D62:D64)</f>
        <v>402.33333333333331</v>
      </c>
      <c r="E65">
        <f>AVERAGE(E62:E63)</f>
        <v>574</v>
      </c>
    </row>
    <row r="67" spans="1:8">
      <c r="B67" t="s">
        <v>878</v>
      </c>
      <c r="C67">
        <f>S35</f>
        <v>389</v>
      </c>
      <c r="D67">
        <f>T35</f>
        <v>599</v>
      </c>
      <c r="E67">
        <f>U35</f>
        <v>999</v>
      </c>
    </row>
    <row r="68" spans="1:8">
      <c r="B68" s="2" t="s">
        <v>879</v>
      </c>
    </row>
    <row r="69" spans="1:8">
      <c r="A69" s="151">
        <f>A71/1.5</f>
        <v>0.42533333333333334</v>
      </c>
      <c r="B69" t="str">
        <f>R38</f>
        <v>F-F (local)</v>
      </c>
      <c r="C69">
        <f>S38</f>
        <v>100</v>
      </c>
      <c r="D69">
        <f>T38</f>
        <v>200</v>
      </c>
      <c r="E69" s="3" t="str">
        <f>U38</f>
        <v>unlimited</v>
      </c>
    </row>
    <row r="70" spans="1:8">
      <c r="A70" s="151">
        <f>A69*1.25</f>
        <v>0.53166666666666673</v>
      </c>
      <c r="B70" t="s">
        <v>883</v>
      </c>
      <c r="C70">
        <v>100</v>
      </c>
      <c r="D70">
        <v>0</v>
      </c>
      <c r="E70" s="3" t="s">
        <v>747</v>
      </c>
    </row>
    <row r="71" spans="1:8">
      <c r="A71" s="151">
        <f>0.05*Master!$L$92</f>
        <v>0.63800000000000001</v>
      </c>
      <c r="B71" t="str">
        <f>R39</f>
        <v>F-M</v>
      </c>
      <c r="C71">
        <f>S39</f>
        <v>100</v>
      </c>
      <c r="D71">
        <f>T39</f>
        <v>100</v>
      </c>
      <c r="E71">
        <f>U39</f>
        <v>100</v>
      </c>
    </row>
    <row r="72" spans="1:8">
      <c r="A72" s="151"/>
    </row>
    <row r="73" spans="1:8">
      <c r="B73" t="s">
        <v>881</v>
      </c>
      <c r="C73" s="4">
        <f>C71*$A71+C70*$A70+C69*$A69</f>
        <v>159.5</v>
      </c>
      <c r="D73" s="4">
        <f>D71*$A71+D70*$A70+D69*$A69</f>
        <v>148.86666666666667</v>
      </c>
      <c r="E73" s="4">
        <f>D73*1.25</f>
        <v>186.08333333333334</v>
      </c>
    </row>
    <row r="74" spans="1:8">
      <c r="B74" t="s">
        <v>889</v>
      </c>
      <c r="C74" s="4">
        <f>C65+C73</f>
        <v>343.5</v>
      </c>
      <c r="D74" s="4">
        <f>D65+D73</f>
        <v>551.20000000000005</v>
      </c>
      <c r="E74" s="4">
        <f>E65+E73</f>
        <v>760.08333333333337</v>
      </c>
    </row>
    <row r="76" spans="1:8">
      <c r="B76" t="s">
        <v>882</v>
      </c>
      <c r="C76" s="8">
        <f>C74/C67-1</f>
        <v>-0.11696658097686374</v>
      </c>
      <c r="D76" s="8">
        <f>D74/D67-1</f>
        <v>-7.979966611018352E-2</v>
      </c>
      <c r="E76" s="8">
        <f>E74/E67-1</f>
        <v>-0.23915582248915579</v>
      </c>
    </row>
    <row r="78" spans="1:8">
      <c r="B78" s="121" t="s">
        <v>4081</v>
      </c>
    </row>
    <row r="80" spans="1:8" ht="15.75">
      <c r="B80" s="66" t="s">
        <v>4223</v>
      </c>
      <c r="C80" s="74"/>
      <c r="D80" s="74"/>
      <c r="H80" s="74"/>
    </row>
    <row r="81" spans="2:8" ht="15.75">
      <c r="B81" s="66"/>
      <c r="C81" s="74"/>
      <c r="D81" s="74"/>
      <c r="E81" s="391" t="s">
        <v>4235</v>
      </c>
      <c r="F81" s="74"/>
      <c r="G81" s="74" t="s">
        <v>4084</v>
      </c>
      <c r="H81" s="74"/>
    </row>
    <row r="82" spans="2:8" ht="15.75">
      <c r="B82" s="217" t="s">
        <v>759</v>
      </c>
      <c r="C82" s="388" t="s">
        <v>871</v>
      </c>
      <c r="D82" s="388" t="s">
        <v>612</v>
      </c>
      <c r="E82" s="388" t="s">
        <v>665</v>
      </c>
      <c r="F82" s="388" t="s">
        <v>4089</v>
      </c>
      <c r="H82" s="388" t="s">
        <v>1909</v>
      </c>
    </row>
    <row r="83" spans="2:8" ht="15.75">
      <c r="B83" s="70" t="s">
        <v>4090</v>
      </c>
      <c r="C83" s="111"/>
      <c r="D83" s="111"/>
      <c r="E83" s="111"/>
      <c r="F83" s="111"/>
      <c r="H83" s="111"/>
    </row>
    <row r="84" spans="2:8" ht="15.75">
      <c r="B84" s="142">
        <v>239</v>
      </c>
      <c r="C84" s="111">
        <v>3</v>
      </c>
      <c r="D84" s="111" t="s">
        <v>4082</v>
      </c>
      <c r="E84" s="66"/>
      <c r="F84" s="66"/>
      <c r="H84" s="66"/>
    </row>
    <row r="85" spans="2:8" ht="15.75">
      <c r="B85" s="142">
        <v>279</v>
      </c>
      <c r="C85" s="111">
        <v>5</v>
      </c>
      <c r="D85" s="111" t="s">
        <v>4082</v>
      </c>
      <c r="E85" s="66"/>
      <c r="F85" s="66"/>
      <c r="H85" s="66"/>
    </row>
    <row r="86" spans="2:8" ht="15.75">
      <c r="B86" s="142">
        <v>349</v>
      </c>
      <c r="C86" s="111">
        <v>10</v>
      </c>
      <c r="D86" s="111" t="s">
        <v>4082</v>
      </c>
      <c r="E86" s="69">
        <f>B86/B95-1</f>
        <v>-0.10282776349614398</v>
      </c>
      <c r="F86" s="66"/>
      <c r="H86" s="69">
        <f>B86/B103-1</f>
        <v>-0.10282776349614398</v>
      </c>
    </row>
    <row r="87" spans="2:8" ht="15.75">
      <c r="B87" s="142">
        <v>399</v>
      </c>
      <c r="C87" s="111">
        <v>20</v>
      </c>
      <c r="D87" s="111" t="s">
        <v>4082</v>
      </c>
      <c r="E87" s="66"/>
      <c r="F87" s="66"/>
      <c r="H87" s="66"/>
    </row>
    <row r="88" spans="2:8" ht="15.75">
      <c r="B88" s="142">
        <v>549</v>
      </c>
      <c r="C88" s="111">
        <v>40</v>
      </c>
      <c r="D88" s="111" t="s">
        <v>4082</v>
      </c>
      <c r="E88" s="66"/>
      <c r="F88" s="66"/>
      <c r="H88" s="66"/>
    </row>
    <row r="89" spans="2:8" ht="15.75">
      <c r="B89" s="142">
        <v>599</v>
      </c>
      <c r="C89" s="111">
        <v>50</v>
      </c>
      <c r="D89" s="111" t="s">
        <v>4082</v>
      </c>
      <c r="E89" s="69">
        <f>B89/B97-1</f>
        <v>0</v>
      </c>
      <c r="F89" s="66"/>
      <c r="H89" s="69">
        <f>B89/B106-1</f>
        <v>0</v>
      </c>
    </row>
    <row r="90" spans="2:8" ht="15.75">
      <c r="B90" s="142">
        <v>849</v>
      </c>
      <c r="C90" s="111">
        <v>100</v>
      </c>
      <c r="D90" s="111" t="s">
        <v>4082</v>
      </c>
      <c r="E90" s="69">
        <f>B90/B98-1</f>
        <v>-0.1501501501501501</v>
      </c>
      <c r="F90" s="66"/>
      <c r="H90" s="66"/>
    </row>
    <row r="91" spans="2:8" ht="15.75">
      <c r="B91" s="142">
        <v>1099</v>
      </c>
      <c r="C91" s="111">
        <v>200</v>
      </c>
      <c r="D91" s="111" t="s">
        <v>4082</v>
      </c>
      <c r="E91" s="69">
        <f>B91/B99-1</f>
        <v>-0.26684456304202797</v>
      </c>
      <c r="F91" s="66"/>
      <c r="H91" s="66"/>
    </row>
    <row r="92" spans="2:8" ht="15.75">
      <c r="B92" s="66"/>
      <c r="C92" s="66"/>
      <c r="D92" s="66"/>
      <c r="E92" s="66"/>
      <c r="F92" s="66"/>
      <c r="G92" s="66"/>
      <c r="H92" s="66"/>
    </row>
    <row r="93" spans="2:8" ht="15.75">
      <c r="B93" s="66" t="s">
        <v>665</v>
      </c>
      <c r="C93" s="66"/>
      <c r="D93" s="66"/>
      <c r="E93" s="66"/>
      <c r="F93" s="66"/>
      <c r="G93" s="66"/>
      <c r="H93" s="66"/>
    </row>
    <row r="94" spans="2:8" ht="15.75">
      <c r="B94" s="67" t="s">
        <v>4234</v>
      </c>
      <c r="C94" s="68" t="s">
        <v>871</v>
      </c>
      <c r="D94" s="68" t="s">
        <v>612</v>
      </c>
      <c r="E94" s="67" t="s">
        <v>74</v>
      </c>
      <c r="F94" s="66"/>
      <c r="G94" s="66"/>
      <c r="H94" s="66"/>
    </row>
    <row r="95" spans="2:8" ht="15.75">
      <c r="B95" s="142">
        <v>389</v>
      </c>
      <c r="C95" s="111">
        <v>10</v>
      </c>
      <c r="D95" s="111" t="s">
        <v>4230</v>
      </c>
      <c r="E95" s="66" t="s">
        <v>4083</v>
      </c>
      <c r="F95" s="66"/>
      <c r="G95" s="66"/>
      <c r="H95" s="66"/>
    </row>
    <row r="96" spans="2:8" ht="15.75">
      <c r="B96" s="142">
        <v>499</v>
      </c>
      <c r="C96" s="111">
        <v>30</v>
      </c>
      <c r="D96" s="111" t="s">
        <v>4082</v>
      </c>
      <c r="E96" s="66"/>
      <c r="F96" s="66"/>
      <c r="G96" s="66"/>
      <c r="H96" s="66"/>
    </row>
    <row r="97" spans="2:8" ht="15.75">
      <c r="B97" s="142">
        <v>599</v>
      </c>
      <c r="C97" s="111">
        <v>50</v>
      </c>
      <c r="D97" s="111" t="s">
        <v>4082</v>
      </c>
      <c r="E97" s="66"/>
      <c r="F97" s="66"/>
      <c r="G97" s="66"/>
      <c r="H97" s="66"/>
    </row>
    <row r="98" spans="2:8" ht="15.75">
      <c r="B98" s="142">
        <v>999</v>
      </c>
      <c r="C98" s="111">
        <v>100</v>
      </c>
      <c r="D98" s="111" t="s">
        <v>4082</v>
      </c>
      <c r="E98" s="66"/>
      <c r="F98" s="66"/>
      <c r="G98" s="66"/>
      <c r="H98" s="66"/>
    </row>
    <row r="99" spans="2:8" ht="15.75">
      <c r="B99" s="142">
        <v>1499</v>
      </c>
      <c r="C99" s="111">
        <v>200</v>
      </c>
      <c r="D99" s="111" t="s">
        <v>4082</v>
      </c>
      <c r="E99" s="66"/>
      <c r="F99" s="66"/>
      <c r="G99" s="66"/>
      <c r="H99" s="66"/>
    </row>
    <row r="100" spans="2:8" ht="15.75">
      <c r="B100" s="66"/>
      <c r="C100" s="66"/>
      <c r="D100" s="66"/>
      <c r="E100" s="66"/>
      <c r="F100" s="66"/>
      <c r="G100" s="66"/>
      <c r="H100" s="66"/>
    </row>
    <row r="101" spans="2:8" ht="15.75">
      <c r="B101" s="74" t="s">
        <v>1909</v>
      </c>
      <c r="C101" s="66"/>
      <c r="D101" s="66"/>
      <c r="E101" s="66"/>
      <c r="F101" s="66"/>
      <c r="G101" s="66"/>
      <c r="H101" s="66"/>
    </row>
    <row r="102" spans="2:8" ht="15.75">
      <c r="B102" s="555" t="s">
        <v>4090</v>
      </c>
      <c r="C102" s="68" t="s">
        <v>871</v>
      </c>
      <c r="D102" s="68" t="str">
        <f>D94</f>
        <v>Voice</v>
      </c>
      <c r="E102" s="68" t="str">
        <f>E94</f>
        <v>TV</v>
      </c>
      <c r="F102" s="67" t="s">
        <v>4089</v>
      </c>
      <c r="G102" s="66"/>
      <c r="H102" s="66"/>
    </row>
    <row r="103" spans="2:8" ht="15.75">
      <c r="B103" s="142">
        <v>389</v>
      </c>
      <c r="C103" s="111">
        <v>10</v>
      </c>
      <c r="D103" s="111" t="s">
        <v>4082</v>
      </c>
      <c r="E103" s="66"/>
      <c r="F103" s="111" t="s">
        <v>4087</v>
      </c>
      <c r="G103" s="66"/>
      <c r="H103" s="66"/>
    </row>
    <row r="104" spans="2:8" ht="15.75">
      <c r="B104" s="142">
        <v>435</v>
      </c>
      <c r="C104" s="66">
        <v>10</v>
      </c>
      <c r="D104" s="111" t="s">
        <v>4082</v>
      </c>
      <c r="E104" s="66"/>
      <c r="F104" s="111" t="s">
        <v>4088</v>
      </c>
      <c r="G104" s="66"/>
      <c r="H104" s="66"/>
    </row>
    <row r="105" spans="2:8" ht="16.5" thickBot="1">
      <c r="B105" s="142">
        <v>499</v>
      </c>
      <c r="C105" s="66">
        <v>30</v>
      </c>
      <c r="D105" s="111" t="s">
        <v>4082</v>
      </c>
      <c r="E105" s="66"/>
      <c r="F105" s="66"/>
      <c r="G105" s="66"/>
      <c r="H105" s="66"/>
    </row>
    <row r="106" spans="2:8" ht="16.5" thickBot="1">
      <c r="B106" s="556">
        <v>599</v>
      </c>
      <c r="C106" s="557">
        <v>50</v>
      </c>
      <c r="D106" s="557" t="s">
        <v>4082</v>
      </c>
      <c r="E106" s="558"/>
      <c r="F106" s="559"/>
      <c r="G106" s="66"/>
      <c r="H106" s="66"/>
    </row>
    <row r="107" spans="2:8" ht="15.75">
      <c r="B107" s="70" t="s">
        <v>4094</v>
      </c>
      <c r="C107" s="111"/>
      <c r="D107" s="111"/>
      <c r="E107" s="66"/>
      <c r="F107" s="66"/>
      <c r="G107" s="66"/>
      <c r="H107" s="66"/>
    </row>
    <row r="108" spans="2:8" ht="15.75">
      <c r="B108" s="142">
        <v>430</v>
      </c>
      <c r="C108" s="111">
        <v>10</v>
      </c>
      <c r="D108" s="111"/>
      <c r="E108" s="111" t="s">
        <v>4085</v>
      </c>
      <c r="F108" s="66"/>
      <c r="G108" s="66"/>
      <c r="H108" s="66"/>
    </row>
    <row r="109" spans="2:8" ht="15.75">
      <c r="B109" s="70" t="s">
        <v>4093</v>
      </c>
      <c r="C109" s="66"/>
      <c r="D109" s="66"/>
      <c r="E109" s="66"/>
      <c r="F109" s="66"/>
      <c r="G109" s="66"/>
      <c r="H109" s="66"/>
    </row>
    <row r="110" spans="2:8" ht="15.75">
      <c r="B110" s="142">
        <v>490</v>
      </c>
      <c r="C110" s="111">
        <v>10</v>
      </c>
      <c r="D110" s="111" t="s">
        <v>4086</v>
      </c>
      <c r="E110" s="111" t="s">
        <v>4085</v>
      </c>
      <c r="F110" s="66"/>
      <c r="G110" s="66"/>
      <c r="H110" s="66"/>
    </row>
    <row r="111" spans="2:8" ht="15.75">
      <c r="B111" s="142">
        <v>570</v>
      </c>
      <c r="C111" s="111">
        <v>10</v>
      </c>
      <c r="D111" s="111" t="s">
        <v>4086</v>
      </c>
      <c r="E111" s="111" t="s">
        <v>4091</v>
      </c>
      <c r="F111" s="66"/>
      <c r="G111" s="66"/>
      <c r="H111" s="66"/>
    </row>
    <row r="112" spans="2:8" ht="15.75">
      <c r="B112" s="142">
        <v>490</v>
      </c>
      <c r="C112" s="111">
        <v>20</v>
      </c>
      <c r="D112" s="111" t="s">
        <v>4086</v>
      </c>
      <c r="E112" s="111" t="s">
        <v>4091</v>
      </c>
      <c r="F112" s="66"/>
      <c r="G112" s="66"/>
      <c r="H112" s="66"/>
    </row>
    <row r="113" spans="2:8" ht="15.75">
      <c r="B113" s="142">
        <v>570</v>
      </c>
      <c r="C113" s="111">
        <v>20</v>
      </c>
      <c r="D113" s="111" t="s">
        <v>4086</v>
      </c>
      <c r="E113" s="111" t="s">
        <v>4092</v>
      </c>
      <c r="F113" s="66"/>
      <c r="G113" s="66"/>
      <c r="H113" s="66"/>
    </row>
    <row r="114" spans="2:8" ht="15.75">
      <c r="B114" s="66"/>
      <c r="C114" s="66"/>
      <c r="D114" s="66"/>
      <c r="E114" s="66"/>
      <c r="F114" s="66"/>
      <c r="G114" s="66"/>
      <c r="H114" s="66"/>
    </row>
    <row r="115" spans="2:8" ht="15.75">
      <c r="B115" s="66" t="s">
        <v>2335</v>
      </c>
      <c r="C115" s="66"/>
      <c r="D115" s="66"/>
      <c r="E115" s="66"/>
      <c r="F115" s="66"/>
      <c r="G115" s="66"/>
      <c r="H115" s="66"/>
    </row>
    <row r="116" spans="2:8" ht="15.75">
      <c r="B116" s="70" t="s">
        <v>4090</v>
      </c>
      <c r="C116" s="66"/>
      <c r="D116" s="66"/>
      <c r="E116" s="66"/>
      <c r="F116" s="66"/>
      <c r="G116" s="66"/>
      <c r="H116" s="66"/>
    </row>
    <row r="117" spans="2:8" ht="15.75">
      <c r="B117" s="142" t="s">
        <v>4095</v>
      </c>
      <c r="C117" s="111">
        <v>10</v>
      </c>
      <c r="D117" s="111" t="s">
        <v>4086</v>
      </c>
      <c r="E117" s="66"/>
      <c r="F117" s="66"/>
      <c r="G117" s="66"/>
      <c r="H117" s="66"/>
    </row>
    <row r="118" spans="2:8" ht="15.75">
      <c r="B118" s="70" t="s">
        <v>4093</v>
      </c>
      <c r="C118" s="66"/>
      <c r="D118" s="66"/>
      <c r="E118" s="66"/>
      <c r="F118" s="66"/>
      <c r="G118" s="66"/>
      <c r="H118" s="66"/>
    </row>
    <row r="119" spans="2:8" ht="15.75">
      <c r="B119" s="142" t="s">
        <v>4101</v>
      </c>
      <c r="C119" s="66">
        <v>20</v>
      </c>
      <c r="D119" s="111" t="s">
        <v>4082</v>
      </c>
      <c r="E119" s="66" t="s">
        <v>4102</v>
      </c>
      <c r="F119" s="66"/>
      <c r="G119" s="66"/>
      <c r="H119" s="66"/>
    </row>
    <row r="120" spans="2:8" ht="15.75">
      <c r="B120" s="142" t="s">
        <v>4096</v>
      </c>
      <c r="C120" s="111">
        <v>20</v>
      </c>
      <c r="D120" s="111" t="s">
        <v>4082</v>
      </c>
      <c r="E120" s="66" t="s">
        <v>4099</v>
      </c>
      <c r="F120" s="66"/>
      <c r="G120" s="66"/>
      <c r="H120" s="66"/>
    </row>
    <row r="121" spans="2:8" ht="15.75">
      <c r="B121" s="142" t="s">
        <v>4097</v>
      </c>
      <c r="C121" s="111">
        <v>30</v>
      </c>
      <c r="D121" s="111" t="s">
        <v>4082</v>
      </c>
      <c r="E121" s="66" t="s">
        <v>4100</v>
      </c>
      <c r="F121" s="66"/>
      <c r="G121" s="66"/>
      <c r="H121" s="66"/>
    </row>
    <row r="122" spans="2:8" ht="15.75">
      <c r="B122" s="142" t="s">
        <v>4098</v>
      </c>
      <c r="C122" s="111">
        <v>50</v>
      </c>
      <c r="D122" s="111" t="s">
        <v>4082</v>
      </c>
      <c r="E122" s="66" t="s">
        <v>4100</v>
      </c>
      <c r="F122" s="66"/>
      <c r="G122" s="66"/>
      <c r="H122" s="66"/>
    </row>
    <row r="123" spans="2:8" ht="15.75">
      <c r="B123" s="142">
        <v>999</v>
      </c>
      <c r="C123" s="111">
        <v>50</v>
      </c>
      <c r="D123" s="111" t="s">
        <v>4082</v>
      </c>
      <c r="E123" s="66" t="s">
        <v>4104</v>
      </c>
      <c r="F123" s="66" t="s">
        <v>4103</v>
      </c>
      <c r="G123" s="66"/>
      <c r="H123" s="66"/>
    </row>
    <row r="124" spans="2:8" ht="15.75">
      <c r="B124" s="66"/>
      <c r="C124" s="66"/>
      <c r="D124" s="66"/>
      <c r="E124" s="66"/>
      <c r="F124" s="66"/>
      <c r="G124" s="66"/>
      <c r="H124" s="66"/>
    </row>
    <row r="125" spans="2:8" ht="15.75">
      <c r="B125" s="554" t="s">
        <v>4224</v>
      </c>
      <c r="C125" s="66"/>
      <c r="D125" s="66"/>
      <c r="E125" s="66"/>
      <c r="F125" s="66"/>
      <c r="G125" s="66"/>
      <c r="H125" s="66"/>
    </row>
    <row r="126" spans="2:8" ht="15.75">
      <c r="B126" s="66"/>
      <c r="C126" s="66"/>
      <c r="D126" s="66"/>
      <c r="E126" s="66"/>
      <c r="F126" s="66"/>
      <c r="G126" s="66"/>
      <c r="H126" s="66"/>
    </row>
    <row r="127" spans="2:8" ht="15.75">
      <c r="B127" s="67" t="s">
        <v>4225</v>
      </c>
      <c r="C127" s="68" t="s">
        <v>871</v>
      </c>
      <c r="D127" s="68" t="s">
        <v>4229</v>
      </c>
      <c r="E127" s="66"/>
      <c r="F127" s="66"/>
      <c r="G127" s="66"/>
      <c r="H127" s="66"/>
    </row>
    <row r="128" spans="2:8" ht="15.75">
      <c r="B128" s="142">
        <v>300</v>
      </c>
      <c r="C128" s="66">
        <v>5</v>
      </c>
      <c r="D128" s="66"/>
      <c r="E128" s="66"/>
      <c r="F128" s="66"/>
      <c r="G128" s="66"/>
      <c r="H128" s="66"/>
    </row>
    <row r="129" spans="2:8" ht="15.75">
      <c r="B129" s="142">
        <v>400</v>
      </c>
      <c r="C129" s="66">
        <v>10</v>
      </c>
      <c r="D129" s="69">
        <f>B129/B95-1</f>
        <v>2.8277634961439535E-2</v>
      </c>
      <c r="E129" s="66"/>
      <c r="F129" s="66"/>
      <c r="G129" s="66"/>
      <c r="H129" s="66"/>
    </row>
    <row r="130" spans="2:8" ht="15.75">
      <c r="B130" s="66"/>
      <c r="C130" s="66"/>
      <c r="D130" s="66"/>
      <c r="E130" s="66"/>
      <c r="F130" s="66"/>
      <c r="G130" s="66"/>
      <c r="H130" s="66"/>
    </row>
    <row r="131" spans="2:8" ht="15.75">
      <c r="B131" s="67" t="s">
        <v>4226</v>
      </c>
      <c r="C131" s="68" t="s">
        <v>871</v>
      </c>
      <c r="D131" s="68" t="str">
        <f>D127</f>
        <v>discount*</v>
      </c>
      <c r="E131" s="66"/>
      <c r="F131" s="66"/>
      <c r="G131" s="66"/>
      <c r="H131" s="66"/>
    </row>
    <row r="132" spans="2:8" ht="15.75">
      <c r="B132" s="142">
        <v>225</v>
      </c>
      <c r="C132" s="66">
        <v>5</v>
      </c>
      <c r="D132" s="66"/>
      <c r="E132" s="66"/>
      <c r="F132" s="66"/>
      <c r="G132" s="66"/>
      <c r="H132" s="66"/>
    </row>
    <row r="133" spans="2:8" ht="15.75">
      <c r="B133" s="142">
        <v>375</v>
      </c>
      <c r="C133" s="66">
        <v>10</v>
      </c>
      <c r="D133" s="69">
        <f>B133/B95-1</f>
        <v>-3.5989717223650408E-2</v>
      </c>
      <c r="E133" s="66"/>
      <c r="F133" s="66"/>
      <c r="G133" s="66"/>
      <c r="H133" s="66"/>
    </row>
    <row r="134" spans="2:8" ht="15.75">
      <c r="B134" s="66"/>
      <c r="C134" s="66"/>
      <c r="D134" s="66"/>
      <c r="E134" s="66"/>
      <c r="F134" s="66"/>
      <c r="G134" s="66"/>
      <c r="H134" s="66"/>
    </row>
    <row r="135" spans="2:8" ht="15.75">
      <c r="B135" s="67" t="s">
        <v>826</v>
      </c>
      <c r="C135" s="68" t="s">
        <v>871</v>
      </c>
      <c r="D135" s="68" t="str">
        <f>D131</f>
        <v>discount*</v>
      </c>
      <c r="E135" s="66"/>
      <c r="F135" s="66"/>
      <c r="G135" s="66"/>
      <c r="H135" s="66"/>
    </row>
    <row r="136" spans="2:8" ht="15.75">
      <c r="B136" s="142">
        <v>199</v>
      </c>
      <c r="C136" s="66">
        <v>5</v>
      </c>
      <c r="E136" s="66"/>
      <c r="F136" s="66"/>
      <c r="G136" s="66"/>
      <c r="H136" s="66"/>
    </row>
    <row r="137" spans="2:8" ht="15.75">
      <c r="B137" s="142">
        <v>349</v>
      </c>
      <c r="C137" s="66">
        <v>10</v>
      </c>
      <c r="D137" s="69">
        <f>B137/B95-1</f>
        <v>-0.10282776349614398</v>
      </c>
    </row>
    <row r="138" spans="2:8" ht="15.75">
      <c r="B138" s="142">
        <v>599</v>
      </c>
      <c r="C138" s="66">
        <v>20</v>
      </c>
    </row>
    <row r="141" spans="2:8" ht="15.75">
      <c r="B141" s="142"/>
      <c r="C141" s="66"/>
    </row>
    <row r="142" spans="2:8" ht="15.75">
      <c r="B142" s="67" t="s">
        <v>4228</v>
      </c>
      <c r="C142" s="67"/>
      <c r="D142" s="66"/>
      <c r="E142" s="66"/>
      <c r="F142" s="66"/>
      <c r="G142" s="66"/>
      <c r="H142" s="66"/>
    </row>
    <row r="143" spans="2:8" ht="15.75">
      <c r="B143" s="142">
        <v>169</v>
      </c>
      <c r="C143" s="66">
        <v>3</v>
      </c>
      <c r="D143" s="66"/>
      <c r="E143" s="66"/>
      <c r="F143" s="66"/>
      <c r="G143" s="66"/>
      <c r="H143" s="66"/>
    </row>
    <row r="144" spans="2:8" ht="15.75">
      <c r="B144" s="142">
        <v>199</v>
      </c>
      <c r="C144" s="66">
        <v>5</v>
      </c>
      <c r="D144" s="66"/>
      <c r="E144" s="66"/>
      <c r="F144" s="66"/>
      <c r="G144" s="66"/>
      <c r="H144" s="66"/>
    </row>
    <row r="145" spans="2:8" ht="15.75">
      <c r="B145" s="142">
        <v>249</v>
      </c>
      <c r="C145" s="66">
        <v>10</v>
      </c>
      <c r="D145" s="66"/>
      <c r="E145" s="66"/>
      <c r="F145" s="66"/>
      <c r="G145" s="66"/>
      <c r="H145" s="66"/>
    </row>
    <row r="146" spans="2:8" ht="15.75">
      <c r="B146" s="142">
        <v>349</v>
      </c>
      <c r="C146" s="66">
        <v>20</v>
      </c>
      <c r="D146" s="66"/>
      <c r="E146" s="66"/>
      <c r="F146" s="66"/>
      <c r="G146" s="66"/>
      <c r="H146" s="66"/>
    </row>
    <row r="147" spans="2:8" ht="15.75">
      <c r="B147" s="142">
        <v>549</v>
      </c>
      <c r="C147" s="66">
        <v>50</v>
      </c>
      <c r="D147" s="66"/>
      <c r="E147" s="66"/>
      <c r="F147" s="66"/>
      <c r="G147" s="66"/>
      <c r="H147" s="66"/>
    </row>
    <row r="148" spans="2:8" ht="15.75">
      <c r="B148" s="142">
        <v>799</v>
      </c>
      <c r="C148" s="66">
        <v>100</v>
      </c>
      <c r="D148" s="66"/>
      <c r="E148" s="66"/>
      <c r="F148" s="66"/>
      <c r="G148" s="66"/>
      <c r="H148" s="66"/>
    </row>
    <row r="149" spans="2:8" ht="15.75">
      <c r="B149" s="142">
        <v>999</v>
      </c>
      <c r="C149" s="66">
        <v>200</v>
      </c>
      <c r="D149" s="66"/>
      <c r="E149" s="66"/>
      <c r="F149" s="66"/>
      <c r="G149" s="66"/>
      <c r="H149" s="66"/>
    </row>
  </sheetData>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8CC7E-6618-4EBD-A0FC-FB99CABD6249}">
  <dimension ref="B2:N59"/>
  <sheetViews>
    <sheetView showGridLines="0" zoomScale="70" zoomScaleNormal="70" workbookViewId="0"/>
  </sheetViews>
  <sheetFormatPr defaultColWidth="9.42578125" defaultRowHeight="12.75"/>
  <cols>
    <col min="1" max="1" width="2.140625" style="661" customWidth="1"/>
    <col min="2" max="2" width="23" style="661" customWidth="1"/>
    <col min="3" max="6" width="9.28515625" style="661" customWidth="1"/>
    <col min="7" max="7" width="12.140625" style="661" customWidth="1"/>
    <col min="8" max="8" width="1.85546875" style="661" customWidth="1"/>
    <col min="9" max="9" width="23.140625" style="661" customWidth="1"/>
    <col min="10" max="13" width="9.140625" style="661" customWidth="1"/>
    <col min="14" max="14" width="12.140625" style="661" customWidth="1"/>
    <col min="15" max="15" width="7.28515625" style="661" customWidth="1"/>
    <col min="16" max="16384" width="9.42578125" style="661"/>
  </cols>
  <sheetData>
    <row r="2" spans="2:14" ht="15">
      <c r="B2" s="809"/>
      <c r="C2" s="809"/>
      <c r="D2" s="809"/>
      <c r="E2" s="809"/>
      <c r="F2" s="809"/>
      <c r="G2" s="809"/>
      <c r="H2" s="809"/>
      <c r="I2" s="809"/>
      <c r="J2" s="809"/>
      <c r="K2" s="809"/>
      <c r="L2" s="809"/>
      <c r="M2" s="809"/>
      <c r="N2" s="809"/>
    </row>
    <row r="3" spans="2:14" ht="15">
      <c r="B3" s="810" t="s">
        <v>5049</v>
      </c>
      <c r="C3" s="811">
        <v>2022</v>
      </c>
      <c r="D3" s="811" t="s">
        <v>6714</v>
      </c>
      <c r="E3" s="811" t="s">
        <v>6719</v>
      </c>
      <c r="F3" s="811" t="s">
        <v>6720</v>
      </c>
      <c r="G3" s="811" t="s">
        <v>6726</v>
      </c>
      <c r="H3" s="812"/>
      <c r="I3" s="810" t="str">
        <f>B3</f>
        <v>USD m</v>
      </c>
      <c r="J3" s="811">
        <f>C3</f>
        <v>2022</v>
      </c>
      <c r="K3" s="811" t="str">
        <f>D3</f>
        <v>2023e</v>
      </c>
      <c r="L3" s="811" t="str">
        <f>E3</f>
        <v>2024e</v>
      </c>
      <c r="M3" s="811" t="str">
        <f>F3</f>
        <v>2025e</v>
      </c>
      <c r="N3" s="811" t="s">
        <v>6726</v>
      </c>
    </row>
    <row r="4" spans="2:14" ht="15">
      <c r="B4" s="813" t="s">
        <v>6715</v>
      </c>
      <c r="C4" s="814">
        <f>Valuation!B2</f>
        <v>3.16</v>
      </c>
      <c r="D4" s="813"/>
      <c r="E4" s="813"/>
      <c r="F4" s="813"/>
      <c r="G4" s="813"/>
      <c r="H4" s="815"/>
      <c r="I4" s="816" t="s">
        <v>6727</v>
      </c>
      <c r="J4" s="817"/>
      <c r="K4" s="817"/>
      <c r="L4" s="817"/>
      <c r="M4" s="817"/>
      <c r="N4" s="817"/>
    </row>
    <row r="5" spans="2:14" ht="15">
      <c r="B5" s="815" t="s">
        <v>6717</v>
      </c>
      <c r="C5" s="818">
        <f>Valuation!R7</f>
        <v>573.38307692307694</v>
      </c>
      <c r="D5" s="818">
        <f>Valuation!S7</f>
        <v>573.38307692307694</v>
      </c>
      <c r="E5" s="818">
        <f>Valuation!T7</f>
        <v>573.38307692307694</v>
      </c>
      <c r="F5" s="818">
        <f>Valuation!U7</f>
        <v>573.38307692307694</v>
      </c>
      <c r="G5" s="815"/>
      <c r="H5" s="815"/>
      <c r="I5" s="815" t="s">
        <v>6716</v>
      </c>
      <c r="J5" s="819">
        <f ca="1">C12/C25</f>
        <v>1.5730874961110151</v>
      </c>
      <c r="K5" s="819">
        <f ca="1">D12/D25</f>
        <v>1.5334228812402035</v>
      </c>
      <c r="L5" s="819">
        <f ca="1">E12/E25</f>
        <v>1.6340278572301612</v>
      </c>
      <c r="M5" s="819">
        <f ca="1">F12/F25</f>
        <v>1.5772296713021676</v>
      </c>
      <c r="N5" s="815"/>
    </row>
    <row r="6" spans="2:14" ht="15">
      <c r="B6" s="813" t="s">
        <v>375</v>
      </c>
      <c r="C6" s="820">
        <f>$C$4*C5</f>
        <v>1811.8905230769233</v>
      </c>
      <c r="D6" s="820">
        <f>$C$4*D5</f>
        <v>1811.8905230769233</v>
      </c>
      <c r="E6" s="820">
        <f>$C$4*E5</f>
        <v>1811.8905230769233</v>
      </c>
      <c r="F6" s="820">
        <f>$C$4*F5</f>
        <v>1811.8905230769233</v>
      </c>
      <c r="G6" s="813"/>
      <c r="H6" s="815"/>
      <c r="I6" s="813" t="s">
        <v>380</v>
      </c>
      <c r="J6" s="821">
        <f ca="1">C12/C26</f>
        <v>4.5527747235570653</v>
      </c>
      <c r="K6" s="821">
        <f ca="1">D12/D26</f>
        <v>4.6734562875668191</v>
      </c>
      <c r="L6" s="821">
        <f ca="1">E12/E26</f>
        <v>4.6176422387726728</v>
      </c>
      <c r="M6" s="821">
        <f ca="1">F12/F26</f>
        <v>4.8779133458301054</v>
      </c>
      <c r="N6" s="813"/>
    </row>
    <row r="7" spans="2:14" ht="15">
      <c r="B7" s="815" t="s">
        <v>6721</v>
      </c>
      <c r="C7" s="818">
        <f>Valuation!R15</f>
        <v>2690.6862257583293</v>
      </c>
      <c r="D7" s="818">
        <f>Valuation!S15</f>
        <v>3160.9943502824854</v>
      </c>
      <c r="E7" s="818">
        <f ca="1">Valuation!T15</f>
        <v>3458.2892069071536</v>
      </c>
      <c r="F7" s="818">
        <f ca="1">Valuation!U15</f>
        <v>3378.8561972942557</v>
      </c>
      <c r="G7" s="815"/>
      <c r="H7" s="815"/>
      <c r="I7" s="815" t="s">
        <v>381</v>
      </c>
      <c r="J7" s="819">
        <f ca="1">C12/C28</f>
        <v>8.3821641284440389</v>
      </c>
      <c r="K7" s="819">
        <f ca="1">D12/D28</f>
        <v>8.2211408164273454</v>
      </c>
      <c r="L7" s="819">
        <f ca="1">E12/E28</f>
        <v>7.5030858747460121</v>
      </c>
      <c r="M7" s="819">
        <f ca="1">F12/F28</f>
        <v>8.113818999302568</v>
      </c>
      <c r="N7" s="809"/>
    </row>
    <row r="8" spans="2:14" ht="15">
      <c r="B8" s="813" t="s">
        <v>7462</v>
      </c>
      <c r="C8" s="820">
        <f>SOP!$C$13*VOD!F191</f>
        <v>4268.9699999999993</v>
      </c>
      <c r="D8" s="820">
        <f>SOP!$C$13*VOD!G191</f>
        <v>4346.4150000000009</v>
      </c>
      <c r="E8" s="820">
        <f>SOP!$C$13*VOD!H191</f>
        <v>4359.2544367558321</v>
      </c>
      <c r="F8" s="820">
        <f>SOP!$C$13*VOD!I191</f>
        <v>4209.855229296878</v>
      </c>
      <c r="G8" s="813"/>
      <c r="H8" s="815"/>
      <c r="I8" s="813" t="s">
        <v>382</v>
      </c>
      <c r="J8" s="821">
        <f ca="1">C12/C29</f>
        <v>11.641894622838942</v>
      </c>
      <c r="K8" s="821">
        <f ca="1">D12/D29</f>
        <v>11.418251133926869</v>
      </c>
      <c r="L8" s="821">
        <f ca="1">E12/E29</f>
        <v>10.420952603813907</v>
      </c>
      <c r="M8" s="821">
        <f ca="1">F12/F29</f>
        <v>11.2691930545869</v>
      </c>
      <c r="N8" s="813"/>
    </row>
    <row r="9" spans="2:14" ht="15">
      <c r="B9" s="815" t="str">
        <f>Valuation!A59</f>
        <v>Associates</v>
      </c>
      <c r="C9" s="818">
        <f>Valuation!R59</f>
        <v>-50</v>
      </c>
      <c r="D9" s="818">
        <f>Valuation!S59</f>
        <v>-50</v>
      </c>
      <c r="E9" s="818">
        <f>Valuation!T59</f>
        <v>-50</v>
      </c>
      <c r="F9" s="818">
        <f>Valuation!U59</f>
        <v>-50</v>
      </c>
      <c r="G9" s="815"/>
      <c r="H9" s="815"/>
      <c r="I9" s="815" t="s">
        <v>3840</v>
      </c>
      <c r="J9" s="819">
        <f>$C$4/C20</f>
        <v>-2.8575733972973971</v>
      </c>
      <c r="K9" s="819">
        <f>$C$4/D20</f>
        <v>-3.1331355580321754</v>
      </c>
      <c r="L9" s="819">
        <f ca="1">$C$4/E20</f>
        <v>48.083711383809806</v>
      </c>
      <c r="M9" s="819">
        <f ca="1">$C$4/F20</f>
        <v>-21.817333132155071</v>
      </c>
      <c r="N9" s="815"/>
    </row>
    <row r="10" spans="2:14" ht="15">
      <c r="B10" s="813" t="str">
        <f>Valuation!A60</f>
        <v>Minorities</v>
      </c>
      <c r="C10" s="820">
        <f ca="1">Valuation!R60</f>
        <v>522.03146293983821</v>
      </c>
      <c r="D10" s="820">
        <f ca="1">Valuation!S60</f>
        <v>522.03146293983821</v>
      </c>
      <c r="E10" s="820">
        <f ca="1">Valuation!T60</f>
        <v>522.03146293983821</v>
      </c>
      <c r="F10" s="820">
        <f ca="1">Valuation!U60</f>
        <v>522.03146293983821</v>
      </c>
      <c r="G10" s="813"/>
      <c r="H10" s="815"/>
      <c r="I10" s="813" t="s">
        <v>3812</v>
      </c>
      <c r="J10" s="822">
        <f>Valuation!R48</f>
        <v>-0.38248942574732481</v>
      </c>
      <c r="K10" s="822">
        <f>Valuation!S48</f>
        <v>-0.132252069390766</v>
      </c>
      <c r="L10" s="822">
        <f ca="1">Valuation!T48</f>
        <v>7.5729833548540598E-2</v>
      </c>
      <c r="M10" s="822">
        <f ca="1">Valuation!U48</f>
        <v>0.12975315128700435</v>
      </c>
      <c r="N10" s="813"/>
    </row>
    <row r="11" spans="2:14" ht="15">
      <c r="B11" s="823" t="s">
        <v>6718</v>
      </c>
      <c r="C11" s="824">
        <f>Valuation!R58</f>
        <v>0</v>
      </c>
      <c r="D11" s="824">
        <f>Valuation!S58</f>
        <v>0</v>
      </c>
      <c r="E11" s="824">
        <f>Valuation!T58</f>
        <v>-63.277976949411858</v>
      </c>
      <c r="F11" s="824">
        <f>Valuation!U58</f>
        <v>-125.69495427036493</v>
      </c>
      <c r="G11" s="823"/>
      <c r="H11" s="815"/>
      <c r="I11" s="809"/>
      <c r="J11" s="809"/>
      <c r="K11" s="809"/>
      <c r="L11" s="809"/>
      <c r="M11" s="809"/>
      <c r="N11" s="815"/>
    </row>
    <row r="12" spans="2:14" ht="15">
      <c r="B12" s="813" t="s">
        <v>6725</v>
      </c>
      <c r="C12" s="820">
        <f ca="1">SUM(C6:C11)</f>
        <v>9243.5782117750896</v>
      </c>
      <c r="D12" s="820">
        <f t="shared" ref="D12:F12" ca="1" si="0">SUM(D6:D11)</f>
        <v>9791.3313362992485</v>
      </c>
      <c r="E12" s="820">
        <f t="shared" ca="1" si="0"/>
        <v>10038.187652730336</v>
      </c>
      <c r="F12" s="820">
        <f t="shared" ca="1" si="0"/>
        <v>9746.9384583375304</v>
      </c>
      <c r="G12" s="813"/>
      <c r="H12" s="815"/>
      <c r="I12" s="825" t="s">
        <v>6731</v>
      </c>
      <c r="J12" s="826"/>
      <c r="K12" s="826"/>
      <c r="L12" s="826"/>
      <c r="M12" s="826"/>
      <c r="N12" s="813"/>
    </row>
    <row r="13" spans="2:14" ht="15">
      <c r="B13" s="827"/>
      <c r="C13" s="815"/>
      <c r="D13" s="815"/>
      <c r="E13" s="815"/>
      <c r="F13" s="815"/>
      <c r="G13" s="815"/>
      <c r="H13" s="815"/>
      <c r="I13" s="815" t="str">
        <f>I40</f>
        <v xml:space="preserve">SKY </v>
      </c>
      <c r="J13" s="828">
        <f t="shared" ref="J13:M17" si="1">J40/J$44</f>
        <v>0.17062394638641484</v>
      </c>
      <c r="K13" s="828">
        <f t="shared" si="1"/>
        <v>0.16840293086075911</v>
      </c>
      <c r="L13" s="828">
        <f t="shared" si="1"/>
        <v>0.14440924401683608</v>
      </c>
      <c r="M13" s="828">
        <f t="shared" si="1"/>
        <v>0.15621277060280725</v>
      </c>
      <c r="N13" s="815"/>
    </row>
    <row r="14" spans="2:14" ht="15">
      <c r="B14" s="825" t="s">
        <v>6732</v>
      </c>
      <c r="C14" s="813"/>
      <c r="D14" s="813"/>
      <c r="E14" s="813"/>
      <c r="F14" s="813"/>
      <c r="G14" s="813"/>
      <c r="H14" s="815"/>
      <c r="I14" s="813" t="str">
        <f>I41</f>
        <v>Cable</v>
      </c>
      <c r="J14" s="829">
        <f t="shared" si="1"/>
        <v>0.44350934190188657</v>
      </c>
      <c r="K14" s="829">
        <f t="shared" si="1"/>
        <v>0.4634116245469575</v>
      </c>
      <c r="L14" s="829">
        <f t="shared" si="1"/>
        <v>0.44687998416851699</v>
      </c>
      <c r="M14" s="829">
        <f t="shared" si="1"/>
        <v>0.48430837236809526</v>
      </c>
      <c r="N14" s="822"/>
    </row>
    <row r="15" spans="2:14" ht="15">
      <c r="B15" s="809" t="s">
        <v>200</v>
      </c>
      <c r="C15" s="818">
        <f>Master!U56/Master!U$92</f>
        <v>3755.6737941322731</v>
      </c>
      <c r="D15" s="818">
        <f>Master!V56/Master!V$92</f>
        <v>4167.6779661016953</v>
      </c>
      <c r="E15" s="818">
        <f>Master!W56/Master!W$92</f>
        <v>3774.4864442692488</v>
      </c>
      <c r="F15" s="818">
        <f>Master!X56/Master!X$92</f>
        <v>3682.1141953766755</v>
      </c>
      <c r="G15" s="830">
        <f>(F15/C15)^(1/2)-1</f>
        <v>-9.8415575078317774E-3</v>
      </c>
      <c r="H15" s="815"/>
      <c r="I15" s="815" t="str">
        <f>I42</f>
        <v>HQ/other</v>
      </c>
      <c r="J15" s="828">
        <f t="shared" si="1"/>
        <v>-2.0824304924341713E-2</v>
      </c>
      <c r="K15" s="828">
        <f t="shared" si="1"/>
        <v>-9.8225738539888634E-3</v>
      </c>
      <c r="L15" s="828">
        <f t="shared" si="1"/>
        <v>3.6993880648278903E-2</v>
      </c>
      <c r="M15" s="828">
        <f t="shared" si="1"/>
        <v>-5.5932755589853583E-2</v>
      </c>
      <c r="N15" s="830"/>
    </row>
    <row r="16" spans="2:14" ht="15">
      <c r="B16" s="813" t="s">
        <v>57</v>
      </c>
      <c r="C16" s="820">
        <f>Master!U73/Master!U$92</f>
        <v>1269.8175037294877</v>
      </c>
      <c r="D16" s="820">
        <f>Master!V73/Master!V$92</f>
        <v>1368.2542372881358</v>
      </c>
      <c r="E16" s="820">
        <f>Master!W73/Master!W$92</f>
        <v>1430.0751821749566</v>
      </c>
      <c r="F16" s="820">
        <f>Master!X73/Master!X$92</f>
        <v>1239.1815899571088</v>
      </c>
      <c r="G16" s="822">
        <f>(F16/C16)^(1/2)-1</f>
        <v>-1.2136767380132807E-2</v>
      </c>
      <c r="H16" s="830"/>
      <c r="I16" s="831" t="str">
        <f>I43</f>
        <v>TelevisaUnivision</v>
      </c>
      <c r="J16" s="832">
        <f t="shared" si="1"/>
        <v>0.40669101663604046</v>
      </c>
      <c r="K16" s="832">
        <f t="shared" si="1"/>
        <v>0.37800801844627224</v>
      </c>
      <c r="L16" s="832">
        <f t="shared" si="1"/>
        <v>0.37171689116636797</v>
      </c>
      <c r="M16" s="832">
        <f t="shared" si="1"/>
        <v>0.41541161261895104</v>
      </c>
      <c r="N16" s="822"/>
    </row>
    <row r="17" spans="2:14" ht="15">
      <c r="B17" s="809" t="s">
        <v>201</v>
      </c>
      <c r="C17" s="818">
        <f>Master!U90/Master!U$92</f>
        <v>856</v>
      </c>
      <c r="D17" s="818">
        <f>Master!V90/Master!V$92</f>
        <v>828.50000000000011</v>
      </c>
      <c r="E17" s="818">
        <f>Master!W90/Master!W$92</f>
        <v>755.25057349416227</v>
      </c>
      <c r="F17" s="818">
        <f>Master!X90/Master!X$92</f>
        <v>711.75373326126555</v>
      </c>
      <c r="G17" s="830">
        <f>(F17/C17)^(1/2)-1</f>
        <v>-8.8140358308177902E-2</v>
      </c>
      <c r="H17" s="830"/>
      <c r="I17" s="809" t="str">
        <f>I44</f>
        <v>Group Prop</v>
      </c>
      <c r="J17" s="828">
        <f t="shared" si="1"/>
        <v>1</v>
      </c>
      <c r="K17" s="828">
        <f t="shared" si="1"/>
        <v>1</v>
      </c>
      <c r="L17" s="828">
        <f t="shared" si="1"/>
        <v>1</v>
      </c>
      <c r="M17" s="828">
        <f t="shared" si="1"/>
        <v>1</v>
      </c>
      <c r="N17" s="830"/>
    </row>
    <row r="18" spans="2:14" ht="15">
      <c r="B18" s="813" t="s">
        <v>203</v>
      </c>
      <c r="C18" s="820">
        <f>C16-C17</f>
        <v>413.81750372948773</v>
      </c>
      <c r="D18" s="820">
        <f>D16-D17</f>
        <v>539.75423728813564</v>
      </c>
      <c r="E18" s="820">
        <f>E16-E17</f>
        <v>674.82460868079431</v>
      </c>
      <c r="F18" s="820">
        <f>F16-F17</f>
        <v>527.42785669584327</v>
      </c>
      <c r="G18" s="822">
        <f>(F18/C18)^(1/2)-1</f>
        <v>0.1289562276630476</v>
      </c>
      <c r="H18" s="830"/>
      <c r="I18" s="825" t="s">
        <v>6735</v>
      </c>
      <c r="J18" s="826"/>
      <c r="K18" s="826"/>
      <c r="L18" s="826"/>
      <c r="M18" s="826"/>
      <c r="N18" s="813"/>
    </row>
    <row r="19" spans="2:14" ht="15">
      <c r="B19" s="809" t="s">
        <v>194</v>
      </c>
      <c r="C19" s="818">
        <f>Master!U30/Master!U$92</f>
        <v>-634.06613625062175</v>
      </c>
      <c r="D19" s="818">
        <f>Master!V30/Master!V$92</f>
        <v>-578.29943502824847</v>
      </c>
      <c r="E19" s="818">
        <f ca="1">Master!W30/Master!W$92</f>
        <v>37.682002302488698</v>
      </c>
      <c r="F19" s="818">
        <f ca="1">Master!X30/Master!X$92</f>
        <v>-83.048212726169638</v>
      </c>
      <c r="G19" s="830"/>
      <c r="H19" s="815"/>
      <c r="I19" s="815" t="str">
        <f>I13</f>
        <v xml:space="preserve">SKY </v>
      </c>
      <c r="J19" s="828">
        <f t="shared" ref="J19:M23" si="2">J55/J$59</f>
        <v>0.11837760303064211</v>
      </c>
      <c r="K19" s="828">
        <f t="shared" si="2"/>
        <v>0.14954774527329634</v>
      </c>
      <c r="L19" s="828">
        <f t="shared" si="2"/>
        <v>0.12384243584084094</v>
      </c>
      <c r="M19" s="828">
        <f t="shared" si="2"/>
        <v>0.15345656155926385</v>
      </c>
      <c r="N19" s="815"/>
    </row>
    <row r="20" spans="2:14" ht="15">
      <c r="B20" s="817" t="s">
        <v>6723</v>
      </c>
      <c r="C20" s="814">
        <f>C19/C5</f>
        <v>-1.1058333630165471</v>
      </c>
      <c r="D20" s="814">
        <f>D19/D5</f>
        <v>-1.008574299282696</v>
      </c>
      <c r="E20" s="814">
        <f ca="1">E19/E5</f>
        <v>6.5718720728034294E-2</v>
      </c>
      <c r="F20" s="814">
        <f ca="1">F19/F5</f>
        <v>-0.14483896729535164</v>
      </c>
      <c r="G20" s="817"/>
      <c r="H20" s="830"/>
      <c r="I20" s="813" t="str">
        <f>I14</f>
        <v>Cable</v>
      </c>
      <c r="J20" s="829">
        <f t="shared" si="2"/>
        <v>0.27074979096033186</v>
      </c>
      <c r="K20" s="829">
        <f t="shared" si="2"/>
        <v>0.30885614527156596</v>
      </c>
      <c r="L20" s="829">
        <f t="shared" si="2"/>
        <v>0.29392054723111005</v>
      </c>
      <c r="M20" s="829">
        <f t="shared" si="2"/>
        <v>0.33944071429063954</v>
      </c>
      <c r="N20" s="822"/>
    </row>
    <row r="21" spans="2:14" ht="15">
      <c r="B21" s="809" t="s">
        <v>6722</v>
      </c>
      <c r="C21" s="833">
        <f>Master!U34</f>
        <v>1.764957264955</v>
      </c>
      <c r="D21" s="833">
        <f>Master!V34</f>
        <v>1.764957264955</v>
      </c>
      <c r="E21" s="833">
        <f>Master!W34</f>
        <v>1.764957264955</v>
      </c>
      <c r="F21" s="833">
        <f>Master!X34</f>
        <v>1.764957264955</v>
      </c>
      <c r="G21" s="809"/>
      <c r="H21" s="809"/>
      <c r="I21" s="815" t="str">
        <f>I15</f>
        <v>HQ/other</v>
      </c>
      <c r="J21" s="828">
        <f t="shared" si="2"/>
        <v>-3.6596227346649031E-2</v>
      </c>
      <c r="K21" s="828">
        <f t="shared" si="2"/>
        <v>-1.6176295313749926E-2</v>
      </c>
      <c r="L21" s="828">
        <f t="shared" si="2"/>
        <v>5.8474095752150179E-2</v>
      </c>
      <c r="M21" s="828">
        <f t="shared" si="2"/>
        <v>-9.0654613999172601E-2</v>
      </c>
      <c r="N21" s="830"/>
    </row>
    <row r="22" spans="2:14" ht="15">
      <c r="B22" s="817" t="s">
        <v>852</v>
      </c>
      <c r="C22" s="834">
        <f>C7/C16</f>
        <v>2.1189550607514169</v>
      </c>
      <c r="D22" s="834">
        <f>D7/D16</f>
        <v>2.3102390360928391</v>
      </c>
      <c r="E22" s="834">
        <f ca="1">E7/E16</f>
        <v>2.4182569210435143</v>
      </c>
      <c r="F22" s="834">
        <f ca="1">F7/F16</f>
        <v>2.7266836633775413</v>
      </c>
      <c r="G22" s="817"/>
      <c r="H22" s="809"/>
      <c r="I22" s="835" t="str">
        <f>I16</f>
        <v>TelevisaUnivision</v>
      </c>
      <c r="J22" s="832">
        <f t="shared" si="2"/>
        <v>0.64746883335567507</v>
      </c>
      <c r="K22" s="832">
        <f t="shared" si="2"/>
        <v>0.55777240476888756</v>
      </c>
      <c r="L22" s="832">
        <f t="shared" si="2"/>
        <v>0.52376292117589895</v>
      </c>
      <c r="M22" s="832">
        <f t="shared" si="2"/>
        <v>0.59775733814926935</v>
      </c>
      <c r="N22" s="836"/>
    </row>
    <row r="23" spans="2:14" ht="15">
      <c r="B23" s="809"/>
      <c r="C23" s="809"/>
      <c r="D23" s="809"/>
      <c r="E23" s="809"/>
      <c r="F23" s="809"/>
      <c r="G23" s="809"/>
      <c r="H23" s="815"/>
      <c r="I23" s="815" t="str">
        <f>I17</f>
        <v>Group Prop</v>
      </c>
      <c r="J23" s="828">
        <f t="shared" si="2"/>
        <v>1</v>
      </c>
      <c r="K23" s="828">
        <f t="shared" si="2"/>
        <v>1</v>
      </c>
      <c r="L23" s="828">
        <f t="shared" si="2"/>
        <v>1</v>
      </c>
      <c r="M23" s="828">
        <f t="shared" si="2"/>
        <v>1</v>
      </c>
      <c r="N23" s="830"/>
    </row>
    <row r="24" spans="2:14" ht="15">
      <c r="B24" s="825" t="s">
        <v>6733</v>
      </c>
      <c r="C24" s="820"/>
      <c r="D24" s="820"/>
      <c r="E24" s="820"/>
      <c r="F24" s="820"/>
      <c r="G24" s="837"/>
      <c r="H24" s="830"/>
      <c r="I24" s="817"/>
      <c r="J24" s="817"/>
      <c r="K24" s="817"/>
      <c r="L24" s="817"/>
      <c r="M24" s="817"/>
      <c r="N24" s="817"/>
    </row>
    <row r="25" spans="2:14" ht="15">
      <c r="B25" s="815" t="str">
        <f>B15</f>
        <v>Revenue</v>
      </c>
      <c r="C25" s="818">
        <f>C15+SOP!$C$13*VOD!F138</f>
        <v>5876.0737941322732</v>
      </c>
      <c r="D25" s="818">
        <f>D15+SOP!$C$13*VOD!G138</f>
        <v>6385.2779661016957</v>
      </c>
      <c r="E25" s="818">
        <f>E15+SOP!$C$13*VOD!H138</f>
        <v>6143.2169643338002</v>
      </c>
      <c r="F25" s="818">
        <f>F15+SOP!$C$13*VOD!I138</f>
        <v>6179.7838549983753</v>
      </c>
      <c r="G25" s="830">
        <f>(F25/C25)^(1/2)-1</f>
        <v>2.5517373183422842E-2</v>
      </c>
      <c r="H25" s="830"/>
      <c r="I25" s="838" t="s">
        <v>6736</v>
      </c>
      <c r="J25" s="818"/>
      <c r="K25" s="818"/>
      <c r="L25" s="818"/>
      <c r="M25" s="818"/>
      <c r="N25" s="830"/>
    </row>
    <row r="26" spans="2:14" ht="15">
      <c r="B26" s="813" t="str">
        <f>B16</f>
        <v>EBITDA</v>
      </c>
      <c r="C26" s="820">
        <f>C16+SOP!$C$13*VOD!F142</f>
        <v>2030.3175037294877</v>
      </c>
      <c r="D26" s="820">
        <f>D16+SOP!$C$13*VOD!G142</f>
        <v>2095.0942372881359</v>
      </c>
      <c r="E26" s="820">
        <f>E16+SOP!$C$13*VOD!H142</f>
        <v>2173.8773022395071</v>
      </c>
      <c r="F26" s="820">
        <f>F16+SOP!$C$13*VOD!I142</f>
        <v>1998.1778615788085</v>
      </c>
      <c r="G26" s="822">
        <f>(F26/C26)^(1/2)-1</f>
        <v>-7.9465035358341485E-3</v>
      </c>
      <c r="H26" s="815"/>
      <c r="I26" s="813" t="s">
        <v>3308</v>
      </c>
      <c r="J26" s="820">
        <f>'Cable cos'!Q105-'Cable cos'!P105</f>
        <v>335.04899999999998</v>
      </c>
      <c r="K26" s="820">
        <f>'Cable cos'!R105-'Cable cos'!Q105</f>
        <v>-305.72000000000025</v>
      </c>
      <c r="L26" s="820">
        <f>'Cable cos'!S105-'Cable cos'!R105</f>
        <v>102.19856749056908</v>
      </c>
      <c r="M26" s="820">
        <f>'Cable cos'!T105-'Cable cos'!S105</f>
        <v>117.1866763489752</v>
      </c>
      <c r="N26" s="822"/>
    </row>
    <row r="27" spans="2:14" ht="15">
      <c r="B27" s="815" t="str">
        <f>B17</f>
        <v>Capex</v>
      </c>
      <c r="C27" s="818">
        <f>C17+SOP!$C$13*VOD!F181</f>
        <v>927.55</v>
      </c>
      <c r="D27" s="818">
        <f>D17+SOP!$C$13*VOD!G181</f>
        <v>904.10000000000014</v>
      </c>
      <c r="E27" s="818">
        <f>E17+SOP!$C$13*VOD!H181</f>
        <v>836.00275031454464</v>
      </c>
      <c r="F27" s="818">
        <f>F17+SOP!$C$13*VOD!I181</f>
        <v>796.90156256655075</v>
      </c>
      <c r="G27" s="830">
        <f>(F27/C27)^(1/2)-1</f>
        <v>-7.3098309321544819E-2</v>
      </c>
      <c r="H27" s="815"/>
      <c r="I27" s="815" t="s">
        <v>1818</v>
      </c>
      <c r="J27" s="818">
        <f>'SKY Mex'!S10-'SKY Mex'!R10</f>
        <v>291.76000000000022</v>
      </c>
      <c r="K27" s="818">
        <f>'SKY Mex'!T10-'SKY Mex'!S10</f>
        <v>-398.72600000000011</v>
      </c>
      <c r="L27" s="818">
        <f>'SKY Mex'!U10-'SKY Mex'!T10</f>
        <v>45.505999999999858</v>
      </c>
      <c r="M27" s="818">
        <f>'SKY Mex'!V10-'SKY Mex'!U10</f>
        <v>-41.050000000000182</v>
      </c>
      <c r="N27" s="830"/>
    </row>
    <row r="28" spans="2:14" ht="15">
      <c r="B28" s="813" t="str">
        <f>B18</f>
        <v>OpFCF</v>
      </c>
      <c r="C28" s="839">
        <f>C26-C27</f>
        <v>1102.7675037294878</v>
      </c>
      <c r="D28" s="839">
        <f>D26-D27</f>
        <v>1190.9942372881358</v>
      </c>
      <c r="E28" s="839">
        <f>E26-E27</f>
        <v>1337.8745519249624</v>
      </c>
      <c r="F28" s="839">
        <f>F26-F27</f>
        <v>1201.2762990122578</v>
      </c>
      <c r="G28" s="822">
        <f>(F28/C28)^(1/2)-1</f>
        <v>4.3709110359806402E-2</v>
      </c>
      <c r="H28" s="815"/>
      <c r="I28" s="840" t="s">
        <v>3311</v>
      </c>
      <c r="J28" s="820">
        <f>'Cable cos'!Q62-'Cable cos'!P62</f>
        <v>616.45899999999983</v>
      </c>
      <c r="K28" s="820">
        <f>'Cable cos'!R62-'Cable cos'!Q62</f>
        <v>117.42100000000028</v>
      </c>
      <c r="L28" s="820">
        <f>'Cable cos'!S62-'Cable cos'!R62</f>
        <v>24.505171499999051</v>
      </c>
      <c r="M28" s="820">
        <f>'Cable cos'!T62-'Cable cos'!S62</f>
        <v>181.17183167999974</v>
      </c>
      <c r="N28" s="822"/>
    </row>
    <row r="29" spans="2:14" ht="15">
      <c r="B29" s="823" t="s">
        <v>469</v>
      </c>
      <c r="C29" s="841">
        <f>C28*0.72</f>
        <v>793.99260268523119</v>
      </c>
      <c r="D29" s="841">
        <f>D28*0.72</f>
        <v>857.51585084745773</v>
      </c>
      <c r="E29" s="841">
        <f>E28*0.72</f>
        <v>963.26967738597284</v>
      </c>
      <c r="F29" s="841">
        <f>F28*0.72</f>
        <v>864.91893528882565</v>
      </c>
      <c r="G29" s="842">
        <f>(F29/C29)^(1/2)-1</f>
        <v>4.3709110359806402E-2</v>
      </c>
      <c r="H29" s="809"/>
      <c r="I29" s="843" t="s">
        <v>1931</v>
      </c>
      <c r="J29" s="824">
        <f>Mobile!M8-Mobile!L8</f>
        <v>83.949000000000012</v>
      </c>
      <c r="K29" s="824">
        <f>Mobile!N8-Mobile!M8</f>
        <v>68</v>
      </c>
      <c r="L29" s="824">
        <f>Mobile!O8-Mobile!N8</f>
        <v>41.313736248006364</v>
      </c>
      <c r="M29" s="824">
        <f>Mobile!P8-Mobile!O8</f>
        <v>64.515283672514784</v>
      </c>
      <c r="N29" s="842"/>
    </row>
    <row r="30" spans="2:14" ht="15">
      <c r="B30" s="844" t="s">
        <v>6724</v>
      </c>
      <c r="C30" s="809"/>
      <c r="D30" s="809"/>
      <c r="E30" s="809"/>
      <c r="F30" s="809"/>
      <c r="G30" s="809"/>
      <c r="H30" s="809"/>
      <c r="I30" s="809"/>
      <c r="J30" s="809"/>
      <c r="K30" s="809"/>
      <c r="L30" s="809"/>
      <c r="M30" s="809"/>
      <c r="N30" s="809"/>
    </row>
    <row r="31" spans="2:14" ht="15">
      <c r="B31" s="844" t="s">
        <v>6730</v>
      </c>
      <c r="C31" s="809"/>
      <c r="D31" s="809"/>
      <c r="E31" s="809"/>
      <c r="F31" s="809"/>
      <c r="G31" s="809"/>
      <c r="H31" s="809"/>
      <c r="I31" s="809"/>
      <c r="J31" s="809"/>
      <c r="K31" s="809"/>
      <c r="L31" s="809"/>
      <c r="M31" s="809"/>
      <c r="N31" s="809"/>
    </row>
    <row r="39" spans="9:14" ht="15">
      <c r="I39" s="667" t="s">
        <v>6731</v>
      </c>
      <c r="J39" s="671"/>
      <c r="K39" s="671"/>
      <c r="L39" s="671"/>
      <c r="M39" s="671"/>
      <c r="N39" s="662"/>
    </row>
    <row r="40" spans="9:14" ht="15">
      <c r="I40" s="663" t="s">
        <v>3293</v>
      </c>
      <c r="J40" s="670">
        <f>Master!U67/Master!U$92*SOP!$C$5</f>
        <v>319.06166086524115</v>
      </c>
      <c r="K40" s="670">
        <f>Master!V67/Master!V$92*SOP!$C$5</f>
        <v>323.80790960451975</v>
      </c>
      <c r="L40" s="670">
        <f>Master!W67/Master!W$92*SOP!$C$5</f>
        <v>288.96158449944562</v>
      </c>
      <c r="M40" s="670">
        <f>Master!X67/Master!X$92*SOP!$C$5</f>
        <v>285.41549361063204</v>
      </c>
      <c r="N40" s="666">
        <f>(M40/J40)^(1/2)-1</f>
        <v>-5.4195313495983499E-2</v>
      </c>
    </row>
    <row r="41" spans="9:14" ht="15">
      <c r="I41" s="662" t="s">
        <v>16</v>
      </c>
      <c r="J41" s="664">
        <f>Master!U68/Master!U$92*SOP!$C$6</f>
        <v>829.3491636630722</v>
      </c>
      <c r="K41" s="664">
        <f>Master!V68/Master!V$92*SOP!$C$6</f>
        <v>891.05545054353126</v>
      </c>
      <c r="L41" s="664">
        <f>Master!W68/Master!W$92*SOP!$C$6</f>
        <v>894.20278587821554</v>
      </c>
      <c r="M41" s="664">
        <f>Master!X68/Master!X$92*SOP!$C$6</f>
        <v>884.87716225626957</v>
      </c>
      <c r="N41" s="668">
        <f>(M41/J41)^(1/2)-1</f>
        <v>3.2934511095936481E-2</v>
      </c>
    </row>
    <row r="42" spans="9:14" ht="15">
      <c r="I42" s="663" t="s">
        <v>6728</v>
      </c>
      <c r="J42" s="670">
        <f>(Master!U69+Master!U71+Master!U72)/Master!U$92</f>
        <v>-38.940825459970164</v>
      </c>
      <c r="K42" s="670">
        <f>(Master!V69+Master!V71+Master!V72)/Master!V$92</f>
        <v>-18.887005649717512</v>
      </c>
      <c r="L42" s="670">
        <f>(Master!W69+Master!W71+Master!W72)/Master!W$92</f>
        <v>74.024418877670811</v>
      </c>
      <c r="M42" s="670">
        <f>(Master!X69+Master!X71+Master!X72)/Master!X$92</f>
        <v>-102.19442996931272</v>
      </c>
      <c r="N42" s="666">
        <f>(M42/J42)^(1/2)-1</f>
        <v>0.61998515968917967</v>
      </c>
    </row>
    <row r="43" spans="9:14" ht="15">
      <c r="I43" s="672" t="s">
        <v>6713</v>
      </c>
      <c r="J43" s="665">
        <f>VOD!F142*SOP!$C$13</f>
        <v>760.5</v>
      </c>
      <c r="K43" s="665">
        <f>VOD!G142*SOP!$C$13</f>
        <v>726.84</v>
      </c>
      <c r="L43" s="665">
        <f>VOD!H142*SOP!$C$13</f>
        <v>743.80212006455042</v>
      </c>
      <c r="M43" s="665">
        <f>VOD!I142*SOP!$C$13</f>
        <v>758.99627162169975</v>
      </c>
      <c r="N43" s="668">
        <f>(M43/J43)^(1/2)-1</f>
        <v>-9.8913375446230134E-4</v>
      </c>
    </row>
    <row r="44" spans="9:14" ht="15">
      <c r="I44" s="669" t="s">
        <v>6729</v>
      </c>
      <c r="J44" s="670">
        <f>SUM(J40:J43)</f>
        <v>1869.969999068343</v>
      </c>
      <c r="K44" s="670">
        <f>SUM(K40:K43)</f>
        <v>1922.8163544983336</v>
      </c>
      <c r="L44" s="670">
        <f>SUM(L40:L43)</f>
        <v>2000.9909093198826</v>
      </c>
      <c r="M44" s="670">
        <f>SUM(M40:M43)</f>
        <v>1827.0944975192888</v>
      </c>
      <c r="N44" s="666">
        <f>(M44/J44)^(1/2)-1</f>
        <v>-1.1530700295703356E-2</v>
      </c>
    </row>
    <row r="47" spans="9:14" ht="15">
      <c r="I47" s="667" t="s">
        <v>6734</v>
      </c>
      <c r="J47" s="671"/>
      <c r="K47" s="671"/>
      <c r="L47" s="671"/>
      <c r="M47" s="671"/>
    </row>
    <row r="48" spans="9:14" ht="15">
      <c r="I48" s="663" t="s">
        <v>3293</v>
      </c>
      <c r="J48" s="670">
        <f>Master!U88/Master!U$92*SOP!$C$5</f>
        <v>193.1</v>
      </c>
      <c r="K48" s="670">
        <f>Master!V88/Master!V$92*SOP!$C$5</f>
        <v>149.19999999999999</v>
      </c>
      <c r="L48" s="670">
        <f>Master!W88/Master!W$92*SOP!$C$5</f>
        <v>132.18507983367857</v>
      </c>
      <c r="M48" s="670">
        <f>Master!X88/Master!X$92*SOP!$C$5</f>
        <v>112.42478589284453</v>
      </c>
    </row>
    <row r="49" spans="9:13" ht="15">
      <c r="I49" s="662" t="s">
        <v>16</v>
      </c>
      <c r="J49" s="664">
        <f>Master!U89/Master!U$92*SOP!$C$6</f>
        <v>541.25333746652052</v>
      </c>
      <c r="K49" s="664">
        <f>Master!V89/Master!V$92*SOP!$C$6</f>
        <v>530.44335441447197</v>
      </c>
      <c r="L49" s="664">
        <f>Master!W89/Master!W$92*SOP!$C$6</f>
        <v>522.11840517721305</v>
      </c>
      <c r="M49" s="664">
        <f>Master!X89/Master!X$92*SOP!$C$6</f>
        <v>502.22757857788281</v>
      </c>
    </row>
    <row r="50" spans="9:13" ht="15">
      <c r="I50" s="663" t="s">
        <v>6728</v>
      </c>
      <c r="J50" s="670">
        <v>0</v>
      </c>
      <c r="K50" s="670">
        <v>0</v>
      </c>
      <c r="L50" s="670">
        <v>0</v>
      </c>
      <c r="M50" s="670">
        <v>0</v>
      </c>
    </row>
    <row r="51" spans="9:13" ht="15">
      <c r="I51" s="672" t="s">
        <v>6713</v>
      </c>
      <c r="J51" s="665">
        <f>VOD!F181*SOP!$C$13</f>
        <v>71.55</v>
      </c>
      <c r="K51" s="665">
        <f>VOD!G181*SOP!$C$13</f>
        <v>75.600000000000009</v>
      </c>
      <c r="L51" s="665">
        <f>VOD!H181*SOP!$C$13</f>
        <v>80.752176820382402</v>
      </c>
      <c r="M51" s="665">
        <f>VOD!I181*SOP!$C$13</f>
        <v>85.147829305285228</v>
      </c>
    </row>
    <row r="52" spans="9:13" ht="15">
      <c r="I52" s="669" t="s">
        <v>6729</v>
      </c>
      <c r="J52" s="670">
        <f>SUM(J48:J51)</f>
        <v>805.9033374665205</v>
      </c>
      <c r="K52" s="670">
        <f>SUM(K48:K51)</f>
        <v>755.24335441447204</v>
      </c>
      <c r="L52" s="670">
        <f>SUM(L48:L51)</f>
        <v>735.05566183127394</v>
      </c>
      <c r="M52" s="670">
        <f>SUM(M48:M51)</f>
        <v>699.80019377601252</v>
      </c>
    </row>
    <row r="54" spans="9:13" ht="15">
      <c r="I54" s="667" t="s">
        <v>6735</v>
      </c>
      <c r="J54" s="671"/>
      <c r="K54" s="671"/>
      <c r="L54" s="671"/>
      <c r="M54" s="671"/>
    </row>
    <row r="55" spans="9:13" ht="15">
      <c r="I55" s="663" t="s">
        <v>3293</v>
      </c>
      <c r="J55" s="670">
        <f t="shared" ref="J55:M58" si="3">J40-J48</f>
        <v>125.96166086524116</v>
      </c>
      <c r="K55" s="670">
        <f t="shared" si="3"/>
        <v>174.60790960451976</v>
      </c>
      <c r="L55" s="670">
        <f t="shared" si="3"/>
        <v>156.77650466576705</v>
      </c>
      <c r="M55" s="670">
        <f t="shared" si="3"/>
        <v>172.99070771778753</v>
      </c>
    </row>
    <row r="56" spans="9:13" ht="15">
      <c r="I56" s="662" t="s">
        <v>16</v>
      </c>
      <c r="J56" s="664">
        <f t="shared" si="3"/>
        <v>288.09582619655168</v>
      </c>
      <c r="K56" s="664">
        <f t="shared" si="3"/>
        <v>360.6120961290593</v>
      </c>
      <c r="L56" s="664">
        <f t="shared" si="3"/>
        <v>372.08438070100249</v>
      </c>
      <c r="M56" s="664">
        <f t="shared" si="3"/>
        <v>382.64958367838676</v>
      </c>
    </row>
    <row r="57" spans="9:13" ht="15">
      <c r="I57" s="663" t="s">
        <v>6728</v>
      </c>
      <c r="J57" s="670">
        <f t="shared" si="3"/>
        <v>-38.940825459970164</v>
      </c>
      <c r="K57" s="670">
        <f t="shared" si="3"/>
        <v>-18.887005649717512</v>
      </c>
      <c r="L57" s="670">
        <f t="shared" si="3"/>
        <v>74.024418877670811</v>
      </c>
      <c r="M57" s="670">
        <f t="shared" si="3"/>
        <v>-102.19442996931272</v>
      </c>
    </row>
    <row r="58" spans="9:13" ht="15">
      <c r="I58" s="672" t="s">
        <v>6713</v>
      </c>
      <c r="J58" s="665">
        <f t="shared" si="3"/>
        <v>688.95</v>
      </c>
      <c r="K58" s="665">
        <f t="shared" si="3"/>
        <v>651.24</v>
      </c>
      <c r="L58" s="665">
        <f t="shared" si="3"/>
        <v>663.04994324416805</v>
      </c>
      <c r="M58" s="665">
        <f t="shared" si="3"/>
        <v>673.84844231641455</v>
      </c>
    </row>
    <row r="59" spans="9:13" ht="15">
      <c r="I59" s="669" t="s">
        <v>6729</v>
      </c>
      <c r="J59" s="670">
        <f>SUM(J55:J58)</f>
        <v>1064.0666616018227</v>
      </c>
      <c r="K59" s="670">
        <f>SUM(K55:K58)</f>
        <v>1167.5730000838616</v>
      </c>
      <c r="L59" s="670">
        <f>SUM(L55:L58)</f>
        <v>1265.9352474886082</v>
      </c>
      <c r="M59" s="670">
        <f>SUM(M55:M58)</f>
        <v>1127.294303743276</v>
      </c>
    </row>
  </sheetData>
  <pageMargins left="0.7" right="0.7" top="0.75" bottom="0.75" header="0.3" footer="0.3"/>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AE159"/>
  <sheetViews>
    <sheetView topLeftCell="A9" zoomScale="65" zoomScaleNormal="65" workbookViewId="0">
      <selection activeCell="X2" sqref="X2"/>
    </sheetView>
  </sheetViews>
  <sheetFormatPr defaultRowHeight="15" outlineLevelCol="1"/>
  <cols>
    <col min="2" max="2" width="21.42578125" bestFit="1" customWidth="1"/>
    <col min="3" max="14" width="9.140625" hidden="1" customWidth="1" outlineLevel="1"/>
    <col min="15" max="15" width="12.42578125" customWidth="1" collapsed="1"/>
    <col min="16" max="31" width="12.42578125" customWidth="1"/>
  </cols>
  <sheetData>
    <row r="2" spans="2:31" ht="15.75">
      <c r="B2" s="78" t="s">
        <v>510</v>
      </c>
      <c r="C2" s="78">
        <v>1997</v>
      </c>
      <c r="D2" s="78">
        <f t="shared" ref="D2:X2" si="0">C2+1</f>
        <v>1998</v>
      </c>
      <c r="E2" s="78">
        <f t="shared" si="0"/>
        <v>1999</v>
      </c>
      <c r="F2" s="78">
        <f t="shared" si="0"/>
        <v>2000</v>
      </c>
      <c r="G2" s="78">
        <f t="shared" si="0"/>
        <v>2001</v>
      </c>
      <c r="H2" s="78">
        <f t="shared" si="0"/>
        <v>2002</v>
      </c>
      <c r="I2" s="78">
        <f t="shared" si="0"/>
        <v>2003</v>
      </c>
      <c r="J2" s="78">
        <f t="shared" si="0"/>
        <v>2004</v>
      </c>
      <c r="K2" s="78">
        <f t="shared" si="0"/>
        <v>2005</v>
      </c>
      <c r="L2" s="78">
        <f t="shared" si="0"/>
        <v>2006</v>
      </c>
      <c r="M2" s="78">
        <f t="shared" si="0"/>
        <v>2007</v>
      </c>
      <c r="N2" s="78">
        <f t="shared" si="0"/>
        <v>2008</v>
      </c>
      <c r="O2" s="78">
        <f t="shared" si="0"/>
        <v>2009</v>
      </c>
      <c r="P2" s="78">
        <f t="shared" si="0"/>
        <v>2010</v>
      </c>
      <c r="Q2" s="78">
        <f t="shared" si="0"/>
        <v>2011</v>
      </c>
      <c r="R2" s="78">
        <f t="shared" si="0"/>
        <v>2012</v>
      </c>
      <c r="S2" s="78">
        <f t="shared" si="0"/>
        <v>2013</v>
      </c>
      <c r="T2" s="78">
        <f t="shared" si="0"/>
        <v>2014</v>
      </c>
      <c r="U2" s="78">
        <f t="shared" si="0"/>
        <v>2015</v>
      </c>
      <c r="V2" s="78">
        <f t="shared" si="0"/>
        <v>2016</v>
      </c>
      <c r="W2" s="78">
        <f t="shared" si="0"/>
        <v>2017</v>
      </c>
      <c r="X2" s="78">
        <f t="shared" si="0"/>
        <v>2018</v>
      </c>
      <c r="Y2" s="78">
        <f t="shared" ref="Y2:AE2" si="1">X2+1</f>
        <v>2019</v>
      </c>
      <c r="Z2" s="78">
        <f t="shared" si="1"/>
        <v>2020</v>
      </c>
      <c r="AA2" s="78">
        <f t="shared" si="1"/>
        <v>2021</v>
      </c>
      <c r="AB2" s="78">
        <f t="shared" si="1"/>
        <v>2022</v>
      </c>
      <c r="AC2" s="78">
        <f t="shared" si="1"/>
        <v>2023</v>
      </c>
      <c r="AD2" s="78">
        <f t="shared" si="1"/>
        <v>2024</v>
      </c>
      <c r="AE2" s="78">
        <f t="shared" si="1"/>
        <v>2025</v>
      </c>
    </row>
    <row r="3" spans="2:31" ht="15.75">
      <c r="B3" s="79"/>
      <c r="C3" s="79"/>
      <c r="D3" s="79"/>
      <c r="E3" s="79"/>
      <c r="F3" s="79"/>
      <c r="G3" s="79"/>
      <c r="H3" s="79"/>
      <c r="I3" s="79"/>
      <c r="J3" s="79"/>
      <c r="K3" s="79"/>
      <c r="L3" s="79"/>
      <c r="M3" s="79"/>
      <c r="N3" s="79"/>
      <c r="O3" s="79"/>
      <c r="P3" s="79"/>
      <c r="Q3" s="79"/>
      <c r="R3" s="390"/>
      <c r="S3" s="390"/>
      <c r="T3" s="390"/>
      <c r="U3" s="390"/>
      <c r="V3" s="390"/>
      <c r="W3" s="390"/>
      <c r="X3" s="390"/>
      <c r="Y3" s="390"/>
      <c r="Z3" s="390"/>
      <c r="AA3" s="390"/>
      <c r="AB3" s="390"/>
      <c r="AC3" s="390"/>
      <c r="AD3" s="390"/>
      <c r="AE3" s="390"/>
    </row>
    <row r="4" spans="2:31" ht="15.75">
      <c r="B4" s="79" t="s">
        <v>511</v>
      </c>
      <c r="C4" s="80"/>
      <c r="D4" s="80"/>
      <c r="E4" s="80"/>
      <c r="F4" s="80">
        <f>G4/(1+G5)</f>
        <v>99.126394981585889</v>
      </c>
      <c r="G4" s="80">
        <f>H4/(1+H5)</f>
        <v>100.61329090630967</v>
      </c>
      <c r="H4" s="80">
        <f>I4/(1+I5)</f>
        <v>102.09230628263242</v>
      </c>
      <c r="I4" s="80">
        <f>J4/(1+J5)</f>
        <v>103.55222626247406</v>
      </c>
      <c r="J4" s="80">
        <f>K4/(1+K5)</f>
        <v>104.77414253237126</v>
      </c>
      <c r="K4" s="81">
        <v>106</v>
      </c>
      <c r="L4" s="82">
        <f t="shared" ref="L4:X4" si="2">K4*(1+L5)</f>
        <v>107.16599999999998</v>
      </c>
      <c r="M4" s="82">
        <f t="shared" si="2"/>
        <v>108.34482599999997</v>
      </c>
      <c r="N4" s="82">
        <f t="shared" si="2"/>
        <v>109.53661908599996</v>
      </c>
      <c r="O4" s="82">
        <f t="shared" si="2"/>
        <v>110.74152189594595</v>
      </c>
      <c r="P4" s="82">
        <f t="shared" si="2"/>
        <v>111.95967863680134</v>
      </c>
      <c r="Q4" s="82">
        <f t="shared" si="2"/>
        <v>113.19123510180614</v>
      </c>
      <c r="R4" s="82">
        <f t="shared" si="2"/>
        <v>114.436338687926</v>
      </c>
      <c r="S4" s="82">
        <f t="shared" si="2"/>
        <v>115.69513841349317</v>
      </c>
      <c r="T4" s="82">
        <f t="shared" si="2"/>
        <v>116.96778493604158</v>
      </c>
      <c r="U4" s="82">
        <f t="shared" si="2"/>
        <v>118.25443057033803</v>
      </c>
      <c r="V4" s="82">
        <f t="shared" si="2"/>
        <v>119.55522930661174</v>
      </c>
      <c r="W4" s="82">
        <f t="shared" si="2"/>
        <v>120.87033682898445</v>
      </c>
      <c r="X4" s="82">
        <f t="shared" si="2"/>
        <v>122.19991053410327</v>
      </c>
      <c r="Y4" s="82">
        <f t="shared" ref="Y4:AE4" si="3">X4*(1+Y5)</f>
        <v>123.54410954997839</v>
      </c>
      <c r="Z4" s="82">
        <f t="shared" si="3"/>
        <v>124.90309475502814</v>
      </c>
      <c r="AA4" s="82">
        <f t="shared" si="3"/>
        <v>126.27702879733343</v>
      </c>
      <c r="AB4" s="82">
        <f t="shared" si="3"/>
        <v>127.66607611410409</v>
      </c>
      <c r="AC4" s="82">
        <f t="shared" si="3"/>
        <v>129.07040295135923</v>
      </c>
      <c r="AD4" s="82">
        <f t="shared" si="3"/>
        <v>130.49017738382418</v>
      </c>
      <c r="AE4" s="82">
        <f t="shared" si="3"/>
        <v>131.92556933504622</v>
      </c>
    </row>
    <row r="5" spans="2:31" ht="15.75">
      <c r="B5" s="79" t="s">
        <v>181</v>
      </c>
      <c r="C5" s="79"/>
      <c r="D5" s="83"/>
      <c r="E5" s="83"/>
      <c r="F5" s="84">
        <v>1.5299999999999999E-2</v>
      </c>
      <c r="G5" s="84">
        <v>1.4999999999999999E-2</v>
      </c>
      <c r="H5" s="84">
        <v>1.47E-2</v>
      </c>
      <c r="I5" s="84">
        <v>1.43E-2</v>
      </c>
      <c r="J5" s="84">
        <v>1.18E-2</v>
      </c>
      <c r="K5" s="84">
        <v>1.17E-2</v>
      </c>
      <c r="L5" s="84">
        <v>1.0999999999999999E-2</v>
      </c>
      <c r="M5" s="84">
        <v>1.0999999999999999E-2</v>
      </c>
      <c r="N5" s="84">
        <v>1.0999999999999999E-2</v>
      </c>
      <c r="O5" s="84">
        <v>1.0999999999999999E-2</v>
      </c>
      <c r="P5" s="84">
        <v>1.0999999999999999E-2</v>
      </c>
      <c r="Q5" s="84">
        <v>1.0999999999999999E-2</v>
      </c>
      <c r="R5" s="84">
        <v>1.0999999999999999E-2</v>
      </c>
      <c r="S5" s="84">
        <v>1.0999999999999999E-2</v>
      </c>
      <c r="T5" s="84">
        <v>1.0999999999999999E-2</v>
      </c>
      <c r="U5" s="84">
        <v>1.0999999999999999E-2</v>
      </c>
      <c r="V5" s="84">
        <v>1.0999999999999999E-2</v>
      </c>
      <c r="W5" s="84">
        <v>1.0999999999999999E-2</v>
      </c>
      <c r="X5" s="84">
        <v>1.0999999999999999E-2</v>
      </c>
      <c r="Y5" s="84">
        <v>1.0999999999999999E-2</v>
      </c>
      <c r="Z5" s="84">
        <v>1.0999999999999999E-2</v>
      </c>
      <c r="AA5" s="84">
        <v>1.0999999999999999E-2</v>
      </c>
      <c r="AB5" s="84">
        <v>1.0999999999999999E-2</v>
      </c>
      <c r="AC5" s="84">
        <v>1.0999999999999999E-2</v>
      </c>
      <c r="AD5" s="84">
        <v>1.0999999999999999E-2</v>
      </c>
      <c r="AE5" s="84">
        <v>1.0999999999999999E-2</v>
      </c>
    </row>
    <row r="6" spans="2:31" ht="15.75">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row>
    <row r="7" spans="2:31" ht="15.75">
      <c r="B7" s="79" t="s">
        <v>512</v>
      </c>
      <c r="C7" s="64"/>
      <c r="D7" s="64"/>
      <c r="E7" s="64"/>
      <c r="F7" s="64"/>
      <c r="G7" s="64">
        <f t="shared" ref="G7:L7" si="4">G16</f>
        <v>22715</v>
      </c>
      <c r="H7" s="64">
        <f t="shared" si="4"/>
        <v>26365</v>
      </c>
      <c r="I7" s="64">
        <f t="shared" si="4"/>
        <v>30019</v>
      </c>
      <c r="J7" s="64">
        <f t="shared" si="4"/>
        <v>38189</v>
      </c>
      <c r="K7" s="64">
        <f t="shared" si="4"/>
        <v>46625</v>
      </c>
      <c r="L7" s="64">
        <f t="shared" si="4"/>
        <v>56716</v>
      </c>
      <c r="M7" s="64">
        <f t="shared" ref="M7:R7" si="5">M16</f>
        <v>68689</v>
      </c>
      <c r="N7" s="64">
        <f t="shared" si="5"/>
        <v>77935</v>
      </c>
      <c r="O7" s="64">
        <f t="shared" si="5"/>
        <v>83554</v>
      </c>
      <c r="P7" s="64">
        <f t="shared" si="5"/>
        <v>91911</v>
      </c>
      <c r="Q7" s="64">
        <f t="shared" si="5"/>
        <v>94521.4</v>
      </c>
      <c r="R7" s="64">
        <f t="shared" si="5"/>
        <v>100775.4495412844</v>
      </c>
      <c r="S7" s="64">
        <f>S16</f>
        <v>105103</v>
      </c>
      <c r="T7" s="64">
        <f>T8*T4*1000</f>
        <v>102750.09945191872</v>
      </c>
      <c r="U7" s="64">
        <f>U8*U4*1000</f>
        <v>103880.35054588984</v>
      </c>
      <c r="V7" s="64">
        <f>V8*V4*1000</f>
        <v>105023.03440189461</v>
      </c>
      <c r="W7" s="64">
        <f>W8*W4*1000</f>
        <v>106178.28778031544</v>
      </c>
      <c r="X7" s="64">
        <f>X8*X4*1000</f>
        <v>107346.24894589889</v>
      </c>
      <c r="Y7" s="64">
        <f t="shared" ref="Y7:AD7" si="6">Y8*Y4*1000</f>
        <v>108527.05768430377</v>
      </c>
      <c r="Z7" s="64">
        <f t="shared" si="6"/>
        <v>109720.85531883111</v>
      </c>
      <c r="AA7" s="64">
        <f t="shared" si="6"/>
        <v>110927.78472733824</v>
      </c>
      <c r="AB7" s="64">
        <f t="shared" si="6"/>
        <v>112147.99035933893</v>
      </c>
      <c r="AC7" s="64">
        <f t="shared" si="6"/>
        <v>113381.61825329166</v>
      </c>
      <c r="AD7" s="64">
        <f t="shared" si="6"/>
        <v>114628.81605407788</v>
      </c>
      <c r="AE7" s="64">
        <f>AE8*AE4*1000</f>
        <v>115889.73303067269</v>
      </c>
    </row>
    <row r="8" spans="2:31" ht="15.75">
      <c r="B8" s="79" t="s">
        <v>513</v>
      </c>
      <c r="C8" s="83"/>
      <c r="D8" s="83"/>
      <c r="E8" s="83"/>
      <c r="F8" s="83"/>
      <c r="G8" s="83">
        <f t="shared" ref="G8:P8" si="7">G7/1000/G4</f>
        <v>0.22576540132408585</v>
      </c>
      <c r="H8" s="83">
        <f t="shared" si="7"/>
        <v>0.25824668831568082</v>
      </c>
      <c r="I8" s="83">
        <f t="shared" si="7"/>
        <v>0.28989236719943395</v>
      </c>
      <c r="J8" s="83">
        <f t="shared" si="7"/>
        <v>0.36448878584905658</v>
      </c>
      <c r="K8" s="83">
        <f t="shared" si="7"/>
        <v>0.43985849056603776</v>
      </c>
      <c r="L8" s="83">
        <f t="shared" si="7"/>
        <v>0.52923501856932242</v>
      </c>
      <c r="M8" s="83">
        <f t="shared" si="7"/>
        <v>0.63398505065668764</v>
      </c>
      <c r="N8" s="83">
        <f t="shared" si="7"/>
        <v>0.71149722029316309</v>
      </c>
      <c r="O8" s="83">
        <f t="shared" si="7"/>
        <v>0.7544956811999417</v>
      </c>
      <c r="P8" s="83">
        <f t="shared" si="7"/>
        <v>0.82092947317364573</v>
      </c>
      <c r="Q8" s="83">
        <f>Q7/1000/Q4</f>
        <v>0.83505935698100497</v>
      </c>
      <c r="R8" s="83">
        <f>R7/1000/R4</f>
        <v>0.88062455245186089</v>
      </c>
      <c r="S8" s="83">
        <f>S7/1000/S4</f>
        <v>0.90844785218513691</v>
      </c>
      <c r="T8" s="83">
        <f t="shared" ref="T8:AE8" si="8">S8+T9</f>
        <v>0.87844785218513688</v>
      </c>
      <c r="U8" s="83">
        <f t="shared" si="8"/>
        <v>0.87844785218513688</v>
      </c>
      <c r="V8" s="83">
        <f t="shared" si="8"/>
        <v>0.87844785218513688</v>
      </c>
      <c r="W8" s="83">
        <f t="shared" si="8"/>
        <v>0.87844785218513688</v>
      </c>
      <c r="X8" s="83">
        <f t="shared" si="8"/>
        <v>0.87844785218513688</v>
      </c>
      <c r="Y8" s="83">
        <f t="shared" si="8"/>
        <v>0.87844785218513688</v>
      </c>
      <c r="Z8" s="83">
        <f t="shared" si="8"/>
        <v>0.87844785218513688</v>
      </c>
      <c r="AA8" s="83">
        <f t="shared" si="8"/>
        <v>0.87844785218513688</v>
      </c>
      <c r="AB8" s="83">
        <f t="shared" si="8"/>
        <v>0.87844785218513688</v>
      </c>
      <c r="AC8" s="83">
        <f t="shared" si="8"/>
        <v>0.87844785218513688</v>
      </c>
      <c r="AD8" s="83">
        <f t="shared" si="8"/>
        <v>0.87844785218513688</v>
      </c>
      <c r="AE8" s="83">
        <f t="shared" si="8"/>
        <v>0.87844785218513688</v>
      </c>
    </row>
    <row r="9" spans="2:31" ht="15.75">
      <c r="B9" s="79" t="s">
        <v>514</v>
      </c>
      <c r="C9" s="79"/>
      <c r="D9" s="83"/>
      <c r="E9" s="83"/>
      <c r="F9" s="83"/>
      <c r="G9" s="83"/>
      <c r="H9" s="83">
        <f t="shared" ref="H9:S9" si="9">H8-G8</f>
        <v>3.2481286991594971E-2</v>
      </c>
      <c r="I9" s="83">
        <f t="shared" si="9"/>
        <v>3.1645678883753137E-2</v>
      </c>
      <c r="J9" s="83">
        <f t="shared" si="9"/>
        <v>7.4596418649622631E-2</v>
      </c>
      <c r="K9" s="83">
        <f t="shared" si="9"/>
        <v>7.5369704716981178E-2</v>
      </c>
      <c r="L9" s="83">
        <f t="shared" si="9"/>
        <v>8.9376528003284661E-2</v>
      </c>
      <c r="M9" s="83">
        <f t="shared" si="9"/>
        <v>0.10475003208736522</v>
      </c>
      <c r="N9" s="83">
        <f t="shared" si="9"/>
        <v>7.7512169636475448E-2</v>
      </c>
      <c r="O9" s="83">
        <f t="shared" si="9"/>
        <v>4.2998460906778613E-2</v>
      </c>
      <c r="P9" s="83">
        <f t="shared" si="9"/>
        <v>6.6433791973704026E-2</v>
      </c>
      <c r="Q9" s="83">
        <f t="shared" si="9"/>
        <v>1.4129883807359245E-2</v>
      </c>
      <c r="R9" s="83">
        <f t="shared" si="9"/>
        <v>4.5565195470855913E-2</v>
      </c>
      <c r="S9" s="83">
        <f t="shared" si="9"/>
        <v>2.7823299733276019E-2</v>
      </c>
      <c r="T9" s="84">
        <v>-0.03</v>
      </c>
      <c r="U9" s="84">
        <v>0</v>
      </c>
      <c r="V9" s="84">
        <v>0</v>
      </c>
      <c r="W9" s="84">
        <v>0</v>
      </c>
      <c r="X9" s="84">
        <v>0</v>
      </c>
      <c r="Y9" s="84">
        <v>0</v>
      </c>
      <c r="Z9" s="84">
        <v>0</v>
      </c>
      <c r="AA9" s="84">
        <v>0</v>
      </c>
      <c r="AB9" s="84">
        <v>0</v>
      </c>
      <c r="AC9" s="84">
        <v>0</v>
      </c>
      <c r="AD9" s="84">
        <v>0</v>
      </c>
      <c r="AE9" s="84">
        <v>0</v>
      </c>
    </row>
    <row r="10" spans="2:31" ht="15.75">
      <c r="B10" s="79"/>
      <c r="C10" s="79"/>
      <c r="D10" s="79"/>
      <c r="E10" s="79"/>
      <c r="F10" s="79"/>
      <c r="G10" s="79"/>
      <c r="H10" s="79"/>
      <c r="I10" s="79"/>
      <c r="J10" s="79"/>
      <c r="K10" s="79"/>
      <c r="L10" s="79"/>
      <c r="M10" s="79"/>
      <c r="N10" s="79"/>
      <c r="O10" s="79"/>
      <c r="P10" s="79"/>
      <c r="Q10" s="79"/>
      <c r="R10" s="98"/>
      <c r="S10" s="98"/>
      <c r="T10" s="79"/>
      <c r="U10" s="79"/>
      <c r="V10" s="79"/>
      <c r="W10" s="79"/>
      <c r="X10" s="79"/>
      <c r="Y10" s="79"/>
      <c r="Z10" s="79"/>
      <c r="AA10" s="79"/>
      <c r="AB10" s="79"/>
      <c r="AC10" s="79"/>
      <c r="AD10" s="79"/>
      <c r="AE10" s="79"/>
    </row>
    <row r="11" spans="2:31" ht="15.75">
      <c r="B11" s="79" t="s">
        <v>515</v>
      </c>
      <c r="C11" s="85">
        <v>1113</v>
      </c>
      <c r="D11" s="85">
        <v>2113</v>
      </c>
      <c r="E11" s="85">
        <v>5272</v>
      </c>
      <c r="F11" s="85">
        <v>10462</v>
      </c>
      <c r="G11" s="85">
        <v>16965</v>
      </c>
      <c r="H11" s="85">
        <v>20067</v>
      </c>
      <c r="I11" s="85">
        <v>23444</v>
      </c>
      <c r="J11" s="85">
        <v>28851</v>
      </c>
      <c r="K11" s="86">
        <v>35914</v>
      </c>
      <c r="L11" s="86">
        <v>43190</v>
      </c>
      <c r="M11" s="86">
        <v>50011</v>
      </c>
      <c r="N11" s="86">
        <v>56371</v>
      </c>
      <c r="O11" s="86">
        <v>59167</v>
      </c>
      <c r="P11" s="86">
        <v>64138</v>
      </c>
      <c r="Q11" s="86">
        <v>65678</v>
      </c>
      <c r="R11" s="228">
        <v>70366</v>
      </c>
      <c r="S11" s="228">
        <v>73505</v>
      </c>
      <c r="T11" s="87">
        <f t="shared" ref="T11:X14" si="10">T22*T$16</f>
        <v>70318.220266527685</v>
      </c>
      <c r="U11" s="87">
        <f t="shared" si="10"/>
        <v>69533.515431271153</v>
      </c>
      <c r="V11" s="87">
        <f t="shared" si="10"/>
        <v>68723.038584986702</v>
      </c>
      <c r="W11" s="87">
        <f t="shared" si="10"/>
        <v>67886.317692716824</v>
      </c>
      <c r="X11" s="87">
        <f t="shared" si="10"/>
        <v>67022.873453148204</v>
      </c>
      <c r="Y11" s="87">
        <f t="shared" ref="Y11:AD11" si="11">Y22*Y$16</f>
        <v>66240.746253552585</v>
      </c>
      <c r="Z11" s="87">
        <f t="shared" si="11"/>
        <v>65433.302487878012</v>
      </c>
      <c r="AA11" s="87">
        <f t="shared" si="11"/>
        <v>64600.079829061928</v>
      </c>
      <c r="AB11" s="87">
        <f t="shared" si="11"/>
        <v>63740.608842150854</v>
      </c>
      <c r="AC11" s="87">
        <f t="shared" si="11"/>
        <v>62854.412883868426</v>
      </c>
      <c r="AD11" s="87">
        <f t="shared" si="11"/>
        <v>61941.008000833892</v>
      </c>
      <c r="AE11" s="87">
        <f>AE22*AE$16</f>
        <v>60999.902826413621</v>
      </c>
    </row>
    <row r="12" spans="2:31" ht="15.75">
      <c r="B12" s="79" t="s">
        <v>50</v>
      </c>
      <c r="C12" s="88"/>
      <c r="D12" s="88"/>
      <c r="E12" s="88"/>
      <c r="F12" s="88"/>
      <c r="G12" s="85">
        <v>1855</v>
      </c>
      <c r="H12" s="85">
        <v>2081</v>
      </c>
      <c r="I12" s="85">
        <v>1276</v>
      </c>
      <c r="J12" s="85">
        <v>1460</v>
      </c>
      <c r="K12" s="85">
        <v>1800</v>
      </c>
      <c r="L12" s="86">
        <v>2123</v>
      </c>
      <c r="M12" s="86">
        <v>4000</v>
      </c>
      <c r="N12" s="86">
        <v>3507</v>
      </c>
      <c r="O12" s="86">
        <v>4000</v>
      </c>
      <c r="P12" s="86">
        <v>4750</v>
      </c>
      <c r="Q12" s="86">
        <v>5406</v>
      </c>
      <c r="R12" s="228">
        <f>S12/1.09</f>
        <v>7339.4495412844035</v>
      </c>
      <c r="S12" s="86">
        <v>8000</v>
      </c>
      <c r="T12" s="87">
        <f t="shared" si="10"/>
        <v>8797.0330132436975</v>
      </c>
      <c r="U12" s="87">
        <f t="shared" si="10"/>
        <v>9309.3217785729394</v>
      </c>
      <c r="V12" s="87">
        <f t="shared" si="10"/>
        <v>11512.185006175132</v>
      </c>
      <c r="W12" s="87">
        <f t="shared" si="10"/>
        <v>13762.384796849366</v>
      </c>
      <c r="X12" s="87">
        <f t="shared" si="10"/>
        <v>16060.696008532683</v>
      </c>
      <c r="Y12" s="87">
        <f t="shared" ref="Y12:AD12" si="12">Y23*Y$16</f>
        <v>18407.904818312614</v>
      </c>
      <c r="Z12" s="87">
        <f t="shared" si="12"/>
        <v>20804.808877690673</v>
      </c>
      <c r="AA12" s="87">
        <f t="shared" si="12"/>
        <v>22697.578546255343</v>
      </c>
      <c r="AB12" s="87">
        <f t="shared" si="12"/>
        <v>24629.471765654234</v>
      </c>
      <c r="AC12" s="87">
        <f t="shared" si="12"/>
        <v>26601.120228875807</v>
      </c>
      <c r="AD12" s="87">
        <f t="shared" si="12"/>
        <v>26893.732551393441</v>
      </c>
      <c r="AE12" s="87">
        <f>AE23*AE$16</f>
        <v>27189.563609458761</v>
      </c>
    </row>
    <row r="13" spans="2:31" ht="15.75">
      <c r="B13" s="79" t="s">
        <v>516</v>
      </c>
      <c r="C13" s="88"/>
      <c r="D13" s="88"/>
      <c r="E13" s="88"/>
      <c r="F13" s="88"/>
      <c r="G13" s="85">
        <v>2768</v>
      </c>
      <c r="H13" s="85">
        <v>2419</v>
      </c>
      <c r="I13" s="85">
        <v>3454</v>
      </c>
      <c r="J13" s="85">
        <v>5639</v>
      </c>
      <c r="K13" s="85">
        <v>6367</v>
      </c>
      <c r="L13" s="86">
        <v>8551</v>
      </c>
      <c r="M13" s="86">
        <v>12538</v>
      </c>
      <c r="N13" s="86">
        <v>15331</v>
      </c>
      <c r="O13" s="86">
        <v>17400</v>
      </c>
      <c r="P13" s="86">
        <v>19662</v>
      </c>
      <c r="Q13" s="86">
        <v>19742.400000000001</v>
      </c>
      <c r="R13" s="228">
        <v>19168</v>
      </c>
      <c r="S13" s="228">
        <v>20333</v>
      </c>
      <c r="T13" s="87">
        <f t="shared" si="10"/>
        <v>20918.765634334693</v>
      </c>
      <c r="U13" s="87">
        <f t="shared" si="10"/>
        <v>21877.793481833451</v>
      </c>
      <c r="V13" s="87">
        <f t="shared" si="10"/>
        <v>21401.12296853973</v>
      </c>
      <c r="W13" s="87">
        <f t="shared" si="10"/>
        <v>20892.358004729205</v>
      </c>
      <c r="X13" s="87">
        <f t="shared" si="10"/>
        <v>20452.415428256907</v>
      </c>
      <c r="Y13" s="87">
        <f t="shared" ref="Y13:AD13" si="13">Y24*Y$16</f>
        <v>20026.229651861911</v>
      </c>
      <c r="Z13" s="87">
        <f t="shared" si="13"/>
        <v>19588.193046119406</v>
      </c>
      <c r="AA13" s="87">
        <f t="shared" si="13"/>
        <v>19692.735384899381</v>
      </c>
      <c r="AB13" s="87">
        <f t="shared" si="13"/>
        <v>19797.207483773931</v>
      </c>
      <c r="AC13" s="87">
        <f t="shared" si="13"/>
        <v>19901.595147842152</v>
      </c>
      <c r="AD13" s="87">
        <f t="shared" si="13"/>
        <v>21725.31611922551</v>
      </c>
      <c r="AE13" s="87">
        <f>AE24*AE$16</f>
        <v>23586.750858966403</v>
      </c>
    </row>
    <row r="14" spans="2:31" ht="15.75">
      <c r="B14" s="79" t="s">
        <v>517</v>
      </c>
      <c r="C14" s="89"/>
      <c r="D14" s="89"/>
      <c r="E14" s="89"/>
      <c r="F14" s="89"/>
      <c r="G14" s="90">
        <v>727</v>
      </c>
      <c r="H14" s="90">
        <v>1281</v>
      </c>
      <c r="I14" s="90">
        <v>1187</v>
      </c>
      <c r="J14" s="90">
        <v>1404</v>
      </c>
      <c r="K14" s="90">
        <v>1424</v>
      </c>
      <c r="L14" s="86">
        <v>1307</v>
      </c>
      <c r="M14" s="86">
        <v>0</v>
      </c>
      <c r="N14" s="86">
        <v>0</v>
      </c>
      <c r="O14" s="86">
        <v>0</v>
      </c>
      <c r="P14" s="86">
        <v>0</v>
      </c>
      <c r="Q14" s="86">
        <v>0</v>
      </c>
      <c r="R14" s="228">
        <v>0</v>
      </c>
      <c r="S14" s="228">
        <v>0</v>
      </c>
      <c r="T14" s="87">
        <f t="shared" si="10"/>
        <v>0</v>
      </c>
      <c r="U14" s="87">
        <f t="shared" si="10"/>
        <v>0</v>
      </c>
      <c r="V14" s="87">
        <f t="shared" si="10"/>
        <v>0</v>
      </c>
      <c r="W14" s="87">
        <f t="shared" si="10"/>
        <v>0</v>
      </c>
      <c r="X14" s="87">
        <f t="shared" si="10"/>
        <v>0</v>
      </c>
      <c r="Y14" s="87">
        <f t="shared" ref="Y14:AD14" si="14">Y25*Y$16</f>
        <v>0</v>
      </c>
      <c r="Z14" s="87">
        <f t="shared" si="14"/>
        <v>0</v>
      </c>
      <c r="AA14" s="87">
        <f t="shared" si="14"/>
        <v>0</v>
      </c>
      <c r="AB14" s="87">
        <f t="shared" si="14"/>
        <v>0</v>
      </c>
      <c r="AC14" s="87">
        <f t="shared" si="14"/>
        <v>0</v>
      </c>
      <c r="AD14" s="87">
        <f t="shared" si="14"/>
        <v>0</v>
      </c>
      <c r="AE14" s="87">
        <f>AE25*AE$16</f>
        <v>0</v>
      </c>
    </row>
    <row r="15" spans="2:31" ht="15.75">
      <c r="B15" s="91" t="s">
        <v>518</v>
      </c>
      <c r="C15" s="92"/>
      <c r="D15" s="92"/>
      <c r="E15" s="92"/>
      <c r="F15" s="92"/>
      <c r="G15" s="93">
        <v>400</v>
      </c>
      <c r="H15" s="93">
        <v>517</v>
      </c>
      <c r="I15" s="93">
        <v>658</v>
      </c>
      <c r="J15" s="93">
        <v>835</v>
      </c>
      <c r="K15" s="93">
        <v>1120</v>
      </c>
      <c r="L15" s="94">
        <v>1545</v>
      </c>
      <c r="M15" s="94">
        <v>2140</v>
      </c>
      <c r="N15" s="94">
        <v>2726</v>
      </c>
      <c r="O15" s="94">
        <v>2987</v>
      </c>
      <c r="P15" s="94">
        <v>3361</v>
      </c>
      <c r="Q15" s="94">
        <v>3695</v>
      </c>
      <c r="R15" s="229">
        <v>3902</v>
      </c>
      <c r="S15" s="229">
        <v>3265</v>
      </c>
      <c r="T15" s="229">
        <v>2716.0805378126406</v>
      </c>
      <c r="U15" s="229">
        <v>3159.7198542122974</v>
      </c>
      <c r="V15" s="229">
        <v>3386.6878421930405</v>
      </c>
      <c r="W15" s="229">
        <v>3637.2272860200483</v>
      </c>
      <c r="X15" s="229">
        <v>3810.2640559610913</v>
      </c>
      <c r="Y15" s="95">
        <f t="shared" ref="Y15:AD15" si="15">Y26*Y$16</f>
        <v>3852.1769605766635</v>
      </c>
      <c r="Z15" s="95">
        <f t="shared" si="15"/>
        <v>3894.5509071430065</v>
      </c>
      <c r="AA15" s="95">
        <f t="shared" si="15"/>
        <v>3937.3909671215793</v>
      </c>
      <c r="AB15" s="95">
        <f t="shared" si="15"/>
        <v>3980.7022677599157</v>
      </c>
      <c r="AC15" s="95">
        <f t="shared" si="15"/>
        <v>4024.4899927052747</v>
      </c>
      <c r="AD15" s="95">
        <f t="shared" si="15"/>
        <v>4068.7593826250331</v>
      </c>
      <c r="AE15" s="95">
        <f>AE26*AE$16</f>
        <v>4113.5157358339075</v>
      </c>
    </row>
    <row r="16" spans="2:31" ht="15.75">
      <c r="B16" s="96" t="s">
        <v>98</v>
      </c>
      <c r="C16" s="97"/>
      <c r="D16" s="97"/>
      <c r="E16" s="97"/>
      <c r="F16" s="97"/>
      <c r="G16" s="97">
        <f t="shared" ref="G16:O16" si="16">SUM(G11:G15)</f>
        <v>22715</v>
      </c>
      <c r="H16" s="97">
        <f t="shared" si="16"/>
        <v>26365</v>
      </c>
      <c r="I16" s="97">
        <f t="shared" si="16"/>
        <v>30019</v>
      </c>
      <c r="J16" s="97">
        <f t="shared" si="16"/>
        <v>38189</v>
      </c>
      <c r="K16" s="97">
        <f t="shared" si="16"/>
        <v>46625</v>
      </c>
      <c r="L16" s="97">
        <f t="shared" si="16"/>
        <v>56716</v>
      </c>
      <c r="M16" s="97">
        <f t="shared" si="16"/>
        <v>68689</v>
      </c>
      <c r="N16" s="97">
        <f t="shared" si="16"/>
        <v>77935</v>
      </c>
      <c r="O16" s="97">
        <f t="shared" si="16"/>
        <v>83554</v>
      </c>
      <c r="P16" s="97">
        <f>SUM(P11:P15)</f>
        <v>91911</v>
      </c>
      <c r="Q16" s="97">
        <f>SUM(Q11:Q15)</f>
        <v>94521.4</v>
      </c>
      <c r="R16" s="97">
        <f>SUM(R11:R15)</f>
        <v>100775.4495412844</v>
      </c>
      <c r="S16" s="97">
        <f>SUM(S11:S15)</f>
        <v>105103</v>
      </c>
      <c r="T16" s="97">
        <f>T7</f>
        <v>102750.09945191872</v>
      </c>
      <c r="U16" s="97">
        <f>U7</f>
        <v>103880.35054588984</v>
      </c>
      <c r="V16" s="97">
        <f>V7</f>
        <v>105023.03440189461</v>
      </c>
      <c r="W16" s="97">
        <f>W7</f>
        <v>106178.28778031544</v>
      </c>
      <c r="X16" s="97">
        <f>X7</f>
        <v>107346.24894589889</v>
      </c>
      <c r="Y16" s="97">
        <f t="shared" ref="Y16:AD16" si="17">Y7</f>
        <v>108527.05768430377</v>
      </c>
      <c r="Z16" s="97">
        <f t="shared" si="17"/>
        <v>109720.85531883111</v>
      </c>
      <c r="AA16" s="97">
        <f t="shared" si="17"/>
        <v>110927.78472733824</v>
      </c>
      <c r="AB16" s="97">
        <f t="shared" si="17"/>
        <v>112147.99035933893</v>
      </c>
      <c r="AC16" s="97">
        <f t="shared" si="17"/>
        <v>113381.61825329166</v>
      </c>
      <c r="AD16" s="97">
        <f t="shared" si="17"/>
        <v>114628.81605407788</v>
      </c>
      <c r="AE16" s="97">
        <f>AE7</f>
        <v>115889.73303067269</v>
      </c>
    </row>
    <row r="17" spans="2:31" ht="15.75">
      <c r="B17" s="79" t="s">
        <v>181</v>
      </c>
      <c r="C17" s="79"/>
      <c r="D17" s="83"/>
      <c r="E17" s="83"/>
      <c r="F17" s="83"/>
      <c r="G17" s="83"/>
      <c r="H17" s="83">
        <f t="shared" ref="H17:X17" si="18">H16/G16-1</f>
        <v>0.16068677085626248</v>
      </c>
      <c r="I17" s="83">
        <f t="shared" si="18"/>
        <v>0.13859283140527223</v>
      </c>
      <c r="J17" s="83">
        <f t="shared" si="18"/>
        <v>0.27216096472234241</v>
      </c>
      <c r="K17" s="83">
        <f t="shared" si="18"/>
        <v>0.22090130665898555</v>
      </c>
      <c r="L17" s="83">
        <f t="shared" si="18"/>
        <v>0.21642895442359245</v>
      </c>
      <c r="M17" s="83">
        <f t="shared" si="18"/>
        <v>0.21110445024331748</v>
      </c>
      <c r="N17" s="83">
        <f t="shared" si="18"/>
        <v>0.13460670558604715</v>
      </c>
      <c r="O17" s="83">
        <f t="shared" si="18"/>
        <v>7.2098543658176695E-2</v>
      </c>
      <c r="P17" s="83">
        <f t="shared" si="18"/>
        <v>0.10001914929267297</v>
      </c>
      <c r="Q17" s="83">
        <f t="shared" si="18"/>
        <v>2.8401388299550634E-2</v>
      </c>
      <c r="R17" s="83">
        <f t="shared" si="18"/>
        <v>6.6165434930972378E-2</v>
      </c>
      <c r="S17" s="83">
        <f t="shared" si="18"/>
        <v>4.2942507112734285E-2</v>
      </c>
      <c r="T17" s="83">
        <f t="shared" si="18"/>
        <v>-2.2386616443691221E-2</v>
      </c>
      <c r="U17" s="83">
        <f t="shared" si="18"/>
        <v>1.1000000000000121E-2</v>
      </c>
      <c r="V17" s="83">
        <f t="shared" si="18"/>
        <v>1.0999999999999677E-2</v>
      </c>
      <c r="W17" s="83">
        <f t="shared" si="18"/>
        <v>1.0999999999999899E-2</v>
      </c>
      <c r="X17" s="83">
        <f t="shared" si="18"/>
        <v>1.0999999999999677E-2</v>
      </c>
      <c r="Y17" s="83">
        <f t="shared" ref="Y17:AE17" si="19">Y16/X16-1</f>
        <v>1.0999999999999899E-2</v>
      </c>
      <c r="Z17" s="83">
        <f t="shared" si="19"/>
        <v>1.0999999999999899E-2</v>
      </c>
      <c r="AA17" s="83">
        <f t="shared" si="19"/>
        <v>1.0999999999999899E-2</v>
      </c>
      <c r="AB17" s="83">
        <f t="shared" si="19"/>
        <v>1.0999999999999677E-2</v>
      </c>
      <c r="AC17" s="83">
        <f t="shared" si="19"/>
        <v>1.0999999999999899E-2</v>
      </c>
      <c r="AD17" s="83">
        <f t="shared" si="19"/>
        <v>1.1000000000000121E-2</v>
      </c>
      <c r="AE17" s="83">
        <f t="shared" si="19"/>
        <v>1.0999999999999677E-2</v>
      </c>
    </row>
    <row r="18" spans="2:31" ht="15.75">
      <c r="B18" s="79" t="s">
        <v>519</v>
      </c>
      <c r="C18" s="79"/>
      <c r="D18" s="64"/>
      <c r="E18" s="64"/>
      <c r="F18" s="64"/>
      <c r="G18" s="64"/>
      <c r="H18" s="64">
        <f t="shared" ref="H18:X18" si="20">H16-G16</f>
        <v>3650</v>
      </c>
      <c r="I18" s="64">
        <f t="shared" si="20"/>
        <v>3654</v>
      </c>
      <c r="J18" s="64">
        <f t="shared" si="20"/>
        <v>8170</v>
      </c>
      <c r="K18" s="64">
        <f t="shared" si="20"/>
        <v>8436</v>
      </c>
      <c r="L18" s="64">
        <f t="shared" si="20"/>
        <v>10091</v>
      </c>
      <c r="M18" s="64">
        <f t="shared" si="20"/>
        <v>11973</v>
      </c>
      <c r="N18" s="64">
        <f t="shared" si="20"/>
        <v>9246</v>
      </c>
      <c r="O18" s="64">
        <f t="shared" si="20"/>
        <v>5619</v>
      </c>
      <c r="P18" s="64">
        <f t="shared" si="20"/>
        <v>8357</v>
      </c>
      <c r="Q18" s="64">
        <f t="shared" si="20"/>
        <v>2610.3999999999942</v>
      </c>
      <c r="R18" s="64">
        <f t="shared" si="20"/>
        <v>6254.0495412844029</v>
      </c>
      <c r="S18" s="64">
        <f t="shared" si="20"/>
        <v>4327.5504587156029</v>
      </c>
      <c r="T18" s="64">
        <f t="shared" si="20"/>
        <v>-2352.9005480812775</v>
      </c>
      <c r="U18" s="64">
        <f t="shared" si="20"/>
        <v>1130.251093971121</v>
      </c>
      <c r="V18" s="64">
        <f t="shared" si="20"/>
        <v>1142.6838560047618</v>
      </c>
      <c r="W18" s="64">
        <f t="shared" si="20"/>
        <v>1155.2533784208354</v>
      </c>
      <c r="X18" s="64">
        <f t="shared" si="20"/>
        <v>1167.9611655834451</v>
      </c>
      <c r="Y18" s="64">
        <f t="shared" ref="Y18:AE18" si="21">Y16-X16</f>
        <v>1180.8087384048849</v>
      </c>
      <c r="Z18" s="64">
        <f t="shared" si="21"/>
        <v>1193.7976345273346</v>
      </c>
      <c r="AA18" s="64">
        <f t="shared" si="21"/>
        <v>1206.9294085071306</v>
      </c>
      <c r="AB18" s="64">
        <f t="shared" si="21"/>
        <v>1220.2056320006959</v>
      </c>
      <c r="AC18" s="64">
        <f t="shared" si="21"/>
        <v>1233.6278939527256</v>
      </c>
      <c r="AD18" s="64">
        <f t="shared" si="21"/>
        <v>1247.1978007862199</v>
      </c>
      <c r="AE18" s="64">
        <f t="shared" si="21"/>
        <v>1260.9169765948172</v>
      </c>
    </row>
    <row r="19" spans="2:31" ht="15.75">
      <c r="B19" s="79" t="s">
        <v>523</v>
      </c>
      <c r="C19" s="79"/>
      <c r="D19" s="79"/>
      <c r="E19" s="79"/>
      <c r="F19" s="79"/>
      <c r="G19" s="79"/>
      <c r="H19" s="87">
        <f>AVERAGE(G12,H12)</f>
        <v>1968</v>
      </c>
      <c r="I19" s="87">
        <f t="shared" ref="I19:X19" si="22">AVERAGE(H12,I12)</f>
        <v>1678.5</v>
      </c>
      <c r="J19" s="87">
        <f t="shared" si="22"/>
        <v>1368</v>
      </c>
      <c r="K19" s="87">
        <f t="shared" si="22"/>
        <v>1630</v>
      </c>
      <c r="L19" s="87">
        <f t="shared" si="22"/>
        <v>1961.5</v>
      </c>
      <c r="M19" s="87">
        <f t="shared" si="22"/>
        <v>3061.5</v>
      </c>
      <c r="N19" s="87">
        <f t="shared" si="22"/>
        <v>3753.5</v>
      </c>
      <c r="O19" s="87">
        <f t="shared" si="22"/>
        <v>3753.5</v>
      </c>
      <c r="P19" s="87">
        <f t="shared" si="22"/>
        <v>4375</v>
      </c>
      <c r="Q19" s="87">
        <f t="shared" si="22"/>
        <v>5078</v>
      </c>
      <c r="R19" s="87">
        <f t="shared" si="22"/>
        <v>6372.7247706422022</v>
      </c>
      <c r="S19" s="87">
        <f t="shared" si="22"/>
        <v>7669.7247706422022</v>
      </c>
      <c r="T19" s="87">
        <f t="shared" si="22"/>
        <v>8398.5165066218487</v>
      </c>
      <c r="U19" s="87">
        <f t="shared" si="22"/>
        <v>9053.1773959083184</v>
      </c>
      <c r="V19" s="87">
        <f t="shared" si="22"/>
        <v>10410.753392374036</v>
      </c>
      <c r="W19" s="87">
        <f t="shared" si="22"/>
        <v>12637.284901512248</v>
      </c>
      <c r="X19" s="87">
        <f t="shared" si="22"/>
        <v>14911.540402691026</v>
      </c>
      <c r="Y19" s="87">
        <f t="shared" ref="Y19:AE19" si="23">AVERAGE(X12,Y12)</f>
        <v>17234.30041342265</v>
      </c>
      <c r="Z19" s="87">
        <f t="shared" si="23"/>
        <v>19606.356848001644</v>
      </c>
      <c r="AA19" s="87">
        <f t="shared" si="23"/>
        <v>21751.193711973006</v>
      </c>
      <c r="AB19" s="87">
        <f t="shared" si="23"/>
        <v>23663.525155954791</v>
      </c>
      <c r="AC19" s="87">
        <f t="shared" si="23"/>
        <v>25615.295997265021</v>
      </c>
      <c r="AD19" s="87">
        <f t="shared" si="23"/>
        <v>26747.426390134624</v>
      </c>
      <c r="AE19" s="87">
        <f t="shared" si="23"/>
        <v>27041.648080426101</v>
      </c>
    </row>
    <row r="20" spans="2:31" ht="15.75">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row>
    <row r="21" spans="2:31" ht="15.75">
      <c r="B21" s="96" t="s">
        <v>520</v>
      </c>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row>
    <row r="22" spans="2:31" ht="15.75">
      <c r="B22" s="79" t="s">
        <v>515</v>
      </c>
      <c r="C22" s="98"/>
      <c r="D22" s="98"/>
      <c r="E22" s="98"/>
      <c r="F22" s="98"/>
      <c r="G22" s="83">
        <f>G11/G$16</f>
        <v>0.74686330618534014</v>
      </c>
      <c r="H22" s="83">
        <f t="shared" ref="H22:Q22" si="24">H11/H$16</f>
        <v>0.76112270054997155</v>
      </c>
      <c r="I22" s="83">
        <f t="shared" si="24"/>
        <v>0.78097205103434486</v>
      </c>
      <c r="J22" s="83">
        <f t="shared" si="24"/>
        <v>0.75547932650763305</v>
      </c>
      <c r="K22" s="83">
        <f t="shared" si="24"/>
        <v>0.77027345844504025</v>
      </c>
      <c r="L22" s="83">
        <f t="shared" si="24"/>
        <v>0.7615135058889908</v>
      </c>
      <c r="M22" s="83">
        <f t="shared" si="24"/>
        <v>0.72807873167464954</v>
      </c>
      <c r="N22" s="83">
        <f t="shared" si="24"/>
        <v>0.72330788477577468</v>
      </c>
      <c r="O22" s="83">
        <f t="shared" si="24"/>
        <v>0.70812887473968933</v>
      </c>
      <c r="P22" s="83">
        <f t="shared" si="24"/>
        <v>0.69782724592268608</v>
      </c>
      <c r="Q22" s="83">
        <f t="shared" si="24"/>
        <v>0.69484793919683796</v>
      </c>
      <c r="R22" s="83">
        <f t="shared" ref="R22:S25" si="25">R11/R$16</f>
        <v>0.69824545879275246</v>
      </c>
      <c r="S22" s="83">
        <f t="shared" si="25"/>
        <v>0.69936157864190363</v>
      </c>
      <c r="T22" s="101">
        <f>S22-1.5%</f>
        <v>0.68436157864190361</v>
      </c>
      <c r="U22" s="101">
        <f>T22-1.5%</f>
        <v>0.6693615786419036</v>
      </c>
      <c r="V22" s="101">
        <f>U22-1.5%</f>
        <v>0.65436157864190359</v>
      </c>
      <c r="W22" s="101">
        <f>V22-1.5%</f>
        <v>0.63936157864190357</v>
      </c>
      <c r="X22" s="101">
        <f>W22-1.5%</f>
        <v>0.62436157864190356</v>
      </c>
      <c r="Y22" s="101">
        <f>X22-1.4%</f>
        <v>0.61036157864190355</v>
      </c>
      <c r="Z22" s="101">
        <f t="shared" ref="Z22:AE22" si="26">Y22-1.4%</f>
        <v>0.59636157864190353</v>
      </c>
      <c r="AA22" s="101">
        <f t="shared" si="26"/>
        <v>0.58236157864190352</v>
      </c>
      <c r="AB22" s="101">
        <f t="shared" si="26"/>
        <v>0.56836157864190351</v>
      </c>
      <c r="AC22" s="101">
        <f t="shared" si="26"/>
        <v>0.5543615786419035</v>
      </c>
      <c r="AD22" s="101">
        <f t="shared" si="26"/>
        <v>0.54036157864190348</v>
      </c>
      <c r="AE22" s="101">
        <f t="shared" si="26"/>
        <v>0.52636157864190347</v>
      </c>
    </row>
    <row r="23" spans="2:31" ht="15.75">
      <c r="B23" s="79" t="s">
        <v>50</v>
      </c>
      <c r="C23" s="98"/>
      <c r="D23" s="98"/>
      <c r="E23" s="98"/>
      <c r="F23" s="98"/>
      <c r="G23" s="83">
        <f t="shared" ref="G23:Q23" si="27">G12/G$16</f>
        <v>8.1664098613251149E-2</v>
      </c>
      <c r="H23" s="83">
        <f t="shared" si="27"/>
        <v>7.893040015171629E-2</v>
      </c>
      <c r="I23" s="83">
        <f t="shared" si="27"/>
        <v>4.2506412605349944E-2</v>
      </c>
      <c r="J23" s="83">
        <f t="shared" si="27"/>
        <v>3.8230904187069578E-2</v>
      </c>
      <c r="K23" s="83">
        <f t="shared" si="27"/>
        <v>3.8605898123324399E-2</v>
      </c>
      <c r="L23" s="83">
        <f t="shared" si="27"/>
        <v>3.7432117920868889E-2</v>
      </c>
      <c r="M23" s="83">
        <f t="shared" si="27"/>
        <v>5.8233487166795266E-2</v>
      </c>
      <c r="N23" s="83">
        <f t="shared" si="27"/>
        <v>4.4999037659588119E-2</v>
      </c>
      <c r="O23" s="83">
        <f t="shared" si="27"/>
        <v>4.7873231682504729E-2</v>
      </c>
      <c r="P23" s="83">
        <f t="shared" si="27"/>
        <v>5.1680429981177445E-2</v>
      </c>
      <c r="Q23" s="83">
        <f t="shared" si="27"/>
        <v>5.7193397474011178E-2</v>
      </c>
      <c r="R23" s="83">
        <f t="shared" si="25"/>
        <v>7.2829737547116288E-2</v>
      </c>
      <c r="S23" s="83">
        <f t="shared" si="25"/>
        <v>7.6115810205227258E-2</v>
      </c>
      <c r="T23" s="101">
        <f>S23+0.95%</f>
        <v>8.5615810205227252E-2</v>
      </c>
      <c r="U23" s="101">
        <f>T23+0.4%</f>
        <v>8.9615810205227256E-2</v>
      </c>
      <c r="V23" s="101">
        <f>U23+2%</f>
        <v>0.10961581020522726</v>
      </c>
      <c r="W23" s="101">
        <f>V23+2%</f>
        <v>0.12961581020522725</v>
      </c>
      <c r="X23" s="101">
        <f>W23+2%</f>
        <v>0.14961581020522724</v>
      </c>
      <c r="Y23" s="101">
        <f>X23+2%</f>
        <v>0.16961581020522723</v>
      </c>
      <c r="Z23" s="101">
        <f>Y23+2%</f>
        <v>0.18961581020522722</v>
      </c>
      <c r="AA23" s="101">
        <f>Z23+1.5%</f>
        <v>0.20461581020522723</v>
      </c>
      <c r="AB23" s="101">
        <f>AA23+1.5%</f>
        <v>0.21961581020522725</v>
      </c>
      <c r="AC23" s="101">
        <f>AB23+1.5%</f>
        <v>0.23461581020522726</v>
      </c>
      <c r="AD23" s="101">
        <f>AC23</f>
        <v>0.23461581020522726</v>
      </c>
      <c r="AE23" s="101">
        <f>AD23</f>
        <v>0.23461581020522726</v>
      </c>
    </row>
    <row r="24" spans="2:31" ht="15.75">
      <c r="B24" s="79" t="s">
        <v>516</v>
      </c>
      <c r="C24" s="98"/>
      <c r="D24" s="98"/>
      <c r="E24" s="98"/>
      <c r="F24" s="98"/>
      <c r="G24" s="83">
        <f t="shared" ref="G24:Q24" si="28">G13/G$16</f>
        <v>0.12185780321373542</v>
      </c>
      <c r="H24" s="83">
        <f t="shared" si="28"/>
        <v>9.1750426702067137E-2</v>
      </c>
      <c r="I24" s="83">
        <f t="shared" si="28"/>
        <v>0.1150604617075852</v>
      </c>
      <c r="J24" s="83">
        <f t="shared" si="28"/>
        <v>0.14766032103485296</v>
      </c>
      <c r="K24" s="83">
        <f t="shared" si="28"/>
        <v>0.13655764075067023</v>
      </c>
      <c r="L24" s="83">
        <f t="shared" si="28"/>
        <v>0.15076874250652372</v>
      </c>
      <c r="M24" s="83">
        <f t="shared" si="28"/>
        <v>0.18253286552431977</v>
      </c>
      <c r="N24" s="83">
        <f t="shared" si="28"/>
        <v>0.19671521139411047</v>
      </c>
      <c r="O24" s="83">
        <f t="shared" si="28"/>
        <v>0.20824855781889556</v>
      </c>
      <c r="P24" s="83">
        <f t="shared" si="28"/>
        <v>0.21392433985050754</v>
      </c>
      <c r="Q24" s="83">
        <f t="shared" si="28"/>
        <v>0.20886698673527904</v>
      </c>
      <c r="R24" s="83">
        <f t="shared" si="25"/>
        <v>0.19020505576755078</v>
      </c>
      <c r="S24" s="83">
        <f t="shared" si="25"/>
        <v>0.19345784611286071</v>
      </c>
      <c r="T24" s="83">
        <f>T27-T22-T23-T25-T26</f>
        <v>0.20358876289091576</v>
      </c>
      <c r="U24" s="83">
        <f>U27-U22-U23-U25-U26</f>
        <v>0.2106056955609597</v>
      </c>
      <c r="V24" s="83">
        <f>V27-V22-V23-V25-V26</f>
        <v>0.20377551544210243</v>
      </c>
      <c r="W24" s="83">
        <f>W27-W22-W23-W25-W26</f>
        <v>0.19676676316306613</v>
      </c>
      <c r="X24" s="83">
        <f>X27-X22-X23-X25-X26</f>
        <v>0.19052752778128892</v>
      </c>
      <c r="Y24" s="83">
        <f t="shared" ref="Y24:AD24" si="29">Y27-Y22-Y23-Y25-Y26</f>
        <v>0.18452752778128895</v>
      </c>
      <c r="Z24" s="83">
        <f t="shared" si="29"/>
        <v>0.17852752778128897</v>
      </c>
      <c r="AA24" s="83">
        <f t="shared" si="29"/>
        <v>0.17752752778128897</v>
      </c>
      <c r="AB24" s="83">
        <f t="shared" si="29"/>
        <v>0.17652752778128897</v>
      </c>
      <c r="AC24" s="83">
        <f t="shared" si="29"/>
        <v>0.17552752778128897</v>
      </c>
      <c r="AD24" s="83">
        <f t="shared" si="29"/>
        <v>0.18952752778128898</v>
      </c>
      <c r="AE24" s="83">
        <f>AE27-AE22-AE23-AE25-AE26</f>
        <v>0.20352752778128899</v>
      </c>
    </row>
    <row r="25" spans="2:31" ht="15.75">
      <c r="B25" s="79" t="s">
        <v>517</v>
      </c>
      <c r="C25" s="98"/>
      <c r="D25" s="98"/>
      <c r="E25" s="98"/>
      <c r="F25" s="98"/>
      <c r="G25" s="83">
        <f t="shared" ref="G25:Q25" si="30">G14/G$16</f>
        <v>3.2005282852740478E-2</v>
      </c>
      <c r="H25" s="83">
        <f t="shared" si="30"/>
        <v>4.8587142044377016E-2</v>
      </c>
      <c r="I25" s="83">
        <f t="shared" si="30"/>
        <v>3.9541623638362368E-2</v>
      </c>
      <c r="J25" s="83">
        <f t="shared" si="30"/>
        <v>3.6764513341538137E-2</v>
      </c>
      <c r="K25" s="83">
        <f t="shared" si="30"/>
        <v>3.0541554959785524E-2</v>
      </c>
      <c r="L25" s="83">
        <f t="shared" si="30"/>
        <v>2.3044643486846744E-2</v>
      </c>
      <c r="M25" s="83">
        <f t="shared" si="30"/>
        <v>0</v>
      </c>
      <c r="N25" s="83">
        <f t="shared" si="30"/>
        <v>0</v>
      </c>
      <c r="O25" s="83">
        <f t="shared" si="30"/>
        <v>0</v>
      </c>
      <c r="P25" s="83">
        <f t="shared" si="30"/>
        <v>0</v>
      </c>
      <c r="Q25" s="83">
        <f t="shared" si="30"/>
        <v>0</v>
      </c>
      <c r="R25" s="83">
        <f t="shared" si="25"/>
        <v>0</v>
      </c>
      <c r="S25" s="83">
        <f t="shared" si="25"/>
        <v>0</v>
      </c>
      <c r="T25" s="101">
        <v>0</v>
      </c>
      <c r="U25" s="101">
        <v>0</v>
      </c>
      <c r="V25" s="101">
        <v>0</v>
      </c>
      <c r="W25" s="101">
        <v>0</v>
      </c>
      <c r="X25" s="101">
        <v>0</v>
      </c>
      <c r="Y25" s="101">
        <f>X25</f>
        <v>0</v>
      </c>
      <c r="Z25" s="101">
        <f t="shared" ref="Z25:AE26" si="31">Y25</f>
        <v>0</v>
      </c>
      <c r="AA25" s="101">
        <f t="shared" si="31"/>
        <v>0</v>
      </c>
      <c r="AB25" s="101">
        <f t="shared" si="31"/>
        <v>0</v>
      </c>
      <c r="AC25" s="101">
        <f t="shared" si="31"/>
        <v>0</v>
      </c>
      <c r="AD25" s="101">
        <f t="shared" si="31"/>
        <v>0</v>
      </c>
      <c r="AE25" s="101">
        <f t="shared" si="31"/>
        <v>0</v>
      </c>
    </row>
    <row r="26" spans="2:31" ht="15.75">
      <c r="B26" s="91" t="s">
        <v>518</v>
      </c>
      <c r="C26" s="99"/>
      <c r="D26" s="99"/>
      <c r="E26" s="99"/>
      <c r="F26" s="99"/>
      <c r="G26" s="100">
        <f t="shared" ref="G26:Q26" si="32">G15/G$16</f>
        <v>1.7609509134932862E-2</v>
      </c>
      <c r="H26" s="100">
        <f t="shared" si="32"/>
        <v>1.9609330551868007E-2</v>
      </c>
      <c r="I26" s="100">
        <f t="shared" si="32"/>
        <v>2.1919451014357574E-2</v>
      </c>
      <c r="J26" s="100">
        <f t="shared" si="32"/>
        <v>2.1864934928906229E-2</v>
      </c>
      <c r="K26" s="100">
        <f t="shared" si="32"/>
        <v>2.4021447721179624E-2</v>
      </c>
      <c r="L26" s="100">
        <f t="shared" si="32"/>
        <v>2.7240990196769871E-2</v>
      </c>
      <c r="M26" s="100">
        <f t="shared" si="32"/>
        <v>3.1154915634235468E-2</v>
      </c>
      <c r="N26" s="100">
        <f t="shared" si="32"/>
        <v>3.4977866170526721E-2</v>
      </c>
      <c r="O26" s="100">
        <f t="shared" si="32"/>
        <v>3.5749335758910407E-2</v>
      </c>
      <c r="P26" s="100">
        <f t="shared" si="32"/>
        <v>3.6567984245628925E-2</v>
      </c>
      <c r="Q26" s="100">
        <f t="shared" si="32"/>
        <v>3.9091676593871867E-2</v>
      </c>
      <c r="R26" s="100">
        <f t="shared" ref="R26:X26" si="33">R15/R$16</f>
        <v>3.8719747892580508E-2</v>
      </c>
      <c r="S26" s="100">
        <f t="shared" si="33"/>
        <v>3.1064765040008373E-2</v>
      </c>
      <c r="T26" s="100">
        <f t="shared" si="33"/>
        <v>2.6433848261953399E-2</v>
      </c>
      <c r="U26" s="100">
        <f t="shared" si="33"/>
        <v>3.0416915591909462E-2</v>
      </c>
      <c r="V26" s="100">
        <f t="shared" si="33"/>
        <v>3.2247095710766713E-2</v>
      </c>
      <c r="W26" s="100">
        <f t="shared" si="33"/>
        <v>3.4255847989803051E-2</v>
      </c>
      <c r="X26" s="100">
        <f t="shared" si="33"/>
        <v>3.549508337158027E-2</v>
      </c>
      <c r="Y26" s="102">
        <f>X26</f>
        <v>3.549508337158027E-2</v>
      </c>
      <c r="Z26" s="102">
        <f t="shared" si="31"/>
        <v>3.549508337158027E-2</v>
      </c>
      <c r="AA26" s="102">
        <f t="shared" si="31"/>
        <v>3.549508337158027E-2</v>
      </c>
      <c r="AB26" s="102">
        <f t="shared" si="31"/>
        <v>3.549508337158027E-2</v>
      </c>
      <c r="AC26" s="102">
        <f t="shared" si="31"/>
        <v>3.549508337158027E-2</v>
      </c>
      <c r="AD26" s="102">
        <f t="shared" si="31"/>
        <v>3.549508337158027E-2</v>
      </c>
      <c r="AE26" s="102">
        <f t="shared" si="31"/>
        <v>3.549508337158027E-2</v>
      </c>
    </row>
    <row r="27" spans="2:31" ht="15.75">
      <c r="B27" s="79" t="s">
        <v>98</v>
      </c>
      <c r="C27" s="98"/>
      <c r="D27" s="98"/>
      <c r="E27" s="98"/>
      <c r="F27" s="98"/>
      <c r="G27" s="98">
        <f t="shared" ref="G27:Q27" si="34">G16/G$16</f>
        <v>1</v>
      </c>
      <c r="H27" s="98">
        <f t="shared" si="34"/>
        <v>1</v>
      </c>
      <c r="I27" s="98">
        <f t="shared" si="34"/>
        <v>1</v>
      </c>
      <c r="J27" s="98">
        <f t="shared" si="34"/>
        <v>1</v>
      </c>
      <c r="K27" s="98">
        <f t="shared" si="34"/>
        <v>1</v>
      </c>
      <c r="L27" s="98">
        <f t="shared" si="34"/>
        <v>1</v>
      </c>
      <c r="M27" s="98">
        <f t="shared" si="34"/>
        <v>1</v>
      </c>
      <c r="N27" s="98">
        <f t="shared" si="34"/>
        <v>1</v>
      </c>
      <c r="O27" s="98">
        <f t="shared" si="34"/>
        <v>1</v>
      </c>
      <c r="P27" s="98">
        <f t="shared" si="34"/>
        <v>1</v>
      </c>
      <c r="Q27" s="98">
        <f t="shared" si="34"/>
        <v>1</v>
      </c>
      <c r="R27" s="98">
        <f>R16/R$16</f>
        <v>1</v>
      </c>
      <c r="S27" s="98">
        <f>S16/S$16</f>
        <v>1</v>
      </c>
      <c r="T27" s="98">
        <v>1</v>
      </c>
      <c r="U27" s="98">
        <v>1</v>
      </c>
      <c r="V27" s="98">
        <v>1</v>
      </c>
      <c r="W27" s="98">
        <v>1</v>
      </c>
      <c r="X27" s="98">
        <v>1</v>
      </c>
      <c r="Y27" s="98">
        <v>1</v>
      </c>
      <c r="Z27" s="98">
        <v>1</v>
      </c>
      <c r="AA27" s="98">
        <v>1</v>
      </c>
      <c r="AB27" s="98">
        <v>1</v>
      </c>
      <c r="AC27" s="98">
        <v>1</v>
      </c>
      <c r="AD27" s="98">
        <v>1</v>
      </c>
      <c r="AE27" s="98">
        <v>1</v>
      </c>
    </row>
    <row r="29" spans="2:31" ht="15.75">
      <c r="B29" s="79"/>
    </row>
    <row r="30" spans="2:31" ht="15.75">
      <c r="B30" s="79" t="s">
        <v>507</v>
      </c>
      <c r="G30" s="64">
        <f>G34*G32</f>
        <v>283.65000000000003</v>
      </c>
      <c r="H30" s="64">
        <f t="shared" ref="H30:P30" si="35">H34*H32</f>
        <v>246.45000000000002</v>
      </c>
      <c r="I30" s="64">
        <f t="shared" si="35"/>
        <v>272.8</v>
      </c>
      <c r="J30" s="64">
        <f t="shared" si="35"/>
        <v>300.7</v>
      </c>
      <c r="K30" s="64">
        <f t="shared" si="35"/>
        <v>297.60000000000002</v>
      </c>
      <c r="L30" s="64">
        <f t="shared" si="35"/>
        <v>292.95</v>
      </c>
      <c r="M30" s="64">
        <f t="shared" si="35"/>
        <v>285.2</v>
      </c>
      <c r="N30" s="64">
        <f t="shared" si="35"/>
        <v>269.7</v>
      </c>
      <c r="O30" s="64">
        <f t="shared" si="35"/>
        <v>251.1</v>
      </c>
      <c r="P30" s="64">
        <f t="shared" si="35"/>
        <v>239.25</v>
      </c>
      <c r="Q30" s="64">
        <f>Q34*(1+Q32)</f>
        <v>187.57999999999998</v>
      </c>
      <c r="R30" s="64">
        <f>R37/AVERAGE(Q12:R12)/12*1000</f>
        <v>193.20228698279794</v>
      </c>
      <c r="S30" s="64">
        <f>S37/AVERAGE(R12:S12)/12*1000</f>
        <v>180.84851475279106</v>
      </c>
      <c r="T30" s="64">
        <f>T34*(1+T32)</f>
        <v>169.30955511115101</v>
      </c>
      <c r="U30" s="64">
        <f>U34*(1+U32)</f>
        <v>166.5791615172883</v>
      </c>
      <c r="V30" s="64">
        <f>V34*(1+V32)</f>
        <v>166.13936904940036</v>
      </c>
      <c r="W30" s="64">
        <f>W34*(1+W32)</f>
        <v>160.11484315862819</v>
      </c>
      <c r="X30" s="64">
        <f>X34*(1+X32)</f>
        <v>158.39779817982202</v>
      </c>
      <c r="Y30" s="64">
        <f t="shared" ref="Y30:AD30" si="36">Y34*(1+Y32)</f>
        <v>162.37952224268324</v>
      </c>
      <c r="Z30" s="64">
        <f t="shared" si="36"/>
        <v>164.87520406021414</v>
      </c>
      <c r="AA30" s="64">
        <f t="shared" si="36"/>
        <v>162.40207599931094</v>
      </c>
      <c r="AB30" s="64">
        <f t="shared" si="36"/>
        <v>159.96604485932127</v>
      </c>
      <c r="AC30" s="64">
        <f t="shared" si="36"/>
        <v>157.56655418643146</v>
      </c>
      <c r="AD30" s="64">
        <f t="shared" si="36"/>
        <v>155.20305587363498</v>
      </c>
      <c r="AE30" s="64">
        <f>AE34*(1+AE32)</f>
        <v>152.87501003553047</v>
      </c>
    </row>
    <row r="31" spans="2:31" ht="15.75">
      <c r="B31" s="79" t="s">
        <v>527</v>
      </c>
      <c r="G31" s="64"/>
      <c r="H31" s="64"/>
      <c r="I31" s="64"/>
      <c r="J31" s="64"/>
      <c r="K31" s="64"/>
      <c r="L31" s="64"/>
      <c r="M31" s="64"/>
      <c r="N31" s="64"/>
      <c r="O31" s="82">
        <f>O30/Valuation!E$19</f>
        <v>18.599999999999998</v>
      </c>
      <c r="P31" s="82">
        <f>P30/Valuation!F$19</f>
        <v>18.942992874109262</v>
      </c>
      <c r="Q31" s="82">
        <f>Q30/Valuation!G$19</f>
        <v>15.07877813504823</v>
      </c>
      <c r="R31" s="82">
        <f>R30/Valuation!H$19</f>
        <v>14.681024846717168</v>
      </c>
      <c r="S31" s="82">
        <f>S30/Valuation!I$19</f>
        <v>14.173081093478924</v>
      </c>
      <c r="T31" s="82">
        <f>T30/Valuation!J$19</f>
        <v>12.720477468906912</v>
      </c>
      <c r="U31" s="82">
        <f>U30/Valuation!K$19</f>
        <v>10.496481507075508</v>
      </c>
      <c r="V31" s="82">
        <f>V30/Valuation!L$19</f>
        <v>8.8137596312679225</v>
      </c>
      <c r="W31" s="82">
        <f>W30/Valuation!M$19</f>
        <v>8.4716848232078412</v>
      </c>
      <c r="X31" s="82">
        <f>X30/Valuation!N$19</f>
        <v>8.2284570483024417</v>
      </c>
      <c r="Y31" s="82">
        <f>Y30/Valuation!O$19</f>
        <v>8.4352998567627662</v>
      </c>
      <c r="Z31" s="82">
        <f>Z30/Valuation!P$19</f>
        <v>7.675754378967139</v>
      </c>
      <c r="AA31" s="82">
        <f>AA30/Valuation!Q$19</f>
        <v>8.0058123908705277</v>
      </c>
      <c r="AB31" s="82">
        <f>AB30/Valuation!R$19</f>
        <v>7.954552205833977</v>
      </c>
      <c r="AC31" s="82">
        <f>AC30/Valuation!S$19</f>
        <v>8.9020652082729637</v>
      </c>
      <c r="AD31" s="82">
        <f>AD30/Valuation!T$19</f>
        <v>9.1102991238339381</v>
      </c>
      <c r="AE31" s="82">
        <f>AE30/Valuation!U$19</f>
        <v>8.8515436301042474</v>
      </c>
    </row>
    <row r="32" spans="2:31" ht="15.75">
      <c r="B32" s="79" t="s">
        <v>522</v>
      </c>
      <c r="G32" s="103">
        <v>1.55</v>
      </c>
      <c r="H32" s="103">
        <v>1.55</v>
      </c>
      <c r="I32" s="103">
        <v>1.55</v>
      </c>
      <c r="J32" s="103">
        <v>1.55</v>
      </c>
      <c r="K32" s="103">
        <v>1.55</v>
      </c>
      <c r="L32" s="103">
        <v>1.55</v>
      </c>
      <c r="M32" s="103">
        <v>1.55</v>
      </c>
      <c r="N32" s="103">
        <v>1.55</v>
      </c>
      <c r="O32" s="103">
        <v>1.55</v>
      </c>
      <c r="P32" s="103">
        <v>1.45</v>
      </c>
      <c r="Q32" s="103">
        <v>0.13</v>
      </c>
      <c r="R32" s="98">
        <f>R30/R34-1</f>
        <v>9.9301775151055205E-2</v>
      </c>
      <c r="S32" s="98">
        <f>S30/S34-1</f>
        <v>8.2925238040665095E-2</v>
      </c>
      <c r="T32" s="103">
        <v>0.05</v>
      </c>
      <c r="U32" s="103">
        <v>0.02</v>
      </c>
      <c r="V32" s="103">
        <v>0</v>
      </c>
      <c r="W32" s="103">
        <v>-0.05</v>
      </c>
      <c r="X32" s="103">
        <v>-0.06</v>
      </c>
      <c r="Y32" s="103">
        <v>-0.03</v>
      </c>
      <c r="Z32" s="103">
        <v>0</v>
      </c>
      <c r="AA32" s="103">
        <v>0</v>
      </c>
      <c r="AB32" s="103">
        <v>0</v>
      </c>
      <c r="AC32" s="103">
        <v>0</v>
      </c>
      <c r="AD32" s="103">
        <v>0</v>
      </c>
      <c r="AE32" s="103">
        <v>0</v>
      </c>
    </row>
    <row r="33" spans="2:31" ht="15.75">
      <c r="B33" s="79"/>
      <c r="G33" s="98"/>
    </row>
    <row r="34" spans="2:31" ht="15.75">
      <c r="B34" s="79" t="s">
        <v>521</v>
      </c>
      <c r="G34" s="85">
        <v>183</v>
      </c>
      <c r="H34" s="85">
        <v>159</v>
      </c>
      <c r="I34" s="85">
        <v>176</v>
      </c>
      <c r="J34" s="85">
        <v>194</v>
      </c>
      <c r="K34" s="85">
        <v>192</v>
      </c>
      <c r="L34" s="85">
        <v>189</v>
      </c>
      <c r="M34" s="85">
        <v>184</v>
      </c>
      <c r="N34" s="85">
        <v>174</v>
      </c>
      <c r="O34" s="85">
        <v>162</v>
      </c>
      <c r="P34" s="85">
        <v>165</v>
      </c>
      <c r="Q34" s="85">
        <v>166</v>
      </c>
      <c r="R34" s="85">
        <v>175.75</v>
      </c>
      <c r="S34" s="85">
        <v>167</v>
      </c>
      <c r="T34" s="85">
        <v>161.24719534395334</v>
      </c>
      <c r="U34" s="85">
        <v>163.31290344832186</v>
      </c>
      <c r="V34" s="85">
        <v>166.13936904940036</v>
      </c>
      <c r="W34" s="85">
        <v>168.54194016697704</v>
      </c>
      <c r="X34" s="85">
        <v>168.50829593598087</v>
      </c>
      <c r="Y34" s="85">
        <v>167.40156932235385</v>
      </c>
      <c r="Z34" s="85">
        <v>164.87520406021414</v>
      </c>
      <c r="AA34" s="85">
        <f>Z34*0.985</f>
        <v>162.40207599931094</v>
      </c>
      <c r="AB34" s="85">
        <f>AA34*0.985</f>
        <v>159.96604485932127</v>
      </c>
      <c r="AC34" s="85">
        <f>AB34*0.985</f>
        <v>157.56655418643146</v>
      </c>
      <c r="AD34" s="85">
        <f>AC34*0.985</f>
        <v>155.20305587363498</v>
      </c>
      <c r="AE34" s="85">
        <f>AD34*0.985</f>
        <v>152.87501003553047</v>
      </c>
    </row>
    <row r="35" spans="2:31" ht="15.75">
      <c r="B35" s="79" t="s">
        <v>526</v>
      </c>
      <c r="O35" s="82">
        <f>O34/Valuation!E$19</f>
        <v>12</v>
      </c>
      <c r="P35" s="82">
        <f>P34/Valuation!F$19</f>
        <v>13.064133016627078</v>
      </c>
      <c r="Q35" s="82">
        <f>Q34/Valuation!G$19</f>
        <v>13.344051446945338</v>
      </c>
      <c r="R35" s="82">
        <f>R34/Valuation!H$19</f>
        <v>13.354863221884498</v>
      </c>
      <c r="S35" s="82">
        <f>S34/Valuation!I$19</f>
        <v>13.087774294670847</v>
      </c>
      <c r="T35" s="82">
        <f>T34/Valuation!J$19</f>
        <v>12.114740446578011</v>
      </c>
      <c r="U35" s="82">
        <f>U34/Valuation!K$19</f>
        <v>10.290668144191674</v>
      </c>
      <c r="V35" s="82">
        <f>V34/Valuation!L$19</f>
        <v>8.8137596312679225</v>
      </c>
      <c r="W35" s="82">
        <f>W34/Valuation!M$19</f>
        <v>8.9175629717977269</v>
      </c>
      <c r="X35" s="82">
        <f>X34/Valuation!N$19</f>
        <v>8.7536777109600443</v>
      </c>
      <c r="Y35" s="82">
        <f>Y34/Valuation!O$19</f>
        <v>8.6961854193430579</v>
      </c>
      <c r="Z35" s="82">
        <f>Z34/Valuation!P$19</f>
        <v>7.675754378967139</v>
      </c>
      <c r="AA35" s="82">
        <f>AA34/Valuation!Q$19</f>
        <v>8.0058123908705277</v>
      </c>
      <c r="AB35" s="82">
        <f>AB34/Valuation!R$19</f>
        <v>7.954552205833977</v>
      </c>
      <c r="AC35" s="82">
        <f>AC34/Valuation!S$19</f>
        <v>8.9020652082729637</v>
      </c>
      <c r="AD35" s="82">
        <f>AD34/Valuation!T$19</f>
        <v>9.1102991238339381</v>
      </c>
      <c r="AE35" s="82">
        <f>AE34/Valuation!U$19</f>
        <v>8.8515436301042474</v>
      </c>
    </row>
    <row r="37" spans="2:31" ht="15.75">
      <c r="B37" s="247" t="s">
        <v>1648</v>
      </c>
      <c r="C37" s="248"/>
      <c r="D37" s="248"/>
      <c r="E37" s="248"/>
      <c r="F37" s="248"/>
      <c r="G37" s="248"/>
      <c r="H37" s="248"/>
      <c r="I37" s="248"/>
      <c r="J37" s="248"/>
      <c r="K37" s="248"/>
      <c r="L37" s="248"/>
      <c r="M37" s="248"/>
      <c r="N37" s="248"/>
      <c r="O37" s="249">
        <f>O30*O19*12/1000</f>
        <v>11310.046199999999</v>
      </c>
      <c r="P37" s="249">
        <f>P30*P19*12/1000</f>
        <v>12560.625</v>
      </c>
      <c r="Q37" s="249">
        <f>Q30*Q19*12/1000</f>
        <v>11430.374879999999</v>
      </c>
      <c r="R37" s="249">
        <f>R50-R48</f>
        <v>14774.7</v>
      </c>
      <c r="S37" s="249">
        <f>S50-S48</f>
        <v>16644.7</v>
      </c>
      <c r="T37" s="249">
        <f>T30*T19*12/1000</f>
        <v>17063.389119957639</v>
      </c>
      <c r="U37" s="249">
        <f>U30*U19*12/1000</f>
        <v>18096.848396132104</v>
      </c>
      <c r="V37" s="249">
        <f>V30*V19*12/1000</f>
        <v>20755.631999255122</v>
      </c>
      <c r="W37" s="249">
        <f>W30*W19*12/1000</f>
        <v>24281.002679478403</v>
      </c>
      <c r="X37" s="249">
        <f>X30*X19*12/1000</f>
        <v>28343.462007068581</v>
      </c>
      <c r="Y37" s="249">
        <f t="shared" ref="Y37:AD37" si="37">Y30*Y19*12/1000</f>
        <v>33581.969607821375</v>
      </c>
      <c r="Z37" s="249">
        <f t="shared" si="37"/>
        <v>38791.22503429978</v>
      </c>
      <c r="AA37" s="249">
        <f t="shared" si="37"/>
        <v>42389.268171450887</v>
      </c>
      <c r="AB37" s="249">
        <f t="shared" si="37"/>
        <v>45424.326319525695</v>
      </c>
      <c r="AC37" s="249">
        <f t="shared" si="37"/>
        <v>48433.367097054484</v>
      </c>
      <c r="AD37" s="249">
        <f t="shared" si="37"/>
        <v>49815.38775004803</v>
      </c>
      <c r="AE37" s="249">
        <f>AE30*AE19*12/1000</f>
        <v>49607.906660069078</v>
      </c>
    </row>
    <row r="38" spans="2:31" ht="15.75">
      <c r="B38" s="79" t="s">
        <v>655</v>
      </c>
      <c r="O38" s="104"/>
      <c r="P38" s="104">
        <f t="shared" ref="P38:AE38" si="38">P37/O37-1</f>
        <v>0.11057238652128598</v>
      </c>
      <c r="Q38" s="104">
        <f t="shared" si="38"/>
        <v>-8.998358919241678E-2</v>
      </c>
      <c r="R38" s="104">
        <f t="shared" si="38"/>
        <v>0.29258227793137803</v>
      </c>
      <c r="S38" s="104">
        <f t="shared" si="38"/>
        <v>0.12656771372684394</v>
      </c>
      <c r="T38" s="104">
        <f t="shared" si="38"/>
        <v>2.5154500829551729E-2</v>
      </c>
      <c r="U38" s="104">
        <f t="shared" si="38"/>
        <v>6.0565885763322003E-2</v>
      </c>
      <c r="V38" s="104">
        <f t="shared" si="38"/>
        <v>0.14691970363697626</v>
      </c>
      <c r="W38" s="104">
        <f t="shared" si="38"/>
        <v>0.16985128086438417</v>
      </c>
      <c r="X38" s="104">
        <f t="shared" si="38"/>
        <v>0.16731019642049838</v>
      </c>
      <c r="Y38" s="104">
        <f t="shared" si="38"/>
        <v>0.18482243275173516</v>
      </c>
      <c r="Z38" s="104">
        <f t="shared" si="38"/>
        <v>0.15512060451823961</v>
      </c>
      <c r="AA38" s="104">
        <f t="shared" si="38"/>
        <v>9.2754047699438846E-2</v>
      </c>
      <c r="AB38" s="104">
        <f t="shared" si="38"/>
        <v>7.1599682631910078E-2</v>
      </c>
      <c r="AC38" s="104">
        <f t="shared" si="38"/>
        <v>6.6242936799160601E-2</v>
      </c>
      <c r="AD38" s="104">
        <f t="shared" si="38"/>
        <v>2.8534473975847074E-2</v>
      </c>
      <c r="AE38" s="104">
        <f t="shared" si="38"/>
        <v>-4.1650000000000853E-3</v>
      </c>
    </row>
    <row r="39" spans="2:31" ht="15.75">
      <c r="B39" s="79"/>
      <c r="O39" s="104"/>
      <c r="P39" s="104"/>
      <c r="Q39" s="104"/>
      <c r="R39" s="104"/>
      <c r="S39" s="104" t="s">
        <v>84</v>
      </c>
      <c r="T39" s="104"/>
      <c r="U39" s="104"/>
      <c r="V39" s="104"/>
      <c r="W39" s="104"/>
      <c r="X39" s="104"/>
      <c r="Y39" s="104"/>
      <c r="Z39" s="104"/>
      <c r="AA39" s="104"/>
      <c r="AB39" s="104"/>
      <c r="AC39" s="104"/>
      <c r="AD39" s="104"/>
      <c r="AE39" s="104"/>
    </row>
    <row r="40" spans="2:31" ht="15.75">
      <c r="B40" s="79" t="s">
        <v>1660</v>
      </c>
      <c r="O40" s="104"/>
      <c r="P40" s="244">
        <v>1</v>
      </c>
      <c r="Q40" s="181">
        <f>P40*(1+Q41)</f>
        <v>0.7</v>
      </c>
      <c r="R40" s="181">
        <f>Q40*(1+R41)</f>
        <v>0.371</v>
      </c>
      <c r="S40" s="181">
        <f>R40*(1+S41)</f>
        <v>0.32647999999999999</v>
      </c>
      <c r="T40" s="244">
        <v>0.31</v>
      </c>
      <c r="U40" s="181">
        <f>(1+U41)*T40</f>
        <v>0.27900000000000003</v>
      </c>
      <c r="V40" s="181">
        <f>(1+V41)*U40</f>
        <v>0.25110000000000005</v>
      </c>
      <c r="W40" s="181">
        <f>(1+W41)*V40</f>
        <v>0.22599000000000005</v>
      </c>
      <c r="X40" s="181">
        <f>(1+X41)*W40</f>
        <v>0.20339100000000004</v>
      </c>
      <c r="Y40" s="181">
        <f t="shared" ref="Y40:AE40" si="39">(1+Y41)*X40</f>
        <v>0.18305190000000005</v>
      </c>
      <c r="Z40" s="181">
        <f t="shared" si="39"/>
        <v>0.16474671000000005</v>
      </c>
      <c r="AA40" s="181">
        <f t="shared" si="39"/>
        <v>0.14827203900000005</v>
      </c>
      <c r="AB40" s="181">
        <f t="shared" si="39"/>
        <v>0.13344483510000005</v>
      </c>
      <c r="AC40" s="181">
        <f t="shared" si="39"/>
        <v>0.12010035159000004</v>
      </c>
      <c r="AD40" s="181">
        <f t="shared" si="39"/>
        <v>0.10809031643100005</v>
      </c>
      <c r="AE40" s="181">
        <f t="shared" si="39"/>
        <v>9.7281284787900046E-2</v>
      </c>
    </row>
    <row r="41" spans="2:31" ht="15.75">
      <c r="B41" s="79" t="s">
        <v>181</v>
      </c>
      <c r="O41" s="104"/>
      <c r="P41" s="104"/>
      <c r="Q41" s="63">
        <v>-0.3</v>
      </c>
      <c r="R41" s="63">
        <v>-0.47</v>
      </c>
      <c r="S41" s="63">
        <v>-0.12</v>
      </c>
      <c r="T41" s="104">
        <f>T40/S40-1</f>
        <v>-5.0477824062729715E-2</v>
      </c>
      <c r="U41" s="63">
        <v>-0.1</v>
      </c>
      <c r="V41" s="63">
        <v>-0.1</v>
      </c>
      <c r="W41" s="63">
        <v>-0.1</v>
      </c>
      <c r="X41" s="63">
        <v>-0.1</v>
      </c>
      <c r="Y41" s="63">
        <v>-0.1</v>
      </c>
      <c r="Z41" s="63">
        <v>-0.1</v>
      </c>
      <c r="AA41" s="63">
        <v>-0.1</v>
      </c>
      <c r="AB41" s="63">
        <v>-0.1</v>
      </c>
      <c r="AC41" s="63">
        <v>-0.1</v>
      </c>
      <c r="AD41" s="63">
        <v>-0.1</v>
      </c>
      <c r="AE41" s="63">
        <v>-0.1</v>
      </c>
    </row>
    <row r="42" spans="2:31" ht="15.75">
      <c r="B42" s="79"/>
      <c r="O42" s="104"/>
      <c r="P42" s="104"/>
      <c r="Q42" s="104"/>
      <c r="R42" s="104" t="s">
        <v>84</v>
      </c>
      <c r="S42" s="104"/>
      <c r="T42" s="104"/>
      <c r="U42" s="104"/>
      <c r="V42" s="104"/>
      <c r="W42" s="104"/>
      <c r="X42" s="104"/>
      <c r="Y42" s="104"/>
      <c r="Z42" s="104"/>
      <c r="AA42" s="104"/>
      <c r="AB42" s="104"/>
      <c r="AC42" s="104"/>
      <c r="AD42" s="104"/>
      <c r="AE42" s="104"/>
    </row>
    <row r="43" spans="2:31" ht="15.75">
      <c r="B43" s="243" t="s">
        <v>1656</v>
      </c>
      <c r="O43" s="104"/>
      <c r="P43" s="64">
        <f>P44*P37</f>
        <v>1130.45625</v>
      </c>
      <c r="Q43" s="64">
        <f>Q44*Q37</f>
        <v>800.12624160000007</v>
      </c>
      <c r="R43" s="64">
        <f>R44*R37</f>
        <v>480.17775000000006</v>
      </c>
      <c r="S43" s="64">
        <f>S44*S37</f>
        <v>499.34100000000001</v>
      </c>
      <c r="T43" s="64">
        <f>T40*T45</f>
        <v>519.18858973471151</v>
      </c>
      <c r="U43" s="64">
        <f>U40*U45</f>
        <v>503.6932130792917</v>
      </c>
      <c r="V43" s="64">
        <f>V40*V45</f>
        <v>521.30241546309662</v>
      </c>
      <c r="W43" s="64">
        <f>W40*W45</f>
        <v>569.51329132350577</v>
      </c>
      <c r="X43" s="64">
        <f>X40*X45</f>
        <v>604.80462913211579</v>
      </c>
      <c r="Y43" s="64">
        <f t="shared" ref="Y43:AD43" si="40">Y40*Y45</f>
        <v>629.11315327351701</v>
      </c>
      <c r="Z43" s="64">
        <f t="shared" si="40"/>
        <v>644.13147133729683</v>
      </c>
      <c r="AA43" s="64">
        <f t="shared" si="40"/>
        <v>643.13659421216619</v>
      </c>
      <c r="AB43" s="64">
        <f t="shared" si="40"/>
        <v>629.71215555538288</v>
      </c>
      <c r="AC43" s="64">
        <f t="shared" si="40"/>
        <v>613.48581144137177</v>
      </c>
      <c r="AD43" s="64">
        <f t="shared" si="40"/>
        <v>576.54027992512431</v>
      </c>
      <c r="AE43" s="64">
        <f>AE40*AE45</f>
        <v>524.59400070387062</v>
      </c>
    </row>
    <row r="44" spans="2:31" ht="15.75">
      <c r="B44" s="243" t="s">
        <v>1655</v>
      </c>
      <c r="O44" s="104"/>
      <c r="P44" s="101">
        <v>0.09</v>
      </c>
      <c r="Q44" s="101">
        <v>7.0000000000000007E-2</v>
      </c>
      <c r="R44" s="101">
        <v>3.2500000000000001E-2</v>
      </c>
      <c r="S44" s="101">
        <v>0.03</v>
      </c>
      <c r="T44" s="104">
        <f>T43/T37</f>
        <v>3.042704975458008E-2</v>
      </c>
      <c r="U44" s="104">
        <f>U43/U37</f>
        <v>2.7833200679680096E-2</v>
      </c>
      <c r="V44" s="104">
        <f>V43/V37</f>
        <v>2.5116190896129067E-2</v>
      </c>
      <c r="W44" s="104">
        <f>W43/W37</f>
        <v>2.345509775034298E-2</v>
      </c>
      <c r="X44" s="104">
        <f>X43/X37</f>
        <v>2.133841762101198E-2</v>
      </c>
      <c r="Y44" s="104">
        <f t="shared" ref="Y44:AD44" si="41">Y43/Y37</f>
        <v>1.8733658585855965E-2</v>
      </c>
      <c r="Z44" s="104">
        <f t="shared" si="41"/>
        <v>1.66050819680932E-2</v>
      </c>
      <c r="AA44" s="104">
        <f t="shared" si="41"/>
        <v>1.5172156112978563E-2</v>
      </c>
      <c r="AB44" s="104">
        <f t="shared" si="41"/>
        <v>1.3862883758051475E-2</v>
      </c>
      <c r="AC44" s="104">
        <f t="shared" si="41"/>
        <v>1.266659429669678E-2</v>
      </c>
      <c r="AD44" s="104">
        <f t="shared" si="41"/>
        <v>1.1573537936068126E-2</v>
      </c>
      <c r="AE44" s="104">
        <f>AE43/AE37</f>
        <v>1.0574806236001334E-2</v>
      </c>
    </row>
    <row r="45" spans="2:31" ht="15.75">
      <c r="B45" s="243" t="s">
        <v>1657</v>
      </c>
      <c r="O45" s="104"/>
      <c r="P45" s="64">
        <f>P43/P40</f>
        <v>1130.45625</v>
      </c>
      <c r="Q45" s="64">
        <f>Q43/Q40</f>
        <v>1143.0374880000002</v>
      </c>
      <c r="R45" s="64">
        <f>R43/R40</f>
        <v>1294.2796495956875</v>
      </c>
      <c r="S45" s="64">
        <f>S43/S40</f>
        <v>1529.4688801764273</v>
      </c>
      <c r="T45" s="64">
        <f>T46*12*T19/1000</f>
        <v>1674.8019023700372</v>
      </c>
      <c r="U45" s="64">
        <f>U46*12*U19/1000</f>
        <v>1805.3520182053464</v>
      </c>
      <c r="V45" s="64">
        <f>V46*12*V19/1000</f>
        <v>2076.074932150922</v>
      </c>
      <c r="W45" s="64">
        <f>W46*12*W19/1000</f>
        <v>2520.0818236360265</v>
      </c>
      <c r="X45" s="64">
        <f>X46*12*X19/1000</f>
        <v>2973.6056616670139</v>
      </c>
      <c r="Y45" s="64">
        <f t="shared" ref="Y45:AD45" si="42">Y46*12*Y19/1000</f>
        <v>3436.8020942340222</v>
      </c>
      <c r="Z45" s="64">
        <f t="shared" si="42"/>
        <v>3909.8290420324424</v>
      </c>
      <c r="AA45" s="64">
        <f t="shared" si="42"/>
        <v>4337.5446817195652</v>
      </c>
      <c r="AB45" s="64">
        <f t="shared" si="42"/>
        <v>4718.894928256258</v>
      </c>
      <c r="AC45" s="64">
        <f t="shared" si="42"/>
        <v>5108.1100373102709</v>
      </c>
      <c r="AD45" s="64">
        <f t="shared" si="42"/>
        <v>5333.8754012544823</v>
      </c>
      <c r="AE45" s="64">
        <f>AE46*12*AE19/1000</f>
        <v>5392.5480306682812</v>
      </c>
    </row>
    <row r="46" spans="2:31" ht="15.75">
      <c r="B46" s="243" t="s">
        <v>1658</v>
      </c>
      <c r="O46" s="104"/>
      <c r="P46" s="104"/>
      <c r="Q46" s="104"/>
      <c r="R46" s="64">
        <f>R45*1000/12/R19</f>
        <v>16.924728644045643</v>
      </c>
      <c r="S46" s="64">
        <f>S45*1000/12/S19</f>
        <v>16.618033088041322</v>
      </c>
      <c r="T46" s="246">
        <f t="shared" ref="T46:AE46" si="43">S46</f>
        <v>16.618033088041322</v>
      </c>
      <c r="U46" s="246">
        <f t="shared" si="43"/>
        <v>16.618033088041322</v>
      </c>
      <c r="V46" s="246">
        <f t="shared" si="43"/>
        <v>16.618033088041322</v>
      </c>
      <c r="W46" s="246">
        <f t="shared" si="43"/>
        <v>16.618033088041322</v>
      </c>
      <c r="X46" s="246">
        <f t="shared" si="43"/>
        <v>16.618033088041322</v>
      </c>
      <c r="Y46" s="246">
        <f t="shared" si="43"/>
        <v>16.618033088041322</v>
      </c>
      <c r="Z46" s="246">
        <f t="shared" si="43"/>
        <v>16.618033088041322</v>
      </c>
      <c r="AA46" s="246">
        <f t="shared" si="43"/>
        <v>16.618033088041322</v>
      </c>
      <c r="AB46" s="246">
        <f t="shared" si="43"/>
        <v>16.618033088041322</v>
      </c>
      <c r="AC46" s="246">
        <f t="shared" si="43"/>
        <v>16.618033088041322</v>
      </c>
      <c r="AD46" s="246">
        <f t="shared" si="43"/>
        <v>16.618033088041322</v>
      </c>
      <c r="AE46" s="246">
        <f t="shared" si="43"/>
        <v>16.618033088041322</v>
      </c>
    </row>
    <row r="47" spans="2:31" ht="15.75">
      <c r="B47" s="243"/>
      <c r="O47" s="104"/>
      <c r="P47" s="104"/>
      <c r="Q47" s="104"/>
      <c r="R47" s="104"/>
      <c r="S47" s="104"/>
      <c r="T47" s="104"/>
      <c r="U47" s="104"/>
      <c r="V47" s="104"/>
      <c r="W47" s="104"/>
      <c r="X47" s="104"/>
      <c r="Y47" s="104"/>
      <c r="Z47" s="104"/>
      <c r="AA47" s="104"/>
      <c r="AB47" s="104"/>
      <c r="AC47" s="104"/>
      <c r="AD47" s="104"/>
      <c r="AE47" s="104"/>
    </row>
    <row r="48" spans="2:31" ht="15.75">
      <c r="B48" s="79" t="s">
        <v>1567</v>
      </c>
      <c r="O48" s="64">
        <f>O49*O37</f>
        <v>1696.5069299999998</v>
      </c>
      <c r="P48" s="64">
        <f>P49*P37</f>
        <v>1884.09375</v>
      </c>
      <c r="Q48" s="64">
        <f>Q49*Q37</f>
        <v>1714.5562319999999</v>
      </c>
      <c r="R48" s="64">
        <f>R50*R49</f>
        <v>2607.2999999999997</v>
      </c>
      <c r="S48" s="64">
        <f>S50*S49</f>
        <v>2937.2999999999997</v>
      </c>
      <c r="T48" s="159">
        <f>S48*1.035</f>
        <v>3040.1054999999997</v>
      </c>
      <c r="U48" s="159">
        <f>T48*1.1</f>
        <v>3344.1160500000001</v>
      </c>
      <c r="V48" s="159">
        <f t="shared" ref="V48:AE48" si="44">U48*1.1</f>
        <v>3678.5276550000003</v>
      </c>
      <c r="W48" s="159">
        <f t="shared" si="44"/>
        <v>4046.3804205000006</v>
      </c>
      <c r="X48" s="159">
        <f t="shared" si="44"/>
        <v>4451.0184625500005</v>
      </c>
      <c r="Y48" s="159">
        <f t="shared" si="44"/>
        <v>4896.1203088050006</v>
      </c>
      <c r="Z48" s="159">
        <f t="shared" si="44"/>
        <v>5385.7323396855008</v>
      </c>
      <c r="AA48" s="159">
        <f t="shared" si="44"/>
        <v>5924.3055736540518</v>
      </c>
      <c r="AB48" s="159">
        <f t="shared" si="44"/>
        <v>6516.7361310194574</v>
      </c>
      <c r="AC48" s="159">
        <f t="shared" si="44"/>
        <v>7168.4097441214035</v>
      </c>
      <c r="AD48" s="159">
        <f t="shared" si="44"/>
        <v>7885.2507185335444</v>
      </c>
      <c r="AE48" s="159">
        <f t="shared" si="44"/>
        <v>8673.7757903868987</v>
      </c>
    </row>
    <row r="49" spans="2:31" ht="15.75">
      <c r="B49" s="91" t="s">
        <v>1669</v>
      </c>
      <c r="C49" s="61"/>
      <c r="D49" s="61"/>
      <c r="E49" s="61"/>
      <c r="F49" s="61"/>
      <c r="G49" s="61"/>
      <c r="H49" s="61"/>
      <c r="I49" s="61"/>
      <c r="J49" s="61"/>
      <c r="K49" s="61"/>
      <c r="L49" s="61"/>
      <c r="M49" s="61"/>
      <c r="N49" s="61"/>
      <c r="O49" s="240">
        <v>0.15</v>
      </c>
      <c r="P49" s="240">
        <v>0.15</v>
      </c>
      <c r="Q49" s="240">
        <v>0.15</v>
      </c>
      <c r="R49" s="240">
        <v>0.15</v>
      </c>
      <c r="S49" s="240">
        <v>0.15</v>
      </c>
      <c r="T49" s="233">
        <f>T48/T50</f>
        <v>0.15122273801003489</v>
      </c>
      <c r="U49" s="233">
        <f>U48/U50</f>
        <v>0.15596854602327695</v>
      </c>
      <c r="V49" s="233">
        <f>V48/V50</f>
        <v>0.150548564266232</v>
      </c>
      <c r="W49" s="233">
        <f>W48/W50</f>
        <v>0.1428434249015782</v>
      </c>
      <c r="X49" s="233">
        <f>X48/X50</f>
        <v>0.13572462191232171</v>
      </c>
      <c r="Y49" s="233">
        <f t="shared" ref="Y49:AD49" si="45">Y48/Y50</f>
        <v>0.12724436996258975</v>
      </c>
      <c r="Z49" s="233">
        <f t="shared" si="45"/>
        <v>0.12191270426552793</v>
      </c>
      <c r="AA49" s="233">
        <f t="shared" si="45"/>
        <v>0.12262196965411391</v>
      </c>
      <c r="AB49" s="233">
        <f t="shared" si="45"/>
        <v>0.12546405143761283</v>
      </c>
      <c r="AC49" s="233">
        <f t="shared" si="45"/>
        <v>0.12892411270592416</v>
      </c>
      <c r="AD49" s="233">
        <f t="shared" si="45"/>
        <v>0.13665794569720616</v>
      </c>
      <c r="AE49" s="233">
        <f>AE48/AE50</f>
        <v>0.14882507549023299</v>
      </c>
    </row>
    <row r="50" spans="2:31" ht="15.75">
      <c r="B50" s="96" t="s">
        <v>1568</v>
      </c>
      <c r="C50" s="42"/>
      <c r="D50" s="42"/>
      <c r="E50" s="42"/>
      <c r="F50" s="42"/>
      <c r="G50" s="42"/>
      <c r="H50" s="42"/>
      <c r="I50" s="42"/>
      <c r="J50" s="42"/>
      <c r="K50" s="42"/>
      <c r="L50" s="42"/>
      <c r="M50" s="42"/>
      <c r="N50" s="42"/>
      <c r="O50" s="250">
        <f>O37+O48</f>
        <v>13006.553129999998</v>
      </c>
      <c r="P50" s="250">
        <f>P37+P48</f>
        <v>14444.71875</v>
      </c>
      <c r="Q50" s="250">
        <f>Q37+Q48</f>
        <v>13144.931111999998</v>
      </c>
      <c r="R50" s="251">
        <v>17382</v>
      </c>
      <c r="S50" s="251">
        <v>19582</v>
      </c>
      <c r="T50" s="250">
        <f>T37+T48</f>
        <v>20103.494619957637</v>
      </c>
      <c r="U50" s="250">
        <f>U37+U48</f>
        <v>21440.964446132104</v>
      </c>
      <c r="V50" s="250">
        <f>V37+V48</f>
        <v>24434.159654255123</v>
      </c>
      <c r="W50" s="250">
        <f>W37+W48</f>
        <v>28327.383099978404</v>
      </c>
      <c r="X50" s="250">
        <f>X37+X48</f>
        <v>32794.480469618582</v>
      </c>
      <c r="Y50" s="250">
        <f t="shared" ref="Y50:AD50" si="46">Y37+Y48</f>
        <v>38478.089916626377</v>
      </c>
      <c r="Z50" s="250">
        <f t="shared" si="46"/>
        <v>44176.957373985279</v>
      </c>
      <c r="AA50" s="250">
        <f t="shared" si="46"/>
        <v>48313.573745104935</v>
      </c>
      <c r="AB50" s="250">
        <f t="shared" si="46"/>
        <v>51941.062450545156</v>
      </c>
      <c r="AC50" s="250">
        <f t="shared" si="46"/>
        <v>55601.776841175888</v>
      </c>
      <c r="AD50" s="250">
        <f t="shared" si="46"/>
        <v>57700.638468581572</v>
      </c>
      <c r="AE50" s="250">
        <f>AE37+AE48</f>
        <v>58281.682450455977</v>
      </c>
    </row>
    <row r="51" spans="2:31" ht="15.75">
      <c r="B51" s="79" t="s">
        <v>181</v>
      </c>
      <c r="P51" s="104">
        <f t="shared" ref="P51:AE51" si="47">P50/O50-1</f>
        <v>0.11057238652128598</v>
      </c>
      <c r="Q51" s="104">
        <f t="shared" si="47"/>
        <v>-8.9983589192416891E-2</v>
      </c>
      <c r="R51" s="104">
        <f t="shared" si="47"/>
        <v>0.32233481118299534</v>
      </c>
      <c r="S51" s="104">
        <f t="shared" si="47"/>
        <v>0.12656771372684394</v>
      </c>
      <c r="T51" s="104">
        <f t="shared" si="47"/>
        <v>2.6631325705118947E-2</v>
      </c>
      <c r="U51" s="104">
        <f t="shared" si="47"/>
        <v>6.6529220489192964E-2</v>
      </c>
      <c r="V51" s="104">
        <f t="shared" si="47"/>
        <v>0.13960170568087404</v>
      </c>
      <c r="W51" s="104">
        <f t="shared" si="47"/>
        <v>0.15933527081809373</v>
      </c>
      <c r="X51" s="104">
        <f t="shared" si="47"/>
        <v>0.15769537743299633</v>
      </c>
      <c r="Y51" s="104">
        <f t="shared" si="47"/>
        <v>0.17330994013682255</v>
      </c>
      <c r="Z51" s="104">
        <f t="shared" si="47"/>
        <v>0.1481068179243592</v>
      </c>
      <c r="AA51" s="104">
        <f t="shared" si="47"/>
        <v>9.3637421339379356E-2</v>
      </c>
      <c r="AB51" s="104">
        <f t="shared" si="47"/>
        <v>7.5082185486387232E-2</v>
      </c>
      <c r="AC51" s="104">
        <f t="shared" si="47"/>
        <v>7.047823471297332E-2</v>
      </c>
      <c r="AD51" s="104">
        <f t="shared" si="47"/>
        <v>3.7748103507573072E-2</v>
      </c>
      <c r="AE51" s="104">
        <f t="shared" si="47"/>
        <v>1.0069974913549551E-2</v>
      </c>
    </row>
    <row r="52" spans="2:31" ht="15.75">
      <c r="B52" s="79"/>
      <c r="P52" s="104"/>
      <c r="Q52" s="104"/>
      <c r="R52" s="104"/>
      <c r="S52" s="104"/>
      <c r="T52" s="104"/>
      <c r="U52" s="104"/>
      <c r="V52" s="104"/>
      <c r="W52" s="104"/>
      <c r="X52" s="104"/>
      <c r="Y52" s="104"/>
      <c r="Z52" s="104"/>
      <c r="AA52" s="104"/>
      <c r="AB52" s="104"/>
      <c r="AC52" s="104"/>
      <c r="AD52" s="104"/>
      <c r="AE52" s="104"/>
    </row>
    <row r="53" spans="2:31" ht="15.75">
      <c r="B53" s="79" t="s">
        <v>1131</v>
      </c>
      <c r="O53" s="64">
        <f>O37/O35</f>
        <v>942.50384999999994</v>
      </c>
      <c r="P53" s="64">
        <f>P37/P35</f>
        <v>961.45875000000001</v>
      </c>
      <c r="Q53" s="64">
        <f>Q37/Q35</f>
        <v>856.58953919999988</v>
      </c>
      <c r="R53" s="64">
        <f t="shared" ref="R53:X53" si="48">R50/R35</f>
        <v>1301.5483357041253</v>
      </c>
      <c r="S53" s="64">
        <f t="shared" si="48"/>
        <v>1496.2055089820358</v>
      </c>
      <c r="T53" s="64">
        <f t="shared" si="48"/>
        <v>1659.4242946109644</v>
      </c>
      <c r="U53" s="64">
        <f t="shared" si="48"/>
        <v>2083.5347273572274</v>
      </c>
      <c r="V53" s="64">
        <f t="shared" si="48"/>
        <v>2772.2743388158515</v>
      </c>
      <c r="W53" s="64">
        <f t="shared" si="48"/>
        <v>3176.5834667571485</v>
      </c>
      <c r="X53" s="64">
        <f t="shared" si="48"/>
        <v>3746.36599066907</v>
      </c>
      <c r="Y53" s="64">
        <f t="shared" ref="Y53:AD53" si="49">Y50/Y35</f>
        <v>4424.7090029887095</v>
      </c>
      <c r="Z53" s="64">
        <f t="shared" si="49"/>
        <v>5755.3896585119492</v>
      </c>
      <c r="AA53" s="64">
        <f t="shared" si="49"/>
        <v>6034.8121322702473</v>
      </c>
      <c r="AB53" s="64">
        <f t="shared" si="49"/>
        <v>6529.7280232130315</v>
      </c>
      <c r="AC53" s="64">
        <f t="shared" si="49"/>
        <v>6245.941311405295</v>
      </c>
      <c r="AD53" s="64">
        <f t="shared" si="49"/>
        <v>6333.5613555901655</v>
      </c>
      <c r="AE53" s="64">
        <f>AE50/AE35</f>
        <v>6584.3523893661895</v>
      </c>
    </row>
    <row r="54" spans="2:31" ht="15.75">
      <c r="B54" s="79"/>
    </row>
    <row r="55" spans="2:31" ht="15.75">
      <c r="B55" s="96" t="s">
        <v>57</v>
      </c>
      <c r="C55" s="42"/>
      <c r="D55" s="42"/>
      <c r="E55" s="42"/>
      <c r="F55" s="42"/>
      <c r="G55" s="42"/>
      <c r="H55" s="42"/>
      <c r="I55" s="42"/>
      <c r="J55" s="42"/>
      <c r="K55" s="42"/>
      <c r="L55" s="42"/>
      <c r="M55" s="42"/>
      <c r="N55" s="42"/>
      <c r="O55" s="42"/>
      <c r="P55" s="250">
        <f>P56*P37</f>
        <v>1884.09375</v>
      </c>
      <c r="Q55" s="250">
        <f>Q56*Q37</f>
        <v>457.21499519999998</v>
      </c>
      <c r="R55" s="251">
        <v>230</v>
      </c>
      <c r="S55" s="251">
        <v>1285</v>
      </c>
      <c r="T55" s="250">
        <f>T56*T50</f>
        <v>1809.3145157961874</v>
      </c>
      <c r="U55" s="250">
        <f>U56*U50</f>
        <v>1072.0482223066053</v>
      </c>
      <c r="V55" s="250">
        <f>V56*V50</f>
        <v>733.02478962765372</v>
      </c>
      <c r="W55" s="250">
        <f>W56*W50</f>
        <v>2549.4644789980562</v>
      </c>
      <c r="X55" s="250">
        <f>X56*X50</f>
        <v>4919.1720704427871</v>
      </c>
      <c r="Y55" s="250">
        <f t="shared" ref="Y55:AD55" si="50">Y56*Y50</f>
        <v>6926.0561849927481</v>
      </c>
      <c r="Z55" s="250">
        <f t="shared" si="50"/>
        <v>8835.3914747970557</v>
      </c>
      <c r="AA55" s="250">
        <f t="shared" si="50"/>
        <v>10628.986223923086</v>
      </c>
      <c r="AB55" s="250">
        <f t="shared" si="50"/>
        <v>11946.444363625387</v>
      </c>
      <c r="AC55" s="250">
        <f t="shared" si="50"/>
        <v>13344.426441882213</v>
      </c>
      <c r="AD55" s="250">
        <f t="shared" si="50"/>
        <v>14425.159617145393</v>
      </c>
      <c r="AE55" s="250">
        <f>AE56*AE50</f>
        <v>14570.420612613994</v>
      </c>
    </row>
    <row r="56" spans="2:31" ht="15.75">
      <c r="B56" s="79" t="s">
        <v>158</v>
      </c>
      <c r="P56" s="103">
        <v>0.15</v>
      </c>
      <c r="Q56" s="103">
        <v>0.04</v>
      </c>
      <c r="R56" s="69">
        <f>R55/R50</f>
        <v>1.3232079162351858E-2</v>
      </c>
      <c r="S56" s="69">
        <f>S55/S50</f>
        <v>6.5621489122663676E-2</v>
      </c>
      <c r="T56" s="103">
        <v>0.09</v>
      </c>
      <c r="U56" s="103">
        <v>0.05</v>
      </c>
      <c r="V56" s="103">
        <v>0.03</v>
      </c>
      <c r="W56" s="103">
        <v>0.09</v>
      </c>
      <c r="X56" s="103">
        <v>0.15</v>
      </c>
      <c r="Y56" s="103">
        <v>0.18</v>
      </c>
      <c r="Z56" s="103">
        <v>0.2</v>
      </c>
      <c r="AA56" s="103">
        <v>0.22</v>
      </c>
      <c r="AB56" s="103">
        <v>0.23</v>
      </c>
      <c r="AC56" s="103">
        <v>0.24</v>
      </c>
      <c r="AD56" s="103">
        <v>0.25</v>
      </c>
      <c r="AE56" s="103">
        <v>0.25</v>
      </c>
    </row>
    <row r="57" spans="2:31" ht="15.75">
      <c r="B57" s="79"/>
    </row>
    <row r="58" spans="2:31" ht="15.75">
      <c r="B58" s="79" t="s">
        <v>1659</v>
      </c>
      <c r="P58" s="65">
        <f>P59*P61</f>
        <v>1412.5472286044073</v>
      </c>
      <c r="Q58" s="65">
        <f>Q59*Q61</f>
        <v>999.78756816616351</v>
      </c>
      <c r="R58" s="159">
        <v>600</v>
      </c>
      <c r="S58" s="159">
        <v>600</v>
      </c>
      <c r="T58" s="64">
        <f>T61*T59</f>
        <v>306.89323341535822</v>
      </c>
      <c r="U58" s="64">
        <f>U61*U59</f>
        <v>43.385630698188528</v>
      </c>
      <c r="V58" s="64">
        <f>V61*V59</f>
        <v>44.902399897524859</v>
      </c>
      <c r="W58" s="64">
        <f>W61*W59</f>
        <v>49.055045201059365</v>
      </c>
      <c r="X58" s="64">
        <f>X61*X59</f>
        <v>52.09486568950485</v>
      </c>
      <c r="Y58" s="64">
        <f t="shared" ref="Y58:AD58" si="51">Y61*Y59</f>
        <v>54.188681178439801</v>
      </c>
      <c r="Z58" s="64">
        <f t="shared" si="51"/>
        <v>55.482284475652612</v>
      </c>
      <c r="AA58" s="64">
        <f t="shared" si="51"/>
        <v>55.396590703292418</v>
      </c>
      <c r="AB58" s="64">
        <f t="shared" si="51"/>
        <v>54.240276258765661</v>
      </c>
      <c r="AC58" s="64">
        <f t="shared" si="51"/>
        <v>52.842619599847382</v>
      </c>
      <c r="AD58" s="64">
        <f t="shared" si="51"/>
        <v>49.660315084539441</v>
      </c>
      <c r="AE58" s="64">
        <f>AE61*AE59</f>
        <v>45.185920695422425</v>
      </c>
    </row>
    <row r="59" spans="2:31" ht="15.75">
      <c r="B59" s="79" t="s">
        <v>1661</v>
      </c>
      <c r="P59" s="181">
        <f>P40</f>
        <v>1</v>
      </c>
      <c r="Q59" s="181">
        <f>Q40</f>
        <v>0.7</v>
      </c>
      <c r="R59" s="181">
        <f>R40</f>
        <v>0.371</v>
      </c>
      <c r="S59" s="181">
        <f>S40</f>
        <v>0.32647999999999999</v>
      </c>
      <c r="T59" s="245">
        <f>(0.31*3+0.2*4.5+0)/12</f>
        <v>0.1525</v>
      </c>
      <c r="U59" s="245">
        <v>0.02</v>
      </c>
      <c r="V59" s="181">
        <f>(1+V60)*U59</f>
        <v>1.8000000000000002E-2</v>
      </c>
      <c r="W59" s="181">
        <f>(1+W60)*V59</f>
        <v>1.6200000000000003E-2</v>
      </c>
      <c r="X59" s="181">
        <f>(1+X60)*W59</f>
        <v>1.4580000000000003E-2</v>
      </c>
      <c r="Y59" s="181">
        <f t="shared" ref="Y59:AE59" si="52">(1+Y60)*X59</f>
        <v>1.3122000000000003E-2</v>
      </c>
      <c r="Z59" s="181">
        <f t="shared" si="52"/>
        <v>1.1809800000000004E-2</v>
      </c>
      <c r="AA59" s="181">
        <f t="shared" si="52"/>
        <v>1.0628820000000004E-2</v>
      </c>
      <c r="AB59" s="181">
        <f t="shared" si="52"/>
        <v>9.5659380000000047E-3</v>
      </c>
      <c r="AC59" s="181">
        <f t="shared" si="52"/>
        <v>8.6093442000000041E-3</v>
      </c>
      <c r="AD59" s="181">
        <f t="shared" si="52"/>
        <v>7.7484097800000042E-3</v>
      </c>
      <c r="AE59" s="181">
        <f t="shared" si="52"/>
        <v>6.973568802000004E-3</v>
      </c>
    </row>
    <row r="60" spans="2:31" ht="15.75">
      <c r="B60" s="79"/>
      <c r="R60" s="181"/>
      <c r="S60" s="56">
        <f>S59/R59-1</f>
        <v>-0.12</v>
      </c>
      <c r="T60" s="56">
        <f>T59/S59-1</f>
        <v>-0.53289634893408477</v>
      </c>
      <c r="U60" s="56">
        <f>U59/T59-1</f>
        <v>-0.86885245901639341</v>
      </c>
      <c r="V60" s="63">
        <v>-0.1</v>
      </c>
      <c r="W60" s="63">
        <v>-0.1</v>
      </c>
      <c r="X60" s="63">
        <v>-0.1</v>
      </c>
      <c r="Y60" s="63">
        <v>-0.1</v>
      </c>
      <c r="Z60" s="63">
        <v>-0.1</v>
      </c>
      <c r="AA60" s="63">
        <v>-0.1</v>
      </c>
      <c r="AB60" s="63">
        <v>-0.1</v>
      </c>
      <c r="AC60" s="63">
        <v>-0.1</v>
      </c>
      <c r="AD60" s="63">
        <v>-0.1</v>
      </c>
      <c r="AE60" s="63">
        <v>-0.1</v>
      </c>
    </row>
    <row r="61" spans="2:31" ht="15.75">
      <c r="B61" s="79" t="s">
        <v>1663</v>
      </c>
      <c r="P61" s="65">
        <f>P45/Q45*Q61</f>
        <v>1412.5472286044073</v>
      </c>
      <c r="Q61" s="65">
        <f>Q45/R45*R61</f>
        <v>1428.2679545230908</v>
      </c>
      <c r="R61" s="65">
        <f>R58/R59</f>
        <v>1617.2506738544475</v>
      </c>
      <c r="S61" s="65">
        <f>S58/S59</f>
        <v>1837.7848566527812</v>
      </c>
      <c r="T61" s="65">
        <f>T62*12*T19/1000</f>
        <v>2012.4146453466115</v>
      </c>
      <c r="U61" s="65">
        <f>U62*12*U19/1000</f>
        <v>2169.2815349094262</v>
      </c>
      <c r="V61" s="65">
        <f>V62*12*V19/1000</f>
        <v>2494.5777720847141</v>
      </c>
      <c r="W61" s="65">
        <f>W62*12*W19/1000</f>
        <v>3028.0892099419357</v>
      </c>
      <c r="X61" s="65">
        <f>X62*12*X19/1000</f>
        <v>3573.0360555215939</v>
      </c>
      <c r="Y61" s="65">
        <f t="shared" ref="Y61:AD61" si="53">Y62*12*Y19/1000</f>
        <v>4129.6053329096012</v>
      </c>
      <c r="Z61" s="65">
        <f t="shared" si="53"/>
        <v>4697.9867970374262</v>
      </c>
      <c r="AA61" s="65">
        <f t="shared" si="53"/>
        <v>5211.9229324884982</v>
      </c>
      <c r="AB61" s="65">
        <f t="shared" si="53"/>
        <v>5670.1471678747694</v>
      </c>
      <c r="AC61" s="65">
        <f t="shared" si="53"/>
        <v>6137.8216937647067</v>
      </c>
      <c r="AD61" s="65">
        <f t="shared" si="53"/>
        <v>6409.097672237388</v>
      </c>
      <c r="AE61" s="65">
        <f>AE62*12*AE19/1000</f>
        <v>6479.5977466319973</v>
      </c>
    </row>
    <row r="62" spans="2:31" ht="15.75">
      <c r="B62" s="79" t="s">
        <v>1662</v>
      </c>
      <c r="R62" s="65">
        <f>R61*1000/R19/12</f>
        <v>21.148079406901683</v>
      </c>
      <c r="S62" s="65">
        <f>S61*1000/S19/12</f>
        <v>19.967957473599792</v>
      </c>
      <c r="T62" s="246">
        <f t="shared" ref="T62:AE62" si="54">S62</f>
        <v>19.967957473599792</v>
      </c>
      <c r="U62" s="246">
        <f t="shared" si="54"/>
        <v>19.967957473599792</v>
      </c>
      <c r="V62" s="246">
        <f t="shared" si="54"/>
        <v>19.967957473599792</v>
      </c>
      <c r="W62" s="246">
        <f t="shared" si="54"/>
        <v>19.967957473599792</v>
      </c>
      <c r="X62" s="246">
        <f t="shared" si="54"/>
        <v>19.967957473599792</v>
      </c>
      <c r="Y62" s="246">
        <f t="shared" si="54"/>
        <v>19.967957473599792</v>
      </c>
      <c r="Z62" s="246">
        <f t="shared" si="54"/>
        <v>19.967957473599792</v>
      </c>
      <c r="AA62" s="246">
        <f t="shared" si="54"/>
        <v>19.967957473599792</v>
      </c>
      <c r="AB62" s="246">
        <f t="shared" si="54"/>
        <v>19.967957473599792</v>
      </c>
      <c r="AC62" s="246">
        <f t="shared" si="54"/>
        <v>19.967957473599792</v>
      </c>
      <c r="AD62" s="246">
        <f t="shared" si="54"/>
        <v>19.967957473599792</v>
      </c>
      <c r="AE62" s="246">
        <f t="shared" si="54"/>
        <v>19.967957473599792</v>
      </c>
    </row>
    <row r="63" spans="2:31" ht="15.75">
      <c r="B63" s="79"/>
      <c r="R63" s="181"/>
      <c r="S63" s="56"/>
      <c r="T63" s="56"/>
      <c r="U63" s="56"/>
      <c r="V63" s="56"/>
      <c r="W63" s="56"/>
      <c r="X63" s="56"/>
      <c r="Y63" s="56"/>
      <c r="Z63" s="56"/>
      <c r="AA63" s="56"/>
      <c r="AB63" s="56"/>
      <c r="AC63" s="56"/>
      <c r="AD63" s="56"/>
      <c r="AE63" s="56"/>
    </row>
    <row r="64" spans="2:31" ht="15.75">
      <c r="B64" s="79" t="s">
        <v>1664</v>
      </c>
      <c r="P64" s="65">
        <f t="shared" ref="P64:X64" si="55">P43-P58</f>
        <v>-282.09097860440738</v>
      </c>
      <c r="Q64" s="65">
        <f t="shared" si="55"/>
        <v>-199.66132656616344</v>
      </c>
      <c r="R64" s="65">
        <f t="shared" si="55"/>
        <v>-119.82224999999994</v>
      </c>
      <c r="S64" s="65">
        <f t="shared" si="55"/>
        <v>-100.65899999999999</v>
      </c>
      <c r="T64" s="65">
        <f t="shared" si="55"/>
        <v>212.29535631935329</v>
      </c>
      <c r="U64" s="65">
        <f t="shared" si="55"/>
        <v>460.30758238110315</v>
      </c>
      <c r="V64" s="65">
        <f t="shared" si="55"/>
        <v>476.40001556557178</v>
      </c>
      <c r="W64" s="65">
        <f t="shared" si="55"/>
        <v>520.45824612244644</v>
      </c>
      <c r="X64" s="65">
        <f t="shared" si="55"/>
        <v>552.70976344261089</v>
      </c>
      <c r="Y64" s="65">
        <f t="shared" ref="Y64:AD64" si="56">Y43-Y58</f>
        <v>574.92447209507725</v>
      </c>
      <c r="Z64" s="65">
        <f t="shared" si="56"/>
        <v>588.64918686164424</v>
      </c>
      <c r="AA64" s="65">
        <f t="shared" si="56"/>
        <v>587.74000350887377</v>
      </c>
      <c r="AB64" s="65">
        <f t="shared" si="56"/>
        <v>575.4718792966172</v>
      </c>
      <c r="AC64" s="65">
        <f t="shared" si="56"/>
        <v>560.64319184152441</v>
      </c>
      <c r="AD64" s="65">
        <f t="shared" si="56"/>
        <v>526.87996484058488</v>
      </c>
      <c r="AE64" s="65">
        <f>AE43-AE58</f>
        <v>479.40808000844822</v>
      </c>
    </row>
    <row r="65" spans="2:31" ht="15.75">
      <c r="B65" s="79" t="s">
        <v>1665</v>
      </c>
      <c r="R65" s="56">
        <f t="shared" ref="R65:X65" si="57">R64/R50</f>
        <v>-6.8934673800483222E-3</v>
      </c>
      <c r="S65" s="56">
        <f t="shared" si="57"/>
        <v>-5.1403840261464604E-3</v>
      </c>
      <c r="T65" s="56">
        <f t="shared" si="57"/>
        <v>1.0560122025182538E-2</v>
      </c>
      <c r="U65" s="56">
        <f t="shared" si="57"/>
        <v>2.1468604340890155E-2</v>
      </c>
      <c r="V65" s="56">
        <f t="shared" si="57"/>
        <v>1.9497294865330406E-2</v>
      </c>
      <c r="W65" s="56">
        <f t="shared" si="57"/>
        <v>1.8372973044687747E-2</v>
      </c>
      <c r="X65" s="56">
        <f t="shared" si="57"/>
        <v>1.6853743542443112E-2</v>
      </c>
      <c r="Y65" s="56">
        <f t="shared" ref="Y65:AD65" si="58">Y64/Y50</f>
        <v>1.4941606335990511E-2</v>
      </c>
      <c r="Z65" s="56">
        <f t="shared" si="58"/>
        <v>1.3324801476895855E-2</v>
      </c>
      <c r="AA65" s="56">
        <f t="shared" si="58"/>
        <v>1.2165111333094517E-2</v>
      </c>
      <c r="AB65" s="56">
        <f t="shared" si="58"/>
        <v>1.1079324375479293E-2</v>
      </c>
      <c r="AC65" s="56">
        <f t="shared" si="58"/>
        <v>1.0083188410380802E-2</v>
      </c>
      <c r="AD65" s="56">
        <f t="shared" si="58"/>
        <v>9.1312675010948967E-3</v>
      </c>
      <c r="AE65" s="56">
        <f>AE64/AE50</f>
        <v>8.2257076297682866E-3</v>
      </c>
    </row>
    <row r="66" spans="2:31" ht="15.75">
      <c r="B66" s="79"/>
    </row>
    <row r="67" spans="2:31" ht="15.75">
      <c r="B67" s="247" t="s">
        <v>1654</v>
      </c>
      <c r="C67" s="248"/>
      <c r="D67" s="248"/>
      <c r="E67" s="248"/>
      <c r="F67" s="248"/>
      <c r="G67" s="248"/>
      <c r="H67" s="248"/>
      <c r="I67" s="248"/>
      <c r="J67" s="248"/>
      <c r="K67" s="248"/>
      <c r="L67" s="248"/>
      <c r="M67" s="248"/>
      <c r="N67" s="248"/>
      <c r="O67" s="248"/>
      <c r="P67" s="249"/>
      <c r="Q67" s="248"/>
      <c r="R67" s="249">
        <f t="shared" ref="R67:X67" si="59">R50-R55</f>
        <v>17152</v>
      </c>
      <c r="S67" s="249">
        <f t="shared" si="59"/>
        <v>18297</v>
      </c>
      <c r="T67" s="249">
        <f t="shared" si="59"/>
        <v>18294.180104161449</v>
      </c>
      <c r="U67" s="249">
        <f t="shared" si="59"/>
        <v>20368.916223825498</v>
      </c>
      <c r="V67" s="249">
        <f t="shared" si="59"/>
        <v>23701.134864627471</v>
      </c>
      <c r="W67" s="249">
        <f t="shared" si="59"/>
        <v>25777.918620980348</v>
      </c>
      <c r="X67" s="249">
        <f t="shared" si="59"/>
        <v>27875.308399175796</v>
      </c>
      <c r="Y67" s="249">
        <f t="shared" ref="Y67:AD67" si="60">Y50-Y55</f>
        <v>31552.03373163363</v>
      </c>
      <c r="Z67" s="249">
        <f t="shared" si="60"/>
        <v>35341.565899188223</v>
      </c>
      <c r="AA67" s="249">
        <f t="shared" si="60"/>
        <v>37684.587521181849</v>
      </c>
      <c r="AB67" s="249">
        <f t="shared" si="60"/>
        <v>39994.618086919771</v>
      </c>
      <c r="AC67" s="249">
        <f t="shared" si="60"/>
        <v>42257.350399293675</v>
      </c>
      <c r="AD67" s="249">
        <f t="shared" si="60"/>
        <v>43275.478851436179</v>
      </c>
      <c r="AE67" s="249">
        <f>AE50-AE55</f>
        <v>43711.261837841987</v>
      </c>
    </row>
    <row r="68" spans="2:31" ht="15.75">
      <c r="B68" s="79"/>
    </row>
    <row r="69" spans="2:31" ht="15.75">
      <c r="B69" s="79" t="s">
        <v>525</v>
      </c>
      <c r="P69" s="64">
        <f>P55/Valuation!F$19</f>
        <v>149.17606888361044</v>
      </c>
      <c r="Q69" s="64">
        <f>Q55/Valuation!G$19</f>
        <v>36.753616977491959</v>
      </c>
      <c r="R69" s="64">
        <f>R55/Valuation!H$19</f>
        <v>17.477203647416413</v>
      </c>
      <c r="S69" s="64">
        <f>S55/Valuation!I$19</f>
        <v>100.70532915360502</v>
      </c>
      <c r="T69" s="64">
        <f>T55/Valuation!J$19</f>
        <v>135.93647752037469</v>
      </c>
      <c r="U69" s="64">
        <f>U55/Valuation!K$19</f>
        <v>67.551872861159765</v>
      </c>
      <c r="V69" s="64">
        <f>V55/Valuation!L$19</f>
        <v>38.88725674417261</v>
      </c>
      <c r="W69" s="64">
        <f>W55/Valuation!M$19</f>
        <v>134.89230047608763</v>
      </c>
      <c r="X69" s="64">
        <f>X55/Valuation!N$19</f>
        <v>255.54140625676817</v>
      </c>
      <c r="Y69" s="64">
        <f>Y55/Valuation!O$19</f>
        <v>359.79512649312977</v>
      </c>
      <c r="Z69" s="64">
        <f>Z55/Valuation!P$19</f>
        <v>411.33107424567299</v>
      </c>
      <c r="AA69" s="64">
        <f>AA55/Valuation!Q$19</f>
        <v>523.96910008857662</v>
      </c>
      <c r="AB69" s="64">
        <f>AB55/Valuation!R$19</f>
        <v>594.05491614248569</v>
      </c>
      <c r="AC69" s="64">
        <f>AC55/Valuation!S$19</f>
        <v>753.92239784645278</v>
      </c>
      <c r="AD69" s="64">
        <f>AD55/Valuation!T$19</f>
        <v>846.74569248329374</v>
      </c>
      <c r="AE69" s="64">
        <f>AE55/Valuation!U$19</f>
        <v>843.63503054912826</v>
      </c>
    </row>
    <row r="70" spans="2:31" ht="15.75">
      <c r="B70" s="79"/>
    </row>
    <row r="71" spans="2:31" ht="15.75">
      <c r="B71" s="79" t="s">
        <v>533</v>
      </c>
      <c r="Q71" s="64">
        <f>Q72*Q37</f>
        <v>1714.5562319999999</v>
      </c>
      <c r="R71" s="159">
        <v>2017</v>
      </c>
      <c r="S71" s="159">
        <v>2379</v>
      </c>
      <c r="T71" s="64">
        <f>T72*T37</f>
        <v>2243.6500650520543</v>
      </c>
      <c r="U71" s="64">
        <f>U72*U37</f>
        <v>2352.5902914971734</v>
      </c>
      <c r="V71" s="64">
        <f>V72*V37</f>
        <v>2802.0103198994416</v>
      </c>
      <c r="W71" s="64">
        <f>W72*W37</f>
        <v>3277.9353617295847</v>
      </c>
      <c r="X71" s="64">
        <f>X72*X37</f>
        <v>3968.0846809896016</v>
      </c>
      <c r="Y71" s="64">
        <f t="shared" ref="Y71:AE71" si="61">Y72*Y37</f>
        <v>4701.4757450949928</v>
      </c>
      <c r="Z71" s="64">
        <f t="shared" si="61"/>
        <v>5430.77150480197</v>
      </c>
      <c r="AA71" s="64">
        <f t="shared" si="61"/>
        <v>5934.4975440031249</v>
      </c>
      <c r="AB71" s="64">
        <f t="shared" si="61"/>
        <v>6359.4056847335978</v>
      </c>
      <c r="AC71" s="64">
        <f t="shared" si="61"/>
        <v>6780.6713935876287</v>
      </c>
      <c r="AD71" s="64">
        <f t="shared" si="61"/>
        <v>6974.1542850067253</v>
      </c>
      <c r="AE71" s="64">
        <f t="shared" si="61"/>
        <v>6945.1069324096716</v>
      </c>
    </row>
    <row r="72" spans="2:31" ht="15.75">
      <c r="B72" s="79" t="s">
        <v>202</v>
      </c>
      <c r="Q72" s="103">
        <v>0.15</v>
      </c>
      <c r="R72" s="98">
        <f>R71/R50</f>
        <v>0.11603958117592912</v>
      </c>
      <c r="S72" s="98">
        <f>S71/S50</f>
        <v>0.12148912266367072</v>
      </c>
      <c r="T72" s="103">
        <f>S72+1%</f>
        <v>0.13148912266367072</v>
      </c>
      <c r="U72" s="103">
        <v>0.13</v>
      </c>
      <c r="V72" s="103">
        <v>0.13500000000000001</v>
      </c>
      <c r="W72" s="103">
        <v>0.13500000000000001</v>
      </c>
      <c r="X72" s="103">
        <v>0.14000000000000001</v>
      </c>
      <c r="Y72" s="103">
        <v>0.14000000000000001</v>
      </c>
      <c r="Z72" s="103">
        <v>0.14000000000000001</v>
      </c>
      <c r="AA72" s="103">
        <v>0.14000000000000001</v>
      </c>
      <c r="AB72" s="103">
        <v>0.14000000000000001</v>
      </c>
      <c r="AC72" s="103">
        <v>0.14000000000000001</v>
      </c>
      <c r="AD72" s="103">
        <v>0.14000000000000001</v>
      </c>
      <c r="AE72" s="103">
        <v>0.14000000000000001</v>
      </c>
    </row>
    <row r="73" spans="2:31" ht="15.75">
      <c r="B73" s="79" t="s">
        <v>191</v>
      </c>
      <c r="Q73" s="64">
        <f t="shared" ref="Q73:X73" si="62">Q55-Q71</f>
        <v>-1257.3412367999999</v>
      </c>
      <c r="R73" s="64">
        <f t="shared" si="62"/>
        <v>-1787</v>
      </c>
      <c r="S73" s="64">
        <f t="shared" si="62"/>
        <v>-1094</v>
      </c>
      <c r="T73" s="64">
        <f t="shared" si="62"/>
        <v>-434.33554925586691</v>
      </c>
      <c r="U73" s="64">
        <f t="shared" si="62"/>
        <v>-1280.5420691905681</v>
      </c>
      <c r="V73" s="64">
        <f t="shared" si="62"/>
        <v>-2068.9855302717879</v>
      </c>
      <c r="W73" s="64">
        <f t="shared" si="62"/>
        <v>-728.47088273152849</v>
      </c>
      <c r="X73" s="64">
        <f t="shared" si="62"/>
        <v>951.08738945318555</v>
      </c>
      <c r="Y73" s="64">
        <f t="shared" ref="Y73:AD73" si="63">Y55-Y71</f>
        <v>2224.5804398977552</v>
      </c>
      <c r="Z73" s="64">
        <f t="shared" si="63"/>
        <v>3404.6199699950857</v>
      </c>
      <c r="AA73" s="64">
        <f t="shared" si="63"/>
        <v>4694.4886799199612</v>
      </c>
      <c r="AB73" s="64">
        <f t="shared" si="63"/>
        <v>5587.0386788917895</v>
      </c>
      <c r="AC73" s="64">
        <f t="shared" si="63"/>
        <v>6563.7550482945844</v>
      </c>
      <c r="AD73" s="64">
        <f t="shared" si="63"/>
        <v>7451.0053321386677</v>
      </c>
      <c r="AE73" s="64">
        <f>AE55-AE71</f>
        <v>7625.3136802043227</v>
      </c>
    </row>
    <row r="74" spans="2:31" ht="15.75">
      <c r="B74" s="79"/>
    </row>
    <row r="75" spans="2:31" ht="15.75">
      <c r="B75" s="79" t="s">
        <v>201</v>
      </c>
      <c r="O75" s="64">
        <f t="shared" ref="O75:X75" si="64">O76*O37</f>
        <v>1696.5069299999998</v>
      </c>
      <c r="P75" s="64">
        <f t="shared" si="64"/>
        <v>1884.09375</v>
      </c>
      <c r="Q75" s="64">
        <f t="shared" si="64"/>
        <v>5143.6686959999997</v>
      </c>
      <c r="R75" s="64">
        <f t="shared" si="64"/>
        <v>7574.988690000001</v>
      </c>
      <c r="S75" s="64">
        <f t="shared" si="64"/>
        <v>3283.9993100000002</v>
      </c>
      <c r="T75" s="64">
        <f t="shared" si="64"/>
        <v>2559.5083679936456</v>
      </c>
      <c r="U75" s="64">
        <f t="shared" si="64"/>
        <v>3619.3696792264209</v>
      </c>
      <c r="V75" s="64">
        <f t="shared" si="64"/>
        <v>4566.2390398361267</v>
      </c>
      <c r="W75" s="64">
        <f t="shared" si="64"/>
        <v>5341.820589485249</v>
      </c>
      <c r="X75" s="64">
        <f t="shared" si="64"/>
        <v>5952.1270214844017</v>
      </c>
      <c r="Y75" s="64">
        <f t="shared" ref="Y75:AE75" si="65">Y76*Y37</f>
        <v>6716.3939215642749</v>
      </c>
      <c r="Z75" s="64">
        <f t="shared" si="65"/>
        <v>6206.5960054879652</v>
      </c>
      <c r="AA75" s="64">
        <f t="shared" si="65"/>
        <v>5934.4975440031249</v>
      </c>
      <c r="AB75" s="64">
        <f t="shared" si="65"/>
        <v>6359.4056847335978</v>
      </c>
      <c r="AC75" s="64">
        <f t="shared" si="65"/>
        <v>6780.6713935876287</v>
      </c>
      <c r="AD75" s="64">
        <f t="shared" si="65"/>
        <v>6974.1542850067253</v>
      </c>
      <c r="AE75" s="64">
        <f t="shared" si="65"/>
        <v>6945.1069324096716</v>
      </c>
    </row>
    <row r="76" spans="2:31" ht="15.75">
      <c r="B76" s="79" t="s">
        <v>524</v>
      </c>
      <c r="O76" s="101">
        <v>0.15</v>
      </c>
      <c r="P76" s="101">
        <v>0.15</v>
      </c>
      <c r="Q76" s="101">
        <v>0.45</v>
      </c>
      <c r="R76" s="101">
        <v>0.51270000000000004</v>
      </c>
      <c r="S76" s="101">
        <v>0.1973</v>
      </c>
      <c r="T76" s="101">
        <v>0.15</v>
      </c>
      <c r="U76" s="101">
        <v>0.2</v>
      </c>
      <c r="V76" s="101">
        <v>0.22</v>
      </c>
      <c r="W76" s="101">
        <v>0.22</v>
      </c>
      <c r="X76" s="101">
        <v>0.21</v>
      </c>
      <c r="Y76" s="101">
        <v>0.2</v>
      </c>
      <c r="Z76" s="101">
        <v>0.16</v>
      </c>
      <c r="AA76" s="101">
        <v>0.14000000000000001</v>
      </c>
      <c r="AB76" s="101">
        <v>0.14000000000000001</v>
      </c>
      <c r="AC76" s="101">
        <v>0.14000000000000001</v>
      </c>
      <c r="AD76" s="101">
        <v>0.14000000000000001</v>
      </c>
      <c r="AE76" s="101">
        <v>0.14000000000000001</v>
      </c>
    </row>
    <row r="77" spans="2:31" ht="15.75">
      <c r="B77" s="79" t="s">
        <v>541</v>
      </c>
      <c r="Q77" s="64">
        <f>Q75/Valuation!G$19</f>
        <v>413.47819099678458</v>
      </c>
      <c r="R77" s="64">
        <f>R75/Valuation!H$19</f>
        <v>575.60704331306999</v>
      </c>
      <c r="S77" s="64">
        <f>S75/Valuation!I$19</f>
        <v>257.3667170846395</v>
      </c>
      <c r="T77" s="64">
        <f>T75/Valuation!J$19</f>
        <v>192.29965199050679</v>
      </c>
      <c r="U77" s="64">
        <f>U75/Valuation!K$19</f>
        <v>228.06362187942162</v>
      </c>
      <c r="V77" s="64">
        <f>V75/Valuation!L$19</f>
        <v>242.24079786929053</v>
      </c>
      <c r="W77" s="64">
        <f>W75/Valuation!M$19</f>
        <v>282.63601002567458</v>
      </c>
      <c r="X77" s="64">
        <f>X75/Valuation!N$19</f>
        <v>309.20140371347543</v>
      </c>
      <c r="Y77" s="64">
        <f>Y75/Valuation!O$19</f>
        <v>348.90358034100132</v>
      </c>
      <c r="Z77" s="64">
        <f>Z75/Valuation!P$19</f>
        <v>288.94767250875071</v>
      </c>
      <c r="AA77" s="64">
        <f>AA75/Valuation!Q$19</f>
        <v>292.54843990770485</v>
      </c>
      <c r="AB77" s="64">
        <f>AB75/Valuation!R$19</f>
        <v>316.2310136615414</v>
      </c>
      <c r="AC77" s="64">
        <f>AC75/Valuation!S$19</f>
        <v>383.08877929873609</v>
      </c>
      <c r="AD77" s="64">
        <f>AD75/Valuation!T$19</f>
        <v>409.37745274751848</v>
      </c>
      <c r="AE77" s="64">
        <f>AE75/Valuation!U$19</f>
        <v>402.12535072721158</v>
      </c>
    </row>
    <row r="78" spans="2:31" ht="15.75">
      <c r="B78" s="79" t="s">
        <v>542</v>
      </c>
      <c r="Q78" s="104">
        <f>Q75/Q71</f>
        <v>3</v>
      </c>
      <c r="R78" s="104">
        <f t="shared" ref="R78:X78" si="66">R75/R71</f>
        <v>3.7555719831432826</v>
      </c>
      <c r="S78" s="104">
        <f t="shared" si="66"/>
        <v>1.3804116477511561</v>
      </c>
      <c r="T78" s="104">
        <f t="shared" si="66"/>
        <v>1.1407787728850949</v>
      </c>
      <c r="U78" s="104">
        <f t="shared" si="66"/>
        <v>1.5384615384615385</v>
      </c>
      <c r="V78" s="104">
        <f t="shared" si="66"/>
        <v>1.6296296296296295</v>
      </c>
      <c r="W78" s="104">
        <f t="shared" si="66"/>
        <v>1.6296296296296295</v>
      </c>
      <c r="X78" s="104">
        <f t="shared" si="66"/>
        <v>1.4999999999999998</v>
      </c>
      <c r="Y78" s="104">
        <f t="shared" ref="Y78:AD78" si="67">Y75/Y71</f>
        <v>1.4285714285714284</v>
      </c>
      <c r="Z78" s="104">
        <f t="shared" si="67"/>
        <v>1.1428571428571428</v>
      </c>
      <c r="AA78" s="104">
        <f t="shared" si="67"/>
        <v>1</v>
      </c>
      <c r="AB78" s="104">
        <f t="shared" si="67"/>
        <v>1</v>
      </c>
      <c r="AC78" s="104">
        <f t="shared" si="67"/>
        <v>1</v>
      </c>
      <c r="AD78" s="104">
        <f t="shared" si="67"/>
        <v>1</v>
      </c>
      <c r="AE78" s="104">
        <f>AE75/AE71</f>
        <v>1</v>
      </c>
    </row>
    <row r="79" spans="2:31" ht="15.75">
      <c r="B79" s="79"/>
      <c r="Q79" s="104"/>
      <c r="R79" s="104"/>
      <c r="S79" s="104"/>
      <c r="T79" s="104"/>
      <c r="U79" s="104"/>
      <c r="V79" s="104"/>
      <c r="W79" s="104"/>
      <c r="X79" s="104"/>
      <c r="Y79" s="104"/>
      <c r="Z79" s="104"/>
      <c r="AA79" s="104"/>
      <c r="AB79" s="104"/>
      <c r="AC79" s="104"/>
      <c r="AD79" s="104"/>
      <c r="AE79" s="104"/>
    </row>
    <row r="80" spans="2:31" ht="15.75">
      <c r="B80" s="79" t="s">
        <v>933</v>
      </c>
      <c r="Q80" s="64">
        <f t="shared" ref="Q80:X80" si="68">Q81*Q35</f>
        <v>0</v>
      </c>
      <c r="R80" s="64">
        <f t="shared" si="68"/>
        <v>0</v>
      </c>
      <c r="S80" s="64">
        <f t="shared" si="68"/>
        <v>0</v>
      </c>
      <c r="T80" s="64">
        <f t="shared" si="68"/>
        <v>0</v>
      </c>
      <c r="U80" s="64">
        <f t="shared" si="68"/>
        <v>0</v>
      </c>
      <c r="V80" s="64">
        <f t="shared" si="68"/>
        <v>0</v>
      </c>
      <c r="W80" s="64">
        <f t="shared" si="68"/>
        <v>0</v>
      </c>
      <c r="X80" s="64">
        <f t="shared" si="68"/>
        <v>0</v>
      </c>
      <c r="Y80" s="64">
        <f t="shared" ref="Y80:AE80" si="69">Y81*Y35</f>
        <v>0</v>
      </c>
      <c r="Z80" s="64">
        <f t="shared" si="69"/>
        <v>0</v>
      </c>
      <c r="AA80" s="64">
        <f t="shared" si="69"/>
        <v>0</v>
      </c>
      <c r="AB80" s="64">
        <f t="shared" si="69"/>
        <v>0</v>
      </c>
      <c r="AC80" s="64">
        <f t="shared" si="69"/>
        <v>0</v>
      </c>
      <c r="AD80" s="64">
        <f t="shared" si="69"/>
        <v>0</v>
      </c>
      <c r="AE80" s="64">
        <f t="shared" si="69"/>
        <v>0</v>
      </c>
    </row>
    <row r="81" spans="2:31" ht="15.75">
      <c r="B81" s="79" t="s">
        <v>934</v>
      </c>
      <c r="Q81" s="158"/>
      <c r="R81" s="158"/>
      <c r="S81" s="159">
        <v>0</v>
      </c>
      <c r="T81" s="159">
        <v>0</v>
      </c>
      <c r="U81" s="159">
        <v>0</v>
      </c>
      <c r="V81" s="159">
        <v>0</v>
      </c>
      <c r="W81" s="159">
        <v>0</v>
      </c>
      <c r="X81" s="159">
        <v>0</v>
      </c>
      <c r="Y81" s="159">
        <v>0</v>
      </c>
      <c r="Z81" s="159">
        <v>0</v>
      </c>
      <c r="AA81" s="159">
        <v>0</v>
      </c>
      <c r="AB81" s="159">
        <v>0</v>
      </c>
      <c r="AC81" s="159">
        <v>0</v>
      </c>
      <c r="AD81" s="159">
        <v>0</v>
      </c>
      <c r="AE81" s="159">
        <v>0</v>
      </c>
    </row>
    <row r="82" spans="2:31" ht="15.75">
      <c r="B82" s="79"/>
    </row>
    <row r="83" spans="2:31" ht="15.75">
      <c r="B83" s="79" t="s">
        <v>939</v>
      </c>
      <c r="Q83" s="64">
        <f t="shared" ref="Q83:X83" si="70">Q55-Q75</f>
        <v>-4686.4537007999998</v>
      </c>
      <c r="R83" s="64">
        <f t="shared" si="70"/>
        <v>-7344.988690000001</v>
      </c>
      <c r="S83" s="64">
        <f t="shared" si="70"/>
        <v>-1998.9993100000002</v>
      </c>
      <c r="T83" s="64">
        <f t="shared" si="70"/>
        <v>-750.19385219745823</v>
      </c>
      <c r="U83" s="64">
        <f t="shared" si="70"/>
        <v>-2547.3214569198153</v>
      </c>
      <c r="V83" s="64">
        <f t="shared" si="70"/>
        <v>-3833.214250208473</v>
      </c>
      <c r="W83" s="64">
        <f t="shared" si="70"/>
        <v>-2792.3561104871928</v>
      </c>
      <c r="X83" s="64">
        <f t="shared" si="70"/>
        <v>-1032.9549510416145</v>
      </c>
      <c r="Y83" s="64">
        <f t="shared" ref="Y83:AD83" si="71">Y55-Y75</f>
        <v>209.66226342847312</v>
      </c>
      <c r="Z83" s="64">
        <f t="shared" si="71"/>
        <v>2628.7954693090905</v>
      </c>
      <c r="AA83" s="64">
        <f t="shared" si="71"/>
        <v>4694.4886799199612</v>
      </c>
      <c r="AB83" s="64">
        <f t="shared" si="71"/>
        <v>5587.0386788917895</v>
      </c>
      <c r="AC83" s="64">
        <f t="shared" si="71"/>
        <v>6563.7550482945844</v>
      </c>
      <c r="AD83" s="64">
        <f t="shared" si="71"/>
        <v>7451.0053321386677</v>
      </c>
      <c r="AE83" s="64">
        <f>AE55-AE75</f>
        <v>7625.3136802043227</v>
      </c>
    </row>
    <row r="84" spans="2:31" ht="15.75">
      <c r="B84" s="79" t="s">
        <v>547</v>
      </c>
      <c r="Q84" s="64">
        <f>Q83/Valuation!G$19</f>
        <v>-376.72457401929262</v>
      </c>
      <c r="R84" s="64">
        <f>R83/Valuation!H$19</f>
        <v>-558.12983966565355</v>
      </c>
      <c r="S84" s="64">
        <f>S83/Valuation!I$19</f>
        <v>-156.66138793103451</v>
      </c>
      <c r="T84" s="64">
        <f>T83/Valuation!J$19</f>
        <v>-56.363174470132094</v>
      </c>
      <c r="U84" s="64">
        <f>U83/Valuation!K$19</f>
        <v>-160.51174901826184</v>
      </c>
      <c r="V84" s="64">
        <f>V83/Valuation!L$19</f>
        <v>-203.35354112511791</v>
      </c>
      <c r="W84" s="64">
        <f>W83/Valuation!M$19</f>
        <v>-147.74370954958692</v>
      </c>
      <c r="X84" s="64">
        <f>X83/Valuation!N$19</f>
        <v>-53.659997456707252</v>
      </c>
      <c r="Y84" s="64">
        <f>Y83/Valuation!O$19</f>
        <v>10.891546152128473</v>
      </c>
      <c r="Z84" s="64">
        <f>Z83/Valuation!P$19</f>
        <v>122.38340173692228</v>
      </c>
      <c r="AA84" s="64">
        <f>AA83/Valuation!Q$19</f>
        <v>231.42066018087178</v>
      </c>
      <c r="AB84" s="64">
        <f>AB83/Valuation!R$19</f>
        <v>277.8239024809443</v>
      </c>
      <c r="AC84" s="64">
        <f>AC83/Valuation!S$19</f>
        <v>370.83361854771664</v>
      </c>
      <c r="AD84" s="64">
        <f>AD83/Valuation!T$19</f>
        <v>437.36823973577526</v>
      </c>
      <c r="AE84" s="64">
        <f>AE83/Valuation!U$19</f>
        <v>441.50967982191662</v>
      </c>
    </row>
    <row r="85" spans="2:31" ht="15.75">
      <c r="B85" s="79"/>
    </row>
    <row r="86" spans="2:31" ht="15.75">
      <c r="B86" s="79" t="s">
        <v>856</v>
      </c>
      <c r="Q86" s="64">
        <f t="shared" ref="Q86:X86" si="72">Q87*AVERAGE(P109:Q109)</f>
        <v>1693.6499999999999</v>
      </c>
      <c r="R86" s="64">
        <f t="shared" si="72"/>
        <v>1384.95</v>
      </c>
      <c r="S86" s="64">
        <f t="shared" si="72"/>
        <v>1214.5700000000002</v>
      </c>
      <c r="T86" s="64">
        <f t="shared" si="72"/>
        <v>1237.18</v>
      </c>
      <c r="U86" s="64">
        <f t="shared" si="72"/>
        <v>1237.18</v>
      </c>
      <c r="V86" s="64">
        <f t="shared" si="72"/>
        <v>1237.18</v>
      </c>
      <c r="W86" s="64">
        <f t="shared" si="72"/>
        <v>1237.18</v>
      </c>
      <c r="X86" s="64">
        <f t="shared" si="72"/>
        <v>1237.18</v>
      </c>
      <c r="Y86" s="64">
        <f t="shared" ref="Y86:AE86" si="73">Y87*AVERAGE(X109:Y109)</f>
        <v>1237.18</v>
      </c>
      <c r="Z86" s="64">
        <f t="shared" si="73"/>
        <v>1237.18</v>
      </c>
      <c r="AA86" s="64">
        <f t="shared" si="73"/>
        <v>1237.18</v>
      </c>
      <c r="AB86" s="64">
        <f t="shared" si="73"/>
        <v>1237.18</v>
      </c>
      <c r="AC86" s="64">
        <f t="shared" si="73"/>
        <v>1237.18</v>
      </c>
      <c r="AD86" s="64">
        <f t="shared" si="73"/>
        <v>1237.18</v>
      </c>
      <c r="AE86" s="64">
        <f t="shared" si="73"/>
        <v>1237.18</v>
      </c>
    </row>
    <row r="87" spans="2:31" ht="15.75">
      <c r="B87" s="79" t="s">
        <v>532</v>
      </c>
      <c r="Q87" s="101">
        <v>0.15</v>
      </c>
      <c r="R87" s="101">
        <v>0.15</v>
      </c>
      <c r="S87" s="101">
        <v>0.14000000000000001</v>
      </c>
      <c r="T87" s="101">
        <f>S87</f>
        <v>0.14000000000000001</v>
      </c>
      <c r="U87" s="101">
        <f>T87</f>
        <v>0.14000000000000001</v>
      </c>
      <c r="V87" s="101">
        <f>U87</f>
        <v>0.14000000000000001</v>
      </c>
      <c r="W87" s="101">
        <f>V87</f>
        <v>0.14000000000000001</v>
      </c>
      <c r="X87" s="101">
        <f>W87</f>
        <v>0.14000000000000001</v>
      </c>
      <c r="Y87" s="101">
        <f t="shared" ref="Y87:AD87" si="74">X87</f>
        <v>0.14000000000000001</v>
      </c>
      <c r="Z87" s="101">
        <f t="shared" si="74"/>
        <v>0.14000000000000001</v>
      </c>
      <c r="AA87" s="101">
        <f t="shared" si="74"/>
        <v>0.14000000000000001</v>
      </c>
      <c r="AB87" s="101">
        <f t="shared" si="74"/>
        <v>0.14000000000000001</v>
      </c>
      <c r="AC87" s="101">
        <f t="shared" si="74"/>
        <v>0.14000000000000001</v>
      </c>
      <c r="AD87" s="101">
        <f t="shared" si="74"/>
        <v>0.14000000000000001</v>
      </c>
      <c r="AE87" s="101">
        <f>AD87</f>
        <v>0.14000000000000001</v>
      </c>
    </row>
    <row r="88" spans="2:31" ht="15.75">
      <c r="B88" s="79" t="s">
        <v>261</v>
      </c>
      <c r="Q88" s="64">
        <f ca="1">Q89*AVERAGE(P112:Q112)</f>
        <v>216.2340307745547</v>
      </c>
      <c r="R88" s="64">
        <f>R86-R90</f>
        <v>21.950000000000045</v>
      </c>
      <c r="S88" s="64">
        <f>S86-S90</f>
        <v>65.570000000000164</v>
      </c>
      <c r="T88" s="64">
        <f ca="1">T89*AVERAGE(S112:T112)</f>
        <v>129.93986430076285</v>
      </c>
      <c r="U88" s="64">
        <f ca="1">U89*AVERAGE(T112:U112)</f>
        <v>225.08737682733789</v>
      </c>
      <c r="V88" s="64">
        <f ca="1">V89*AVERAGE(U112:V112)</f>
        <v>334.06707584997542</v>
      </c>
      <c r="W88" s="64">
        <f ca="1">W89*AVERAGE(V112:W112)</f>
        <v>509.3441331438878</v>
      </c>
      <c r="X88" s="64">
        <f ca="1">X89*AVERAGE(W112:X112)</f>
        <v>784.84133376940292</v>
      </c>
      <c r="Y88" s="64">
        <f t="shared" ref="Y88:AE88" ca="1" si="75">Y89*AVERAGE(X112:Y112)</f>
        <v>1147.8702564510643</v>
      </c>
      <c r="Z88" s="64">
        <f t="shared" ca="1" si="75"/>
        <v>1640.4676507326333</v>
      </c>
      <c r="AA88" s="64">
        <f t="shared" ca="1" si="75"/>
        <v>2102.7381688538781</v>
      </c>
      <c r="AB88" s="64">
        <f t="shared" ca="1" si="75"/>
        <v>2473.9344606251534</v>
      </c>
      <c r="AC88" s="64">
        <f t="shared" ca="1" si="75"/>
        <v>2925.8322318387754</v>
      </c>
      <c r="AD88" s="64">
        <f t="shared" ca="1" si="75"/>
        <v>3463.2551455184666</v>
      </c>
      <c r="AE88" s="64">
        <f t="shared" ca="1" si="75"/>
        <v>4066.6939532044107</v>
      </c>
    </row>
    <row r="89" spans="2:31" ht="15.75">
      <c r="B89" s="91" t="s">
        <v>1649</v>
      </c>
      <c r="C89" s="61"/>
      <c r="D89" s="61"/>
      <c r="E89" s="61"/>
      <c r="F89" s="61"/>
      <c r="G89" s="61"/>
      <c r="H89" s="61"/>
      <c r="I89" s="61"/>
      <c r="J89" s="61"/>
      <c r="K89" s="61"/>
      <c r="L89" s="61"/>
      <c r="M89" s="61"/>
      <c r="N89" s="61"/>
      <c r="O89" s="61"/>
      <c r="P89" s="61"/>
      <c r="Q89" s="77">
        <v>3.5000000000000003E-2</v>
      </c>
      <c r="R89" s="73">
        <f ca="1">R88/AVERAGE(Q112:R112)</f>
        <v>3.5185500398716742E-3</v>
      </c>
      <c r="S89" s="73">
        <f>S88/AVERAGE(R112:S112)</f>
        <v>7.0733549083063826E-2</v>
      </c>
      <c r="T89" s="102">
        <f t="shared" ref="T89:AE89" si="76">S89</f>
        <v>7.0733549083063826E-2</v>
      </c>
      <c r="U89" s="102">
        <f t="shared" si="76"/>
        <v>7.0733549083063826E-2</v>
      </c>
      <c r="V89" s="102">
        <f t="shared" si="76"/>
        <v>7.0733549083063826E-2</v>
      </c>
      <c r="W89" s="102">
        <f t="shared" si="76"/>
        <v>7.0733549083063826E-2</v>
      </c>
      <c r="X89" s="102">
        <f t="shared" si="76"/>
        <v>7.0733549083063826E-2</v>
      </c>
      <c r="Y89" s="102">
        <f t="shared" si="76"/>
        <v>7.0733549083063826E-2</v>
      </c>
      <c r="Z89" s="102">
        <f t="shared" si="76"/>
        <v>7.0733549083063826E-2</v>
      </c>
      <c r="AA89" s="102">
        <f t="shared" si="76"/>
        <v>7.0733549083063826E-2</v>
      </c>
      <c r="AB89" s="102">
        <f t="shared" si="76"/>
        <v>7.0733549083063826E-2</v>
      </c>
      <c r="AC89" s="102">
        <f t="shared" si="76"/>
        <v>7.0733549083063826E-2</v>
      </c>
      <c r="AD89" s="102">
        <f t="shared" si="76"/>
        <v>7.0733549083063826E-2</v>
      </c>
      <c r="AE89" s="102">
        <f t="shared" si="76"/>
        <v>7.0733549083063826E-2</v>
      </c>
    </row>
    <row r="90" spans="2:31" ht="15.75">
      <c r="B90" s="79" t="s">
        <v>1652</v>
      </c>
      <c r="Q90" s="64">
        <f ca="1">Q86-Q88</f>
        <v>1477.4159692254452</v>
      </c>
      <c r="R90" s="159">
        <v>1363</v>
      </c>
      <c r="S90" s="159">
        <v>1149</v>
      </c>
      <c r="T90" s="64">
        <f ca="1">T86-T88</f>
        <v>1107.2401356992373</v>
      </c>
      <c r="U90" s="64">
        <f ca="1">U86-U88</f>
        <v>1012.0926231726621</v>
      </c>
      <c r="V90" s="64">
        <f ca="1">V86-V88</f>
        <v>903.11292415002458</v>
      </c>
      <c r="W90" s="64">
        <f ca="1">W86-W88</f>
        <v>727.83586685611226</v>
      </c>
      <c r="X90" s="64">
        <f ca="1">X86-X88</f>
        <v>452.33866623059714</v>
      </c>
      <c r="Y90" s="64">
        <f t="shared" ref="Y90:AD90" ca="1" si="77">Y86-Y88</f>
        <v>89.309743548935785</v>
      </c>
      <c r="Z90" s="64">
        <f t="shared" ca="1" si="77"/>
        <v>-403.28765073263321</v>
      </c>
      <c r="AA90" s="64">
        <f t="shared" ca="1" si="77"/>
        <v>-865.55816885387799</v>
      </c>
      <c r="AB90" s="64">
        <f t="shared" ca="1" si="77"/>
        <v>-1236.7544606251533</v>
      </c>
      <c r="AC90" s="64">
        <f t="shared" ca="1" si="77"/>
        <v>-1688.6522318387754</v>
      </c>
      <c r="AD90" s="64">
        <f t="shared" ca="1" si="77"/>
        <v>-2226.0751455184663</v>
      </c>
      <c r="AE90" s="64">
        <f ca="1">AE86-AE88</f>
        <v>-2829.5139532044104</v>
      </c>
    </row>
    <row r="91" spans="2:31" ht="15.75">
      <c r="B91" s="79"/>
      <c r="Q91" s="64"/>
      <c r="R91" s="252"/>
      <c r="S91" s="252"/>
      <c r="T91" s="64"/>
      <c r="U91" s="64"/>
      <c r="V91" s="64"/>
      <c r="W91" s="64"/>
      <c r="X91" s="64"/>
      <c r="Y91" s="64"/>
      <c r="Z91" s="64"/>
      <c r="AA91" s="64"/>
      <c r="AB91" s="64"/>
      <c r="AC91" s="64"/>
      <c r="AD91" s="64"/>
      <c r="AE91" s="64"/>
    </row>
    <row r="92" spans="2:31" ht="15.75">
      <c r="B92" s="79" t="s">
        <v>191</v>
      </c>
      <c r="R92" s="64">
        <f t="shared" ref="R92:X92" si="78">R55-R71-R90</f>
        <v>-3150</v>
      </c>
      <c r="S92" s="64">
        <f t="shared" si="78"/>
        <v>-2243</v>
      </c>
      <c r="T92" s="64">
        <f t="shared" ca="1" si="78"/>
        <v>-1541.5756849551042</v>
      </c>
      <c r="U92" s="64">
        <f t="shared" ca="1" si="78"/>
        <v>-2292.63469236323</v>
      </c>
      <c r="V92" s="64">
        <f t="shared" ca="1" si="78"/>
        <v>-2972.0984544218127</v>
      </c>
      <c r="W92" s="64">
        <f t="shared" ca="1" si="78"/>
        <v>-1456.3067495876408</v>
      </c>
      <c r="X92" s="64">
        <f t="shared" ca="1" si="78"/>
        <v>498.74872322258841</v>
      </c>
      <c r="Y92" s="64">
        <f t="shared" ref="Y92:AD92" ca="1" si="79">Y55-Y71-Y90</f>
        <v>2135.2706963488195</v>
      </c>
      <c r="Z92" s="64">
        <f t="shared" ca="1" si="79"/>
        <v>3807.9076207277189</v>
      </c>
      <c r="AA92" s="64">
        <f t="shared" ca="1" si="79"/>
        <v>5560.046848773839</v>
      </c>
      <c r="AB92" s="64">
        <f t="shared" ca="1" si="79"/>
        <v>6823.7931395169426</v>
      </c>
      <c r="AC92" s="64">
        <f t="shared" ca="1" si="79"/>
        <v>8252.4072801333605</v>
      </c>
      <c r="AD92" s="64">
        <f t="shared" ca="1" si="79"/>
        <v>9677.0804776571349</v>
      </c>
      <c r="AE92" s="64">
        <f ca="1">AE55-AE71-AE90</f>
        <v>10454.827633408733</v>
      </c>
    </row>
    <row r="93" spans="2:31" ht="15.75">
      <c r="B93" s="79"/>
    </row>
    <row r="94" spans="2:31" ht="15.75">
      <c r="B94" s="79" t="s">
        <v>192</v>
      </c>
      <c r="Q94" s="64">
        <v>0</v>
      </c>
      <c r="R94" s="159">
        <v>-467</v>
      </c>
      <c r="S94" s="159">
        <v>-342</v>
      </c>
      <c r="T94" s="64">
        <f ca="1">T95*T92</f>
        <v>-235.05077318530792</v>
      </c>
      <c r="U94" s="64">
        <f ca="1">U95*U92</f>
        <v>-349.56801818467443</v>
      </c>
      <c r="V94" s="64">
        <f ca="1">V95*V92</f>
        <v>-453.16882363453414</v>
      </c>
      <c r="W94" s="64">
        <f ca="1">W95*W92</f>
        <v>-222.04944643734871</v>
      </c>
      <c r="X94" s="64">
        <f ca="1">X95*X92</f>
        <v>76.046394713386206</v>
      </c>
      <c r="Y94" s="64">
        <f t="shared" ref="Y94:AD94" ca="1" si="80">Y95*Y92</f>
        <v>325.57404286727433</v>
      </c>
      <c r="Z94" s="64">
        <f t="shared" ca="1" si="80"/>
        <v>580.60829526922873</v>
      </c>
      <c r="AA94" s="64">
        <f t="shared" ca="1" si="80"/>
        <v>847.76461091424574</v>
      </c>
      <c r="AB94" s="64">
        <f t="shared" ca="1" si="80"/>
        <v>1040.4535237248303</v>
      </c>
      <c r="AC94" s="64">
        <f t="shared" ca="1" si="80"/>
        <v>1258.2805572026791</v>
      </c>
      <c r="AD94" s="64">
        <f t="shared" ca="1" si="80"/>
        <v>1475.5066978861971</v>
      </c>
      <c r="AE94" s="64">
        <f ca="1">AE95*AE92</f>
        <v>1594.093201348991</v>
      </c>
    </row>
    <row r="95" spans="2:31" ht="15.75">
      <c r="B95" s="79" t="s">
        <v>536</v>
      </c>
      <c r="Q95" s="101">
        <v>0.28000000000000003</v>
      </c>
      <c r="R95" s="69">
        <f>R94/R92</f>
        <v>0.14825396825396825</v>
      </c>
      <c r="S95" s="69">
        <f>S94/S92</f>
        <v>0.15247436469014714</v>
      </c>
      <c r="T95" s="101">
        <f t="shared" ref="T95:AE95" si="81">S95</f>
        <v>0.15247436469014714</v>
      </c>
      <c r="U95" s="101">
        <f t="shared" si="81"/>
        <v>0.15247436469014714</v>
      </c>
      <c r="V95" s="101">
        <f t="shared" si="81"/>
        <v>0.15247436469014714</v>
      </c>
      <c r="W95" s="101">
        <f t="shared" si="81"/>
        <v>0.15247436469014714</v>
      </c>
      <c r="X95" s="101">
        <f t="shared" si="81"/>
        <v>0.15247436469014714</v>
      </c>
      <c r="Y95" s="101">
        <f t="shared" si="81"/>
        <v>0.15247436469014714</v>
      </c>
      <c r="Z95" s="101">
        <f t="shared" si="81"/>
        <v>0.15247436469014714</v>
      </c>
      <c r="AA95" s="101">
        <f t="shared" si="81"/>
        <v>0.15247436469014714</v>
      </c>
      <c r="AB95" s="101">
        <f t="shared" si="81"/>
        <v>0.15247436469014714</v>
      </c>
      <c r="AC95" s="101">
        <f t="shared" si="81"/>
        <v>0.15247436469014714</v>
      </c>
      <c r="AD95" s="101">
        <f t="shared" si="81"/>
        <v>0.15247436469014714</v>
      </c>
      <c r="AE95" s="101">
        <f t="shared" si="81"/>
        <v>0.15247436469014714</v>
      </c>
    </row>
    <row r="96" spans="2:31" ht="15.75">
      <c r="B96" s="79"/>
    </row>
    <row r="97" spans="2:31" ht="15.75">
      <c r="B97" s="79" t="s">
        <v>194</v>
      </c>
      <c r="Q97" s="64">
        <f t="shared" ref="Q97:X97" ca="1" si="82">Q55-Q71-Q90-Q94</f>
        <v>-2734.7572060254452</v>
      </c>
      <c r="R97" s="64">
        <f t="shared" si="82"/>
        <v>-2683</v>
      </c>
      <c r="S97" s="64">
        <f t="shared" si="82"/>
        <v>-1901</v>
      </c>
      <c r="T97" s="64">
        <f t="shared" ca="1" si="82"/>
        <v>-1306.5249117697963</v>
      </c>
      <c r="U97" s="64">
        <f t="shared" ca="1" si="82"/>
        <v>-1943.0666741785556</v>
      </c>
      <c r="V97" s="64">
        <f t="shared" ca="1" si="82"/>
        <v>-2518.9296307872787</v>
      </c>
      <c r="W97" s="64">
        <f t="shared" ca="1" si="82"/>
        <v>-1234.257303150292</v>
      </c>
      <c r="X97" s="64">
        <f t="shared" ca="1" si="82"/>
        <v>422.70232850920218</v>
      </c>
      <c r="Y97" s="64">
        <f t="shared" ref="Y97:AD97" ca="1" si="83">Y55-Y71-Y90-Y94</f>
        <v>1809.6966534815451</v>
      </c>
      <c r="Z97" s="64">
        <f t="shared" ca="1" si="83"/>
        <v>3227.2993254584903</v>
      </c>
      <c r="AA97" s="64">
        <f t="shared" ca="1" si="83"/>
        <v>4712.2822378595929</v>
      </c>
      <c r="AB97" s="64">
        <f t="shared" ca="1" si="83"/>
        <v>5783.3396157921125</v>
      </c>
      <c r="AC97" s="64">
        <f t="shared" ca="1" si="83"/>
        <v>6994.1267229306814</v>
      </c>
      <c r="AD97" s="64">
        <f t="shared" ca="1" si="83"/>
        <v>8201.5737797709371</v>
      </c>
      <c r="AE97" s="64">
        <f ca="1">AE55-AE71-AE90-AE94</f>
        <v>8860.7344320597422</v>
      </c>
    </row>
    <row r="98" spans="2:31" ht="15.75">
      <c r="B98" s="79"/>
    </row>
    <row r="99" spans="2:31" ht="15.75">
      <c r="B99" s="79" t="s">
        <v>308</v>
      </c>
      <c r="Q99" s="64">
        <f>IF(Q94&lt;0, 0,Q94)</f>
        <v>0</v>
      </c>
      <c r="R99" s="64">
        <f>IF(R94&lt;0, 0,R94)</f>
        <v>0</v>
      </c>
      <c r="S99" s="64">
        <f t="shared" ref="S99:X99" si="84">IF(S94&lt;0, 0,S94)</f>
        <v>0</v>
      </c>
      <c r="T99" s="64">
        <f t="shared" ca="1" si="84"/>
        <v>0</v>
      </c>
      <c r="U99" s="64">
        <f t="shared" ca="1" si="84"/>
        <v>0</v>
      </c>
      <c r="V99" s="64">
        <f t="shared" ca="1" si="84"/>
        <v>0</v>
      </c>
      <c r="W99" s="64">
        <f t="shared" ca="1" si="84"/>
        <v>0</v>
      </c>
      <c r="X99" s="64">
        <f t="shared" ca="1" si="84"/>
        <v>76.046394713386206</v>
      </c>
      <c r="Y99" s="64">
        <f t="shared" ref="Y99:AD99" ca="1" si="85">IF(Y94&lt;0, 0,Y94)</f>
        <v>325.57404286727433</v>
      </c>
      <c r="Z99" s="64">
        <f t="shared" ca="1" si="85"/>
        <v>580.60829526922873</v>
      </c>
      <c r="AA99" s="64">
        <f t="shared" ca="1" si="85"/>
        <v>847.76461091424574</v>
      </c>
      <c r="AB99" s="64">
        <f t="shared" ca="1" si="85"/>
        <v>1040.4535237248303</v>
      </c>
      <c r="AC99" s="64">
        <f t="shared" ca="1" si="85"/>
        <v>1258.2805572026791</v>
      </c>
      <c r="AD99" s="64">
        <f t="shared" ca="1" si="85"/>
        <v>1475.5066978861971</v>
      </c>
      <c r="AE99" s="64">
        <f ca="1">IF(AE94&lt;0, 0,AE94)</f>
        <v>1594.093201348991</v>
      </c>
    </row>
    <row r="100" spans="2:31" ht="15.75">
      <c r="B100" s="79" t="s">
        <v>935</v>
      </c>
      <c r="Q100" s="64">
        <f t="shared" ref="Q100:X100" ca="1" si="86">Q55-Q75-Q90-Q99-Q80</f>
        <v>-6163.869670025445</v>
      </c>
      <c r="R100" s="64">
        <f>R55-R75-R90-R99-R80</f>
        <v>-8707.988690000002</v>
      </c>
      <c r="S100" s="64">
        <f t="shared" si="86"/>
        <v>-3147.9993100000002</v>
      </c>
      <c r="T100" s="64">
        <f t="shared" ca="1" si="86"/>
        <v>-1857.4339878966955</v>
      </c>
      <c r="U100" s="64">
        <f t="shared" ca="1" si="86"/>
        <v>-3559.4140800924774</v>
      </c>
      <c r="V100" s="64">
        <f t="shared" ca="1" si="86"/>
        <v>-4736.3271743584974</v>
      </c>
      <c r="W100" s="64">
        <f t="shared" ca="1" si="86"/>
        <v>-3520.1919773433051</v>
      </c>
      <c r="X100" s="64">
        <f t="shared" ca="1" si="86"/>
        <v>-1561.3400119855978</v>
      </c>
      <c r="Y100" s="64">
        <f t="shared" ref="Y100:AE100" ca="1" si="87">Y55-Y75-Y90-Y99-Y80</f>
        <v>-205.22152298773699</v>
      </c>
      <c r="Z100" s="64">
        <f t="shared" ca="1" si="87"/>
        <v>2451.4748247724951</v>
      </c>
      <c r="AA100" s="64">
        <f t="shared" ca="1" si="87"/>
        <v>4712.2822378595929</v>
      </c>
      <c r="AB100" s="64">
        <f t="shared" ca="1" si="87"/>
        <v>5783.3396157921125</v>
      </c>
      <c r="AC100" s="64">
        <f t="shared" ca="1" si="87"/>
        <v>6994.1267229306814</v>
      </c>
      <c r="AD100" s="64">
        <f t="shared" ca="1" si="87"/>
        <v>8201.5737797709371</v>
      </c>
      <c r="AE100" s="64">
        <f t="shared" ca="1" si="87"/>
        <v>8860.7344320597422</v>
      </c>
    </row>
    <row r="101" spans="2:31" ht="15.75">
      <c r="B101" s="254" t="s">
        <v>1670</v>
      </c>
      <c r="C101" s="255"/>
      <c r="D101" s="255"/>
      <c r="E101" s="255"/>
      <c r="F101" s="255"/>
      <c r="G101" s="255"/>
      <c r="H101" s="255"/>
      <c r="I101" s="255"/>
      <c r="J101" s="255"/>
      <c r="K101" s="255"/>
      <c r="L101" s="255"/>
      <c r="M101" s="255"/>
      <c r="N101" s="255"/>
      <c r="O101" s="255"/>
      <c r="P101" s="255"/>
      <c r="Q101" s="256"/>
      <c r="R101" s="256">
        <f t="shared" ref="R101:AE101" ca="1" si="88">(R106-Q106)+R103+R100</f>
        <v>826.74163997455253</v>
      </c>
      <c r="S101" s="256">
        <f t="shared" si="88"/>
        <v>6.899999998495332E-4</v>
      </c>
      <c r="T101" s="256">
        <f t="shared" ca="1" si="88"/>
        <v>0</v>
      </c>
      <c r="U101" s="256">
        <f t="shared" ca="1" si="88"/>
        <v>0</v>
      </c>
      <c r="V101" s="256">
        <f t="shared" ca="1" si="88"/>
        <v>0</v>
      </c>
      <c r="W101" s="256">
        <f t="shared" ca="1" si="88"/>
        <v>0</v>
      </c>
      <c r="X101" s="256">
        <f t="shared" ca="1" si="88"/>
        <v>0</v>
      </c>
      <c r="Y101" s="256">
        <f t="shared" ca="1" si="88"/>
        <v>4.5474735088646412E-13</v>
      </c>
      <c r="Z101" s="256">
        <f t="shared" ca="1" si="88"/>
        <v>0</v>
      </c>
      <c r="AA101" s="256">
        <f t="shared" ca="1" si="88"/>
        <v>0</v>
      </c>
      <c r="AB101" s="256">
        <f t="shared" ca="1" si="88"/>
        <v>0</v>
      </c>
      <c r="AC101" s="256">
        <f t="shared" ca="1" si="88"/>
        <v>0</v>
      </c>
      <c r="AD101" s="256">
        <f t="shared" ca="1" si="88"/>
        <v>0</v>
      </c>
      <c r="AE101" s="256">
        <f t="shared" ca="1" si="88"/>
        <v>0</v>
      </c>
    </row>
    <row r="102" spans="2:31" ht="15.75">
      <c r="B102" s="79"/>
    </row>
    <row r="103" spans="2:31" ht="16.5" thickBot="1">
      <c r="B103" s="79" t="s">
        <v>540</v>
      </c>
      <c r="Q103" s="64">
        <f>Q104*Valuation!G$19</f>
        <v>19935.099999999999</v>
      </c>
      <c r="R103" s="64">
        <f>R104*Valuation!H19</f>
        <v>0</v>
      </c>
      <c r="S103" s="64">
        <f>Master!L433*2</f>
        <v>3175</v>
      </c>
      <c r="T103" s="64">
        <f>T104*Valuation!J19</f>
        <v>3327.5</v>
      </c>
      <c r="U103" s="64">
        <f>U104*Valuation!K19</f>
        <v>4779.6559561128524</v>
      </c>
      <c r="V103" s="64">
        <f>V104*Valuation!L19</f>
        <v>6597.5000000000009</v>
      </c>
      <c r="W103" s="64">
        <f>W104*Valuation!M19</f>
        <v>6614.9999999999991</v>
      </c>
      <c r="X103" s="64">
        <f>X104*Valuation!N19</f>
        <v>6256.25</v>
      </c>
      <c r="Y103" s="64">
        <f>Y104*Valuation!O19</f>
        <v>5775</v>
      </c>
      <c r="Z103" s="64">
        <f>Z104*Valuation!P19</f>
        <v>5907</v>
      </c>
      <c r="AA103" s="64">
        <f>AA104*Valuation!Q19</f>
        <v>0</v>
      </c>
      <c r="AB103" s="64">
        <f>AB104*Valuation!R19</f>
        <v>0</v>
      </c>
      <c r="AC103" s="64">
        <f>AC104*Valuation!S19</f>
        <v>0</v>
      </c>
      <c r="AD103" s="64">
        <f>AD104*Valuation!T19</f>
        <v>0</v>
      </c>
      <c r="AE103" s="64">
        <f>AE104*Valuation!U19</f>
        <v>0</v>
      </c>
    </row>
    <row r="104" spans="2:31" ht="16.5" thickBot="1">
      <c r="B104" s="79" t="s">
        <v>539</v>
      </c>
      <c r="Q104" s="85">
        <f>37.5+1565</f>
        <v>1602.5</v>
      </c>
      <c r="R104" s="88">
        <v>0</v>
      </c>
      <c r="S104" s="88">
        <f>S103/Master!L92</f>
        <v>248.8244514106583</v>
      </c>
      <c r="T104" s="85">
        <v>250</v>
      </c>
      <c r="U104" s="257">
        <f>800-T104-S104</f>
        <v>301.1755485893417</v>
      </c>
      <c r="V104" s="85">
        <v>350</v>
      </c>
      <c r="W104" s="85">
        <v>350</v>
      </c>
      <c r="X104" s="85">
        <v>325</v>
      </c>
      <c r="Y104" s="85">
        <v>300</v>
      </c>
      <c r="Z104" s="257">
        <f>1600-V104-W104-X104-Y104</f>
        <v>275</v>
      </c>
      <c r="AA104" s="85">
        <v>0</v>
      </c>
      <c r="AB104" s="85">
        <v>0</v>
      </c>
      <c r="AC104" s="85">
        <v>0</v>
      </c>
      <c r="AD104" s="85">
        <v>0</v>
      </c>
      <c r="AE104" s="85">
        <v>0</v>
      </c>
    </row>
    <row r="105" spans="2:31" ht="15.75">
      <c r="B105" s="79"/>
      <c r="R105" s="253"/>
      <c r="S105" s="253"/>
    </row>
    <row r="106" spans="2:31" ht="15.75">
      <c r="B106" s="79" t="s">
        <v>535</v>
      </c>
      <c r="P106" s="64">
        <f>P107*Valuation!F19</f>
        <v>11998.5</v>
      </c>
      <c r="Q106" s="64">
        <f ca="1">P106-Q100-Q103</f>
        <v>-1772.7303299745545</v>
      </c>
      <c r="R106" s="64">
        <f>R109-R112</f>
        <v>7762</v>
      </c>
      <c r="S106" s="64">
        <f>S109-S112</f>
        <v>7735</v>
      </c>
      <c r="T106" s="64">
        <f ca="1">S106-T100-T103</f>
        <v>6264.9339878966948</v>
      </c>
      <c r="U106" s="64">
        <f ca="1">T106-U100-U103</f>
        <v>5044.6921118763203</v>
      </c>
      <c r="V106" s="64">
        <f ca="1">U106-V100-V103</f>
        <v>3183.5192862348167</v>
      </c>
      <c r="W106" s="64">
        <f ca="1">V106-W100-W103</f>
        <v>88.711263578122271</v>
      </c>
      <c r="X106" s="64">
        <f ca="1">W106-X100-X103</f>
        <v>-4606.1987244362799</v>
      </c>
      <c r="Y106" s="64">
        <f t="shared" ref="Y106:AD106" ca="1" si="89">X106-Y100-Y103</f>
        <v>-10175.977201448542</v>
      </c>
      <c r="Z106" s="64">
        <f t="shared" ca="1" si="89"/>
        <v>-18534.452026221035</v>
      </c>
      <c r="AA106" s="64">
        <f t="shared" ca="1" si="89"/>
        <v>-23246.734264080627</v>
      </c>
      <c r="AB106" s="64">
        <f t="shared" ca="1" si="89"/>
        <v>-29030.07387987274</v>
      </c>
      <c r="AC106" s="64">
        <f t="shared" ca="1" si="89"/>
        <v>-36024.200602803423</v>
      </c>
      <c r="AD106" s="64">
        <f t="shared" ca="1" si="89"/>
        <v>-44225.77438257436</v>
      </c>
      <c r="AE106" s="64">
        <f ca="1">AD106-AE100-AE103</f>
        <v>-53086.5088146341</v>
      </c>
    </row>
    <row r="107" spans="2:31" ht="15.75">
      <c r="B107" s="79" t="s">
        <v>534</v>
      </c>
      <c r="P107" s="159">
        <v>950</v>
      </c>
      <c r="Q107" s="64">
        <f ca="1">Q106/Valuation!G19</f>
        <v>-142.50243810084842</v>
      </c>
      <c r="R107" s="64">
        <f>R106/Valuation!H19</f>
        <v>589.81762917933133</v>
      </c>
      <c r="S107" s="64">
        <f>S106/Valuation!I19</f>
        <v>606.19122257053289</v>
      </c>
      <c r="T107" s="64">
        <f ca="1">T106/Valuation!J19</f>
        <v>470.69376317781325</v>
      </c>
      <c r="U107" s="64">
        <f ca="1">U106/Valuation!K19</f>
        <v>317.87599948811095</v>
      </c>
      <c r="V107" s="64">
        <f ca="1">V106/Valuation!L19</f>
        <v>168.88696478699291</v>
      </c>
      <c r="W107" s="64">
        <f ca="1">W106/Valuation!M19</f>
        <v>4.6937176496360991</v>
      </c>
      <c r="X107" s="64">
        <f ca="1">X106/Valuation!N19</f>
        <v>-239.28305062006649</v>
      </c>
      <c r="Y107" s="64">
        <f ca="1">Y106/Valuation!O19</f>
        <v>-528.62219228304116</v>
      </c>
      <c r="Z107" s="64">
        <f ca="1">Z106/Valuation!P19</f>
        <v>-862.87020606243175</v>
      </c>
      <c r="AA107" s="64">
        <f ca="1">AA106/Valuation!Q19</f>
        <v>-1145.9766882502215</v>
      </c>
      <c r="AB107" s="64">
        <f ca="1">AB106/Valuation!R19</f>
        <v>-1443.5640914904395</v>
      </c>
      <c r="AC107" s="64">
        <f ca="1">AC106/Valuation!S19</f>
        <v>-2035.2655707798544</v>
      </c>
      <c r="AD107" s="64">
        <f ca="1">AD106/Valuation!T19</f>
        <v>-2596.0186888104226</v>
      </c>
      <c r="AE107" s="64">
        <f ca="1">AE106/Valuation!U19</f>
        <v>-3073.7368313724796</v>
      </c>
    </row>
    <row r="108" spans="2:31">
      <c r="T108" s="253"/>
    </row>
    <row r="109" spans="2:31" ht="15.75">
      <c r="B109" s="79" t="s">
        <v>1650</v>
      </c>
      <c r="P109" s="64">
        <f>P110*Valuation!F$19</f>
        <v>12630</v>
      </c>
      <c r="Q109" s="64">
        <f>Q110*Valuation!G$19</f>
        <v>9952</v>
      </c>
      <c r="R109" s="159">
        <f>7375+1139</f>
        <v>8514</v>
      </c>
      <c r="S109" s="159">
        <f>6570+2267</f>
        <v>8837</v>
      </c>
      <c r="T109" s="64">
        <f>S109</f>
        <v>8837</v>
      </c>
      <c r="U109" s="64">
        <f>T109</f>
        <v>8837</v>
      </c>
      <c r="V109" s="64">
        <f>U109</f>
        <v>8837</v>
      </c>
      <c r="W109" s="64">
        <f>V109</f>
        <v>8837</v>
      </c>
      <c r="X109" s="64">
        <f>W109</f>
        <v>8837</v>
      </c>
      <c r="Y109" s="64">
        <f t="shared" ref="Y109:AD109" si="90">X109</f>
        <v>8837</v>
      </c>
      <c r="Z109" s="64">
        <f t="shared" si="90"/>
        <v>8837</v>
      </c>
      <c r="AA109" s="64">
        <f t="shared" si="90"/>
        <v>8837</v>
      </c>
      <c r="AB109" s="64">
        <f t="shared" si="90"/>
        <v>8837</v>
      </c>
      <c r="AC109" s="64">
        <f t="shared" si="90"/>
        <v>8837</v>
      </c>
      <c r="AD109" s="64">
        <f t="shared" si="90"/>
        <v>8837</v>
      </c>
      <c r="AE109" s="64">
        <f>AD109</f>
        <v>8837</v>
      </c>
    </row>
    <row r="110" spans="2:31" ht="15.75">
      <c r="B110" s="79" t="s">
        <v>537</v>
      </c>
      <c r="P110" s="64">
        <v>1000</v>
      </c>
      <c r="Q110" s="64">
        <f>P110-200</f>
        <v>800</v>
      </c>
      <c r="R110" s="64">
        <f>R109/Valuation!H$19</f>
        <v>646.96048632218844</v>
      </c>
      <c r="S110" s="64">
        <f>S109/Valuation!I$19</f>
        <v>692.55485893416926</v>
      </c>
      <c r="T110" s="64">
        <f>T109/Valuation!J$19</f>
        <v>663.93688955672428</v>
      </c>
      <c r="U110" s="64">
        <f>U109/Valuation!K$19</f>
        <v>556.83679899180845</v>
      </c>
      <c r="V110" s="64">
        <f>V109/Valuation!L$19</f>
        <v>468.80636604774531</v>
      </c>
      <c r="W110" s="64">
        <f>W109/Valuation!M$19</f>
        <v>467.56613756613763</v>
      </c>
      <c r="X110" s="64">
        <f>X109/Valuation!N$19</f>
        <v>459.06493506493507</v>
      </c>
      <c r="Y110" s="64">
        <f>Y109/Valuation!O$19</f>
        <v>459.06493506493507</v>
      </c>
      <c r="Z110" s="64">
        <f>Z109/Valuation!P$19</f>
        <v>411.40595903165735</v>
      </c>
      <c r="AA110" s="64">
        <f>AA109/Valuation!Q$19</f>
        <v>435.63090965920304</v>
      </c>
      <c r="AB110" s="64">
        <f>AB109/Valuation!R$19</f>
        <v>439.43311785181504</v>
      </c>
      <c r="AC110" s="64">
        <f>AC109/Valuation!S$19</f>
        <v>499.26553672316385</v>
      </c>
      <c r="AD110" s="64">
        <f>AD109/Valuation!T$19</f>
        <v>518.72505282930263</v>
      </c>
      <c r="AE110" s="64">
        <f>AE109/Valuation!U$19</f>
        <v>511.6669561693011</v>
      </c>
    </row>
    <row r="111" spans="2:31" ht="15.75">
      <c r="B111" s="79"/>
      <c r="P111" s="64"/>
      <c r="Q111" s="64"/>
      <c r="R111" s="64"/>
      <c r="S111" s="64"/>
      <c r="T111" s="64"/>
      <c r="U111" s="64"/>
      <c r="V111" s="64"/>
      <c r="W111" s="64"/>
      <c r="X111" s="64"/>
      <c r="Y111" s="64"/>
      <c r="Z111" s="64"/>
      <c r="AA111" s="64"/>
      <c r="AB111" s="64"/>
      <c r="AC111" s="64"/>
      <c r="AD111" s="64"/>
      <c r="AE111" s="64"/>
    </row>
    <row r="112" spans="2:31" ht="15.75">
      <c r="B112" s="79" t="s">
        <v>1651</v>
      </c>
      <c r="P112" s="64">
        <f>P113*Valuation!F$19</f>
        <v>631.5</v>
      </c>
      <c r="Q112" s="64">
        <f ca="1">Q113*Valuation!G$19</f>
        <v>11724.730329974553</v>
      </c>
      <c r="R112" s="159">
        <v>752</v>
      </c>
      <c r="S112" s="159">
        <f>1102</f>
        <v>1102</v>
      </c>
      <c r="T112" s="64">
        <f ca="1">T109-T106</f>
        <v>2572.0660121033052</v>
      </c>
      <c r="U112" s="64">
        <f ca="1">U109-U106</f>
        <v>3792.3078881236797</v>
      </c>
      <c r="V112" s="64">
        <f ca="1">V109-V106</f>
        <v>5653.4807137651833</v>
      </c>
      <c r="W112" s="64">
        <f ca="1">W109-W106</f>
        <v>8748.2887364218768</v>
      </c>
      <c r="X112" s="64">
        <f ca="1">X109-X106</f>
        <v>13443.198724436279</v>
      </c>
      <c r="Y112" s="64">
        <f t="shared" ref="Y112:AD112" ca="1" si="91">Y109-Y106</f>
        <v>19012.977201448542</v>
      </c>
      <c r="Z112" s="64">
        <f t="shared" ca="1" si="91"/>
        <v>27371.452026221035</v>
      </c>
      <c r="AA112" s="64">
        <f t="shared" ca="1" si="91"/>
        <v>32083.734264080627</v>
      </c>
      <c r="AB112" s="64">
        <f t="shared" ca="1" si="91"/>
        <v>37867.07387987274</v>
      </c>
      <c r="AC112" s="64">
        <f t="shared" ca="1" si="91"/>
        <v>44861.200602803423</v>
      </c>
      <c r="AD112" s="64">
        <f t="shared" ca="1" si="91"/>
        <v>53062.77438257436</v>
      </c>
      <c r="AE112" s="64">
        <f ca="1">AE109-AE106</f>
        <v>61923.5088146341</v>
      </c>
    </row>
    <row r="113" spans="2:31" ht="15.75">
      <c r="B113" s="79" t="s">
        <v>538</v>
      </c>
      <c r="P113" s="64">
        <f t="shared" ref="P113:X113" si="92">P110-P107</f>
        <v>50</v>
      </c>
      <c r="Q113" s="64">
        <f t="shared" ca="1" si="92"/>
        <v>942.50243810084839</v>
      </c>
      <c r="R113" s="64">
        <f>R112/Valuation!H$19</f>
        <v>57.142857142857139</v>
      </c>
      <c r="S113" s="64">
        <f>S112/Valuation!I$19</f>
        <v>86.36363636363636</v>
      </c>
      <c r="T113" s="64">
        <f t="shared" ca="1" si="92"/>
        <v>193.24312637891103</v>
      </c>
      <c r="U113" s="64">
        <f t="shared" ca="1" si="92"/>
        <v>238.9607995036975</v>
      </c>
      <c r="V113" s="64">
        <f t="shared" ca="1" si="92"/>
        <v>299.91940126075241</v>
      </c>
      <c r="W113" s="64">
        <f t="shared" ca="1" si="92"/>
        <v>462.87241991650154</v>
      </c>
      <c r="X113" s="64">
        <f t="shared" ca="1" si="92"/>
        <v>698.3479856850015</v>
      </c>
      <c r="Y113" s="64">
        <f t="shared" ref="Y113:AD113" ca="1" si="93">Y110-Y107</f>
        <v>987.68712734797623</v>
      </c>
      <c r="Z113" s="64">
        <f t="shared" ca="1" si="93"/>
        <v>1274.276165094089</v>
      </c>
      <c r="AA113" s="64">
        <f t="shared" ca="1" si="93"/>
        <v>1581.6075979094246</v>
      </c>
      <c r="AB113" s="64">
        <f t="shared" ca="1" si="93"/>
        <v>1882.9972093422546</v>
      </c>
      <c r="AC113" s="64">
        <f t="shared" ca="1" si="93"/>
        <v>2534.5311075030181</v>
      </c>
      <c r="AD113" s="64">
        <f t="shared" ca="1" si="93"/>
        <v>3114.7437416397252</v>
      </c>
      <c r="AE113" s="64">
        <f ca="1">AE110-AE107</f>
        <v>3585.4037875417807</v>
      </c>
    </row>
    <row r="115" spans="2:31" ht="15.75">
      <c r="B115" s="79" t="s">
        <v>852</v>
      </c>
      <c r="P115" s="64"/>
      <c r="Q115" s="82">
        <f t="shared" ref="Q115:X115" ca="1" si="94">Q107/Q69</f>
        <v>-3.8772357612617392</v>
      </c>
      <c r="R115" s="82">
        <f t="shared" si="94"/>
        <v>33.747826086956522</v>
      </c>
      <c r="S115" s="82">
        <f t="shared" si="94"/>
        <v>6.019455252918287</v>
      </c>
      <c r="T115" s="82">
        <f t="shared" ca="1" si="94"/>
        <v>3.4626008541913542</v>
      </c>
      <c r="U115" s="82">
        <f t="shared" ca="1" si="94"/>
        <v>4.7056578304119796</v>
      </c>
      <c r="V115" s="82">
        <f t="shared" ca="1" si="94"/>
        <v>4.3429899387876265</v>
      </c>
      <c r="W115" s="82">
        <f t="shared" ca="1" si="94"/>
        <v>3.4796038269568653E-2</v>
      </c>
      <c r="X115" s="82">
        <f t="shared" ca="1" si="94"/>
        <v>-0.93637682489558938</v>
      </c>
      <c r="Y115" s="82">
        <f t="shared" ref="Y115:AD115" ca="1" si="95">Y107/Y69</f>
        <v>-1.4692311078125042</v>
      </c>
      <c r="Z115" s="82">
        <f t="shared" ca="1" si="95"/>
        <v>-2.0977510820081418</v>
      </c>
      <c r="AA115" s="82">
        <f t="shared" ca="1" si="95"/>
        <v>-2.1871073848753579</v>
      </c>
      <c r="AB115" s="82">
        <f t="shared" ca="1" si="95"/>
        <v>-2.4300179196635026</v>
      </c>
      <c r="AC115" s="82">
        <f t="shared" ca="1" si="95"/>
        <v>-2.6995690492728479</v>
      </c>
      <c r="AD115" s="82">
        <f t="shared" ca="1" si="95"/>
        <v>-3.0658776440857323</v>
      </c>
      <c r="AE115" s="82">
        <f ca="1">AE107/AE69</f>
        <v>-3.6434438116821224</v>
      </c>
    </row>
    <row r="116" spans="2:31" ht="15.75">
      <c r="B116" s="79"/>
      <c r="P116" s="64"/>
      <c r="Q116" s="82"/>
      <c r="R116" s="82"/>
      <c r="S116" s="82"/>
      <c r="T116" s="82"/>
      <c r="U116" s="82"/>
      <c r="V116" s="82"/>
      <c r="W116" s="82"/>
      <c r="X116" s="82"/>
      <c r="Y116" s="82"/>
      <c r="Z116" s="82"/>
      <c r="AA116" s="82"/>
      <c r="AB116" s="82"/>
      <c r="AC116" s="82"/>
      <c r="AD116" s="82"/>
      <c r="AE116" s="82"/>
    </row>
    <row r="117" spans="2:31" ht="15.75">
      <c r="B117" s="91" t="s">
        <v>546</v>
      </c>
      <c r="C117" s="105"/>
      <c r="D117" s="105"/>
      <c r="E117" s="105"/>
      <c r="F117" s="105"/>
      <c r="G117" s="105"/>
      <c r="H117" s="105"/>
      <c r="I117" s="105"/>
      <c r="J117" s="105"/>
      <c r="K117" s="105"/>
      <c r="L117" s="105"/>
      <c r="M117" s="105"/>
      <c r="N117" s="105"/>
      <c r="O117" s="105"/>
      <c r="P117" s="105">
        <f t="shared" ref="P117:X117" si="96">P2</f>
        <v>2010</v>
      </c>
      <c r="Q117" s="105">
        <f t="shared" si="96"/>
        <v>2011</v>
      </c>
      <c r="R117" s="105">
        <f t="shared" si="96"/>
        <v>2012</v>
      </c>
      <c r="S117" s="105">
        <f t="shared" si="96"/>
        <v>2013</v>
      </c>
      <c r="T117" s="105">
        <f t="shared" si="96"/>
        <v>2014</v>
      </c>
      <c r="U117" s="105">
        <f t="shared" si="96"/>
        <v>2015</v>
      </c>
      <c r="V117" s="105">
        <f t="shared" si="96"/>
        <v>2016</v>
      </c>
      <c r="W117" s="105">
        <f t="shared" si="96"/>
        <v>2017</v>
      </c>
      <c r="X117" s="105">
        <f t="shared" si="96"/>
        <v>2018</v>
      </c>
      <c r="Y117" s="105">
        <f t="shared" ref="Y117:AD117" si="97">Y2</f>
        <v>2019</v>
      </c>
      <c r="Z117" s="105">
        <f t="shared" si="97"/>
        <v>2020</v>
      </c>
      <c r="AA117" s="105">
        <f t="shared" si="97"/>
        <v>2021</v>
      </c>
      <c r="AB117" s="105">
        <f t="shared" si="97"/>
        <v>2022</v>
      </c>
      <c r="AC117" s="105">
        <f t="shared" si="97"/>
        <v>2023</v>
      </c>
      <c r="AD117" s="105">
        <f t="shared" si="97"/>
        <v>2024</v>
      </c>
      <c r="AE117" s="105">
        <f>AE2</f>
        <v>2025</v>
      </c>
    </row>
    <row r="118" spans="2:31" ht="15.75">
      <c r="B118" s="79" t="s">
        <v>203</v>
      </c>
      <c r="C118" s="106"/>
      <c r="D118" s="106"/>
      <c r="E118" s="106"/>
      <c r="F118" s="106"/>
      <c r="G118" s="106"/>
      <c r="H118" s="106"/>
      <c r="I118" s="106"/>
      <c r="J118" s="106"/>
      <c r="K118" s="106"/>
      <c r="L118" s="106"/>
      <c r="M118" s="106"/>
      <c r="N118" s="106"/>
      <c r="O118" s="106"/>
      <c r="P118" s="106"/>
      <c r="Q118" s="107">
        <f t="shared" ref="Q118:X118" si="98">Q84</f>
        <v>-376.72457401929262</v>
      </c>
      <c r="R118" s="107">
        <f t="shared" si="98"/>
        <v>-558.12983966565355</v>
      </c>
      <c r="S118" s="107">
        <f t="shared" si="98"/>
        <v>-156.66138793103451</v>
      </c>
      <c r="T118" s="107">
        <f t="shared" si="98"/>
        <v>-56.363174470132094</v>
      </c>
      <c r="U118" s="107">
        <f t="shared" si="98"/>
        <v>-160.51174901826184</v>
      </c>
      <c r="V118" s="107">
        <f t="shared" si="98"/>
        <v>-203.35354112511791</v>
      </c>
      <c r="W118" s="107">
        <f t="shared" si="98"/>
        <v>-147.74370954958692</v>
      </c>
      <c r="X118" s="107">
        <f t="shared" si="98"/>
        <v>-53.659997456707252</v>
      </c>
      <c r="Y118" s="107">
        <f t="shared" ref="Y118:AD118" si="99">Y84</f>
        <v>10.891546152128473</v>
      </c>
      <c r="Z118" s="107">
        <f t="shared" si="99"/>
        <v>122.38340173692228</v>
      </c>
      <c r="AA118" s="107">
        <f t="shared" si="99"/>
        <v>231.42066018087178</v>
      </c>
      <c r="AB118" s="107">
        <f t="shared" si="99"/>
        <v>277.8239024809443</v>
      </c>
      <c r="AC118" s="107">
        <f t="shared" si="99"/>
        <v>370.83361854771664</v>
      </c>
      <c r="AD118" s="107">
        <f t="shared" si="99"/>
        <v>437.36823973577526</v>
      </c>
      <c r="AE118" s="107">
        <f>AE84</f>
        <v>441.50967982191662</v>
      </c>
    </row>
    <row r="119" spans="2:31" ht="15.75">
      <c r="B119" s="91" t="s">
        <v>192</v>
      </c>
      <c r="C119" s="105"/>
      <c r="D119" s="105"/>
      <c r="E119" s="105"/>
      <c r="F119" s="105"/>
      <c r="G119" s="105"/>
      <c r="H119" s="105"/>
      <c r="I119" s="105"/>
      <c r="J119" s="105"/>
      <c r="K119" s="105"/>
      <c r="L119" s="105"/>
      <c r="M119" s="105"/>
      <c r="N119" s="105"/>
      <c r="O119" s="105"/>
      <c r="P119" s="105"/>
      <c r="Q119" s="108">
        <f>-Q94/Valuation!G$19</f>
        <v>0</v>
      </c>
      <c r="R119" s="108">
        <f>-R94/Valuation!H$19</f>
        <v>35.486322188449847</v>
      </c>
      <c r="S119" s="108">
        <f>-S94/Valuation!I$19</f>
        <v>26.802507836990596</v>
      </c>
      <c r="T119" s="108">
        <f ca="1">-T94/Valuation!J$19</f>
        <v>17.659712485748152</v>
      </c>
      <c r="U119" s="108">
        <f ca="1">-U94/Valuation!K$19</f>
        <v>22.026970269985789</v>
      </c>
      <c r="V119" s="108">
        <f ca="1">-V94/Valuation!L$19</f>
        <v>24.040786399710033</v>
      </c>
      <c r="W119" s="108">
        <f ca="1">-W94/Valuation!M$19</f>
        <v>11.74864795964808</v>
      </c>
      <c r="X119" s="108">
        <f ca="1">-X94/Valuation!N$19</f>
        <v>-3.9504620630330498</v>
      </c>
      <c r="Y119" s="108">
        <f ca="1">-Y94/Valuation!O$19</f>
        <v>-16.912937291806458</v>
      </c>
      <c r="Z119" s="108">
        <f ca="1">-Z94/Valuation!P$19</f>
        <v>-27.030181344005062</v>
      </c>
      <c r="AA119" s="108">
        <f ca="1">-AA94/Valuation!Q$19</f>
        <v>-41.791611251494082</v>
      </c>
      <c r="AB119" s="108">
        <f ca="1">-AB94/Valuation!R$19</f>
        <v>-51.738116545242683</v>
      </c>
      <c r="AC119" s="108">
        <f ca="1">-AC94/Valuation!S$19</f>
        <v>-71.08929701710052</v>
      </c>
      <c r="AD119" s="108">
        <f ca="1">-AD94/Valuation!T$19</f>
        <v>-86.611099899401097</v>
      </c>
      <c r="AE119" s="108">
        <f ca="1">-AE94/Valuation!U$19</f>
        <v>-92.298836277516699</v>
      </c>
    </row>
    <row r="120" spans="2:31" ht="15.75">
      <c r="B120" s="79" t="s">
        <v>469</v>
      </c>
      <c r="C120" s="106"/>
      <c r="D120" s="106"/>
      <c r="E120" s="106"/>
      <c r="F120" s="106"/>
      <c r="G120" s="106"/>
      <c r="H120" s="106"/>
      <c r="I120" s="106"/>
      <c r="J120" s="106"/>
      <c r="K120" s="106"/>
      <c r="L120" s="106"/>
      <c r="M120" s="106"/>
      <c r="N120" s="106"/>
      <c r="O120" s="106"/>
      <c r="P120" s="106"/>
      <c r="Q120" s="107">
        <f>Q118+Q119</f>
        <v>-376.72457401929262</v>
      </c>
      <c r="R120" s="107">
        <f t="shared" ref="R120:X120" si="100">R118+R119</f>
        <v>-522.64351747720366</v>
      </c>
      <c r="S120" s="107">
        <f t="shared" si="100"/>
        <v>-129.85888009404391</v>
      </c>
      <c r="T120" s="107">
        <f t="shared" ca="1" si="100"/>
        <v>-38.703461984383942</v>
      </c>
      <c r="U120" s="107">
        <f t="shared" ca="1" si="100"/>
        <v>-138.48477874827606</v>
      </c>
      <c r="V120" s="107">
        <f t="shared" ca="1" si="100"/>
        <v>-179.31275472540787</v>
      </c>
      <c r="W120" s="107">
        <f t="shared" ca="1" si="100"/>
        <v>-135.99506158993884</v>
      </c>
      <c r="X120" s="107">
        <f t="shared" ca="1" si="100"/>
        <v>-57.610459519740303</v>
      </c>
      <c r="Y120" s="107">
        <f t="shared" ref="Y120:AD120" ca="1" si="101">Y118+Y119</f>
        <v>-6.0213911396779842</v>
      </c>
      <c r="Z120" s="107">
        <f t="shared" ca="1" si="101"/>
        <v>95.353220392917223</v>
      </c>
      <c r="AA120" s="107">
        <f t="shared" ca="1" si="101"/>
        <v>189.62904892937769</v>
      </c>
      <c r="AB120" s="107">
        <f t="shared" ca="1" si="101"/>
        <v>226.08578593570161</v>
      </c>
      <c r="AC120" s="107">
        <f t="shared" ca="1" si="101"/>
        <v>299.74432153061611</v>
      </c>
      <c r="AD120" s="107">
        <f t="shared" ca="1" si="101"/>
        <v>350.75713983637417</v>
      </c>
      <c r="AE120" s="107">
        <f ca="1">AE118+AE119</f>
        <v>349.21084354439995</v>
      </c>
    </row>
    <row r="121" spans="2:31">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row>
    <row r="122" spans="2:31" ht="15.75">
      <c r="B122" s="66" t="s">
        <v>457</v>
      </c>
      <c r="F122" s="106"/>
      <c r="G122" s="106"/>
      <c r="H122" s="106"/>
      <c r="I122" s="106"/>
      <c r="J122" s="106"/>
      <c r="K122" s="106"/>
      <c r="L122" s="106"/>
      <c r="M122" s="106"/>
      <c r="N122" s="106"/>
      <c r="O122" s="116">
        <f>SOP!$L$59</f>
        <v>8.1429999999999989E-2</v>
      </c>
      <c r="Q122" s="106"/>
      <c r="R122" s="106"/>
      <c r="S122" s="106"/>
      <c r="T122" s="106"/>
      <c r="U122" s="106"/>
      <c r="V122" s="106"/>
      <c r="W122" s="106"/>
      <c r="X122" s="106"/>
      <c r="Y122" s="106"/>
      <c r="Z122" s="106"/>
      <c r="AA122" s="106"/>
      <c r="AB122" s="106"/>
      <c r="AC122" s="106"/>
      <c r="AD122" s="106"/>
      <c r="AE122" s="106"/>
    </row>
    <row r="123" spans="2:31" ht="15.75">
      <c r="B123" s="66" t="s">
        <v>467</v>
      </c>
      <c r="F123" s="106"/>
      <c r="G123" s="106"/>
      <c r="H123" s="106"/>
      <c r="I123" s="106"/>
      <c r="J123" s="106"/>
      <c r="K123" s="106"/>
      <c r="L123" s="106"/>
      <c r="M123" s="106"/>
      <c r="N123" s="106"/>
      <c r="O123" s="75">
        <v>1.4999999999999999E-2</v>
      </c>
      <c r="Q123" s="106"/>
      <c r="R123" s="106"/>
      <c r="S123" s="106"/>
      <c r="T123" s="106"/>
      <c r="U123" s="106"/>
      <c r="V123" s="106"/>
      <c r="W123" s="106"/>
      <c r="X123" s="106"/>
      <c r="Y123" s="106"/>
      <c r="Z123" s="106"/>
      <c r="AA123" s="106"/>
      <c r="AB123" s="106"/>
      <c r="AC123" s="106"/>
      <c r="AD123" s="106"/>
      <c r="AE123" s="106"/>
    </row>
    <row r="124" spans="2:31" ht="15.75">
      <c r="B124" s="66" t="s">
        <v>543</v>
      </c>
      <c r="F124" s="106"/>
      <c r="G124" s="106"/>
      <c r="H124" s="106"/>
      <c r="I124" s="106"/>
      <c r="J124" s="106"/>
      <c r="K124" s="106"/>
      <c r="L124" s="106"/>
      <c r="M124" s="106"/>
      <c r="N124" s="106"/>
      <c r="O124" s="64">
        <f ca="1">NPV($O$122, V120:AE120)</f>
        <v>474.92513481315297</v>
      </c>
      <c r="Q124" s="106"/>
      <c r="R124" s="106"/>
      <c r="S124" s="106"/>
      <c r="T124" s="106"/>
      <c r="U124" s="106"/>
      <c r="V124" s="106"/>
      <c r="W124" s="106"/>
      <c r="X124" s="106"/>
      <c r="Y124" s="106"/>
      <c r="Z124" s="106"/>
      <c r="AA124" s="106"/>
      <c r="AB124" s="106"/>
      <c r="AC124" s="106"/>
      <c r="AD124" s="106"/>
      <c r="AE124" s="106"/>
    </row>
    <row r="125" spans="2:31" ht="15.75">
      <c r="B125" s="66"/>
      <c r="F125" s="106"/>
      <c r="G125" s="106"/>
      <c r="H125" s="106"/>
      <c r="I125" s="106"/>
      <c r="J125" s="106"/>
      <c r="K125" s="106"/>
      <c r="L125" s="106"/>
      <c r="M125" s="106"/>
      <c r="N125" s="106"/>
      <c r="O125" s="66"/>
      <c r="Q125" s="106"/>
      <c r="R125" s="106"/>
      <c r="S125" s="106"/>
      <c r="T125" s="106"/>
      <c r="U125" s="106"/>
      <c r="V125" s="106"/>
      <c r="W125" s="106"/>
      <c r="X125" s="106"/>
      <c r="Y125" s="106"/>
      <c r="Z125" s="106"/>
      <c r="AA125" s="106"/>
      <c r="AB125" s="106"/>
      <c r="AC125" s="106"/>
      <c r="AD125" s="106"/>
      <c r="AE125" s="106"/>
    </row>
    <row r="126" spans="2:31" ht="15.75">
      <c r="B126" s="66" t="s">
        <v>544</v>
      </c>
      <c r="F126" s="106"/>
      <c r="G126" s="106"/>
      <c r="H126" s="106"/>
      <c r="I126" s="106"/>
      <c r="J126" s="106"/>
      <c r="K126" s="106"/>
      <c r="L126" s="106"/>
      <c r="M126" s="106"/>
      <c r="N126" s="106"/>
      <c r="O126" s="112">
        <f>1/(O122-O123)</f>
        <v>15.05343971097396</v>
      </c>
      <c r="Q126" s="106"/>
      <c r="R126" s="106"/>
      <c r="S126" s="106"/>
      <c r="T126" s="106"/>
      <c r="U126" s="106"/>
      <c r="V126" s="106"/>
      <c r="W126" s="106"/>
      <c r="X126" s="106"/>
      <c r="Y126" s="106"/>
      <c r="Z126" s="106"/>
      <c r="AA126" s="106"/>
      <c r="AB126" s="106"/>
      <c r="AC126" s="106"/>
      <c r="AD126" s="106"/>
      <c r="AE126" s="106"/>
    </row>
    <row r="127" spans="2:31" ht="15.75">
      <c r="B127" s="66" t="s">
        <v>74</v>
      </c>
      <c r="F127" s="106"/>
      <c r="G127" s="106"/>
      <c r="H127" s="106"/>
      <c r="I127" s="106"/>
      <c r="J127" s="106"/>
      <c r="K127" s="106"/>
      <c r="L127" s="106"/>
      <c r="M127" s="106"/>
      <c r="N127" s="106"/>
      <c r="O127" s="64">
        <f ca="1">O126*AE120</f>
        <v>5256.8243797139849</v>
      </c>
      <c r="Q127" s="106"/>
      <c r="R127" s="106"/>
      <c r="S127" s="106"/>
      <c r="T127" s="106"/>
      <c r="U127" s="106"/>
      <c r="V127" s="106"/>
      <c r="W127" s="106"/>
      <c r="X127" s="106"/>
      <c r="Y127" s="106"/>
      <c r="Z127" s="106"/>
      <c r="AA127" s="106"/>
      <c r="AB127" s="106"/>
      <c r="AC127" s="106"/>
      <c r="AD127" s="106"/>
      <c r="AE127" s="106"/>
    </row>
    <row r="128" spans="2:31" ht="15.75">
      <c r="B128" s="67" t="s">
        <v>545</v>
      </c>
      <c r="F128" s="106"/>
      <c r="G128" s="106"/>
      <c r="H128" s="106"/>
      <c r="I128" s="106"/>
      <c r="J128" s="106"/>
      <c r="K128" s="106"/>
      <c r="L128" s="106"/>
      <c r="M128" s="106"/>
      <c r="N128" s="106"/>
      <c r="O128" s="110">
        <f ca="1">O127/(1+O122)^10</f>
        <v>2402.9201342896245</v>
      </c>
      <c r="Q128" s="106"/>
      <c r="R128" s="106"/>
      <c r="S128" s="106"/>
      <c r="T128" s="106"/>
      <c r="U128" s="106"/>
      <c r="V128" s="106"/>
      <c r="W128" s="106"/>
      <c r="X128" s="106"/>
      <c r="Y128" s="106"/>
      <c r="Z128" s="106"/>
      <c r="AA128" s="106"/>
      <c r="AB128" s="106"/>
      <c r="AC128" s="106"/>
      <c r="AD128" s="106"/>
      <c r="AE128" s="106"/>
    </row>
    <row r="129" spans="2:18" ht="15.75">
      <c r="B129" s="66" t="s">
        <v>456</v>
      </c>
      <c r="O129" s="64">
        <f ca="1">O124+O128</f>
        <v>2877.8452691027774</v>
      </c>
    </row>
    <row r="130" spans="2:18" ht="16.5">
      <c r="B130" s="115"/>
      <c r="O130" s="115"/>
    </row>
    <row r="131" spans="2:18" ht="15.75">
      <c r="B131" s="66" t="s">
        <v>1779</v>
      </c>
      <c r="O131" s="64">
        <f ca="1">U107</f>
        <v>317.87599948811095</v>
      </c>
    </row>
    <row r="132" spans="2:18" ht="15.75">
      <c r="B132" s="67" t="s">
        <v>938</v>
      </c>
      <c r="O132" s="110">
        <f>NPV(8%, U81:X81)</f>
        <v>0</v>
      </c>
    </row>
    <row r="133" spans="2:18" ht="15.75">
      <c r="B133" s="66" t="s">
        <v>479</v>
      </c>
      <c r="O133" s="64">
        <f ca="1">O129-O131-O132</f>
        <v>2559.9692696146662</v>
      </c>
    </row>
    <row r="134" spans="2:18">
      <c r="O134" s="182"/>
    </row>
    <row r="135" spans="2:18">
      <c r="B135" s="106" t="s">
        <v>548</v>
      </c>
    </row>
    <row r="136" spans="2:18" ht="15.75">
      <c r="B136" s="106" t="s">
        <v>549</v>
      </c>
      <c r="O136" s="64">
        <v>1500</v>
      </c>
    </row>
    <row r="137" spans="2:18" ht="15.75">
      <c r="B137" s="106" t="s">
        <v>429</v>
      </c>
      <c r="O137" s="64">
        <f>O136/0.5</f>
        <v>3000</v>
      </c>
    </row>
    <row r="139" spans="2:18" ht="15.75">
      <c r="B139" s="106" t="s">
        <v>550</v>
      </c>
      <c r="O139" s="64">
        <f>P107</f>
        <v>950</v>
      </c>
    </row>
    <row r="140" spans="2:18" ht="15.75">
      <c r="B140" s="105" t="s">
        <v>551</v>
      </c>
      <c r="O140" s="110">
        <f>O139-1500</f>
        <v>-550</v>
      </c>
    </row>
    <row r="141" spans="2:18" ht="15.75">
      <c r="B141" s="106" t="s">
        <v>552</v>
      </c>
      <c r="O141" s="64">
        <f>O137+O140</f>
        <v>2450</v>
      </c>
    </row>
    <row r="142" spans="2:18">
      <c r="O142" s="109"/>
    </row>
    <row r="144" spans="2:18" ht="15.75">
      <c r="B144" s="67" t="s">
        <v>1643</v>
      </c>
      <c r="P144" s="67"/>
      <c r="Q144" s="67">
        <v>2012</v>
      </c>
      <c r="R144" s="67">
        <f>Q144+1</f>
        <v>2013</v>
      </c>
    </row>
    <row r="145" spans="2:18" ht="15.75">
      <c r="B145" s="66" t="s">
        <v>200</v>
      </c>
      <c r="P145" s="66"/>
      <c r="Q145" s="66">
        <v>17382</v>
      </c>
      <c r="R145" s="66">
        <v>19582</v>
      </c>
    </row>
    <row r="146" spans="2:18" ht="15.75">
      <c r="B146" s="66"/>
      <c r="P146" s="66"/>
      <c r="Q146" s="66"/>
      <c r="R146" s="66"/>
    </row>
    <row r="147" spans="2:18" ht="15.75">
      <c r="B147" s="66" t="s">
        <v>57</v>
      </c>
      <c r="P147" s="66"/>
      <c r="Q147" s="66">
        <f>Q150+Q149</f>
        <v>230</v>
      </c>
      <c r="R147" s="66">
        <f>R150+R149</f>
        <v>1285</v>
      </c>
    </row>
    <row r="148" spans="2:18" ht="15.75">
      <c r="B148" s="66" t="s">
        <v>158</v>
      </c>
      <c r="P148" s="66"/>
      <c r="Q148" s="116">
        <f>Q147/Q145</f>
        <v>1.3232079162351858E-2</v>
      </c>
      <c r="R148" s="116">
        <f>R147/R145</f>
        <v>6.5621489122663676E-2</v>
      </c>
    </row>
    <row r="149" spans="2:18" ht="15.75">
      <c r="B149" s="66" t="s">
        <v>533</v>
      </c>
      <c r="P149" s="66"/>
      <c r="Q149" s="66">
        <v>2017</v>
      </c>
      <c r="R149" s="66">
        <v>2379</v>
      </c>
    </row>
    <row r="150" spans="2:18" ht="15.75">
      <c r="B150" s="66" t="s">
        <v>1106</v>
      </c>
      <c r="P150" s="66"/>
      <c r="Q150" s="66">
        <v>-1787</v>
      </c>
      <c r="R150" s="66">
        <v>-1094</v>
      </c>
    </row>
    <row r="151" spans="2:18" ht="15.75">
      <c r="B151" s="66" t="s">
        <v>531</v>
      </c>
      <c r="P151" s="66"/>
      <c r="Q151" s="66">
        <v>-1363</v>
      </c>
      <c r="R151" s="66">
        <v>-1149</v>
      </c>
    </row>
    <row r="152" spans="2:18" ht="15.75">
      <c r="B152" s="66" t="s">
        <v>192</v>
      </c>
      <c r="P152" s="66"/>
      <c r="Q152" s="66">
        <v>467</v>
      </c>
      <c r="R152" s="66">
        <v>342</v>
      </c>
    </row>
    <row r="153" spans="2:18" ht="15.75">
      <c r="B153" s="66" t="s">
        <v>693</v>
      </c>
      <c r="P153" s="66"/>
      <c r="Q153" s="66">
        <v>0</v>
      </c>
      <c r="R153" s="66">
        <v>0</v>
      </c>
    </row>
    <row r="154" spans="2:18" ht="15.75">
      <c r="B154" s="66" t="s">
        <v>194</v>
      </c>
      <c r="P154" s="66"/>
      <c r="Q154" s="66">
        <f>Q150+Q151+Q152</f>
        <v>-2683</v>
      </c>
      <c r="R154" s="66">
        <f>R150+R151+R152+R153</f>
        <v>-1901</v>
      </c>
    </row>
    <row r="155" spans="2:18" ht="15.75">
      <c r="B155" s="66"/>
      <c r="P155" s="66"/>
      <c r="Q155" s="66"/>
      <c r="R155" s="66"/>
    </row>
    <row r="157" spans="2:18" ht="15.75">
      <c r="B157" s="241">
        <v>0.5</v>
      </c>
    </row>
    <row r="158" spans="2:18" ht="15.75">
      <c r="B158" s="66" t="s">
        <v>1644</v>
      </c>
      <c r="Q158" s="66">
        <v>18072</v>
      </c>
      <c r="R158" s="66">
        <v>13828</v>
      </c>
    </row>
    <row r="159" spans="2:18" ht="15.75">
      <c r="B159" s="66" t="s">
        <v>1645</v>
      </c>
      <c r="Q159" s="71">
        <f>Q158/Master!K93</f>
        <v>1398.7616099071208</v>
      </c>
      <c r="R159" s="71">
        <f>R158/Master!L93</f>
        <v>1056.3789152024447</v>
      </c>
    </row>
  </sheetData>
  <pageMargins left="0.70866141732283472" right="0.70866141732283472" top="0.74803149606299213" bottom="0.74803149606299213" header="0.31496062992125984" footer="0.31496062992125984"/>
  <pageSetup paperSize="9" scale="3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CD290"/>
  <sheetViews>
    <sheetView topLeftCell="B1" zoomScale="75" zoomScaleNormal="75" workbookViewId="0">
      <pane xSplit="1" topLeftCell="C1" activePane="topRight" state="frozen"/>
      <selection activeCell="B202" sqref="B202"/>
      <selection pane="topRight" activeCell="U143" sqref="U143"/>
    </sheetView>
  </sheetViews>
  <sheetFormatPr defaultRowHeight="15" outlineLevelRow="1" outlineLevelCol="1"/>
  <cols>
    <col min="2" max="2" width="27.85546875" customWidth="1"/>
    <col min="3" max="6" width="9.140625" customWidth="1" outlineLevel="1"/>
    <col min="7" max="14" width="9.140625" customWidth="1"/>
    <col min="17" max="17" width="9.140625" customWidth="1"/>
    <col min="20" max="30" width="9.140625" customWidth="1" outlineLevel="1"/>
    <col min="45" max="60" width="8.7109375" customWidth="1"/>
  </cols>
  <sheetData>
    <row r="2" spans="2:50" ht="15.75">
      <c r="B2" s="402" t="s">
        <v>2112</v>
      </c>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row>
    <row r="3" spans="2:50" ht="15.75">
      <c r="B3" s="66"/>
      <c r="C3" s="66"/>
      <c r="D3" s="66"/>
      <c r="E3" s="66"/>
      <c r="F3" s="66"/>
      <c r="G3" s="66"/>
      <c r="H3" s="66"/>
      <c r="I3" s="66"/>
      <c r="J3" s="66"/>
      <c r="K3" s="69"/>
      <c r="L3" s="66"/>
      <c r="M3" s="69"/>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row>
    <row r="4" spans="2:50" ht="15.75">
      <c r="B4" s="67" t="s">
        <v>624</v>
      </c>
      <c r="C4" s="67">
        <v>2010</v>
      </c>
      <c r="D4" s="67">
        <v>2011</v>
      </c>
      <c r="E4" s="67">
        <f>D4+1</f>
        <v>2012</v>
      </c>
      <c r="F4" s="67">
        <f t="shared" ref="F4:K4" si="0">E4+1</f>
        <v>2013</v>
      </c>
      <c r="G4" s="67">
        <f t="shared" si="0"/>
        <v>2014</v>
      </c>
      <c r="H4" s="67">
        <f t="shared" si="0"/>
        <v>2015</v>
      </c>
      <c r="I4" s="67">
        <f t="shared" si="0"/>
        <v>2016</v>
      </c>
      <c r="J4" s="67">
        <f t="shared" si="0"/>
        <v>2017</v>
      </c>
      <c r="K4" s="67">
        <f t="shared" si="0"/>
        <v>2018</v>
      </c>
      <c r="L4" s="67">
        <f t="shared" ref="L4:R4" si="1">K4+1</f>
        <v>2019</v>
      </c>
      <c r="M4" s="67">
        <f t="shared" si="1"/>
        <v>2020</v>
      </c>
      <c r="N4" s="67">
        <f t="shared" si="1"/>
        <v>2021</v>
      </c>
      <c r="O4" s="67">
        <f t="shared" si="1"/>
        <v>2022</v>
      </c>
      <c r="P4" s="67">
        <f t="shared" si="1"/>
        <v>2023</v>
      </c>
      <c r="Q4" s="67">
        <f t="shared" si="1"/>
        <v>2024</v>
      </c>
      <c r="R4" s="67">
        <f t="shared" si="1"/>
        <v>2025</v>
      </c>
      <c r="AI4" s="66"/>
      <c r="AJ4" s="66"/>
      <c r="AK4" s="66"/>
      <c r="AL4" s="66"/>
      <c r="AM4" s="66"/>
      <c r="AN4" s="66"/>
      <c r="AO4" s="66"/>
      <c r="AP4" s="66"/>
      <c r="AQ4" s="66"/>
    </row>
    <row r="5" spans="2:50" ht="15.75">
      <c r="B5" s="66" t="s">
        <v>200</v>
      </c>
      <c r="C5" s="114">
        <f>SUM(C215:F215)</f>
        <v>2245.1999999999998</v>
      </c>
      <c r="D5" s="124">
        <f>SUM(G215:J215)</f>
        <v>2273.5</v>
      </c>
      <c r="E5" s="124">
        <v>2442</v>
      </c>
      <c r="F5" s="124">
        <v>2627.6</v>
      </c>
      <c r="G5" s="124">
        <v>2911</v>
      </c>
      <c r="H5" s="124">
        <v>2858.4</v>
      </c>
      <c r="I5" s="124">
        <v>3042</v>
      </c>
      <c r="J5" s="124">
        <v>3016.4</v>
      </c>
      <c r="K5" s="124">
        <v>2713.8</v>
      </c>
      <c r="L5" s="124">
        <v>2678.9</v>
      </c>
      <c r="M5" s="124">
        <v>2541.9</v>
      </c>
      <c r="N5" s="125">
        <f>(1+N6)*M5</f>
        <v>2859.6375000000003</v>
      </c>
      <c r="O5" s="125">
        <f>(1+O6)*N5</f>
        <v>3288.5831250000001</v>
      </c>
      <c r="P5" s="125">
        <f>(1+P6)*O5</f>
        <v>3453.0122812500003</v>
      </c>
      <c r="Q5" s="125">
        <f>(1+Q6)*P5</f>
        <v>3556.6026496875006</v>
      </c>
      <c r="R5" s="125">
        <f>(1+R6)*Q5</f>
        <v>3627.7347026812508</v>
      </c>
      <c r="S5" s="69">
        <f>(M5/G5)^(1/6)-1</f>
        <v>-2.2344061510023105E-2</v>
      </c>
      <c r="AI5" s="66">
        <v>2013</v>
      </c>
      <c r="AJ5" s="66"/>
      <c r="AK5" s="66"/>
      <c r="AL5" s="66"/>
      <c r="AM5" s="66"/>
      <c r="AN5" s="66"/>
      <c r="AO5" s="66"/>
      <c r="AP5" s="66"/>
      <c r="AQ5" s="66"/>
      <c r="AR5" s="66">
        <f>AI5+1</f>
        <v>2014</v>
      </c>
      <c r="AS5" s="66">
        <f t="shared" ref="AS5:AX5" si="2">AR5+1</f>
        <v>2015</v>
      </c>
      <c r="AT5" s="66">
        <f t="shared" si="2"/>
        <v>2016</v>
      </c>
      <c r="AU5" s="66">
        <f t="shared" si="2"/>
        <v>2017</v>
      </c>
      <c r="AV5" s="66">
        <f t="shared" si="2"/>
        <v>2018</v>
      </c>
      <c r="AW5" s="66">
        <f t="shared" si="2"/>
        <v>2019</v>
      </c>
      <c r="AX5" s="66">
        <f t="shared" si="2"/>
        <v>2020</v>
      </c>
    </row>
    <row r="6" spans="2:50" ht="15.75">
      <c r="B6" s="66" t="s">
        <v>181</v>
      </c>
      <c r="C6" s="66"/>
      <c r="D6" s="69">
        <f t="shared" ref="D6:M6" si="3">D5/C5-1</f>
        <v>1.260466773561375E-2</v>
      </c>
      <c r="E6" s="69">
        <f t="shared" si="3"/>
        <v>7.4114800967671091E-2</v>
      </c>
      <c r="F6" s="69">
        <f t="shared" si="3"/>
        <v>7.6003276003276055E-2</v>
      </c>
      <c r="G6" s="69">
        <f t="shared" si="3"/>
        <v>0.10785507687623697</v>
      </c>
      <c r="H6" s="69">
        <f t="shared" si="3"/>
        <v>-1.8069391961525239E-2</v>
      </c>
      <c r="I6" s="69">
        <f t="shared" si="3"/>
        <v>6.4231738035264385E-2</v>
      </c>
      <c r="J6" s="69">
        <f t="shared" si="3"/>
        <v>-8.4155161078237617E-3</v>
      </c>
      <c r="K6" s="69">
        <f t="shared" si="3"/>
        <v>-0.10031826017769518</v>
      </c>
      <c r="L6" s="69">
        <f t="shared" si="3"/>
        <v>-1.286019603508004E-2</v>
      </c>
      <c r="M6" s="69">
        <f t="shared" si="3"/>
        <v>-5.1140393445070709E-2</v>
      </c>
      <c r="N6" s="117">
        <v>0.125</v>
      </c>
      <c r="O6" s="117">
        <v>0.15</v>
      </c>
      <c r="P6" s="117">
        <v>0.05</v>
      </c>
      <c r="Q6" s="117">
        <v>0.03</v>
      </c>
      <c r="R6" s="117">
        <v>0.02</v>
      </c>
      <c r="AH6" t="s">
        <v>1616</v>
      </c>
      <c r="AI6" s="69"/>
      <c r="AJ6" s="69"/>
      <c r="AK6" s="69"/>
      <c r="AL6" s="69"/>
      <c r="AM6" s="69"/>
      <c r="AN6" s="69"/>
      <c r="AO6" s="69"/>
      <c r="AP6" s="69"/>
      <c r="AQ6" s="69"/>
      <c r="AR6" s="69"/>
      <c r="AS6" s="69">
        <f>G6-G7</f>
        <v>0.10785507687623697</v>
      </c>
      <c r="AT6" s="69"/>
      <c r="AU6" s="69"/>
      <c r="AV6" s="69"/>
      <c r="AW6" s="69"/>
      <c r="AX6" s="69"/>
    </row>
    <row r="7" spans="2:50" ht="15.75">
      <c r="B7" s="66"/>
      <c r="C7" s="66"/>
      <c r="D7" s="66"/>
      <c r="E7" s="66"/>
      <c r="F7" s="66"/>
      <c r="G7" s="69"/>
      <c r="H7" s="66"/>
      <c r="I7" s="66"/>
      <c r="J7" s="66"/>
      <c r="K7" s="66"/>
      <c r="L7" s="66"/>
      <c r="M7" s="66"/>
      <c r="N7" s="66"/>
      <c r="O7" s="66"/>
      <c r="P7" s="66"/>
      <c r="Q7" s="66"/>
      <c r="R7" s="66"/>
      <c r="AH7" s="106" t="s">
        <v>200</v>
      </c>
      <c r="AI7" s="69">
        <f>AVERAGE(BA239:BD239)</f>
        <v>7.5528299286319822E-2</v>
      </c>
      <c r="AJ7" s="69"/>
      <c r="AK7" s="69"/>
      <c r="AL7" s="69"/>
      <c r="AM7" s="69"/>
      <c r="AN7" s="69"/>
      <c r="AO7" s="69"/>
      <c r="AP7" s="69"/>
      <c r="AQ7" s="69"/>
      <c r="AR7" s="69">
        <f>G7</f>
        <v>0</v>
      </c>
      <c r="AS7" s="69">
        <f t="shared" ref="AS7:AX7" si="4">H6</f>
        <v>-1.8069391961525239E-2</v>
      </c>
      <c r="AT7" s="69">
        <f t="shared" si="4"/>
        <v>6.4231738035264385E-2</v>
      </c>
      <c r="AU7" s="69">
        <f t="shared" si="4"/>
        <v>-8.4155161078237617E-3</v>
      </c>
      <c r="AV7" s="69">
        <f t="shared" si="4"/>
        <v>-0.10031826017769518</v>
      </c>
      <c r="AW7" s="69">
        <f t="shared" si="4"/>
        <v>-1.286019603508004E-2</v>
      </c>
      <c r="AX7" s="69">
        <f t="shared" si="4"/>
        <v>-5.1140393445070709E-2</v>
      </c>
    </row>
    <row r="8" spans="2:50" ht="15.75">
      <c r="B8" s="141" t="s">
        <v>2109</v>
      </c>
      <c r="C8" s="66"/>
      <c r="D8" s="66"/>
      <c r="E8" s="66"/>
      <c r="F8" s="66"/>
      <c r="G8" s="125">
        <f>G10*G5</f>
        <v>640.41999999999996</v>
      </c>
      <c r="H8" s="125">
        <f t="shared" ref="H8:R8" si="5">(1+H9)*G8</f>
        <v>691.65359999999998</v>
      </c>
      <c r="I8" s="125">
        <f t="shared" si="5"/>
        <v>778.11029999999994</v>
      </c>
      <c r="J8" s="125">
        <f t="shared" si="5"/>
        <v>875.37408749999997</v>
      </c>
      <c r="K8" s="125">
        <f t="shared" si="5"/>
        <v>984.79584843750001</v>
      </c>
      <c r="L8" s="125">
        <f t="shared" si="5"/>
        <v>1107.8953294921876</v>
      </c>
      <c r="M8" s="125">
        <f t="shared" si="5"/>
        <v>1246.3822456787111</v>
      </c>
      <c r="N8" s="125">
        <f t="shared" si="5"/>
        <v>1383.4842927033694</v>
      </c>
      <c r="O8" s="125">
        <f t="shared" si="5"/>
        <v>1521.8327219737064</v>
      </c>
      <c r="P8" s="125">
        <f t="shared" si="5"/>
        <v>1658.79766695134</v>
      </c>
      <c r="Q8" s="125">
        <f t="shared" si="5"/>
        <v>1791.5014803074473</v>
      </c>
      <c r="R8" s="125">
        <f t="shared" si="5"/>
        <v>1934.8215987320432</v>
      </c>
      <c r="S8" s="69">
        <f>(M8/G8)^(1/6)-1</f>
        <v>0.1173718551269316</v>
      </c>
      <c r="AH8" s="106"/>
      <c r="AI8" s="69"/>
      <c r="AJ8" s="69"/>
      <c r="AK8" s="69"/>
      <c r="AL8" s="69"/>
      <c r="AM8" s="69"/>
      <c r="AN8" s="69"/>
      <c r="AO8" s="69"/>
      <c r="AP8" s="69"/>
      <c r="AQ8" s="69"/>
      <c r="AR8" s="69"/>
      <c r="AS8" s="69"/>
      <c r="AT8" s="69"/>
      <c r="AU8" s="69"/>
      <c r="AV8" s="69"/>
      <c r="AW8" s="69"/>
      <c r="AX8" s="69"/>
    </row>
    <row r="9" spans="2:50" ht="15.75">
      <c r="B9" s="141" t="s">
        <v>181</v>
      </c>
      <c r="C9" s="66"/>
      <c r="D9" s="66"/>
      <c r="E9" s="66"/>
      <c r="F9" s="66"/>
      <c r="G9" s="125"/>
      <c r="H9" s="117">
        <v>0.08</v>
      </c>
      <c r="I9" s="117">
        <v>0.125</v>
      </c>
      <c r="J9" s="117">
        <v>0.125</v>
      </c>
      <c r="K9" s="117">
        <v>0.125</v>
      </c>
      <c r="L9" s="117">
        <v>0.125</v>
      </c>
      <c r="M9" s="117">
        <v>0.125</v>
      </c>
      <c r="N9" s="117">
        <v>0.11</v>
      </c>
      <c r="O9" s="117">
        <v>0.1</v>
      </c>
      <c r="P9" s="117">
        <v>0.09</v>
      </c>
      <c r="Q9" s="117">
        <v>0.08</v>
      </c>
      <c r="R9" s="117">
        <v>0.08</v>
      </c>
      <c r="AH9" s="106"/>
      <c r="AI9" s="69"/>
      <c r="AJ9" s="69"/>
      <c r="AK9" s="69"/>
      <c r="AL9" s="69"/>
      <c r="AM9" s="69"/>
      <c r="AN9" s="69"/>
      <c r="AO9" s="69"/>
      <c r="AP9" s="69"/>
      <c r="AQ9" s="69"/>
      <c r="AR9" s="69"/>
      <c r="AS9" s="69"/>
      <c r="AT9" s="69"/>
      <c r="AU9" s="69"/>
      <c r="AV9" s="69"/>
      <c r="AW9" s="69"/>
      <c r="AX9" s="69"/>
    </row>
    <row r="10" spans="2:50" ht="15.75">
      <c r="B10" s="141" t="s">
        <v>1613</v>
      </c>
      <c r="C10" s="66"/>
      <c r="D10" s="66"/>
      <c r="E10" s="66"/>
      <c r="F10" s="66"/>
      <c r="G10" s="75">
        <v>0.22</v>
      </c>
      <c r="H10" s="69">
        <f t="shared" ref="H10:R10" si="6">H8/H5</f>
        <v>0.24197229219143576</v>
      </c>
      <c r="I10" s="69">
        <f t="shared" si="6"/>
        <v>0.25578905325443785</v>
      </c>
      <c r="J10" s="69">
        <f t="shared" si="6"/>
        <v>0.29020490899748042</v>
      </c>
      <c r="K10" s="69">
        <f t="shared" si="6"/>
        <v>0.36288446032776916</v>
      </c>
      <c r="L10" s="69">
        <f t="shared" si="6"/>
        <v>0.41356352588457485</v>
      </c>
      <c r="M10" s="69">
        <f t="shared" si="6"/>
        <v>0.49033488558901256</v>
      </c>
      <c r="N10" s="69">
        <f t="shared" si="6"/>
        <v>0.48379708711449243</v>
      </c>
      <c r="O10" s="69">
        <f t="shared" si="6"/>
        <v>0.46276243115299276</v>
      </c>
      <c r="P10" s="69">
        <f t="shared" si="6"/>
        <v>0.48039147614929723</v>
      </c>
      <c r="Q10" s="69">
        <f t="shared" si="6"/>
        <v>0.50371145071965151</v>
      </c>
      <c r="R10" s="69">
        <f t="shared" si="6"/>
        <v>0.53334153605610157</v>
      </c>
      <c r="S10" s="69"/>
      <c r="AH10" s="106"/>
      <c r="AI10" s="69"/>
      <c r="AJ10" s="69"/>
      <c r="AK10" s="69"/>
      <c r="AL10" s="69"/>
      <c r="AM10" s="69"/>
      <c r="AN10" s="69"/>
      <c r="AO10" s="69"/>
      <c r="AP10" s="69"/>
      <c r="AQ10" s="69"/>
      <c r="AR10" s="69"/>
      <c r="AS10" s="69"/>
      <c r="AT10" s="69"/>
      <c r="AU10" s="69"/>
      <c r="AV10" s="69"/>
      <c r="AW10" s="69"/>
      <c r="AX10" s="69"/>
    </row>
    <row r="11" spans="2:50" ht="15.75">
      <c r="B11" s="141" t="s">
        <v>2110</v>
      </c>
      <c r="C11" s="66"/>
      <c r="D11" s="66"/>
      <c r="E11" s="66"/>
      <c r="F11" s="66"/>
      <c r="G11" s="125">
        <f>G5-G8</f>
        <v>2270.58</v>
      </c>
      <c r="H11" s="125">
        <f t="shared" ref="H11:M11" si="7">H5-H8</f>
        <v>2166.7464</v>
      </c>
      <c r="I11" s="125">
        <f t="shared" si="7"/>
        <v>2263.8897000000002</v>
      </c>
      <c r="J11" s="125">
        <f t="shared" si="7"/>
        <v>2141.0259125000002</v>
      </c>
      <c r="K11" s="125">
        <f t="shared" si="7"/>
        <v>1729.0041515625003</v>
      </c>
      <c r="L11" s="125">
        <f t="shared" si="7"/>
        <v>1571.0046705078125</v>
      </c>
      <c r="M11" s="125">
        <f t="shared" si="7"/>
        <v>1295.517754321289</v>
      </c>
      <c r="N11" s="125">
        <f>N5-N8</f>
        <v>1476.1532072966309</v>
      </c>
      <c r="O11" s="125">
        <f>O5-O8</f>
        <v>1766.7504030262937</v>
      </c>
      <c r="P11" s="125">
        <f>P5-P8</f>
        <v>1794.2146142986603</v>
      </c>
      <c r="Q11" s="125">
        <f>Q5-Q8</f>
        <v>1765.1011693800533</v>
      </c>
      <c r="R11" s="125">
        <f>R5-R8</f>
        <v>1692.9131039492077</v>
      </c>
      <c r="S11" s="69">
        <f>(M11/G11)^(1/6)-1</f>
        <v>-8.9280937859790743E-2</v>
      </c>
      <c r="AH11" s="106"/>
      <c r="AI11" s="69"/>
      <c r="AJ11" s="69"/>
      <c r="AK11" s="69"/>
      <c r="AL11" s="69"/>
      <c r="AM11" s="69"/>
      <c r="AN11" s="69"/>
      <c r="AO11" s="69"/>
      <c r="AP11" s="69"/>
      <c r="AQ11" s="69"/>
      <c r="AR11" s="69"/>
      <c r="AS11" s="69"/>
      <c r="AT11" s="69"/>
      <c r="AU11" s="69"/>
      <c r="AV11" s="69"/>
      <c r="AW11" s="69"/>
      <c r="AX11" s="69"/>
    </row>
    <row r="12" spans="2:50" ht="15.75">
      <c r="B12" s="141" t="s">
        <v>181</v>
      </c>
      <c r="C12" s="66"/>
      <c r="D12" s="66"/>
      <c r="E12" s="66"/>
      <c r="F12" s="66"/>
      <c r="G12" s="125"/>
      <c r="H12" s="69">
        <f t="shared" ref="H12:M12" si="8">H11/G11-1</f>
        <v>-4.5729989694263118E-2</v>
      </c>
      <c r="I12" s="69">
        <f t="shared" si="8"/>
        <v>4.4833719349897327E-2</v>
      </c>
      <c r="J12" s="69">
        <f t="shared" si="8"/>
        <v>-5.4271101414525624E-2</v>
      </c>
      <c r="K12" s="69">
        <f t="shared" si="8"/>
        <v>-0.19244127711485604</v>
      </c>
      <c r="L12" s="69">
        <f t="shared" si="8"/>
        <v>-9.1381782346736218E-2</v>
      </c>
      <c r="M12" s="69">
        <f t="shared" si="8"/>
        <v>-0.17535715924859407</v>
      </c>
      <c r="N12" s="69">
        <f>N11/M11-1</f>
        <v>0.13943109029021006</v>
      </c>
      <c r="O12" s="69">
        <f>O11/N11-1</f>
        <v>0.19686113493724089</v>
      </c>
      <c r="P12" s="69">
        <f>P11/O11-1</f>
        <v>1.5545043162476624E-2</v>
      </c>
      <c r="Q12" s="69">
        <f>Q11/P11-1</f>
        <v>-1.6226289032868602E-2</v>
      </c>
      <c r="R12" s="69">
        <f>R11/Q11-1</f>
        <v>-4.0897409555396669E-2</v>
      </c>
      <c r="AH12" s="106"/>
      <c r="AI12" s="69"/>
      <c r="AJ12" s="69"/>
      <c r="AK12" s="69"/>
      <c r="AL12" s="69"/>
      <c r="AM12" s="69"/>
      <c r="AN12" s="69"/>
      <c r="AO12" s="69"/>
      <c r="AP12" s="69"/>
      <c r="AQ12" s="69"/>
      <c r="AR12" s="69"/>
      <c r="AS12" s="69"/>
      <c r="AT12" s="69"/>
      <c r="AU12" s="69"/>
      <c r="AV12" s="69"/>
      <c r="AW12" s="69"/>
      <c r="AX12" s="69"/>
    </row>
    <row r="13" spans="2:50" ht="15.75">
      <c r="B13" s="66"/>
      <c r="C13" s="66"/>
      <c r="D13" s="66"/>
      <c r="E13" s="66"/>
      <c r="F13" s="66"/>
      <c r="G13" s="69"/>
      <c r="H13" s="69"/>
      <c r="I13" s="66"/>
      <c r="J13" s="66"/>
      <c r="K13" s="66"/>
      <c r="L13" s="66"/>
      <c r="M13" s="66"/>
      <c r="N13" s="66"/>
      <c r="O13" s="66"/>
      <c r="P13" s="66"/>
      <c r="Q13" s="66"/>
      <c r="R13" s="66"/>
      <c r="AH13" s="106"/>
      <c r="AI13" s="69"/>
      <c r="AJ13" s="69"/>
      <c r="AK13" s="69"/>
      <c r="AL13" s="69"/>
      <c r="AM13" s="69"/>
      <c r="AN13" s="69"/>
      <c r="AO13" s="69"/>
      <c r="AP13" s="69"/>
      <c r="AQ13" s="69"/>
      <c r="AR13" s="69"/>
      <c r="AS13" s="69"/>
      <c r="AT13" s="69"/>
      <c r="AU13" s="69"/>
      <c r="AV13" s="69"/>
      <c r="AW13" s="69"/>
      <c r="AX13" s="69"/>
    </row>
    <row r="14" spans="2:50" ht="15.75">
      <c r="B14" s="66" t="s">
        <v>183</v>
      </c>
      <c r="C14" s="114">
        <f>SUM(C232:F232)</f>
        <v>943.4</v>
      </c>
      <c r="D14" s="124">
        <f>SUM(G232:J232)</f>
        <v>933.90000000000009</v>
      </c>
      <c r="E14" s="124">
        <f>SUM(K232:N232)</f>
        <v>1003.2</v>
      </c>
      <c r="F14" s="124">
        <f>SUM(O232:R232)</f>
        <v>1120.3999999999999</v>
      </c>
      <c r="G14" s="124">
        <f>SUM(S232:V232)</f>
        <v>1240.8</v>
      </c>
      <c r="H14" s="124">
        <v>1311.8</v>
      </c>
      <c r="I14" s="124">
        <v>1333.1</v>
      </c>
      <c r="J14" s="124">
        <v>1288.0999999999999</v>
      </c>
      <c r="K14" s="124">
        <v>1022.8</v>
      </c>
      <c r="L14" s="125">
        <f t="shared" ref="L14:R14" si="9">L16+L17</f>
        <v>977.79849999999999</v>
      </c>
      <c r="M14" s="125">
        <f t="shared" si="9"/>
        <v>838.82700000000011</v>
      </c>
      <c r="N14" s="125">
        <f t="shared" si="9"/>
        <v>1029.4695000000002</v>
      </c>
      <c r="O14" s="125">
        <f t="shared" si="9"/>
        <v>1167.4470093749999</v>
      </c>
      <c r="P14" s="125">
        <f t="shared" si="9"/>
        <v>1208.5542984374999</v>
      </c>
      <c r="Q14" s="125">
        <f t="shared" si="9"/>
        <v>1244.8109273906252</v>
      </c>
      <c r="R14" s="125">
        <f t="shared" si="9"/>
        <v>1269.7071459384376</v>
      </c>
      <c r="AH14" s="106" t="s">
        <v>57</v>
      </c>
      <c r="AI14" s="69">
        <f>AVERAGE(BA241:BD241)</f>
        <v>0.15692665180741749</v>
      </c>
      <c r="AJ14" s="69"/>
      <c r="AK14" s="69"/>
      <c r="AL14" s="69"/>
      <c r="AM14" s="69"/>
      <c r="AN14" s="69"/>
      <c r="AO14" s="69"/>
      <c r="AP14" s="69"/>
      <c r="AQ14" s="69"/>
      <c r="AR14" s="69" t="e">
        <f>#REF!</f>
        <v>#REF!</v>
      </c>
      <c r="AS14" s="69" t="e">
        <f>#REF!</f>
        <v>#REF!</v>
      </c>
      <c r="AT14" s="69" t="e">
        <f>#REF!</f>
        <v>#REF!</v>
      </c>
      <c r="AU14" s="69" t="e">
        <f>#REF!</f>
        <v>#REF!</v>
      </c>
      <c r="AV14" s="69" t="e">
        <f>#REF!</f>
        <v>#REF!</v>
      </c>
      <c r="AW14" s="69" t="e">
        <f>#REF!</f>
        <v>#REF!</v>
      </c>
      <c r="AX14" s="69" t="e">
        <f>#REF!</f>
        <v>#REF!</v>
      </c>
    </row>
    <row r="15" spans="2:50" ht="15.75">
      <c r="B15" s="66"/>
      <c r="C15" s="71"/>
      <c r="D15" s="69"/>
      <c r="E15" s="69"/>
      <c r="F15" s="69"/>
      <c r="G15" s="69"/>
      <c r="H15" s="69"/>
      <c r="I15" s="69"/>
      <c r="J15" s="69"/>
      <c r="K15" s="69"/>
      <c r="L15" s="69"/>
      <c r="M15" s="69"/>
      <c r="N15" s="69"/>
      <c r="O15" s="69"/>
      <c r="P15" s="69"/>
      <c r="Q15" s="69"/>
      <c r="R15" s="69"/>
      <c r="AI15" s="66"/>
      <c r="AJ15" s="66"/>
      <c r="AK15" s="66"/>
      <c r="AL15" s="66"/>
      <c r="AM15" s="66"/>
      <c r="AN15" s="66"/>
      <c r="AO15" s="66"/>
      <c r="AP15" s="66"/>
      <c r="AQ15" s="66"/>
    </row>
    <row r="16" spans="2:50" ht="15.75">
      <c r="B16" s="66" t="s">
        <v>2669</v>
      </c>
      <c r="C16" s="71"/>
      <c r="D16" s="69"/>
      <c r="E16" s="69"/>
      <c r="F16" s="69"/>
      <c r="G16" s="125">
        <f>G14-G17</f>
        <v>122.20000000000005</v>
      </c>
      <c r="H16" s="125">
        <f>H14-H17</f>
        <v>106.29999999999995</v>
      </c>
      <c r="I16" s="125">
        <f>I14-I17</f>
        <v>85.299999999999955</v>
      </c>
      <c r="J16" s="125">
        <f>J14-J17</f>
        <v>0</v>
      </c>
      <c r="K16" s="125">
        <f>K14-K17</f>
        <v>32.199999999999932</v>
      </c>
      <c r="L16" s="124">
        <v>0</v>
      </c>
      <c r="M16" s="124">
        <v>0</v>
      </c>
      <c r="N16" s="124">
        <v>0</v>
      </c>
      <c r="O16" s="124">
        <v>0</v>
      </c>
      <c r="P16" s="124">
        <v>0</v>
      </c>
      <c r="Q16" s="124">
        <v>0</v>
      </c>
      <c r="R16" s="124">
        <v>0</v>
      </c>
      <c r="AI16" s="66"/>
      <c r="AJ16" s="66"/>
      <c r="AK16" s="66"/>
      <c r="AL16" s="66"/>
      <c r="AM16" s="66"/>
      <c r="AN16" s="66"/>
      <c r="AO16" s="66"/>
      <c r="AP16" s="66"/>
      <c r="AQ16" s="66"/>
    </row>
    <row r="17" spans="2:43" ht="15.75">
      <c r="B17" s="66" t="s">
        <v>373</v>
      </c>
      <c r="C17" s="71">
        <f>C14</f>
        <v>943.4</v>
      </c>
      <c r="D17" s="71">
        <f>D14</f>
        <v>933.90000000000009</v>
      </c>
      <c r="E17" s="71">
        <f>E14</f>
        <v>1003.2</v>
      </c>
      <c r="F17" s="71">
        <f>F14</f>
        <v>1120.3999999999999</v>
      </c>
      <c r="G17" s="124">
        <v>1118.5999999999999</v>
      </c>
      <c r="H17" s="124">
        <v>1205.5</v>
      </c>
      <c r="I17" s="124">
        <v>1247.8</v>
      </c>
      <c r="J17" s="124">
        <v>1288.0999999999999</v>
      </c>
      <c r="K17" s="124">
        <v>990.6</v>
      </c>
      <c r="L17" s="125">
        <f t="shared" ref="L17:R17" si="10">L19*L5</f>
        <v>977.79849999999999</v>
      </c>
      <c r="M17" s="125">
        <f t="shared" si="10"/>
        <v>838.82700000000011</v>
      </c>
      <c r="N17" s="125">
        <f t="shared" si="10"/>
        <v>1029.4695000000002</v>
      </c>
      <c r="O17" s="125">
        <f t="shared" si="10"/>
        <v>1167.4470093749999</v>
      </c>
      <c r="P17" s="125">
        <f t="shared" si="10"/>
        <v>1208.5542984374999</v>
      </c>
      <c r="Q17" s="125">
        <f t="shared" si="10"/>
        <v>1244.8109273906252</v>
      </c>
      <c r="R17" s="125">
        <f t="shared" si="10"/>
        <v>1269.7071459384376</v>
      </c>
      <c r="AI17" s="66"/>
      <c r="AJ17" s="66"/>
      <c r="AK17" s="66"/>
      <c r="AL17" s="66"/>
      <c r="AM17" s="66"/>
      <c r="AN17" s="66"/>
      <c r="AO17" s="66"/>
      <c r="AP17" s="66"/>
      <c r="AQ17" s="66"/>
    </row>
    <row r="18" spans="2:43" ht="15.75">
      <c r="B18" s="66" t="s">
        <v>181</v>
      </c>
      <c r="C18" s="71"/>
      <c r="D18" s="69">
        <f>D17/C17-1</f>
        <v>-1.0069959720161004E-2</v>
      </c>
      <c r="E18" s="69">
        <f t="shared" ref="E18:R18" si="11">E17/D17-1</f>
        <v>7.4204946996466292E-2</v>
      </c>
      <c r="F18" s="69">
        <f t="shared" si="11"/>
        <v>0.11682615629984028</v>
      </c>
      <c r="G18" s="69">
        <f t="shared" si="11"/>
        <v>-1.606569082470477E-3</v>
      </c>
      <c r="H18" s="69">
        <f t="shared" si="11"/>
        <v>7.7686393706418722E-2</v>
      </c>
      <c r="I18" s="69">
        <f t="shared" si="11"/>
        <v>3.5089174616341756E-2</v>
      </c>
      <c r="J18" s="69">
        <f t="shared" si="11"/>
        <v>3.2296842442699036E-2</v>
      </c>
      <c r="K18" s="69">
        <f t="shared" si="11"/>
        <v>-0.23096032916699005</v>
      </c>
      <c r="L18" s="69">
        <f t="shared" si="11"/>
        <v>-1.2922975974157147E-2</v>
      </c>
      <c r="M18" s="69">
        <f t="shared" si="11"/>
        <v>-0.1421269310599268</v>
      </c>
      <c r="N18" s="69">
        <f t="shared" si="11"/>
        <v>0.22727272727272729</v>
      </c>
      <c r="O18" s="69">
        <f t="shared" si="11"/>
        <v>0.13402777777777741</v>
      </c>
      <c r="P18" s="69">
        <f t="shared" si="11"/>
        <v>3.5211267605633756E-2</v>
      </c>
      <c r="Q18" s="69">
        <f t="shared" si="11"/>
        <v>3.0000000000000249E-2</v>
      </c>
      <c r="R18" s="69">
        <f t="shared" si="11"/>
        <v>2.0000000000000018E-2</v>
      </c>
      <c r="AI18" s="66"/>
      <c r="AJ18" s="66"/>
      <c r="AK18" s="66"/>
      <c r="AL18" s="66"/>
      <c r="AM18" s="66"/>
      <c r="AN18" s="66"/>
      <c r="AO18" s="66"/>
      <c r="AP18" s="66"/>
      <c r="AQ18" s="66"/>
    </row>
    <row r="19" spans="2:43" ht="15.75">
      <c r="B19" s="66" t="s">
        <v>158</v>
      </c>
      <c r="C19" s="116">
        <f t="shared" ref="C19:K19" si="12">C17/C5</f>
        <v>0.42018528416176737</v>
      </c>
      <c r="D19" s="116">
        <f t="shared" si="12"/>
        <v>0.41077633604574448</v>
      </c>
      <c r="E19" s="116">
        <f t="shared" si="12"/>
        <v>0.41081081081081083</v>
      </c>
      <c r="F19" s="116">
        <f t="shared" si="12"/>
        <v>0.42639671182828431</v>
      </c>
      <c r="G19" s="116">
        <f t="shared" si="12"/>
        <v>0.38426657506011674</v>
      </c>
      <c r="H19" s="116">
        <f t="shared" si="12"/>
        <v>0.42173943464875452</v>
      </c>
      <c r="I19" s="116">
        <f t="shared" si="12"/>
        <v>0.41019066403681786</v>
      </c>
      <c r="J19" s="116">
        <f t="shared" si="12"/>
        <v>0.42703222384299161</v>
      </c>
      <c r="K19" s="116">
        <f t="shared" si="12"/>
        <v>0.36502321468052173</v>
      </c>
      <c r="L19" s="117">
        <v>0.36499999999999999</v>
      </c>
      <c r="M19" s="117">
        <v>0.33</v>
      </c>
      <c r="N19" s="117">
        <v>0.36</v>
      </c>
      <c r="O19" s="117">
        <f>N19-0.5%</f>
        <v>0.35499999999999998</v>
      </c>
      <c r="P19" s="117">
        <f>O19-0.5%</f>
        <v>0.35</v>
      </c>
      <c r="Q19" s="117">
        <f>P19</f>
        <v>0.35</v>
      </c>
      <c r="R19" s="117">
        <f>Q19</f>
        <v>0.35</v>
      </c>
      <c r="AI19" s="66"/>
      <c r="AJ19" s="66"/>
      <c r="AK19" s="66"/>
      <c r="AL19" s="66"/>
      <c r="AM19" s="66"/>
      <c r="AN19" s="66"/>
      <c r="AO19" s="66"/>
      <c r="AP19" s="66"/>
      <c r="AQ19" s="66"/>
    </row>
    <row r="20" spans="2:43" ht="15.75">
      <c r="B20" s="66"/>
      <c r="C20" s="66"/>
      <c r="D20" s="66"/>
      <c r="E20" s="66"/>
      <c r="F20" s="66"/>
      <c r="G20" s="66"/>
      <c r="H20" s="66"/>
      <c r="I20" s="66"/>
      <c r="J20" s="66"/>
      <c r="K20" s="66"/>
      <c r="L20" s="66"/>
      <c r="M20" s="66"/>
      <c r="N20" s="66"/>
      <c r="O20" s="66"/>
      <c r="P20" s="66"/>
      <c r="Q20" s="66"/>
      <c r="R20" s="66"/>
      <c r="AI20" s="66"/>
      <c r="AJ20" s="66"/>
      <c r="AK20" s="66"/>
      <c r="AL20" s="66"/>
      <c r="AM20" s="66"/>
      <c r="AN20" s="66"/>
      <c r="AO20" s="66"/>
      <c r="AP20" s="66"/>
      <c r="AQ20" s="66"/>
    </row>
    <row r="21" spans="2:43" ht="15.75">
      <c r="B21" s="66" t="s">
        <v>5299</v>
      </c>
      <c r="C21" s="66"/>
      <c r="D21" s="66"/>
      <c r="E21" s="66"/>
      <c r="F21" s="66"/>
      <c r="G21" s="125">
        <f>G5-G17</f>
        <v>1792.4</v>
      </c>
      <c r="H21" s="125">
        <f>H5-H17</f>
        <v>1652.9</v>
      </c>
      <c r="I21" s="125">
        <f>I5-I17</f>
        <v>1794.2</v>
      </c>
      <c r="J21" s="125">
        <f>J5-J17</f>
        <v>1728.3000000000002</v>
      </c>
      <c r="K21" s="125">
        <f>K5-K17</f>
        <v>1723.2000000000003</v>
      </c>
      <c r="L21" s="125">
        <f t="shared" ref="L21:R21" si="13">L5-L17</f>
        <v>1701.1015000000002</v>
      </c>
      <c r="M21" s="125">
        <f t="shared" si="13"/>
        <v>1703.0729999999999</v>
      </c>
      <c r="N21" s="125">
        <f t="shared" si="13"/>
        <v>1830.1680000000001</v>
      </c>
      <c r="O21" s="125">
        <f t="shared" si="13"/>
        <v>2121.1361156250005</v>
      </c>
      <c r="P21" s="125">
        <f t="shared" si="13"/>
        <v>2244.4579828125006</v>
      </c>
      <c r="Q21" s="125">
        <f t="shared" si="13"/>
        <v>2311.7917222968754</v>
      </c>
      <c r="R21" s="125">
        <f t="shared" si="13"/>
        <v>2358.0275567428134</v>
      </c>
      <c r="AI21" s="66"/>
      <c r="AJ21" s="66"/>
      <c r="AK21" s="66"/>
      <c r="AL21" s="66"/>
      <c r="AM21" s="66"/>
      <c r="AN21" s="66"/>
      <c r="AO21" s="66"/>
      <c r="AP21" s="66"/>
      <c r="AQ21" s="66"/>
    </row>
    <row r="22" spans="2:43" ht="15.75">
      <c r="B22" s="66" t="s">
        <v>181</v>
      </c>
      <c r="C22" s="66"/>
      <c r="D22" s="66"/>
      <c r="E22" s="66"/>
      <c r="F22" s="66"/>
      <c r="G22" s="125"/>
      <c r="H22" s="125"/>
      <c r="I22" s="116">
        <f>I21/H21-1</f>
        <v>8.548611531248107E-2</v>
      </c>
      <c r="J22" s="116">
        <f>J21/I21-1</f>
        <v>-3.6729461598483892E-2</v>
      </c>
      <c r="K22" s="116">
        <f>K21/J21-1</f>
        <v>-2.9508765839263429E-3</v>
      </c>
      <c r="L22" s="116">
        <f t="shared" ref="L22:R22" si="14">L21/K21-1</f>
        <v>-1.2824106313834793E-2</v>
      </c>
      <c r="M22" s="116">
        <f t="shared" si="14"/>
        <v>1.1589549477204475E-3</v>
      </c>
      <c r="N22" s="116">
        <f t="shared" si="14"/>
        <v>7.4626865671642006E-2</v>
      </c>
      <c r="O22" s="116">
        <f t="shared" si="14"/>
        <v>0.15898437500000018</v>
      </c>
      <c r="P22" s="116">
        <f t="shared" si="14"/>
        <v>5.8139534883721034E-2</v>
      </c>
      <c r="Q22" s="116">
        <f t="shared" si="14"/>
        <v>2.9999999999999805E-2</v>
      </c>
      <c r="R22" s="116">
        <f t="shared" si="14"/>
        <v>2.000000000000024E-2</v>
      </c>
      <c r="AI22" s="66"/>
      <c r="AJ22" s="66"/>
      <c r="AK22" s="66"/>
      <c r="AL22" s="66"/>
      <c r="AM22" s="66"/>
      <c r="AN22" s="66"/>
      <c r="AO22" s="66"/>
      <c r="AP22" s="66"/>
      <c r="AQ22" s="66"/>
    </row>
    <row r="23" spans="2:43" ht="15.75">
      <c r="B23" s="66"/>
      <c r="C23" s="66"/>
      <c r="D23" s="66"/>
      <c r="E23" s="66"/>
      <c r="F23" s="66"/>
      <c r="G23" s="66"/>
      <c r="H23" s="66"/>
      <c r="I23" s="66"/>
      <c r="J23" s="66"/>
      <c r="K23" s="66"/>
      <c r="L23" s="66"/>
      <c r="M23" s="66"/>
      <c r="N23" s="66"/>
      <c r="O23" s="66"/>
      <c r="P23" s="66"/>
      <c r="Q23" s="66"/>
      <c r="R23" s="66"/>
      <c r="AI23" s="66"/>
      <c r="AJ23" s="66"/>
      <c r="AK23" s="66"/>
      <c r="AL23" s="66"/>
      <c r="AM23" s="66"/>
      <c r="AN23" s="66"/>
      <c r="AO23" s="66"/>
      <c r="AP23" s="66"/>
      <c r="AQ23" s="66"/>
    </row>
    <row r="24" spans="2:43" ht="15.75">
      <c r="B24" s="66" t="s">
        <v>1044</v>
      </c>
      <c r="C24" s="71">
        <f t="shared" ref="C24:R24" si="15">(C14+C134)</f>
        <v>1117.8250975999999</v>
      </c>
      <c r="D24" s="125">
        <f t="shared" si="15"/>
        <v>1158.6422955</v>
      </c>
      <c r="E24" s="125">
        <f t="shared" si="15"/>
        <v>1247.8785034740781</v>
      </c>
      <c r="F24" s="125">
        <f t="shared" si="15"/>
        <v>1387.9232709780865</v>
      </c>
      <c r="G24" s="125">
        <f t="shared" si="15"/>
        <v>1544.6161972207374</v>
      </c>
      <c r="H24" s="125">
        <f t="shared" si="15"/>
        <v>1614.1970443613041</v>
      </c>
      <c r="I24" s="125">
        <f t="shared" si="15"/>
        <v>1645.8715018706573</v>
      </c>
      <c r="J24" s="125">
        <f t="shared" si="15"/>
        <v>1590.5515339390699</v>
      </c>
      <c r="K24" s="125">
        <f t="shared" si="15"/>
        <v>1399.4436317477284</v>
      </c>
      <c r="L24" s="125">
        <f t="shared" si="15"/>
        <v>1349.5984208080881</v>
      </c>
      <c r="M24" s="125">
        <f t="shared" si="15"/>
        <v>1191.6129265751165</v>
      </c>
      <c r="N24" s="125">
        <f t="shared" si="15"/>
        <v>1426.3536673970061</v>
      </c>
      <c r="O24" s="125">
        <f t="shared" si="15"/>
        <v>1623.8638018815568</v>
      </c>
      <c r="P24" s="125">
        <f t="shared" si="15"/>
        <v>1687.7919305693847</v>
      </c>
      <c r="Q24" s="125">
        <f t="shared" si="15"/>
        <v>1738.4256884864667</v>
      </c>
      <c r="R24" s="125">
        <f t="shared" si="15"/>
        <v>1773.1942022561959</v>
      </c>
      <c r="AI24" s="66"/>
      <c r="AJ24" s="66"/>
      <c r="AK24" s="66"/>
      <c r="AL24" s="66"/>
      <c r="AM24" s="66"/>
      <c r="AN24" s="66"/>
      <c r="AO24" s="66"/>
      <c r="AP24" s="66"/>
      <c r="AQ24" s="66"/>
    </row>
    <row r="25" spans="2:43" ht="15.75">
      <c r="B25" s="66" t="s">
        <v>158</v>
      </c>
      <c r="C25" s="116">
        <f t="shared" ref="C25:R25" si="16">C24/C5</f>
        <v>0.49787328416176735</v>
      </c>
      <c r="D25" s="116">
        <f t="shared" si="16"/>
        <v>0.50962933604574445</v>
      </c>
      <c r="E25" s="116">
        <f t="shared" si="16"/>
        <v>0.51100675817939312</v>
      </c>
      <c r="F25" s="116">
        <f t="shared" si="16"/>
        <v>0.52820949572921549</v>
      </c>
      <c r="G25" s="116">
        <f t="shared" si="16"/>
        <v>0.53061360261791046</v>
      </c>
      <c r="H25" s="116">
        <f t="shared" si="16"/>
        <v>0.56472048851151135</v>
      </c>
      <c r="I25" s="116">
        <f t="shared" si="16"/>
        <v>0.54104914591408848</v>
      </c>
      <c r="J25" s="116">
        <f t="shared" si="16"/>
        <v>0.5273012644009647</v>
      </c>
      <c r="K25" s="116">
        <f t="shared" si="16"/>
        <v>0.51567677490888364</v>
      </c>
      <c r="L25" s="116">
        <f t="shared" si="16"/>
        <v>0.50378827907278667</v>
      </c>
      <c r="M25" s="116">
        <f t="shared" si="16"/>
        <v>0.4687882790727867</v>
      </c>
      <c r="N25" s="116">
        <f t="shared" si="16"/>
        <v>0.49878827907278667</v>
      </c>
      <c r="O25" s="116">
        <f t="shared" si="16"/>
        <v>0.49378827907278661</v>
      </c>
      <c r="P25" s="116">
        <f t="shared" si="16"/>
        <v>0.4887882790727866</v>
      </c>
      <c r="Q25" s="116">
        <f t="shared" si="16"/>
        <v>0.48878827907278671</v>
      </c>
      <c r="R25" s="116">
        <f t="shared" si="16"/>
        <v>0.48878827907278666</v>
      </c>
      <c r="AI25" s="66"/>
      <c r="AJ25" s="66"/>
      <c r="AK25" s="66"/>
      <c r="AL25" s="66"/>
      <c r="AM25" s="66"/>
      <c r="AN25" s="66"/>
      <c r="AO25" s="66"/>
      <c r="AP25" s="66"/>
      <c r="AQ25" s="66"/>
    </row>
    <row r="26" spans="2:43" ht="15.75">
      <c r="B26" s="66"/>
      <c r="C26" s="66"/>
      <c r="D26" s="66"/>
      <c r="E26" s="66"/>
      <c r="F26" s="66"/>
      <c r="G26" s="125"/>
      <c r="H26" s="125"/>
      <c r="I26" s="66"/>
      <c r="J26" s="66"/>
      <c r="K26" s="66"/>
      <c r="L26" s="66"/>
      <c r="M26" s="66"/>
      <c r="N26" s="66"/>
      <c r="O26" s="66"/>
      <c r="P26" s="66"/>
      <c r="Q26" s="66"/>
      <c r="R26" s="66"/>
      <c r="AI26" s="66"/>
      <c r="AJ26" s="66"/>
      <c r="AK26" s="66"/>
      <c r="AL26" s="66"/>
      <c r="AM26" s="66"/>
      <c r="AN26" s="66"/>
      <c r="AO26" s="66"/>
      <c r="AP26" s="66"/>
      <c r="AQ26" s="66"/>
    </row>
    <row r="27" spans="2:43" ht="15.75">
      <c r="B27" s="138" t="s">
        <v>1046</v>
      </c>
      <c r="C27" s="139">
        <f t="shared" ref="C27:J27" si="17">C25+$C$130*0.87/2</f>
        <v>0.53858928416176732</v>
      </c>
      <c r="D27" s="139">
        <f t="shared" si="17"/>
        <v>0.55034533604574443</v>
      </c>
      <c r="E27" s="139">
        <f t="shared" si="17"/>
        <v>0.55172275817939309</v>
      </c>
      <c r="F27" s="139">
        <f t="shared" si="17"/>
        <v>0.56892549572921547</v>
      </c>
      <c r="G27" s="139">
        <f t="shared" si="17"/>
        <v>0.57132960261791044</v>
      </c>
      <c r="H27" s="139">
        <f t="shared" si="17"/>
        <v>0.60543648851151133</v>
      </c>
      <c r="I27" s="139">
        <f t="shared" si="17"/>
        <v>0.58176514591408846</v>
      </c>
      <c r="J27" s="139">
        <f t="shared" si="17"/>
        <v>0.56801726440096467</v>
      </c>
      <c r="K27" s="139">
        <f>K25</f>
        <v>0.51567677490888364</v>
      </c>
      <c r="L27" s="139">
        <f>L25</f>
        <v>0.50378827907278667</v>
      </c>
      <c r="M27" s="139">
        <f t="shared" ref="M27:R27" si="18">M25</f>
        <v>0.4687882790727867</v>
      </c>
      <c r="N27" s="139">
        <f t="shared" si="18"/>
        <v>0.49878827907278667</v>
      </c>
      <c r="O27" s="139">
        <f t="shared" si="18"/>
        <v>0.49378827907278661</v>
      </c>
      <c r="P27" s="139">
        <f t="shared" si="18"/>
        <v>0.4887882790727866</v>
      </c>
      <c r="Q27" s="139">
        <f t="shared" si="18"/>
        <v>0.48878827907278671</v>
      </c>
      <c r="R27" s="139">
        <f t="shared" si="18"/>
        <v>0.48878827907278666</v>
      </c>
      <c r="AI27" s="66"/>
      <c r="AJ27" s="66"/>
      <c r="AK27" s="66"/>
      <c r="AL27" s="66"/>
      <c r="AM27" s="66"/>
      <c r="AN27" s="66"/>
      <c r="AO27" s="66"/>
      <c r="AP27" s="66"/>
      <c r="AQ27" s="66"/>
    </row>
    <row r="28" spans="2:43" ht="15.75">
      <c r="B28" s="66"/>
      <c r="C28" s="116"/>
      <c r="D28" s="116"/>
      <c r="E28" s="116"/>
      <c r="F28" s="116"/>
      <c r="G28" s="116"/>
      <c r="H28" s="116"/>
      <c r="I28" s="116"/>
      <c r="J28" s="116"/>
      <c r="K28" s="116"/>
      <c r="L28" s="116"/>
      <c r="M28" s="116"/>
      <c r="N28" s="116"/>
      <c r="O28" s="116"/>
      <c r="P28" s="116"/>
      <c r="Q28" s="116"/>
      <c r="R28" s="116"/>
      <c r="AI28" s="66"/>
      <c r="AJ28" s="66"/>
      <c r="AK28" s="66"/>
      <c r="AL28" s="66"/>
      <c r="AM28" s="66"/>
      <c r="AN28" s="66"/>
      <c r="AO28" s="66"/>
      <c r="AP28" s="66"/>
      <c r="AQ28" s="66"/>
    </row>
    <row r="29" spans="2:43" ht="15.75">
      <c r="B29" s="66" t="s">
        <v>533</v>
      </c>
      <c r="C29" s="114">
        <v>-117.8</v>
      </c>
      <c r="D29" s="114">
        <v>-124.9</v>
      </c>
      <c r="E29" s="114">
        <v>-130.30000000000001</v>
      </c>
      <c r="F29" s="114">
        <v>-145.9</v>
      </c>
      <c r="G29" s="114">
        <f>-105.5-58.3</f>
        <v>-163.80000000000001</v>
      </c>
      <c r="H29" s="114">
        <v>-171.1</v>
      </c>
      <c r="I29" s="114">
        <v>-185.3</v>
      </c>
      <c r="J29" s="71">
        <f t="shared" ref="J29:R29" si="19">J30*J5</f>
        <v>-165.7129360017594</v>
      </c>
      <c r="K29" s="71">
        <f t="shared" si="19"/>
        <v>-149.08890257312515</v>
      </c>
      <c r="L29" s="71">
        <f t="shared" si="19"/>
        <v>-147.17159005937981</v>
      </c>
      <c r="M29" s="71">
        <f t="shared" si="19"/>
        <v>-139.64517703980647</v>
      </c>
      <c r="N29" s="71">
        <f t="shared" si="19"/>
        <v>-157.1008241697823</v>
      </c>
      <c r="O29" s="71">
        <f t="shared" si="19"/>
        <v>-180.66594779524962</v>
      </c>
      <c r="P29" s="71">
        <f t="shared" si="19"/>
        <v>-189.6992451850121</v>
      </c>
      <c r="Q29" s="71">
        <f t="shared" si="19"/>
        <v>-195.39022254056249</v>
      </c>
      <c r="R29" s="71">
        <f t="shared" si="19"/>
        <v>-199.29802699137375</v>
      </c>
      <c r="AI29" s="66"/>
      <c r="AJ29" s="66"/>
      <c r="AK29" s="66"/>
      <c r="AL29" s="66"/>
      <c r="AM29" s="66"/>
      <c r="AN29" s="66"/>
      <c r="AO29" s="66"/>
      <c r="AP29" s="66"/>
      <c r="AQ29" s="66"/>
    </row>
    <row r="30" spans="2:43" ht="15.75">
      <c r="B30" s="66" t="s">
        <v>202</v>
      </c>
      <c r="C30" s="116">
        <f>C29/C5</f>
        <v>-5.2467486192766796E-2</v>
      </c>
      <c r="D30" s="116">
        <f>D29/D5</f>
        <v>-5.4937321310754343E-2</v>
      </c>
      <c r="E30" s="116">
        <f>D30</f>
        <v>-5.4937321310754343E-2</v>
      </c>
      <c r="F30" s="116">
        <f t="shared" ref="F30:K30" si="20">E30</f>
        <v>-5.4937321310754343E-2</v>
      </c>
      <c r="G30" s="116">
        <f t="shared" si="20"/>
        <v>-5.4937321310754343E-2</v>
      </c>
      <c r="H30" s="116">
        <f t="shared" si="20"/>
        <v>-5.4937321310754343E-2</v>
      </c>
      <c r="I30" s="116">
        <f t="shared" si="20"/>
        <v>-5.4937321310754343E-2</v>
      </c>
      <c r="J30" s="116">
        <f t="shared" si="20"/>
        <v>-5.4937321310754343E-2</v>
      </c>
      <c r="K30" s="116">
        <f t="shared" si="20"/>
        <v>-5.4937321310754343E-2</v>
      </c>
      <c r="L30" s="116">
        <f t="shared" ref="L30:R30" si="21">K30</f>
        <v>-5.4937321310754343E-2</v>
      </c>
      <c r="M30" s="116">
        <f t="shared" si="21"/>
        <v>-5.4937321310754343E-2</v>
      </c>
      <c r="N30" s="116">
        <f t="shared" si="21"/>
        <v>-5.4937321310754343E-2</v>
      </c>
      <c r="O30" s="116">
        <f t="shared" si="21"/>
        <v>-5.4937321310754343E-2</v>
      </c>
      <c r="P30" s="116">
        <f t="shared" si="21"/>
        <v>-5.4937321310754343E-2</v>
      </c>
      <c r="Q30" s="116">
        <f t="shared" si="21"/>
        <v>-5.4937321310754343E-2</v>
      </c>
      <c r="R30" s="116">
        <f t="shared" si="21"/>
        <v>-5.4937321310754343E-2</v>
      </c>
      <c r="AI30" s="66"/>
      <c r="AJ30" s="66"/>
      <c r="AK30" s="66"/>
      <c r="AL30" s="66"/>
      <c r="AM30" s="66"/>
      <c r="AN30" s="66"/>
      <c r="AO30" s="66"/>
      <c r="AP30" s="66"/>
      <c r="AQ30" s="66"/>
    </row>
    <row r="31" spans="2:43" ht="15.75">
      <c r="B31" s="66"/>
      <c r="C31" s="10"/>
      <c r="D31" s="10"/>
      <c r="E31" s="116"/>
      <c r="F31" s="116"/>
      <c r="G31" s="116"/>
      <c r="H31" s="116"/>
      <c r="I31" s="116"/>
      <c r="J31" s="116"/>
      <c r="K31" s="116"/>
      <c r="L31" s="116"/>
      <c r="M31" s="116"/>
      <c r="N31" s="116"/>
      <c r="O31" s="116"/>
      <c r="P31" s="116"/>
      <c r="Q31" s="116"/>
      <c r="R31" s="116"/>
      <c r="AI31" s="66"/>
      <c r="AJ31" s="66"/>
      <c r="AK31" s="66"/>
      <c r="AL31" s="66"/>
      <c r="AM31" s="66"/>
      <c r="AN31" s="66"/>
      <c r="AO31" s="66"/>
      <c r="AP31" s="66"/>
      <c r="AQ31" s="66"/>
    </row>
    <row r="32" spans="2:43" ht="15.75">
      <c r="B32" s="66" t="s">
        <v>582</v>
      </c>
      <c r="C32" s="71">
        <f t="shared" ref="C32:I32" si="22">-((C14+C29)-C33)</f>
        <v>-577.40000000000009</v>
      </c>
      <c r="D32" s="71">
        <f t="shared" si="22"/>
        <v>-136.90000000000009</v>
      </c>
      <c r="E32" s="71">
        <f t="shared" si="22"/>
        <v>-244.70000000000005</v>
      </c>
      <c r="F32" s="71">
        <f t="shared" si="22"/>
        <v>-546.59999999999991</v>
      </c>
      <c r="G32" s="71">
        <f t="shared" si="22"/>
        <v>-443</v>
      </c>
      <c r="H32" s="71">
        <f t="shared" si="22"/>
        <v>-529.70000000000005</v>
      </c>
      <c r="I32" s="71">
        <f t="shared" si="22"/>
        <v>-254.5</v>
      </c>
      <c r="J32" s="71">
        <v>0</v>
      </c>
      <c r="K32" s="71">
        <v>0</v>
      </c>
      <c r="L32" s="71">
        <v>0</v>
      </c>
      <c r="M32" s="71">
        <v>0</v>
      </c>
      <c r="N32" s="71">
        <v>0</v>
      </c>
      <c r="O32" s="71">
        <v>0</v>
      </c>
      <c r="P32" s="71">
        <v>0</v>
      </c>
      <c r="Q32" s="71">
        <v>0</v>
      </c>
      <c r="R32" s="71">
        <v>0</v>
      </c>
      <c r="AI32" s="66"/>
      <c r="AJ32" s="66"/>
      <c r="AK32" s="66"/>
      <c r="AL32" s="66"/>
      <c r="AM32" s="66"/>
      <c r="AN32" s="66"/>
      <c r="AO32" s="66"/>
      <c r="AP32" s="66"/>
      <c r="AQ32" s="66"/>
    </row>
    <row r="33" spans="2:43" ht="15.75">
      <c r="B33" s="66" t="s">
        <v>186</v>
      </c>
      <c r="C33" s="71">
        <v>248.2</v>
      </c>
      <c r="D33" s="124">
        <v>672.1</v>
      </c>
      <c r="E33" s="124">
        <v>628.20000000000005</v>
      </c>
      <c r="F33" s="124">
        <v>427.9</v>
      </c>
      <c r="G33" s="124">
        <v>634</v>
      </c>
      <c r="H33" s="124">
        <v>611</v>
      </c>
      <c r="I33" s="124">
        <v>893.3</v>
      </c>
      <c r="J33" s="125">
        <f t="shared" ref="J33:R33" si="23">J14+J29</f>
        <v>1122.3870639982406</v>
      </c>
      <c r="K33" s="125">
        <f t="shared" si="23"/>
        <v>873.71109742687486</v>
      </c>
      <c r="L33" s="125">
        <f t="shared" si="23"/>
        <v>830.62690994062018</v>
      </c>
      <c r="M33" s="125">
        <f t="shared" si="23"/>
        <v>699.18182296019359</v>
      </c>
      <c r="N33" s="125">
        <f t="shared" si="23"/>
        <v>872.36867583021785</v>
      </c>
      <c r="O33" s="125">
        <f t="shared" si="23"/>
        <v>986.78106157975026</v>
      </c>
      <c r="P33" s="125">
        <f t="shared" si="23"/>
        <v>1018.8550532524878</v>
      </c>
      <c r="Q33" s="125">
        <f t="shared" si="23"/>
        <v>1049.4207048500627</v>
      </c>
      <c r="R33" s="125">
        <f t="shared" si="23"/>
        <v>1070.4091189470639</v>
      </c>
      <c r="AI33" s="66"/>
      <c r="AJ33" s="66"/>
      <c r="AK33" s="66"/>
      <c r="AL33" s="66"/>
      <c r="AM33" s="66"/>
      <c r="AN33" s="66"/>
      <c r="AO33" s="66"/>
      <c r="AP33" s="66"/>
      <c r="AQ33" s="66"/>
    </row>
    <row r="34" spans="2:43" ht="15.75">
      <c r="B34" s="66"/>
      <c r="C34" s="71"/>
      <c r="D34" s="71"/>
      <c r="E34" s="66"/>
      <c r="F34" s="66"/>
      <c r="G34" s="66"/>
      <c r="H34" s="66"/>
      <c r="I34" s="66"/>
      <c r="J34" s="66"/>
      <c r="K34" s="66"/>
      <c r="L34" s="66"/>
      <c r="M34" s="66"/>
      <c r="N34" s="66"/>
      <c r="O34" s="66"/>
      <c r="P34" s="66"/>
      <c r="Q34" s="66"/>
      <c r="R34" s="66"/>
      <c r="AI34" s="66"/>
      <c r="AJ34" s="66"/>
      <c r="AK34" s="66"/>
      <c r="AL34" s="66"/>
      <c r="AM34" s="66"/>
      <c r="AN34" s="66"/>
      <c r="AO34" s="66"/>
      <c r="AP34" s="66"/>
      <c r="AQ34" s="66"/>
    </row>
    <row r="35" spans="2:43" ht="15.75">
      <c r="B35" s="66" t="s">
        <v>265</v>
      </c>
      <c r="C35" s="118">
        <v>-585</v>
      </c>
      <c r="D35" s="118">
        <v>-516.6</v>
      </c>
      <c r="E35" s="118">
        <v>-558.5</v>
      </c>
      <c r="F35" s="118">
        <v>-603.4</v>
      </c>
      <c r="G35" s="118">
        <v>-572.5</v>
      </c>
      <c r="H35" s="118">
        <f>-539.7</f>
        <v>-539.70000000000005</v>
      </c>
      <c r="I35" s="118">
        <v>-494.1</v>
      </c>
      <c r="J35" s="71">
        <f>-J90</f>
        <v>-554.0625</v>
      </c>
      <c r="K35" s="71">
        <f>-K90</f>
        <v>-554.0625</v>
      </c>
      <c r="L35" s="71">
        <f>-L90</f>
        <v>-512.8125</v>
      </c>
      <c r="M35" s="71">
        <f t="shared" ref="M35:R35" si="24">-M90</f>
        <v>-471.5625</v>
      </c>
      <c r="N35" s="71">
        <f t="shared" si="24"/>
        <v>-442.36874999999998</v>
      </c>
      <c r="O35" s="71">
        <f t="shared" si="24"/>
        <v>-378.53749999999997</v>
      </c>
      <c r="P35" s="71">
        <f t="shared" si="24"/>
        <v>-261.21249999999998</v>
      </c>
      <c r="Q35" s="71">
        <f t="shared" si="24"/>
        <v>-117.02499999999998</v>
      </c>
      <c r="R35" s="71">
        <f t="shared" si="24"/>
        <v>-55.524999999999977</v>
      </c>
      <c r="AI35" s="66"/>
      <c r="AJ35" s="66"/>
      <c r="AK35" s="66"/>
      <c r="AL35" s="66"/>
      <c r="AM35" s="66"/>
      <c r="AN35" s="66"/>
      <c r="AO35" s="66"/>
      <c r="AP35" s="66"/>
      <c r="AQ35" s="66"/>
    </row>
    <row r="36" spans="2:43" ht="15.75">
      <c r="B36" s="66" t="s">
        <v>536</v>
      </c>
      <c r="C36" s="66"/>
      <c r="D36" s="116">
        <f t="shared" ref="D36:I36" si="25">-D35/AVERAGE(C58,D58)</f>
        <v>5.3038742100913243E-2</v>
      </c>
      <c r="E36" s="116">
        <f t="shared" si="25"/>
        <v>6.0551194761264582E-2</v>
      </c>
      <c r="F36" s="116">
        <f t="shared" si="25"/>
        <v>6.4368159416270179E-2</v>
      </c>
      <c r="G36" s="116">
        <f t="shared" si="25"/>
        <v>6.0665787145211106E-2</v>
      </c>
      <c r="H36" s="116">
        <f t="shared" si="25"/>
        <v>5.7615321383963372E-2</v>
      </c>
      <c r="I36" s="116">
        <f t="shared" si="25"/>
        <v>5.3900740167014842E-2</v>
      </c>
      <c r="J36" s="116">
        <f>-J35/((J58*3+I58*1)/4)</f>
        <v>6.7095655017074776E-2</v>
      </c>
      <c r="K36" s="116">
        <f>-K35/((K58*3+J58*1)/4)</f>
        <v>7.2160702250209208E-2</v>
      </c>
      <c r="L36" s="116">
        <f>-L35/((L58*3+K58*1)/4)</f>
        <v>7.7015063226504074E-2</v>
      </c>
      <c r="M36" s="116">
        <f t="shared" ref="M36:R36" si="26">-M35/((M58*3+L58*1)/4)</f>
        <v>7.4161372000125819E-2</v>
      </c>
      <c r="N36" s="116">
        <f t="shared" si="26"/>
        <v>7.6321793964907444E-2</v>
      </c>
      <c r="O36" s="116">
        <f t="shared" si="26"/>
        <v>7.5747646252513831E-2</v>
      </c>
      <c r="P36" s="116">
        <f t="shared" si="26"/>
        <v>8.8363891613950821E-2</v>
      </c>
      <c r="Q36" s="116">
        <f t="shared" si="26"/>
        <v>0.21527777777777796</v>
      </c>
      <c r="R36" s="116">
        <f t="shared" si="26"/>
        <v>-0.984485815602827</v>
      </c>
      <c r="AI36" s="66"/>
      <c r="AJ36" s="66"/>
      <c r="AK36" s="66"/>
      <c r="AL36" s="66"/>
      <c r="AM36" s="66"/>
      <c r="AN36" s="66"/>
      <c r="AO36" s="66"/>
      <c r="AP36" s="66"/>
      <c r="AQ36" s="66"/>
    </row>
    <row r="37" spans="2:43" ht="15.75">
      <c r="B37" s="66" t="s">
        <v>261</v>
      </c>
      <c r="C37" s="118">
        <v>10.5</v>
      </c>
      <c r="D37" s="118">
        <v>2.4</v>
      </c>
      <c r="E37" s="118">
        <v>0.1</v>
      </c>
      <c r="F37" s="118">
        <v>3.4</v>
      </c>
      <c r="G37" s="118">
        <v>6</v>
      </c>
      <c r="H37" s="118">
        <v>9.9</v>
      </c>
      <c r="I37" s="118">
        <v>11</v>
      </c>
      <c r="J37" s="71">
        <f t="shared" ref="J37:R37" si="27">J38*AVERAGE(I92:J92)</f>
        <v>0.63049999999999995</v>
      </c>
      <c r="K37" s="71">
        <f t="shared" si="27"/>
        <v>0.9395</v>
      </c>
      <c r="L37" s="71">
        <f t="shared" ca="1" si="27"/>
        <v>-3.5228116300128263</v>
      </c>
      <c r="M37" s="71">
        <f t="shared" ca="1" si="27"/>
        <v>-7.4555769854184613</v>
      </c>
      <c r="N37" s="71">
        <f t="shared" ca="1" si="27"/>
        <v>-8.7707073881617728</v>
      </c>
      <c r="O37" s="71">
        <f t="shared" ca="1" si="27"/>
        <v>-12.858379606981034</v>
      </c>
      <c r="P37" s="71">
        <f t="shared" ca="1" si="27"/>
        <v>-24.365948434816637</v>
      </c>
      <c r="Q37" s="71">
        <f t="shared" ca="1" si="27"/>
        <v>-42.812585502890173</v>
      </c>
      <c r="R37" s="71">
        <f t="shared" ca="1" si="27"/>
        <v>-48.231330821164391</v>
      </c>
      <c r="AI37" s="66"/>
      <c r="AJ37" s="66"/>
      <c r="AK37" s="66"/>
      <c r="AL37" s="66"/>
      <c r="AM37" s="66"/>
      <c r="AN37" s="66"/>
      <c r="AO37" s="66"/>
      <c r="AP37" s="66"/>
      <c r="AQ37" s="66"/>
    </row>
    <row r="38" spans="2:43" ht="15.75">
      <c r="B38" s="66" t="s">
        <v>536</v>
      </c>
      <c r="C38" s="66"/>
      <c r="D38" s="66"/>
      <c r="E38" s="117">
        <v>0.01</v>
      </c>
      <c r="F38" s="117">
        <v>0.01</v>
      </c>
      <c r="G38" s="117">
        <v>0.01</v>
      </c>
      <c r="H38" s="117">
        <v>0.01</v>
      </c>
      <c r="I38" s="117">
        <v>0.01</v>
      </c>
      <c r="J38" s="117">
        <v>0.01</v>
      </c>
      <c r="K38" s="117">
        <v>0.01</v>
      </c>
      <c r="L38" s="117">
        <v>0.01</v>
      </c>
      <c r="M38" s="117">
        <v>0.01</v>
      </c>
      <c r="N38" s="117">
        <v>0.01</v>
      </c>
      <c r="O38" s="117">
        <v>0.01</v>
      </c>
      <c r="P38" s="117">
        <v>0.01</v>
      </c>
      <c r="Q38" s="117">
        <v>0.01</v>
      </c>
      <c r="R38" s="117">
        <v>0.01</v>
      </c>
      <c r="AI38" s="66"/>
      <c r="AJ38" s="66"/>
      <c r="AK38" s="66"/>
      <c r="AL38" s="66"/>
      <c r="AM38" s="66"/>
      <c r="AN38" s="66"/>
      <c r="AO38" s="66"/>
      <c r="AP38" s="66"/>
      <c r="AQ38" s="66"/>
    </row>
    <row r="39" spans="2:43" ht="15.75">
      <c r="B39" s="66"/>
      <c r="C39" s="66"/>
      <c r="D39" s="66"/>
      <c r="E39" s="66"/>
      <c r="F39" s="66"/>
      <c r="G39" s="125"/>
      <c r="H39" s="66"/>
      <c r="I39" s="66"/>
      <c r="J39" s="66"/>
      <c r="K39" s="66"/>
      <c r="L39" s="66"/>
      <c r="M39" s="66"/>
      <c r="N39" s="66"/>
      <c r="O39" s="66"/>
      <c r="P39" s="66"/>
      <c r="Q39" s="66"/>
      <c r="R39" s="66"/>
      <c r="AI39" s="66"/>
      <c r="AJ39" s="66"/>
      <c r="AK39" s="66"/>
      <c r="AL39" s="66"/>
      <c r="AM39" s="66"/>
      <c r="AN39" s="66"/>
      <c r="AO39" s="66"/>
      <c r="AP39" s="66"/>
      <c r="AQ39" s="66"/>
    </row>
    <row r="40" spans="2:43" ht="15.75">
      <c r="B40" s="66" t="s">
        <v>1045</v>
      </c>
      <c r="C40" s="71">
        <f t="shared" ref="C40:I40" si="28">C41-(C33+C35+C37)</f>
        <v>-199.09999999999997</v>
      </c>
      <c r="D40" s="71">
        <f t="shared" si="28"/>
        <v>-180.1</v>
      </c>
      <c r="E40" s="71">
        <f t="shared" si="28"/>
        <v>-10.30000000000004</v>
      </c>
      <c r="F40" s="71">
        <f t="shared" si="28"/>
        <v>-59.300000000000011</v>
      </c>
      <c r="G40" s="71">
        <f t="shared" si="28"/>
        <v>-117.6</v>
      </c>
      <c r="H40" s="71">
        <f t="shared" si="28"/>
        <v>-195.99999999999994</v>
      </c>
      <c r="I40" s="71">
        <f t="shared" si="28"/>
        <v>-80.89999999999992</v>
      </c>
      <c r="J40" s="71">
        <v>0</v>
      </c>
      <c r="K40" s="71">
        <v>0</v>
      </c>
      <c r="L40" s="71">
        <v>0</v>
      </c>
      <c r="M40" s="71">
        <v>0</v>
      </c>
      <c r="N40" s="71">
        <v>0</v>
      </c>
      <c r="O40" s="71">
        <v>0</v>
      </c>
      <c r="P40" s="71">
        <v>0</v>
      </c>
      <c r="Q40" s="71">
        <v>0</v>
      </c>
      <c r="R40" s="71">
        <v>0</v>
      </c>
      <c r="AI40" s="66"/>
      <c r="AJ40" s="66"/>
      <c r="AK40" s="66"/>
      <c r="AL40" s="66"/>
      <c r="AM40" s="66"/>
      <c r="AN40" s="66"/>
      <c r="AO40" s="66"/>
      <c r="AP40" s="66"/>
      <c r="AQ40" s="66"/>
    </row>
    <row r="41" spans="2:43" ht="15.75">
      <c r="B41" s="66" t="s">
        <v>581</v>
      </c>
      <c r="C41" s="119">
        <v>-525.4</v>
      </c>
      <c r="D41" s="119">
        <v>-22.2</v>
      </c>
      <c r="E41" s="119">
        <v>59.5</v>
      </c>
      <c r="F41" s="119">
        <v>-231.4</v>
      </c>
      <c r="G41" s="119">
        <v>-50.1</v>
      </c>
      <c r="H41" s="119">
        <v>-114.8</v>
      </c>
      <c r="I41" s="119">
        <v>329.3</v>
      </c>
      <c r="J41" s="71">
        <f>J33+J35+J37</f>
        <v>568.95506399824058</v>
      </c>
      <c r="K41" s="71">
        <f>K33+K35+K37</f>
        <v>320.58809742687487</v>
      </c>
      <c r="L41" s="71">
        <f t="shared" ref="L41:R41" ca="1" si="29">L33+L35+L37</f>
        <v>314.29159831060736</v>
      </c>
      <c r="M41" s="71">
        <f t="shared" ca="1" si="29"/>
        <v>220.16374597477511</v>
      </c>
      <c r="N41" s="71">
        <f t="shared" ca="1" si="29"/>
        <v>421.22921844205609</v>
      </c>
      <c r="O41" s="71">
        <f t="shared" ca="1" si="29"/>
        <v>595.38518197276926</v>
      </c>
      <c r="P41" s="71">
        <f t="shared" ca="1" si="29"/>
        <v>733.27660481767111</v>
      </c>
      <c r="Q41" s="71">
        <f t="shared" ca="1" si="29"/>
        <v>889.58311934717256</v>
      </c>
      <c r="R41" s="71">
        <f t="shared" ca="1" si="29"/>
        <v>966.65278812589952</v>
      </c>
      <c r="AI41" s="66"/>
      <c r="AJ41" s="66"/>
      <c r="AK41" s="66"/>
      <c r="AL41" s="66"/>
      <c r="AM41" s="66"/>
      <c r="AN41" s="66"/>
      <c r="AO41" s="66"/>
      <c r="AP41" s="66"/>
      <c r="AQ41" s="66"/>
    </row>
    <row r="42" spans="2:43" ht="15.75">
      <c r="B42" s="66"/>
      <c r="C42" s="66"/>
      <c r="D42" s="66"/>
      <c r="E42" s="66"/>
      <c r="F42" s="66"/>
      <c r="G42" s="66"/>
      <c r="H42" s="66"/>
      <c r="I42" s="66"/>
      <c r="J42" s="66"/>
      <c r="K42" s="66"/>
      <c r="L42" s="66"/>
      <c r="M42" s="66"/>
      <c r="N42" s="66"/>
      <c r="O42" s="66"/>
      <c r="P42" s="66"/>
      <c r="Q42" s="66"/>
      <c r="R42" s="66"/>
      <c r="AI42" s="66"/>
      <c r="AJ42" s="66"/>
      <c r="AK42" s="66"/>
      <c r="AL42" s="66"/>
      <c r="AM42" s="66"/>
      <c r="AN42" s="66"/>
      <c r="AO42" s="66"/>
      <c r="AP42" s="66"/>
      <c r="AQ42" s="66"/>
    </row>
    <row r="43" spans="2:43" ht="15.75">
      <c r="B43" s="66" t="s">
        <v>192</v>
      </c>
      <c r="C43" s="119">
        <v>-30.1</v>
      </c>
      <c r="D43" s="119">
        <v>-35.200000000000003</v>
      </c>
      <c r="E43" s="119">
        <v>-58.9</v>
      </c>
      <c r="F43" s="119">
        <v>437.2</v>
      </c>
      <c r="G43" s="119">
        <v>60.2</v>
      </c>
      <c r="H43" s="119">
        <v>69.3</v>
      </c>
      <c r="I43" s="119">
        <v>-113.6</v>
      </c>
      <c r="J43" s="71">
        <f>-J44*(J41-J40)</f>
        <v>-199.1342723993842</v>
      </c>
      <c r="K43" s="71">
        <f>-K44*(K41-K40)</f>
        <v>-112.20583409940619</v>
      </c>
      <c r="L43" s="71">
        <f t="shared" ref="L43:R43" ca="1" si="30">-L44*(L41-L40)</f>
        <v>-110.00205940871257</v>
      </c>
      <c r="M43" s="71">
        <f t="shared" ca="1" si="30"/>
        <v>-77.057311091171286</v>
      </c>
      <c r="N43" s="71">
        <f t="shared" ca="1" si="30"/>
        <v>-147.43022645471962</v>
      </c>
      <c r="O43" s="71">
        <f t="shared" ca="1" si="30"/>
        <v>-208.38481369046923</v>
      </c>
      <c r="P43" s="71">
        <f t="shared" ca="1" si="30"/>
        <v>-256.64681168618489</v>
      </c>
      <c r="Q43" s="71">
        <f t="shared" ca="1" si="30"/>
        <v>-311.35409177151035</v>
      </c>
      <c r="R43" s="71">
        <f t="shared" ca="1" si="30"/>
        <v>-338.32847584406483</v>
      </c>
      <c r="AI43" s="66"/>
      <c r="AJ43" s="66"/>
      <c r="AK43" s="66"/>
      <c r="AL43" s="66"/>
      <c r="AM43" s="66"/>
      <c r="AN43" s="66"/>
      <c r="AO43" s="66"/>
      <c r="AP43" s="66"/>
      <c r="AQ43" s="66"/>
    </row>
    <row r="44" spans="2:43" ht="15.75">
      <c r="B44" s="66" t="s">
        <v>583</v>
      </c>
      <c r="C44" s="69">
        <f t="shared" ref="C44:I44" si="31">-C43/(C41-C40)</f>
        <v>-9.2246399019307382E-2</v>
      </c>
      <c r="D44" s="69">
        <f t="shared" si="31"/>
        <v>0.22292590246991767</v>
      </c>
      <c r="E44" s="69">
        <f t="shared" si="31"/>
        <v>0.84383954154727747</v>
      </c>
      <c r="F44" s="69">
        <f t="shared" si="31"/>
        <v>2.5403834979662987</v>
      </c>
      <c r="G44" s="69">
        <f t="shared" si="31"/>
        <v>-0.8918518518518519</v>
      </c>
      <c r="H44" s="69">
        <f t="shared" si="31"/>
        <v>-0.85344827586206951</v>
      </c>
      <c r="I44" s="69">
        <f t="shared" si="31"/>
        <v>0.27693807898586059</v>
      </c>
      <c r="J44" s="75">
        <v>0.35</v>
      </c>
      <c r="K44" s="75">
        <v>0.35</v>
      </c>
      <c r="L44" s="75">
        <v>0.35</v>
      </c>
      <c r="M44" s="75">
        <v>0.35</v>
      </c>
      <c r="N44" s="75">
        <v>0.35</v>
      </c>
      <c r="O44" s="75">
        <v>0.35</v>
      </c>
      <c r="P44" s="75">
        <v>0.35</v>
      </c>
      <c r="Q44" s="75">
        <v>0.35</v>
      </c>
      <c r="R44" s="75">
        <v>0.35</v>
      </c>
      <c r="AI44" s="66"/>
      <c r="AJ44" s="66"/>
      <c r="AK44" s="66"/>
      <c r="AL44" s="66"/>
      <c r="AM44" s="66"/>
      <c r="AN44" s="66"/>
      <c r="AO44" s="66"/>
      <c r="AP44" s="66"/>
      <c r="AQ44" s="66"/>
    </row>
    <row r="45" spans="2:43" ht="15.75">
      <c r="B45" s="66" t="s">
        <v>194</v>
      </c>
      <c r="C45" s="71">
        <f>C41+C43</f>
        <v>-555.5</v>
      </c>
      <c r="D45" s="71">
        <f>D41+D43</f>
        <v>-57.400000000000006</v>
      </c>
      <c r="E45" s="71">
        <f>E41+E43</f>
        <v>0.60000000000000142</v>
      </c>
      <c r="F45" s="71">
        <f t="shared" ref="F45:K45" si="32">F41+F43</f>
        <v>205.79999999999998</v>
      </c>
      <c r="G45" s="71">
        <f t="shared" si="32"/>
        <v>10.100000000000001</v>
      </c>
      <c r="H45" s="71">
        <f t="shared" si="32"/>
        <v>-45.5</v>
      </c>
      <c r="I45" s="71">
        <f t="shared" si="32"/>
        <v>215.70000000000002</v>
      </c>
      <c r="J45" s="71">
        <f t="shared" si="32"/>
        <v>369.82079159885637</v>
      </c>
      <c r="K45" s="71">
        <f t="shared" si="32"/>
        <v>208.38226332746868</v>
      </c>
      <c r="L45" s="71">
        <f t="shared" ref="L45:R45" ca="1" si="33">L41+L43</f>
        <v>204.28953890189479</v>
      </c>
      <c r="M45" s="71">
        <f t="shared" ca="1" si="33"/>
        <v>143.10643488360381</v>
      </c>
      <c r="N45" s="71">
        <f t="shared" ca="1" si="33"/>
        <v>273.79899198733648</v>
      </c>
      <c r="O45" s="71">
        <f t="shared" ca="1" si="33"/>
        <v>387.00036828230003</v>
      </c>
      <c r="P45" s="71">
        <f t="shared" ca="1" si="33"/>
        <v>476.62979313148622</v>
      </c>
      <c r="Q45" s="71">
        <f t="shared" ca="1" si="33"/>
        <v>578.22902757566226</v>
      </c>
      <c r="R45" s="71">
        <f t="shared" ca="1" si="33"/>
        <v>628.32431228183464</v>
      </c>
      <c r="AI45" s="66"/>
      <c r="AJ45" s="66"/>
      <c r="AK45" s="66"/>
      <c r="AL45" s="66"/>
      <c r="AM45" s="66"/>
      <c r="AN45" s="66"/>
      <c r="AO45" s="66"/>
      <c r="AP45" s="66"/>
      <c r="AQ45" s="66"/>
    </row>
    <row r="46" spans="2:43" ht="15.75">
      <c r="B46" s="66"/>
      <c r="C46" s="71"/>
      <c r="D46" s="71"/>
      <c r="E46" s="71"/>
      <c r="F46" s="71"/>
      <c r="G46" s="71"/>
      <c r="H46" s="71"/>
      <c r="I46" s="71"/>
      <c r="J46" s="71"/>
      <c r="K46" s="71"/>
      <c r="L46" s="71"/>
      <c r="M46" s="71"/>
      <c r="N46" s="71"/>
      <c r="O46" s="71"/>
      <c r="P46" s="71"/>
      <c r="Q46" s="71"/>
      <c r="R46" s="71"/>
      <c r="AI46" s="66"/>
      <c r="AJ46" s="66"/>
      <c r="AK46" s="66"/>
      <c r="AL46" s="66"/>
      <c r="AM46" s="66"/>
      <c r="AN46" s="66"/>
      <c r="AO46" s="66"/>
      <c r="AP46" s="66"/>
      <c r="AQ46" s="66"/>
    </row>
    <row r="47" spans="2:43" ht="15.75">
      <c r="B47" s="66" t="s">
        <v>1108</v>
      </c>
      <c r="C47" s="71">
        <f>C45-C40-C32</f>
        <v>221.00000000000006</v>
      </c>
      <c r="D47" s="71">
        <f>D45-D40-D32</f>
        <v>259.60000000000008</v>
      </c>
      <c r="E47" s="71">
        <f>E45-E40-E32</f>
        <v>255.60000000000008</v>
      </c>
      <c r="F47" s="71">
        <f>F45-F40-F32</f>
        <v>811.69999999999993</v>
      </c>
      <c r="G47" s="71">
        <f>G45-G40-G32</f>
        <v>570.70000000000005</v>
      </c>
      <c r="H47" s="71">
        <f t="shared" ref="H47:R47" si="34">H45-H40-H32</f>
        <v>680.2</v>
      </c>
      <c r="I47" s="71">
        <f t="shared" si="34"/>
        <v>551.09999999999991</v>
      </c>
      <c r="J47" s="71">
        <f t="shared" si="34"/>
        <v>369.82079159885637</v>
      </c>
      <c r="K47" s="71">
        <f t="shared" si="34"/>
        <v>208.38226332746868</v>
      </c>
      <c r="L47" s="71">
        <f t="shared" ca="1" si="34"/>
        <v>204.28953890189479</v>
      </c>
      <c r="M47" s="71">
        <f t="shared" ca="1" si="34"/>
        <v>143.10643488360381</v>
      </c>
      <c r="N47" s="71">
        <f t="shared" ca="1" si="34"/>
        <v>273.79899198733648</v>
      </c>
      <c r="O47" s="71">
        <f t="shared" ca="1" si="34"/>
        <v>387.00036828230003</v>
      </c>
      <c r="P47" s="71">
        <f t="shared" ca="1" si="34"/>
        <v>476.62979313148622</v>
      </c>
      <c r="Q47" s="71">
        <f t="shared" ca="1" si="34"/>
        <v>578.22902757566226</v>
      </c>
      <c r="R47" s="71">
        <f t="shared" ca="1" si="34"/>
        <v>628.32431228183464</v>
      </c>
      <c r="AI47" s="66"/>
      <c r="AJ47" s="66"/>
      <c r="AK47" s="66"/>
      <c r="AL47" s="66"/>
      <c r="AM47" s="66"/>
      <c r="AN47" s="66"/>
      <c r="AO47" s="66"/>
      <c r="AP47" s="66"/>
      <c r="AQ47" s="66"/>
    </row>
    <row r="48" spans="2:43" ht="15.75">
      <c r="B48" s="66"/>
      <c r="C48" s="66"/>
      <c r="D48" s="66"/>
      <c r="E48" s="66"/>
      <c r="F48" s="66"/>
      <c r="G48" s="66"/>
      <c r="H48" s="66"/>
      <c r="I48" s="66"/>
      <c r="J48" s="66"/>
      <c r="K48" s="66"/>
      <c r="L48" s="66"/>
      <c r="M48" s="66"/>
      <c r="N48" s="66"/>
      <c r="O48" s="66"/>
      <c r="P48" s="66"/>
      <c r="Q48" s="66"/>
      <c r="R48" s="66"/>
      <c r="AI48" s="66"/>
      <c r="AJ48" s="66"/>
      <c r="AK48" s="66"/>
      <c r="AL48" s="66"/>
      <c r="AM48" s="66"/>
      <c r="AN48" s="66"/>
      <c r="AO48" s="66"/>
      <c r="AP48" s="66"/>
      <c r="AQ48" s="66"/>
    </row>
    <row r="49" spans="1:43" ht="15.75">
      <c r="B49" s="66" t="s">
        <v>201</v>
      </c>
      <c r="C49" s="119">
        <v>79.2</v>
      </c>
      <c r="D49" s="119">
        <v>75.400000000000006</v>
      </c>
      <c r="E49" s="119">
        <v>99.5</v>
      </c>
      <c r="F49" s="119">
        <v>179.2</v>
      </c>
      <c r="G49" s="119">
        <v>133.4</v>
      </c>
      <c r="H49" s="119">
        <v>122.1</v>
      </c>
      <c r="I49" s="119">
        <v>99.5</v>
      </c>
      <c r="J49" s="71">
        <f t="shared" ref="J49:R49" si="35">J50*J5</f>
        <v>98.662656147271548</v>
      </c>
      <c r="K49" s="71">
        <f t="shared" si="35"/>
        <v>88.764990138067077</v>
      </c>
      <c r="L49" s="71">
        <f t="shared" si="35"/>
        <v>87.623454963839592</v>
      </c>
      <c r="M49" s="71">
        <f t="shared" si="35"/>
        <v>83.1423570019724</v>
      </c>
      <c r="N49" s="71">
        <f t="shared" si="35"/>
        <v>93.535151627218951</v>
      </c>
      <c r="O49" s="71">
        <f t="shared" si="35"/>
        <v>107.56542437130179</v>
      </c>
      <c r="P49" s="71">
        <f t="shared" si="35"/>
        <v>112.94369558986689</v>
      </c>
      <c r="Q49" s="71">
        <f t="shared" si="35"/>
        <v>116.3320064575629</v>
      </c>
      <c r="R49" s="71">
        <f t="shared" si="35"/>
        <v>118.65864658671417</v>
      </c>
      <c r="AI49" s="66"/>
      <c r="AJ49" s="66"/>
      <c r="AK49" s="66"/>
      <c r="AL49" s="66"/>
      <c r="AM49" s="66"/>
      <c r="AN49" s="66"/>
      <c r="AO49" s="66"/>
      <c r="AP49" s="66"/>
      <c r="AQ49" s="66"/>
    </row>
    <row r="50" spans="1:43" ht="15.75">
      <c r="B50" s="66" t="s">
        <v>202</v>
      </c>
      <c r="C50" s="69">
        <f t="shared" ref="C50:I50" si="36">C49/C5</f>
        <v>3.5275253874933195E-2</v>
      </c>
      <c r="D50" s="69">
        <f t="shared" si="36"/>
        <v>3.3164723993842099E-2</v>
      </c>
      <c r="E50" s="69">
        <f t="shared" si="36"/>
        <v>4.0745290745290742E-2</v>
      </c>
      <c r="F50" s="69">
        <f t="shared" si="36"/>
        <v>6.8199117065002285E-2</v>
      </c>
      <c r="G50" s="69">
        <f t="shared" si="36"/>
        <v>4.5826176571624876E-2</v>
      </c>
      <c r="H50" s="69">
        <f t="shared" si="36"/>
        <v>4.2716204869857256E-2</v>
      </c>
      <c r="I50" s="69">
        <f t="shared" si="36"/>
        <v>3.2708744247205788E-2</v>
      </c>
      <c r="J50" s="75">
        <f>I50</f>
        <v>3.2708744247205788E-2</v>
      </c>
      <c r="K50" s="75">
        <f>J50</f>
        <v>3.2708744247205788E-2</v>
      </c>
      <c r="L50" s="75">
        <f t="shared" ref="L50:R50" si="37">K50</f>
        <v>3.2708744247205788E-2</v>
      </c>
      <c r="M50" s="75">
        <f t="shared" si="37"/>
        <v>3.2708744247205788E-2</v>
      </c>
      <c r="N50" s="75">
        <f t="shared" si="37"/>
        <v>3.2708744247205788E-2</v>
      </c>
      <c r="O50" s="75">
        <f t="shared" si="37"/>
        <v>3.2708744247205788E-2</v>
      </c>
      <c r="P50" s="75">
        <f t="shared" si="37"/>
        <v>3.2708744247205788E-2</v>
      </c>
      <c r="Q50" s="75">
        <f t="shared" si="37"/>
        <v>3.2708744247205788E-2</v>
      </c>
      <c r="R50" s="75">
        <f t="shared" si="37"/>
        <v>3.2708744247205788E-2</v>
      </c>
      <c r="AI50" s="66"/>
      <c r="AJ50" s="66"/>
      <c r="AK50" s="66"/>
      <c r="AL50" s="66"/>
      <c r="AM50" s="66"/>
      <c r="AN50" s="66"/>
      <c r="AO50" s="66"/>
      <c r="AP50" s="66"/>
      <c r="AQ50" s="66"/>
    </row>
    <row r="51" spans="1:43" ht="15.75">
      <c r="B51" s="66"/>
      <c r="C51" s="66"/>
      <c r="D51" s="66"/>
      <c r="E51" s="66"/>
      <c r="F51" s="66"/>
      <c r="G51" s="66"/>
      <c r="H51" s="66"/>
      <c r="I51" s="66"/>
      <c r="J51" s="66"/>
      <c r="K51" s="66"/>
      <c r="L51" s="66"/>
      <c r="M51" s="66"/>
      <c r="N51" s="66"/>
      <c r="O51" s="66"/>
      <c r="P51" s="66"/>
      <c r="Q51" s="66"/>
      <c r="R51" s="66"/>
      <c r="AI51" s="66"/>
      <c r="AJ51" s="66"/>
      <c r="AK51" s="66"/>
      <c r="AL51" s="66"/>
      <c r="AM51" s="66"/>
      <c r="AN51" s="66"/>
      <c r="AO51" s="66"/>
      <c r="AP51" s="66"/>
      <c r="AQ51" s="66"/>
    </row>
    <row r="52" spans="1:43" ht="15.75">
      <c r="B52" s="66" t="s">
        <v>203</v>
      </c>
      <c r="C52" s="71">
        <f t="shared" ref="C52:R52" si="38">C14-C49</f>
        <v>864.19999999999993</v>
      </c>
      <c r="D52" s="125">
        <f t="shared" si="38"/>
        <v>858.50000000000011</v>
      </c>
      <c r="E52" s="125">
        <f t="shared" si="38"/>
        <v>903.7</v>
      </c>
      <c r="F52" s="125">
        <f t="shared" si="38"/>
        <v>941.19999999999982</v>
      </c>
      <c r="G52" s="125">
        <f t="shared" si="38"/>
        <v>1107.3999999999999</v>
      </c>
      <c r="H52" s="125">
        <f t="shared" si="38"/>
        <v>1189.7</v>
      </c>
      <c r="I52" s="125">
        <f t="shared" si="38"/>
        <v>1233.5999999999999</v>
      </c>
      <c r="J52" s="125">
        <f t="shared" si="38"/>
        <v>1189.4373438527284</v>
      </c>
      <c r="K52" s="125">
        <f t="shared" si="38"/>
        <v>934.03500986193285</v>
      </c>
      <c r="L52" s="125">
        <f t="shared" si="38"/>
        <v>890.17504503616044</v>
      </c>
      <c r="M52" s="125">
        <f t="shared" si="38"/>
        <v>755.6846429980277</v>
      </c>
      <c r="N52" s="125">
        <f t="shared" si="38"/>
        <v>935.93434837278119</v>
      </c>
      <c r="O52" s="125">
        <f t="shared" si="38"/>
        <v>1059.8815850036981</v>
      </c>
      <c r="P52" s="125">
        <f t="shared" si="38"/>
        <v>1095.6106028476331</v>
      </c>
      <c r="Q52" s="125">
        <f t="shared" si="38"/>
        <v>1128.4789209330625</v>
      </c>
      <c r="R52" s="125">
        <f t="shared" si="38"/>
        <v>1151.0484993517234</v>
      </c>
      <c r="AI52" s="66"/>
      <c r="AJ52" s="66"/>
      <c r="AK52" s="66"/>
      <c r="AL52" s="66"/>
      <c r="AM52" s="66"/>
      <c r="AN52" s="66"/>
      <c r="AO52" s="66"/>
      <c r="AP52" s="66"/>
      <c r="AQ52" s="66"/>
    </row>
    <row r="53" spans="1:43" ht="15.75">
      <c r="B53" s="66" t="s">
        <v>158</v>
      </c>
      <c r="C53" s="116">
        <f t="shared" ref="C53:R53" si="39">C52/C5</f>
        <v>0.38491003028683413</v>
      </c>
      <c r="D53" s="116">
        <f t="shared" si="39"/>
        <v>0.37761161205190241</v>
      </c>
      <c r="E53" s="116">
        <f t="shared" si="39"/>
        <v>0.37006552006552007</v>
      </c>
      <c r="F53" s="116">
        <f t="shared" si="39"/>
        <v>0.358197594763282</v>
      </c>
      <c r="G53" s="116">
        <f t="shared" si="39"/>
        <v>0.38041909996564749</v>
      </c>
      <c r="H53" s="116">
        <f t="shared" si="39"/>
        <v>0.41621186677861743</v>
      </c>
      <c r="I53" s="116">
        <f t="shared" si="39"/>
        <v>0.40552268244575934</v>
      </c>
      <c r="J53" s="116">
        <f t="shared" si="39"/>
        <v>0.39432347959578584</v>
      </c>
      <c r="K53" s="116">
        <f t="shared" si="39"/>
        <v>0.34417975158889114</v>
      </c>
      <c r="L53" s="116">
        <f t="shared" si="39"/>
        <v>0.33229125575279422</v>
      </c>
      <c r="M53" s="116">
        <f t="shared" si="39"/>
        <v>0.29729125575279425</v>
      </c>
      <c r="N53" s="116">
        <f t="shared" si="39"/>
        <v>0.32729125575279422</v>
      </c>
      <c r="O53" s="116">
        <f t="shared" si="39"/>
        <v>0.32229125575279416</v>
      </c>
      <c r="P53" s="116">
        <f t="shared" si="39"/>
        <v>0.31729125575279415</v>
      </c>
      <c r="Q53" s="116">
        <f t="shared" si="39"/>
        <v>0.31729125575279427</v>
      </c>
      <c r="R53" s="116">
        <f t="shared" si="39"/>
        <v>0.31729125575279415</v>
      </c>
      <c r="AI53" s="66"/>
      <c r="AJ53" s="66"/>
      <c r="AK53" s="66"/>
      <c r="AL53" s="66"/>
      <c r="AM53" s="66"/>
      <c r="AN53" s="66"/>
      <c r="AO53" s="66"/>
      <c r="AP53" s="66"/>
      <c r="AQ53" s="66"/>
    </row>
    <row r="54" spans="1:43" ht="15.75">
      <c r="B54" s="66" t="s">
        <v>372</v>
      </c>
      <c r="C54" s="71">
        <f>C52+C35+C37+C43</f>
        <v>259.59999999999991</v>
      </c>
      <c r="D54" s="125">
        <f>D52+D35+D37+D43</f>
        <v>309.10000000000008</v>
      </c>
      <c r="E54" s="125">
        <f t="shared" ref="E54:R54" si="40">E52+E35+E37+E43</f>
        <v>286.40000000000009</v>
      </c>
      <c r="F54" s="125">
        <f>F52+F35+F37+F43</f>
        <v>778.39999999999986</v>
      </c>
      <c r="G54" s="125">
        <f>G52+G35+G37+G43</f>
        <v>601.09999999999991</v>
      </c>
      <c r="H54" s="125">
        <f t="shared" si="40"/>
        <v>729.19999999999993</v>
      </c>
      <c r="I54" s="125">
        <f t="shared" si="40"/>
        <v>636.89999999999986</v>
      </c>
      <c r="J54" s="125">
        <f t="shared" si="40"/>
        <v>436.8710714533442</v>
      </c>
      <c r="K54" s="125">
        <f t="shared" si="40"/>
        <v>268.70617576252664</v>
      </c>
      <c r="L54" s="125">
        <f t="shared" ca="1" si="40"/>
        <v>263.83767399743505</v>
      </c>
      <c r="M54" s="125">
        <f t="shared" ca="1" si="40"/>
        <v>199.60925492143792</v>
      </c>
      <c r="N54" s="125">
        <f t="shared" ca="1" si="40"/>
        <v>337.36466452989981</v>
      </c>
      <c r="O54" s="125">
        <f t="shared" ca="1" si="40"/>
        <v>460.10089170624786</v>
      </c>
      <c r="P54" s="125">
        <f t="shared" ca="1" si="40"/>
        <v>553.38534272663151</v>
      </c>
      <c r="Q54" s="125">
        <f t="shared" ca="1" si="40"/>
        <v>657.28724365866196</v>
      </c>
      <c r="R54" s="125">
        <f t="shared" ca="1" si="40"/>
        <v>708.96369268649414</v>
      </c>
      <c r="AI54" s="66"/>
      <c r="AJ54" s="66"/>
      <c r="AK54" s="66"/>
      <c r="AL54" s="66"/>
      <c r="AM54" s="66"/>
      <c r="AN54" s="66"/>
      <c r="AO54" s="66"/>
      <c r="AP54" s="66"/>
      <c r="AQ54" s="66"/>
    </row>
    <row r="55" spans="1:43" ht="15.75">
      <c r="B55" s="66" t="s">
        <v>1429</v>
      </c>
      <c r="C55" s="71"/>
      <c r="D55" s="125"/>
      <c r="E55" s="125"/>
      <c r="F55" s="119">
        <v>-350</v>
      </c>
      <c r="G55" s="119">
        <v>-25</v>
      </c>
      <c r="H55" s="119">
        <v>-25</v>
      </c>
      <c r="I55" s="119">
        <v>-25</v>
      </c>
      <c r="J55" s="119">
        <v>-25</v>
      </c>
      <c r="K55" s="119">
        <v>-25</v>
      </c>
      <c r="L55" s="119">
        <v>-25</v>
      </c>
      <c r="M55" s="119">
        <v>-25</v>
      </c>
      <c r="N55" s="119">
        <v>-25</v>
      </c>
      <c r="O55" s="119">
        <v>-25</v>
      </c>
      <c r="P55" s="119">
        <v>-25</v>
      </c>
      <c r="Q55" s="119">
        <v>-25</v>
      </c>
      <c r="R55" s="119">
        <v>-25</v>
      </c>
      <c r="AI55" s="66"/>
      <c r="AJ55" s="66"/>
      <c r="AK55" s="66"/>
      <c r="AL55" s="66"/>
      <c r="AM55" s="66"/>
      <c r="AN55" s="66"/>
      <c r="AO55" s="66"/>
      <c r="AP55" s="66"/>
      <c r="AQ55" s="66"/>
    </row>
    <row r="56" spans="1:43" ht="15.75">
      <c r="B56" s="66"/>
      <c r="C56" s="66"/>
      <c r="D56" s="66"/>
      <c r="E56" s="66"/>
      <c r="F56" s="66"/>
      <c r="G56" s="66"/>
      <c r="H56" s="66"/>
      <c r="I56" s="66"/>
      <c r="J56" s="66"/>
      <c r="K56" s="66"/>
      <c r="L56" s="66"/>
      <c r="M56" s="66"/>
      <c r="N56" s="66"/>
      <c r="O56" s="66"/>
      <c r="P56" s="66"/>
      <c r="Q56" s="66"/>
      <c r="R56" s="66"/>
      <c r="AI56" s="66"/>
      <c r="AJ56" s="66"/>
      <c r="AK56" s="66"/>
      <c r="AL56" s="66"/>
      <c r="AM56" s="66"/>
      <c r="AN56" s="66"/>
      <c r="AO56" s="66"/>
      <c r="AP56" s="66"/>
      <c r="AQ56" s="66"/>
    </row>
    <row r="57" spans="1:43" ht="15.75">
      <c r="B57" s="67" t="s">
        <v>916</v>
      </c>
      <c r="C57" s="67">
        <f t="shared" ref="C57:R57" si="41">C4</f>
        <v>2010</v>
      </c>
      <c r="D57" s="67">
        <f t="shared" si="41"/>
        <v>2011</v>
      </c>
      <c r="E57" s="67">
        <f t="shared" si="41"/>
        <v>2012</v>
      </c>
      <c r="F57" s="67">
        <f t="shared" si="41"/>
        <v>2013</v>
      </c>
      <c r="G57" s="67">
        <f t="shared" si="41"/>
        <v>2014</v>
      </c>
      <c r="H57" s="67">
        <f t="shared" si="41"/>
        <v>2015</v>
      </c>
      <c r="I57" s="67">
        <f t="shared" si="41"/>
        <v>2016</v>
      </c>
      <c r="J57" s="67">
        <f t="shared" si="41"/>
        <v>2017</v>
      </c>
      <c r="K57" s="67">
        <f t="shared" si="41"/>
        <v>2018</v>
      </c>
      <c r="L57" s="67">
        <f t="shared" si="41"/>
        <v>2019</v>
      </c>
      <c r="M57" s="67">
        <f t="shared" si="41"/>
        <v>2020</v>
      </c>
      <c r="N57" s="67">
        <f t="shared" si="41"/>
        <v>2021</v>
      </c>
      <c r="O57" s="67">
        <f t="shared" si="41"/>
        <v>2022</v>
      </c>
      <c r="P57" s="67">
        <f t="shared" si="41"/>
        <v>2023</v>
      </c>
      <c r="Q57" s="67">
        <f t="shared" si="41"/>
        <v>2024</v>
      </c>
      <c r="R57" s="67">
        <f t="shared" si="41"/>
        <v>2025</v>
      </c>
      <c r="AI57" s="66"/>
      <c r="AJ57" s="66"/>
      <c r="AK57" s="66"/>
      <c r="AL57" s="66"/>
      <c r="AM57" s="66"/>
      <c r="AN57" s="66"/>
      <c r="AO57" s="66"/>
      <c r="AP57" s="66"/>
      <c r="AQ57" s="66"/>
    </row>
    <row r="58" spans="1:43" ht="15.75">
      <c r="B58" s="66" t="s">
        <v>270</v>
      </c>
      <c r="C58" s="114">
        <f>F250+F251</f>
        <v>10228.799999999999</v>
      </c>
      <c r="D58" s="124">
        <f>J250+J251</f>
        <v>9251.2999999999993</v>
      </c>
      <c r="E58" s="124">
        <f>N250+N251</f>
        <v>9195.9000000000015</v>
      </c>
      <c r="F58" s="124">
        <f>R250+R251</f>
        <v>9552.5</v>
      </c>
      <c r="G58" s="124">
        <f>V250+V251</f>
        <v>9321.4</v>
      </c>
      <c r="H58" s="124">
        <f>Z250+Z251</f>
        <v>9413.2000000000007</v>
      </c>
      <c r="I58" s="124">
        <f>AD250+AD251</f>
        <v>8920.5</v>
      </c>
      <c r="J58" s="124">
        <f>7999.9+37</f>
        <v>8036.9</v>
      </c>
      <c r="K58" s="124">
        <f>7440.9+117.7</f>
        <v>7558.5999999999995</v>
      </c>
      <c r="L58" s="125">
        <f>L74</f>
        <v>6358.5999999999995</v>
      </c>
      <c r="M58" s="125">
        <f t="shared" ref="M58:R58" si="42">M74</f>
        <v>6358.5999999999995</v>
      </c>
      <c r="N58" s="125">
        <f t="shared" si="42"/>
        <v>5608.5999999999995</v>
      </c>
      <c r="O58" s="125">
        <f t="shared" si="42"/>
        <v>4793.5999999999995</v>
      </c>
      <c r="P58" s="125">
        <f t="shared" si="42"/>
        <v>2343.5999999999995</v>
      </c>
      <c r="Q58" s="125">
        <f t="shared" si="42"/>
        <v>-56.400000000000546</v>
      </c>
      <c r="R58" s="125">
        <f t="shared" si="42"/>
        <v>-56.400000000000546</v>
      </c>
      <c r="AI58" s="66"/>
      <c r="AJ58" s="66"/>
      <c r="AK58" s="66"/>
      <c r="AL58" s="66"/>
      <c r="AM58" s="66"/>
      <c r="AN58" s="66"/>
      <c r="AO58" s="66"/>
      <c r="AP58" s="66"/>
      <c r="AQ58" s="66"/>
    </row>
    <row r="59" spans="1:43" ht="15.75">
      <c r="A59" s="141" t="s">
        <v>532</v>
      </c>
      <c r="B59" s="141" t="s">
        <v>855</v>
      </c>
      <c r="C59" s="71"/>
      <c r="D59" s="125"/>
      <c r="E59" s="125"/>
      <c r="F59" s="125"/>
      <c r="G59" s="125"/>
      <c r="H59" s="125"/>
      <c r="I59" s="125"/>
      <c r="J59" s="125"/>
      <c r="K59" s="125"/>
      <c r="L59" s="125"/>
      <c r="M59" s="125"/>
      <c r="N59" s="125"/>
      <c r="O59" s="125"/>
      <c r="P59" s="125"/>
      <c r="Q59" s="125"/>
      <c r="R59" s="125"/>
      <c r="AI59" s="66"/>
      <c r="AJ59" s="66"/>
      <c r="AK59" s="66"/>
      <c r="AL59" s="66"/>
      <c r="AM59" s="66"/>
      <c r="AN59" s="66"/>
      <c r="AO59" s="66"/>
      <c r="AP59" s="66"/>
      <c r="AQ59" s="66"/>
    </row>
    <row r="60" spans="1:43" ht="15.75">
      <c r="A60" s="143">
        <v>6.7500000000000004E-2</v>
      </c>
      <c r="B60" s="142" t="s">
        <v>1048</v>
      </c>
      <c r="C60" s="71">
        <v>0</v>
      </c>
      <c r="D60" s="124">
        <v>625</v>
      </c>
      <c r="E60" s="124">
        <f>D60+600</f>
        <v>1225</v>
      </c>
      <c r="F60" s="124">
        <v>1225</v>
      </c>
      <c r="G60" s="124">
        <v>1225</v>
      </c>
      <c r="H60" s="125">
        <f t="shared" ref="H60:O60" si="43">G60</f>
        <v>1225</v>
      </c>
      <c r="I60" s="125">
        <f t="shared" si="43"/>
        <v>1225</v>
      </c>
      <c r="J60" s="125">
        <f t="shared" si="43"/>
        <v>1225</v>
      </c>
      <c r="K60" s="125">
        <f t="shared" si="43"/>
        <v>1225</v>
      </c>
      <c r="L60" s="125">
        <f t="shared" si="43"/>
        <v>1225</v>
      </c>
      <c r="M60" s="125">
        <f t="shared" si="43"/>
        <v>1225</v>
      </c>
      <c r="N60" s="125">
        <f t="shared" si="43"/>
        <v>1225</v>
      </c>
      <c r="O60" s="125">
        <f t="shared" si="43"/>
        <v>1225</v>
      </c>
      <c r="P60" s="125">
        <v>0</v>
      </c>
      <c r="Q60" s="125">
        <v>0</v>
      </c>
      <c r="R60" s="125">
        <v>0</v>
      </c>
      <c r="AI60" s="66"/>
      <c r="AJ60" s="66"/>
      <c r="AK60" s="66"/>
      <c r="AL60" s="66"/>
      <c r="AM60" s="66"/>
      <c r="AN60" s="66"/>
      <c r="AO60" s="66"/>
      <c r="AP60" s="66"/>
      <c r="AQ60" s="66"/>
    </row>
    <row r="61" spans="1:43" ht="15.75">
      <c r="A61" s="143">
        <v>8.5000000000000006E-2</v>
      </c>
      <c r="B61" s="142" t="s">
        <v>1049</v>
      </c>
      <c r="C61" s="71">
        <f>D61</f>
        <v>815</v>
      </c>
      <c r="D61" s="124">
        <v>815</v>
      </c>
      <c r="E61" s="124">
        <v>815</v>
      </c>
      <c r="F61" s="124">
        <v>815</v>
      </c>
      <c r="G61" s="124">
        <v>815</v>
      </c>
      <c r="H61" s="125">
        <f t="shared" ref="H61:N61" si="44">G61</f>
        <v>815</v>
      </c>
      <c r="I61" s="125">
        <f t="shared" si="44"/>
        <v>815</v>
      </c>
      <c r="J61" s="125">
        <f t="shared" si="44"/>
        <v>815</v>
      </c>
      <c r="K61" s="125">
        <f t="shared" si="44"/>
        <v>815</v>
      </c>
      <c r="L61" s="125">
        <f t="shared" si="44"/>
        <v>815</v>
      </c>
      <c r="M61" s="125">
        <f t="shared" si="44"/>
        <v>815</v>
      </c>
      <c r="N61" s="125">
        <f t="shared" si="44"/>
        <v>815</v>
      </c>
      <c r="O61" s="125">
        <v>0</v>
      </c>
      <c r="P61" s="125">
        <v>0</v>
      </c>
      <c r="Q61" s="125">
        <v>0</v>
      </c>
      <c r="R61" s="125">
        <v>0</v>
      </c>
      <c r="AI61" s="66"/>
      <c r="AJ61" s="66"/>
      <c r="AK61" s="66"/>
      <c r="AL61" s="66"/>
      <c r="AM61" s="66"/>
      <c r="AN61" s="66"/>
      <c r="AO61" s="66"/>
      <c r="AP61" s="66"/>
      <c r="AQ61" s="66"/>
    </row>
    <row r="62" spans="1:43" ht="15.75">
      <c r="A62" s="143">
        <v>6.8750000000000006E-2</v>
      </c>
      <c r="B62" s="142" t="s">
        <v>1050</v>
      </c>
      <c r="C62" s="71">
        <f t="shared" ref="C62:C67" si="45">D62</f>
        <v>1200</v>
      </c>
      <c r="D62" s="124">
        <v>1200</v>
      </c>
      <c r="E62" s="124">
        <v>1200</v>
      </c>
      <c r="F62" s="124">
        <v>1200</v>
      </c>
      <c r="G62" s="124">
        <v>1200</v>
      </c>
      <c r="H62" s="124">
        <v>0</v>
      </c>
      <c r="I62" s="125">
        <v>0</v>
      </c>
      <c r="J62" s="125">
        <v>0</v>
      </c>
      <c r="K62" s="125">
        <v>0</v>
      </c>
      <c r="L62" s="125">
        <v>0</v>
      </c>
      <c r="M62" s="125">
        <v>0</v>
      </c>
      <c r="N62" s="125">
        <v>0</v>
      </c>
      <c r="O62" s="125">
        <v>0</v>
      </c>
      <c r="P62" s="125">
        <v>0</v>
      </c>
      <c r="Q62" s="125">
        <v>0</v>
      </c>
      <c r="R62" s="125">
        <v>0</v>
      </c>
      <c r="AI62" s="66"/>
      <c r="AJ62" s="66"/>
      <c r="AK62" s="66"/>
      <c r="AL62" s="66"/>
      <c r="AM62" s="66"/>
      <c r="AN62" s="66"/>
      <c r="AO62" s="66"/>
      <c r="AP62" s="66"/>
      <c r="AQ62" s="66"/>
    </row>
    <row r="63" spans="1:43" ht="15.75">
      <c r="A63" s="143">
        <v>7.7850000000000003E-2</v>
      </c>
      <c r="B63" s="142" t="s">
        <v>1051</v>
      </c>
      <c r="C63" s="71">
        <f t="shared" si="45"/>
        <v>750</v>
      </c>
      <c r="D63" s="124">
        <v>750</v>
      </c>
      <c r="E63" s="124">
        <v>750</v>
      </c>
      <c r="F63" s="124">
        <v>750</v>
      </c>
      <c r="G63" s="124">
        <v>750</v>
      </c>
      <c r="H63" s="125">
        <f t="shared" ref="H63:L67" si="46">G63</f>
        <v>750</v>
      </c>
      <c r="I63" s="125">
        <f t="shared" si="46"/>
        <v>750</v>
      </c>
      <c r="J63" s="125">
        <f t="shared" si="46"/>
        <v>750</v>
      </c>
      <c r="K63" s="125">
        <f t="shared" si="46"/>
        <v>750</v>
      </c>
      <c r="L63" s="125">
        <f t="shared" si="46"/>
        <v>750</v>
      </c>
      <c r="M63" s="125">
        <f>L63</f>
        <v>750</v>
      </c>
      <c r="N63" s="125">
        <v>0</v>
      </c>
      <c r="O63" s="125">
        <v>0</v>
      </c>
      <c r="P63" s="125">
        <v>0</v>
      </c>
      <c r="Q63" s="125">
        <v>0</v>
      </c>
      <c r="R63" s="125">
        <v>0</v>
      </c>
      <c r="AI63" s="66"/>
      <c r="AJ63" s="66"/>
      <c r="AK63" s="66"/>
      <c r="AL63" s="66"/>
      <c r="AM63" s="66"/>
      <c r="AN63" s="66"/>
      <c r="AO63" s="66"/>
      <c r="AP63" s="66"/>
      <c r="AQ63" s="66"/>
    </row>
    <row r="64" spans="1:43" ht="15.75">
      <c r="A64" s="144">
        <v>6.8750000000000006E-2</v>
      </c>
      <c r="B64" s="142" t="s">
        <v>1050</v>
      </c>
      <c r="C64" s="119">
        <v>0</v>
      </c>
      <c r="D64" s="124">
        <v>600</v>
      </c>
      <c r="E64" s="124">
        <v>600</v>
      </c>
      <c r="F64" s="124">
        <v>600</v>
      </c>
      <c r="G64" s="124">
        <v>600</v>
      </c>
      <c r="H64" s="125">
        <f t="shared" si="46"/>
        <v>600</v>
      </c>
      <c r="I64" s="125">
        <f t="shared" si="46"/>
        <v>600</v>
      </c>
      <c r="J64" s="125">
        <f t="shared" si="46"/>
        <v>600</v>
      </c>
      <c r="K64" s="125">
        <f t="shared" si="46"/>
        <v>600</v>
      </c>
      <c r="L64" s="125">
        <v>0</v>
      </c>
      <c r="M64" s="125">
        <v>0</v>
      </c>
      <c r="N64" s="125">
        <v>0</v>
      </c>
      <c r="O64" s="125">
        <v>0</v>
      </c>
      <c r="P64" s="125">
        <v>0</v>
      </c>
      <c r="Q64" s="125">
        <v>0</v>
      </c>
      <c r="R64" s="125">
        <v>0</v>
      </c>
      <c r="AI64" s="66"/>
      <c r="AJ64" s="66"/>
      <c r="AK64" s="66"/>
      <c r="AL64" s="66"/>
      <c r="AM64" s="66"/>
      <c r="AN64" s="66"/>
      <c r="AO64" s="66"/>
      <c r="AP64" s="66"/>
      <c r="AQ64" s="66"/>
    </row>
    <row r="65" spans="1:43" ht="15.75">
      <c r="A65" s="144">
        <v>6.8750000000000006E-2</v>
      </c>
      <c r="B65" s="142" t="s">
        <v>1050</v>
      </c>
      <c r="C65" s="119">
        <v>0</v>
      </c>
      <c r="D65" s="124">
        <v>0</v>
      </c>
      <c r="E65" s="124">
        <v>600</v>
      </c>
      <c r="F65" s="124">
        <v>600</v>
      </c>
      <c r="G65" s="124">
        <v>600</v>
      </c>
      <c r="H65" s="125">
        <f>G65</f>
        <v>600</v>
      </c>
      <c r="I65" s="125">
        <f>H65</f>
        <v>600</v>
      </c>
      <c r="J65" s="125">
        <f>I65</f>
        <v>600</v>
      </c>
      <c r="K65" s="125">
        <f>J65</f>
        <v>600</v>
      </c>
      <c r="L65" s="125">
        <v>0</v>
      </c>
      <c r="M65" s="125">
        <v>0</v>
      </c>
      <c r="N65" s="125">
        <v>0</v>
      </c>
      <c r="O65" s="125">
        <v>0</v>
      </c>
      <c r="P65" s="125">
        <v>0</v>
      </c>
      <c r="Q65" s="125">
        <v>0</v>
      </c>
      <c r="R65" s="125">
        <v>0</v>
      </c>
      <c r="AI65" s="66"/>
      <c r="AJ65" s="66"/>
      <c r="AK65" s="66"/>
      <c r="AL65" s="66"/>
      <c r="AM65" s="66"/>
      <c r="AN65" s="66"/>
      <c r="AO65" s="66"/>
      <c r="AP65" s="66"/>
      <c r="AQ65" s="66"/>
    </row>
    <row r="66" spans="1:43" ht="15.75">
      <c r="A66" s="143">
        <v>6.7500000000000004E-2</v>
      </c>
      <c r="B66" s="142" t="s">
        <v>1048</v>
      </c>
      <c r="C66" s="71">
        <f t="shared" si="45"/>
        <v>625</v>
      </c>
      <c r="D66" s="124">
        <v>625</v>
      </c>
      <c r="E66" s="124">
        <v>625</v>
      </c>
      <c r="F66" s="124">
        <v>625</v>
      </c>
      <c r="G66" s="124">
        <v>625</v>
      </c>
      <c r="H66" s="125">
        <f t="shared" si="46"/>
        <v>625</v>
      </c>
      <c r="I66" s="125">
        <f t="shared" si="46"/>
        <v>625</v>
      </c>
      <c r="J66" s="125">
        <f t="shared" si="46"/>
        <v>625</v>
      </c>
      <c r="K66" s="125">
        <f t="shared" si="46"/>
        <v>625</v>
      </c>
      <c r="L66" s="125">
        <f t="shared" si="46"/>
        <v>625</v>
      </c>
      <c r="M66" s="125">
        <f t="shared" ref="M66:O67" si="47">L66</f>
        <v>625</v>
      </c>
      <c r="N66" s="125">
        <f t="shared" si="47"/>
        <v>625</v>
      </c>
      <c r="O66" s="125">
        <f t="shared" si="47"/>
        <v>625</v>
      </c>
      <c r="P66" s="125">
        <v>0</v>
      </c>
      <c r="Q66" s="125">
        <v>0</v>
      </c>
      <c r="R66" s="125">
        <v>0</v>
      </c>
      <c r="AI66" s="66"/>
      <c r="AJ66" s="66"/>
      <c r="AK66" s="66"/>
      <c r="AL66" s="66"/>
      <c r="AM66" s="66"/>
      <c r="AN66" s="66"/>
      <c r="AO66" s="66"/>
      <c r="AP66" s="66"/>
      <c r="AQ66" s="66"/>
    </row>
    <row r="67" spans="1:43" ht="15.75">
      <c r="A67" s="143">
        <v>6.7500000000000004E-2</v>
      </c>
      <c r="B67" s="142" t="s">
        <v>1048</v>
      </c>
      <c r="C67" s="71">
        <f t="shared" si="45"/>
        <v>600</v>
      </c>
      <c r="D67" s="124">
        <v>600</v>
      </c>
      <c r="E67" s="124">
        <v>600</v>
      </c>
      <c r="F67" s="124">
        <v>600</v>
      </c>
      <c r="G67" s="124">
        <v>600</v>
      </c>
      <c r="H67" s="125">
        <f t="shared" si="46"/>
        <v>600</v>
      </c>
      <c r="I67" s="125">
        <f t="shared" si="46"/>
        <v>600</v>
      </c>
      <c r="J67" s="125">
        <f t="shared" si="46"/>
        <v>600</v>
      </c>
      <c r="K67" s="125">
        <f t="shared" si="46"/>
        <v>600</v>
      </c>
      <c r="L67" s="125">
        <f t="shared" si="46"/>
        <v>600</v>
      </c>
      <c r="M67" s="125">
        <f t="shared" si="47"/>
        <v>600</v>
      </c>
      <c r="N67" s="125">
        <f t="shared" si="47"/>
        <v>600</v>
      </c>
      <c r="O67" s="125">
        <f t="shared" si="47"/>
        <v>600</v>
      </c>
      <c r="P67" s="125">
        <v>0</v>
      </c>
      <c r="Q67" s="125">
        <v>0</v>
      </c>
      <c r="R67" s="125">
        <v>0</v>
      </c>
      <c r="AI67" s="66"/>
      <c r="AJ67" s="66"/>
      <c r="AK67" s="66"/>
      <c r="AL67" s="66"/>
      <c r="AM67" s="66"/>
      <c r="AN67" s="66"/>
      <c r="AO67" s="66"/>
      <c r="AP67" s="66"/>
      <c r="AQ67" s="66"/>
    </row>
    <row r="68" spans="1:43" ht="15.75">
      <c r="A68" s="143">
        <v>5.1249999999999997E-2</v>
      </c>
      <c r="B68" s="142" t="s">
        <v>2107</v>
      </c>
      <c r="C68" s="71"/>
      <c r="D68" s="124"/>
      <c r="E68" s="124"/>
      <c r="F68" s="124">
        <v>1200</v>
      </c>
      <c r="G68" s="124">
        <v>1200</v>
      </c>
      <c r="H68" s="125">
        <f t="shared" ref="H68:P68" si="48">G68</f>
        <v>1200</v>
      </c>
      <c r="I68" s="125">
        <f t="shared" si="48"/>
        <v>1200</v>
      </c>
      <c r="J68" s="125">
        <f t="shared" si="48"/>
        <v>1200</v>
      </c>
      <c r="K68" s="125">
        <f t="shared" si="48"/>
        <v>1200</v>
      </c>
      <c r="L68" s="125">
        <f t="shared" si="48"/>
        <v>1200</v>
      </c>
      <c r="M68" s="125">
        <f t="shared" si="48"/>
        <v>1200</v>
      </c>
      <c r="N68" s="125">
        <f t="shared" si="48"/>
        <v>1200</v>
      </c>
      <c r="O68" s="125">
        <f t="shared" si="48"/>
        <v>1200</v>
      </c>
      <c r="P68" s="125">
        <f t="shared" si="48"/>
        <v>1200</v>
      </c>
      <c r="Q68" s="125">
        <v>0</v>
      </c>
      <c r="R68" s="125">
        <v>0</v>
      </c>
      <c r="AI68" s="66"/>
      <c r="AJ68" s="66"/>
      <c r="AK68" s="66"/>
      <c r="AL68" s="66"/>
      <c r="AM68" s="66"/>
      <c r="AN68" s="66"/>
      <c r="AO68" s="66"/>
      <c r="AP68" s="66"/>
      <c r="AQ68" s="66"/>
    </row>
    <row r="69" spans="1:43" ht="15.75">
      <c r="A69" s="143">
        <v>5.1249999999999997E-2</v>
      </c>
      <c r="B69" s="142" t="s">
        <v>2107</v>
      </c>
      <c r="C69" s="71"/>
      <c r="D69" s="124"/>
      <c r="E69" s="124"/>
      <c r="F69" s="124">
        <v>700</v>
      </c>
      <c r="G69" s="124">
        <v>700</v>
      </c>
      <c r="H69" s="125">
        <f t="shared" ref="H69:N69" si="49">G69</f>
        <v>700</v>
      </c>
      <c r="I69" s="125">
        <f t="shared" si="49"/>
        <v>700</v>
      </c>
      <c r="J69" s="125">
        <f t="shared" si="49"/>
        <v>700</v>
      </c>
      <c r="K69" s="125">
        <f t="shared" si="49"/>
        <v>700</v>
      </c>
      <c r="L69" s="125">
        <f t="shared" si="49"/>
        <v>700</v>
      </c>
      <c r="M69" s="125">
        <f t="shared" si="49"/>
        <v>700</v>
      </c>
      <c r="N69" s="125">
        <f t="shared" si="49"/>
        <v>700</v>
      </c>
      <c r="O69" s="125">
        <f t="shared" ref="O69:R71" si="50">N69</f>
        <v>700</v>
      </c>
      <c r="P69" s="125">
        <f t="shared" si="50"/>
        <v>700</v>
      </c>
      <c r="Q69" s="125">
        <v>0</v>
      </c>
      <c r="R69" s="125">
        <v>0</v>
      </c>
      <c r="AI69" s="66"/>
      <c r="AJ69" s="66"/>
      <c r="AK69" s="66"/>
      <c r="AL69" s="66"/>
      <c r="AM69" s="66"/>
      <c r="AN69" s="66"/>
      <c r="AO69" s="66"/>
      <c r="AP69" s="66"/>
      <c r="AQ69" s="66"/>
    </row>
    <row r="70" spans="1:43" ht="15.75">
      <c r="A70" s="143">
        <v>5.1249999999999997E-2</v>
      </c>
      <c r="B70" s="142" t="s">
        <v>2107</v>
      </c>
      <c r="C70" s="71"/>
      <c r="D70" s="124"/>
      <c r="E70" s="124"/>
      <c r="F70" s="124"/>
      <c r="G70" s="124">
        <v>0</v>
      </c>
      <c r="H70" s="124">
        <v>500</v>
      </c>
      <c r="I70" s="125">
        <f t="shared" ref="I70:N71" si="51">H70</f>
        <v>500</v>
      </c>
      <c r="J70" s="125">
        <f t="shared" si="51"/>
        <v>500</v>
      </c>
      <c r="K70" s="125">
        <f t="shared" si="51"/>
        <v>500</v>
      </c>
      <c r="L70" s="125">
        <f t="shared" si="51"/>
        <v>500</v>
      </c>
      <c r="M70" s="125">
        <f t="shared" si="51"/>
        <v>500</v>
      </c>
      <c r="N70" s="125">
        <f t="shared" si="51"/>
        <v>500</v>
      </c>
      <c r="O70" s="125">
        <f t="shared" si="50"/>
        <v>500</v>
      </c>
      <c r="P70" s="125">
        <f t="shared" si="50"/>
        <v>500</v>
      </c>
      <c r="Q70" s="125">
        <v>0</v>
      </c>
      <c r="R70" s="125">
        <v>0</v>
      </c>
      <c r="AI70" s="66"/>
      <c r="AJ70" s="66"/>
      <c r="AK70" s="66"/>
      <c r="AL70" s="66"/>
      <c r="AM70" s="66"/>
      <c r="AN70" s="66"/>
      <c r="AO70" s="66"/>
      <c r="AP70" s="66"/>
      <c r="AQ70" s="66"/>
    </row>
    <row r="71" spans="1:43" ht="15.75">
      <c r="A71" s="143">
        <v>5.1249999999999997E-2</v>
      </c>
      <c r="B71" s="142" t="s">
        <v>2108</v>
      </c>
      <c r="C71" s="71"/>
      <c r="D71" s="124"/>
      <c r="E71" s="124"/>
      <c r="F71" s="124"/>
      <c r="G71" s="124">
        <v>0</v>
      </c>
      <c r="H71" s="124">
        <v>750</v>
      </c>
      <c r="I71" s="125">
        <f t="shared" si="51"/>
        <v>750</v>
      </c>
      <c r="J71" s="125">
        <f t="shared" si="51"/>
        <v>750</v>
      </c>
      <c r="K71" s="125">
        <f t="shared" si="51"/>
        <v>750</v>
      </c>
      <c r="L71" s="125">
        <f t="shared" si="51"/>
        <v>750</v>
      </c>
      <c r="M71" s="125">
        <f t="shared" si="51"/>
        <v>750</v>
      </c>
      <c r="N71" s="125">
        <f t="shared" si="51"/>
        <v>750</v>
      </c>
      <c r="O71" s="125">
        <f t="shared" si="50"/>
        <v>750</v>
      </c>
      <c r="P71" s="125">
        <f t="shared" si="50"/>
        <v>750</v>
      </c>
      <c r="Q71" s="125">
        <f t="shared" si="50"/>
        <v>750</v>
      </c>
      <c r="R71" s="125">
        <f t="shared" si="50"/>
        <v>750</v>
      </c>
      <c r="AI71" s="66"/>
      <c r="AJ71" s="66"/>
      <c r="AK71" s="66"/>
      <c r="AL71" s="66"/>
      <c r="AM71" s="66"/>
      <c r="AN71" s="66"/>
      <c r="AO71" s="66"/>
      <c r="AP71" s="66"/>
      <c r="AQ71" s="66"/>
    </row>
    <row r="72" spans="1:43" ht="15.75">
      <c r="A72" s="143"/>
      <c r="B72" s="142"/>
      <c r="C72" s="71"/>
      <c r="D72" s="124"/>
      <c r="E72" s="124"/>
      <c r="F72" s="124"/>
      <c r="G72" s="124"/>
      <c r="H72" s="125"/>
      <c r="I72" s="125"/>
      <c r="J72" s="125"/>
      <c r="K72" s="125"/>
      <c r="L72" s="125"/>
      <c r="M72" s="125"/>
      <c r="N72" s="125"/>
      <c r="O72" s="125"/>
      <c r="P72" s="125"/>
      <c r="Q72" s="125"/>
      <c r="R72" s="125"/>
      <c r="AI72" s="66"/>
      <c r="AJ72" s="66"/>
      <c r="AK72" s="66"/>
      <c r="AL72" s="66"/>
      <c r="AM72" s="66"/>
      <c r="AN72" s="66"/>
      <c r="AO72" s="66"/>
      <c r="AP72" s="66"/>
      <c r="AQ72" s="66"/>
    </row>
    <row r="73" spans="1:43" ht="15.75">
      <c r="A73" s="9"/>
      <c r="B73" s="67" t="s">
        <v>44</v>
      </c>
      <c r="C73" s="76">
        <f t="shared" ref="C73:K73" si="52">C58-SUM(C60:C72)</f>
        <v>6238.7999999999993</v>
      </c>
      <c r="D73" s="76">
        <f t="shared" si="52"/>
        <v>4036.2999999999993</v>
      </c>
      <c r="E73" s="76">
        <f t="shared" si="52"/>
        <v>2780.9000000000015</v>
      </c>
      <c r="F73" s="76">
        <f t="shared" si="52"/>
        <v>1237.5</v>
      </c>
      <c r="G73" s="76">
        <f t="shared" si="52"/>
        <v>1006.3999999999996</v>
      </c>
      <c r="H73" s="76">
        <f t="shared" si="52"/>
        <v>1048.2000000000007</v>
      </c>
      <c r="I73" s="76">
        <f t="shared" si="52"/>
        <v>555.5</v>
      </c>
      <c r="J73" s="76">
        <f t="shared" si="52"/>
        <v>-328.10000000000036</v>
      </c>
      <c r="K73" s="76">
        <f t="shared" si="52"/>
        <v>-806.40000000000055</v>
      </c>
      <c r="L73" s="76">
        <f t="shared" ref="L73:R73" si="53">K73</f>
        <v>-806.40000000000055</v>
      </c>
      <c r="M73" s="76">
        <f t="shared" si="53"/>
        <v>-806.40000000000055</v>
      </c>
      <c r="N73" s="76">
        <f t="shared" si="53"/>
        <v>-806.40000000000055</v>
      </c>
      <c r="O73" s="76">
        <f t="shared" si="53"/>
        <v>-806.40000000000055</v>
      </c>
      <c r="P73" s="76">
        <f t="shared" si="53"/>
        <v>-806.40000000000055</v>
      </c>
      <c r="Q73" s="76">
        <f t="shared" si="53"/>
        <v>-806.40000000000055</v>
      </c>
      <c r="R73" s="76">
        <f t="shared" si="53"/>
        <v>-806.40000000000055</v>
      </c>
      <c r="AI73" s="66"/>
      <c r="AJ73" s="66"/>
      <c r="AK73" s="66"/>
      <c r="AL73" s="66"/>
      <c r="AM73" s="66"/>
      <c r="AN73" s="66"/>
      <c r="AO73" s="66"/>
      <c r="AP73" s="66"/>
      <c r="AQ73" s="66"/>
    </row>
    <row r="74" spans="1:43" ht="15.75">
      <c r="A74" s="9"/>
      <c r="B74" s="66" t="s">
        <v>98</v>
      </c>
      <c r="C74" s="71">
        <f t="shared" ref="C74:R74" si="54">SUM(C60:C73)</f>
        <v>10228.799999999999</v>
      </c>
      <c r="D74" s="125">
        <f t="shared" si="54"/>
        <v>9251.2999999999993</v>
      </c>
      <c r="E74" s="125">
        <f t="shared" si="54"/>
        <v>9195.9000000000015</v>
      </c>
      <c r="F74" s="125">
        <f t="shared" si="54"/>
        <v>9552.5</v>
      </c>
      <c r="G74" s="125">
        <f t="shared" si="54"/>
        <v>9321.4</v>
      </c>
      <c r="H74" s="125">
        <f t="shared" si="54"/>
        <v>9413.2000000000007</v>
      </c>
      <c r="I74" s="125">
        <f t="shared" si="54"/>
        <v>8920.5</v>
      </c>
      <c r="J74" s="125">
        <f t="shared" si="54"/>
        <v>8036.9</v>
      </c>
      <c r="K74" s="125">
        <f t="shared" si="54"/>
        <v>7558.5999999999995</v>
      </c>
      <c r="L74" s="125">
        <f t="shared" si="54"/>
        <v>6358.5999999999995</v>
      </c>
      <c r="M74" s="125">
        <f t="shared" si="54"/>
        <v>6358.5999999999995</v>
      </c>
      <c r="N74" s="125">
        <f t="shared" si="54"/>
        <v>5608.5999999999995</v>
      </c>
      <c r="O74" s="125">
        <f t="shared" si="54"/>
        <v>4793.5999999999995</v>
      </c>
      <c r="P74" s="125">
        <f t="shared" si="54"/>
        <v>2343.5999999999995</v>
      </c>
      <c r="Q74" s="125">
        <f t="shared" si="54"/>
        <v>-56.400000000000546</v>
      </c>
      <c r="R74" s="125">
        <f t="shared" si="54"/>
        <v>-56.400000000000546</v>
      </c>
      <c r="AI74" s="66"/>
      <c r="AJ74" s="66"/>
      <c r="AK74" s="66"/>
      <c r="AL74" s="66"/>
      <c r="AM74" s="66"/>
      <c r="AN74" s="66"/>
      <c r="AO74" s="66"/>
      <c r="AP74" s="66"/>
      <c r="AQ74" s="66"/>
    </row>
    <row r="75" spans="1:43" ht="15.75">
      <c r="A75" s="9"/>
      <c r="B75" s="66"/>
      <c r="C75" s="66"/>
      <c r="D75" s="66"/>
      <c r="E75" s="66"/>
      <c r="F75" s="66"/>
      <c r="G75" s="66"/>
      <c r="H75" s="66"/>
      <c r="I75" s="66"/>
      <c r="J75" s="66"/>
      <c r="K75" s="66"/>
      <c r="L75" s="66"/>
      <c r="M75" s="66"/>
      <c r="N75" s="66"/>
      <c r="O75" s="66"/>
      <c r="P75" s="66"/>
      <c r="Q75" s="66"/>
      <c r="R75" s="66"/>
      <c r="AI75" s="66"/>
      <c r="AJ75" s="66"/>
      <c r="AK75" s="66"/>
      <c r="AL75" s="66"/>
      <c r="AM75" s="66"/>
      <c r="AN75" s="66"/>
      <c r="AO75" s="66"/>
      <c r="AP75" s="66"/>
      <c r="AQ75" s="66"/>
    </row>
    <row r="76" spans="1:43" ht="15.75" outlineLevel="1">
      <c r="A76" s="9"/>
      <c r="B76" s="66" t="s">
        <v>856</v>
      </c>
      <c r="C76" s="66"/>
      <c r="D76" s="66"/>
      <c r="E76" s="66"/>
      <c r="F76" s="66"/>
      <c r="G76" s="66"/>
      <c r="H76" s="66"/>
      <c r="I76" s="66"/>
      <c r="J76" s="66"/>
      <c r="K76" s="66"/>
      <c r="L76" s="66"/>
      <c r="M76" s="66"/>
      <c r="N76" s="66"/>
      <c r="O76" s="66"/>
      <c r="P76" s="66"/>
      <c r="Q76" s="66"/>
      <c r="R76" s="66"/>
      <c r="AI76" s="66"/>
      <c r="AJ76" s="66"/>
      <c r="AK76" s="66"/>
      <c r="AL76" s="66"/>
      <c r="AM76" s="66"/>
      <c r="AN76" s="66"/>
      <c r="AO76" s="66"/>
      <c r="AP76" s="66"/>
      <c r="AQ76" s="66"/>
    </row>
    <row r="77" spans="1:43" ht="15.75" outlineLevel="1">
      <c r="A77" s="143">
        <f t="shared" ref="A77:A88" si="55">A60</f>
        <v>6.7500000000000004E-2</v>
      </c>
      <c r="B77" s="142">
        <v>2022</v>
      </c>
      <c r="C77" s="66"/>
      <c r="D77" s="71">
        <f t="shared" ref="D77:R77" si="56">$A77*AVERAGE(C60:D60)</f>
        <v>21.09375</v>
      </c>
      <c r="E77" s="71">
        <f t="shared" si="56"/>
        <v>62.437500000000007</v>
      </c>
      <c r="F77" s="71">
        <f t="shared" si="56"/>
        <v>82.6875</v>
      </c>
      <c r="G77" s="71">
        <f t="shared" si="56"/>
        <v>82.6875</v>
      </c>
      <c r="H77" s="71">
        <f t="shared" si="56"/>
        <v>82.6875</v>
      </c>
      <c r="I77" s="71">
        <f t="shared" si="56"/>
        <v>82.6875</v>
      </c>
      <c r="J77" s="71">
        <f t="shared" si="56"/>
        <v>82.6875</v>
      </c>
      <c r="K77" s="71">
        <f t="shared" si="56"/>
        <v>82.6875</v>
      </c>
      <c r="L77" s="71">
        <f t="shared" si="56"/>
        <v>82.6875</v>
      </c>
      <c r="M77" s="71">
        <f t="shared" si="56"/>
        <v>82.6875</v>
      </c>
      <c r="N77" s="71">
        <f t="shared" si="56"/>
        <v>82.6875</v>
      </c>
      <c r="O77" s="71">
        <f t="shared" si="56"/>
        <v>82.6875</v>
      </c>
      <c r="P77" s="71">
        <f t="shared" si="56"/>
        <v>41.34375</v>
      </c>
      <c r="Q77" s="71">
        <f t="shared" si="56"/>
        <v>0</v>
      </c>
      <c r="R77" s="71">
        <f t="shared" si="56"/>
        <v>0</v>
      </c>
      <c r="AI77" s="66"/>
      <c r="AJ77" s="66"/>
      <c r="AK77" s="66"/>
      <c r="AL77" s="66"/>
      <c r="AM77" s="66"/>
      <c r="AN77" s="66"/>
      <c r="AO77" s="66"/>
      <c r="AP77" s="66"/>
      <c r="AQ77" s="66"/>
    </row>
    <row r="78" spans="1:43" ht="15.75" outlineLevel="1">
      <c r="A78" s="143">
        <f t="shared" si="55"/>
        <v>8.5000000000000006E-2</v>
      </c>
      <c r="B78" s="142">
        <v>2021</v>
      </c>
      <c r="C78" s="66"/>
      <c r="D78" s="71">
        <f t="shared" ref="D78:R78" si="57">$A78*AVERAGE(C61:D61)</f>
        <v>69.275000000000006</v>
      </c>
      <c r="E78" s="71">
        <f t="shared" si="57"/>
        <v>69.275000000000006</v>
      </c>
      <c r="F78" s="71">
        <f t="shared" si="57"/>
        <v>69.275000000000006</v>
      </c>
      <c r="G78" s="71">
        <f t="shared" si="57"/>
        <v>69.275000000000006</v>
      </c>
      <c r="H78" s="71">
        <f t="shared" si="57"/>
        <v>69.275000000000006</v>
      </c>
      <c r="I78" s="71">
        <f t="shared" si="57"/>
        <v>69.275000000000006</v>
      </c>
      <c r="J78" s="71">
        <f t="shared" si="57"/>
        <v>69.275000000000006</v>
      </c>
      <c r="K78" s="71">
        <f t="shared" si="57"/>
        <v>69.275000000000006</v>
      </c>
      <c r="L78" s="71">
        <f t="shared" si="57"/>
        <v>69.275000000000006</v>
      </c>
      <c r="M78" s="71">
        <f t="shared" si="57"/>
        <v>69.275000000000006</v>
      </c>
      <c r="N78" s="71">
        <f t="shared" si="57"/>
        <v>69.275000000000006</v>
      </c>
      <c r="O78" s="71">
        <f t="shared" si="57"/>
        <v>34.637500000000003</v>
      </c>
      <c r="P78" s="71">
        <f t="shared" si="57"/>
        <v>0</v>
      </c>
      <c r="Q78" s="71">
        <f t="shared" si="57"/>
        <v>0</v>
      </c>
      <c r="R78" s="71">
        <f t="shared" si="57"/>
        <v>0</v>
      </c>
      <c r="AI78" s="66"/>
      <c r="AJ78" s="66"/>
      <c r="AK78" s="66"/>
      <c r="AL78" s="66"/>
      <c r="AM78" s="66"/>
      <c r="AN78" s="66"/>
      <c r="AO78" s="66"/>
      <c r="AP78" s="66"/>
      <c r="AQ78" s="66"/>
    </row>
    <row r="79" spans="1:43" ht="15.75" outlineLevel="1">
      <c r="A79" s="143">
        <f t="shared" si="55"/>
        <v>6.8750000000000006E-2</v>
      </c>
      <c r="B79" s="142">
        <v>2019</v>
      </c>
      <c r="C79" s="66"/>
      <c r="D79" s="71">
        <f t="shared" ref="D79:G84" si="58">$A79*AVERAGE(C62:D62)</f>
        <v>82.5</v>
      </c>
      <c r="E79" s="71">
        <f t="shared" si="58"/>
        <v>82.5</v>
      </c>
      <c r="F79" s="71">
        <f t="shared" si="58"/>
        <v>82.5</v>
      </c>
      <c r="G79" s="71">
        <f t="shared" si="58"/>
        <v>82.5</v>
      </c>
      <c r="H79" s="71">
        <f>$A79*AVERAGE(G62:H62)*2/12</f>
        <v>6.875</v>
      </c>
      <c r="I79" s="71">
        <f t="shared" ref="I79:R79" si="59">$A79*AVERAGE(H62:I62)</f>
        <v>0</v>
      </c>
      <c r="J79" s="71">
        <f t="shared" si="59"/>
        <v>0</v>
      </c>
      <c r="K79" s="71">
        <f t="shared" si="59"/>
        <v>0</v>
      </c>
      <c r="L79" s="71">
        <f t="shared" si="59"/>
        <v>0</v>
      </c>
      <c r="M79" s="71">
        <f t="shared" si="59"/>
        <v>0</v>
      </c>
      <c r="N79" s="71">
        <f t="shared" si="59"/>
        <v>0</v>
      </c>
      <c r="O79" s="71">
        <f t="shared" si="59"/>
        <v>0</v>
      </c>
      <c r="P79" s="71">
        <f t="shared" si="59"/>
        <v>0</v>
      </c>
      <c r="Q79" s="71">
        <f t="shared" si="59"/>
        <v>0</v>
      </c>
      <c r="R79" s="71">
        <f t="shared" si="59"/>
        <v>0</v>
      </c>
      <c r="AI79" s="66"/>
      <c r="AJ79" s="66"/>
      <c r="AK79" s="66"/>
      <c r="AL79" s="66"/>
      <c r="AM79" s="66"/>
      <c r="AN79" s="66"/>
      <c r="AO79" s="66"/>
      <c r="AP79" s="66"/>
      <c r="AQ79" s="66"/>
    </row>
    <row r="80" spans="1:43" ht="15.75" outlineLevel="1">
      <c r="A80" s="143">
        <f t="shared" si="55"/>
        <v>7.7850000000000003E-2</v>
      </c>
      <c r="B80" s="142">
        <v>2020</v>
      </c>
      <c r="C80" s="66"/>
      <c r="D80" s="71">
        <f t="shared" si="58"/>
        <v>58.387500000000003</v>
      </c>
      <c r="E80" s="71">
        <f t="shared" si="58"/>
        <v>58.387500000000003</v>
      </c>
      <c r="F80" s="71">
        <f t="shared" si="58"/>
        <v>58.387500000000003</v>
      </c>
      <c r="G80" s="71">
        <f t="shared" si="58"/>
        <v>58.387500000000003</v>
      </c>
      <c r="H80" s="71">
        <f t="shared" ref="H80:H88" si="60">$A80*AVERAGE(G63:H63)</f>
        <v>58.387500000000003</v>
      </c>
      <c r="I80" s="71">
        <f t="shared" ref="I80:R80" si="61">$A80*AVERAGE(H63:I63)</f>
        <v>58.387500000000003</v>
      </c>
      <c r="J80" s="71">
        <f t="shared" si="61"/>
        <v>58.387500000000003</v>
      </c>
      <c r="K80" s="71">
        <f t="shared" si="61"/>
        <v>58.387500000000003</v>
      </c>
      <c r="L80" s="71">
        <f t="shared" si="61"/>
        <v>58.387500000000003</v>
      </c>
      <c r="M80" s="71">
        <f t="shared" si="61"/>
        <v>58.387500000000003</v>
      </c>
      <c r="N80" s="71">
        <f t="shared" si="61"/>
        <v>29.193750000000001</v>
      </c>
      <c r="O80" s="71">
        <f t="shared" si="61"/>
        <v>0</v>
      </c>
      <c r="P80" s="71">
        <f t="shared" si="61"/>
        <v>0</v>
      </c>
      <c r="Q80" s="71">
        <f t="shared" si="61"/>
        <v>0</v>
      </c>
      <c r="R80" s="71">
        <f t="shared" si="61"/>
        <v>0</v>
      </c>
      <c r="AI80" s="66"/>
      <c r="AJ80" s="66"/>
      <c r="AK80" s="66"/>
      <c r="AL80" s="66"/>
      <c r="AM80" s="66"/>
      <c r="AN80" s="66"/>
      <c r="AO80" s="66"/>
      <c r="AP80" s="66"/>
      <c r="AQ80" s="66"/>
    </row>
    <row r="81" spans="1:43" ht="15.75" outlineLevel="1">
      <c r="A81" s="143">
        <f t="shared" si="55"/>
        <v>6.8750000000000006E-2</v>
      </c>
      <c r="B81" s="142">
        <v>2019</v>
      </c>
      <c r="C81" s="66"/>
      <c r="D81" s="71">
        <f t="shared" si="58"/>
        <v>20.625</v>
      </c>
      <c r="E81" s="71">
        <f t="shared" si="58"/>
        <v>41.25</v>
      </c>
      <c r="F81" s="71">
        <f t="shared" si="58"/>
        <v>41.25</v>
      </c>
      <c r="G81" s="71">
        <f t="shared" si="58"/>
        <v>41.25</v>
      </c>
      <c r="H81" s="71">
        <f t="shared" si="60"/>
        <v>41.25</v>
      </c>
      <c r="I81" s="71">
        <f t="shared" ref="I81:R81" si="62">$A81*AVERAGE(H64:I64)</f>
        <v>41.25</v>
      </c>
      <c r="J81" s="71">
        <f t="shared" si="62"/>
        <v>41.25</v>
      </c>
      <c r="K81" s="71">
        <f t="shared" si="62"/>
        <v>41.25</v>
      </c>
      <c r="L81" s="71">
        <f t="shared" si="62"/>
        <v>20.625</v>
      </c>
      <c r="M81" s="71">
        <f t="shared" si="62"/>
        <v>0</v>
      </c>
      <c r="N81" s="71">
        <f t="shared" si="62"/>
        <v>0</v>
      </c>
      <c r="O81" s="71">
        <f t="shared" si="62"/>
        <v>0</v>
      </c>
      <c r="P81" s="71">
        <f t="shared" si="62"/>
        <v>0</v>
      </c>
      <c r="Q81" s="71">
        <f t="shared" si="62"/>
        <v>0</v>
      </c>
      <c r="R81" s="71">
        <f t="shared" si="62"/>
        <v>0</v>
      </c>
      <c r="AI81" s="66"/>
      <c r="AJ81" s="66"/>
      <c r="AK81" s="66"/>
      <c r="AL81" s="66"/>
      <c r="AM81" s="66"/>
      <c r="AN81" s="66"/>
      <c r="AO81" s="66"/>
      <c r="AP81" s="66"/>
      <c r="AQ81" s="66"/>
    </row>
    <row r="82" spans="1:43" ht="15.75" outlineLevel="1">
      <c r="A82" s="143">
        <f t="shared" si="55"/>
        <v>6.8750000000000006E-2</v>
      </c>
      <c r="B82" s="142">
        <v>2019</v>
      </c>
      <c r="C82" s="66"/>
      <c r="D82" s="71">
        <f t="shared" si="58"/>
        <v>0</v>
      </c>
      <c r="E82" s="71">
        <f t="shared" si="58"/>
        <v>20.625</v>
      </c>
      <c r="F82" s="71">
        <f t="shared" si="58"/>
        <v>41.25</v>
      </c>
      <c r="G82" s="71">
        <f t="shared" si="58"/>
        <v>41.25</v>
      </c>
      <c r="H82" s="71">
        <f t="shared" si="60"/>
        <v>41.25</v>
      </c>
      <c r="I82" s="71">
        <f t="shared" ref="I82:R82" si="63">$A82*AVERAGE(H65:I65)</f>
        <v>41.25</v>
      </c>
      <c r="J82" s="71">
        <f t="shared" si="63"/>
        <v>41.25</v>
      </c>
      <c r="K82" s="71">
        <f t="shared" si="63"/>
        <v>41.25</v>
      </c>
      <c r="L82" s="71">
        <f t="shared" si="63"/>
        <v>20.625</v>
      </c>
      <c r="M82" s="71">
        <f t="shared" si="63"/>
        <v>0</v>
      </c>
      <c r="N82" s="71">
        <f t="shared" si="63"/>
        <v>0</v>
      </c>
      <c r="O82" s="71">
        <f t="shared" si="63"/>
        <v>0</v>
      </c>
      <c r="P82" s="71">
        <f t="shared" si="63"/>
        <v>0</v>
      </c>
      <c r="Q82" s="71">
        <f t="shared" si="63"/>
        <v>0</v>
      </c>
      <c r="R82" s="71">
        <f t="shared" si="63"/>
        <v>0</v>
      </c>
      <c r="AI82" s="66"/>
      <c r="AJ82" s="66"/>
      <c r="AK82" s="66"/>
      <c r="AL82" s="66"/>
      <c r="AM82" s="66"/>
      <c r="AN82" s="66"/>
      <c r="AO82" s="66"/>
      <c r="AP82" s="66"/>
      <c r="AQ82" s="66"/>
    </row>
    <row r="83" spans="1:43" ht="15.75" outlineLevel="1">
      <c r="A83" s="143">
        <f t="shared" si="55"/>
        <v>6.7500000000000004E-2</v>
      </c>
      <c r="B83" s="142">
        <v>2022</v>
      </c>
      <c r="C83" s="66"/>
      <c r="D83" s="71">
        <f t="shared" si="58"/>
        <v>42.1875</v>
      </c>
      <c r="E83" s="71">
        <f t="shared" si="58"/>
        <v>42.1875</v>
      </c>
      <c r="F83" s="71">
        <f t="shared" si="58"/>
        <v>42.1875</v>
      </c>
      <c r="G83" s="71">
        <f t="shared" si="58"/>
        <v>42.1875</v>
      </c>
      <c r="H83" s="71">
        <f t="shared" si="60"/>
        <v>42.1875</v>
      </c>
      <c r="I83" s="71">
        <f t="shared" ref="I83:R83" si="64">$A83*AVERAGE(H66:I66)</f>
        <v>42.1875</v>
      </c>
      <c r="J83" s="71">
        <f t="shared" si="64"/>
        <v>42.1875</v>
      </c>
      <c r="K83" s="71">
        <f t="shared" si="64"/>
        <v>42.1875</v>
      </c>
      <c r="L83" s="71">
        <f t="shared" si="64"/>
        <v>42.1875</v>
      </c>
      <c r="M83" s="71">
        <f t="shared" si="64"/>
        <v>42.1875</v>
      </c>
      <c r="N83" s="71">
        <f t="shared" si="64"/>
        <v>42.1875</v>
      </c>
      <c r="O83" s="71">
        <f t="shared" si="64"/>
        <v>42.1875</v>
      </c>
      <c r="P83" s="71">
        <f t="shared" si="64"/>
        <v>21.09375</v>
      </c>
      <c r="Q83" s="71">
        <f t="shared" si="64"/>
        <v>0</v>
      </c>
      <c r="R83" s="71">
        <f t="shared" si="64"/>
        <v>0</v>
      </c>
      <c r="AI83" s="66"/>
      <c r="AJ83" s="66"/>
      <c r="AK83" s="66"/>
      <c r="AL83" s="66"/>
      <c r="AM83" s="66"/>
      <c r="AN83" s="66"/>
      <c r="AO83" s="66"/>
      <c r="AP83" s="66"/>
      <c r="AQ83" s="66"/>
    </row>
    <row r="84" spans="1:43" ht="15.75" outlineLevel="1">
      <c r="A84" s="143">
        <f t="shared" si="55"/>
        <v>6.7500000000000004E-2</v>
      </c>
      <c r="B84" s="142">
        <v>2022</v>
      </c>
      <c r="C84" s="66"/>
      <c r="D84" s="71">
        <f t="shared" si="58"/>
        <v>40.5</v>
      </c>
      <c r="E84" s="71">
        <f t="shared" si="58"/>
        <v>40.5</v>
      </c>
      <c r="F84" s="71">
        <f t="shared" si="58"/>
        <v>40.5</v>
      </c>
      <c r="G84" s="71">
        <f t="shared" si="58"/>
        <v>40.5</v>
      </c>
      <c r="H84" s="71">
        <f t="shared" si="60"/>
        <v>40.5</v>
      </c>
      <c r="I84" s="71">
        <f t="shared" ref="I84:R84" si="65">$A84*AVERAGE(H67:I67)</f>
        <v>40.5</v>
      </c>
      <c r="J84" s="71">
        <f t="shared" si="65"/>
        <v>40.5</v>
      </c>
      <c r="K84" s="71">
        <f t="shared" si="65"/>
        <v>40.5</v>
      </c>
      <c r="L84" s="71">
        <f t="shared" si="65"/>
        <v>40.5</v>
      </c>
      <c r="M84" s="71">
        <f t="shared" si="65"/>
        <v>40.5</v>
      </c>
      <c r="N84" s="71">
        <f t="shared" si="65"/>
        <v>40.5</v>
      </c>
      <c r="O84" s="71">
        <f t="shared" si="65"/>
        <v>40.5</v>
      </c>
      <c r="P84" s="71">
        <f t="shared" si="65"/>
        <v>20.25</v>
      </c>
      <c r="Q84" s="71">
        <f t="shared" si="65"/>
        <v>0</v>
      </c>
      <c r="R84" s="71">
        <f t="shared" si="65"/>
        <v>0</v>
      </c>
      <c r="AI84" s="66"/>
      <c r="AJ84" s="66"/>
      <c r="AK84" s="66"/>
      <c r="AL84" s="66"/>
      <c r="AM84" s="66"/>
      <c r="AN84" s="66"/>
      <c r="AO84" s="66"/>
      <c r="AP84" s="66"/>
      <c r="AQ84" s="66"/>
    </row>
    <row r="85" spans="1:43" ht="15.75" outlineLevel="1">
      <c r="A85" s="143">
        <f t="shared" si="55"/>
        <v>5.1249999999999997E-2</v>
      </c>
      <c r="B85" s="142">
        <v>2023</v>
      </c>
      <c r="C85" s="66"/>
      <c r="D85" s="71"/>
      <c r="E85" s="71"/>
      <c r="F85" s="71">
        <f>$A85*AVERAGE(E68:F68)</f>
        <v>61.499999999999993</v>
      </c>
      <c r="G85" s="71">
        <f>$A85*AVERAGE(F68:G68)</f>
        <v>61.499999999999993</v>
      </c>
      <c r="H85" s="71">
        <f t="shared" si="60"/>
        <v>61.499999999999993</v>
      </c>
      <c r="I85" s="71">
        <f t="shared" ref="I85:R85" si="66">$A85*AVERAGE(H68:I68)</f>
        <v>61.499999999999993</v>
      </c>
      <c r="J85" s="71">
        <f t="shared" si="66"/>
        <v>61.499999999999993</v>
      </c>
      <c r="K85" s="71">
        <f t="shared" si="66"/>
        <v>61.499999999999993</v>
      </c>
      <c r="L85" s="71">
        <f t="shared" si="66"/>
        <v>61.499999999999993</v>
      </c>
      <c r="M85" s="71">
        <f t="shared" si="66"/>
        <v>61.499999999999993</v>
      </c>
      <c r="N85" s="71">
        <f t="shared" si="66"/>
        <v>61.499999999999993</v>
      </c>
      <c r="O85" s="71">
        <f t="shared" si="66"/>
        <v>61.499999999999993</v>
      </c>
      <c r="P85" s="71">
        <f t="shared" si="66"/>
        <v>61.499999999999993</v>
      </c>
      <c r="Q85" s="71">
        <f t="shared" si="66"/>
        <v>30.749999999999996</v>
      </c>
      <c r="R85" s="71">
        <f t="shared" si="66"/>
        <v>0</v>
      </c>
      <c r="AI85" s="66"/>
      <c r="AJ85" s="66"/>
      <c r="AK85" s="66"/>
      <c r="AL85" s="66"/>
      <c r="AM85" s="66"/>
      <c r="AN85" s="66"/>
      <c r="AO85" s="66"/>
      <c r="AP85" s="66"/>
      <c r="AQ85" s="66"/>
    </row>
    <row r="86" spans="1:43" ht="15.75" outlineLevel="1">
      <c r="A86" s="143">
        <f t="shared" si="55"/>
        <v>5.1249999999999997E-2</v>
      </c>
      <c r="B86" s="142">
        <v>2023</v>
      </c>
      <c r="C86" s="66"/>
      <c r="D86" s="71"/>
      <c r="E86" s="71"/>
      <c r="F86" s="71">
        <f>$A86*AVERAGE(E69:F69)*0.5</f>
        <v>17.9375</v>
      </c>
      <c r="G86" s="71">
        <f>$A86*AVERAGE(F69:G69)</f>
        <v>35.875</v>
      </c>
      <c r="H86" s="71">
        <f t="shared" si="60"/>
        <v>35.875</v>
      </c>
      <c r="I86" s="71">
        <f t="shared" ref="I86:R86" si="67">$A86*AVERAGE(H69:I69)</f>
        <v>35.875</v>
      </c>
      <c r="J86" s="71">
        <f t="shared" si="67"/>
        <v>35.875</v>
      </c>
      <c r="K86" s="71">
        <f t="shared" si="67"/>
        <v>35.875</v>
      </c>
      <c r="L86" s="71">
        <f t="shared" si="67"/>
        <v>35.875</v>
      </c>
      <c r="M86" s="71">
        <f t="shared" si="67"/>
        <v>35.875</v>
      </c>
      <c r="N86" s="71">
        <f t="shared" si="67"/>
        <v>35.875</v>
      </c>
      <c r="O86" s="71">
        <f t="shared" si="67"/>
        <v>35.875</v>
      </c>
      <c r="P86" s="71">
        <f t="shared" si="67"/>
        <v>35.875</v>
      </c>
      <c r="Q86" s="71">
        <f t="shared" si="67"/>
        <v>17.9375</v>
      </c>
      <c r="R86" s="71">
        <f t="shared" si="67"/>
        <v>0</v>
      </c>
      <c r="AI86" s="66"/>
      <c r="AJ86" s="66"/>
      <c r="AK86" s="66"/>
      <c r="AL86" s="66"/>
      <c r="AM86" s="66"/>
      <c r="AN86" s="66"/>
      <c r="AO86" s="66"/>
      <c r="AP86" s="66"/>
      <c r="AQ86" s="66"/>
    </row>
    <row r="87" spans="1:43" ht="15.75" outlineLevel="1">
      <c r="A87" s="143">
        <f t="shared" si="55"/>
        <v>5.1249999999999997E-2</v>
      </c>
      <c r="B87" s="142">
        <v>2023</v>
      </c>
      <c r="C87" s="66"/>
      <c r="D87" s="71"/>
      <c r="E87" s="71"/>
      <c r="F87" s="71"/>
      <c r="G87" s="71">
        <f>$A87*AVERAGE(F70:G70)</f>
        <v>0</v>
      </c>
      <c r="H87" s="71">
        <f t="shared" si="60"/>
        <v>12.8125</v>
      </c>
      <c r="I87" s="71">
        <f t="shared" ref="I87:R87" si="68">$A87*AVERAGE(H70:I70)</f>
        <v>25.625</v>
      </c>
      <c r="J87" s="71">
        <f t="shared" si="68"/>
        <v>25.625</v>
      </c>
      <c r="K87" s="71">
        <f t="shared" si="68"/>
        <v>25.625</v>
      </c>
      <c r="L87" s="71">
        <f t="shared" si="68"/>
        <v>25.625</v>
      </c>
      <c r="M87" s="71">
        <f t="shared" si="68"/>
        <v>25.625</v>
      </c>
      <c r="N87" s="71">
        <f t="shared" si="68"/>
        <v>25.625</v>
      </c>
      <c r="O87" s="71">
        <f t="shared" si="68"/>
        <v>25.625</v>
      </c>
      <c r="P87" s="71">
        <f t="shared" si="68"/>
        <v>25.625</v>
      </c>
      <c r="Q87" s="71">
        <f t="shared" si="68"/>
        <v>12.8125</v>
      </c>
      <c r="R87" s="71">
        <f t="shared" si="68"/>
        <v>0</v>
      </c>
      <c r="AI87" s="66"/>
      <c r="AJ87" s="66"/>
      <c r="AK87" s="66"/>
      <c r="AL87" s="66"/>
      <c r="AM87" s="66"/>
      <c r="AN87" s="66"/>
      <c r="AO87" s="66"/>
      <c r="AP87" s="66"/>
      <c r="AQ87" s="66"/>
    </row>
    <row r="88" spans="1:43" ht="15.75" outlineLevel="1">
      <c r="A88" s="143">
        <f t="shared" si="55"/>
        <v>5.1249999999999997E-2</v>
      </c>
      <c r="B88" s="142">
        <v>2025</v>
      </c>
      <c r="C88" s="66"/>
      <c r="D88" s="71"/>
      <c r="E88" s="71"/>
      <c r="F88" s="71"/>
      <c r="G88" s="71">
        <f>$A88*AVERAGE(F71:G71)</f>
        <v>0</v>
      </c>
      <c r="H88" s="71">
        <f t="shared" si="60"/>
        <v>19.21875</v>
      </c>
      <c r="I88" s="71">
        <f t="shared" ref="I88:R88" si="69">$A88*AVERAGE(H71:I71)</f>
        <v>38.4375</v>
      </c>
      <c r="J88" s="71">
        <f t="shared" si="69"/>
        <v>38.4375</v>
      </c>
      <c r="K88" s="71">
        <f t="shared" si="69"/>
        <v>38.4375</v>
      </c>
      <c r="L88" s="71">
        <f t="shared" si="69"/>
        <v>38.4375</v>
      </c>
      <c r="M88" s="71">
        <f t="shared" si="69"/>
        <v>38.4375</v>
      </c>
      <c r="N88" s="71">
        <f t="shared" si="69"/>
        <v>38.4375</v>
      </c>
      <c r="O88" s="71">
        <f t="shared" si="69"/>
        <v>38.4375</v>
      </c>
      <c r="P88" s="71">
        <f t="shared" si="69"/>
        <v>38.4375</v>
      </c>
      <c r="Q88" s="71">
        <f t="shared" si="69"/>
        <v>38.4375</v>
      </c>
      <c r="R88" s="71">
        <f t="shared" si="69"/>
        <v>38.4375</v>
      </c>
      <c r="AI88" s="66"/>
      <c r="AJ88" s="66"/>
      <c r="AK88" s="66"/>
      <c r="AL88" s="66"/>
      <c r="AM88" s="66"/>
      <c r="AN88" s="66"/>
      <c r="AO88" s="66"/>
      <c r="AP88" s="66"/>
      <c r="AQ88" s="66"/>
    </row>
    <row r="89" spans="1:43" ht="15.75" outlineLevel="1">
      <c r="A89" s="403"/>
      <c r="B89" s="67" t="s">
        <v>44</v>
      </c>
      <c r="C89" s="67"/>
      <c r="D89" s="76"/>
      <c r="E89" s="76"/>
      <c r="F89" s="76">
        <f>F90-SUM(F77:F88)</f>
        <v>65.924999999999955</v>
      </c>
      <c r="G89" s="76">
        <f>G90-SUM(G77:G88)</f>
        <v>17.087499999999977</v>
      </c>
      <c r="H89" s="76">
        <f>G89</f>
        <v>17.087499999999977</v>
      </c>
      <c r="I89" s="76">
        <f t="shared" ref="I89:R89" si="70">H89</f>
        <v>17.087499999999977</v>
      </c>
      <c r="J89" s="76">
        <f t="shared" si="70"/>
        <v>17.087499999999977</v>
      </c>
      <c r="K89" s="76">
        <f t="shared" si="70"/>
        <v>17.087499999999977</v>
      </c>
      <c r="L89" s="76">
        <f t="shared" si="70"/>
        <v>17.087499999999977</v>
      </c>
      <c r="M89" s="76">
        <f t="shared" si="70"/>
        <v>17.087499999999977</v>
      </c>
      <c r="N89" s="76">
        <f t="shared" si="70"/>
        <v>17.087499999999977</v>
      </c>
      <c r="O89" s="76">
        <f t="shared" si="70"/>
        <v>17.087499999999977</v>
      </c>
      <c r="P89" s="76">
        <f t="shared" si="70"/>
        <v>17.087499999999977</v>
      </c>
      <c r="Q89" s="76">
        <f t="shared" si="70"/>
        <v>17.087499999999977</v>
      </c>
      <c r="R89" s="76">
        <f t="shared" si="70"/>
        <v>17.087499999999977</v>
      </c>
      <c r="AI89" s="66"/>
      <c r="AJ89" s="66"/>
      <c r="AK89" s="66"/>
      <c r="AL89" s="66"/>
      <c r="AM89" s="66"/>
      <c r="AN89" s="66"/>
      <c r="AO89" s="66"/>
      <c r="AP89" s="66"/>
      <c r="AQ89" s="66"/>
    </row>
    <row r="90" spans="1:43" ht="15.75">
      <c r="B90" s="66" t="s">
        <v>856</v>
      </c>
      <c r="C90" s="66"/>
      <c r="D90" s="125">
        <f>-D35</f>
        <v>516.6</v>
      </c>
      <c r="E90" s="125">
        <f>-E35</f>
        <v>558.5</v>
      </c>
      <c r="F90" s="125">
        <f>-F35</f>
        <v>603.4</v>
      </c>
      <c r="G90" s="125">
        <f>-G35</f>
        <v>572.5</v>
      </c>
      <c r="H90" s="125">
        <f t="shared" ref="H90:R90" si="71">SUM(H77:H89)</f>
        <v>528.90625</v>
      </c>
      <c r="I90" s="125">
        <f t="shared" si="71"/>
        <v>554.0625</v>
      </c>
      <c r="J90" s="125">
        <f t="shared" si="71"/>
        <v>554.0625</v>
      </c>
      <c r="K90" s="125">
        <f t="shared" si="71"/>
        <v>554.0625</v>
      </c>
      <c r="L90" s="125">
        <f t="shared" si="71"/>
        <v>512.8125</v>
      </c>
      <c r="M90" s="125">
        <f t="shared" si="71"/>
        <v>471.5625</v>
      </c>
      <c r="N90" s="125">
        <f t="shared" si="71"/>
        <v>442.36874999999998</v>
      </c>
      <c r="O90" s="125">
        <f t="shared" si="71"/>
        <v>378.53749999999997</v>
      </c>
      <c r="P90" s="125">
        <f t="shared" si="71"/>
        <v>261.21249999999998</v>
      </c>
      <c r="Q90" s="125">
        <f t="shared" si="71"/>
        <v>117.02499999999998</v>
      </c>
      <c r="R90" s="125">
        <f t="shared" si="71"/>
        <v>55.524999999999977</v>
      </c>
      <c r="AI90" s="66"/>
      <c r="AJ90" s="66"/>
      <c r="AK90" s="66"/>
      <c r="AL90" s="66"/>
      <c r="AM90" s="66"/>
      <c r="AN90" s="66"/>
      <c r="AO90" s="66"/>
      <c r="AP90" s="66"/>
      <c r="AQ90" s="66"/>
    </row>
    <row r="91" spans="1:43" ht="15.75">
      <c r="B91" s="66"/>
      <c r="C91" s="66"/>
      <c r="D91" s="125"/>
      <c r="E91" s="125"/>
      <c r="F91" s="125"/>
      <c r="G91" s="125"/>
      <c r="H91" s="125"/>
      <c r="I91" s="125"/>
      <c r="J91" s="125"/>
      <c r="K91" s="125"/>
      <c r="L91" s="125"/>
      <c r="M91" s="125"/>
      <c r="N91" s="125"/>
      <c r="O91" s="125"/>
      <c r="P91" s="125"/>
      <c r="Q91" s="125"/>
      <c r="R91" s="125"/>
      <c r="AI91" s="66"/>
      <c r="AJ91" s="66"/>
      <c r="AK91" s="66"/>
      <c r="AL91" s="66"/>
      <c r="AM91" s="66"/>
      <c r="AN91" s="66"/>
      <c r="AO91" s="66"/>
      <c r="AP91" s="66"/>
      <c r="AQ91" s="66"/>
    </row>
    <row r="92" spans="1:43" ht="15.75">
      <c r="B92" s="66" t="s">
        <v>562</v>
      </c>
      <c r="C92" s="114">
        <f>F253</f>
        <v>1293.8</v>
      </c>
      <c r="D92" s="124">
        <f>J253</f>
        <v>58.1</v>
      </c>
      <c r="E92" s="124">
        <f>N253</f>
        <v>35.5</v>
      </c>
      <c r="F92" s="124">
        <f>R253</f>
        <v>43.3</v>
      </c>
      <c r="G92" s="124">
        <f>V253</f>
        <v>56.2</v>
      </c>
      <c r="H92" s="124">
        <v>101.3</v>
      </c>
      <c r="I92" s="124">
        <v>66.5</v>
      </c>
      <c r="J92" s="124">
        <v>59.6</v>
      </c>
      <c r="K92" s="124">
        <v>128.30000000000001</v>
      </c>
      <c r="L92" s="125">
        <f t="shared" ref="L92:R92" ca="1" si="72">L58-L93</f>
        <v>-832.86232600256517</v>
      </c>
      <c r="M92" s="125">
        <f t="shared" ca="1" si="72"/>
        <v>-658.25307108112702</v>
      </c>
      <c r="N92" s="125">
        <f t="shared" ca="1" si="72"/>
        <v>-1095.8884065512275</v>
      </c>
      <c r="O92" s="125">
        <f t="shared" ca="1" si="72"/>
        <v>-1475.7875148449793</v>
      </c>
      <c r="P92" s="125">
        <f t="shared" ca="1" si="72"/>
        <v>-3397.4021721183481</v>
      </c>
      <c r="Q92" s="125">
        <f t="shared" ca="1" si="72"/>
        <v>-5165.1149284596859</v>
      </c>
      <c r="R92" s="125">
        <f t="shared" ca="1" si="72"/>
        <v>-4481.1512357731917</v>
      </c>
      <c r="AI92" s="66"/>
      <c r="AJ92" s="66"/>
      <c r="AK92" s="66"/>
      <c r="AL92" s="66"/>
      <c r="AM92" s="66"/>
      <c r="AN92" s="66"/>
      <c r="AO92" s="66"/>
      <c r="AP92" s="66"/>
      <c r="AQ92" s="66"/>
    </row>
    <row r="93" spans="1:43" ht="15.75">
      <c r="B93" s="66" t="s">
        <v>224</v>
      </c>
      <c r="C93" s="71">
        <f t="shared" ref="C93:K93" si="73">C58-C92</f>
        <v>8935</v>
      </c>
      <c r="D93" s="125">
        <f t="shared" si="73"/>
        <v>9193.1999999999989</v>
      </c>
      <c r="E93" s="125">
        <f t="shared" si="73"/>
        <v>9160.4000000000015</v>
      </c>
      <c r="F93" s="125">
        <f t="shared" si="73"/>
        <v>9509.2000000000007</v>
      </c>
      <c r="G93" s="125">
        <f t="shared" si="73"/>
        <v>9265.1999999999989</v>
      </c>
      <c r="H93" s="125">
        <f t="shared" si="73"/>
        <v>9311.9000000000015</v>
      </c>
      <c r="I93" s="125">
        <f t="shared" si="73"/>
        <v>8854</v>
      </c>
      <c r="J93" s="125">
        <f t="shared" si="73"/>
        <v>7977.2999999999993</v>
      </c>
      <c r="K93" s="125">
        <f t="shared" si="73"/>
        <v>7430.2999999999993</v>
      </c>
      <c r="L93" s="125">
        <f t="shared" ref="L93:R93" ca="1" si="74">K93-L54-L55</f>
        <v>7191.4623260025646</v>
      </c>
      <c r="M93" s="125">
        <f t="shared" ca="1" si="74"/>
        <v>7016.8530710811265</v>
      </c>
      <c r="N93" s="125">
        <f t="shared" ca="1" si="74"/>
        <v>6704.4884065512269</v>
      </c>
      <c r="O93" s="125">
        <f t="shared" ca="1" si="74"/>
        <v>6269.3875148449788</v>
      </c>
      <c r="P93" s="125">
        <f t="shared" ca="1" si="74"/>
        <v>5741.0021721183475</v>
      </c>
      <c r="Q93" s="125">
        <f t="shared" ca="1" si="74"/>
        <v>5108.7149284596853</v>
      </c>
      <c r="R93" s="125">
        <f t="shared" ca="1" si="74"/>
        <v>4424.7512357731912</v>
      </c>
      <c r="AI93" s="66"/>
      <c r="AJ93" s="66"/>
      <c r="AK93" s="66"/>
      <c r="AL93" s="66"/>
      <c r="AM93" s="66"/>
      <c r="AN93" s="66"/>
      <c r="AO93" s="66"/>
      <c r="AP93" s="66"/>
      <c r="AQ93" s="66"/>
    </row>
    <row r="94" spans="1:43" ht="15.75">
      <c r="B94" s="66" t="s">
        <v>852</v>
      </c>
      <c r="C94" s="112">
        <f t="shared" ref="C94:R94" si="75">C93/C14</f>
        <v>9.471062115751538</v>
      </c>
      <c r="D94" s="112">
        <f t="shared" si="75"/>
        <v>9.8438805011243158</v>
      </c>
      <c r="E94" s="112">
        <f t="shared" si="75"/>
        <v>9.1311802232854866</v>
      </c>
      <c r="F94" s="112">
        <f t="shared" si="75"/>
        <v>8.4873259550160682</v>
      </c>
      <c r="G94" s="112">
        <f t="shared" si="75"/>
        <v>7.467117988394584</v>
      </c>
      <c r="H94" s="112">
        <f t="shared" si="75"/>
        <v>7.0985668547034626</v>
      </c>
      <c r="I94" s="112">
        <f t="shared" si="75"/>
        <v>6.641662290900908</v>
      </c>
      <c r="J94" s="112">
        <f t="shared" si="75"/>
        <v>6.1930750718111947</v>
      </c>
      <c r="K94" s="112">
        <f t="shared" si="75"/>
        <v>7.264665623777864</v>
      </c>
      <c r="L94" s="112">
        <f t="shared" ca="1" si="75"/>
        <v>7.3547487810653882</v>
      </c>
      <c r="M94" s="112">
        <f t="shared" ca="1" si="75"/>
        <v>8.3650777467596118</v>
      </c>
      <c r="N94" s="112">
        <f t="shared" ca="1" si="75"/>
        <v>6.5125663330008567</v>
      </c>
      <c r="O94" s="112">
        <f t="shared" ca="1" si="75"/>
        <v>5.3701688080911998</v>
      </c>
      <c r="P94" s="112">
        <f t="shared" ca="1" si="75"/>
        <v>4.7503055340920142</v>
      </c>
      <c r="Q94" s="112">
        <f t="shared" ca="1" si="75"/>
        <v>4.1040087422501843</v>
      </c>
      <c r="R94" s="112">
        <f t="shared" ca="1" si="75"/>
        <v>3.4848596780187981</v>
      </c>
      <c r="AI94" s="66"/>
      <c r="AJ94" s="66"/>
      <c r="AK94" s="66"/>
      <c r="AL94" s="66"/>
      <c r="AM94" s="66"/>
      <c r="AN94" s="66"/>
      <c r="AO94" s="66"/>
      <c r="AP94" s="66"/>
      <c r="AQ94" s="66"/>
    </row>
    <row r="95" spans="1:43" ht="15.75">
      <c r="B95" s="66"/>
      <c r="C95" s="66"/>
      <c r="D95" s="66"/>
      <c r="E95" s="66"/>
      <c r="F95" s="66"/>
      <c r="G95" s="125"/>
      <c r="H95" s="66"/>
      <c r="I95" s="66"/>
      <c r="J95" s="66"/>
      <c r="K95" s="66"/>
      <c r="L95" s="66"/>
      <c r="M95" s="66"/>
      <c r="N95" s="66"/>
      <c r="O95" s="66"/>
      <c r="P95" s="66"/>
      <c r="Q95" s="66"/>
      <c r="R95" s="66"/>
      <c r="AI95" s="66"/>
      <c r="AJ95" s="66"/>
      <c r="AK95" s="66"/>
      <c r="AL95" s="66"/>
      <c r="AM95" s="66"/>
      <c r="AN95" s="66"/>
      <c r="AO95" s="66"/>
      <c r="AP95" s="66"/>
      <c r="AQ95" s="66"/>
    </row>
    <row r="96" spans="1:43" ht="15.75">
      <c r="B96" s="67" t="s">
        <v>485</v>
      </c>
      <c r="C96" s="67">
        <f t="shared" ref="C96:R96" si="76">C4</f>
        <v>2010</v>
      </c>
      <c r="D96" s="67">
        <f t="shared" si="76"/>
        <v>2011</v>
      </c>
      <c r="E96" s="67">
        <f t="shared" si="76"/>
        <v>2012</v>
      </c>
      <c r="F96" s="67">
        <f t="shared" si="76"/>
        <v>2013</v>
      </c>
      <c r="G96" s="67">
        <f t="shared" si="76"/>
        <v>2014</v>
      </c>
      <c r="H96" s="67">
        <f t="shared" si="76"/>
        <v>2015</v>
      </c>
      <c r="I96" s="67">
        <f t="shared" si="76"/>
        <v>2016</v>
      </c>
      <c r="J96" s="67">
        <f t="shared" si="76"/>
        <v>2017</v>
      </c>
      <c r="K96" s="67">
        <f t="shared" si="76"/>
        <v>2018</v>
      </c>
      <c r="L96" s="67">
        <f t="shared" si="76"/>
        <v>2019</v>
      </c>
      <c r="M96" s="67">
        <f t="shared" si="76"/>
        <v>2020</v>
      </c>
      <c r="N96" s="67">
        <f t="shared" si="76"/>
        <v>2021</v>
      </c>
      <c r="O96" s="67">
        <f t="shared" si="76"/>
        <v>2022</v>
      </c>
      <c r="P96" s="67">
        <f t="shared" si="76"/>
        <v>2023</v>
      </c>
      <c r="Q96" s="67">
        <f t="shared" si="76"/>
        <v>2024</v>
      </c>
      <c r="R96" s="67">
        <f t="shared" si="76"/>
        <v>2025</v>
      </c>
      <c r="AI96" s="66"/>
      <c r="AJ96" s="66"/>
      <c r="AK96" s="66"/>
      <c r="AL96" s="66"/>
      <c r="AM96" s="66"/>
      <c r="AN96" s="66"/>
      <c r="AO96" s="66"/>
      <c r="AP96" s="66"/>
      <c r="AQ96" s="66"/>
    </row>
    <row r="97" spans="2:43" ht="15.75">
      <c r="B97" s="66" t="s">
        <v>469</v>
      </c>
      <c r="C97" s="66"/>
      <c r="D97" s="66"/>
      <c r="E97" s="125">
        <f t="shared" ref="E97:R97" si="77">E52+E43</f>
        <v>844.80000000000007</v>
      </c>
      <c r="F97" s="125">
        <f t="shared" si="77"/>
        <v>1378.3999999999999</v>
      </c>
      <c r="G97" s="125">
        <f t="shared" si="77"/>
        <v>1167.5999999999999</v>
      </c>
      <c r="H97" s="125">
        <f t="shared" si="77"/>
        <v>1259</v>
      </c>
      <c r="I97" s="125">
        <f>I52+I43</f>
        <v>1120</v>
      </c>
      <c r="J97" s="125">
        <f t="shared" si="77"/>
        <v>990.30307145334427</v>
      </c>
      <c r="K97" s="125">
        <f>K52+K43</f>
        <v>821.82917576252669</v>
      </c>
      <c r="L97" s="125">
        <f t="shared" ca="1" si="77"/>
        <v>780.17298562744782</v>
      </c>
      <c r="M97" s="125">
        <f t="shared" ca="1" si="77"/>
        <v>678.6273319068564</v>
      </c>
      <c r="N97" s="125">
        <f t="shared" ca="1" si="77"/>
        <v>788.50412191806163</v>
      </c>
      <c r="O97" s="125">
        <f t="shared" ca="1" si="77"/>
        <v>851.49677131322892</v>
      </c>
      <c r="P97" s="125">
        <f t="shared" ca="1" si="77"/>
        <v>838.96379116144817</v>
      </c>
      <c r="Q97" s="125">
        <f t="shared" ca="1" si="77"/>
        <v>817.12482916155204</v>
      </c>
      <c r="R97" s="125">
        <f t="shared" ca="1" si="77"/>
        <v>812.72002350765865</v>
      </c>
      <c r="AI97" s="66"/>
      <c r="AJ97" s="66"/>
      <c r="AK97" s="66"/>
      <c r="AL97" s="66"/>
      <c r="AM97" s="66"/>
      <c r="AN97" s="66"/>
      <c r="AO97" s="66"/>
      <c r="AP97" s="66"/>
      <c r="AQ97" s="66"/>
    </row>
    <row r="98" spans="2:43" ht="15.75">
      <c r="B98" s="66"/>
      <c r="C98" s="66"/>
      <c r="D98" s="66"/>
      <c r="E98" s="66"/>
      <c r="F98" s="66"/>
      <c r="G98" s="66"/>
      <c r="H98" s="66"/>
      <c r="I98" s="66"/>
      <c r="J98" s="66"/>
      <c r="K98" s="66"/>
      <c r="L98" s="66"/>
      <c r="M98" s="66"/>
      <c r="N98" s="66"/>
      <c r="O98" s="66"/>
      <c r="P98" s="66"/>
      <c r="Q98" s="66"/>
      <c r="R98" s="66"/>
      <c r="AI98" s="66"/>
      <c r="AJ98" s="66"/>
      <c r="AK98" s="66"/>
      <c r="AL98" s="66"/>
      <c r="AM98" s="66"/>
      <c r="AN98" s="66"/>
      <c r="AO98" s="66"/>
      <c r="AP98" s="66"/>
      <c r="AQ98" s="66"/>
    </row>
    <row r="99" spans="2:43" ht="15.75">
      <c r="B99" s="66" t="s">
        <v>457</v>
      </c>
      <c r="C99" s="117">
        <v>7.4999999999999997E-2</v>
      </c>
      <c r="D99" s="66"/>
      <c r="E99" s="66"/>
      <c r="M99" s="66"/>
      <c r="N99" s="66"/>
      <c r="O99" s="66"/>
      <c r="P99" s="66"/>
      <c r="Q99" s="66"/>
      <c r="R99" s="66"/>
      <c r="AI99" s="66"/>
      <c r="AJ99" s="66"/>
      <c r="AK99" s="66"/>
      <c r="AL99" s="66"/>
      <c r="AM99" s="66"/>
      <c r="AN99" s="66"/>
      <c r="AO99" s="66"/>
      <c r="AP99" s="66"/>
      <c r="AQ99" s="66"/>
    </row>
    <row r="100" spans="2:43" ht="15.75">
      <c r="B100" s="66" t="s">
        <v>467</v>
      </c>
      <c r="C100" s="117">
        <v>-0.01</v>
      </c>
      <c r="D100" s="66"/>
      <c r="E100" s="66"/>
      <c r="M100" s="66"/>
      <c r="N100" s="66"/>
      <c r="O100" s="66"/>
      <c r="P100" s="66"/>
      <c r="Q100" s="66"/>
      <c r="R100" s="66"/>
      <c r="AI100" s="66"/>
      <c r="AJ100" s="66"/>
      <c r="AK100" s="66"/>
      <c r="AL100" s="66"/>
      <c r="AM100" s="66"/>
      <c r="AN100" s="66"/>
      <c r="AO100" s="66"/>
      <c r="AP100" s="66"/>
      <c r="AQ100" s="66"/>
    </row>
    <row r="101" spans="2:43" ht="15.75">
      <c r="B101" s="66" t="s">
        <v>543</v>
      </c>
      <c r="C101" s="64">
        <f ca="1">NPV($C$99, N97:R97)</f>
        <v>3323.6235560140863</v>
      </c>
      <c r="D101" s="66"/>
      <c r="E101" s="66"/>
      <c r="M101" s="66"/>
      <c r="N101" s="66"/>
      <c r="O101" s="66"/>
      <c r="P101" s="66"/>
      <c r="Q101" s="66"/>
      <c r="R101" s="66"/>
      <c r="AI101" s="66"/>
      <c r="AJ101" s="66"/>
      <c r="AK101" s="66"/>
      <c r="AL101" s="66"/>
      <c r="AM101" s="66"/>
      <c r="AN101" s="66"/>
      <c r="AO101" s="66"/>
      <c r="AP101" s="66"/>
      <c r="AQ101" s="66"/>
    </row>
    <row r="102" spans="2:43" ht="15.75">
      <c r="B102" s="66"/>
      <c r="C102" s="66"/>
      <c r="D102" s="66"/>
      <c r="E102" s="66"/>
      <c r="M102" s="66"/>
      <c r="N102" s="66"/>
      <c r="O102" s="66"/>
      <c r="P102" s="66"/>
      <c r="Q102" s="66"/>
      <c r="R102" s="66"/>
      <c r="AI102" s="66"/>
      <c r="AJ102" s="66"/>
      <c r="AK102" s="66"/>
      <c r="AL102" s="66"/>
      <c r="AM102" s="66"/>
      <c r="AN102" s="66"/>
      <c r="AO102" s="66"/>
      <c r="AP102" s="66"/>
      <c r="AQ102" s="66"/>
    </row>
    <row r="103" spans="2:43" ht="15.75">
      <c r="B103" s="66" t="s">
        <v>544</v>
      </c>
      <c r="C103" s="112">
        <f>1/(C99-C100)</f>
        <v>11.764705882352942</v>
      </c>
      <c r="D103" s="66"/>
      <c r="E103" s="66"/>
      <c r="M103" s="66"/>
      <c r="N103" s="66"/>
      <c r="O103" s="66"/>
      <c r="P103" s="66"/>
      <c r="Q103" s="66"/>
      <c r="R103" s="66"/>
      <c r="AI103" s="66"/>
      <c r="AJ103" s="66"/>
      <c r="AK103" s="66"/>
      <c r="AL103" s="66"/>
      <c r="AM103" s="66"/>
      <c r="AN103" s="66"/>
      <c r="AO103" s="66"/>
      <c r="AP103" s="66"/>
      <c r="AQ103" s="66"/>
    </row>
    <row r="104" spans="2:43" ht="15.75">
      <c r="B104" s="66" t="s">
        <v>74</v>
      </c>
      <c r="C104" s="64">
        <f ca="1">C103*R97</f>
        <v>9561.4120412665725</v>
      </c>
      <c r="D104" s="66"/>
      <c r="E104" s="66"/>
      <c r="M104" s="66"/>
      <c r="N104" s="66"/>
      <c r="O104" s="66"/>
      <c r="P104" s="66"/>
      <c r="Q104" s="66"/>
      <c r="R104" s="66"/>
      <c r="AI104" s="66"/>
      <c r="AJ104" s="66"/>
      <c r="AK104" s="66"/>
      <c r="AL104" s="66"/>
      <c r="AM104" s="66"/>
      <c r="AN104" s="66"/>
      <c r="AO104" s="66"/>
      <c r="AP104" s="66"/>
      <c r="AQ104" s="66"/>
    </row>
    <row r="105" spans="2:43" ht="15.75">
      <c r="B105" s="66" t="s">
        <v>545</v>
      </c>
      <c r="C105" s="237">
        <f ca="1">C104/(1+$C$99)^5</f>
        <v>6660.0840948005762</v>
      </c>
      <c r="E105" s="66"/>
      <c r="M105" s="66"/>
      <c r="N105" s="66"/>
      <c r="O105" s="66"/>
      <c r="P105" s="66"/>
      <c r="Q105" s="66"/>
      <c r="R105" s="66"/>
      <c r="AI105" s="66"/>
      <c r="AJ105" s="66"/>
      <c r="AK105" s="66"/>
      <c r="AL105" s="66"/>
      <c r="AM105" s="66"/>
      <c r="AN105" s="66"/>
      <c r="AO105" s="66"/>
      <c r="AP105" s="66"/>
      <c r="AQ105" s="66"/>
    </row>
    <row r="106" spans="2:43" ht="15.75">
      <c r="B106" s="67" t="s">
        <v>2070</v>
      </c>
      <c r="C106" s="400">
        <v>0</v>
      </c>
      <c r="E106" s="66"/>
      <c r="M106" s="66"/>
      <c r="N106" s="66"/>
      <c r="O106" s="66"/>
      <c r="P106" s="66"/>
      <c r="Q106" s="66"/>
      <c r="R106" s="66"/>
      <c r="AI106" s="66"/>
      <c r="AJ106" s="66"/>
      <c r="AK106" s="66"/>
      <c r="AL106" s="66"/>
      <c r="AM106" s="66"/>
      <c r="AN106" s="66"/>
      <c r="AO106" s="66"/>
      <c r="AP106" s="66"/>
      <c r="AQ106" s="66"/>
    </row>
    <row r="107" spans="2:43" ht="15.75">
      <c r="B107" s="66" t="s">
        <v>456</v>
      </c>
      <c r="C107" s="64">
        <f ca="1">C101+C105+C106</f>
        <v>9983.707650814662</v>
      </c>
      <c r="D107" s="66"/>
      <c r="E107" s="66"/>
      <c r="M107" s="66"/>
      <c r="N107" s="66"/>
      <c r="O107" s="66"/>
      <c r="P107" s="66"/>
      <c r="Q107" s="66"/>
      <c r="R107" s="66"/>
      <c r="AI107" s="66"/>
      <c r="AJ107" s="66"/>
      <c r="AK107" s="66"/>
      <c r="AL107" s="66"/>
      <c r="AM107" s="66"/>
      <c r="AN107" s="66"/>
      <c r="AO107" s="66"/>
      <c r="AP107" s="66"/>
      <c r="AQ107" s="66"/>
    </row>
    <row r="108" spans="2:43" ht="16.5">
      <c r="B108" s="66" t="s">
        <v>5687</v>
      </c>
      <c r="C108" s="64">
        <f ca="1">N93</f>
        <v>6704.4884065512269</v>
      </c>
      <c r="D108" s="115"/>
      <c r="E108" s="66"/>
      <c r="M108" s="115"/>
      <c r="N108" s="115"/>
      <c r="O108" s="115"/>
      <c r="P108" s="115"/>
      <c r="Q108" s="115"/>
      <c r="R108" s="115"/>
    </row>
    <row r="109" spans="2:43" ht="16.5">
      <c r="B109" s="66" t="s">
        <v>530</v>
      </c>
      <c r="C109" s="64">
        <f ca="1">C107-C108</f>
        <v>3279.219244263435</v>
      </c>
      <c r="D109" s="115"/>
      <c r="E109" s="66"/>
      <c r="M109" s="115"/>
      <c r="N109" s="115"/>
      <c r="O109" s="115"/>
      <c r="P109" s="115"/>
      <c r="Q109" s="115"/>
      <c r="R109" s="115"/>
    </row>
    <row r="110" spans="2:43" ht="16.5">
      <c r="B110" s="66"/>
      <c r="C110" s="64"/>
      <c r="D110" s="115"/>
      <c r="E110" s="234"/>
      <c r="F110" s="253"/>
      <c r="G110" s="253"/>
      <c r="H110" s="253"/>
      <c r="I110" s="182"/>
      <c r="M110" s="115"/>
      <c r="N110" s="115"/>
      <c r="O110" s="115"/>
      <c r="P110" s="115"/>
      <c r="Q110" s="115"/>
      <c r="R110" s="115"/>
    </row>
    <row r="111" spans="2:43" ht="16.5">
      <c r="B111" s="66" t="s">
        <v>2231</v>
      </c>
      <c r="C111" s="82">
        <f ca="1">C107/(AK241+AL241+AM241+AN241)</f>
        <v>10.479382440237917</v>
      </c>
      <c r="D111" s="115"/>
      <c r="E111" s="234"/>
      <c r="F111" s="253"/>
      <c r="G111" s="253"/>
      <c r="H111" s="253"/>
      <c r="I111" s="182"/>
      <c r="M111" s="115"/>
      <c r="N111" s="115"/>
      <c r="O111" s="115"/>
      <c r="P111" s="115"/>
      <c r="Q111" s="115"/>
      <c r="R111" s="115"/>
    </row>
    <row r="112" spans="2:43" ht="16.5">
      <c r="B112" s="66"/>
      <c r="C112" s="64"/>
      <c r="D112" s="115"/>
      <c r="E112" s="234"/>
      <c r="F112" s="253"/>
      <c r="G112" s="253"/>
      <c r="H112" s="253"/>
      <c r="I112" s="182"/>
      <c r="M112" s="115"/>
      <c r="N112" s="115"/>
      <c r="O112" s="115"/>
      <c r="P112" s="115"/>
      <c r="Q112" s="115"/>
      <c r="R112" s="115"/>
    </row>
    <row r="113" spans="2:18" ht="16.5">
      <c r="B113" s="66" t="s">
        <v>2117</v>
      </c>
      <c r="C113" s="64">
        <v>125</v>
      </c>
      <c r="D113" s="115"/>
      <c r="E113" s="234"/>
      <c r="F113" s="253"/>
      <c r="G113" s="253"/>
      <c r="H113" s="253"/>
      <c r="I113" s="182"/>
      <c r="M113" s="115"/>
      <c r="N113" s="115"/>
      <c r="O113" s="115"/>
      <c r="P113" s="115"/>
      <c r="Q113" s="115"/>
      <c r="R113" s="115"/>
    </row>
    <row r="114" spans="2:18" ht="16.5">
      <c r="B114" s="66" t="s">
        <v>2113</v>
      </c>
      <c r="C114" s="230">
        <v>1.4999999999999999E-2</v>
      </c>
      <c r="D114" s="115"/>
      <c r="E114" s="234"/>
      <c r="F114" s="253"/>
      <c r="G114" s="253"/>
      <c r="H114" s="253"/>
      <c r="I114" s="182"/>
      <c r="M114" s="115"/>
      <c r="N114" s="115"/>
      <c r="O114" s="115"/>
      <c r="P114" s="115"/>
      <c r="Q114" s="115"/>
      <c r="R114" s="115"/>
    </row>
    <row r="115" spans="2:18" ht="16.5">
      <c r="B115" s="66" t="s">
        <v>2114</v>
      </c>
      <c r="C115" s="64">
        <f>C113/C114</f>
        <v>8333.3333333333339</v>
      </c>
      <c r="D115" s="115"/>
      <c r="E115" s="234"/>
      <c r="F115" s="253"/>
      <c r="G115" s="253"/>
      <c r="H115" s="253"/>
      <c r="I115" s="182"/>
      <c r="M115" s="115"/>
      <c r="N115" s="115"/>
      <c r="O115" s="115"/>
      <c r="P115" s="115"/>
      <c r="Q115" s="115"/>
      <c r="R115" s="115"/>
    </row>
    <row r="116" spans="2:18" ht="16.5">
      <c r="B116" s="66" t="s">
        <v>2115</v>
      </c>
      <c r="C116" s="64">
        <f ca="1">C108</f>
        <v>6704.4884065512269</v>
      </c>
      <c r="D116" s="115"/>
      <c r="E116" s="234"/>
      <c r="F116" s="253"/>
      <c r="G116" s="253"/>
      <c r="H116" s="253"/>
      <c r="I116" s="182"/>
      <c r="M116" s="115"/>
      <c r="N116" s="115"/>
      <c r="O116" s="115"/>
      <c r="P116" s="115"/>
      <c r="Q116" s="115"/>
      <c r="R116" s="115"/>
    </row>
    <row r="117" spans="2:18" ht="16.5">
      <c r="B117" s="66" t="s">
        <v>456</v>
      </c>
      <c r="C117" s="64">
        <f ca="1">C115+C116</f>
        <v>15037.821739884561</v>
      </c>
      <c r="D117" s="115"/>
      <c r="E117" s="234"/>
      <c r="F117" s="253"/>
      <c r="G117" s="253"/>
      <c r="H117" s="253"/>
      <c r="I117" s="182"/>
      <c r="M117" s="115"/>
      <c r="N117" s="115"/>
      <c r="O117" s="115"/>
      <c r="P117" s="115"/>
      <c r="Q117" s="115"/>
      <c r="R117" s="115"/>
    </row>
    <row r="118" spans="2:18" ht="16.5">
      <c r="B118" s="66" t="s">
        <v>2116</v>
      </c>
      <c r="C118" s="112">
        <f ca="1">C117/H14</f>
        <v>11.46350185995164</v>
      </c>
      <c r="D118" s="115"/>
      <c r="E118" s="234"/>
      <c r="F118" s="253"/>
      <c r="G118" s="253"/>
      <c r="H118" s="253"/>
      <c r="I118" s="182"/>
      <c r="M118" s="115"/>
      <c r="N118" s="115"/>
      <c r="O118" s="115"/>
      <c r="P118" s="115"/>
      <c r="Q118" s="115"/>
      <c r="R118" s="115"/>
    </row>
    <row r="119" spans="2:18" ht="16.5">
      <c r="B119" s="115"/>
      <c r="C119" s="115"/>
      <c r="D119" s="115"/>
      <c r="E119" s="115"/>
      <c r="M119" s="115"/>
      <c r="N119" s="115"/>
      <c r="O119" s="115"/>
      <c r="P119" s="115"/>
      <c r="Q119" s="115"/>
      <c r="R119" s="115"/>
    </row>
    <row r="120" spans="2:18" ht="15.75">
      <c r="B120" s="67" t="s">
        <v>1608</v>
      </c>
      <c r="C120" s="67"/>
      <c r="D120" s="67"/>
      <c r="E120" s="67">
        <f t="shared" ref="E120:R120" si="78">E96</f>
        <v>2012</v>
      </c>
      <c r="F120" s="67">
        <f t="shared" si="78"/>
        <v>2013</v>
      </c>
      <c r="G120" s="67">
        <f t="shared" si="78"/>
        <v>2014</v>
      </c>
      <c r="H120" s="67">
        <f t="shared" si="78"/>
        <v>2015</v>
      </c>
      <c r="I120" s="67">
        <f t="shared" si="78"/>
        <v>2016</v>
      </c>
      <c r="J120" s="67">
        <f t="shared" si="78"/>
        <v>2017</v>
      </c>
      <c r="K120" s="67">
        <f t="shared" si="78"/>
        <v>2018</v>
      </c>
      <c r="L120" s="67">
        <f t="shared" si="78"/>
        <v>2019</v>
      </c>
      <c r="M120" s="67">
        <f t="shared" si="78"/>
        <v>2020</v>
      </c>
      <c r="N120" s="67">
        <f t="shared" si="78"/>
        <v>2021</v>
      </c>
      <c r="O120" s="67">
        <f t="shared" si="78"/>
        <v>2022</v>
      </c>
      <c r="P120" s="67">
        <f t="shared" si="78"/>
        <v>2023</v>
      </c>
      <c r="Q120" s="67">
        <f t="shared" si="78"/>
        <v>2024</v>
      </c>
      <c r="R120" s="67">
        <f t="shared" si="78"/>
        <v>2025</v>
      </c>
    </row>
    <row r="121" spans="2:18" ht="15.75">
      <c r="B121" s="66" t="s">
        <v>469</v>
      </c>
      <c r="C121" s="66"/>
      <c r="D121" s="66"/>
      <c r="E121" s="71">
        <f t="shared" ref="E121:R121" si="79">E97+((E24-E14)*(1-0.35))</f>
        <v>1003.8410272581508</v>
      </c>
      <c r="F121" s="71">
        <f t="shared" si="79"/>
        <v>1552.2901261357563</v>
      </c>
      <c r="G121" s="71">
        <f t="shared" si="79"/>
        <v>1365.0805281934793</v>
      </c>
      <c r="H121" s="71">
        <f t="shared" si="79"/>
        <v>1455.5580788348477</v>
      </c>
      <c r="I121" s="71">
        <f t="shared" si="79"/>
        <v>1323.3014762159273</v>
      </c>
      <c r="J121" s="71">
        <f t="shared" si="79"/>
        <v>1186.8965685137398</v>
      </c>
      <c r="K121" s="71">
        <f t="shared" si="79"/>
        <v>1066.6475363985503</v>
      </c>
      <c r="L121" s="71">
        <f t="shared" ca="1" si="79"/>
        <v>1021.8429341527051</v>
      </c>
      <c r="M121" s="71">
        <f t="shared" ca="1" si="79"/>
        <v>907.93818418068201</v>
      </c>
      <c r="N121" s="71">
        <f t="shared" ca="1" si="79"/>
        <v>1046.4788307261156</v>
      </c>
      <c r="O121" s="71">
        <f t="shared" ca="1" si="79"/>
        <v>1148.167686442491</v>
      </c>
      <c r="P121" s="71">
        <f t="shared" ca="1" si="79"/>
        <v>1150.4682520471733</v>
      </c>
      <c r="Q121" s="71">
        <f t="shared" ca="1" si="79"/>
        <v>1137.974423873849</v>
      </c>
      <c r="R121" s="71">
        <f t="shared" ca="1" si="79"/>
        <v>1139.9866101142015</v>
      </c>
    </row>
    <row r="122" spans="2:18" ht="15.75">
      <c r="B122" s="66" t="s">
        <v>307</v>
      </c>
      <c r="C122" s="64">
        <f ca="1">NPV($C$99, I121:R121)</f>
        <v>7676.1114084200944</v>
      </c>
      <c r="D122" s="66"/>
      <c r="E122" s="71"/>
      <c r="F122" s="71"/>
      <c r="G122" s="71"/>
      <c r="H122" s="71"/>
      <c r="I122" s="71"/>
      <c r="J122" s="71"/>
      <c r="K122" s="71"/>
      <c r="L122" s="71"/>
      <c r="M122" s="71"/>
      <c r="N122" s="71"/>
      <c r="O122" s="71"/>
      <c r="P122" s="71"/>
      <c r="Q122" s="71"/>
      <c r="R122" s="71"/>
    </row>
    <row r="123" spans="2:18" ht="15.75">
      <c r="B123" s="66" t="s">
        <v>74</v>
      </c>
      <c r="C123" s="64">
        <f ca="1">C103*R121</f>
        <v>13411.607177814136</v>
      </c>
      <c r="D123" s="66"/>
      <c r="E123" s="71"/>
      <c r="F123" s="71"/>
      <c r="G123" s="71"/>
      <c r="H123" s="71"/>
      <c r="I123" s="71"/>
      <c r="J123" s="71"/>
      <c r="K123" s="71"/>
      <c r="L123" s="71"/>
      <c r="M123" s="71"/>
      <c r="N123" s="71"/>
      <c r="O123" s="71"/>
      <c r="P123" s="71"/>
      <c r="Q123" s="71"/>
      <c r="R123" s="71"/>
    </row>
    <row r="124" spans="2:18" ht="15.75">
      <c r="B124" s="67" t="s">
        <v>545</v>
      </c>
      <c r="C124" s="110">
        <f ca="1">C123/(1+$C$99)^10</f>
        <v>6507.2303714397576</v>
      </c>
      <c r="D124" s="66"/>
      <c r="E124" s="71"/>
      <c r="F124" s="71"/>
      <c r="G124" s="71"/>
      <c r="H124" s="71"/>
      <c r="I124" s="71"/>
      <c r="J124" s="71"/>
      <c r="K124" s="71"/>
      <c r="L124" s="71"/>
      <c r="M124" s="71"/>
      <c r="N124" s="71"/>
      <c r="O124" s="71"/>
      <c r="P124" s="71"/>
      <c r="Q124" s="71"/>
      <c r="R124" s="71"/>
    </row>
    <row r="125" spans="2:18" ht="16.5">
      <c r="B125" s="66" t="s">
        <v>456</v>
      </c>
      <c r="C125" s="237">
        <f ca="1">C122+C124</f>
        <v>14183.341779859853</v>
      </c>
      <c r="D125" s="115"/>
      <c r="E125" s="115"/>
      <c r="M125" s="115"/>
      <c r="N125" s="115"/>
      <c r="O125" s="115"/>
      <c r="P125" s="115"/>
      <c r="Q125" s="115"/>
      <c r="R125" s="115"/>
    </row>
    <row r="126" spans="2:18" ht="16.5">
      <c r="B126" s="66" t="str">
        <f>B108</f>
        <v>2021e net debt</v>
      </c>
      <c r="C126" s="237">
        <f ca="1">C108</f>
        <v>6704.4884065512269</v>
      </c>
      <c r="D126" s="115"/>
      <c r="E126" s="115"/>
      <c r="M126" s="115"/>
      <c r="N126" s="115"/>
      <c r="O126" s="115"/>
      <c r="P126" s="115"/>
      <c r="Q126" s="115"/>
      <c r="R126" s="115"/>
    </row>
    <row r="127" spans="2:18" ht="16.5">
      <c r="B127" s="66" t="s">
        <v>530</v>
      </c>
      <c r="C127" s="64">
        <f ca="1">C125-C126</f>
        <v>7478.853373308626</v>
      </c>
      <c r="D127" s="236"/>
      <c r="E127" s="115"/>
      <c r="F127" s="115"/>
      <c r="G127" s="115"/>
      <c r="H127" s="115"/>
      <c r="I127" s="115"/>
      <c r="J127" s="115"/>
      <c r="K127" s="115"/>
      <c r="L127" s="115"/>
      <c r="M127" s="115"/>
      <c r="N127" s="115"/>
      <c r="O127" s="115"/>
      <c r="P127" s="115"/>
      <c r="Q127" s="115"/>
      <c r="R127" s="115"/>
    </row>
    <row r="128" spans="2:18" ht="16.5">
      <c r="B128" s="115"/>
      <c r="C128" s="236"/>
      <c r="D128" s="115"/>
      <c r="E128" s="115"/>
      <c r="F128" s="115"/>
      <c r="G128" s="115"/>
      <c r="H128" s="115"/>
      <c r="I128" s="115"/>
      <c r="J128" s="115"/>
      <c r="K128" s="453"/>
      <c r="L128" s="115"/>
      <c r="M128" s="115"/>
      <c r="N128" s="115"/>
      <c r="O128" s="115"/>
      <c r="P128" s="115"/>
      <c r="Q128" s="115"/>
      <c r="R128" s="115"/>
    </row>
    <row r="129" spans="2:18" ht="15.75">
      <c r="B129" s="67" t="s">
        <v>1047</v>
      </c>
      <c r="C129" s="67">
        <f t="shared" ref="C129:R129" si="80">C96</f>
        <v>2010</v>
      </c>
      <c r="D129" s="67">
        <f t="shared" si="80"/>
        <v>2011</v>
      </c>
      <c r="E129" s="67">
        <f t="shared" si="80"/>
        <v>2012</v>
      </c>
      <c r="F129" s="67">
        <f t="shared" si="80"/>
        <v>2013</v>
      </c>
      <c r="G129" s="67">
        <f t="shared" si="80"/>
        <v>2014</v>
      </c>
      <c r="H129" s="67">
        <f t="shared" si="80"/>
        <v>2015</v>
      </c>
      <c r="I129" s="67">
        <f t="shared" si="80"/>
        <v>2016</v>
      </c>
      <c r="J129" s="67">
        <f t="shared" si="80"/>
        <v>2017</v>
      </c>
      <c r="K129" s="67">
        <f t="shared" si="80"/>
        <v>2018</v>
      </c>
      <c r="L129" s="67">
        <f t="shared" si="80"/>
        <v>2019</v>
      </c>
      <c r="M129" s="67">
        <f t="shared" si="80"/>
        <v>2020</v>
      </c>
      <c r="N129" s="67">
        <f t="shared" si="80"/>
        <v>2021</v>
      </c>
      <c r="O129" s="67">
        <f t="shared" si="80"/>
        <v>2022</v>
      </c>
      <c r="P129" s="67">
        <f t="shared" si="80"/>
        <v>2023</v>
      </c>
      <c r="Q129" s="67">
        <f t="shared" si="80"/>
        <v>2024</v>
      </c>
      <c r="R129" s="67">
        <f t="shared" si="80"/>
        <v>2025</v>
      </c>
    </row>
    <row r="130" spans="2:18" ht="15.75">
      <c r="B130" s="66" t="s">
        <v>584</v>
      </c>
      <c r="C130" s="120">
        <v>9.3600000000000003E-2</v>
      </c>
      <c r="D130" s="120">
        <v>0.1191</v>
      </c>
      <c r="E130" s="120">
        <f t="shared" ref="E130:J130" si="81">D130</f>
        <v>0.1191</v>
      </c>
      <c r="F130" s="120">
        <f t="shared" si="81"/>
        <v>0.1191</v>
      </c>
      <c r="G130" s="120">
        <f t="shared" si="81"/>
        <v>0.1191</v>
      </c>
      <c r="H130" s="120">
        <f t="shared" si="81"/>
        <v>0.1191</v>
      </c>
      <c r="I130" s="120">
        <f t="shared" si="81"/>
        <v>0.1191</v>
      </c>
      <c r="J130" s="120">
        <f t="shared" si="81"/>
        <v>0.1191</v>
      </c>
      <c r="K130" s="120">
        <v>0.16220000000000001</v>
      </c>
      <c r="L130" s="120">
        <v>0.16220000000000001</v>
      </c>
      <c r="M130" s="120">
        <v>0.16220000000000001</v>
      </c>
      <c r="N130" s="120">
        <v>0.16220000000000001</v>
      </c>
      <c r="O130" s="120">
        <v>0.16220000000000001</v>
      </c>
      <c r="P130" s="120">
        <v>0.16220000000000001</v>
      </c>
      <c r="Q130" s="120">
        <v>0.16220000000000001</v>
      </c>
      <c r="R130" s="120">
        <v>0.16220000000000001</v>
      </c>
    </row>
    <row r="131" spans="2:18" ht="15.75">
      <c r="B131" s="66"/>
      <c r="C131" s="66"/>
      <c r="D131" s="66"/>
      <c r="E131" s="66"/>
      <c r="F131" s="66"/>
      <c r="G131" s="66"/>
      <c r="H131" s="66"/>
      <c r="I131" s="66"/>
      <c r="J131" s="66"/>
      <c r="K131" s="69"/>
      <c r="L131" s="66"/>
      <c r="M131" s="66"/>
      <c r="N131" s="66"/>
      <c r="O131" s="66"/>
      <c r="P131" s="66"/>
      <c r="Q131" s="66"/>
      <c r="R131" s="66"/>
    </row>
    <row r="132" spans="2:18" ht="16.5">
      <c r="B132" s="66" t="s">
        <v>1552</v>
      </c>
      <c r="C132" s="115"/>
      <c r="D132" s="115"/>
      <c r="E132" s="116">
        <f t="shared" ref="E132:K132" si="82">E133/E130</f>
        <v>0.84127579654561135</v>
      </c>
      <c r="F132" s="116">
        <f t="shared" si="82"/>
        <v>0.85485125021772568</v>
      </c>
      <c r="G132" s="116">
        <f t="shared" si="82"/>
        <v>0.87630836339746521</v>
      </c>
      <c r="H132" s="116">
        <f t="shared" si="82"/>
        <v>0.88826546484497648</v>
      </c>
      <c r="I132" s="116">
        <f t="shared" si="82"/>
        <v>0.86328899429994477</v>
      </c>
      <c r="J132" s="116">
        <f t="shared" si="82"/>
        <v>0.84188950930288053</v>
      </c>
      <c r="K132" s="116">
        <f t="shared" si="82"/>
        <v>0.85566139995552815</v>
      </c>
      <c r="L132" s="242">
        <f t="shared" ref="L132:R132" si="83">K132</f>
        <v>0.85566139995552815</v>
      </c>
      <c r="M132" s="242">
        <f t="shared" si="83"/>
        <v>0.85566139995552815</v>
      </c>
      <c r="N132" s="242">
        <f t="shared" si="83"/>
        <v>0.85566139995552815</v>
      </c>
      <c r="O132" s="242">
        <f t="shared" si="83"/>
        <v>0.85566139995552815</v>
      </c>
      <c r="P132" s="242">
        <f t="shared" si="83"/>
        <v>0.85566139995552815</v>
      </c>
      <c r="Q132" s="242">
        <f t="shared" si="83"/>
        <v>0.85566139995552815</v>
      </c>
      <c r="R132" s="242">
        <f t="shared" si="83"/>
        <v>0.85566139995552815</v>
      </c>
    </row>
    <row r="133" spans="2:18" ht="15.75">
      <c r="B133" s="66" t="s">
        <v>1553</v>
      </c>
      <c r="C133" s="230">
        <f>0.83*C130</f>
        <v>7.7687999999999993E-2</v>
      </c>
      <c r="D133" s="230">
        <f>0.83*D130</f>
        <v>9.8852999999999996E-2</v>
      </c>
      <c r="E133" s="116">
        <f t="shared" ref="E133:K133" si="84">E134/E5</f>
        <v>0.10019594736858231</v>
      </c>
      <c r="F133" s="116">
        <f t="shared" si="84"/>
        <v>0.10181278390093113</v>
      </c>
      <c r="G133" s="116">
        <f t="shared" si="84"/>
        <v>0.1043683260806381</v>
      </c>
      <c r="H133" s="116">
        <f t="shared" si="84"/>
        <v>0.1057924168630367</v>
      </c>
      <c r="I133" s="116">
        <f t="shared" si="84"/>
        <v>0.10281771922112341</v>
      </c>
      <c r="J133" s="116">
        <f t="shared" si="84"/>
        <v>0.10026904055797307</v>
      </c>
      <c r="K133" s="116">
        <f t="shared" si="84"/>
        <v>0.13878827907278668</v>
      </c>
      <c r="L133" s="230">
        <f t="shared" ref="L133:R133" si="85">L130*L132</f>
        <v>0.13878827907278668</v>
      </c>
      <c r="M133" s="230">
        <f t="shared" si="85"/>
        <v>0.13878827907278668</v>
      </c>
      <c r="N133" s="230">
        <f t="shared" si="85"/>
        <v>0.13878827907278668</v>
      </c>
      <c r="O133" s="230">
        <f t="shared" si="85"/>
        <v>0.13878827907278668</v>
      </c>
      <c r="P133" s="230">
        <f t="shared" si="85"/>
        <v>0.13878827907278668</v>
      </c>
      <c r="Q133" s="230">
        <f t="shared" si="85"/>
        <v>0.13878827907278668</v>
      </c>
      <c r="R133" s="230">
        <f t="shared" si="85"/>
        <v>0.13878827907278668</v>
      </c>
    </row>
    <row r="134" spans="2:18" ht="15.75">
      <c r="B134" s="66" t="s">
        <v>625</v>
      </c>
      <c r="C134" s="71">
        <f>C133*C5</f>
        <v>174.42509759999996</v>
      </c>
      <c r="D134" s="71">
        <f>D133*D5</f>
        <v>224.74229549999998</v>
      </c>
      <c r="E134" s="71">
        <f t="shared" ref="E134:K134" si="86">E143-E141</f>
        <v>244.67850347407801</v>
      </c>
      <c r="F134" s="71">
        <f t="shared" si="86"/>
        <v>267.5232709780866</v>
      </c>
      <c r="G134" s="71">
        <f t="shared" si="86"/>
        <v>303.81619722073754</v>
      </c>
      <c r="H134" s="71">
        <f t="shared" si="86"/>
        <v>302.3970443613041</v>
      </c>
      <c r="I134" s="71">
        <f t="shared" si="86"/>
        <v>312.7715018706574</v>
      </c>
      <c r="J134" s="71">
        <f t="shared" si="86"/>
        <v>302.45153393906998</v>
      </c>
      <c r="K134" s="71">
        <f t="shared" si="86"/>
        <v>376.64363174772853</v>
      </c>
      <c r="L134" s="71">
        <f t="shared" ref="L134:R134" si="87">L133*L5</f>
        <v>371.79992080808825</v>
      </c>
      <c r="M134" s="71">
        <f t="shared" si="87"/>
        <v>352.78592657511649</v>
      </c>
      <c r="N134" s="71">
        <f t="shared" si="87"/>
        <v>396.88416739700608</v>
      </c>
      <c r="O134" s="71">
        <f t="shared" si="87"/>
        <v>456.41679250655693</v>
      </c>
      <c r="P134" s="71">
        <f t="shared" si="87"/>
        <v>479.23763213188482</v>
      </c>
      <c r="Q134" s="71">
        <f t="shared" si="87"/>
        <v>493.6147610958414</v>
      </c>
      <c r="R134" s="71">
        <f t="shared" si="87"/>
        <v>503.48705631775823</v>
      </c>
    </row>
    <row r="135" spans="2:18" ht="15.75">
      <c r="B135" s="66"/>
      <c r="C135" s="71"/>
      <c r="D135" s="71"/>
      <c r="E135" s="71"/>
      <c r="F135" s="71"/>
      <c r="G135" s="71"/>
      <c r="H135" s="71"/>
      <c r="I135" s="71"/>
      <c r="J135" s="71"/>
      <c r="K135" s="71"/>
      <c r="L135" s="71"/>
      <c r="M135" s="71"/>
      <c r="N135" s="71"/>
      <c r="O135" s="71"/>
      <c r="P135" s="71"/>
      <c r="Q135" s="71"/>
      <c r="R135" s="71"/>
    </row>
    <row r="136" spans="2:18" ht="15.75">
      <c r="B136" s="66" t="s">
        <v>1612</v>
      </c>
      <c r="C136" s="71">
        <v>1650</v>
      </c>
      <c r="D136" s="71">
        <f t="shared" ref="D136:R136" si="88">D137*D5</f>
        <v>1670.7977017637627</v>
      </c>
      <c r="E136" s="71">
        <f t="shared" si="88"/>
        <v>1794.6285408872261</v>
      </c>
      <c r="F136" s="71">
        <f t="shared" si="88"/>
        <v>1931.0261892036344</v>
      </c>
      <c r="G136" s="71">
        <f t="shared" si="88"/>
        <v>2139.297167290219</v>
      </c>
      <c r="H136" s="71">
        <f t="shared" si="88"/>
        <v>2100.6413682522716</v>
      </c>
      <c r="I136" s="71">
        <f t="shared" si="88"/>
        <v>2235.5692143238912</v>
      </c>
      <c r="J136" s="71">
        <f t="shared" si="88"/>
        <v>2216.7557455905935</v>
      </c>
      <c r="K136" s="71">
        <f t="shared" si="88"/>
        <v>1994.3746659540354</v>
      </c>
      <c r="L136" s="71">
        <f t="shared" si="88"/>
        <v>1968.7266167824694</v>
      </c>
      <c r="M136" s="71">
        <f t="shared" si="88"/>
        <v>1868.045163014431</v>
      </c>
      <c r="N136" s="71">
        <f t="shared" si="88"/>
        <v>2101.550808391235</v>
      </c>
      <c r="O136" s="71">
        <f t="shared" si="88"/>
        <v>2416.78342964992</v>
      </c>
      <c r="P136" s="71">
        <f t="shared" si="88"/>
        <v>2537.6226011324161</v>
      </c>
      <c r="Q136" s="71">
        <f t="shared" si="88"/>
        <v>2613.7512791663889</v>
      </c>
      <c r="R136" s="71">
        <f t="shared" si="88"/>
        <v>2666.0263047497169</v>
      </c>
    </row>
    <row r="137" spans="2:18" ht="15.75">
      <c r="B137" s="66" t="s">
        <v>1613</v>
      </c>
      <c r="C137" s="69">
        <f>C136/C5</f>
        <v>0.7349011223944415</v>
      </c>
      <c r="D137" s="69">
        <f>C137</f>
        <v>0.7349011223944415</v>
      </c>
      <c r="E137" s="69">
        <f t="shared" ref="E137:R137" si="89">D137</f>
        <v>0.7349011223944415</v>
      </c>
      <c r="F137" s="69">
        <f t="shared" si="89"/>
        <v>0.7349011223944415</v>
      </c>
      <c r="G137" s="69">
        <f t="shared" si="89"/>
        <v>0.7349011223944415</v>
      </c>
      <c r="H137" s="69">
        <f t="shared" si="89"/>
        <v>0.7349011223944415</v>
      </c>
      <c r="I137" s="69">
        <f t="shared" si="89"/>
        <v>0.7349011223944415</v>
      </c>
      <c r="J137" s="69">
        <f t="shared" si="89"/>
        <v>0.7349011223944415</v>
      </c>
      <c r="K137" s="69">
        <f t="shared" si="89"/>
        <v>0.7349011223944415</v>
      </c>
      <c r="L137" s="69">
        <f t="shared" si="89"/>
        <v>0.7349011223944415</v>
      </c>
      <c r="M137" s="69">
        <f t="shared" si="89"/>
        <v>0.7349011223944415</v>
      </c>
      <c r="N137" s="69">
        <f t="shared" si="89"/>
        <v>0.7349011223944415</v>
      </c>
      <c r="O137" s="69">
        <f t="shared" si="89"/>
        <v>0.7349011223944415</v>
      </c>
      <c r="P137" s="69">
        <f t="shared" si="89"/>
        <v>0.7349011223944415</v>
      </c>
      <c r="Q137" s="69">
        <f t="shared" si="89"/>
        <v>0.7349011223944415</v>
      </c>
      <c r="R137" s="69">
        <f t="shared" si="89"/>
        <v>0.7349011223944415</v>
      </c>
    </row>
    <row r="138" spans="2:18" ht="15.75">
      <c r="B138" s="66" t="s">
        <v>1614</v>
      </c>
      <c r="C138" s="71">
        <f t="shared" ref="C138:J138" si="90">C136-$C$136</f>
        <v>0</v>
      </c>
      <c r="D138" s="71">
        <f t="shared" si="90"/>
        <v>20.797701763762689</v>
      </c>
      <c r="E138" s="71">
        <f t="shared" si="90"/>
        <v>144.62854088722611</v>
      </c>
      <c r="F138" s="71">
        <f t="shared" si="90"/>
        <v>281.02618920363443</v>
      </c>
      <c r="G138" s="71">
        <f t="shared" si="90"/>
        <v>489.29716729021902</v>
      </c>
      <c r="H138" s="71">
        <f t="shared" si="90"/>
        <v>450.6413682522716</v>
      </c>
      <c r="I138" s="71">
        <f t="shared" si="90"/>
        <v>585.56921432389117</v>
      </c>
      <c r="J138" s="71">
        <f t="shared" si="90"/>
        <v>566.75574559059351</v>
      </c>
      <c r="K138" s="71">
        <f>K136-$C$136</f>
        <v>344.37466595403544</v>
      </c>
      <c r="L138" s="71">
        <f t="shared" ref="L138:R138" si="91">L136-$C$136</f>
        <v>318.72661678246936</v>
      </c>
      <c r="M138" s="71">
        <f t="shared" si="91"/>
        <v>218.04516301443095</v>
      </c>
      <c r="N138" s="71">
        <f t="shared" si="91"/>
        <v>451.55080839123502</v>
      </c>
      <c r="O138" s="71">
        <f t="shared" si="91"/>
        <v>766.78342964991998</v>
      </c>
      <c r="P138" s="71">
        <f t="shared" si="91"/>
        <v>887.62260113241609</v>
      </c>
      <c r="Q138" s="71">
        <f t="shared" si="91"/>
        <v>963.75127916638894</v>
      </c>
      <c r="R138" s="71">
        <f t="shared" si="91"/>
        <v>1016.0263047497169</v>
      </c>
    </row>
    <row r="139" spans="2:18" ht="15.75">
      <c r="B139" s="66"/>
      <c r="C139" s="69"/>
      <c r="D139" s="69"/>
      <c r="E139" s="69"/>
      <c r="F139" s="69"/>
      <c r="G139" s="69"/>
      <c r="H139" s="69"/>
      <c r="I139" s="69"/>
      <c r="J139" s="69"/>
      <c r="K139" s="69"/>
      <c r="L139" s="69"/>
      <c r="M139" s="69"/>
      <c r="N139" s="69"/>
      <c r="O139" s="69"/>
      <c r="P139" s="69"/>
      <c r="Q139" s="69"/>
      <c r="R139" s="69"/>
    </row>
    <row r="140" spans="2:18" ht="15.75">
      <c r="B140" s="66" t="s">
        <v>1611</v>
      </c>
      <c r="C140" s="71"/>
      <c r="D140" s="120">
        <v>2.0199999999999999E-2</v>
      </c>
      <c r="E140" s="238">
        <f t="shared" ref="E140:J140" si="92">D140</f>
        <v>2.0199999999999999E-2</v>
      </c>
      <c r="F140" s="238">
        <f t="shared" si="92"/>
        <v>2.0199999999999999E-2</v>
      </c>
      <c r="G140" s="238">
        <f t="shared" si="92"/>
        <v>2.0199999999999999E-2</v>
      </c>
      <c r="H140" s="238">
        <f t="shared" si="92"/>
        <v>2.0199999999999999E-2</v>
      </c>
      <c r="I140" s="238">
        <f t="shared" si="92"/>
        <v>2.0199999999999999E-2</v>
      </c>
      <c r="J140" s="238">
        <f t="shared" si="92"/>
        <v>2.0199999999999999E-2</v>
      </c>
      <c r="K140" s="238">
        <f>J140</f>
        <v>2.0199999999999999E-2</v>
      </c>
      <c r="L140" s="238">
        <f>K140</f>
        <v>2.0199999999999999E-2</v>
      </c>
      <c r="M140" s="238">
        <f t="shared" ref="M140:R140" si="93">L140</f>
        <v>2.0199999999999999E-2</v>
      </c>
      <c r="N140" s="238">
        <f t="shared" si="93"/>
        <v>2.0199999999999999E-2</v>
      </c>
      <c r="O140" s="238">
        <f t="shared" si="93"/>
        <v>2.0199999999999999E-2</v>
      </c>
      <c r="P140" s="238">
        <f t="shared" si="93"/>
        <v>2.0199999999999999E-2</v>
      </c>
      <c r="Q140" s="238">
        <f t="shared" si="93"/>
        <v>2.0199999999999999E-2</v>
      </c>
      <c r="R140" s="238">
        <f t="shared" si="93"/>
        <v>2.0199999999999999E-2</v>
      </c>
    </row>
    <row r="141" spans="2:18" ht="15.75">
      <c r="B141" s="66" t="s">
        <v>1611</v>
      </c>
      <c r="C141" s="71"/>
      <c r="D141" s="71">
        <f t="shared" ref="D141:J141" si="94">D140*D138</f>
        <v>0.42011357562800627</v>
      </c>
      <c r="E141" s="71">
        <f t="shared" si="94"/>
        <v>2.9214965259219672</v>
      </c>
      <c r="F141" s="71">
        <f t="shared" si="94"/>
        <v>5.676729021913415</v>
      </c>
      <c r="G141" s="71">
        <f t="shared" si="94"/>
        <v>9.8838027792624246</v>
      </c>
      <c r="H141" s="71">
        <f t="shared" si="94"/>
        <v>9.1029556386958852</v>
      </c>
      <c r="I141" s="71">
        <f t="shared" si="94"/>
        <v>11.8284981293426</v>
      </c>
      <c r="J141" s="71">
        <f t="shared" si="94"/>
        <v>11.448466060929988</v>
      </c>
      <c r="K141" s="71">
        <f>K140*K138</f>
        <v>6.9563682522715151</v>
      </c>
      <c r="L141" s="71">
        <f t="shared" ref="L141:R141" si="95">L140*L138</f>
        <v>6.4382776590058812</v>
      </c>
      <c r="M141" s="71">
        <f t="shared" si="95"/>
        <v>4.4045122928915053</v>
      </c>
      <c r="N141" s="71">
        <f t="shared" si="95"/>
        <v>9.1213263295029474</v>
      </c>
      <c r="O141" s="71">
        <f t="shared" si="95"/>
        <v>15.489025278928382</v>
      </c>
      <c r="P141" s="71">
        <f t="shared" si="95"/>
        <v>17.929976542874805</v>
      </c>
      <c r="Q141" s="71">
        <f t="shared" si="95"/>
        <v>19.467775839161057</v>
      </c>
      <c r="R141" s="71">
        <f t="shared" si="95"/>
        <v>20.523731355944282</v>
      </c>
    </row>
    <row r="142" spans="2:18" ht="15.75">
      <c r="B142" s="66"/>
      <c r="C142" s="71"/>
      <c r="D142" s="71"/>
      <c r="E142" s="71"/>
      <c r="F142" s="71"/>
      <c r="G142" s="71"/>
      <c r="H142" s="71"/>
      <c r="I142" s="71"/>
      <c r="J142" s="71"/>
      <c r="K142" s="71"/>
      <c r="L142" s="71"/>
      <c r="M142" s="71"/>
      <c r="N142" s="71"/>
      <c r="O142" s="71"/>
      <c r="P142" s="71"/>
      <c r="Q142" s="71"/>
      <c r="R142" s="71"/>
    </row>
    <row r="143" spans="2:18" ht="15.75">
      <c r="B143" s="138" t="s">
        <v>1615</v>
      </c>
      <c r="C143" s="239">
        <f>C134+C141</f>
        <v>174.42509759999996</v>
      </c>
      <c r="D143" s="239">
        <f>D134+D141</f>
        <v>225.16240907562798</v>
      </c>
      <c r="E143" s="239">
        <f>Content!F58</f>
        <v>247.6</v>
      </c>
      <c r="F143" s="239">
        <f>Content!G58</f>
        <v>273.2</v>
      </c>
      <c r="G143" s="239">
        <f>Content!H58</f>
        <v>313.7</v>
      </c>
      <c r="H143" s="239">
        <f>Content!I58</f>
        <v>311.5</v>
      </c>
      <c r="I143" s="239">
        <f>Content!J58</f>
        <v>324.60000000000002</v>
      </c>
      <c r="J143" s="239">
        <f>Content!K58</f>
        <v>313.89999999999998</v>
      </c>
      <c r="K143" s="239">
        <f>Content!L58</f>
        <v>383.6</v>
      </c>
      <c r="L143" s="239">
        <f t="shared" ref="L143:Q143" si="96">L134+L141</f>
        <v>378.23819846709415</v>
      </c>
      <c r="M143" s="239">
        <f t="shared" si="96"/>
        <v>357.19043886800802</v>
      </c>
      <c r="N143" s="239">
        <f t="shared" si="96"/>
        <v>406.00549372650903</v>
      </c>
      <c r="O143" s="239">
        <f t="shared" si="96"/>
        <v>471.90581778548534</v>
      </c>
      <c r="P143" s="239">
        <f t="shared" si="96"/>
        <v>497.16760867475961</v>
      </c>
      <c r="Q143" s="239">
        <f t="shared" si="96"/>
        <v>513.08253693500251</v>
      </c>
      <c r="R143" s="239">
        <f>R134+R141</f>
        <v>524.01078767370257</v>
      </c>
    </row>
    <row r="144" spans="2:18" ht="15.75">
      <c r="B144" s="66" t="s">
        <v>181</v>
      </c>
      <c r="C144" s="71"/>
      <c r="D144" s="69">
        <f>D143/C143-1</f>
        <v>0.29088309064318985</v>
      </c>
      <c r="E144" s="69">
        <f t="shared" ref="E144:R144" si="97">E143/D143-1</f>
        <v>9.9650696652635373E-2</v>
      </c>
      <c r="F144" s="69">
        <f t="shared" si="97"/>
        <v>0.10339256865912771</v>
      </c>
      <c r="G144" s="69">
        <f t="shared" si="97"/>
        <v>0.14824304538799415</v>
      </c>
      <c r="H144" s="69">
        <f t="shared" si="97"/>
        <v>-7.013069811922179E-3</v>
      </c>
      <c r="I144" s="69">
        <f t="shared" si="97"/>
        <v>4.2054574638844322E-2</v>
      </c>
      <c r="J144" s="69">
        <f>J143/I143-1</f>
        <v>-3.2963647566235488E-2</v>
      </c>
      <c r="K144" s="69">
        <f>K143/J143-1</f>
        <v>0.22204523733673165</v>
      </c>
      <c r="L144" s="69">
        <f t="shared" si="97"/>
        <v>-1.3977584809452215E-2</v>
      </c>
      <c r="M144" s="69">
        <f t="shared" si="97"/>
        <v>-5.5646837586440179E-2</v>
      </c>
      <c r="N144" s="69">
        <f t="shared" si="97"/>
        <v>0.13666394602611276</v>
      </c>
      <c r="O144" s="69">
        <f t="shared" si="97"/>
        <v>0.16231387278559262</v>
      </c>
      <c r="P144" s="69">
        <f t="shared" si="97"/>
        <v>5.3531424994547328E-2</v>
      </c>
      <c r="Q144" s="69">
        <f t="shared" si="97"/>
        <v>3.2011192971049374E-2</v>
      </c>
      <c r="R144" s="69">
        <f t="shared" si="97"/>
        <v>2.1299206174472562E-2</v>
      </c>
    </row>
    <row r="145" spans="2:34" ht="15.75">
      <c r="B145" s="66"/>
      <c r="C145" s="71"/>
      <c r="D145" s="71"/>
      <c r="E145" s="71"/>
      <c r="F145" s="71"/>
      <c r="G145" s="71"/>
      <c r="H145" s="71"/>
      <c r="I145" s="71"/>
      <c r="J145" s="71"/>
      <c r="K145" s="71"/>
      <c r="L145" s="71"/>
      <c r="M145" s="71"/>
      <c r="N145" s="71"/>
      <c r="O145" s="71"/>
      <c r="P145" s="71"/>
      <c r="Q145" s="71"/>
      <c r="R145" s="71"/>
    </row>
    <row r="146" spans="2:34" ht="15.75">
      <c r="B146" s="66" t="s">
        <v>585</v>
      </c>
      <c r="C146" s="71">
        <f>0.72*C134</f>
        <v>125.58607027199997</v>
      </c>
      <c r="D146" s="71">
        <f t="shared" ref="D146:L146" si="98">0.72*D134</f>
        <v>161.81445275999999</v>
      </c>
      <c r="E146" s="71">
        <f>0.72*E134</f>
        <v>176.16852250133616</v>
      </c>
      <c r="F146" s="71">
        <f t="shared" si="98"/>
        <v>192.61675510422234</v>
      </c>
      <c r="G146" s="71">
        <f t="shared" si="98"/>
        <v>218.74766199893102</v>
      </c>
      <c r="H146" s="71">
        <f t="shared" si="98"/>
        <v>217.72587194013894</v>
      </c>
      <c r="I146" s="71">
        <f t="shared" si="98"/>
        <v>225.19548134687332</v>
      </c>
      <c r="J146" s="71">
        <f t="shared" si="98"/>
        <v>217.76510443613037</v>
      </c>
      <c r="K146" s="71">
        <f>0.72*K134</f>
        <v>271.18341485836453</v>
      </c>
      <c r="L146" s="71">
        <f t="shared" si="98"/>
        <v>267.69594298182352</v>
      </c>
      <c r="M146" s="71">
        <f t="shared" ref="M146:R146" si="99">0.72*M134</f>
        <v>254.00586713408387</v>
      </c>
      <c r="N146" s="71">
        <f t="shared" si="99"/>
        <v>285.75660052584436</v>
      </c>
      <c r="O146" s="71">
        <f t="shared" si="99"/>
        <v>328.62009060472099</v>
      </c>
      <c r="P146" s="71">
        <f t="shared" si="99"/>
        <v>345.05109513495705</v>
      </c>
      <c r="Q146" s="71">
        <f t="shared" si="99"/>
        <v>355.40262798900579</v>
      </c>
      <c r="R146" s="71">
        <f t="shared" si="99"/>
        <v>362.5106805487859</v>
      </c>
      <c r="S146" t="s">
        <v>84</v>
      </c>
    </row>
    <row r="147" spans="2:34" ht="16.5">
      <c r="B147" s="66"/>
      <c r="C147" s="115"/>
      <c r="D147" s="115"/>
      <c r="E147" s="115"/>
      <c r="F147" s="115"/>
      <c r="G147" s="115"/>
      <c r="H147" s="115"/>
      <c r="I147" s="115"/>
      <c r="J147" s="115"/>
      <c r="K147" s="220"/>
      <c r="L147" s="115"/>
    </row>
    <row r="148" spans="2:34" ht="16.5">
      <c r="B148" s="66" t="s">
        <v>543</v>
      </c>
      <c r="C148" s="64">
        <f>NPV($C$99, E146:R146)</f>
        <v>2116.0278202967784</v>
      </c>
      <c r="D148" s="115"/>
      <c r="E148" s="115"/>
      <c r="F148" s="115"/>
      <c r="G148" s="115"/>
      <c r="H148" s="115"/>
      <c r="I148" s="115"/>
      <c r="J148" s="115"/>
      <c r="K148" s="115"/>
      <c r="L148" s="115"/>
    </row>
    <row r="149" spans="2:34" ht="16.5">
      <c r="B149" s="66" t="s">
        <v>544</v>
      </c>
      <c r="C149" s="112">
        <f>C103</f>
        <v>11.764705882352942</v>
      </c>
      <c r="D149" s="115"/>
      <c r="E149" s="115"/>
      <c r="F149" s="115"/>
      <c r="G149" s="115"/>
      <c r="H149" s="115"/>
      <c r="I149" s="115"/>
      <c r="J149" s="115"/>
      <c r="K149" s="115"/>
      <c r="L149" s="115"/>
    </row>
    <row r="150" spans="2:34" ht="16.5">
      <c r="B150" s="66" t="s">
        <v>74</v>
      </c>
      <c r="C150" s="64">
        <f>C149*R146</f>
        <v>4264.8315358680693</v>
      </c>
      <c r="D150" s="115"/>
      <c r="E150" s="115"/>
      <c r="F150" s="115"/>
      <c r="G150" s="115"/>
      <c r="H150" s="115"/>
      <c r="I150" s="115"/>
      <c r="J150" s="115"/>
      <c r="K150" s="115"/>
      <c r="L150" s="115"/>
    </row>
    <row r="151" spans="2:34" ht="16.5">
      <c r="B151" s="67" t="s">
        <v>545</v>
      </c>
      <c r="C151" s="110">
        <f>C150/(1+C99)^11</f>
        <v>1924.9026664481823</v>
      </c>
      <c r="D151" s="115"/>
      <c r="E151" s="115"/>
      <c r="F151" s="115"/>
      <c r="G151" s="115"/>
      <c r="H151" s="115"/>
      <c r="I151" s="115"/>
      <c r="J151" s="115"/>
      <c r="K151" s="115"/>
      <c r="L151" s="115"/>
    </row>
    <row r="152" spans="2:34" ht="16.5">
      <c r="B152" s="66" t="s">
        <v>456</v>
      </c>
      <c r="C152" s="64">
        <f>C148+C151</f>
        <v>4040.9304867449609</v>
      </c>
      <c r="D152" s="115"/>
      <c r="E152" s="115"/>
      <c r="F152" s="115"/>
      <c r="G152" s="115"/>
      <c r="H152" s="115"/>
      <c r="I152" s="115"/>
      <c r="J152" s="115"/>
      <c r="K152" s="115"/>
      <c r="L152" s="115"/>
    </row>
    <row r="153" spans="2:34" ht="16.5">
      <c r="B153" s="66"/>
      <c r="C153" s="64"/>
      <c r="D153" s="115"/>
      <c r="E153" s="115"/>
      <c r="F153" s="115"/>
      <c r="G153" s="115"/>
      <c r="H153" s="115"/>
      <c r="I153" s="115"/>
      <c r="J153" s="115"/>
      <c r="K153" s="115"/>
      <c r="L153" s="115"/>
    </row>
    <row r="154" spans="2:34" ht="15.75">
      <c r="B154" s="66" t="s">
        <v>626</v>
      </c>
      <c r="C154" s="64">
        <f>C143*Valuation!F19</f>
        <v>2202.9889826879994</v>
      </c>
      <c r="D154" s="64">
        <f>D143*Valuation!G19</f>
        <v>2801.0203689008117</v>
      </c>
      <c r="E154" s="64">
        <f>E143*Valuation!H19</f>
        <v>3258.4160000000002</v>
      </c>
      <c r="F154" s="64">
        <f>F143*Valuation!I19</f>
        <v>3486.0319999999997</v>
      </c>
      <c r="G154" s="64">
        <f>G143*Valuation!J19</f>
        <v>4175.3469999999998</v>
      </c>
      <c r="H154" s="64">
        <f>H143*Valuation!K19</f>
        <v>4943.5050000000001</v>
      </c>
      <c r="I154" s="64">
        <f>I143*Valuation!L19</f>
        <v>6118.7100000000009</v>
      </c>
      <c r="J154" s="64">
        <f>J143*Valuation!M19</f>
        <v>5932.7099999999991</v>
      </c>
      <c r="K154" s="64">
        <f>K143*Valuation!N19</f>
        <v>7384.3</v>
      </c>
      <c r="L154" s="64">
        <f>L143*Valuation!O19</f>
        <v>7281.085320491562</v>
      </c>
      <c r="M154" s="64">
        <f>M143*Valuation!P19</f>
        <v>7672.4506268848127</v>
      </c>
      <c r="N154" s="64">
        <f>N134*Valuation!Q19</f>
        <v>8051.0021431470504</v>
      </c>
      <c r="O154" s="64">
        <f>O134*Valuation!R19</f>
        <v>9178.5416973068604</v>
      </c>
      <c r="P154" s="64">
        <f>P134*Valuation!S19</f>
        <v>8482.5060887343607</v>
      </c>
      <c r="Q154" s="64">
        <f>Q134*Valuation!T19</f>
        <v>8409.2210700287542</v>
      </c>
      <c r="R154" s="64">
        <f>R134*Valuation!U19</f>
        <v>8695.7249496640034</v>
      </c>
    </row>
    <row r="155" spans="2:34" ht="15.75">
      <c r="B155" s="67" t="s">
        <v>44</v>
      </c>
      <c r="C155" s="110">
        <f>C156-C154</f>
        <v>1906.0110173120006</v>
      </c>
      <c r="D155" s="110">
        <f t="shared" ref="D155:L155" si="100">D156-D154</f>
        <v>2087.679631099189</v>
      </c>
      <c r="E155" s="110">
        <f t="shared" si="100"/>
        <v>2500.4839999999995</v>
      </c>
      <c r="F155" s="110">
        <f t="shared" si="100"/>
        <v>2203.4680000000003</v>
      </c>
      <c r="G155" s="110">
        <f t="shared" si="100"/>
        <v>2372.6530000000002</v>
      </c>
      <c r="H155" s="110">
        <f t="shared" si="100"/>
        <v>2764.3949999999995</v>
      </c>
      <c r="I155" s="110">
        <f t="shared" si="100"/>
        <v>2945.49</v>
      </c>
      <c r="J155" s="110">
        <f t="shared" si="100"/>
        <v>3287.2900000000009</v>
      </c>
      <c r="K155" s="110">
        <f t="shared" si="100"/>
        <v>3136.7</v>
      </c>
      <c r="L155" s="110">
        <f t="shared" si="100"/>
        <v>3154.914679508438</v>
      </c>
      <c r="M155" s="110">
        <f t="shared" ref="M155:R155" si="101">M156-M154</f>
        <v>3124.5493731151873</v>
      </c>
      <c r="N155" s="110">
        <f t="shared" si="101"/>
        <v>3338.0978568529499</v>
      </c>
      <c r="O155" s="110">
        <f t="shared" si="101"/>
        <v>-9178.5416973068604</v>
      </c>
      <c r="P155" s="110">
        <f t="shared" si="101"/>
        <v>-8482.5060887343607</v>
      </c>
      <c r="Q155" s="110">
        <f t="shared" si="101"/>
        <v>-8409.2210700287542</v>
      </c>
      <c r="R155" s="110">
        <f t="shared" si="101"/>
        <v>-8695.7249496640034</v>
      </c>
    </row>
    <row r="156" spans="2:34" ht="15.75">
      <c r="B156" s="66" t="s">
        <v>627</v>
      </c>
      <c r="C156" s="64">
        <f>Master!I45</f>
        <v>4109</v>
      </c>
      <c r="D156" s="64">
        <f>Master!J45</f>
        <v>4888.7000000000007</v>
      </c>
      <c r="E156" s="64">
        <f>Master!K45</f>
        <v>5758.9</v>
      </c>
      <c r="F156" s="64">
        <f>Master!L45</f>
        <v>5689.5</v>
      </c>
      <c r="G156" s="64">
        <f>Master!M45</f>
        <v>6548</v>
      </c>
      <c r="H156" s="64">
        <f>Master!N45</f>
        <v>7707.9</v>
      </c>
      <c r="I156" s="64">
        <f>Master!O45</f>
        <v>9064.2000000000007</v>
      </c>
      <c r="J156" s="64">
        <f>Master!P45</f>
        <v>9220</v>
      </c>
      <c r="K156" s="64">
        <f>Master!Q45</f>
        <v>10521</v>
      </c>
      <c r="L156" s="64">
        <f>Master!R45</f>
        <v>10436</v>
      </c>
      <c r="M156" s="64">
        <f>Master!S45</f>
        <v>10797</v>
      </c>
      <c r="N156" s="64">
        <f>Master!T45</f>
        <v>11389.1</v>
      </c>
      <c r="O156" s="64">
        <f>Master!U45</f>
        <v>0</v>
      </c>
      <c r="P156" s="64">
        <f>Master!V45</f>
        <v>0</v>
      </c>
      <c r="Q156" s="64">
        <f>Master!W45</f>
        <v>0</v>
      </c>
      <c r="R156" s="64">
        <f>Master!X45</f>
        <v>0</v>
      </c>
    </row>
    <row r="157" spans="2:34" ht="15.75">
      <c r="B157" s="66" t="s">
        <v>628</v>
      </c>
      <c r="C157" s="104">
        <f>C154/C156</f>
        <v>0.53613749882891204</v>
      </c>
      <c r="D157" s="104">
        <f t="shared" ref="D157:K157" si="102">D154/D156</f>
        <v>0.5729581215662265</v>
      </c>
      <c r="E157" s="104">
        <f t="shared" si="102"/>
        <v>0.56580527531299385</v>
      </c>
      <c r="F157" s="104">
        <f t="shared" si="102"/>
        <v>0.61271324369452496</v>
      </c>
      <c r="G157" s="104">
        <f t="shared" si="102"/>
        <v>0.63765226023213195</v>
      </c>
      <c r="H157" s="104">
        <f t="shared" si="102"/>
        <v>0.64135562215389408</v>
      </c>
      <c r="I157" s="104">
        <f t="shared" si="102"/>
        <v>0.67504137154961286</v>
      </c>
      <c r="J157" s="104">
        <f t="shared" si="102"/>
        <v>0.64346095444685458</v>
      </c>
      <c r="K157" s="104">
        <f t="shared" si="102"/>
        <v>0.70186294078509648</v>
      </c>
      <c r="L157" s="104"/>
      <c r="M157" s="104"/>
      <c r="N157" s="104"/>
      <c r="O157" s="104"/>
      <c r="P157" s="104"/>
      <c r="Q157" s="104"/>
      <c r="R157" s="104"/>
      <c r="S157" s="104"/>
      <c r="T157" s="104"/>
      <c r="U157" s="104"/>
      <c r="V157" s="104"/>
      <c r="W157" s="104"/>
      <c r="X157" s="104"/>
      <c r="Y157" s="104"/>
      <c r="Z157" s="104"/>
      <c r="AA157" s="104"/>
      <c r="AB157" s="104"/>
      <c r="AC157" s="104"/>
      <c r="AD157" s="104"/>
      <c r="AE157" s="104"/>
      <c r="AF157" s="104"/>
      <c r="AG157" s="104"/>
      <c r="AH157" s="104"/>
    </row>
    <row r="158" spans="2:34" ht="15.75">
      <c r="B158" s="66" t="s">
        <v>629</v>
      </c>
      <c r="D158" s="104">
        <f>D155/C155-1</f>
        <v>9.5313517150279248E-2</v>
      </c>
      <c r="E158" s="104">
        <f t="shared" ref="E158:K158" si="103">E155/D155-1</f>
        <v>0.19773358074268499</v>
      </c>
      <c r="F158" s="104">
        <f t="shared" si="103"/>
        <v>-0.1187834035330757</v>
      </c>
      <c r="G158" s="104">
        <f t="shared" si="103"/>
        <v>7.6781237576402317E-2</v>
      </c>
      <c r="H158" s="104">
        <f t="shared" si="103"/>
        <v>0.16510716063410835</v>
      </c>
      <c r="I158" s="104">
        <f t="shared" si="103"/>
        <v>6.5509813177928811E-2</v>
      </c>
      <c r="J158" s="104">
        <f t="shared" si="103"/>
        <v>0.11604181307694184</v>
      </c>
      <c r="K158" s="104">
        <f t="shared" si="103"/>
        <v>-4.5809770357954749E-2</v>
      </c>
    </row>
    <row r="160" spans="2:34" ht="15.75">
      <c r="B160" s="66" t="s">
        <v>630</v>
      </c>
      <c r="K160">
        <f>(K130-J130)*K5</f>
        <v>116.96478000000005</v>
      </c>
    </row>
    <row r="161" spans="2:11" ht="15.75">
      <c r="B161" s="66" t="s">
        <v>588</v>
      </c>
      <c r="K161">
        <f>Master!Q47/Valuation!N19</f>
        <v>2039.012987012987</v>
      </c>
    </row>
    <row r="162" spans="2:11" ht="15.75">
      <c r="B162" s="66" t="s">
        <v>631</v>
      </c>
      <c r="K162">
        <f>K160/K161</f>
        <v>5.7363430613232812E-2</v>
      </c>
    </row>
    <row r="164" spans="2:11" ht="15.75">
      <c r="B164" s="66"/>
      <c r="C164" s="66"/>
      <c r="D164" s="66"/>
      <c r="E164" s="66"/>
      <c r="F164" s="67" t="s">
        <v>916</v>
      </c>
      <c r="G164" s="67">
        <v>2013</v>
      </c>
      <c r="H164" s="67">
        <v>2014</v>
      </c>
    </row>
    <row r="165" spans="2:11" ht="15.75">
      <c r="B165" s="66"/>
      <c r="C165" s="66"/>
      <c r="D165" s="66"/>
      <c r="E165" s="66"/>
      <c r="F165" s="66" t="s">
        <v>653</v>
      </c>
      <c r="G165" s="125">
        <f>F5</f>
        <v>2627.6</v>
      </c>
      <c r="H165" s="125">
        <f>G5</f>
        <v>2911</v>
      </c>
    </row>
    <row r="166" spans="2:11" ht="15.75">
      <c r="B166" s="66"/>
      <c r="C166" s="66"/>
      <c r="D166" s="66"/>
      <c r="E166" s="66"/>
      <c r="F166" s="66" t="s">
        <v>181</v>
      </c>
      <c r="G166" s="116">
        <f>G165/E5-1</f>
        <v>7.6003276003276055E-2</v>
      </c>
      <c r="H166" s="116">
        <f>H165/G165-1</f>
        <v>0.10785507687623697</v>
      </c>
    </row>
    <row r="167" spans="2:11" ht="15.75">
      <c r="B167" s="66" t="s">
        <v>1382</v>
      </c>
      <c r="C167" s="112">
        <v>13</v>
      </c>
      <c r="D167" s="66"/>
      <c r="E167" s="66"/>
      <c r="F167" s="66"/>
      <c r="G167" s="66"/>
      <c r="H167" s="66"/>
    </row>
    <row r="168" spans="2:11" ht="15.75">
      <c r="B168" s="66" t="s">
        <v>1383</v>
      </c>
      <c r="C168" s="125">
        <f>H168</f>
        <v>1240.8</v>
      </c>
      <c r="D168" s="66"/>
      <c r="E168" s="66"/>
      <c r="F168" s="66" t="s">
        <v>57</v>
      </c>
      <c r="G168" s="125">
        <f>F14</f>
        <v>1120.3999999999999</v>
      </c>
      <c r="H168" s="125">
        <f>G14</f>
        <v>1240.8</v>
      </c>
    </row>
    <row r="169" spans="2:11" ht="15.75">
      <c r="B169" s="66" t="s">
        <v>456</v>
      </c>
      <c r="C169" s="125">
        <f>C167*C168</f>
        <v>16130.4</v>
      </c>
      <c r="D169" s="66"/>
      <c r="E169" s="66"/>
      <c r="F169" s="66" t="s">
        <v>158</v>
      </c>
      <c r="G169" s="116">
        <f>G168/G165</f>
        <v>0.42639671182828431</v>
      </c>
      <c r="H169" s="116">
        <f>H168/H165</f>
        <v>0.4262452765372724</v>
      </c>
    </row>
    <row r="170" spans="2:11" ht="15.75">
      <c r="B170" s="66" t="s">
        <v>1334</v>
      </c>
      <c r="C170" s="125">
        <f>H176</f>
        <v>9265.1999999999989</v>
      </c>
      <c r="D170" s="66"/>
      <c r="E170" s="66"/>
    </row>
    <row r="171" spans="2:11" ht="15.75">
      <c r="B171" s="66" t="s">
        <v>530</v>
      </c>
      <c r="C171" s="125">
        <f>C169-C170</f>
        <v>6865.2000000000007</v>
      </c>
      <c r="D171" s="66"/>
      <c r="E171" s="66"/>
      <c r="F171" s="66" t="s">
        <v>201</v>
      </c>
      <c r="G171" s="125">
        <f>F49</f>
        <v>179.2</v>
      </c>
      <c r="H171" s="125">
        <f>G49</f>
        <v>133.4</v>
      </c>
    </row>
    <row r="172" spans="2:11" ht="15.75">
      <c r="F172" s="66" t="s">
        <v>202</v>
      </c>
      <c r="G172" s="116">
        <f>G171/G165</f>
        <v>6.8199117065002285E-2</v>
      </c>
      <c r="H172" s="116">
        <f>H171/H165</f>
        <v>4.5826176571624876E-2</v>
      </c>
    </row>
    <row r="173" spans="2:11" ht="16.5">
      <c r="B173" s="219" t="s">
        <v>1380</v>
      </c>
      <c r="C173" s="125">
        <f>0.37*C171</f>
        <v>2540.1240000000003</v>
      </c>
      <c r="D173" s="115"/>
      <c r="E173" s="115"/>
    </row>
    <row r="174" spans="2:11" ht="16.5">
      <c r="B174" s="66" t="s">
        <v>1381</v>
      </c>
      <c r="C174" s="125">
        <f ca="1">SOP!G11+SOP!G12</f>
        <v>1180.5189279348367</v>
      </c>
      <c r="D174" s="115"/>
      <c r="E174" s="115"/>
      <c r="F174" s="66" t="s">
        <v>372</v>
      </c>
      <c r="G174" s="125">
        <f>G168-G171+F35+F43</f>
        <v>774.99999999999977</v>
      </c>
      <c r="H174" s="125">
        <f>H168-H171+G35+G43</f>
        <v>595.09999999999991</v>
      </c>
    </row>
    <row r="175" spans="2:11" ht="16.5">
      <c r="B175" s="66" t="s">
        <v>483</v>
      </c>
      <c r="C175" s="125">
        <f ca="1">C173-C174</f>
        <v>1359.6050720651635</v>
      </c>
      <c r="D175" s="115"/>
      <c r="E175" s="115"/>
      <c r="F175" s="67" t="s">
        <v>1333</v>
      </c>
      <c r="G175" s="154">
        <f>-(G176-E93)-G174</f>
        <v>-1123.799999999999</v>
      </c>
      <c r="H175" s="154">
        <f>-(H176-F93)-H174</f>
        <v>-351.09999999999809</v>
      </c>
    </row>
    <row r="176" spans="2:11" ht="16.5">
      <c r="B176" s="66" t="s">
        <v>1335</v>
      </c>
      <c r="C176" s="156">
        <f ca="1">C175/SOP!G29</f>
        <v>2.3711984653630847</v>
      </c>
      <c r="D176" s="115"/>
      <c r="E176" s="115"/>
      <c r="F176" s="66" t="s">
        <v>224</v>
      </c>
      <c r="G176" s="125">
        <f>F93</f>
        <v>9509.2000000000007</v>
      </c>
      <c r="H176" s="125">
        <f>G93</f>
        <v>9265.1999999999989</v>
      </c>
    </row>
    <row r="178" spans="2:5" ht="15.75">
      <c r="B178" s="74" t="s">
        <v>1592</v>
      </c>
    </row>
    <row r="180" spans="2:5">
      <c r="B180" s="42" t="s">
        <v>1593</v>
      </c>
    </row>
    <row r="181" spans="2:5">
      <c r="B181" s="42"/>
    </row>
    <row r="182" spans="2:5" ht="15.75">
      <c r="B182" s="66" t="s">
        <v>1594</v>
      </c>
      <c r="C182" s="125">
        <f>R24-R14</f>
        <v>503.48705631775829</v>
      </c>
    </row>
    <row r="183" spans="2:5" ht="15.75">
      <c r="B183" s="66" t="s">
        <v>1595</v>
      </c>
      <c r="C183" s="69">
        <v>0.28000000000000003</v>
      </c>
    </row>
    <row r="184" spans="2:5" ht="15.75">
      <c r="B184" s="66" t="s">
        <v>1596</v>
      </c>
      <c r="C184" s="125">
        <f>(1-C183)*C182</f>
        <v>362.51068054878596</v>
      </c>
    </row>
    <row r="185" spans="2:5" ht="15.75">
      <c r="B185" s="66" t="s">
        <v>74</v>
      </c>
      <c r="C185" s="125">
        <f>C103*C184</f>
        <v>4264.8315358680702</v>
      </c>
    </row>
    <row r="186" spans="2:5" ht="15.75">
      <c r="B186" s="66" t="s">
        <v>468</v>
      </c>
      <c r="C186" s="125">
        <f>C185/(1+C99)^11</f>
        <v>1924.9026664481828</v>
      </c>
    </row>
    <row r="187" spans="2:5" ht="15.75">
      <c r="B187" s="66"/>
      <c r="C187" s="125"/>
    </row>
    <row r="188" spans="2:5" ht="15.75">
      <c r="B188" s="66" t="s">
        <v>1590</v>
      </c>
      <c r="C188" s="69">
        <v>0.37</v>
      </c>
    </row>
    <row r="189" spans="2:5" ht="15.75">
      <c r="B189" s="66" t="s">
        <v>1591</v>
      </c>
      <c r="C189" s="125">
        <f>C186*C188</f>
        <v>712.21398658582768</v>
      </c>
      <c r="E189" t="s">
        <v>84</v>
      </c>
    </row>
    <row r="191" spans="2:5">
      <c r="B191" t="s">
        <v>1605</v>
      </c>
      <c r="C191">
        <v>421</v>
      </c>
    </row>
    <row r="192" spans="2:5">
      <c r="B192" t="s">
        <v>1604</v>
      </c>
      <c r="C192">
        <v>430</v>
      </c>
    </row>
    <row r="193" spans="2:3">
      <c r="B193" t="s">
        <v>1603</v>
      </c>
      <c r="C193">
        <v>473</v>
      </c>
    </row>
    <row r="194" spans="2:3">
      <c r="B194" t="s">
        <v>1602</v>
      </c>
      <c r="C194">
        <v>515</v>
      </c>
    </row>
    <row r="195" spans="2:3">
      <c r="B195" t="s">
        <v>1601</v>
      </c>
      <c r="C195">
        <v>542</v>
      </c>
    </row>
    <row r="196" spans="2:3">
      <c r="B196" t="s">
        <v>417</v>
      </c>
      <c r="C196">
        <v>797</v>
      </c>
    </row>
    <row r="197" spans="2:3">
      <c r="B197" t="s">
        <v>1600</v>
      </c>
      <c r="C197">
        <v>1027</v>
      </c>
    </row>
    <row r="198" spans="2:3">
      <c r="B198" t="s">
        <v>1599</v>
      </c>
      <c r="C198">
        <v>1051</v>
      </c>
    </row>
    <row r="199" spans="2:3">
      <c r="B199" t="s">
        <v>1598</v>
      </c>
      <c r="C199">
        <v>1144</v>
      </c>
    </row>
    <row r="200" spans="2:3">
      <c r="B200" t="s">
        <v>1597</v>
      </c>
      <c r="C200">
        <v>1267</v>
      </c>
    </row>
    <row r="209" spans="2:82" ht="15.75">
      <c r="B209" s="402" t="s">
        <v>2111</v>
      </c>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row>
    <row r="210" spans="2:82" ht="15.75">
      <c r="B210" s="66"/>
      <c r="C210" s="66"/>
      <c r="D210" s="66"/>
      <c r="E210" s="66"/>
      <c r="F210" s="66"/>
      <c r="G210" s="66"/>
      <c r="H210" s="66"/>
      <c r="I210" s="66"/>
      <c r="J210" s="66"/>
      <c r="K210" s="66"/>
      <c r="L210" s="66"/>
      <c r="O210" s="66"/>
      <c r="P210" s="66"/>
      <c r="AR210" s="66"/>
      <c r="AS210" s="111" t="s">
        <v>564</v>
      </c>
      <c r="AT210" s="111" t="s">
        <v>564</v>
      </c>
      <c r="AU210" s="111" t="s">
        <v>564</v>
      </c>
      <c r="AV210" s="111" t="s">
        <v>564</v>
      </c>
      <c r="AW210" s="111" t="s">
        <v>564</v>
      </c>
      <c r="AX210" s="111" t="s">
        <v>564</v>
      </c>
      <c r="AY210" s="111" t="s">
        <v>564</v>
      </c>
      <c r="AZ210" s="111" t="s">
        <v>564</v>
      </c>
      <c r="BA210" s="111" t="s">
        <v>564</v>
      </c>
      <c r="BB210" s="111" t="s">
        <v>564</v>
      </c>
      <c r="BC210" s="111" t="s">
        <v>564</v>
      </c>
      <c r="BD210" s="111" t="s">
        <v>564</v>
      </c>
      <c r="BE210" s="111" t="s">
        <v>564</v>
      </c>
      <c r="BF210" s="111" t="s">
        <v>564</v>
      </c>
      <c r="BG210" s="111" t="s">
        <v>564</v>
      </c>
      <c r="BH210" s="111" t="s">
        <v>564</v>
      </c>
      <c r="BI210" s="111" t="s">
        <v>564</v>
      </c>
      <c r="BJ210" s="111" t="s">
        <v>564</v>
      </c>
      <c r="BK210" s="111" t="s">
        <v>564</v>
      </c>
      <c r="BL210" s="111" t="s">
        <v>564</v>
      </c>
      <c r="BM210" s="111" t="s">
        <v>564</v>
      </c>
      <c r="BN210" s="111" t="s">
        <v>564</v>
      </c>
      <c r="BO210" s="111" t="s">
        <v>564</v>
      </c>
      <c r="BP210" s="111" t="s">
        <v>564</v>
      </c>
      <c r="BQ210" s="111" t="s">
        <v>564</v>
      </c>
      <c r="BR210" s="111" t="s">
        <v>564</v>
      </c>
      <c r="BS210" s="111" t="s">
        <v>564</v>
      </c>
      <c r="BT210" s="111" t="s">
        <v>564</v>
      </c>
      <c r="BU210" s="111" t="s">
        <v>564</v>
      </c>
      <c r="BV210" s="111" t="s">
        <v>564</v>
      </c>
      <c r="BW210" s="111" t="s">
        <v>564</v>
      </c>
      <c r="BX210" s="111" t="s">
        <v>564</v>
      </c>
      <c r="BY210" s="111" t="s">
        <v>564</v>
      </c>
      <c r="BZ210" s="111" t="s">
        <v>564</v>
      </c>
      <c r="CA210" s="111" t="s">
        <v>564</v>
      </c>
      <c r="CB210" s="111" t="s">
        <v>564</v>
      </c>
    </row>
    <row r="211" spans="2:82" ht="15.75">
      <c r="B211" s="67" t="s">
        <v>574</v>
      </c>
      <c r="C211" s="68" t="s">
        <v>573</v>
      </c>
      <c r="D211" s="68" t="s">
        <v>572</v>
      </c>
      <c r="E211" s="68" t="s">
        <v>571</v>
      </c>
      <c r="F211" s="68" t="s">
        <v>568</v>
      </c>
      <c r="G211" s="68" t="s">
        <v>557</v>
      </c>
      <c r="H211" s="68" t="s">
        <v>556</v>
      </c>
      <c r="I211" s="68" t="s">
        <v>558</v>
      </c>
      <c r="J211" s="68" t="s">
        <v>559</v>
      </c>
      <c r="K211" s="68" t="s">
        <v>555</v>
      </c>
      <c r="L211" s="68" t="s">
        <v>554</v>
      </c>
      <c r="M211" s="68" t="s">
        <v>1101</v>
      </c>
      <c r="N211" s="68" t="s">
        <v>1196</v>
      </c>
      <c r="O211" s="68" t="s">
        <v>1243</v>
      </c>
      <c r="P211" s="68" t="s">
        <v>1249</v>
      </c>
      <c r="Q211" s="68" t="s">
        <v>1331</v>
      </c>
      <c r="R211" s="68" t="s">
        <v>1332</v>
      </c>
      <c r="S211" s="68" t="s">
        <v>1619</v>
      </c>
      <c r="T211" s="68" t="s">
        <v>1719</v>
      </c>
      <c r="U211" s="68" t="s">
        <v>1823</v>
      </c>
      <c r="V211" s="68" t="s">
        <v>2007</v>
      </c>
      <c r="W211" s="68" t="s">
        <v>2118</v>
      </c>
      <c r="X211" s="68" t="s">
        <v>2143</v>
      </c>
      <c r="Y211" s="68" t="s">
        <v>2232</v>
      </c>
      <c r="Z211" s="68" t="s">
        <v>2378</v>
      </c>
      <c r="AA211" s="68" t="s">
        <v>2515</v>
      </c>
      <c r="AB211" s="68" t="s">
        <v>2596</v>
      </c>
      <c r="AC211" s="68" t="s">
        <v>2759</v>
      </c>
      <c r="AD211" s="68" t="s">
        <v>3096</v>
      </c>
      <c r="AE211" s="68" t="s">
        <v>3256</v>
      </c>
      <c r="AF211" s="68" t="s">
        <v>3257</v>
      </c>
      <c r="AG211" s="68" t="s">
        <v>3258</v>
      </c>
      <c r="AH211" s="68" t="s">
        <v>3259</v>
      </c>
      <c r="AI211" s="68" t="s">
        <v>3805</v>
      </c>
      <c r="AJ211" s="68" t="s">
        <v>3806</v>
      </c>
      <c r="AK211" s="68" t="s">
        <v>3807</v>
      </c>
      <c r="AL211" s="68" t="s">
        <v>3808</v>
      </c>
      <c r="AM211" s="68" t="s">
        <v>4551</v>
      </c>
      <c r="AN211" s="68" t="s">
        <v>4594</v>
      </c>
      <c r="AO211" s="68" t="s">
        <v>4595</v>
      </c>
      <c r="AP211" s="68" t="s">
        <v>4606</v>
      </c>
      <c r="AR211" s="67" t="s">
        <v>1379</v>
      </c>
      <c r="AS211" s="68" t="str">
        <f t="shared" ref="AS211:BY211" si="104">G211</f>
        <v>Q1 11</v>
      </c>
      <c r="AT211" s="68" t="str">
        <f t="shared" si="104"/>
        <v>Q2 11</v>
      </c>
      <c r="AU211" s="68" t="str">
        <f t="shared" si="104"/>
        <v>Q3 11</v>
      </c>
      <c r="AV211" s="68" t="str">
        <f t="shared" si="104"/>
        <v>Q4 11</v>
      </c>
      <c r="AW211" s="68" t="str">
        <f t="shared" si="104"/>
        <v>Q1 12</v>
      </c>
      <c r="AX211" s="68" t="str">
        <f t="shared" si="104"/>
        <v>Q2 12</v>
      </c>
      <c r="AY211" s="68" t="str">
        <f t="shared" si="104"/>
        <v>Q3 12</v>
      </c>
      <c r="AZ211" s="68" t="str">
        <f t="shared" si="104"/>
        <v>Q4 12</v>
      </c>
      <c r="BA211" s="68" t="str">
        <f t="shared" si="104"/>
        <v>Q1 13</v>
      </c>
      <c r="BB211" s="68" t="str">
        <f t="shared" si="104"/>
        <v>Q2 13</v>
      </c>
      <c r="BC211" s="68" t="str">
        <f t="shared" si="104"/>
        <v>Q3 13</v>
      </c>
      <c r="BD211" s="68" t="str">
        <f t="shared" si="104"/>
        <v>Q4 13</v>
      </c>
      <c r="BE211" s="68" t="str">
        <f t="shared" si="104"/>
        <v>Q1 14</v>
      </c>
      <c r="BF211" s="68" t="str">
        <f t="shared" si="104"/>
        <v>Q2 14</v>
      </c>
      <c r="BG211" s="68" t="str">
        <f t="shared" si="104"/>
        <v>Q3 14</v>
      </c>
      <c r="BH211" s="68" t="str">
        <f t="shared" si="104"/>
        <v>Q4 14</v>
      </c>
      <c r="BI211" s="68" t="str">
        <f t="shared" si="104"/>
        <v>Q1 15</v>
      </c>
      <c r="BJ211" s="68" t="str">
        <f t="shared" si="104"/>
        <v>Q2 15</v>
      </c>
      <c r="BK211" s="68" t="str">
        <f t="shared" si="104"/>
        <v>Q3 15</v>
      </c>
      <c r="BL211" s="68" t="str">
        <f t="shared" si="104"/>
        <v>Q4 15</v>
      </c>
      <c r="BM211" s="68" t="str">
        <f t="shared" si="104"/>
        <v>Q1 16</v>
      </c>
      <c r="BN211" s="68" t="str">
        <f t="shared" si="104"/>
        <v>Q2 16</v>
      </c>
      <c r="BO211" s="68" t="str">
        <f t="shared" si="104"/>
        <v>Q3 16</v>
      </c>
      <c r="BP211" s="68" t="str">
        <f t="shared" si="104"/>
        <v>Q4 16</v>
      </c>
      <c r="BQ211" s="68" t="str">
        <f t="shared" si="104"/>
        <v>Q1 17</v>
      </c>
      <c r="BR211" s="68" t="str">
        <f t="shared" si="104"/>
        <v>Q2 17</v>
      </c>
      <c r="BS211" s="68" t="str">
        <f t="shared" si="104"/>
        <v>Q3 17</v>
      </c>
      <c r="BT211" s="68" t="str">
        <f t="shared" si="104"/>
        <v>Q4 17</v>
      </c>
      <c r="BU211" s="68" t="str">
        <f t="shared" si="104"/>
        <v>Q1 18</v>
      </c>
      <c r="BV211" s="68" t="str">
        <f t="shared" si="104"/>
        <v>Q2 18</v>
      </c>
      <c r="BW211" s="68" t="str">
        <f t="shared" si="104"/>
        <v>Q3 18</v>
      </c>
      <c r="BX211" s="68" t="str">
        <f t="shared" si="104"/>
        <v>Q4 18</v>
      </c>
      <c r="BY211" s="68" t="str">
        <f t="shared" si="104"/>
        <v>Q1 19</v>
      </c>
      <c r="BZ211" s="68" t="str">
        <f>AN211</f>
        <v>Q2 19</v>
      </c>
      <c r="CA211" s="68" t="str">
        <f>AO211</f>
        <v>Q3 19</v>
      </c>
      <c r="CB211" s="68" t="str">
        <f>AP211</f>
        <v>Q4 19e</v>
      </c>
    </row>
    <row r="212" spans="2:82" ht="15.75">
      <c r="B212" s="66" t="s">
        <v>74</v>
      </c>
      <c r="C212" s="66">
        <v>380.1</v>
      </c>
      <c r="D212" s="66">
        <v>530.1</v>
      </c>
      <c r="E212" s="66">
        <v>472.8</v>
      </c>
      <c r="F212" s="66">
        <v>476</v>
      </c>
      <c r="G212" s="66">
        <v>407.1</v>
      </c>
      <c r="H212" s="66">
        <v>485.3</v>
      </c>
      <c r="I212" s="66">
        <v>480.9</v>
      </c>
      <c r="J212" s="66">
        <v>516.79999999999995</v>
      </c>
      <c r="K212" s="66">
        <v>449.5</v>
      </c>
      <c r="L212" s="66">
        <v>508.1</v>
      </c>
      <c r="M212" s="66">
        <v>509.2</v>
      </c>
      <c r="N212" s="66">
        <v>543</v>
      </c>
      <c r="O212" s="66">
        <v>478.7</v>
      </c>
      <c r="P212" s="66">
        <v>565.79999999999995</v>
      </c>
      <c r="Q212" s="66">
        <v>580.6</v>
      </c>
      <c r="R212" s="66">
        <v>594.79999999999995</v>
      </c>
      <c r="S212" s="66">
        <v>526.79999999999995</v>
      </c>
      <c r="T212" s="66">
        <v>713.9</v>
      </c>
      <c r="U212" s="66">
        <v>613.9</v>
      </c>
      <c r="V212" s="66">
        <v>600</v>
      </c>
      <c r="W212" s="66">
        <f>560.9-W214</f>
        <v>525.9</v>
      </c>
      <c r="X212" s="66">
        <v>623.79999999999995</v>
      </c>
      <c r="Y212" s="66">
        <v>727.4</v>
      </c>
      <c r="Z212" s="112">
        <v>663.8</v>
      </c>
      <c r="AA212" s="112"/>
      <c r="AB212" s="112"/>
      <c r="AC212" s="112"/>
      <c r="AD212" s="112"/>
      <c r="AE212" s="112"/>
      <c r="AF212" s="112"/>
      <c r="AG212" s="112"/>
      <c r="AH212" s="66"/>
      <c r="AI212" s="66"/>
      <c r="AJ212" s="66"/>
      <c r="AK212" s="66"/>
      <c r="AL212" s="66"/>
      <c r="AM212" s="66"/>
      <c r="AN212" s="66"/>
      <c r="AO212" s="66"/>
      <c r="AP212" s="66"/>
      <c r="AR212" s="66" t="str">
        <f>B212</f>
        <v>TV</v>
      </c>
      <c r="AS212" s="69">
        <f t="shared" ref="AS212:BB215" si="105">G212/C212-1</f>
        <v>7.1033938437253363E-2</v>
      </c>
      <c r="AT212" s="69">
        <f t="shared" si="105"/>
        <v>-8.4512356159215263E-2</v>
      </c>
      <c r="AU212" s="69">
        <f t="shared" si="105"/>
        <v>1.7131979695431454E-2</v>
      </c>
      <c r="AV212" s="69">
        <f t="shared" si="105"/>
        <v>8.5714285714285632E-2</v>
      </c>
      <c r="AW212" s="69">
        <f t="shared" si="105"/>
        <v>0.10415131417342161</v>
      </c>
      <c r="AX212" s="69">
        <f t="shared" si="105"/>
        <v>4.6981248712136825E-2</v>
      </c>
      <c r="AY212" s="69">
        <f t="shared" si="105"/>
        <v>5.8847993345809924E-2</v>
      </c>
      <c r="AZ212" s="69">
        <f t="shared" si="105"/>
        <v>5.0696594427244612E-2</v>
      </c>
      <c r="BA212" s="69">
        <f t="shared" si="105"/>
        <v>6.496106785317024E-2</v>
      </c>
      <c r="BB212" s="69">
        <f t="shared" si="105"/>
        <v>0.11356032277110795</v>
      </c>
      <c r="BC212" s="69">
        <f t="shared" ref="BC212:BJ215" si="106">Q212/M212-1</f>
        <v>0.14021995286724276</v>
      </c>
      <c r="BD212" s="69">
        <f t="shared" si="106"/>
        <v>9.5395948434622291E-2</v>
      </c>
      <c r="BE212" s="69">
        <f t="shared" si="106"/>
        <v>0.1004804679339879</v>
      </c>
      <c r="BF212" s="69">
        <f t="shared" si="106"/>
        <v>0.26175326970661028</v>
      </c>
      <c r="BG212" s="69">
        <f t="shared" si="106"/>
        <v>5.7354460902514504E-2</v>
      </c>
      <c r="BH212" s="69">
        <f t="shared" si="106"/>
        <v>8.7424344317419411E-3</v>
      </c>
      <c r="BI212" s="69">
        <f t="shared" si="106"/>
        <v>-1.7084282460135825E-3</v>
      </c>
      <c r="BJ212" s="69">
        <f t="shared" si="106"/>
        <v>-0.12620815240229732</v>
      </c>
    </row>
    <row r="213" spans="2:82" ht="15.75">
      <c r="B213" s="66" t="s">
        <v>560</v>
      </c>
      <c r="C213" s="66">
        <v>64.3</v>
      </c>
      <c r="D213" s="66">
        <v>89.9</v>
      </c>
      <c r="E213" s="66">
        <v>86.4</v>
      </c>
      <c r="F213" s="66">
        <v>82.6</v>
      </c>
      <c r="G213" s="66">
        <v>62.8</v>
      </c>
      <c r="H213" s="66">
        <v>89.4</v>
      </c>
      <c r="I213" s="66">
        <v>87.7</v>
      </c>
      <c r="J213" s="66">
        <v>83.1</v>
      </c>
      <c r="K213" s="66">
        <v>66.8</v>
      </c>
      <c r="L213" s="66">
        <v>89.7</v>
      </c>
      <c r="M213" s="66">
        <v>90.7</v>
      </c>
      <c r="N213" s="66">
        <v>89.1</v>
      </c>
      <c r="O213" s="66">
        <v>68.400000000000006</v>
      </c>
      <c r="P213" s="66">
        <v>89.7</v>
      </c>
      <c r="Q213" s="66">
        <v>90.2</v>
      </c>
      <c r="R213" s="66">
        <v>81.599999999999994</v>
      </c>
      <c r="S213" s="66">
        <v>67</v>
      </c>
      <c r="T213" s="66">
        <v>75.599999999999994</v>
      </c>
      <c r="U213" s="66">
        <v>78.900000000000006</v>
      </c>
      <c r="V213" s="66">
        <v>80.5</v>
      </c>
      <c r="W213" s="66">
        <v>63.8</v>
      </c>
      <c r="X213" s="66">
        <v>72.5</v>
      </c>
      <c r="Y213" s="112">
        <f>Y215-Y212</f>
        <v>74.100000000000023</v>
      </c>
      <c r="Z213" s="112">
        <f>Z215-Z212</f>
        <v>72.100000000000023</v>
      </c>
      <c r="AA213" s="112"/>
      <c r="AB213" s="112"/>
      <c r="AC213" s="112"/>
      <c r="AD213" s="112"/>
      <c r="AE213" s="112"/>
      <c r="AF213" s="112"/>
      <c r="AG213" s="112"/>
      <c r="AH213" s="66"/>
      <c r="AI213" s="66"/>
      <c r="AJ213" s="66"/>
      <c r="AK213" s="66"/>
      <c r="AL213" s="66"/>
      <c r="AM213" s="66"/>
      <c r="AN213" s="66"/>
      <c r="AO213" s="66"/>
      <c r="AP213" s="66"/>
      <c r="AR213" s="66" t="str">
        <f>B213</f>
        <v>Radio</v>
      </c>
      <c r="AS213" s="69">
        <f t="shared" si="105"/>
        <v>-2.3328149300155476E-2</v>
      </c>
      <c r="AT213" s="69">
        <f t="shared" si="105"/>
        <v>-5.5617352614015791E-3</v>
      </c>
      <c r="AU213" s="69">
        <f t="shared" si="105"/>
        <v>1.504629629629628E-2</v>
      </c>
      <c r="AV213" s="69">
        <f t="shared" si="105"/>
        <v>6.0532687651331241E-3</v>
      </c>
      <c r="AW213" s="69">
        <f t="shared" si="105"/>
        <v>6.3694267515923553E-2</v>
      </c>
      <c r="AX213" s="69">
        <f t="shared" si="105"/>
        <v>3.3557046979866278E-3</v>
      </c>
      <c r="AY213" s="69">
        <f t="shared" si="105"/>
        <v>3.4207525655644222E-2</v>
      </c>
      <c r="AZ213" s="69">
        <f t="shared" si="105"/>
        <v>7.2202166064981865E-2</v>
      </c>
      <c r="BA213" s="69">
        <f t="shared" si="105"/>
        <v>2.3952095808383422E-2</v>
      </c>
      <c r="BB213" s="69">
        <f t="shared" si="105"/>
        <v>0</v>
      </c>
      <c r="BC213" s="69">
        <f t="shared" si="106"/>
        <v>-5.5126791620727644E-3</v>
      </c>
      <c r="BD213" s="69">
        <f t="shared" si="106"/>
        <v>-8.4175084175084125E-2</v>
      </c>
      <c r="BE213" s="69">
        <f t="shared" si="106"/>
        <v>-2.0467836257309968E-2</v>
      </c>
      <c r="BF213" s="69">
        <f t="shared" si="106"/>
        <v>-0.15719063545150513</v>
      </c>
      <c r="BG213" s="69">
        <f t="shared" si="106"/>
        <v>-0.12527716186252769</v>
      </c>
      <c r="BH213" s="69">
        <f t="shared" si="106"/>
        <v>-1.3480392156862697E-2</v>
      </c>
      <c r="BI213" s="69">
        <f t="shared" si="106"/>
        <v>-4.7761194029850795E-2</v>
      </c>
      <c r="BJ213" s="69">
        <f t="shared" si="106"/>
        <v>-4.1005291005290934E-2</v>
      </c>
    </row>
    <row r="214" spans="2:82" ht="15.75">
      <c r="B214" s="67" t="s">
        <v>561</v>
      </c>
      <c r="C214" s="67">
        <v>9.3000000000000007</v>
      </c>
      <c r="D214" s="67">
        <v>19.8</v>
      </c>
      <c r="E214" s="67">
        <v>15.8</v>
      </c>
      <c r="F214" s="67">
        <v>18.100000000000001</v>
      </c>
      <c r="G214" s="67">
        <v>11.9</v>
      </c>
      <c r="H214" s="67">
        <v>15.7</v>
      </c>
      <c r="I214" s="67">
        <v>16</v>
      </c>
      <c r="J214" s="67">
        <v>16.8</v>
      </c>
      <c r="K214" s="67">
        <v>12.1</v>
      </c>
      <c r="L214" s="67">
        <v>15.2</v>
      </c>
      <c r="M214" s="67">
        <v>29</v>
      </c>
      <c r="N214" s="67">
        <v>39.6</v>
      </c>
      <c r="O214" s="67">
        <v>14.9</v>
      </c>
      <c r="P214" s="67">
        <v>21</v>
      </c>
      <c r="Q214" s="67">
        <v>22.1</v>
      </c>
      <c r="R214" s="67">
        <v>19.8</v>
      </c>
      <c r="S214" s="67">
        <v>27.3</v>
      </c>
      <c r="T214" s="67">
        <v>44.2</v>
      </c>
      <c r="U214" s="67">
        <v>36.1</v>
      </c>
      <c r="V214" s="67">
        <v>47.2</v>
      </c>
      <c r="W214" s="398">
        <v>35</v>
      </c>
      <c r="X214" s="67"/>
      <c r="Y214" s="67"/>
      <c r="Z214" s="67"/>
      <c r="AA214" s="67"/>
      <c r="AB214" s="67"/>
      <c r="AC214" s="67"/>
      <c r="AD214" s="67"/>
      <c r="AE214" s="67"/>
      <c r="AF214" s="67"/>
      <c r="AG214" s="67"/>
      <c r="AH214" s="67"/>
      <c r="AI214" s="67"/>
      <c r="AJ214" s="67"/>
      <c r="AK214" s="67"/>
      <c r="AL214" s="67"/>
      <c r="AM214" s="67"/>
      <c r="AN214" s="67"/>
      <c r="AO214" s="67"/>
      <c r="AP214" s="67"/>
      <c r="AR214" s="67" t="str">
        <f>B214</f>
        <v>Interactive</v>
      </c>
      <c r="AS214" s="73">
        <f t="shared" si="105"/>
        <v>0.27956989247311825</v>
      </c>
      <c r="AT214" s="73">
        <f t="shared" si="105"/>
        <v>-0.20707070707070718</v>
      </c>
      <c r="AU214" s="73">
        <f t="shared" si="105"/>
        <v>1.2658227848101111E-2</v>
      </c>
      <c r="AV214" s="73">
        <f t="shared" si="105"/>
        <v>-7.1823204419889541E-2</v>
      </c>
      <c r="AW214" s="73">
        <f t="shared" si="105"/>
        <v>1.6806722689075571E-2</v>
      </c>
      <c r="AX214" s="73">
        <f t="shared" si="105"/>
        <v>-3.1847133757961776E-2</v>
      </c>
      <c r="AY214" s="73">
        <f t="shared" si="105"/>
        <v>0.8125</v>
      </c>
      <c r="AZ214" s="73">
        <f t="shared" si="105"/>
        <v>1.3571428571428572</v>
      </c>
      <c r="BA214" s="73">
        <f t="shared" si="105"/>
        <v>0.23140495867768607</v>
      </c>
      <c r="BB214" s="73">
        <f t="shared" si="105"/>
        <v>0.38157894736842102</v>
      </c>
      <c r="BC214" s="73">
        <f t="shared" si="106"/>
        <v>-0.23793103448275854</v>
      </c>
      <c r="BD214" s="73">
        <f t="shared" si="106"/>
        <v>-0.5</v>
      </c>
      <c r="BE214" s="73">
        <f t="shared" si="106"/>
        <v>0.83221476510067105</v>
      </c>
      <c r="BF214" s="73">
        <f t="shared" si="106"/>
        <v>1.1047619047619048</v>
      </c>
      <c r="BG214" s="73">
        <f t="shared" si="106"/>
        <v>0.63348416289592757</v>
      </c>
      <c r="BH214" s="73">
        <f t="shared" si="106"/>
        <v>1.3838383838383841</v>
      </c>
      <c r="BI214" s="73">
        <f t="shared" si="106"/>
        <v>0.28205128205128194</v>
      </c>
      <c r="BJ214" s="73">
        <f t="shared" si="106"/>
        <v>-1</v>
      </c>
      <c r="BK214" s="61"/>
      <c r="BL214" s="61"/>
      <c r="BM214" s="61"/>
      <c r="BN214" s="61"/>
      <c r="BO214" s="61"/>
      <c r="BP214" s="61"/>
      <c r="BQ214" s="61"/>
      <c r="BR214" s="61"/>
      <c r="BS214" s="61"/>
      <c r="BT214" s="61"/>
      <c r="BU214" s="61"/>
      <c r="BV214" s="61"/>
      <c r="BW214" s="61"/>
      <c r="BX214" s="61"/>
      <c r="BY214" s="61"/>
      <c r="BZ214" s="61"/>
      <c r="CA214" s="61"/>
      <c r="CB214" s="61"/>
    </row>
    <row r="215" spans="2:82" ht="15.75">
      <c r="B215" s="66" t="s">
        <v>200</v>
      </c>
      <c r="C215" s="66">
        <f t="shared" ref="C215:L215" si="107">SUM(C212:C214)</f>
        <v>453.70000000000005</v>
      </c>
      <c r="D215" s="66">
        <f t="shared" si="107"/>
        <v>639.79999999999995</v>
      </c>
      <c r="E215" s="66">
        <f t="shared" si="107"/>
        <v>575</v>
      </c>
      <c r="F215" s="66">
        <f t="shared" si="107"/>
        <v>576.70000000000005</v>
      </c>
      <c r="G215" s="66">
        <f t="shared" si="107"/>
        <v>481.8</v>
      </c>
      <c r="H215" s="66">
        <f t="shared" si="107"/>
        <v>590.40000000000009</v>
      </c>
      <c r="I215" s="66">
        <f t="shared" si="107"/>
        <v>584.6</v>
      </c>
      <c r="J215" s="66">
        <f t="shared" si="107"/>
        <v>616.69999999999993</v>
      </c>
      <c r="K215" s="66">
        <f t="shared" si="107"/>
        <v>528.4</v>
      </c>
      <c r="L215" s="66">
        <f t="shared" si="107"/>
        <v>613.00000000000011</v>
      </c>
      <c r="M215" s="66">
        <f t="shared" ref="M215:R215" si="108">SUM(M212:M214)</f>
        <v>628.9</v>
      </c>
      <c r="N215" s="66">
        <f t="shared" si="108"/>
        <v>671.7</v>
      </c>
      <c r="O215" s="66">
        <f t="shared" si="108"/>
        <v>562</v>
      </c>
      <c r="P215" s="66">
        <f t="shared" si="108"/>
        <v>676.5</v>
      </c>
      <c r="Q215" s="66">
        <f t="shared" si="108"/>
        <v>692.90000000000009</v>
      </c>
      <c r="R215" s="66">
        <f t="shared" si="108"/>
        <v>696.19999999999993</v>
      </c>
      <c r="S215" s="66">
        <f>SUM(S212:S214)</f>
        <v>621.09999999999991</v>
      </c>
      <c r="T215" s="66">
        <f>SUM(T212:T214)</f>
        <v>833.7</v>
      </c>
      <c r="U215" s="66">
        <f>SUM(U212:U214)</f>
        <v>728.9</v>
      </c>
      <c r="V215" s="66">
        <f>SUM(V212:V214)</f>
        <v>727.7</v>
      </c>
      <c r="W215" s="66">
        <v>624.70000000000005</v>
      </c>
      <c r="X215" s="112">
        <f>SUM(X212:X214)</f>
        <v>696.3</v>
      </c>
      <c r="Y215" s="112">
        <v>801.5</v>
      </c>
      <c r="Z215" s="112">
        <v>735.9</v>
      </c>
      <c r="AA215" s="112">
        <v>660.4</v>
      </c>
      <c r="AB215" s="112">
        <v>800.3</v>
      </c>
      <c r="AC215" s="112">
        <v>734.8</v>
      </c>
      <c r="AD215" s="112">
        <v>846.5</v>
      </c>
      <c r="AE215" s="112">
        <v>692.6</v>
      </c>
      <c r="AF215" s="112">
        <v>764.9</v>
      </c>
      <c r="AG215" s="112">
        <v>759.4</v>
      </c>
      <c r="AH215" s="112">
        <v>755.5</v>
      </c>
      <c r="AI215" s="66">
        <v>666.2</v>
      </c>
      <c r="AJ215" s="66">
        <v>749.8</v>
      </c>
      <c r="AK215" s="66">
        <v>628.20000000000005</v>
      </c>
      <c r="AL215" s="66">
        <v>688.5</v>
      </c>
      <c r="AM215" s="66">
        <v>611.9</v>
      </c>
      <c r="AN215" s="66">
        <v>730.9</v>
      </c>
      <c r="AO215" s="66">
        <v>681.4</v>
      </c>
      <c r="AP215" s="125">
        <f>L5-AM215-AN215-AO215</f>
        <v>654.69999999999993</v>
      </c>
      <c r="AR215" s="66" t="str">
        <f>B215</f>
        <v>Revenue</v>
      </c>
      <c r="AS215" s="69">
        <f t="shared" si="105"/>
        <v>6.1935199471016E-2</v>
      </c>
      <c r="AT215" s="69">
        <f t="shared" si="105"/>
        <v>-7.7211628633947926E-2</v>
      </c>
      <c r="AU215" s="69">
        <f t="shared" si="105"/>
        <v>1.6695652173913E-2</v>
      </c>
      <c r="AV215" s="69">
        <f t="shared" si="105"/>
        <v>6.9360152592335522E-2</v>
      </c>
      <c r="AW215" s="69">
        <f t="shared" si="105"/>
        <v>9.6720630967206178E-2</v>
      </c>
      <c r="AX215" s="69">
        <f t="shared" si="105"/>
        <v>3.8279132791327886E-2</v>
      </c>
      <c r="AY215" s="69">
        <f t="shared" si="105"/>
        <v>7.5778309955525147E-2</v>
      </c>
      <c r="AZ215" s="69">
        <f t="shared" si="105"/>
        <v>8.9184368412518422E-2</v>
      </c>
      <c r="BA215" s="69">
        <f t="shared" si="105"/>
        <v>6.3588190764572339E-2</v>
      </c>
      <c r="BB215" s="69">
        <f t="shared" si="105"/>
        <v>0.1035889070146816</v>
      </c>
      <c r="BC215" s="69">
        <f t="shared" si="106"/>
        <v>0.10176498648433796</v>
      </c>
      <c r="BD215" s="69">
        <f t="shared" si="106"/>
        <v>3.6474616644335045E-2</v>
      </c>
      <c r="BE215" s="69">
        <f t="shared" si="106"/>
        <v>0.10516014234875426</v>
      </c>
      <c r="BF215" s="69">
        <f t="shared" si="106"/>
        <v>0.2323725055432373</v>
      </c>
      <c r="BG215" s="69">
        <f t="shared" si="106"/>
        <v>5.1955549141289969E-2</v>
      </c>
      <c r="BH215" s="69">
        <f t="shared" si="106"/>
        <v>4.5245619074978594E-2</v>
      </c>
      <c r="BI215" s="69">
        <f t="shared" si="106"/>
        <v>5.7961680888747313E-3</v>
      </c>
      <c r="BJ215" s="69">
        <f t="shared" si="106"/>
        <v>-0.16480748470672912</v>
      </c>
      <c r="BK215" s="116">
        <f t="shared" ref="BK215:BP215" si="109">Y222/U222-1</f>
        <v>8.3422296782064809E-2</v>
      </c>
      <c r="BL215" s="116">
        <f t="shared" si="109"/>
        <v>3.5964912280701755E-2</v>
      </c>
      <c r="BM215" s="116">
        <f t="shared" si="109"/>
        <v>7.5762599469495928E-2</v>
      </c>
      <c r="BN215" s="116">
        <f t="shared" si="109"/>
        <v>4.9706744868035058E-2</v>
      </c>
      <c r="BO215" s="116">
        <f t="shared" si="109"/>
        <v>-1.6751126126126059E-2</v>
      </c>
      <c r="BP215" s="116">
        <f t="shared" si="109"/>
        <v>8.5097375105842366E-2</v>
      </c>
      <c r="BQ215" s="117">
        <v>8.0000000000000002E-3</v>
      </c>
      <c r="BR215" s="117">
        <v>7.0000000000000001E-3</v>
      </c>
      <c r="BS215" s="117">
        <v>0.01</v>
      </c>
      <c r="BT215" s="117">
        <v>-2.9000000000000001E-2</v>
      </c>
      <c r="BU215" s="117">
        <v>-1.2E-2</v>
      </c>
      <c r="BV215" s="116">
        <f>AJ222/AF222-1</f>
        <v>-3.0789648307896544E-2</v>
      </c>
      <c r="BW215" s="116">
        <f>AK222/AG222-1</f>
        <v>-8.1788594877600151E-2</v>
      </c>
      <c r="BX215" s="116">
        <f>AL222/AH222-1</f>
        <v>-8.6625086625086611E-2</v>
      </c>
      <c r="BY215" s="116">
        <f>AM222/AI222-1</f>
        <v>-7.9981787828198425E-2</v>
      </c>
      <c r="BZ215" s="116">
        <f>AN222/AJ222-1</f>
        <v>-3.9161988224017397E-2</v>
      </c>
      <c r="CA215" s="117">
        <v>2.5999999999999999E-2</v>
      </c>
      <c r="CB215" s="116">
        <f>AP222/AL222-1</f>
        <v>-4.9092229484386518E-2</v>
      </c>
      <c r="CD215" t="s">
        <v>4760</v>
      </c>
    </row>
    <row r="216" spans="2:82" ht="15.75">
      <c r="B216" s="66"/>
      <c r="C216" s="66"/>
      <c r="D216" s="66"/>
      <c r="E216" s="66"/>
      <c r="F216" s="66"/>
      <c r="G216" s="66"/>
      <c r="H216" s="66"/>
      <c r="I216" s="66"/>
      <c r="J216" s="66"/>
      <c r="K216" s="66"/>
      <c r="L216" s="66"/>
      <c r="M216" s="66"/>
      <c r="N216" s="66"/>
      <c r="O216" s="66"/>
      <c r="P216" s="66"/>
      <c r="AG216" s="66"/>
      <c r="AH216" s="66"/>
      <c r="AI216" s="66"/>
      <c r="AJ216" s="66"/>
      <c r="AK216" s="66"/>
      <c r="AL216" s="66"/>
      <c r="AM216" s="66"/>
      <c r="AN216" s="66"/>
      <c r="AO216" s="66"/>
      <c r="AP216" s="66"/>
      <c r="AR216" s="66"/>
      <c r="AS216" s="66"/>
      <c r="AT216" s="66"/>
      <c r="AU216" s="66"/>
      <c r="AV216" s="66"/>
      <c r="AW216" s="66"/>
      <c r="AX216" s="66"/>
      <c r="AY216" s="66"/>
      <c r="AZ216" s="66"/>
      <c r="BA216" s="66"/>
      <c r="BB216" s="66"/>
      <c r="BC216" s="66"/>
      <c r="BD216" s="66"/>
    </row>
    <row r="217" spans="2:82" ht="15.75">
      <c r="B217" s="66" t="s">
        <v>1559</v>
      </c>
      <c r="C217" s="66"/>
      <c r="D217" s="66"/>
      <c r="E217" s="66"/>
      <c r="F217" s="66"/>
      <c r="G217" s="66"/>
      <c r="H217" s="66"/>
      <c r="I217" s="66"/>
      <c r="J217" s="66"/>
      <c r="K217" s="231">
        <f>37.2-L217-M217-N217</f>
        <v>1.7000000000000028</v>
      </c>
      <c r="L217" s="231">
        <v>3</v>
      </c>
      <c r="M217" s="231">
        <v>10</v>
      </c>
      <c r="N217" s="66">
        <v>22.5</v>
      </c>
      <c r="O217" s="231">
        <v>3.5</v>
      </c>
      <c r="P217" s="231">
        <v>3.9</v>
      </c>
      <c r="Q217" s="231">
        <f>11.3-O217-P217</f>
        <v>3.9000000000000008</v>
      </c>
      <c r="R217" s="66">
        <v>2.2000000000000002</v>
      </c>
      <c r="S217" s="66">
        <f>2.6-S218-S219</f>
        <v>1.8</v>
      </c>
      <c r="T217" s="66"/>
      <c r="U217" s="66">
        <v>16.100000000000001</v>
      </c>
      <c r="V217" s="66">
        <v>28.4</v>
      </c>
      <c r="W217" s="66"/>
      <c r="X217" s="66"/>
      <c r="Y217" s="66">
        <v>7.4</v>
      </c>
      <c r="Z217" s="66">
        <v>9.8000000000000007</v>
      </c>
      <c r="AA217" s="66"/>
      <c r="AB217" s="66"/>
      <c r="AC217" s="66"/>
      <c r="AD217" s="66"/>
      <c r="AE217" s="66"/>
      <c r="AF217" s="66"/>
      <c r="AG217" s="66"/>
      <c r="AH217" s="66"/>
      <c r="AI217" s="66"/>
      <c r="AJ217" s="66"/>
      <c r="AK217" s="66"/>
      <c r="AL217" s="66"/>
      <c r="AM217" s="66"/>
      <c r="AN217" s="66"/>
      <c r="AO217" s="66"/>
      <c r="AP217" s="66"/>
      <c r="AR217" s="66"/>
      <c r="AS217" s="66"/>
      <c r="AT217" s="66"/>
      <c r="AU217" s="66"/>
      <c r="AV217" s="66"/>
      <c r="AW217" s="66"/>
      <c r="AX217" s="66"/>
      <c r="AY217" s="66"/>
      <c r="AZ217" s="66"/>
      <c r="BA217" s="66"/>
      <c r="BB217" s="66"/>
      <c r="BC217" s="66"/>
      <c r="BD217" s="66"/>
    </row>
    <row r="218" spans="2:82" ht="15.75">
      <c r="B218" s="66" t="s">
        <v>1560</v>
      </c>
      <c r="C218" s="66"/>
      <c r="D218" s="66"/>
      <c r="E218" s="66"/>
      <c r="F218" s="66"/>
      <c r="G218" s="66"/>
      <c r="H218" s="66"/>
      <c r="I218" s="66"/>
      <c r="J218" s="66"/>
      <c r="K218" s="231">
        <f>36.1-N218-M218-L218</f>
        <v>4.2000000000000028</v>
      </c>
      <c r="L218" s="231">
        <v>6</v>
      </c>
      <c r="M218" s="231">
        <v>6</v>
      </c>
      <c r="N218" s="66">
        <v>19.899999999999999</v>
      </c>
      <c r="O218" s="231">
        <v>5</v>
      </c>
      <c r="P218" s="231">
        <v>3</v>
      </c>
      <c r="Q218" s="231">
        <f>12.6-O218-P218</f>
        <v>4.5999999999999996</v>
      </c>
      <c r="R218" s="66">
        <v>1.4</v>
      </c>
      <c r="S218" s="66">
        <v>0.8</v>
      </c>
      <c r="T218" s="231"/>
      <c r="U218" s="231"/>
      <c r="V218" s="231"/>
      <c r="W218" s="66">
        <v>7.4</v>
      </c>
      <c r="X218" s="66"/>
      <c r="Y218" s="66"/>
      <c r="Z218" s="66"/>
      <c r="AA218" s="66"/>
      <c r="AB218" s="66"/>
      <c r="AC218" s="66"/>
      <c r="AD218" s="66"/>
      <c r="AE218" s="66"/>
      <c r="AF218" s="66"/>
      <c r="AG218" s="66"/>
      <c r="AH218" s="66"/>
      <c r="AI218" s="66"/>
      <c r="AJ218" s="66"/>
      <c r="AK218" s="66"/>
      <c r="AL218" s="66"/>
      <c r="AM218" s="66"/>
      <c r="AN218" s="66"/>
      <c r="AO218" s="66"/>
      <c r="AP218" s="66"/>
      <c r="AR218" s="66"/>
      <c r="AS218" s="66"/>
      <c r="AT218" s="66"/>
      <c r="AU218" s="66"/>
      <c r="AV218" s="66"/>
      <c r="AW218" s="66"/>
      <c r="AX218" s="66"/>
      <c r="AY218" s="66"/>
      <c r="AZ218" s="66"/>
      <c r="BA218" s="66"/>
      <c r="BB218" s="66"/>
      <c r="BC218" s="66"/>
      <c r="BD218" s="66"/>
    </row>
    <row r="219" spans="2:82" ht="15.75">
      <c r="B219" s="66" t="s">
        <v>1561</v>
      </c>
      <c r="C219" s="66"/>
      <c r="D219" s="66"/>
      <c r="E219" s="66"/>
      <c r="F219" s="66"/>
      <c r="G219" s="66"/>
      <c r="H219" s="66"/>
      <c r="I219" s="66"/>
      <c r="J219" s="66"/>
      <c r="K219" s="231">
        <f>23.4-N219-M219-L219</f>
        <v>4.3999999999999986</v>
      </c>
      <c r="L219" s="231">
        <v>6</v>
      </c>
      <c r="M219" s="231">
        <v>6</v>
      </c>
      <c r="N219" s="66">
        <v>7</v>
      </c>
      <c r="O219" s="231">
        <f>11.2-O218-O217</f>
        <v>2.6999999999999993</v>
      </c>
      <c r="P219" s="231">
        <v>3</v>
      </c>
      <c r="Q219" s="231">
        <f>7.7-O219-P219</f>
        <v>2.0000000000000009</v>
      </c>
      <c r="R219" s="66">
        <v>0.3</v>
      </c>
      <c r="S219" s="231">
        <v>0</v>
      </c>
      <c r="T219" s="231"/>
      <c r="U219" s="231"/>
      <c r="V219" s="231"/>
      <c r="W219" s="231"/>
      <c r="X219" s="231"/>
      <c r="Y219" s="231"/>
      <c r="Z219" s="231"/>
      <c r="AA219" s="231"/>
      <c r="AB219" s="231"/>
      <c r="AC219" s="231"/>
      <c r="AD219" s="231"/>
      <c r="AE219" s="231"/>
      <c r="AF219" s="231"/>
      <c r="AG219" s="231"/>
      <c r="AH219" s="66"/>
      <c r="AI219" s="66"/>
      <c r="AJ219" s="66"/>
      <c r="AK219" s="66"/>
      <c r="AL219" s="66"/>
      <c r="AM219" s="66"/>
      <c r="AN219" s="66"/>
      <c r="AO219" s="66"/>
      <c r="AP219" s="66"/>
      <c r="AR219" s="66"/>
      <c r="AS219" s="66"/>
      <c r="AT219" s="66"/>
      <c r="AU219" s="66"/>
      <c r="AV219" s="66"/>
      <c r="AW219" s="66"/>
      <c r="AX219" s="66"/>
      <c r="AY219" s="66"/>
      <c r="AZ219" s="66"/>
    </row>
    <row r="220" spans="2:82" ht="15.75">
      <c r="B220" s="67" t="s">
        <v>2017</v>
      </c>
      <c r="C220" s="67"/>
      <c r="D220" s="67"/>
      <c r="E220" s="67"/>
      <c r="F220" s="67"/>
      <c r="G220" s="67"/>
      <c r="H220" s="67"/>
      <c r="I220" s="67"/>
      <c r="J220" s="67"/>
      <c r="K220" s="232"/>
      <c r="L220" s="232"/>
      <c r="M220" s="232"/>
      <c r="N220" s="67"/>
      <c r="O220" s="232"/>
      <c r="P220" s="232">
        <f>65.3+2.7-Q220</f>
        <v>22.9</v>
      </c>
      <c r="Q220" s="232">
        <f>42.4+2.7</f>
        <v>45.1</v>
      </c>
      <c r="R220" s="67"/>
      <c r="S220" s="232">
        <f>120.1-T220</f>
        <v>4.5999999999999943</v>
      </c>
      <c r="T220" s="232">
        <v>115.5</v>
      </c>
      <c r="U220" s="67">
        <f>54.1+3</f>
        <v>57.1</v>
      </c>
      <c r="V220" s="67">
        <v>15.3</v>
      </c>
      <c r="W220" s="404">
        <v>0</v>
      </c>
      <c r="X220" s="232">
        <v>0</v>
      </c>
      <c r="Y220" s="67">
        <f>22.1+26+35.6</f>
        <v>83.7</v>
      </c>
      <c r="Z220" s="404">
        <f>17.5</f>
        <v>17.5</v>
      </c>
      <c r="AA220" s="404"/>
      <c r="AB220" s="404"/>
      <c r="AC220" s="404"/>
      <c r="AD220" s="404"/>
      <c r="AE220" s="404"/>
      <c r="AF220" s="404"/>
      <c r="AG220" s="404"/>
      <c r="AH220" s="404"/>
      <c r="AI220" s="404"/>
      <c r="AJ220" s="404"/>
      <c r="AK220" s="404"/>
      <c r="AL220" s="404"/>
      <c r="AM220" s="404"/>
      <c r="AN220" s="404"/>
      <c r="AO220" s="404"/>
      <c r="AP220" s="48"/>
      <c r="AR220" s="66"/>
      <c r="AS220" s="66"/>
      <c r="AT220" s="66"/>
      <c r="AU220" s="66"/>
      <c r="AV220" s="66"/>
      <c r="AW220" s="66"/>
      <c r="AX220" s="66"/>
      <c r="AY220" s="66"/>
      <c r="AZ220" s="66"/>
    </row>
    <row r="221" spans="2:82" ht="15.75">
      <c r="B221" s="66" t="s">
        <v>1562</v>
      </c>
      <c r="C221" s="66"/>
      <c r="D221" s="66"/>
      <c r="E221" s="66"/>
      <c r="F221" s="66"/>
      <c r="G221" s="66"/>
      <c r="H221" s="66"/>
      <c r="I221" s="66"/>
      <c r="J221" s="66"/>
      <c r="K221" s="66">
        <f t="shared" ref="K221:T221" si="110">K215-K217-K218-K219-K220</f>
        <v>518.09999999999991</v>
      </c>
      <c r="L221" s="66">
        <f t="shared" si="110"/>
        <v>598.00000000000011</v>
      </c>
      <c r="M221" s="66">
        <f t="shared" si="110"/>
        <v>606.9</v>
      </c>
      <c r="N221" s="66">
        <f t="shared" si="110"/>
        <v>622.30000000000007</v>
      </c>
      <c r="O221" s="66">
        <f t="shared" si="110"/>
        <v>550.79999999999995</v>
      </c>
      <c r="P221" s="66">
        <f t="shared" si="110"/>
        <v>643.70000000000005</v>
      </c>
      <c r="Q221" s="66">
        <f t="shared" si="110"/>
        <v>637.30000000000007</v>
      </c>
      <c r="R221" s="66">
        <f t="shared" si="110"/>
        <v>692.3</v>
      </c>
      <c r="S221" s="66">
        <f t="shared" si="110"/>
        <v>613.9</v>
      </c>
      <c r="T221" s="66">
        <f t="shared" si="110"/>
        <v>718.2</v>
      </c>
      <c r="U221" s="66">
        <f>U215-U217-U218-U219-U220</f>
        <v>655.69999999999993</v>
      </c>
      <c r="V221" s="66">
        <f>V215-V217-V218-V219-V220</f>
        <v>684.00000000000011</v>
      </c>
      <c r="W221" s="66">
        <f>W215-W217-W218-W219-W220</f>
        <v>617.30000000000007</v>
      </c>
      <c r="X221" s="66">
        <f>X215-X217-X218-X219-X220</f>
        <v>696.3</v>
      </c>
      <c r="Y221" s="112">
        <f>Y215-SUM(Y217:Y220)</f>
        <v>710.4</v>
      </c>
      <c r="Z221" s="112">
        <f>Z215-SUM(Z217:Z220)</f>
        <v>708.6</v>
      </c>
      <c r="AA221" s="112"/>
      <c r="AB221" s="112"/>
      <c r="AC221" s="112"/>
      <c r="AD221" s="112"/>
      <c r="AE221" s="112"/>
      <c r="AF221" s="112"/>
      <c r="AG221" s="112"/>
      <c r="AH221" s="66"/>
      <c r="AI221" s="66"/>
      <c r="AJ221" s="66"/>
      <c r="AK221" s="66"/>
      <c r="AL221" s="66"/>
      <c r="AM221" s="66"/>
      <c r="AN221" s="66"/>
      <c r="AO221" s="66"/>
      <c r="AP221" s="66"/>
      <c r="AR221" s="66"/>
      <c r="AS221" s="66"/>
      <c r="AT221" s="66"/>
      <c r="AU221" s="66"/>
      <c r="AV221" s="66"/>
      <c r="AW221" s="66"/>
      <c r="AX221" s="66"/>
      <c r="AY221" s="66"/>
      <c r="AZ221" s="66"/>
    </row>
    <row r="222" spans="2:82" ht="15.75">
      <c r="B222" s="66" t="s">
        <v>2670</v>
      </c>
      <c r="C222" s="66"/>
      <c r="D222" s="66"/>
      <c r="E222" s="66"/>
      <c r="F222" s="66"/>
      <c r="G222" s="66"/>
      <c r="H222" s="66"/>
      <c r="I222" s="66"/>
      <c r="J222" s="66"/>
      <c r="K222" s="66"/>
      <c r="L222" s="66"/>
      <c r="M222" s="66"/>
      <c r="N222" s="66"/>
      <c r="O222" s="66"/>
      <c r="P222" s="66"/>
      <c r="Q222" s="66"/>
      <c r="R222" s="66"/>
      <c r="S222" s="66"/>
      <c r="T222" s="66"/>
      <c r="U222" s="66">
        <v>655.7</v>
      </c>
      <c r="V222" s="112">
        <v>684</v>
      </c>
      <c r="W222" s="66">
        <v>603.20000000000005</v>
      </c>
      <c r="X222" s="112">
        <v>682</v>
      </c>
      <c r="Y222" s="112">
        <v>710.4</v>
      </c>
      <c r="Z222" s="112">
        <v>708.6</v>
      </c>
      <c r="AA222" s="112">
        <v>648.9</v>
      </c>
      <c r="AB222" s="112">
        <v>715.9</v>
      </c>
      <c r="AC222" s="112">
        <v>698.5</v>
      </c>
      <c r="AD222" s="112">
        <v>768.9</v>
      </c>
      <c r="AE222" s="112">
        <v>681.1</v>
      </c>
      <c r="AF222" s="112">
        <v>753.5</v>
      </c>
      <c r="AG222" s="112">
        <v>706.7</v>
      </c>
      <c r="AH222" s="66">
        <v>721.5</v>
      </c>
      <c r="AI222" s="66">
        <v>658.9</v>
      </c>
      <c r="AJ222" s="66">
        <v>730.3</v>
      </c>
      <c r="AK222" s="66">
        <v>648.9</v>
      </c>
      <c r="AL222" s="66">
        <v>659</v>
      </c>
      <c r="AM222" s="66">
        <v>606.20000000000005</v>
      </c>
      <c r="AN222" s="66">
        <v>701.7</v>
      </c>
      <c r="AO222" s="71">
        <v>675.1</v>
      </c>
      <c r="AP222" s="71">
        <f>AL222/AL215*AP215</f>
        <v>626.6482207697893</v>
      </c>
      <c r="AR222" s="66"/>
      <c r="AS222" s="66"/>
      <c r="AT222" s="66"/>
      <c r="AU222" s="66"/>
      <c r="AV222" s="66"/>
      <c r="AW222" s="66"/>
      <c r="AX222" s="66"/>
      <c r="AY222" s="66"/>
      <c r="AZ222" s="66"/>
    </row>
    <row r="223" spans="2:82" ht="15.75">
      <c r="B223" s="66" t="s">
        <v>3528</v>
      </c>
      <c r="C223" s="66"/>
      <c r="D223" s="66"/>
      <c r="E223" s="66"/>
      <c r="F223" s="66"/>
      <c r="G223" s="66"/>
      <c r="H223" s="66"/>
      <c r="I223" s="66"/>
      <c r="J223" s="66"/>
      <c r="K223" s="66"/>
      <c r="L223" s="66"/>
      <c r="M223" s="66"/>
      <c r="N223" s="66"/>
      <c r="O223" s="66"/>
      <c r="P223" s="66"/>
      <c r="Q223" s="66"/>
      <c r="R223" s="66"/>
      <c r="S223" s="66"/>
      <c r="T223" s="66"/>
      <c r="U223" s="66"/>
      <c r="V223" s="112"/>
      <c r="W223" s="66"/>
      <c r="X223" s="112"/>
      <c r="Y223" s="112"/>
      <c r="Z223" s="112"/>
      <c r="AA223" s="112">
        <v>26.6</v>
      </c>
      <c r="AB223" s="112">
        <v>32.6</v>
      </c>
      <c r="AC223" s="112">
        <v>19.5</v>
      </c>
      <c r="AD223" s="112"/>
      <c r="AE223" s="112">
        <v>0</v>
      </c>
      <c r="AF223" s="112">
        <v>0</v>
      </c>
      <c r="AG223" s="112">
        <v>0</v>
      </c>
      <c r="AH223" s="66"/>
      <c r="AI223" s="66"/>
      <c r="AJ223" s="66"/>
      <c r="AK223" s="66"/>
      <c r="AL223" s="66"/>
      <c r="AM223" s="66"/>
      <c r="AN223" s="66"/>
      <c r="AO223" s="66"/>
      <c r="AP223" s="66"/>
      <c r="AR223" s="66"/>
      <c r="AS223" s="66"/>
      <c r="AT223" s="66"/>
      <c r="AU223" s="66"/>
      <c r="AV223" s="66"/>
      <c r="AW223" s="66"/>
      <c r="AX223" s="66"/>
      <c r="AY223" s="66"/>
      <c r="AZ223" s="66"/>
    </row>
    <row r="224" spans="2:82" ht="15.75">
      <c r="B224" s="66"/>
      <c r="C224" s="66"/>
      <c r="D224" s="66"/>
      <c r="E224" s="66"/>
      <c r="F224" s="66"/>
      <c r="G224" s="66"/>
      <c r="H224" s="66"/>
      <c r="I224" s="66"/>
      <c r="J224" s="66"/>
      <c r="K224" s="66"/>
      <c r="L224" s="66"/>
      <c r="M224" s="66"/>
      <c r="N224" s="66"/>
      <c r="O224" s="66"/>
      <c r="P224" s="66"/>
      <c r="Q224" s="66"/>
      <c r="R224" s="66"/>
      <c r="S224" s="66"/>
      <c r="T224" s="66"/>
      <c r="U224" s="66"/>
      <c r="V224" s="112"/>
      <c r="W224" s="66"/>
      <c r="X224" s="112"/>
      <c r="Y224" s="112"/>
      <c r="Z224" s="112"/>
      <c r="AA224" s="112">
        <f>AA222+AA223</f>
        <v>675.5</v>
      </c>
      <c r="AB224" s="112">
        <f>AB222+AB223</f>
        <v>748.5</v>
      </c>
      <c r="AC224" s="112">
        <v>718</v>
      </c>
      <c r="AD224" s="112"/>
      <c r="AE224" s="112">
        <f>AE222+AE223</f>
        <v>681.1</v>
      </c>
      <c r="AF224" s="112">
        <v>725.5</v>
      </c>
      <c r="AG224" s="112">
        <v>725.5</v>
      </c>
      <c r="AH224" s="66"/>
      <c r="AI224" s="66"/>
      <c r="AJ224" s="66"/>
      <c r="AK224" s="66"/>
      <c r="AL224" s="66"/>
      <c r="AM224" s="66"/>
      <c r="AN224" s="66"/>
      <c r="AO224" s="66"/>
      <c r="AP224" s="66"/>
      <c r="AR224" s="66"/>
      <c r="AS224" s="66"/>
      <c r="AT224" s="66"/>
      <c r="AU224" s="66"/>
      <c r="AV224" s="66"/>
      <c r="AW224" s="66"/>
      <c r="AX224" s="66"/>
      <c r="AY224" s="66"/>
      <c r="AZ224" s="66"/>
    </row>
    <row r="225" spans="2:80" ht="15.75">
      <c r="B225" s="66"/>
      <c r="C225" s="66"/>
      <c r="D225" s="66"/>
      <c r="E225" s="66"/>
      <c r="F225" s="66"/>
      <c r="G225" s="66"/>
      <c r="H225" s="66"/>
      <c r="I225" s="66"/>
      <c r="J225" s="66"/>
      <c r="K225" s="66"/>
      <c r="L225" s="66"/>
      <c r="M225" s="66"/>
      <c r="N225" s="66"/>
      <c r="O225" s="66"/>
      <c r="P225" s="66"/>
      <c r="AG225" s="66"/>
      <c r="AH225" s="66"/>
      <c r="AI225" s="66"/>
      <c r="AJ225" s="66"/>
      <c r="AK225" s="66"/>
      <c r="AL225" s="66"/>
      <c r="AM225" s="66"/>
      <c r="AN225" s="66"/>
      <c r="AO225" s="66"/>
      <c r="AP225" s="66"/>
      <c r="AR225" s="66"/>
      <c r="AS225" s="66"/>
      <c r="AT225" s="66"/>
      <c r="AU225" s="66"/>
      <c r="AV225" s="66"/>
      <c r="AW225" s="66"/>
      <c r="AX225" s="66"/>
      <c r="AY225" s="66"/>
      <c r="AZ225" s="66"/>
      <c r="BA225" s="66"/>
      <c r="BB225" s="66"/>
      <c r="BC225" s="66"/>
      <c r="BD225" s="66"/>
    </row>
    <row r="226" spans="2:80" ht="15.75">
      <c r="B226" s="66" t="s">
        <v>3324</v>
      </c>
      <c r="C226" s="66"/>
      <c r="D226" s="66"/>
      <c r="E226" s="66"/>
      <c r="F226" s="66"/>
      <c r="G226" s="66"/>
      <c r="H226" s="66"/>
      <c r="I226" s="66"/>
      <c r="J226" s="66"/>
      <c r="K226" s="66"/>
      <c r="L226" s="66"/>
      <c r="M226" s="66"/>
      <c r="N226" s="66"/>
      <c r="O226" s="66"/>
      <c r="P226" s="66"/>
      <c r="AC226" s="112">
        <v>474.5</v>
      </c>
      <c r="AG226" s="112">
        <v>433.1</v>
      </c>
      <c r="AH226" s="66"/>
      <c r="AI226" s="66"/>
      <c r="AJ226" s="66"/>
      <c r="AK226" s="66"/>
      <c r="AL226" s="66"/>
      <c r="AM226" s="66"/>
      <c r="AN226" s="66"/>
      <c r="AO226" s="66"/>
      <c r="AP226" s="66"/>
      <c r="AR226" s="66"/>
      <c r="AS226" s="66"/>
      <c r="AT226" s="66"/>
      <c r="AU226" s="66"/>
      <c r="AV226" s="66"/>
      <c r="AW226" s="66"/>
      <c r="AX226" s="66"/>
      <c r="AY226" s="66"/>
      <c r="AZ226" s="66"/>
      <c r="BA226" s="66"/>
      <c r="BB226" s="66"/>
      <c r="BC226" s="66"/>
      <c r="BD226" s="66"/>
    </row>
    <row r="227" spans="2:80" ht="15.75">
      <c r="B227" s="66" t="s">
        <v>3866</v>
      </c>
      <c r="C227" s="66"/>
      <c r="D227" s="66"/>
      <c r="E227" s="66"/>
      <c r="F227" s="66"/>
      <c r="G227" s="66"/>
      <c r="H227" s="66"/>
      <c r="I227" s="66"/>
      <c r="J227" s="66"/>
      <c r="K227" s="66"/>
      <c r="L227" s="66"/>
      <c r="M227" s="66"/>
      <c r="N227" s="66"/>
      <c r="O227" s="66"/>
      <c r="P227" s="66"/>
      <c r="AC227" s="112">
        <v>243.5</v>
      </c>
      <c r="AG227" s="112">
        <f>AG222-AG226</f>
        <v>273.60000000000002</v>
      </c>
      <c r="AH227" s="66"/>
      <c r="AI227" s="66"/>
      <c r="AJ227" s="66"/>
      <c r="AK227" s="66"/>
      <c r="AL227" s="66"/>
      <c r="AM227" s="66"/>
      <c r="AN227" s="66"/>
      <c r="AO227" s="66"/>
      <c r="AP227" s="66"/>
      <c r="AR227" s="66"/>
      <c r="AS227" s="66"/>
      <c r="AT227" s="66"/>
      <c r="AU227" s="66"/>
      <c r="AV227" s="66"/>
      <c r="AW227" s="66"/>
      <c r="AX227" s="66"/>
      <c r="AY227" s="66"/>
      <c r="AZ227" s="66"/>
      <c r="BA227" s="66"/>
      <c r="BB227" s="66"/>
      <c r="BC227" s="66"/>
      <c r="BD227" s="66"/>
    </row>
    <row r="228" spans="2:80" ht="15.75">
      <c r="B228" s="66"/>
      <c r="C228" s="66"/>
      <c r="D228" s="66"/>
      <c r="E228" s="66"/>
      <c r="F228" s="66"/>
      <c r="G228" s="66"/>
      <c r="H228" s="66"/>
      <c r="I228" s="66"/>
      <c r="J228" s="66"/>
      <c r="K228" s="66"/>
      <c r="L228" s="66"/>
      <c r="M228" s="66"/>
      <c r="N228" s="66"/>
      <c r="O228" s="66"/>
      <c r="P228" s="66"/>
      <c r="AG228" s="66"/>
      <c r="AH228" s="66"/>
      <c r="AI228" s="66"/>
      <c r="AJ228" s="66"/>
      <c r="AK228" s="66"/>
      <c r="AL228" s="66"/>
      <c r="AM228" s="66"/>
      <c r="AN228" s="66"/>
      <c r="AO228" s="66"/>
      <c r="AP228" s="66"/>
      <c r="AR228" s="66"/>
      <c r="AS228" s="66"/>
      <c r="AT228" s="66"/>
      <c r="AU228" s="66"/>
      <c r="AV228" s="66"/>
      <c r="AW228" s="66"/>
      <c r="AX228" s="66"/>
      <c r="AY228" s="66"/>
      <c r="AZ228" s="66"/>
      <c r="BA228" s="66"/>
      <c r="BB228" s="66"/>
      <c r="BC228" s="66"/>
      <c r="BD228" s="66"/>
    </row>
    <row r="229" spans="2:80" ht="15.75">
      <c r="B229" s="66" t="str">
        <f>B212</f>
        <v>TV</v>
      </c>
      <c r="C229" s="66">
        <v>172.2</v>
      </c>
      <c r="D229" s="66">
        <v>232.9</v>
      </c>
      <c r="E229" s="66">
        <v>200.5</v>
      </c>
      <c r="F229" s="66">
        <v>233.2</v>
      </c>
      <c r="G229" s="66">
        <v>166</v>
      </c>
      <c r="H229" s="66">
        <v>223.2</v>
      </c>
      <c r="I229" s="66">
        <v>207.7</v>
      </c>
      <c r="J229" s="66">
        <v>247</v>
      </c>
      <c r="K229" s="66">
        <v>176.6</v>
      </c>
      <c r="L229" s="66">
        <v>228.6</v>
      </c>
      <c r="M229" s="66">
        <v>235.7</v>
      </c>
      <c r="N229" s="66">
        <v>238.5</v>
      </c>
      <c r="O229" s="66">
        <v>212.6</v>
      </c>
      <c r="P229" s="66">
        <v>264.3</v>
      </c>
      <c r="Q229" s="66">
        <v>263</v>
      </c>
      <c r="R229" s="66">
        <v>264.89999999999998</v>
      </c>
      <c r="S229" s="66">
        <v>228.1</v>
      </c>
      <c r="T229" s="66">
        <v>313.10000000000002</v>
      </c>
      <c r="U229" s="66">
        <v>276.3</v>
      </c>
      <c r="V229" s="66">
        <v>280.39999999999998</v>
      </c>
      <c r="W229" s="66">
        <f>276.2-18.5-W231</f>
        <v>257.7</v>
      </c>
      <c r="X229" s="66">
        <v>330</v>
      </c>
      <c r="Y229" s="66"/>
      <c r="Z229" s="66"/>
      <c r="AA229" s="66"/>
      <c r="AB229" s="66"/>
      <c r="AC229" s="66"/>
      <c r="AD229" s="66"/>
      <c r="AE229" s="66"/>
      <c r="AF229" s="66"/>
      <c r="AG229" s="66"/>
      <c r="AH229" s="66"/>
      <c r="AI229" s="66"/>
      <c r="AJ229" s="66"/>
      <c r="AK229" s="66"/>
      <c r="AL229" s="66"/>
      <c r="AM229" s="66"/>
      <c r="AN229" s="66"/>
      <c r="AO229" s="66"/>
      <c r="AP229" s="66"/>
      <c r="AR229" s="66" t="str">
        <f>B229</f>
        <v>TV</v>
      </c>
      <c r="AS229" s="69">
        <f t="shared" ref="AS229:BB231" si="111">G229/C229-1</f>
        <v>-3.6004645760743248E-2</v>
      </c>
      <c r="AT229" s="69">
        <f t="shared" si="111"/>
        <v>-4.1648776298840784E-2</v>
      </c>
      <c r="AU229" s="69">
        <f t="shared" si="111"/>
        <v>3.5910224438902683E-2</v>
      </c>
      <c r="AV229" s="69">
        <f t="shared" si="111"/>
        <v>5.9176672384219531E-2</v>
      </c>
      <c r="AW229" s="69">
        <f t="shared" si="111"/>
        <v>6.3855421686746849E-2</v>
      </c>
      <c r="AX229" s="69">
        <f t="shared" si="111"/>
        <v>2.4193548387096753E-2</v>
      </c>
      <c r="AY229" s="69">
        <f t="shared" si="111"/>
        <v>0.1348098218584497</v>
      </c>
      <c r="AZ229" s="69">
        <f t="shared" si="111"/>
        <v>-3.4412955465587092E-2</v>
      </c>
      <c r="BA229" s="69">
        <f t="shared" si="111"/>
        <v>0.20385050962627416</v>
      </c>
      <c r="BB229" s="69">
        <f t="shared" si="111"/>
        <v>0.15616797900262469</v>
      </c>
      <c r="BC229" s="69">
        <f t="shared" ref="BC229:BJ231" si="112">Q229/M229-1</f>
        <v>0.11582520152736531</v>
      </c>
      <c r="BD229" s="69">
        <f t="shared" si="112"/>
        <v>0.11069182389937104</v>
      </c>
      <c r="BE229" s="69">
        <f t="shared" si="112"/>
        <v>7.2906867356538063E-2</v>
      </c>
      <c r="BF229" s="69">
        <f t="shared" si="112"/>
        <v>0.18463866818009844</v>
      </c>
      <c r="BG229" s="69">
        <f t="shared" si="112"/>
        <v>5.0570342205323193E-2</v>
      </c>
      <c r="BH229" s="69">
        <f t="shared" si="112"/>
        <v>5.8512646281615677E-2</v>
      </c>
      <c r="BI229" s="69">
        <f t="shared" si="112"/>
        <v>0.12976764576939948</v>
      </c>
      <c r="BJ229" s="69">
        <f t="shared" si="112"/>
        <v>5.3976365378473279E-2</v>
      </c>
    </row>
    <row r="230" spans="2:80" ht="15.75">
      <c r="B230" s="66" t="str">
        <f>B213</f>
        <v>Radio</v>
      </c>
      <c r="C230" s="66">
        <v>10.1</v>
      </c>
      <c r="D230" s="66">
        <v>32.299999999999997</v>
      </c>
      <c r="E230" s="66">
        <v>28.7</v>
      </c>
      <c r="F230" s="66">
        <v>24.2</v>
      </c>
      <c r="G230" s="66">
        <v>6.2</v>
      </c>
      <c r="H230" s="66">
        <v>30.8</v>
      </c>
      <c r="I230" s="66">
        <v>28.8</v>
      </c>
      <c r="J230" s="66">
        <v>29.2</v>
      </c>
      <c r="K230" s="66">
        <v>10.4</v>
      </c>
      <c r="L230" s="66">
        <v>27.1</v>
      </c>
      <c r="M230" s="66">
        <v>29.6</v>
      </c>
      <c r="N230" s="66">
        <v>34.5</v>
      </c>
      <c r="O230" s="66">
        <v>13.3</v>
      </c>
      <c r="P230" s="66">
        <v>30.6</v>
      </c>
      <c r="Q230" s="66">
        <v>34.6</v>
      </c>
      <c r="R230" s="66">
        <v>31.7</v>
      </c>
      <c r="S230" s="66">
        <v>15.6</v>
      </c>
      <c r="T230" s="66">
        <v>24</v>
      </c>
      <c r="U230" s="66">
        <v>25.5</v>
      </c>
      <c r="V230" s="66">
        <v>30.1</v>
      </c>
      <c r="W230" s="66">
        <v>16.5</v>
      </c>
      <c r="X230" s="66">
        <v>24.5</v>
      </c>
      <c r="Y230" s="66"/>
      <c r="Z230" s="66"/>
      <c r="AA230" s="66"/>
      <c r="AB230" s="66"/>
      <c r="AC230" s="66"/>
      <c r="AD230" s="66"/>
      <c r="AE230" s="66"/>
      <c r="AF230" s="66"/>
      <c r="AG230" s="66"/>
      <c r="AH230" s="66"/>
      <c r="AI230" s="66"/>
      <c r="AJ230" s="66"/>
      <c r="AK230" s="66"/>
      <c r="AL230" s="66"/>
      <c r="AM230" s="66"/>
      <c r="AN230" s="66"/>
      <c r="AO230" s="66"/>
      <c r="AP230" s="66"/>
      <c r="AR230" s="66" t="str">
        <f>B230</f>
        <v>Radio</v>
      </c>
      <c r="AS230" s="69">
        <f t="shared" si="111"/>
        <v>-0.38613861386138615</v>
      </c>
      <c r="AT230" s="69">
        <f t="shared" si="111"/>
        <v>-4.6439628482972006E-2</v>
      </c>
      <c r="AU230" s="69">
        <f t="shared" si="111"/>
        <v>3.4843205574912606E-3</v>
      </c>
      <c r="AV230" s="69">
        <f t="shared" si="111"/>
        <v>0.20661157024793386</v>
      </c>
      <c r="AW230" s="69">
        <f t="shared" si="111"/>
        <v>0.67741935483870974</v>
      </c>
      <c r="AX230" s="69">
        <f t="shared" si="111"/>
        <v>-0.12012987012987009</v>
      </c>
      <c r="AY230" s="69">
        <f t="shared" si="111"/>
        <v>2.7777777777777901E-2</v>
      </c>
      <c r="AZ230" s="69">
        <f t="shared" si="111"/>
        <v>0.18150684931506844</v>
      </c>
      <c r="BA230" s="69">
        <f t="shared" si="111"/>
        <v>0.27884615384615397</v>
      </c>
      <c r="BB230" s="69">
        <f t="shared" si="111"/>
        <v>0.12915129151291516</v>
      </c>
      <c r="BC230" s="69">
        <f t="shared" si="112"/>
        <v>0.16891891891891886</v>
      </c>
      <c r="BD230" s="69">
        <f t="shared" si="112"/>
        <v>-8.1159420289855122E-2</v>
      </c>
      <c r="BE230" s="69">
        <f t="shared" si="112"/>
        <v>0.1729323308270676</v>
      </c>
      <c r="BF230" s="69">
        <f t="shared" si="112"/>
        <v>-0.21568627450980393</v>
      </c>
      <c r="BG230" s="69">
        <f t="shared" si="112"/>
        <v>-0.26300578034682087</v>
      </c>
      <c r="BH230" s="69">
        <f t="shared" si="112"/>
        <v>-5.0473186119873725E-2</v>
      </c>
      <c r="BI230" s="69">
        <f t="shared" si="112"/>
        <v>5.7692307692307709E-2</v>
      </c>
      <c r="BJ230" s="69">
        <f t="shared" si="112"/>
        <v>2.0833333333333259E-2</v>
      </c>
    </row>
    <row r="231" spans="2:80" ht="15.75">
      <c r="B231" s="67" t="str">
        <f>B214</f>
        <v>Interactive</v>
      </c>
      <c r="C231" s="67">
        <v>-2</v>
      </c>
      <c r="D231" s="67">
        <v>6.8</v>
      </c>
      <c r="E231" s="67">
        <v>2.5</v>
      </c>
      <c r="F231" s="67">
        <v>2</v>
      </c>
      <c r="G231" s="67">
        <v>-3.2</v>
      </c>
      <c r="H231" s="67">
        <v>-1</v>
      </c>
      <c r="I231" s="67">
        <v>-0.3</v>
      </c>
      <c r="J231" s="67">
        <v>-0.5</v>
      </c>
      <c r="K231" s="67">
        <v>-3.3</v>
      </c>
      <c r="L231" s="67">
        <v>-2</v>
      </c>
      <c r="M231" s="67">
        <v>11.2</v>
      </c>
      <c r="N231" s="67">
        <v>16.3</v>
      </c>
      <c r="O231" s="67">
        <v>-1.7</v>
      </c>
      <c r="P231" s="67">
        <v>3.4</v>
      </c>
      <c r="Q231" s="67">
        <v>4.2</v>
      </c>
      <c r="R231" s="67">
        <v>-0.5</v>
      </c>
      <c r="S231" s="67">
        <v>7.7</v>
      </c>
      <c r="T231" s="67">
        <v>1</v>
      </c>
      <c r="U231" s="67">
        <v>13.3</v>
      </c>
      <c r="V231" s="67">
        <v>25.7</v>
      </c>
      <c r="W231" s="398">
        <v>0</v>
      </c>
      <c r="X231" s="67">
        <v>-19.899999999999999</v>
      </c>
      <c r="Y231" s="67"/>
      <c r="Z231" s="67"/>
      <c r="AA231" s="67"/>
      <c r="AB231" s="67"/>
      <c r="AC231" s="67"/>
      <c r="AD231" s="67"/>
      <c r="AE231" s="67"/>
      <c r="AF231" s="67"/>
      <c r="AG231" s="67"/>
      <c r="AH231" s="67"/>
      <c r="AI231" s="67"/>
      <c r="AJ231" s="67"/>
      <c r="AK231" s="67"/>
      <c r="AL231" s="67"/>
      <c r="AM231" s="67"/>
      <c r="AN231" s="67"/>
      <c r="AO231" s="67"/>
      <c r="AP231" s="66"/>
      <c r="AR231" s="67" t="str">
        <f>B231</f>
        <v>Interactive</v>
      </c>
      <c r="AS231" s="73">
        <f t="shared" si="111"/>
        <v>0.60000000000000009</v>
      </c>
      <c r="AT231" s="73">
        <f t="shared" si="111"/>
        <v>-1.1470588235294117</v>
      </c>
      <c r="AU231" s="73">
        <f t="shared" si="111"/>
        <v>-1.1200000000000001</v>
      </c>
      <c r="AV231" s="73">
        <f t="shared" si="111"/>
        <v>-1.25</v>
      </c>
      <c r="AW231" s="73">
        <f t="shared" si="111"/>
        <v>3.1249999999999778E-2</v>
      </c>
      <c r="AX231" s="73">
        <f t="shared" si="111"/>
        <v>1</v>
      </c>
      <c r="AY231" s="73">
        <f t="shared" si="111"/>
        <v>-38.333333333333336</v>
      </c>
      <c r="AZ231" s="73">
        <f t="shared" si="111"/>
        <v>-33.6</v>
      </c>
      <c r="BA231" s="73">
        <f t="shared" si="111"/>
        <v>-0.48484848484848486</v>
      </c>
      <c r="BB231" s="73">
        <f t="shared" si="111"/>
        <v>-2.7</v>
      </c>
      <c r="BC231" s="73">
        <f t="shared" si="112"/>
        <v>-0.625</v>
      </c>
      <c r="BD231" s="73">
        <f t="shared" si="112"/>
        <v>-1.0306748466257669</v>
      </c>
      <c r="BE231" s="73">
        <f t="shared" si="112"/>
        <v>-5.5294117647058822</v>
      </c>
      <c r="BF231" s="73">
        <f t="shared" si="112"/>
        <v>-0.70588235294117641</v>
      </c>
      <c r="BG231" s="73">
        <f t="shared" si="112"/>
        <v>2.1666666666666665</v>
      </c>
      <c r="BH231" s="73">
        <f t="shared" si="112"/>
        <v>-52.4</v>
      </c>
      <c r="BI231" s="73">
        <f t="shared" si="112"/>
        <v>-1</v>
      </c>
      <c r="BJ231" s="73">
        <f t="shared" si="112"/>
        <v>-20.9</v>
      </c>
      <c r="BK231" s="61"/>
      <c r="BL231" s="61"/>
      <c r="BM231" s="61"/>
      <c r="BN231" s="61"/>
      <c r="BO231" s="61"/>
      <c r="BP231" s="61"/>
      <c r="BQ231" s="61"/>
      <c r="BR231" s="61"/>
      <c r="BS231" s="61"/>
    </row>
    <row r="232" spans="2:80" ht="15.75">
      <c r="B232" s="66" t="s">
        <v>4757</v>
      </c>
      <c r="C232" s="66">
        <f t="shared" ref="C232:L232" si="113">SUM(C229:C231)</f>
        <v>180.29999999999998</v>
      </c>
      <c r="D232" s="66">
        <f t="shared" si="113"/>
        <v>272</v>
      </c>
      <c r="E232" s="66">
        <f t="shared" si="113"/>
        <v>231.7</v>
      </c>
      <c r="F232" s="66">
        <f t="shared" si="113"/>
        <v>259.39999999999998</v>
      </c>
      <c r="G232" s="66">
        <f t="shared" si="113"/>
        <v>169</v>
      </c>
      <c r="H232" s="66">
        <f t="shared" si="113"/>
        <v>253</v>
      </c>
      <c r="I232" s="66">
        <f t="shared" si="113"/>
        <v>236.2</v>
      </c>
      <c r="J232" s="66">
        <f t="shared" si="113"/>
        <v>275.7</v>
      </c>
      <c r="K232" s="66">
        <f t="shared" si="113"/>
        <v>183.7</v>
      </c>
      <c r="L232" s="66">
        <f t="shared" si="113"/>
        <v>253.7</v>
      </c>
      <c r="M232" s="66">
        <f t="shared" ref="M232:R232" si="114">SUM(M229:M231)</f>
        <v>276.5</v>
      </c>
      <c r="N232" s="66">
        <f t="shared" si="114"/>
        <v>289.3</v>
      </c>
      <c r="O232" s="66">
        <f t="shared" si="114"/>
        <v>224.20000000000002</v>
      </c>
      <c r="P232" s="66">
        <f t="shared" si="114"/>
        <v>298.3</v>
      </c>
      <c r="Q232" s="66">
        <f t="shared" si="114"/>
        <v>301.8</v>
      </c>
      <c r="R232" s="66">
        <f t="shared" si="114"/>
        <v>296.09999999999997</v>
      </c>
      <c r="S232" s="66">
        <f t="shared" ref="S232:X232" si="115">SUM(S229:S231)</f>
        <v>251.39999999999998</v>
      </c>
      <c r="T232" s="66">
        <f t="shared" si="115"/>
        <v>338.1</v>
      </c>
      <c r="U232" s="66">
        <f t="shared" si="115"/>
        <v>315.10000000000002</v>
      </c>
      <c r="V232" s="66">
        <f t="shared" si="115"/>
        <v>336.2</v>
      </c>
      <c r="W232" s="66">
        <f t="shared" si="115"/>
        <v>274.2</v>
      </c>
      <c r="X232" s="112">
        <f t="shared" si="115"/>
        <v>334.6</v>
      </c>
      <c r="Y232" s="112">
        <v>391.4</v>
      </c>
      <c r="Z232" s="112">
        <v>347.6</v>
      </c>
      <c r="AA232" s="112">
        <v>308.7</v>
      </c>
      <c r="AB232" s="112">
        <v>337.7</v>
      </c>
      <c r="AC232" s="112">
        <v>327.10000000000002</v>
      </c>
      <c r="AD232" s="112">
        <v>397.2</v>
      </c>
      <c r="AE232" s="112">
        <v>295.10000000000002</v>
      </c>
      <c r="AF232" s="112">
        <v>336.9</v>
      </c>
      <c r="AG232" s="112">
        <v>355.3</v>
      </c>
      <c r="AH232" s="112">
        <v>352</v>
      </c>
      <c r="AI232" s="112">
        <v>260.3</v>
      </c>
      <c r="AJ232" s="112">
        <v>312.5</v>
      </c>
      <c r="AK232" s="112">
        <v>269</v>
      </c>
      <c r="AL232" s="112">
        <v>250.5</v>
      </c>
      <c r="AM232" s="112">
        <v>211.1</v>
      </c>
      <c r="AN232" s="112">
        <v>315.2</v>
      </c>
      <c r="AO232" s="112">
        <v>261.5</v>
      </c>
      <c r="AP232" s="112"/>
      <c r="BO232" s="69"/>
      <c r="BP232" s="69"/>
      <c r="BQ232" s="69"/>
      <c r="BR232" s="69"/>
      <c r="BS232" s="69"/>
    </row>
    <row r="233" spans="2:80" ht="15.75">
      <c r="B233" s="66" t="s">
        <v>158</v>
      </c>
      <c r="C233" s="116">
        <f>C232/C215</f>
        <v>0.3973991624421423</v>
      </c>
      <c r="D233" s="116">
        <f t="shared" ref="D233:L233" si="116">D232/D215</f>
        <v>0.42513285401688028</v>
      </c>
      <c r="E233" s="116">
        <f t="shared" si="116"/>
        <v>0.40295652173913044</v>
      </c>
      <c r="F233" s="116">
        <f t="shared" si="116"/>
        <v>0.44980058956129698</v>
      </c>
      <c r="G233" s="116">
        <f t="shared" si="116"/>
        <v>0.35076795350767953</v>
      </c>
      <c r="H233" s="116">
        <f t="shared" si="116"/>
        <v>0.42852303523035223</v>
      </c>
      <c r="I233" s="116">
        <f t="shared" si="116"/>
        <v>0.40403694834074577</v>
      </c>
      <c r="J233" s="116">
        <f t="shared" si="116"/>
        <v>0.44705691584238694</v>
      </c>
      <c r="K233" s="116">
        <f t="shared" si="116"/>
        <v>0.34765329295987885</v>
      </c>
      <c r="L233" s="116">
        <f t="shared" si="116"/>
        <v>0.41386623164763447</v>
      </c>
      <c r="M233" s="116">
        <f t="shared" ref="M233:S233" si="117">M232/M215</f>
        <v>0.43965654317061537</v>
      </c>
      <c r="N233" s="116">
        <f t="shared" si="117"/>
        <v>0.43069822837576299</v>
      </c>
      <c r="O233" s="116">
        <f t="shared" si="117"/>
        <v>0.39893238434163703</v>
      </c>
      <c r="P233" s="116">
        <f t="shared" si="117"/>
        <v>0.44094604582409463</v>
      </c>
      <c r="Q233" s="116">
        <f t="shared" si="117"/>
        <v>0.43556068696781636</v>
      </c>
      <c r="R233" s="116">
        <f t="shared" si="117"/>
        <v>0.42530881930479747</v>
      </c>
      <c r="S233" s="116">
        <f t="shared" si="117"/>
        <v>0.40476573820640799</v>
      </c>
      <c r="T233" s="116">
        <f t="shared" ref="T233:AG233" si="118">T232/T215</f>
        <v>0.40554156171284633</v>
      </c>
      <c r="U233" s="116">
        <f t="shared" si="118"/>
        <v>0.43229523940183845</v>
      </c>
      <c r="V233" s="116">
        <f t="shared" si="118"/>
        <v>0.46200357290092064</v>
      </c>
      <c r="W233" s="116">
        <f t="shared" si="118"/>
        <v>0.43893068672963015</v>
      </c>
      <c r="X233" s="116">
        <f t="shared" si="118"/>
        <v>0.48053999712767492</v>
      </c>
      <c r="Y233" s="116">
        <f t="shared" si="118"/>
        <v>0.48833437305053023</v>
      </c>
      <c r="Z233" s="116">
        <f t="shared" si="118"/>
        <v>0.47234678624813159</v>
      </c>
      <c r="AA233" s="116">
        <f t="shared" si="118"/>
        <v>0.46744397334948518</v>
      </c>
      <c r="AB233" s="116">
        <f t="shared" si="118"/>
        <v>0.421966762464076</v>
      </c>
      <c r="AC233" s="116">
        <f t="shared" si="118"/>
        <v>0.44515514425694075</v>
      </c>
      <c r="AD233" s="116">
        <f t="shared" si="118"/>
        <v>0.46922622563496752</v>
      </c>
      <c r="AE233" s="116">
        <f t="shared" si="118"/>
        <v>0.4260756569448455</v>
      </c>
      <c r="AF233" s="116">
        <f t="shared" si="118"/>
        <v>0.44044973199110993</v>
      </c>
      <c r="AG233" s="116">
        <f t="shared" si="118"/>
        <v>0.46786937055570188</v>
      </c>
      <c r="AH233" s="66"/>
      <c r="AI233" s="69"/>
      <c r="AJ233" s="69"/>
      <c r="AK233" s="69"/>
      <c r="AL233" s="69"/>
      <c r="AM233" s="69"/>
      <c r="AN233" s="69"/>
      <c r="AO233" s="69"/>
      <c r="AP233" s="69"/>
      <c r="AQ233" s="69"/>
      <c r="AR233" s="69"/>
      <c r="AS233" s="69"/>
      <c r="AT233" s="69"/>
      <c r="AU233" s="69"/>
    </row>
    <row r="234" spans="2:80" ht="15.75">
      <c r="B234" s="66" t="s">
        <v>2671</v>
      </c>
      <c r="C234" s="116"/>
      <c r="D234" s="116"/>
      <c r="E234" s="116"/>
      <c r="F234" s="116"/>
      <c r="G234" s="116"/>
      <c r="H234" s="116"/>
      <c r="I234" s="116"/>
      <c r="J234" s="116"/>
      <c r="K234" s="116"/>
      <c r="L234" s="116"/>
      <c r="M234" s="116"/>
      <c r="N234" s="116"/>
      <c r="O234" s="116"/>
      <c r="P234" s="116"/>
      <c r="Q234" s="116"/>
      <c r="R234" s="116"/>
      <c r="S234" s="116"/>
      <c r="T234" s="116"/>
      <c r="U234" s="116"/>
      <c r="V234" s="112">
        <v>326.3</v>
      </c>
      <c r="W234" s="112">
        <v>266.5</v>
      </c>
      <c r="X234" s="112">
        <v>325.7</v>
      </c>
      <c r="Y234" s="112">
        <v>384.4</v>
      </c>
      <c r="Z234" s="112">
        <v>335.2</v>
      </c>
      <c r="AA234" s="112">
        <v>296.2</v>
      </c>
      <c r="AB234" s="112">
        <v>328.9</v>
      </c>
      <c r="AC234" s="112">
        <v>317.89999999999998</v>
      </c>
      <c r="AD234" s="112">
        <v>390.1</v>
      </c>
      <c r="AE234" s="112">
        <v>284.3</v>
      </c>
      <c r="AF234" s="112">
        <v>328.7</v>
      </c>
      <c r="AG234" s="112">
        <v>348.4</v>
      </c>
      <c r="AH234" s="112">
        <v>346.8</v>
      </c>
      <c r="AI234" s="112">
        <v>254</v>
      </c>
      <c r="AJ234" s="112">
        <v>304.10000000000002</v>
      </c>
      <c r="AK234" s="112">
        <v>231</v>
      </c>
      <c r="AL234" s="112">
        <v>229</v>
      </c>
      <c r="AM234" s="112">
        <v>204.3</v>
      </c>
      <c r="AN234" s="112">
        <v>308.8</v>
      </c>
      <c r="AO234" s="112">
        <v>257</v>
      </c>
      <c r="AP234" s="112">
        <f>Univision!L14-AM234-AN234-AO234</f>
        <v>207.69849999999991</v>
      </c>
      <c r="AQ234" s="69"/>
      <c r="AR234" s="66" t="s">
        <v>2672</v>
      </c>
      <c r="AS234" s="69">
        <f t="shared" ref="AS234:BJ234" si="119">G232/C232-1</f>
        <v>-6.2673322240709872E-2</v>
      </c>
      <c r="AT234" s="69">
        <f t="shared" si="119"/>
        <v>-6.9852941176470562E-2</v>
      </c>
      <c r="AU234" s="69">
        <f t="shared" si="119"/>
        <v>1.9421665947345623E-2</v>
      </c>
      <c r="AV234" s="69">
        <f t="shared" si="119"/>
        <v>6.283731688511951E-2</v>
      </c>
      <c r="AW234" s="69">
        <f t="shared" si="119"/>
        <v>8.6982248520709904E-2</v>
      </c>
      <c r="AX234" s="69">
        <f t="shared" si="119"/>
        <v>2.766798418972316E-3</v>
      </c>
      <c r="AY234" s="69">
        <f t="shared" si="119"/>
        <v>0.17061812023708733</v>
      </c>
      <c r="AZ234" s="69">
        <f t="shared" si="119"/>
        <v>4.9328980776206066E-2</v>
      </c>
      <c r="BA234" s="69">
        <f t="shared" si="119"/>
        <v>0.22046815459989122</v>
      </c>
      <c r="BB234" s="69">
        <f t="shared" si="119"/>
        <v>0.17579818683484438</v>
      </c>
      <c r="BC234" s="69">
        <f t="shared" si="119"/>
        <v>9.1500904159132146E-2</v>
      </c>
      <c r="BD234" s="69">
        <f t="shared" si="119"/>
        <v>2.350501209816791E-2</v>
      </c>
      <c r="BE234" s="69">
        <f t="shared" si="119"/>
        <v>0.12132024977698475</v>
      </c>
      <c r="BF234" s="69">
        <f t="shared" si="119"/>
        <v>0.13342272879651351</v>
      </c>
      <c r="BG234" s="69">
        <f t="shared" si="119"/>
        <v>4.4068919814446605E-2</v>
      </c>
      <c r="BH234" s="69">
        <f t="shared" si="119"/>
        <v>0.13542722053360357</v>
      </c>
      <c r="BI234" s="69">
        <f t="shared" si="119"/>
        <v>9.069212410501204E-2</v>
      </c>
      <c r="BJ234" s="69">
        <f t="shared" si="119"/>
        <v>-1.0351966873705987E-2</v>
      </c>
      <c r="BK234" s="117">
        <v>0.14000000000000001</v>
      </c>
      <c r="BL234" s="117">
        <v>8.6999999999999994E-2</v>
      </c>
      <c r="BM234" s="69">
        <f t="shared" ref="BM234:BS234" si="120">AA241/W245-1</f>
        <v>0.16498993963782693</v>
      </c>
      <c r="BN234" s="69">
        <f t="shared" si="120"/>
        <v>6.3137755102040671E-2</v>
      </c>
      <c r="BO234" s="69">
        <f t="shared" si="120"/>
        <v>-0.13787878787878793</v>
      </c>
      <c r="BP234" s="69">
        <f t="shared" si="120"/>
        <v>3.1948881789137351E-2</v>
      </c>
      <c r="BQ234" s="69">
        <f t="shared" si="120"/>
        <v>-6.0042887776983633E-2</v>
      </c>
      <c r="BR234" s="69">
        <f t="shared" si="120"/>
        <v>-0.10923076923076924</v>
      </c>
      <c r="BS234" s="69">
        <f t="shared" si="120"/>
        <v>7.7368040491684553E-2</v>
      </c>
    </row>
    <row r="235" spans="2:80" ht="15.75">
      <c r="B235" s="66" t="s">
        <v>158</v>
      </c>
      <c r="C235" s="116"/>
      <c r="D235" s="116"/>
      <c r="E235" s="116"/>
      <c r="F235" s="116"/>
      <c r="G235" s="116"/>
      <c r="H235" s="116"/>
      <c r="I235" s="116"/>
      <c r="J235" s="116"/>
      <c r="K235" s="116"/>
      <c r="L235" s="116"/>
      <c r="M235" s="116"/>
      <c r="N235" s="116"/>
      <c r="O235" s="116"/>
      <c r="P235" s="116"/>
      <c r="Q235" s="116"/>
      <c r="R235" s="116"/>
      <c r="S235" s="116"/>
      <c r="T235" s="116"/>
      <c r="U235" s="116"/>
      <c r="V235" s="116">
        <f>V234/V215</f>
        <v>0.44839906554898995</v>
      </c>
      <c r="W235" s="116">
        <f t="shared" ref="W235:AO235" si="121">W234/W215</f>
        <v>0.42660477028973903</v>
      </c>
      <c r="X235" s="116">
        <f t="shared" si="121"/>
        <v>0.4677581502226052</v>
      </c>
      <c r="Y235" s="116">
        <f t="shared" si="121"/>
        <v>0.47960074859638174</v>
      </c>
      <c r="Z235" s="116">
        <f t="shared" si="121"/>
        <v>0.45549667074330752</v>
      </c>
      <c r="AA235" s="116">
        <f t="shared" si="121"/>
        <v>0.44851605087825558</v>
      </c>
      <c r="AB235" s="116">
        <f t="shared" si="121"/>
        <v>0.4109708859177808</v>
      </c>
      <c r="AC235" s="116">
        <f t="shared" si="121"/>
        <v>0.43263473053892215</v>
      </c>
      <c r="AD235" s="116">
        <f t="shared" si="121"/>
        <v>0.46083874778499706</v>
      </c>
      <c r="AE235" s="116">
        <f t="shared" si="121"/>
        <v>0.41048224083164886</v>
      </c>
      <c r="AF235" s="116">
        <f t="shared" si="121"/>
        <v>0.42972937638907044</v>
      </c>
      <c r="AG235" s="116">
        <f t="shared" si="121"/>
        <v>0.45878324993415853</v>
      </c>
      <c r="AH235" s="116">
        <f t="shared" si="121"/>
        <v>0.45903375248180017</v>
      </c>
      <c r="AI235" s="116">
        <f t="shared" si="121"/>
        <v>0.38126688682077453</v>
      </c>
      <c r="AJ235" s="116">
        <f t="shared" si="121"/>
        <v>0.40557481995198724</v>
      </c>
      <c r="AK235" s="116">
        <f t="shared" si="121"/>
        <v>0.3677172874880611</v>
      </c>
      <c r="AL235" s="116">
        <f t="shared" si="121"/>
        <v>0.33260711692084244</v>
      </c>
      <c r="AM235" s="116">
        <f t="shared" si="121"/>
        <v>0.33387808465435531</v>
      </c>
      <c r="AN235" s="116">
        <f t="shared" si="121"/>
        <v>0.42249281707483927</v>
      </c>
      <c r="AO235" s="116">
        <f t="shared" si="121"/>
        <v>0.37716466099207513</v>
      </c>
      <c r="AP235" s="116">
        <f>AP234/AP215</f>
        <v>0.31724224835802645</v>
      </c>
      <c r="AQ235" s="69"/>
      <c r="AR235" s="69"/>
      <c r="AS235" s="69"/>
      <c r="AT235" s="69"/>
      <c r="AU235" s="69"/>
    </row>
    <row r="236" spans="2:80" ht="15.75">
      <c r="B236" s="66"/>
      <c r="C236" s="66"/>
      <c r="D236" s="66"/>
      <c r="E236" s="66"/>
      <c r="F236" s="66"/>
      <c r="G236" s="66"/>
      <c r="H236" s="66"/>
      <c r="I236" s="66"/>
      <c r="J236" s="66"/>
      <c r="K236" s="66"/>
      <c r="L236" s="66"/>
      <c r="O236" s="116"/>
      <c r="P236" s="116"/>
      <c r="Q236" s="66"/>
      <c r="V236" s="8"/>
      <c r="W236" s="8"/>
      <c r="X236" s="8"/>
      <c r="Y236" s="8"/>
      <c r="Z236" s="8"/>
      <c r="AA236" s="8"/>
      <c r="AB236" s="8"/>
      <c r="AC236" s="8"/>
      <c r="AD236" s="8"/>
      <c r="AE236" s="8"/>
      <c r="AF236" s="8"/>
      <c r="AG236" s="8"/>
      <c r="AI236" s="66"/>
      <c r="AJ236" s="66"/>
      <c r="AK236" s="66"/>
      <c r="AL236" s="66"/>
      <c r="AM236" s="66"/>
      <c r="AN236" s="66"/>
      <c r="AO236" s="66"/>
      <c r="AP236" s="66"/>
      <c r="AQ236" s="66"/>
      <c r="AR236" s="66" t="s">
        <v>158</v>
      </c>
      <c r="AS236" s="116">
        <f t="shared" ref="AS236:BI236" si="122">G233</f>
        <v>0.35076795350767953</v>
      </c>
      <c r="AT236" s="116">
        <f t="shared" si="122"/>
        <v>0.42852303523035223</v>
      </c>
      <c r="AU236" s="116">
        <f t="shared" si="122"/>
        <v>0.40403694834074577</v>
      </c>
      <c r="AV236" s="116">
        <f t="shared" si="122"/>
        <v>0.44705691584238694</v>
      </c>
      <c r="AW236" s="116">
        <f t="shared" si="122"/>
        <v>0.34765329295987885</v>
      </c>
      <c r="AX236" s="116">
        <f t="shared" si="122"/>
        <v>0.41386623164763447</v>
      </c>
      <c r="AY236" s="116">
        <f t="shared" si="122"/>
        <v>0.43965654317061537</v>
      </c>
      <c r="AZ236" s="116">
        <f t="shared" si="122"/>
        <v>0.43069822837576299</v>
      </c>
      <c r="BA236" s="116">
        <f t="shared" si="122"/>
        <v>0.39893238434163703</v>
      </c>
      <c r="BB236" s="116">
        <f t="shared" si="122"/>
        <v>0.44094604582409463</v>
      </c>
      <c r="BC236" s="116">
        <f t="shared" si="122"/>
        <v>0.43556068696781636</v>
      </c>
      <c r="BD236" s="116">
        <f t="shared" si="122"/>
        <v>0.42530881930479747</v>
      </c>
      <c r="BE236" s="116">
        <f t="shared" si="122"/>
        <v>0.40476573820640799</v>
      </c>
      <c r="BF236" s="116">
        <f t="shared" si="122"/>
        <v>0.40554156171284633</v>
      </c>
      <c r="BG236" s="116">
        <f t="shared" si="122"/>
        <v>0.43229523940183845</v>
      </c>
      <c r="BH236" s="116">
        <f t="shared" si="122"/>
        <v>0.46200357290092064</v>
      </c>
      <c r="BI236" s="116">
        <f t="shared" si="122"/>
        <v>0.43893068672963015</v>
      </c>
    </row>
    <row r="237" spans="2:80" ht="15.75">
      <c r="B237" s="66" t="str">
        <f>B217</f>
        <v>political advertising</v>
      </c>
      <c r="C237" s="66"/>
      <c r="D237" s="66"/>
      <c r="E237" s="66"/>
      <c r="F237" s="66"/>
      <c r="G237" s="66"/>
      <c r="H237" s="66"/>
      <c r="I237" s="66"/>
      <c r="J237" s="66"/>
      <c r="K237" s="231">
        <f>29-L237-M237-N237</f>
        <v>0.5</v>
      </c>
      <c r="L237" s="231">
        <v>2</v>
      </c>
      <c r="M237" s="231">
        <v>8</v>
      </c>
      <c r="N237" s="66">
        <v>18.5</v>
      </c>
      <c r="O237" s="231">
        <v>2</v>
      </c>
      <c r="P237" s="231">
        <v>1</v>
      </c>
      <c r="Q237" s="231">
        <f>5.8-R237-O237-P237</f>
        <v>2.7</v>
      </c>
      <c r="R237" s="66">
        <v>0.1</v>
      </c>
      <c r="S237" s="66">
        <v>1.9</v>
      </c>
      <c r="T237" s="66"/>
      <c r="U237" s="66">
        <f t="shared" ref="U237:V240" si="123">U217</f>
        <v>16.100000000000001</v>
      </c>
      <c r="V237" s="66">
        <f t="shared" si="123"/>
        <v>28.4</v>
      </c>
      <c r="W237" s="66"/>
      <c r="X237" s="66"/>
      <c r="Y237" s="66">
        <f t="shared" ref="Y237:Z240" si="124">Y217</f>
        <v>7.4</v>
      </c>
      <c r="Z237" s="66">
        <f t="shared" si="124"/>
        <v>9.8000000000000007</v>
      </c>
      <c r="AA237" s="66"/>
      <c r="AB237" s="66"/>
      <c r="AC237" s="66"/>
      <c r="AD237" s="66"/>
      <c r="AE237" s="66"/>
      <c r="AF237" s="66"/>
      <c r="AG237" s="66"/>
      <c r="AI237" s="66"/>
      <c r="AJ237" s="66"/>
      <c r="AK237" s="66"/>
      <c r="AL237" s="66"/>
      <c r="AM237" s="66"/>
      <c r="AN237" s="66"/>
      <c r="AO237" s="66"/>
      <c r="AP237" s="66"/>
      <c r="AQ237" s="66"/>
      <c r="AR237" s="66"/>
      <c r="AS237" s="116"/>
      <c r="AT237" s="116"/>
      <c r="AU237" s="116"/>
      <c r="AV237" s="116"/>
      <c r="AW237" s="116"/>
      <c r="AX237" s="116"/>
      <c r="AY237" s="116"/>
      <c r="AZ237" s="116"/>
      <c r="BA237" s="116"/>
      <c r="BB237" s="116"/>
      <c r="BC237" s="116"/>
      <c r="BD237" s="116"/>
    </row>
    <row r="238" spans="2:80" ht="15.75">
      <c r="B238" s="66" t="str">
        <f>B218</f>
        <v>timing of revs recognition</v>
      </c>
      <c r="C238" s="66"/>
      <c r="D238" s="66"/>
      <c r="E238" s="66"/>
      <c r="F238" s="66"/>
      <c r="G238" s="66"/>
      <c r="H238" s="66"/>
      <c r="I238" s="66"/>
      <c r="J238" s="66"/>
      <c r="K238" s="231">
        <f>30.9-N238-M238-L238</f>
        <v>3.8999999999999986</v>
      </c>
      <c r="L238" s="231">
        <v>5</v>
      </c>
      <c r="M238" s="231">
        <v>5</v>
      </c>
      <c r="N238" s="66">
        <v>17</v>
      </c>
      <c r="O238" s="231">
        <v>2.5</v>
      </c>
      <c r="P238" s="231">
        <v>3</v>
      </c>
      <c r="Q238" s="231">
        <f>10.7-R238-O238-P238</f>
        <v>4</v>
      </c>
      <c r="R238" s="66">
        <v>1.2</v>
      </c>
      <c r="S238" s="66">
        <v>0.8</v>
      </c>
      <c r="T238" s="231"/>
      <c r="U238" s="66">
        <f t="shared" si="123"/>
        <v>0</v>
      </c>
      <c r="V238" s="66">
        <f t="shared" si="123"/>
        <v>0</v>
      </c>
      <c r="W238" s="66">
        <v>6.4</v>
      </c>
      <c r="X238" s="66"/>
      <c r="Y238" s="66">
        <f t="shared" si="124"/>
        <v>0</v>
      </c>
      <c r="Z238" s="66">
        <f t="shared" si="124"/>
        <v>0</v>
      </c>
      <c r="AA238" s="66"/>
      <c r="AB238" s="66"/>
      <c r="AC238" s="66"/>
      <c r="AD238" s="66"/>
      <c r="AE238" s="66"/>
      <c r="AF238" s="66"/>
      <c r="AG238" s="66"/>
      <c r="AI238" s="66"/>
      <c r="AJ238" s="66"/>
      <c r="AK238" s="66"/>
      <c r="AL238" s="66"/>
      <c r="AM238" s="66"/>
      <c r="AN238" s="66"/>
      <c r="AO238" s="66"/>
      <c r="AP238" s="66"/>
      <c r="AQ238" s="66"/>
      <c r="AR238" s="66"/>
      <c r="AS238" s="116"/>
      <c r="AT238" s="116"/>
      <c r="AU238" s="116"/>
      <c r="AV238" s="116"/>
      <c r="AW238" s="116"/>
      <c r="AX238" s="116"/>
      <c r="AY238" s="116"/>
      <c r="AZ238" s="116"/>
      <c r="BA238" s="111" t="str">
        <f t="shared" ref="BA238:BF238" si="125">BA211</f>
        <v>Q1 13</v>
      </c>
      <c r="BB238" s="111" t="str">
        <f t="shared" si="125"/>
        <v>Q2 13</v>
      </c>
      <c r="BC238" s="111" t="str">
        <f t="shared" si="125"/>
        <v>Q3 13</v>
      </c>
      <c r="BD238" s="111" t="str">
        <f t="shared" si="125"/>
        <v>Q4 13</v>
      </c>
      <c r="BE238" s="111" t="str">
        <f t="shared" si="125"/>
        <v>Q1 14</v>
      </c>
      <c r="BF238" s="111" t="str">
        <f t="shared" si="125"/>
        <v>Q2 14</v>
      </c>
      <c r="BG238" s="111" t="str">
        <f>BG211</f>
        <v>Q3 14</v>
      </c>
      <c r="BH238" s="111" t="str">
        <f>BH211</f>
        <v>Q4 14</v>
      </c>
      <c r="BI238" s="111" t="str">
        <f t="shared" ref="BI238:CB238" si="126">BI211</f>
        <v>Q1 15</v>
      </c>
      <c r="BJ238" s="111" t="str">
        <f t="shared" si="126"/>
        <v>Q2 15</v>
      </c>
      <c r="BK238" s="111" t="str">
        <f t="shared" si="126"/>
        <v>Q3 15</v>
      </c>
      <c r="BL238" s="111" t="str">
        <f t="shared" si="126"/>
        <v>Q4 15</v>
      </c>
      <c r="BM238" s="111" t="str">
        <f t="shared" si="126"/>
        <v>Q1 16</v>
      </c>
      <c r="BN238" s="111" t="str">
        <f t="shared" si="126"/>
        <v>Q2 16</v>
      </c>
      <c r="BO238" s="111" t="str">
        <f t="shared" si="126"/>
        <v>Q3 16</v>
      </c>
      <c r="BP238" s="111" t="str">
        <f t="shared" si="126"/>
        <v>Q4 16</v>
      </c>
      <c r="BQ238" s="111" t="str">
        <f t="shared" si="126"/>
        <v>Q1 17</v>
      </c>
      <c r="BR238" s="111" t="str">
        <f t="shared" si="126"/>
        <v>Q2 17</v>
      </c>
      <c r="BS238" s="111" t="str">
        <f t="shared" si="126"/>
        <v>Q3 17</v>
      </c>
      <c r="BT238" s="111" t="str">
        <f t="shared" si="126"/>
        <v>Q4 17</v>
      </c>
      <c r="BU238" s="111" t="str">
        <f t="shared" si="126"/>
        <v>Q1 18</v>
      </c>
      <c r="BV238" s="111" t="str">
        <f t="shared" si="126"/>
        <v>Q2 18</v>
      </c>
      <c r="BW238" s="111" t="str">
        <f t="shared" si="126"/>
        <v>Q3 18</v>
      </c>
      <c r="BX238" s="111" t="str">
        <f t="shared" si="126"/>
        <v>Q4 18</v>
      </c>
      <c r="BY238" s="111" t="str">
        <f t="shared" si="126"/>
        <v>Q1 19</v>
      </c>
      <c r="BZ238" s="111" t="str">
        <f t="shared" si="126"/>
        <v>Q2 19</v>
      </c>
      <c r="CA238" s="111" t="str">
        <f t="shared" si="126"/>
        <v>Q3 19</v>
      </c>
      <c r="CB238" s="111" t="str">
        <f t="shared" si="126"/>
        <v>Q4 19e</v>
      </c>
    </row>
    <row r="239" spans="2:80" ht="15.75">
      <c r="B239" s="66" t="str">
        <f>B219</f>
        <v>non-cash contractual revs</v>
      </c>
      <c r="C239" s="66"/>
      <c r="D239" s="66"/>
      <c r="E239" s="66"/>
      <c r="F239" s="66"/>
      <c r="G239" s="66"/>
      <c r="H239" s="66"/>
      <c r="I239" s="66"/>
      <c r="J239" s="66"/>
      <c r="K239" s="231">
        <f>19.2-N239-M239-L239</f>
        <v>5.3999999999999986</v>
      </c>
      <c r="L239" s="231">
        <v>4</v>
      </c>
      <c r="M239" s="231">
        <v>4</v>
      </c>
      <c r="N239" s="66">
        <v>5.8</v>
      </c>
      <c r="O239" s="231">
        <f>8.9-O238-O237</f>
        <v>4.4000000000000004</v>
      </c>
      <c r="P239" s="231">
        <v>2.5</v>
      </c>
      <c r="Q239" s="231">
        <f>6.3-R239-O239-P239</f>
        <v>-0.90000000000000036</v>
      </c>
      <c r="R239" s="66">
        <v>0.3</v>
      </c>
      <c r="S239" s="231">
        <v>0</v>
      </c>
      <c r="T239" s="231"/>
      <c r="U239" s="66">
        <f t="shared" si="123"/>
        <v>0</v>
      </c>
      <c r="V239" s="66">
        <f t="shared" si="123"/>
        <v>0</v>
      </c>
      <c r="W239" s="231"/>
      <c r="X239" s="231"/>
      <c r="Y239" s="66">
        <f t="shared" si="124"/>
        <v>0</v>
      </c>
      <c r="Z239" s="66">
        <f t="shared" si="124"/>
        <v>0</v>
      </c>
      <c r="AA239" s="66"/>
      <c r="AB239" s="66"/>
      <c r="AC239" s="66"/>
      <c r="AD239" s="66"/>
      <c r="AE239" s="66"/>
      <c r="AF239" s="66"/>
      <c r="AG239" s="66"/>
      <c r="AI239" s="66"/>
      <c r="AJ239" s="66"/>
      <c r="AK239" s="66"/>
      <c r="AL239" s="66"/>
      <c r="AM239" s="66"/>
      <c r="AN239" s="66"/>
      <c r="AO239" s="66"/>
      <c r="AP239" s="66"/>
      <c r="AQ239" s="66"/>
      <c r="AR239" s="66"/>
      <c r="AS239" s="116"/>
      <c r="AT239" s="116"/>
      <c r="AU239" s="116"/>
      <c r="AV239" s="116"/>
      <c r="AW239" s="116"/>
      <c r="AX239" s="116"/>
      <c r="AY239" s="116"/>
      <c r="AZ239" s="116" t="s">
        <v>1562</v>
      </c>
      <c r="BA239" s="69">
        <f t="shared" ref="BA239:BJ239" si="127">O221/K221-1</f>
        <v>6.3115228720324268E-2</v>
      </c>
      <c r="BB239" s="69">
        <f t="shared" si="127"/>
        <v>7.6421404682274208E-2</v>
      </c>
      <c r="BC239" s="69">
        <f t="shared" si="127"/>
        <v>5.0090624485088275E-2</v>
      </c>
      <c r="BD239" s="69">
        <f t="shared" si="127"/>
        <v>0.11248593925759254</v>
      </c>
      <c r="BE239" s="69">
        <f t="shared" si="127"/>
        <v>0.114560639070443</v>
      </c>
      <c r="BF239" s="69">
        <f t="shared" si="127"/>
        <v>0.11573714463259277</v>
      </c>
      <c r="BG239" s="69">
        <f t="shared" si="127"/>
        <v>2.8871802918562395E-2</v>
      </c>
      <c r="BH239" s="69">
        <f t="shared" si="127"/>
        <v>-1.1989022100245328E-2</v>
      </c>
      <c r="BI239" s="69">
        <f t="shared" si="127"/>
        <v>5.5383612966282136E-3</v>
      </c>
      <c r="BJ239" s="69">
        <f t="shared" si="127"/>
        <v>-3.0492898913951683E-2</v>
      </c>
      <c r="BK239" s="69">
        <f t="shared" ref="BK239:BR239" si="128">BK215</f>
        <v>8.3422296782064809E-2</v>
      </c>
      <c r="BL239" s="69">
        <f t="shared" si="128"/>
        <v>3.5964912280701755E-2</v>
      </c>
      <c r="BM239" s="69">
        <f t="shared" si="128"/>
        <v>7.5762599469495928E-2</v>
      </c>
      <c r="BN239" s="69">
        <f t="shared" si="128"/>
        <v>4.9706744868035058E-2</v>
      </c>
      <c r="BO239" s="69">
        <f t="shared" si="128"/>
        <v>-1.6751126126126059E-2</v>
      </c>
      <c r="BP239" s="69">
        <f t="shared" si="128"/>
        <v>8.5097375105842366E-2</v>
      </c>
      <c r="BQ239" s="69">
        <f t="shared" si="128"/>
        <v>8.0000000000000002E-3</v>
      </c>
      <c r="BR239" s="69">
        <f t="shared" si="128"/>
        <v>7.0000000000000001E-3</v>
      </c>
      <c r="BS239" s="69">
        <f>BS215</f>
        <v>0.01</v>
      </c>
      <c r="BT239" s="69">
        <f t="shared" ref="BT239:BY239" si="129">BT215</f>
        <v>-2.9000000000000001E-2</v>
      </c>
      <c r="BU239" s="69">
        <f t="shared" si="129"/>
        <v>-1.2E-2</v>
      </c>
      <c r="BV239" s="69">
        <f t="shared" si="129"/>
        <v>-3.0789648307896544E-2</v>
      </c>
      <c r="BW239" s="69">
        <f t="shared" si="129"/>
        <v>-8.1788594877600151E-2</v>
      </c>
      <c r="BX239" s="69">
        <f t="shared" si="129"/>
        <v>-8.6625086625086611E-2</v>
      </c>
      <c r="BY239" s="69">
        <f t="shared" si="129"/>
        <v>-7.9981787828198425E-2</v>
      </c>
    </row>
    <row r="240" spans="2:80" ht="15.75">
      <c r="B240" s="66" t="str">
        <f>B220</f>
        <v>other (soccer inc. world cup)</v>
      </c>
      <c r="C240" s="66"/>
      <c r="D240" s="66"/>
      <c r="E240" s="66"/>
      <c r="F240" s="66"/>
      <c r="G240" s="66"/>
      <c r="H240" s="66"/>
      <c r="I240" s="66"/>
      <c r="J240" s="66"/>
      <c r="K240" s="231"/>
      <c r="L240" s="231"/>
      <c r="M240" s="231"/>
      <c r="N240" s="66"/>
      <c r="O240" s="231"/>
      <c r="P240" s="389">
        <f>(65.3-29.4)-Q240</f>
        <v>9.2999999999999972</v>
      </c>
      <c r="Q240" s="231">
        <f>Q220-18.5</f>
        <v>26.6</v>
      </c>
      <c r="R240" s="66"/>
      <c r="S240" s="231">
        <f>18.8-T240</f>
        <v>1.5</v>
      </c>
      <c r="T240" s="231">
        <v>17.3</v>
      </c>
      <c r="U240" s="48">
        <f t="shared" si="123"/>
        <v>57.1</v>
      </c>
      <c r="V240" s="48">
        <f t="shared" si="123"/>
        <v>15.3</v>
      </c>
      <c r="W240" s="48">
        <v>1.5</v>
      </c>
      <c r="X240" s="406">
        <v>0</v>
      </c>
      <c r="Y240" s="48">
        <f t="shared" si="124"/>
        <v>83.7</v>
      </c>
      <c r="Z240" s="48">
        <f t="shared" si="124"/>
        <v>17.5</v>
      </c>
      <c r="AA240" s="48"/>
      <c r="AB240" s="48"/>
      <c r="AC240" s="48"/>
      <c r="AD240" s="48"/>
      <c r="AE240" s="48"/>
      <c r="AF240" s="48"/>
      <c r="AG240" s="48"/>
      <c r="AI240" s="66"/>
      <c r="AJ240" s="66"/>
      <c r="AK240" s="66"/>
      <c r="AL240" s="66"/>
      <c r="AM240" s="66"/>
      <c r="AN240" s="66"/>
      <c r="AO240" s="66"/>
      <c r="AP240" s="66"/>
      <c r="AQ240" s="66"/>
      <c r="AR240" s="66"/>
      <c r="AS240" s="116"/>
      <c r="AT240" s="116"/>
      <c r="AU240" s="116"/>
      <c r="AV240" s="116"/>
      <c r="AW240" s="116"/>
      <c r="AX240" s="116"/>
      <c r="AY240" s="116"/>
      <c r="AZ240" s="116"/>
      <c r="BA240" s="69"/>
      <c r="BB240" s="69"/>
      <c r="BC240" s="69"/>
      <c r="BD240" s="69"/>
      <c r="BE240" s="69"/>
      <c r="BF240" s="69"/>
      <c r="BG240" s="69"/>
      <c r="BH240" s="69"/>
      <c r="BI240" s="69"/>
    </row>
    <row r="241" spans="2:82" ht="15.75">
      <c r="B241" s="67" t="s">
        <v>182</v>
      </c>
      <c r="C241" s="67"/>
      <c r="D241" s="67"/>
      <c r="E241" s="67"/>
      <c r="F241" s="67"/>
      <c r="G241" s="67"/>
      <c r="H241" s="67"/>
      <c r="I241" s="67"/>
      <c r="J241" s="67"/>
      <c r="K241" s="67">
        <f t="shared" ref="K241:R241" si="130">K232-K237-K238-K239-K240</f>
        <v>173.89999999999998</v>
      </c>
      <c r="L241" s="67">
        <f t="shared" si="130"/>
        <v>242.7</v>
      </c>
      <c r="M241" s="67">
        <f t="shared" si="130"/>
        <v>259.5</v>
      </c>
      <c r="N241" s="67">
        <f t="shared" si="130"/>
        <v>248</v>
      </c>
      <c r="O241" s="67">
        <f t="shared" si="130"/>
        <v>215.3</v>
      </c>
      <c r="P241" s="67">
        <f t="shared" si="130"/>
        <v>282.5</v>
      </c>
      <c r="Q241" s="67">
        <f t="shared" si="130"/>
        <v>269.39999999999998</v>
      </c>
      <c r="R241" s="67">
        <f t="shared" si="130"/>
        <v>294.49999999999994</v>
      </c>
      <c r="S241" s="67">
        <f t="shared" ref="S241:X241" si="131">S232-S237-S238-S239-S240</f>
        <v>247.19999999999996</v>
      </c>
      <c r="T241" s="67">
        <f t="shared" si="131"/>
        <v>320.8</v>
      </c>
      <c r="U241" s="76">
        <f>U232-U237-U238-U239-U240</f>
        <v>241.9</v>
      </c>
      <c r="V241" s="76">
        <f>V232-V237-V238-V239-V240</f>
        <v>292.5</v>
      </c>
      <c r="W241" s="67">
        <f t="shared" si="131"/>
        <v>266.3</v>
      </c>
      <c r="X241" s="67">
        <f t="shared" si="131"/>
        <v>334.6</v>
      </c>
      <c r="Y241" s="76">
        <f>Y232-Y237-Y238-Y239-Y240</f>
        <v>300.3</v>
      </c>
      <c r="Z241" s="76">
        <f>Z232-Z237-Z238-Z239-Z240</f>
        <v>320.3</v>
      </c>
      <c r="AA241" s="76">
        <v>289.5</v>
      </c>
      <c r="AB241" s="76">
        <v>333.4</v>
      </c>
      <c r="AC241" s="76">
        <v>284.5</v>
      </c>
      <c r="AD241" s="76">
        <v>323</v>
      </c>
      <c r="AE241" s="76">
        <v>263</v>
      </c>
      <c r="AF241" s="76">
        <v>289.5</v>
      </c>
      <c r="AG241" s="76">
        <v>298</v>
      </c>
      <c r="AH241" s="76">
        <v>286.60000000000002</v>
      </c>
      <c r="AI241" s="76">
        <v>248.4</v>
      </c>
      <c r="AJ241" s="76">
        <v>287.5</v>
      </c>
      <c r="AK241" s="76">
        <v>247.3</v>
      </c>
      <c r="AL241" s="76">
        <v>205.8</v>
      </c>
      <c r="AM241" s="76">
        <v>200.2</v>
      </c>
      <c r="AN241" s="76">
        <v>299.39999999999998</v>
      </c>
      <c r="AO241" s="76">
        <v>251.8</v>
      </c>
      <c r="AP241" s="76">
        <f>AL241/AL234*AP234</f>
        <v>186.65655589519642</v>
      </c>
      <c r="AQ241" s="66"/>
      <c r="AR241" s="66"/>
      <c r="AS241" s="116"/>
      <c r="AT241" s="116"/>
      <c r="AU241" s="116"/>
      <c r="AV241" s="116"/>
      <c r="AW241" s="116"/>
      <c r="AX241" s="116"/>
      <c r="AY241" s="116"/>
      <c r="AZ241" s="116" t="s">
        <v>57</v>
      </c>
      <c r="BA241" s="69">
        <f t="shared" ref="BA241:BL241" si="132">O241/K241-1</f>
        <v>0.23806785508913197</v>
      </c>
      <c r="BB241" s="69">
        <f t="shared" si="132"/>
        <v>0.16398846312319737</v>
      </c>
      <c r="BC241" s="69">
        <f t="shared" si="132"/>
        <v>3.8150289017340855E-2</v>
      </c>
      <c r="BD241" s="69">
        <f t="shared" si="132"/>
        <v>0.18749999999999978</v>
      </c>
      <c r="BE241" s="69">
        <f t="shared" si="132"/>
        <v>0.14816535067347858</v>
      </c>
      <c r="BF241" s="69">
        <f t="shared" si="132"/>
        <v>0.13557522123893806</v>
      </c>
      <c r="BG241" s="69">
        <f t="shared" si="132"/>
        <v>-0.10207869339272446</v>
      </c>
      <c r="BH241" s="69">
        <f t="shared" si="132"/>
        <v>-6.7911714770796383E-3</v>
      </c>
      <c r="BI241" s="69">
        <f t="shared" si="132"/>
        <v>7.7265372168284996E-2</v>
      </c>
      <c r="BJ241" s="69">
        <f t="shared" si="132"/>
        <v>4.3017456359102368E-2</v>
      </c>
      <c r="BK241" s="69">
        <f t="shared" si="132"/>
        <v>0.24142207523770165</v>
      </c>
      <c r="BL241" s="69">
        <f t="shared" si="132"/>
        <v>9.5042735042734972E-2</v>
      </c>
      <c r="BM241" s="69">
        <f>AA241/W241-1</f>
        <v>8.7119789710852436E-2</v>
      </c>
      <c r="BN241" s="69">
        <f>AB241/X241-1</f>
        <v>-3.5863717872087753E-3</v>
      </c>
      <c r="BO241" s="69">
        <f>AC241/Y241-1</f>
        <v>-5.2614052614052609E-2</v>
      </c>
      <c r="BP241" s="69">
        <f>AD241/Z241-1</f>
        <v>8.429597252575638E-3</v>
      </c>
      <c r="BQ241" s="117">
        <v>-5.1999999999999998E-2</v>
      </c>
      <c r="BR241" s="117">
        <v>-1.7999999999999999E-2</v>
      </c>
      <c r="BS241" s="117">
        <v>0.16400000000000001</v>
      </c>
      <c r="BT241" s="117">
        <v>-2E-3</v>
      </c>
      <c r="BU241" s="117">
        <v>-1E-3</v>
      </c>
      <c r="BV241" s="116">
        <f t="shared" ref="BV241:CB241" si="133">AJ241/AF241-1</f>
        <v>-6.9084628670120773E-3</v>
      </c>
      <c r="BW241" s="69">
        <f t="shared" si="133"/>
        <v>-0.17013422818791946</v>
      </c>
      <c r="BX241" s="69">
        <f t="shared" si="133"/>
        <v>-0.28192602930914168</v>
      </c>
      <c r="BY241" s="69">
        <f t="shared" si="133"/>
        <v>-0.19404186795491152</v>
      </c>
      <c r="BZ241" s="69">
        <f t="shared" si="133"/>
        <v>4.1391304347826008E-2</v>
      </c>
      <c r="CA241" s="69">
        <f t="shared" si="133"/>
        <v>1.8196522442377683E-2</v>
      </c>
      <c r="CB241" s="69">
        <f t="shared" si="133"/>
        <v>-9.3019650655022268E-2</v>
      </c>
      <c r="CD241" t="s">
        <v>4758</v>
      </c>
    </row>
    <row r="242" spans="2:82" ht="15.75">
      <c r="B242" s="66" t="s">
        <v>158</v>
      </c>
      <c r="C242" s="66"/>
      <c r="D242" s="66"/>
      <c r="E242" s="66"/>
      <c r="F242" s="66"/>
      <c r="G242" s="66"/>
      <c r="H242" s="66"/>
      <c r="I242" s="66"/>
      <c r="J242" s="66"/>
      <c r="K242" s="116">
        <f t="shared" ref="K242:Q242" si="134">K241/K221</f>
        <v>0.33564948851573057</v>
      </c>
      <c r="L242" s="116">
        <f t="shared" si="134"/>
        <v>0.40585284280936446</v>
      </c>
      <c r="M242" s="116">
        <f t="shared" si="134"/>
        <v>0.42758279782501235</v>
      </c>
      <c r="N242" s="116">
        <f t="shared" si="134"/>
        <v>0.39852161336975733</v>
      </c>
      <c r="O242" s="116">
        <f t="shared" si="134"/>
        <v>0.39088598402323899</v>
      </c>
      <c r="P242" s="116">
        <f t="shared" si="134"/>
        <v>0.43886903837191232</v>
      </c>
      <c r="Q242" s="116">
        <f t="shared" si="134"/>
        <v>0.42272085360112971</v>
      </c>
      <c r="R242" s="116">
        <f t="shared" ref="R242:Z242" si="135">R241/R221</f>
        <v>0.42539361548461646</v>
      </c>
      <c r="S242" s="116">
        <f t="shared" si="135"/>
        <v>0.40267144486072648</v>
      </c>
      <c r="T242" s="116">
        <f t="shared" si="135"/>
        <v>0.44667223614592033</v>
      </c>
      <c r="U242" s="116">
        <f t="shared" si="135"/>
        <v>0.36891871282598754</v>
      </c>
      <c r="V242" s="116">
        <f t="shared" si="135"/>
        <v>0.42763157894736836</v>
      </c>
      <c r="W242" s="116">
        <f t="shared" si="135"/>
        <v>0.43139478373562284</v>
      </c>
      <c r="X242" s="116">
        <f t="shared" si="135"/>
        <v>0.48053999712767492</v>
      </c>
      <c r="Y242" s="116">
        <f t="shared" si="135"/>
        <v>0.42271959459459463</v>
      </c>
      <c r="Z242" s="116">
        <f t="shared" si="135"/>
        <v>0.4520180637877505</v>
      </c>
      <c r="AA242" s="116"/>
      <c r="AB242" s="116"/>
      <c r="AC242" s="116"/>
      <c r="AD242" s="116"/>
      <c r="AE242" s="116"/>
      <c r="AF242" s="116"/>
      <c r="AG242" s="116"/>
      <c r="AI242" s="66"/>
      <c r="AJ242" s="66"/>
      <c r="AK242" s="66"/>
      <c r="AL242" s="66"/>
      <c r="AM242" s="66"/>
      <c r="AN242" s="66"/>
      <c r="AO242" s="66"/>
      <c r="AP242" s="66"/>
      <c r="AQ242" s="66"/>
      <c r="AR242" s="66"/>
      <c r="AS242" s="116"/>
      <c r="AT242" s="116"/>
      <c r="AU242" s="116"/>
      <c r="AV242" s="116"/>
      <c r="AW242" s="116"/>
      <c r="AX242" s="116"/>
      <c r="AY242" s="116"/>
      <c r="AZ242" s="116"/>
      <c r="BA242" s="116"/>
      <c r="BB242" s="116"/>
      <c r="BC242" s="116"/>
      <c r="BD242" s="69"/>
      <c r="BQ242" s="117">
        <v>-4.9000000000000002E-2</v>
      </c>
      <c r="BR242" s="117">
        <v>2.3E-2</v>
      </c>
      <c r="BS242" s="117">
        <v>0.10199999999999999</v>
      </c>
      <c r="BT242" s="117">
        <v>-0.11600000000000001</v>
      </c>
      <c r="BU242" s="117">
        <v>-0.107</v>
      </c>
      <c r="BV242" s="116">
        <f>AJ232/AF232-1</f>
        <v>-7.2425051944197016E-2</v>
      </c>
      <c r="BW242" s="69">
        <f>AK232/AG232-1</f>
        <v>-0.24289332958063614</v>
      </c>
      <c r="BX242" s="69">
        <f>AL232/AH232-1</f>
        <v>-0.28835227272727271</v>
      </c>
      <c r="BY242" s="69">
        <f>AM232/AI232-1</f>
        <v>-0.1890126776796005</v>
      </c>
      <c r="BZ242" s="69">
        <f>BZ241</f>
        <v>4.1391304347826008E-2</v>
      </c>
      <c r="CA242" s="69">
        <f>CA241</f>
        <v>1.8196522442377683E-2</v>
      </c>
      <c r="CB242" s="69">
        <f>CB241</f>
        <v>-9.3019650655022268E-2</v>
      </c>
      <c r="CD242" t="s">
        <v>4759</v>
      </c>
    </row>
    <row r="243" spans="2:82" ht="15.75">
      <c r="B243" s="66"/>
      <c r="C243" s="66"/>
      <c r="D243" s="66"/>
      <c r="E243" s="66"/>
      <c r="F243" s="66"/>
      <c r="G243" s="66"/>
      <c r="H243" s="66"/>
      <c r="I243" s="66"/>
      <c r="J243" s="66"/>
      <c r="K243" s="66"/>
      <c r="L243" s="66"/>
      <c r="M243" s="66"/>
      <c r="N243" s="66"/>
      <c r="O243" s="66"/>
      <c r="P243" s="66"/>
      <c r="R243" s="66"/>
      <c r="AI243" s="66"/>
      <c r="AJ243" s="66"/>
      <c r="AK243" s="66"/>
      <c r="AL243" s="66"/>
      <c r="AM243" s="66"/>
      <c r="AN243" s="66"/>
      <c r="AO243" s="66"/>
      <c r="AP243" s="66"/>
      <c r="AQ243" s="66"/>
      <c r="AR243" s="66"/>
      <c r="AS243" s="116"/>
      <c r="AT243" s="116"/>
      <c r="AU243" s="116"/>
      <c r="AV243" s="116"/>
      <c r="AW243" s="116"/>
      <c r="AX243" s="116"/>
      <c r="AY243" s="116"/>
      <c r="AZ243" s="116"/>
      <c r="BA243" s="116"/>
      <c r="BB243" s="116"/>
      <c r="BC243" s="116"/>
      <c r="BD243" s="116"/>
    </row>
    <row r="244" spans="2:82" ht="15.75">
      <c r="B244" s="66" t="s">
        <v>3528</v>
      </c>
      <c r="C244" s="66"/>
      <c r="D244" s="66"/>
      <c r="E244" s="66"/>
      <c r="F244" s="66"/>
      <c r="G244" s="66"/>
      <c r="H244" s="66"/>
      <c r="I244" s="66"/>
      <c r="J244" s="66"/>
      <c r="K244" s="66"/>
      <c r="L244" s="66"/>
      <c r="M244" s="66"/>
      <c r="N244" s="66"/>
      <c r="O244" s="66"/>
      <c r="P244" s="66"/>
      <c r="R244" s="66"/>
      <c r="AA244" s="48">
        <v>9.6999999999999993</v>
      </c>
      <c r="AB244" s="48">
        <v>8.4</v>
      </c>
      <c r="AC244" s="48">
        <f>AC241-AC245</f>
        <v>7.8999999999999773</v>
      </c>
      <c r="AI244" s="66"/>
      <c r="AJ244" s="66"/>
      <c r="AK244" s="66"/>
      <c r="AL244" s="66"/>
      <c r="AM244" s="66"/>
      <c r="AN244" s="66"/>
      <c r="AO244" s="66"/>
      <c r="AP244" s="66"/>
      <c r="AQ244" s="66"/>
      <c r="AR244" s="66"/>
      <c r="AS244" s="116"/>
      <c r="AT244" s="116"/>
      <c r="AU244" s="116"/>
      <c r="AV244" s="116"/>
      <c r="AW244" s="116"/>
      <c r="AX244" s="116"/>
      <c r="AY244" s="116"/>
      <c r="AZ244" s="116"/>
      <c r="BA244" s="116"/>
      <c r="BB244" s="116"/>
      <c r="BC244" s="116"/>
      <c r="BD244" s="116"/>
    </row>
    <row r="245" spans="2:82" ht="15.75">
      <c r="B245" s="66" t="s">
        <v>3323</v>
      </c>
      <c r="C245" s="66"/>
      <c r="D245" s="66"/>
      <c r="E245" s="66"/>
      <c r="F245" s="66"/>
      <c r="G245" s="66"/>
      <c r="H245" s="66"/>
      <c r="I245" s="66"/>
      <c r="J245" s="66"/>
      <c r="K245" s="66"/>
      <c r="L245" s="66"/>
      <c r="M245" s="66"/>
      <c r="N245" s="66"/>
      <c r="O245" s="66"/>
      <c r="P245" s="66"/>
      <c r="R245" s="66"/>
      <c r="W245" s="524">
        <v>248.5</v>
      </c>
      <c r="X245" s="524">
        <v>313.60000000000002</v>
      </c>
      <c r="Y245" s="48">
        <v>330</v>
      </c>
      <c r="Z245" s="48">
        <v>313</v>
      </c>
      <c r="AA245" s="524">
        <f>AA241-AA244</f>
        <v>279.8</v>
      </c>
      <c r="AB245" s="524">
        <f>AB241-AB244</f>
        <v>325</v>
      </c>
      <c r="AC245" s="524">
        <v>276.60000000000002</v>
      </c>
      <c r="AI245" s="66"/>
      <c r="AJ245" s="66"/>
      <c r="AK245" s="66"/>
      <c r="AL245" s="66"/>
      <c r="AM245" s="66"/>
      <c r="AN245" s="66"/>
      <c r="AO245" s="66"/>
      <c r="AP245" s="66"/>
      <c r="AQ245" s="66"/>
      <c r="AR245" s="66"/>
      <c r="AS245" s="116"/>
      <c r="AT245" s="116"/>
      <c r="AU245" s="116"/>
      <c r="AV245" s="116"/>
      <c r="AW245" s="116"/>
      <c r="AX245" s="116"/>
      <c r="AY245" s="116"/>
      <c r="AZ245" s="116"/>
      <c r="BA245" s="116"/>
      <c r="BB245" s="116"/>
      <c r="BC245" s="116"/>
      <c r="BD245" s="116"/>
    </row>
    <row r="246" spans="2:82" ht="15.75">
      <c r="B246" s="66"/>
      <c r="C246" s="66"/>
      <c r="D246" s="66"/>
      <c r="E246" s="66"/>
      <c r="F246" s="66"/>
      <c r="G246" s="66"/>
      <c r="H246" s="66"/>
      <c r="I246" s="66"/>
      <c r="J246" s="66"/>
      <c r="K246" s="66"/>
      <c r="L246" s="66"/>
      <c r="M246" s="66"/>
      <c r="N246" s="66"/>
      <c r="O246" s="66"/>
      <c r="P246" s="66"/>
      <c r="R246" s="66"/>
      <c r="AI246" s="66"/>
      <c r="AJ246" s="66"/>
      <c r="AK246" s="66"/>
      <c r="AL246" s="66"/>
      <c r="AM246" s="66"/>
      <c r="AN246" s="66"/>
      <c r="AO246" s="66"/>
      <c r="AP246" s="66"/>
      <c r="AQ246" s="66"/>
      <c r="AR246" s="66"/>
      <c r="AS246" s="116"/>
      <c r="AT246" s="116"/>
      <c r="AU246" s="116"/>
      <c r="AV246" s="116"/>
      <c r="AW246" s="116"/>
      <c r="AX246" s="116"/>
      <c r="AY246" s="116"/>
      <c r="AZ246" s="116"/>
      <c r="BA246" s="116"/>
      <c r="BB246" s="116"/>
      <c r="BC246" s="116"/>
      <c r="BD246" s="116"/>
    </row>
    <row r="247" spans="2:82" ht="15.75">
      <c r="B247" s="66" t="s">
        <v>265</v>
      </c>
      <c r="C247" s="66"/>
      <c r="D247" s="66"/>
      <c r="E247" s="66"/>
      <c r="F247" s="66"/>
      <c r="G247" s="66"/>
      <c r="H247" s="66"/>
      <c r="I247" s="66"/>
      <c r="J247" s="66"/>
      <c r="K247" s="66"/>
      <c r="L247" s="66"/>
      <c r="O247" s="116"/>
      <c r="P247" s="11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row>
    <row r="248" spans="2:82" ht="15.75">
      <c r="B248" s="66"/>
      <c r="C248" s="66"/>
      <c r="D248" s="66"/>
      <c r="E248" s="66"/>
      <c r="F248" s="66"/>
      <c r="G248" s="66"/>
      <c r="H248" s="66"/>
      <c r="I248" s="66"/>
      <c r="J248" s="66"/>
      <c r="K248" s="66"/>
      <c r="L248" s="66"/>
      <c r="O248" s="116"/>
      <c r="P248" s="11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row>
    <row r="249" spans="2:82" ht="15.75">
      <c r="B249" s="66"/>
      <c r="C249" s="66"/>
      <c r="D249" s="66"/>
      <c r="E249" s="66"/>
      <c r="F249" s="66"/>
      <c r="G249" s="66"/>
      <c r="H249" s="66"/>
      <c r="I249" s="66"/>
      <c r="J249" s="66"/>
      <c r="K249" s="66"/>
      <c r="L249" s="66"/>
      <c r="O249" s="116"/>
      <c r="P249" s="11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row>
    <row r="250" spans="2:82" ht="15.75">
      <c r="B250" s="66" t="s">
        <v>570</v>
      </c>
      <c r="C250" s="66"/>
      <c r="D250" s="66"/>
      <c r="E250" s="66"/>
      <c r="F250" s="66">
        <v>1394.9</v>
      </c>
      <c r="G250" s="66">
        <v>339.1</v>
      </c>
      <c r="H250" s="66">
        <v>404</v>
      </c>
      <c r="I250" s="66">
        <v>351.6</v>
      </c>
      <c r="J250" s="66">
        <v>342.4</v>
      </c>
      <c r="K250" s="66">
        <v>276</v>
      </c>
      <c r="L250" s="66">
        <v>319.60000000000002</v>
      </c>
      <c r="M250" s="66">
        <v>258.7</v>
      </c>
      <c r="N250" s="66">
        <v>267.7</v>
      </c>
      <c r="O250" s="66">
        <v>423.5</v>
      </c>
      <c r="P250" s="66">
        <v>231.1</v>
      </c>
      <c r="Q250" s="66">
        <v>241.4</v>
      </c>
      <c r="R250" s="66">
        <v>214</v>
      </c>
      <c r="S250" s="66">
        <v>218.3</v>
      </c>
      <c r="T250" s="66">
        <v>221.5</v>
      </c>
      <c r="U250" s="66">
        <v>151.6</v>
      </c>
      <c r="V250" s="66">
        <v>151.4</v>
      </c>
      <c r="W250" s="66">
        <v>249.4</v>
      </c>
      <c r="X250" s="66">
        <v>240.9</v>
      </c>
      <c r="Y250" s="66">
        <v>170.6</v>
      </c>
      <c r="Z250" s="66">
        <v>150.19999999999999</v>
      </c>
      <c r="AA250" s="66">
        <v>152.30000000000001</v>
      </c>
      <c r="AB250" s="66">
        <v>287.5</v>
      </c>
      <c r="AC250" s="66">
        <v>354.4</v>
      </c>
      <c r="AD250" s="66">
        <v>574</v>
      </c>
      <c r="AE250" s="66">
        <v>516.4</v>
      </c>
      <c r="AF250" s="66">
        <v>393.7</v>
      </c>
      <c r="AG250" s="66">
        <v>37.9</v>
      </c>
      <c r="AH250" s="66">
        <v>37</v>
      </c>
      <c r="AI250" s="66">
        <v>36.299999999999997</v>
      </c>
      <c r="AJ250" s="66">
        <v>35.4</v>
      </c>
      <c r="AK250" s="66">
        <v>34.6</v>
      </c>
      <c r="AL250" s="66">
        <v>117.7</v>
      </c>
      <c r="AM250" s="66">
        <v>6.6</v>
      </c>
      <c r="AN250" s="66">
        <v>6.4</v>
      </c>
      <c r="AO250" s="66">
        <v>6.4</v>
      </c>
      <c r="AP250" s="66"/>
      <c r="AQ250" s="66"/>
      <c r="AR250" s="66"/>
      <c r="AS250" s="66"/>
    </row>
    <row r="251" spans="2:82" ht="15.75">
      <c r="B251" s="66" t="s">
        <v>569</v>
      </c>
      <c r="C251" s="66"/>
      <c r="D251" s="66"/>
      <c r="E251" s="66"/>
      <c r="F251" s="66">
        <v>8833.9</v>
      </c>
      <c r="G251" s="66">
        <v>8821.9</v>
      </c>
      <c r="H251" s="66">
        <v>8903.2000000000007</v>
      </c>
      <c r="I251" s="66">
        <v>8901.4</v>
      </c>
      <c r="J251" s="66">
        <v>8908.9</v>
      </c>
      <c r="K251" s="66">
        <v>8912.1</v>
      </c>
      <c r="L251" s="66">
        <v>8911.4</v>
      </c>
      <c r="M251" s="66">
        <v>8929.2000000000007</v>
      </c>
      <c r="N251" s="66">
        <v>8928.2000000000007</v>
      </c>
      <c r="O251" s="66">
        <v>8963.5</v>
      </c>
      <c r="P251" s="66">
        <v>9356.7000000000007</v>
      </c>
      <c r="Q251" s="66">
        <v>9351.2999999999993</v>
      </c>
      <c r="R251" s="66">
        <v>9338.5</v>
      </c>
      <c r="S251" s="66">
        <v>9207.7000000000007</v>
      </c>
      <c r="T251" s="66">
        <v>9195.2000000000007</v>
      </c>
      <c r="U251" s="66">
        <v>9182.5</v>
      </c>
      <c r="V251" s="66">
        <v>9170</v>
      </c>
      <c r="W251" s="66">
        <v>9225</v>
      </c>
      <c r="X251" s="66">
        <v>9290.6</v>
      </c>
      <c r="Y251" s="66">
        <v>9276.7999999999993</v>
      </c>
      <c r="Z251" s="66">
        <v>9263</v>
      </c>
      <c r="AA251" s="66">
        <v>9193.4</v>
      </c>
      <c r="AB251" s="66">
        <f>8765.4</f>
        <v>8765.4</v>
      </c>
      <c r="AC251" s="66">
        <f>8759.5</f>
        <v>8759.5</v>
      </c>
      <c r="AD251" s="66">
        <v>8346.5</v>
      </c>
      <c r="AE251" s="66">
        <v>8332.5</v>
      </c>
      <c r="AF251" s="66">
        <v>8321.1</v>
      </c>
      <c r="AG251" s="66">
        <v>8327</v>
      </c>
      <c r="AH251" s="66">
        <v>7999.9</v>
      </c>
      <c r="AI251" s="66">
        <v>7926.9</v>
      </c>
      <c r="AJ251" s="66">
        <v>7767.2</v>
      </c>
      <c r="AK251" s="66">
        <v>7686.5</v>
      </c>
      <c r="AL251" s="66">
        <v>7440.9</v>
      </c>
      <c r="AM251" s="66">
        <v>7501</v>
      </c>
      <c r="AN251" s="66">
        <v>7430.8</v>
      </c>
      <c r="AO251" s="66">
        <v>7430.4</v>
      </c>
      <c r="AP251" s="66"/>
      <c r="AQ251" s="66"/>
      <c r="AR251" s="66"/>
      <c r="AS251" s="66"/>
    </row>
    <row r="252" spans="2:82" ht="15.75">
      <c r="B252" s="66" t="s">
        <v>563</v>
      </c>
      <c r="C252" s="66"/>
      <c r="D252" s="66"/>
      <c r="E252" s="66"/>
      <c r="F252" s="66"/>
      <c r="G252" s="66"/>
      <c r="H252" s="66"/>
      <c r="I252" s="66"/>
      <c r="J252" s="66"/>
      <c r="K252" s="66"/>
      <c r="L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row>
    <row r="253" spans="2:82" ht="15.75">
      <c r="B253" s="66" t="s">
        <v>562</v>
      </c>
      <c r="C253" s="66"/>
      <c r="D253" s="66"/>
      <c r="E253" s="66"/>
      <c r="F253" s="66">
        <v>1293.8</v>
      </c>
      <c r="G253" s="66">
        <v>74.3</v>
      </c>
      <c r="H253" s="66">
        <v>58.9</v>
      </c>
      <c r="I253" s="66">
        <v>73.7</v>
      </c>
      <c r="J253" s="66">
        <v>58.1</v>
      </c>
      <c r="K253" s="66">
        <v>57.3</v>
      </c>
      <c r="L253" s="66">
        <v>69.8</v>
      </c>
      <c r="M253" s="66">
        <v>73.400000000000006</v>
      </c>
      <c r="N253" s="66">
        <v>35.5</v>
      </c>
      <c r="O253" s="66">
        <v>46.4</v>
      </c>
      <c r="P253" s="66">
        <v>111.9</v>
      </c>
      <c r="Q253" s="66">
        <v>103.4</v>
      </c>
      <c r="R253" s="66">
        <v>43.3</v>
      </c>
      <c r="S253" s="66">
        <v>78.3</v>
      </c>
      <c r="T253" s="66">
        <v>68</v>
      </c>
      <c r="U253" s="66">
        <v>196.5</v>
      </c>
      <c r="V253" s="66">
        <v>56.2</v>
      </c>
      <c r="W253" s="66">
        <v>331</v>
      </c>
      <c r="X253" s="66">
        <v>67.7</v>
      </c>
      <c r="Y253" s="66">
        <v>102.8</v>
      </c>
      <c r="Z253" s="66">
        <v>101.3</v>
      </c>
      <c r="AA253" s="66">
        <v>251.4</v>
      </c>
      <c r="AB253" s="66">
        <v>33.1</v>
      </c>
      <c r="AC253" s="66">
        <v>73.599999999999994</v>
      </c>
      <c r="AD253" s="66">
        <v>66.5</v>
      </c>
      <c r="AE253" s="66">
        <v>41</v>
      </c>
      <c r="AF253" s="66">
        <v>75.099999999999994</v>
      </c>
      <c r="AG253" s="66">
        <v>232</v>
      </c>
      <c r="AH253" s="66">
        <v>59.6</v>
      </c>
      <c r="AI253" s="66">
        <v>62.1</v>
      </c>
      <c r="AJ253" s="66">
        <v>81.400000000000006</v>
      </c>
      <c r="AK253" s="66">
        <v>80.3</v>
      </c>
      <c r="AL253" s="66">
        <v>128.30000000000001</v>
      </c>
      <c r="AM253" s="66">
        <v>61.2</v>
      </c>
      <c r="AN253" s="66">
        <v>75.400000000000006</v>
      </c>
      <c r="AO253" s="66">
        <v>167.5</v>
      </c>
      <c r="AP253" s="66"/>
      <c r="AQ253" s="66"/>
      <c r="AR253" s="66"/>
      <c r="AS253" s="66"/>
    </row>
    <row r="254" spans="2:82" ht="15.75">
      <c r="B254" s="66" t="s">
        <v>224</v>
      </c>
      <c r="C254" s="66"/>
      <c r="D254" s="66"/>
      <c r="E254" s="66"/>
      <c r="F254" s="66">
        <f t="shared" ref="F254:X254" si="136">F250+F251-F253</f>
        <v>8935</v>
      </c>
      <c r="G254" s="66">
        <f t="shared" si="136"/>
        <v>9086.7000000000007</v>
      </c>
      <c r="H254" s="66">
        <f t="shared" si="136"/>
        <v>9248.3000000000011</v>
      </c>
      <c r="I254" s="66">
        <f t="shared" si="136"/>
        <v>9179.2999999999993</v>
      </c>
      <c r="J254" s="66">
        <f>J250+J251-J253</f>
        <v>9193.1999999999989</v>
      </c>
      <c r="K254" s="66">
        <f t="shared" si="136"/>
        <v>9130.8000000000011</v>
      </c>
      <c r="L254" s="66">
        <f t="shared" si="136"/>
        <v>9161.2000000000007</v>
      </c>
      <c r="M254" s="66">
        <f t="shared" si="136"/>
        <v>9114.5000000000018</v>
      </c>
      <c r="N254" s="66">
        <f t="shared" si="136"/>
        <v>9160.4000000000015</v>
      </c>
      <c r="O254" s="66">
        <f t="shared" si="136"/>
        <v>9340.6</v>
      </c>
      <c r="P254" s="66">
        <f t="shared" si="136"/>
        <v>9475.9000000000015</v>
      </c>
      <c r="Q254" s="66">
        <f t="shared" si="136"/>
        <v>9489.2999999999993</v>
      </c>
      <c r="R254" s="66">
        <f>R250+R251-R253</f>
        <v>9509.2000000000007</v>
      </c>
      <c r="S254" s="66">
        <f t="shared" si="136"/>
        <v>9347.7000000000007</v>
      </c>
      <c r="T254" s="66">
        <f t="shared" si="136"/>
        <v>9348.7000000000007</v>
      </c>
      <c r="U254" s="66">
        <f t="shared" si="136"/>
        <v>9137.6</v>
      </c>
      <c r="V254" s="66">
        <f t="shared" si="136"/>
        <v>9265.1999999999989</v>
      </c>
      <c r="W254" s="66">
        <f t="shared" si="136"/>
        <v>9143.4</v>
      </c>
      <c r="X254" s="66">
        <f t="shared" si="136"/>
        <v>9463.7999999999993</v>
      </c>
      <c r="Y254" s="66">
        <v>9276.7999999999993</v>
      </c>
      <c r="Z254" s="66">
        <f t="shared" ref="Z254:AO254" si="137">Z250+Z251-Z253</f>
        <v>9311.9000000000015</v>
      </c>
      <c r="AA254" s="66">
        <f t="shared" si="137"/>
        <v>9094.2999999999993</v>
      </c>
      <c r="AB254" s="66">
        <f t="shared" si="137"/>
        <v>9019.7999999999993</v>
      </c>
      <c r="AC254" s="66">
        <f t="shared" si="137"/>
        <v>9040.2999999999993</v>
      </c>
      <c r="AD254" s="66">
        <f t="shared" si="137"/>
        <v>8854</v>
      </c>
      <c r="AE254" s="66">
        <f t="shared" si="137"/>
        <v>8807.9</v>
      </c>
      <c r="AF254" s="66">
        <f t="shared" si="137"/>
        <v>8639.7000000000007</v>
      </c>
      <c r="AG254" s="66">
        <f t="shared" si="137"/>
        <v>8132.9</v>
      </c>
      <c r="AH254" s="66">
        <f t="shared" si="137"/>
        <v>7977.2999999999993</v>
      </c>
      <c r="AI254" s="66">
        <f t="shared" si="137"/>
        <v>7901.0999999999995</v>
      </c>
      <c r="AJ254" s="66">
        <f t="shared" si="137"/>
        <v>7721.2</v>
      </c>
      <c r="AK254" s="66">
        <f t="shared" si="137"/>
        <v>7640.8</v>
      </c>
      <c r="AL254" s="66">
        <f t="shared" si="137"/>
        <v>7430.2999999999993</v>
      </c>
      <c r="AM254" s="66">
        <f t="shared" si="137"/>
        <v>7446.4000000000005</v>
      </c>
      <c r="AN254" s="66">
        <f t="shared" si="137"/>
        <v>7361.8</v>
      </c>
      <c r="AO254" s="66">
        <f t="shared" si="137"/>
        <v>7269.2999999999993</v>
      </c>
      <c r="AP254" s="66"/>
      <c r="AQ254" s="66"/>
      <c r="AR254" s="66"/>
      <c r="AS254" s="66"/>
    </row>
    <row r="255" spans="2:82" ht="15.75">
      <c r="B255" s="66" t="s">
        <v>4769</v>
      </c>
      <c r="C255" s="66"/>
      <c r="D255" s="66"/>
      <c r="E255" s="66"/>
      <c r="F255" s="112">
        <f>SUM(C232:F232)</f>
        <v>943.4</v>
      </c>
      <c r="G255" s="112">
        <f t="shared" ref="G255:AM255" si="138">SUM(D232:G232)</f>
        <v>932.09999999999991</v>
      </c>
      <c r="H255" s="112">
        <f t="shared" si="138"/>
        <v>913.09999999999991</v>
      </c>
      <c r="I255" s="112">
        <f t="shared" si="138"/>
        <v>917.59999999999991</v>
      </c>
      <c r="J255" s="112">
        <f t="shared" si="138"/>
        <v>933.90000000000009</v>
      </c>
      <c r="K255" s="112">
        <f t="shared" si="138"/>
        <v>948.59999999999991</v>
      </c>
      <c r="L255" s="112">
        <f t="shared" si="138"/>
        <v>949.3</v>
      </c>
      <c r="M255" s="112">
        <f t="shared" si="138"/>
        <v>989.59999999999991</v>
      </c>
      <c r="N255" s="112">
        <f t="shared" si="138"/>
        <v>1003.2</v>
      </c>
      <c r="O255" s="112">
        <f t="shared" si="138"/>
        <v>1043.7</v>
      </c>
      <c r="P255" s="112">
        <f t="shared" si="138"/>
        <v>1088.3</v>
      </c>
      <c r="Q255" s="112">
        <f t="shared" si="138"/>
        <v>1113.5999999999999</v>
      </c>
      <c r="R255" s="112">
        <f t="shared" si="138"/>
        <v>1120.3999999999999</v>
      </c>
      <c r="S255" s="112">
        <f t="shared" si="138"/>
        <v>1147.5999999999999</v>
      </c>
      <c r="T255" s="112">
        <f t="shared" si="138"/>
        <v>1187.4000000000001</v>
      </c>
      <c r="U255" s="112">
        <f t="shared" si="138"/>
        <v>1200.7</v>
      </c>
      <c r="V255" s="112">
        <f t="shared" si="138"/>
        <v>1240.8</v>
      </c>
      <c r="W255" s="112">
        <f t="shared" si="138"/>
        <v>1263.6000000000001</v>
      </c>
      <c r="X255" s="112">
        <f t="shared" si="138"/>
        <v>1260.0999999999999</v>
      </c>
      <c r="Y255" s="112">
        <f t="shared" si="138"/>
        <v>1336.4</v>
      </c>
      <c r="Z255" s="112">
        <f t="shared" si="138"/>
        <v>1347.8</v>
      </c>
      <c r="AA255" s="112">
        <f t="shared" si="138"/>
        <v>1382.3</v>
      </c>
      <c r="AB255" s="112">
        <f t="shared" si="138"/>
        <v>1385.4</v>
      </c>
      <c r="AC255" s="112">
        <f t="shared" si="138"/>
        <v>1321.1</v>
      </c>
      <c r="AD255" s="112">
        <f t="shared" si="138"/>
        <v>1370.7</v>
      </c>
      <c r="AE255" s="112">
        <f t="shared" si="138"/>
        <v>1357.1</v>
      </c>
      <c r="AF255" s="112">
        <f t="shared" si="138"/>
        <v>1356.3</v>
      </c>
      <c r="AG255" s="112">
        <f t="shared" si="138"/>
        <v>1384.4999999999998</v>
      </c>
      <c r="AH255" s="112">
        <f t="shared" si="138"/>
        <v>1339.3</v>
      </c>
      <c r="AI255" s="112">
        <f t="shared" si="138"/>
        <v>1304.5</v>
      </c>
      <c r="AJ255" s="112">
        <f t="shared" si="138"/>
        <v>1280.0999999999999</v>
      </c>
      <c r="AK255" s="112">
        <f t="shared" si="138"/>
        <v>1193.8</v>
      </c>
      <c r="AL255" s="112">
        <f t="shared" si="138"/>
        <v>1092.3</v>
      </c>
      <c r="AM255" s="112">
        <f t="shared" si="138"/>
        <v>1043.0999999999999</v>
      </c>
      <c r="AN255" s="112">
        <f>SUM(AK232:AN232)</f>
        <v>1045.8</v>
      </c>
      <c r="AO255" s="112">
        <f>SUM(AL232:AO232)</f>
        <v>1038.3</v>
      </c>
      <c r="AP255" s="66"/>
      <c r="AQ255" s="66"/>
      <c r="AR255" s="66"/>
      <c r="AS255" s="66"/>
    </row>
    <row r="256" spans="2:82" ht="15.75">
      <c r="B256" s="66" t="s">
        <v>1197</v>
      </c>
      <c r="C256" s="112"/>
      <c r="D256" s="112"/>
      <c r="E256" s="112"/>
      <c r="F256" s="112">
        <f>F254/SUM(C232:F232)</f>
        <v>9.471062115751538</v>
      </c>
      <c r="G256" s="112">
        <f>G254/SUM(D232:G232)</f>
        <v>9.7486321210170601</v>
      </c>
      <c r="H256" s="112">
        <f>H254/SUM(E232:H232)</f>
        <v>10.128463476070531</v>
      </c>
      <c r="I256" s="112">
        <f>I254/SUM(F232:I232)</f>
        <v>10.003596338273757</v>
      </c>
      <c r="J256" s="112">
        <f t="shared" ref="J256:S256" si="139">J254/SUM(G232:J232)</f>
        <v>9.8438805011243158</v>
      </c>
      <c r="K256" s="112">
        <f t="shared" si="139"/>
        <v>9.625553447185327</v>
      </c>
      <c r="L256" s="112">
        <f t="shared" si="139"/>
        <v>9.6504793005372385</v>
      </c>
      <c r="M256" s="112">
        <f t="shared" si="139"/>
        <v>9.2102869846402609</v>
      </c>
      <c r="N256" s="112">
        <f t="shared" si="139"/>
        <v>9.1311802232854866</v>
      </c>
      <c r="O256" s="112">
        <f t="shared" si="139"/>
        <v>8.9495065631886561</v>
      </c>
      <c r="P256" s="112">
        <f t="shared" si="139"/>
        <v>8.7070660663420032</v>
      </c>
      <c r="Q256" s="112">
        <f t="shared" si="139"/>
        <v>8.5212823275862064</v>
      </c>
      <c r="R256" s="112">
        <f t="shared" si="139"/>
        <v>8.4873259550160682</v>
      </c>
      <c r="S256" s="112">
        <f t="shared" si="139"/>
        <v>8.1454339491111902</v>
      </c>
      <c r="T256" s="112">
        <f t="shared" ref="T256:AH256" si="140">T254/SUM(Q232:T232)</f>
        <v>7.8732524844197407</v>
      </c>
      <c r="U256" s="112">
        <f t="shared" si="140"/>
        <v>7.6102273673690348</v>
      </c>
      <c r="V256" s="112">
        <f t="shared" si="140"/>
        <v>7.467117988394584</v>
      </c>
      <c r="W256" s="112">
        <f t="shared" si="140"/>
        <v>7.2359924026590683</v>
      </c>
      <c r="X256" s="112">
        <f t="shared" si="140"/>
        <v>7.5103563209269106</v>
      </c>
      <c r="Y256" s="112">
        <f t="shared" si="140"/>
        <v>6.9416342412451355</v>
      </c>
      <c r="Z256" s="112">
        <f t="shared" si="140"/>
        <v>6.9089627541178231</v>
      </c>
      <c r="AA256" s="112">
        <f t="shared" si="140"/>
        <v>6.5791072849598491</v>
      </c>
      <c r="AB256" s="112">
        <f t="shared" si="140"/>
        <v>6.5106106539627531</v>
      </c>
      <c r="AC256" s="112">
        <f t="shared" si="140"/>
        <v>6.8430096132011204</v>
      </c>
      <c r="AD256" s="112">
        <f t="shared" si="140"/>
        <v>6.459473261837017</v>
      </c>
      <c r="AE256" s="112">
        <f t="shared" si="140"/>
        <v>6.4902365337852777</v>
      </c>
      <c r="AF256" s="112">
        <f t="shared" si="140"/>
        <v>6.3700508737005093</v>
      </c>
      <c r="AG256" s="112">
        <f t="shared" si="140"/>
        <v>5.8742506319971115</v>
      </c>
      <c r="AH256" s="112">
        <f t="shared" si="140"/>
        <v>5.9563204659150299</v>
      </c>
      <c r="AI256" s="112">
        <f t="shared" ref="AI256:AO256" si="141">AI254/SUM(AF232:AI232)</f>
        <v>6.0568033729398234</v>
      </c>
      <c r="AJ256" s="112">
        <f t="shared" si="141"/>
        <v>6.0317162721662374</v>
      </c>
      <c r="AK256" s="112">
        <f t="shared" si="141"/>
        <v>6.4004020773998995</v>
      </c>
      <c r="AL256" s="112">
        <f t="shared" si="141"/>
        <v>6.8024352284171012</v>
      </c>
      <c r="AM256" s="112">
        <f t="shared" si="141"/>
        <v>7.1387211197392402</v>
      </c>
      <c r="AN256" s="112">
        <f t="shared" si="141"/>
        <v>7.0393956779498952</v>
      </c>
      <c r="AO256" s="112">
        <f t="shared" si="141"/>
        <v>7.0011557353366074</v>
      </c>
      <c r="AP256" s="112"/>
      <c r="AQ256" s="66"/>
      <c r="AR256" s="66"/>
      <c r="AS256" s="66"/>
    </row>
    <row r="257" spans="2:45" ht="15.75">
      <c r="B257" s="66"/>
      <c r="C257" s="66"/>
      <c r="D257" s="66"/>
      <c r="E257" s="66"/>
      <c r="F257" s="66"/>
      <c r="G257" s="66"/>
      <c r="H257" s="66"/>
      <c r="I257" s="66"/>
      <c r="J257" s="66"/>
      <c r="K257" s="66"/>
      <c r="L257" s="66"/>
      <c r="O257" s="66"/>
      <c r="P257" s="66"/>
      <c r="Q257" s="66"/>
      <c r="R257" s="66"/>
      <c r="S257" s="66"/>
      <c r="T257" s="66"/>
      <c r="U257" s="66"/>
      <c r="V257" s="66"/>
      <c r="W257" s="66"/>
      <c r="X257" s="66"/>
      <c r="Y257" s="66"/>
      <c r="Z257" s="66"/>
      <c r="AA257" s="66"/>
      <c r="AB257" s="66"/>
      <c r="AC257" s="66"/>
      <c r="AD257" s="66"/>
      <c r="AE257" s="66">
        <f>AE254-AD254</f>
        <v>-46.100000000000364</v>
      </c>
      <c r="AF257" s="66">
        <f>AF254-AD254</f>
        <v>-214.29999999999927</v>
      </c>
      <c r="AG257" s="66">
        <f>AG254-AD254</f>
        <v>-721.10000000000036</v>
      </c>
      <c r="AH257" s="66"/>
      <c r="AI257" s="66"/>
      <c r="AJ257" s="66"/>
      <c r="AK257" s="66"/>
      <c r="AL257" s="66"/>
      <c r="AM257" s="66"/>
      <c r="AN257" s="66"/>
      <c r="AO257" s="66"/>
      <c r="AP257" s="66"/>
      <c r="AQ257" s="66"/>
      <c r="AR257" s="66"/>
      <c r="AS257" s="66"/>
    </row>
    <row r="258" spans="2:45" ht="15.75">
      <c r="B258" s="66" t="s">
        <v>854</v>
      </c>
      <c r="C258" s="66"/>
      <c r="D258" s="66"/>
      <c r="E258" s="66"/>
      <c r="F258" s="66"/>
      <c r="G258" s="66"/>
      <c r="H258" s="66"/>
      <c r="I258" s="66"/>
      <c r="J258" s="66"/>
      <c r="K258" s="66"/>
      <c r="L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row>
    <row r="259" spans="2:45" ht="15.75">
      <c r="B259" s="66"/>
      <c r="C259" s="66"/>
      <c r="D259" s="66"/>
      <c r="E259" s="66"/>
      <c r="F259" s="66"/>
      <c r="G259" s="66"/>
      <c r="H259" s="66"/>
      <c r="I259" s="66"/>
      <c r="J259" s="66"/>
      <c r="K259" s="66"/>
      <c r="L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row>
    <row r="260" spans="2:45" ht="15.75">
      <c r="B260" s="66"/>
      <c r="C260" s="66"/>
      <c r="D260" s="66"/>
      <c r="E260" s="66"/>
      <c r="F260" s="66"/>
      <c r="G260" s="66"/>
      <c r="H260" s="66"/>
      <c r="I260" s="66"/>
      <c r="J260" s="66"/>
      <c r="K260" s="66"/>
      <c r="L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row>
    <row r="261" spans="2:45" ht="15.75">
      <c r="B261" s="66"/>
      <c r="C261" s="66"/>
      <c r="D261" s="66"/>
      <c r="E261" s="66"/>
      <c r="F261" s="66"/>
      <c r="G261" s="66"/>
      <c r="H261" s="66"/>
      <c r="I261" s="66"/>
      <c r="J261" s="66"/>
      <c r="K261" s="66"/>
      <c r="L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row>
    <row r="262" spans="2:45" ht="15.75">
      <c r="B262" s="74" t="s">
        <v>417</v>
      </c>
      <c r="C262" s="66"/>
      <c r="D262" s="66"/>
      <c r="E262" s="66"/>
      <c r="F262" s="66"/>
      <c r="G262" s="388" t="str">
        <f>G211</f>
        <v>Q1 11</v>
      </c>
      <c r="H262" s="388" t="str">
        <f t="shared" ref="H262:W262" si="142">H211</f>
        <v>Q2 11</v>
      </c>
      <c r="I262" s="388" t="str">
        <f t="shared" si="142"/>
        <v>Q3 11</v>
      </c>
      <c r="J262" s="388" t="str">
        <f t="shared" si="142"/>
        <v>Q4 11</v>
      </c>
      <c r="K262" s="388" t="str">
        <f t="shared" si="142"/>
        <v>Q1 12</v>
      </c>
      <c r="L262" s="388" t="str">
        <f t="shared" si="142"/>
        <v>Q2 12</v>
      </c>
      <c r="M262" s="388" t="str">
        <f t="shared" si="142"/>
        <v>Q3 12</v>
      </c>
      <c r="N262" s="388" t="str">
        <f t="shared" si="142"/>
        <v>Q4 12</v>
      </c>
      <c r="O262" s="388" t="str">
        <f t="shared" si="142"/>
        <v>Q1 13</v>
      </c>
      <c r="P262" s="388" t="str">
        <f t="shared" si="142"/>
        <v>Q2 13</v>
      </c>
      <c r="Q262" s="388" t="str">
        <f t="shared" si="142"/>
        <v>Q3 13</v>
      </c>
      <c r="R262" s="388" t="str">
        <f t="shared" si="142"/>
        <v>Q4 13</v>
      </c>
      <c r="S262" s="388" t="str">
        <f t="shared" si="142"/>
        <v>Q1 14</v>
      </c>
      <c r="T262" s="388" t="str">
        <f t="shared" si="142"/>
        <v>Q2 14</v>
      </c>
      <c r="U262" s="388" t="str">
        <f t="shared" si="142"/>
        <v>Q3 14</v>
      </c>
      <c r="V262" s="388" t="str">
        <f t="shared" si="142"/>
        <v>Q4 14</v>
      </c>
      <c r="W262" s="388" t="str">
        <f t="shared" si="142"/>
        <v>Q1 15</v>
      </c>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row>
    <row r="263" spans="2:45" ht="15.75">
      <c r="B263" s="66" t="s">
        <v>567</v>
      </c>
      <c r="C263" s="66"/>
      <c r="D263" s="66"/>
      <c r="E263" s="66"/>
      <c r="F263" s="66"/>
      <c r="G263" s="66"/>
      <c r="H263" s="66"/>
      <c r="I263" s="66"/>
      <c r="J263" s="66"/>
      <c r="K263" s="66"/>
      <c r="L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row>
    <row r="264" spans="2:45" ht="15.75">
      <c r="B264" s="66" t="s">
        <v>565</v>
      </c>
      <c r="C264" s="66"/>
      <c r="D264" s="66"/>
      <c r="E264" s="66"/>
      <c r="F264" s="66"/>
      <c r="G264" s="66">
        <v>1003</v>
      </c>
      <c r="H264" s="66">
        <v>1053</v>
      </c>
      <c r="I264" s="66">
        <v>1028</v>
      </c>
      <c r="J264" s="66">
        <v>1056</v>
      </c>
      <c r="K264" s="66">
        <v>1045</v>
      </c>
      <c r="L264" s="66">
        <v>1000</v>
      </c>
      <c r="M264" s="66">
        <v>919</v>
      </c>
      <c r="N264" s="66">
        <v>908</v>
      </c>
      <c r="O264" s="66">
        <v>901</v>
      </c>
      <c r="P264" s="66">
        <v>824</v>
      </c>
      <c r="Q264" s="66">
        <v>784</v>
      </c>
      <c r="R264" s="66">
        <v>679</v>
      </c>
      <c r="S264" s="66">
        <v>654</v>
      </c>
      <c r="T264" s="66">
        <v>682</v>
      </c>
      <c r="U264" s="66">
        <v>716</v>
      </c>
      <c r="V264" s="66">
        <v>641</v>
      </c>
      <c r="W264" s="66">
        <v>682</v>
      </c>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row>
    <row r="265" spans="2:45" ht="15.75">
      <c r="B265" s="66" t="s">
        <v>1607</v>
      </c>
      <c r="C265" s="66"/>
      <c r="D265" s="66"/>
      <c r="E265" s="66"/>
      <c r="F265" s="66"/>
      <c r="G265" s="66"/>
      <c r="H265" s="66">
        <v>3</v>
      </c>
      <c r="I265" s="66">
        <v>1</v>
      </c>
      <c r="J265" s="66">
        <v>5</v>
      </c>
      <c r="K265" s="66">
        <v>5</v>
      </c>
      <c r="L265" s="66">
        <v>3</v>
      </c>
      <c r="M265" s="66">
        <v>3</v>
      </c>
      <c r="N265" s="66">
        <v>5</v>
      </c>
      <c r="O265" s="66">
        <v>5</v>
      </c>
      <c r="P265" s="66">
        <v>4</v>
      </c>
      <c r="Q265" s="66">
        <v>3</v>
      </c>
      <c r="R265" s="66">
        <v>5</v>
      </c>
      <c r="S265" s="66">
        <v>5</v>
      </c>
      <c r="T265" s="66">
        <v>4</v>
      </c>
      <c r="U265" s="66">
        <v>3</v>
      </c>
      <c r="V265" s="66">
        <v>5</v>
      </c>
      <c r="W265" s="66">
        <v>5</v>
      </c>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row>
    <row r="266" spans="2:45" ht="15.75">
      <c r="B266" s="66" t="s">
        <v>566</v>
      </c>
      <c r="C266" s="66"/>
      <c r="D266" s="66"/>
      <c r="E266" s="66"/>
      <c r="F266" s="66"/>
      <c r="G266" s="66">
        <v>1814</v>
      </c>
      <c r="H266" s="66">
        <v>1921</v>
      </c>
      <c r="I266" s="66">
        <v>1866</v>
      </c>
      <c r="J266" s="66">
        <v>1900</v>
      </c>
      <c r="K266" s="66">
        <v>1874</v>
      </c>
      <c r="L266" s="66">
        <v>1844</v>
      </c>
      <c r="M266" s="66">
        <v>1760</v>
      </c>
      <c r="N266" s="66">
        <v>1886</v>
      </c>
      <c r="O266" s="66">
        <v>1950</v>
      </c>
      <c r="P266" s="66">
        <v>1764</v>
      </c>
      <c r="Q266" s="66">
        <v>1655</v>
      </c>
      <c r="R266" s="66">
        <v>1485</v>
      </c>
      <c r="S266" s="66">
        <v>1431</v>
      </c>
      <c r="T266" s="66">
        <v>1463</v>
      </c>
      <c r="U266" s="66">
        <v>1533</v>
      </c>
      <c r="V266" s="66">
        <v>1391</v>
      </c>
      <c r="W266" s="66">
        <v>1472</v>
      </c>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row>
    <row r="267" spans="2:45" ht="15.75">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row>
    <row r="268" spans="2:45" ht="15.75">
      <c r="B268" s="74" t="s">
        <v>1712</v>
      </c>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row>
    <row r="269" spans="2:45" ht="15.75">
      <c r="B269" s="66" t="str">
        <f>B264</f>
        <v>18-34</v>
      </c>
      <c r="C269" s="66"/>
      <c r="D269" s="66"/>
      <c r="E269" s="66"/>
      <c r="F269" s="66"/>
      <c r="G269" s="66"/>
      <c r="H269" s="66"/>
      <c r="I269" s="66"/>
      <c r="J269" s="66"/>
      <c r="K269" s="66"/>
      <c r="L269" s="66"/>
      <c r="M269" s="66"/>
      <c r="N269" s="66"/>
      <c r="O269" s="66"/>
      <c r="P269" s="66"/>
      <c r="Q269" s="66"/>
      <c r="R269" s="66"/>
      <c r="S269" s="66"/>
      <c r="T269" s="66"/>
      <c r="U269" s="66"/>
      <c r="V269" s="66">
        <v>158</v>
      </c>
      <c r="W269" s="66"/>
      <c r="X269" s="66"/>
      <c r="Y269" s="66"/>
      <c r="Z269" s="66"/>
      <c r="AA269" s="66"/>
      <c r="AB269" s="66"/>
      <c r="AC269" s="66"/>
      <c r="AD269" s="66"/>
      <c r="AE269" s="66"/>
      <c r="AF269" s="66"/>
      <c r="AG269" s="66"/>
      <c r="AH269" s="66"/>
      <c r="AI269" s="66"/>
      <c r="AJ269" s="66"/>
      <c r="AK269" s="66"/>
      <c r="AL269" s="66"/>
      <c r="AM269" s="66"/>
      <c r="AN269" s="66"/>
      <c r="AO269" s="66"/>
      <c r="AP269" s="66"/>
      <c r="AQ269" s="66"/>
    </row>
    <row r="270" spans="2:45" ht="15.75">
      <c r="B270" s="66" t="str">
        <f>B265</f>
        <v>Rank (LHS)</v>
      </c>
      <c r="C270" s="66"/>
      <c r="D270" s="66"/>
      <c r="E270" s="66"/>
      <c r="F270" s="66"/>
      <c r="G270" s="66"/>
      <c r="H270" s="66"/>
      <c r="I270" s="66"/>
      <c r="J270" s="66"/>
      <c r="K270" s="66"/>
      <c r="L270" s="66"/>
      <c r="M270" s="66"/>
      <c r="N270" s="66"/>
      <c r="O270" s="66"/>
      <c r="P270" s="66"/>
      <c r="Q270" s="66"/>
      <c r="R270" s="66"/>
      <c r="S270" s="66"/>
      <c r="T270" s="66"/>
      <c r="U270" s="111" t="s">
        <v>2170</v>
      </c>
      <c r="V270" s="66">
        <v>9</v>
      </c>
      <c r="W270" s="66"/>
      <c r="X270" s="66"/>
      <c r="Y270" s="66"/>
      <c r="Z270" s="66"/>
      <c r="AA270" s="66"/>
      <c r="AB270" s="66"/>
      <c r="AC270" s="66"/>
      <c r="AD270" s="66"/>
      <c r="AE270" s="66"/>
      <c r="AF270" s="66"/>
      <c r="AG270" s="66"/>
      <c r="AH270" s="66"/>
      <c r="AI270" s="66"/>
      <c r="AJ270" s="66"/>
      <c r="AK270" s="66"/>
      <c r="AL270" s="66"/>
      <c r="AM270" s="66"/>
      <c r="AN270" s="66"/>
      <c r="AO270" s="66"/>
      <c r="AP270" s="66"/>
      <c r="AQ270" s="66"/>
    </row>
    <row r="271" spans="2:45" ht="15.75">
      <c r="B271" s="66" t="str">
        <f>B266</f>
        <v>18-49</v>
      </c>
      <c r="C271" s="66"/>
      <c r="D271" s="66"/>
      <c r="E271" s="66"/>
      <c r="F271" s="66"/>
      <c r="G271" s="66"/>
      <c r="H271" s="66"/>
      <c r="I271" s="66"/>
      <c r="J271" s="66"/>
      <c r="K271" s="66"/>
      <c r="L271" s="66"/>
      <c r="M271" s="66"/>
      <c r="N271" s="66"/>
      <c r="O271" s="66"/>
      <c r="P271" s="66"/>
      <c r="Q271" s="66"/>
      <c r="R271" s="66"/>
      <c r="S271" s="66"/>
      <c r="T271" s="66"/>
      <c r="U271" s="66"/>
      <c r="V271" s="66">
        <v>323</v>
      </c>
      <c r="W271" s="66"/>
      <c r="X271" s="66"/>
      <c r="Y271" s="66"/>
      <c r="Z271" s="66"/>
      <c r="AA271" s="66"/>
      <c r="AB271" s="66"/>
      <c r="AC271" s="66"/>
      <c r="AD271" s="66"/>
      <c r="AE271" s="66"/>
      <c r="AF271" s="66"/>
      <c r="AG271" s="66"/>
      <c r="AH271" s="66"/>
      <c r="AI271" s="66"/>
      <c r="AJ271" s="66"/>
      <c r="AK271" s="66"/>
      <c r="AL271" s="66"/>
      <c r="AM271" s="66"/>
      <c r="AN271" s="66"/>
      <c r="AO271" s="66"/>
      <c r="AP271" s="66"/>
      <c r="AQ271" s="66"/>
    </row>
    <row r="272" spans="2:45" ht="15.75">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row>
    <row r="273" spans="1:43" ht="15.75">
      <c r="B273" s="74" t="s">
        <v>98</v>
      </c>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row>
    <row r="274" spans="1:43" ht="15.75">
      <c r="B274" s="66" t="str">
        <f>B269</f>
        <v>18-34</v>
      </c>
      <c r="C274" s="66"/>
      <c r="D274" s="66"/>
      <c r="E274" s="66"/>
      <c r="F274" s="66"/>
      <c r="G274" s="66"/>
      <c r="H274" s="66"/>
      <c r="I274" s="66"/>
      <c r="J274" s="66"/>
      <c r="K274" s="66"/>
      <c r="L274" s="66"/>
      <c r="M274" s="66"/>
      <c r="N274" s="66"/>
      <c r="O274" s="66"/>
      <c r="P274" s="66"/>
      <c r="Q274" s="66"/>
      <c r="R274" s="66"/>
      <c r="S274" s="66"/>
      <c r="T274" s="66"/>
      <c r="U274" s="66"/>
      <c r="V274" s="66">
        <f>V264+V269</f>
        <v>799</v>
      </c>
      <c r="W274" s="66"/>
      <c r="X274" s="66"/>
      <c r="Y274" s="66"/>
      <c r="Z274" s="66"/>
      <c r="AA274" s="66"/>
      <c r="AB274" s="66"/>
      <c r="AC274" s="66"/>
      <c r="AD274" s="66"/>
      <c r="AE274" s="66"/>
      <c r="AF274" s="66"/>
      <c r="AG274" s="66"/>
      <c r="AH274" s="66"/>
      <c r="AI274" s="66"/>
      <c r="AJ274" s="66"/>
      <c r="AK274" s="66"/>
      <c r="AL274" s="66"/>
      <c r="AM274" s="66"/>
      <c r="AN274" s="66"/>
      <c r="AO274" s="66"/>
      <c r="AP274" s="66"/>
      <c r="AQ274" s="66"/>
    </row>
    <row r="275" spans="1:43" ht="15.75">
      <c r="B275" s="66" t="str">
        <f>B271</f>
        <v>18-49</v>
      </c>
      <c r="C275" s="66"/>
      <c r="D275" s="66"/>
      <c r="E275" s="66"/>
      <c r="F275" s="66"/>
      <c r="G275" s="66"/>
      <c r="H275" s="66"/>
      <c r="I275" s="66"/>
      <c r="J275" s="66"/>
      <c r="K275" s="66"/>
      <c r="L275" s="66"/>
      <c r="M275" s="66"/>
      <c r="N275" s="66"/>
      <c r="O275" s="66"/>
      <c r="P275" s="66"/>
      <c r="Q275" s="66"/>
      <c r="R275" s="66"/>
      <c r="S275" s="66"/>
      <c r="T275" s="66"/>
      <c r="U275" s="66"/>
      <c r="V275" s="66">
        <f>V266+V271</f>
        <v>1714</v>
      </c>
      <c r="W275" s="66"/>
      <c r="X275" s="66"/>
      <c r="Y275" s="66"/>
      <c r="Z275" s="66"/>
      <c r="AA275" s="66"/>
      <c r="AB275" s="66"/>
      <c r="AC275" s="66"/>
      <c r="AD275" s="66"/>
      <c r="AE275" s="66"/>
      <c r="AF275" s="66"/>
      <c r="AG275" s="66"/>
      <c r="AH275" s="66"/>
      <c r="AI275" s="66"/>
      <c r="AJ275" s="66"/>
      <c r="AK275" s="66"/>
      <c r="AL275" s="66"/>
      <c r="AM275" s="66"/>
      <c r="AN275" s="66"/>
      <c r="AO275" s="66"/>
      <c r="AP275" s="66"/>
      <c r="AQ275" s="66"/>
    </row>
    <row r="276" spans="1:43" ht="15.75">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row>
    <row r="277" spans="1:43" ht="15.75">
      <c r="B277" s="66" t="s">
        <v>1606</v>
      </c>
      <c r="C277" s="66"/>
      <c r="D277" s="66"/>
      <c r="E277" s="66"/>
      <c r="F277" s="66"/>
      <c r="G277" s="66">
        <v>9282</v>
      </c>
      <c r="H277" s="66">
        <v>7698</v>
      </c>
      <c r="I277" s="66">
        <v>6704</v>
      </c>
      <c r="J277" s="66">
        <v>10049</v>
      </c>
      <c r="K277" s="66">
        <v>9722</v>
      </c>
      <c r="L277" s="66">
        <v>7911</v>
      </c>
      <c r="M277" s="66">
        <v>7381</v>
      </c>
      <c r="N277" s="66">
        <v>9227</v>
      </c>
      <c r="O277" s="66">
        <v>8799</v>
      </c>
      <c r="P277" s="66">
        <v>7349</v>
      </c>
      <c r="Q277" s="66">
        <v>6424</v>
      </c>
      <c r="R277" s="66">
        <v>8787</v>
      </c>
      <c r="S277" s="66">
        <v>8288</v>
      </c>
      <c r="T277" s="66">
        <v>6206</v>
      </c>
      <c r="U277" s="66">
        <v>5691</v>
      </c>
      <c r="V277" s="66">
        <v>6503</v>
      </c>
      <c r="W277" s="66">
        <v>7237</v>
      </c>
      <c r="X277" s="66"/>
      <c r="Y277" s="66"/>
      <c r="Z277" s="66"/>
      <c r="AA277" s="66"/>
      <c r="AB277" s="66"/>
      <c r="AC277" s="66"/>
      <c r="AD277" s="66"/>
      <c r="AE277" s="66"/>
      <c r="AF277" s="66"/>
      <c r="AG277" s="66"/>
      <c r="AH277" s="66"/>
      <c r="AI277" s="66"/>
      <c r="AJ277" s="66"/>
      <c r="AK277" s="66"/>
      <c r="AL277" s="66"/>
      <c r="AM277" s="66"/>
      <c r="AN277" s="66"/>
      <c r="AO277" s="66"/>
      <c r="AP277" s="66"/>
      <c r="AQ277" s="66"/>
    </row>
    <row r="278" spans="1:43" ht="15.75">
      <c r="B278" s="66" t="s">
        <v>2171</v>
      </c>
      <c r="C278" s="66"/>
      <c r="D278" s="66"/>
      <c r="E278" s="66"/>
      <c r="F278" s="66"/>
      <c r="G278" s="116">
        <f t="shared" ref="G278:M278" si="143">G264/G277</f>
        <v>0.10805860805860806</v>
      </c>
      <c r="H278" s="116">
        <f t="shared" si="143"/>
        <v>0.1367887763055339</v>
      </c>
      <c r="I278" s="116">
        <f t="shared" si="143"/>
        <v>0.15334128878281622</v>
      </c>
      <c r="J278" s="116">
        <f t="shared" si="143"/>
        <v>0.10508508309284506</v>
      </c>
      <c r="K278" s="116">
        <f t="shared" si="143"/>
        <v>0.10748817115819791</v>
      </c>
      <c r="L278" s="116">
        <f t="shared" si="143"/>
        <v>0.12640626975097966</v>
      </c>
      <c r="M278" s="116">
        <f t="shared" si="143"/>
        <v>0.1245088741362959</v>
      </c>
      <c r="N278" s="116">
        <f t="shared" ref="N278:W278" si="144">N264/N277</f>
        <v>9.840684946353094E-2</v>
      </c>
      <c r="O278" s="116">
        <f t="shared" si="144"/>
        <v>0.10239799977270145</v>
      </c>
      <c r="P278" s="116">
        <f t="shared" si="144"/>
        <v>0.11212409851680501</v>
      </c>
      <c r="Q278" s="116">
        <f t="shared" si="144"/>
        <v>0.12204234122042341</v>
      </c>
      <c r="R278" s="116">
        <f t="shared" si="144"/>
        <v>7.7273244565835897E-2</v>
      </c>
      <c r="S278" s="116">
        <f t="shared" si="144"/>
        <v>7.8909266409266404E-2</v>
      </c>
      <c r="T278" s="116">
        <f t="shared" si="144"/>
        <v>0.10989365130518852</v>
      </c>
      <c r="U278" s="116">
        <f>U264/U277</f>
        <v>0.12581268669829557</v>
      </c>
      <c r="V278" s="116">
        <f t="shared" si="144"/>
        <v>9.8569890819621711E-2</v>
      </c>
      <c r="W278" s="116">
        <f t="shared" si="144"/>
        <v>9.4237943899405832E-2</v>
      </c>
      <c r="X278" s="116"/>
      <c r="Y278" s="116"/>
      <c r="Z278" s="116"/>
      <c r="AA278" s="116"/>
      <c r="AB278" s="116"/>
      <c r="AC278" s="116"/>
      <c r="AD278" s="116"/>
      <c r="AE278" s="116"/>
      <c r="AF278" s="116"/>
      <c r="AG278" s="116"/>
      <c r="AH278" s="66"/>
      <c r="AI278" s="66"/>
      <c r="AJ278" s="66"/>
      <c r="AK278" s="66"/>
      <c r="AL278" s="66"/>
      <c r="AM278" s="66"/>
      <c r="AN278" s="66"/>
      <c r="AO278" s="66"/>
      <c r="AP278" s="66"/>
      <c r="AQ278" s="66"/>
    </row>
    <row r="279" spans="1:43" ht="15.75">
      <c r="A279" t="s">
        <v>84</v>
      </c>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row>
    <row r="280" spans="1:43" ht="15.75">
      <c r="B280" s="113">
        <v>40452</v>
      </c>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66"/>
      <c r="AK280" s="66"/>
      <c r="AL280" s="66"/>
      <c r="AM280" s="66"/>
      <c r="AN280" s="66"/>
      <c r="AO280" s="66"/>
      <c r="AP280" s="66"/>
      <c r="AQ280" s="66"/>
    </row>
    <row r="281" spans="1:43" ht="15.75">
      <c r="B281" s="66" t="s">
        <v>575</v>
      </c>
      <c r="C281" s="66"/>
      <c r="D281" s="66"/>
      <c r="E281" s="66"/>
      <c r="F281" s="66"/>
      <c r="G281" s="66"/>
      <c r="H281" s="66"/>
      <c r="I281" s="66"/>
      <c r="J281" s="66"/>
      <c r="K281" s="66"/>
      <c r="L281" s="66"/>
      <c r="M281" s="66"/>
      <c r="N281" s="66"/>
      <c r="O281" s="66"/>
      <c r="P281" s="66"/>
      <c r="Q281" s="66"/>
      <c r="R281" s="66"/>
      <c r="S281" s="66" t="s">
        <v>84</v>
      </c>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row>
    <row r="282" spans="1:43" ht="15.75">
      <c r="B282" s="66" t="s">
        <v>576</v>
      </c>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66"/>
    </row>
    <row r="283" spans="1:43" ht="15.75">
      <c r="B283" s="66" t="s">
        <v>578</v>
      </c>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row>
    <row r="284" spans="1:43" ht="15.75">
      <c r="B284" s="66" t="s">
        <v>580</v>
      </c>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66"/>
    </row>
    <row r="285" spans="1:43" ht="15.75">
      <c r="B285" s="66" t="s">
        <v>579</v>
      </c>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row>
    <row r="286" spans="1:43" ht="15.75">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row>
    <row r="287" spans="1:43" ht="15.75">
      <c r="B287" s="66" t="s">
        <v>1573</v>
      </c>
      <c r="C287" s="66" t="s">
        <v>1574</v>
      </c>
      <c r="D287" s="66"/>
      <c r="E287" s="66"/>
      <c r="F287" s="66"/>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row>
    <row r="288" spans="1:43" ht="15.75">
      <c r="B288" s="66"/>
      <c r="C288" s="66" t="s">
        <v>1575</v>
      </c>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c r="AP288" s="66"/>
      <c r="AQ288" s="66"/>
    </row>
    <row r="289" spans="2:43" ht="15.75">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row>
    <row r="290" spans="2:43">
      <c r="B290" t="s">
        <v>2172</v>
      </c>
    </row>
  </sheetData>
  <pageMargins left="0.70866141732283472" right="0.70866141732283472" top="0.74803149606299213" bottom="0.74803149606299213" header="0.31496062992125984" footer="0.31496062992125984"/>
  <pageSetup paperSize="9" scale="12" orientation="landscape"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6:K43"/>
  <sheetViews>
    <sheetView zoomScale="85" zoomScaleNormal="85" workbookViewId="0"/>
  </sheetViews>
  <sheetFormatPr defaultRowHeight="15"/>
  <sheetData>
    <row r="6" spans="2:11">
      <c r="B6" s="265" t="s">
        <v>1803</v>
      </c>
      <c r="C6" s="266"/>
      <c r="D6" s="266"/>
      <c r="E6" s="266"/>
      <c r="F6" s="266"/>
      <c r="G6" s="266"/>
      <c r="H6" s="267"/>
      <c r="I6" s="267"/>
      <c r="J6" s="267"/>
      <c r="K6" s="268"/>
    </row>
    <row r="7" spans="2:11">
      <c r="B7" s="1719" t="s">
        <v>1804</v>
      </c>
      <c r="C7" s="1720"/>
      <c r="D7" s="1720"/>
      <c r="E7" s="1720"/>
      <c r="F7" s="269" t="s">
        <v>1822</v>
      </c>
      <c r="G7" s="269"/>
      <c r="H7" s="270"/>
      <c r="I7" s="271"/>
      <c r="J7" s="271"/>
      <c r="K7" s="271" t="s">
        <v>1805</v>
      </c>
    </row>
    <row r="8" spans="2:11">
      <c r="B8" s="272" t="s">
        <v>1038</v>
      </c>
      <c r="C8" s="273"/>
      <c r="D8" s="273"/>
      <c r="E8" s="274"/>
      <c r="F8" s="380" t="e">
        <f>Interims!#REF!</f>
        <v>#REF!</v>
      </c>
      <c r="G8" s="275"/>
      <c r="H8" s="276"/>
      <c r="I8" s="277"/>
      <c r="J8" s="277"/>
      <c r="K8" s="278">
        <v>16924</v>
      </c>
    </row>
    <row r="9" spans="2:11">
      <c r="B9" s="279"/>
      <c r="C9" s="280" t="s">
        <v>145</v>
      </c>
      <c r="D9" s="281"/>
      <c r="E9" s="281"/>
      <c r="F9" s="282" t="e">
        <f>Interims!#REF!</f>
        <v>#REF!</v>
      </c>
      <c r="G9" s="283"/>
      <c r="H9" s="284"/>
      <c r="I9" s="285"/>
      <c r="J9" s="285"/>
      <c r="K9" s="286">
        <v>6641.8</v>
      </c>
    </row>
    <row r="10" spans="2:11">
      <c r="B10" s="287"/>
      <c r="C10" s="288"/>
      <c r="D10" s="289" t="s">
        <v>146</v>
      </c>
      <c r="E10" s="289"/>
      <c r="F10" s="282" t="e">
        <f>Interims!#REF!</f>
        <v>#REF!</v>
      </c>
      <c r="G10" s="291"/>
      <c r="H10" s="292"/>
      <c r="I10" s="293"/>
      <c r="J10" s="293"/>
      <c r="K10" s="294">
        <v>4552.6000000000004</v>
      </c>
    </row>
    <row r="11" spans="2:11">
      <c r="B11" s="287"/>
      <c r="C11" s="288"/>
      <c r="D11" s="289" t="s">
        <v>1806</v>
      </c>
      <c r="E11" s="289"/>
      <c r="F11" s="282" t="e">
        <f>Interims!#REF!</f>
        <v>#REF!</v>
      </c>
      <c r="G11" s="291"/>
      <c r="H11" s="292"/>
      <c r="I11" s="293"/>
      <c r="J11" s="293"/>
      <c r="K11" s="294">
        <v>688.1</v>
      </c>
    </row>
    <row r="12" spans="2:11">
      <c r="B12" s="295"/>
      <c r="C12" s="296"/>
      <c r="D12" s="297" t="s">
        <v>1807</v>
      </c>
      <c r="E12" s="297"/>
      <c r="F12" s="282" t="e">
        <f>Interims!#REF!</f>
        <v>#REF!</v>
      </c>
      <c r="G12" s="298"/>
      <c r="H12" s="299"/>
      <c r="I12" s="300"/>
      <c r="J12" s="299"/>
      <c r="K12" s="301">
        <v>1401.1</v>
      </c>
    </row>
    <row r="13" spans="2:11">
      <c r="B13" s="287"/>
      <c r="C13" s="302" t="s">
        <v>128</v>
      </c>
      <c r="D13" s="289"/>
      <c r="E13" s="289"/>
      <c r="F13" s="290" t="e">
        <f>Interims!#REF!</f>
        <v>#REF!</v>
      </c>
      <c r="G13" s="303"/>
      <c r="H13" s="304"/>
      <c r="I13" s="305"/>
      <c r="J13" s="306"/>
      <c r="K13" s="307">
        <v>4199.2</v>
      </c>
    </row>
    <row r="14" spans="2:11">
      <c r="B14" s="279"/>
      <c r="C14" s="308" t="s">
        <v>129</v>
      </c>
      <c r="D14" s="281"/>
      <c r="E14" s="281"/>
      <c r="F14" s="290" t="e">
        <f>Interims!#REF!</f>
        <v>#REF!</v>
      </c>
      <c r="G14" s="283"/>
      <c r="H14" s="284"/>
      <c r="I14" s="285"/>
      <c r="J14" s="309"/>
      <c r="K14" s="310">
        <v>4600.6000000000004</v>
      </c>
    </row>
    <row r="15" spans="2:11">
      <c r="B15" s="287"/>
      <c r="C15" s="302" t="s">
        <v>1808</v>
      </c>
      <c r="D15" s="289"/>
      <c r="E15" s="289"/>
      <c r="F15" s="290" t="e">
        <f>Interims!#REF!</f>
        <v>#REF!</v>
      </c>
      <c r="G15" s="303"/>
      <c r="H15" s="304"/>
      <c r="I15" s="305"/>
      <c r="J15" s="305"/>
      <c r="K15" s="294">
        <v>1787.5</v>
      </c>
    </row>
    <row r="16" spans="2:11">
      <c r="B16" s="311"/>
      <c r="C16" s="302" t="s">
        <v>1809</v>
      </c>
      <c r="D16" s="289"/>
      <c r="E16" s="289"/>
      <c r="F16" s="290" t="e">
        <f>Interims!#REF!</f>
        <v>#REF!</v>
      </c>
      <c r="G16" s="291"/>
      <c r="H16" s="304"/>
      <c r="I16" s="305"/>
      <c r="J16" s="305"/>
      <c r="K16" s="294">
        <v>-305.10000000000002</v>
      </c>
    </row>
    <row r="17" spans="2:11">
      <c r="B17" s="272" t="s">
        <v>136</v>
      </c>
      <c r="C17" s="273"/>
      <c r="D17" s="273"/>
      <c r="E17" s="274"/>
      <c r="F17" s="380" t="e">
        <f>Interims!#REF!</f>
        <v>#REF!</v>
      </c>
      <c r="G17" s="275"/>
      <c r="H17" s="276"/>
      <c r="I17" s="277"/>
      <c r="J17" s="277"/>
      <c r="K17" s="278">
        <v>6079.7</v>
      </c>
    </row>
    <row r="18" spans="2:11">
      <c r="B18" s="312"/>
      <c r="C18" s="288" t="s">
        <v>145</v>
      </c>
      <c r="D18" s="313"/>
      <c r="E18" s="314"/>
      <c r="F18" s="315" t="e">
        <f>Interims!#REF!</f>
        <v>#REF!</v>
      </c>
      <c r="G18" s="303"/>
      <c r="H18" s="304"/>
      <c r="I18" s="306"/>
      <c r="J18" s="306"/>
      <c r="K18" s="307">
        <v>2400</v>
      </c>
    </row>
    <row r="19" spans="2:11">
      <c r="B19" s="312"/>
      <c r="C19" s="302" t="s">
        <v>128</v>
      </c>
      <c r="D19" s="289"/>
      <c r="E19" s="314"/>
      <c r="F19" s="315" t="e">
        <f>Interims!#REF!</f>
        <v>#REF!</v>
      </c>
      <c r="G19" s="303"/>
      <c r="H19" s="304"/>
      <c r="I19" s="306"/>
      <c r="J19" s="306"/>
      <c r="K19" s="307">
        <v>1947</v>
      </c>
    </row>
    <row r="20" spans="2:11">
      <c r="B20" s="316"/>
      <c r="C20" s="308" t="s">
        <v>129</v>
      </c>
      <c r="D20" s="281"/>
      <c r="E20" s="317"/>
      <c r="F20" s="315" t="e">
        <f>Interims!#REF!</f>
        <v>#REF!</v>
      </c>
      <c r="G20" s="283"/>
      <c r="H20" s="284"/>
      <c r="I20" s="309"/>
      <c r="J20" s="309"/>
      <c r="K20" s="286">
        <v>1627</v>
      </c>
    </row>
    <row r="21" spans="2:11">
      <c r="B21" s="312"/>
      <c r="C21" s="302" t="s">
        <v>1808</v>
      </c>
      <c r="D21" s="289"/>
      <c r="E21" s="314"/>
      <c r="F21" s="315" t="e">
        <f>Interims!#REF!</f>
        <v>#REF!</v>
      </c>
      <c r="G21" s="303"/>
      <c r="H21" s="304"/>
      <c r="I21" s="306"/>
      <c r="J21" s="306"/>
      <c r="K21" s="307">
        <v>104.7</v>
      </c>
    </row>
    <row r="22" spans="2:11">
      <c r="B22" s="316" t="s">
        <v>57</v>
      </c>
      <c r="C22" s="308"/>
      <c r="D22" s="308"/>
      <c r="E22" s="308"/>
      <c r="F22" s="383" t="e">
        <f>Interims!#REF!</f>
        <v>#REF!</v>
      </c>
      <c r="G22" s="384"/>
      <c r="H22" s="385"/>
      <c r="I22" s="385"/>
      <c r="J22" s="385"/>
      <c r="K22" s="386">
        <v>5610.4</v>
      </c>
    </row>
    <row r="23" spans="2:11">
      <c r="B23" s="311" t="s">
        <v>1810</v>
      </c>
      <c r="C23" s="302"/>
      <c r="D23" s="302"/>
      <c r="E23" s="302"/>
      <c r="F23" s="319" t="e">
        <f>F22/F8</f>
        <v>#REF!</v>
      </c>
      <c r="G23" s="320"/>
      <c r="H23" s="321"/>
      <c r="I23" s="321"/>
      <c r="J23" s="321"/>
      <c r="K23" s="322">
        <v>0.33150555424249584</v>
      </c>
    </row>
    <row r="24" spans="2:11">
      <c r="B24" s="272" t="s">
        <v>1811</v>
      </c>
      <c r="C24" s="273"/>
      <c r="D24" s="273"/>
      <c r="E24" s="274"/>
      <c r="F24" s="325" t="e">
        <f>Interims!#REF!</f>
        <v>#REF!</v>
      </c>
      <c r="G24" s="323"/>
      <c r="H24" s="277"/>
      <c r="I24" s="277"/>
      <c r="J24" s="277"/>
      <c r="K24" s="324">
        <v>2472.4</v>
      </c>
    </row>
    <row r="25" spans="2:11">
      <c r="B25" s="312"/>
      <c r="C25" s="288" t="s">
        <v>145</v>
      </c>
      <c r="D25" s="313"/>
      <c r="E25" s="314"/>
      <c r="F25" s="325" t="e">
        <f>Interims!#REF!</f>
        <v>#REF!</v>
      </c>
      <c r="G25" s="326"/>
      <c r="H25" s="306"/>
      <c r="I25" s="306"/>
      <c r="J25" s="306"/>
      <c r="K25" s="327">
        <v>302.23987408184684</v>
      </c>
    </row>
    <row r="26" spans="2:11">
      <c r="B26" s="312"/>
      <c r="C26" s="288" t="s">
        <v>128</v>
      </c>
      <c r="D26" s="313"/>
      <c r="E26" s="314"/>
      <c r="F26" s="325" t="e">
        <f>Interims!#REF!</f>
        <v>#REF!</v>
      </c>
      <c r="G26" s="326"/>
      <c r="H26" s="306"/>
      <c r="I26" s="306"/>
      <c r="J26" s="306"/>
      <c r="K26" s="327">
        <v>952.12046169989526</v>
      </c>
    </row>
    <row r="27" spans="2:11">
      <c r="B27" s="312"/>
      <c r="C27" s="288" t="s">
        <v>1812</v>
      </c>
      <c r="D27" s="313"/>
      <c r="E27" s="314"/>
      <c r="F27" s="325" t="e">
        <f>Interims!#REF!</f>
        <v>#REF!</v>
      </c>
      <c r="G27" s="326"/>
      <c r="H27" s="306"/>
      <c r="I27" s="306"/>
      <c r="J27" s="306"/>
      <c r="K27" s="327">
        <v>1218.0396642182584</v>
      </c>
    </row>
    <row r="28" spans="2:11">
      <c r="B28" s="328" t="s">
        <v>1813</v>
      </c>
      <c r="C28" s="280"/>
      <c r="D28" s="329"/>
      <c r="E28" s="317"/>
      <c r="F28" s="318"/>
      <c r="G28" s="330"/>
      <c r="H28" s="331"/>
      <c r="I28" s="332"/>
      <c r="J28" s="330"/>
      <c r="K28" s="333">
        <v>0.14608839517844482</v>
      </c>
    </row>
    <row r="29" spans="2:11">
      <c r="B29" s="312"/>
      <c r="C29" s="288" t="s">
        <v>145</v>
      </c>
      <c r="D29" s="313"/>
      <c r="E29" s="314"/>
      <c r="F29" s="381" t="e">
        <f>F25/F14</f>
        <v>#REF!</v>
      </c>
      <c r="G29" s="334"/>
      <c r="H29" s="335"/>
      <c r="I29" s="306"/>
      <c r="J29" s="335"/>
      <c r="K29" s="336">
        <v>4.5505717438321963E-2</v>
      </c>
    </row>
    <row r="30" spans="2:11">
      <c r="B30" s="312"/>
      <c r="C30" s="288" t="s">
        <v>128</v>
      </c>
      <c r="D30" s="313"/>
      <c r="E30" s="314"/>
      <c r="F30" s="381" t="e">
        <f>F26/F13</f>
        <v>#REF!</v>
      </c>
      <c r="G30" s="334"/>
      <c r="H30" s="335"/>
      <c r="I30" s="306"/>
      <c r="J30" s="335"/>
      <c r="K30" s="336">
        <v>0.2267385363164163</v>
      </c>
    </row>
    <row r="31" spans="2:11">
      <c r="B31" s="337"/>
      <c r="C31" s="338" t="s">
        <v>1812</v>
      </c>
      <c r="D31" s="339"/>
      <c r="E31" s="340"/>
      <c r="F31" s="382" t="e">
        <f>F27/F14</f>
        <v>#REF!</v>
      </c>
      <c r="G31" s="341"/>
      <c r="H31" s="342"/>
      <c r="I31" s="343"/>
      <c r="J31" s="344"/>
      <c r="K31" s="344">
        <v>0.26475669786946449</v>
      </c>
    </row>
    <row r="32" spans="2:11">
      <c r="B32" s="312" t="s">
        <v>1814</v>
      </c>
      <c r="C32" s="313"/>
      <c r="D32" s="313"/>
      <c r="E32" s="302"/>
      <c r="F32" s="325" t="e">
        <f>Interims!#REF!</f>
        <v>#REF!</v>
      </c>
      <c r="G32" s="326"/>
      <c r="H32" s="306"/>
      <c r="I32" s="306"/>
      <c r="J32" s="306"/>
      <c r="K32" s="327">
        <v>853</v>
      </c>
    </row>
    <row r="33" spans="2:11">
      <c r="B33" s="345" t="s">
        <v>1815</v>
      </c>
      <c r="C33" s="346"/>
      <c r="D33" s="346"/>
      <c r="E33" s="302"/>
      <c r="F33" s="347"/>
      <c r="G33" s="348"/>
      <c r="H33" s="349"/>
      <c r="I33" s="349"/>
      <c r="J33" s="306"/>
      <c r="K33" s="350">
        <v>3058.3</v>
      </c>
    </row>
    <row r="34" spans="2:11">
      <c r="B34" s="351" t="s">
        <v>1816</v>
      </c>
      <c r="C34" s="352"/>
      <c r="D34" s="352"/>
      <c r="E34" s="352"/>
      <c r="F34" s="353"/>
      <c r="G34" s="353"/>
      <c r="H34" s="353"/>
      <c r="I34" s="353"/>
      <c r="J34" s="353"/>
      <c r="K34" s="354"/>
    </row>
    <row r="35" spans="2:11">
      <c r="B35" s="355" t="s">
        <v>1817</v>
      </c>
      <c r="C35" s="356"/>
      <c r="D35" s="356"/>
      <c r="E35" s="356"/>
      <c r="F35" s="357"/>
      <c r="G35" s="358"/>
      <c r="H35" s="358"/>
      <c r="I35" s="359"/>
      <c r="J35" s="360"/>
      <c r="K35" s="360"/>
    </row>
    <row r="36" spans="2:11">
      <c r="B36" s="355"/>
      <c r="C36" s="356" t="s">
        <v>1818</v>
      </c>
      <c r="D36" s="356"/>
      <c r="E36" s="356"/>
      <c r="F36" s="357"/>
      <c r="G36" s="358"/>
      <c r="H36" s="361"/>
      <c r="I36" s="359"/>
      <c r="J36" s="360"/>
      <c r="K36" s="362">
        <v>2.5179999999999998</v>
      </c>
    </row>
    <row r="37" spans="2:11">
      <c r="B37" s="345"/>
      <c r="C37" s="346"/>
      <c r="D37" s="346"/>
      <c r="E37" s="346"/>
      <c r="F37" s="363"/>
      <c r="G37" s="364"/>
      <c r="H37" s="365"/>
      <c r="I37" s="366"/>
      <c r="J37" s="367"/>
      <c r="K37" s="368">
        <v>2.2999999999999687E-2</v>
      </c>
    </row>
    <row r="38" spans="2:11">
      <c r="B38" s="345"/>
      <c r="C38" s="346" t="s">
        <v>1819</v>
      </c>
      <c r="D38" s="346"/>
      <c r="E38" s="346"/>
      <c r="F38" s="363"/>
      <c r="G38" s="364"/>
      <c r="H38" s="365"/>
      <c r="I38" s="366"/>
      <c r="J38" s="367"/>
      <c r="K38" s="369">
        <v>1.75</v>
      </c>
    </row>
    <row r="39" spans="2:11">
      <c r="B39" s="345"/>
      <c r="C39" s="346"/>
      <c r="D39" s="346"/>
      <c r="E39" s="346"/>
      <c r="F39" s="363"/>
      <c r="G39" s="364"/>
      <c r="H39" s="365"/>
      <c r="I39" s="366"/>
      <c r="J39" s="367"/>
      <c r="K39" s="368">
        <v>8.4000000000000075E-2</v>
      </c>
    </row>
    <row r="40" spans="2:11">
      <c r="B40" s="345"/>
      <c r="C40" s="346" t="s">
        <v>1820</v>
      </c>
      <c r="D40" s="346"/>
      <c r="E40" s="346"/>
      <c r="F40" s="363"/>
      <c r="G40" s="364"/>
      <c r="H40" s="365"/>
      <c r="I40" s="366"/>
      <c r="J40" s="367"/>
      <c r="K40" s="369">
        <v>0.94199999999999995</v>
      </c>
    </row>
    <row r="41" spans="2:11">
      <c r="B41" s="345"/>
      <c r="C41" s="346"/>
      <c r="D41" s="346"/>
      <c r="E41" s="346"/>
      <c r="F41" s="363"/>
      <c r="G41" s="364"/>
      <c r="H41" s="365"/>
      <c r="I41" s="366"/>
      <c r="J41" s="367"/>
      <c r="K41" s="368">
        <v>2.6999999999999913E-2</v>
      </c>
    </row>
    <row r="42" spans="2:11">
      <c r="B42" s="345"/>
      <c r="C42" s="346" t="s">
        <v>98</v>
      </c>
      <c r="D42" s="346"/>
      <c r="E42" s="346"/>
      <c r="F42" s="363"/>
      <c r="G42" s="364"/>
      <c r="H42" s="370"/>
      <c r="I42" s="366"/>
      <c r="J42" s="367"/>
      <c r="K42" s="371">
        <v>5.21</v>
      </c>
    </row>
    <row r="43" spans="2:11">
      <c r="B43" s="372"/>
      <c r="C43" s="373"/>
      <c r="D43" s="373"/>
      <c r="E43" s="373"/>
      <c r="F43" s="374"/>
      <c r="G43" s="375"/>
      <c r="H43" s="376"/>
      <c r="I43" s="377"/>
      <c r="J43" s="378"/>
      <c r="K43" s="379">
        <v>0.13399999999999967</v>
      </c>
    </row>
  </sheetData>
  <mergeCells count="1">
    <mergeCell ref="B7:E7"/>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BK40"/>
  <sheetViews>
    <sheetView zoomScale="85" zoomScaleNormal="85" workbookViewId="0">
      <pane xSplit="1" ySplit="4" topLeftCell="N5" activePane="bottomRight" state="frozen"/>
      <selection activeCell="V23" sqref="V23"/>
      <selection pane="topRight" activeCell="V23" sqref="V23"/>
      <selection pane="bottomLeft" activeCell="V23" sqref="V23"/>
      <selection pane="bottomRight" activeCell="AB5" sqref="AB5"/>
    </sheetView>
  </sheetViews>
  <sheetFormatPr defaultRowHeight="12.75"/>
  <cols>
    <col min="1" max="1" width="36.140625" style="13" customWidth="1"/>
    <col min="2" max="2" width="8.42578125" style="13" customWidth="1"/>
    <col min="3" max="3" width="6.7109375" style="13" customWidth="1"/>
    <col min="4" max="6" width="7.85546875" style="13" customWidth="1"/>
    <col min="7" max="7" width="8.42578125" style="13" customWidth="1"/>
    <col min="8" max="8" width="6.7109375" style="13" customWidth="1"/>
    <col min="9" max="11" width="7.85546875" style="13" customWidth="1"/>
    <col min="12" max="12" width="8.42578125" style="13" customWidth="1"/>
    <col min="13" max="13" width="6.7109375" style="13" customWidth="1"/>
    <col min="14" max="16" width="7.85546875" style="13" customWidth="1"/>
    <col min="17" max="17" width="8.42578125" style="13" customWidth="1"/>
    <col min="18" max="21" width="7.85546875" style="13" customWidth="1"/>
    <col min="22" max="22" width="9.7109375" style="13" customWidth="1"/>
    <col min="23" max="26" width="7.85546875" style="13" customWidth="1"/>
    <col min="27" max="27" width="9.7109375" style="13" customWidth="1"/>
    <col min="28" max="31" width="7.85546875" style="13" customWidth="1"/>
    <col min="32" max="32" width="10.140625" style="13" customWidth="1"/>
    <col min="33" max="33" width="11.42578125" style="13" customWidth="1"/>
    <col min="34" max="63" width="7.85546875" style="13" customWidth="1"/>
    <col min="64" max="256" width="11.42578125" style="13" customWidth="1"/>
    <col min="257" max="257" width="36.140625" style="13" customWidth="1"/>
    <col min="258" max="258" width="8.42578125" style="13" customWidth="1"/>
    <col min="259" max="259" width="6.7109375" style="13" customWidth="1"/>
    <col min="260" max="262" width="7.85546875" style="13" customWidth="1"/>
    <col min="263" max="263" width="8.42578125" style="13" customWidth="1"/>
    <col min="264" max="264" width="6.7109375" style="13" customWidth="1"/>
    <col min="265" max="267" width="7.85546875" style="13" customWidth="1"/>
    <col min="268" max="268" width="8.42578125" style="13" customWidth="1"/>
    <col min="269" max="269" width="6.7109375" style="13" customWidth="1"/>
    <col min="270" max="272" width="7.85546875" style="13" customWidth="1"/>
    <col min="273" max="273" width="8.42578125" style="13" customWidth="1"/>
    <col min="274" max="277" width="7.85546875" style="13" customWidth="1"/>
    <col min="278" max="278" width="8.42578125" style="13" customWidth="1"/>
    <col min="279" max="288" width="7.85546875" style="13" customWidth="1"/>
    <col min="289" max="512" width="11.42578125" style="13" customWidth="1"/>
    <col min="513" max="513" width="36.140625" style="13" customWidth="1"/>
    <col min="514" max="514" width="8.42578125" style="13" customWidth="1"/>
    <col min="515" max="515" width="6.7109375" style="13" customWidth="1"/>
    <col min="516" max="518" width="7.85546875" style="13" customWidth="1"/>
    <col min="519" max="519" width="8.42578125" style="13" customWidth="1"/>
    <col min="520" max="520" width="6.7109375" style="13" customWidth="1"/>
    <col min="521" max="523" width="7.85546875" style="13" customWidth="1"/>
    <col min="524" max="524" width="8.42578125" style="13" customWidth="1"/>
    <col min="525" max="525" width="6.7109375" style="13" customWidth="1"/>
    <col min="526" max="528" width="7.85546875" style="13" customWidth="1"/>
    <col min="529" max="529" width="8.42578125" style="13" customWidth="1"/>
    <col min="530" max="533" width="7.85546875" style="13" customWidth="1"/>
    <col min="534" max="534" width="8.42578125" style="13" customWidth="1"/>
    <col min="535" max="544" width="7.85546875" style="13" customWidth="1"/>
    <col min="545" max="768" width="11.42578125" style="13" customWidth="1"/>
    <col min="769" max="769" width="36.140625" style="13" customWidth="1"/>
    <col min="770" max="770" width="8.42578125" style="13" customWidth="1"/>
    <col min="771" max="771" width="6.7109375" style="13" customWidth="1"/>
    <col min="772" max="774" width="7.85546875" style="13" customWidth="1"/>
    <col min="775" max="775" width="8.42578125" style="13" customWidth="1"/>
    <col min="776" max="776" width="6.7109375" style="13" customWidth="1"/>
    <col min="777" max="779" width="7.85546875" style="13" customWidth="1"/>
    <col min="780" max="780" width="8.42578125" style="13" customWidth="1"/>
    <col min="781" max="781" width="6.7109375" style="13" customWidth="1"/>
    <col min="782" max="784" width="7.85546875" style="13" customWidth="1"/>
    <col min="785" max="785" width="8.42578125" style="13" customWidth="1"/>
    <col min="786" max="789" width="7.85546875" style="13" customWidth="1"/>
    <col min="790" max="790" width="8.42578125" style="13" customWidth="1"/>
    <col min="791" max="800" width="7.85546875" style="13" customWidth="1"/>
    <col min="801" max="1024" width="11.42578125" style="13" customWidth="1"/>
    <col min="1025" max="1025" width="36.140625" style="13" customWidth="1"/>
    <col min="1026" max="1026" width="8.42578125" style="13" customWidth="1"/>
    <col min="1027" max="1027" width="6.7109375" style="13" customWidth="1"/>
    <col min="1028" max="1030" width="7.85546875" style="13" customWidth="1"/>
    <col min="1031" max="1031" width="8.42578125" style="13" customWidth="1"/>
    <col min="1032" max="1032" width="6.7109375" style="13" customWidth="1"/>
    <col min="1033" max="1035" width="7.85546875" style="13" customWidth="1"/>
    <col min="1036" max="1036" width="8.42578125" style="13" customWidth="1"/>
    <col min="1037" max="1037" width="6.7109375" style="13" customWidth="1"/>
    <col min="1038" max="1040" width="7.85546875" style="13" customWidth="1"/>
    <col min="1041" max="1041" width="8.42578125" style="13" customWidth="1"/>
    <col min="1042" max="1045" width="7.85546875" style="13" customWidth="1"/>
    <col min="1046" max="1046" width="8.42578125" style="13" customWidth="1"/>
    <col min="1047" max="1056" width="7.85546875" style="13" customWidth="1"/>
    <col min="1057" max="1280" width="11.42578125" style="13" customWidth="1"/>
    <col min="1281" max="1281" width="36.140625" style="13" customWidth="1"/>
    <col min="1282" max="1282" width="8.42578125" style="13" customWidth="1"/>
    <col min="1283" max="1283" width="6.7109375" style="13" customWidth="1"/>
    <col min="1284" max="1286" width="7.85546875" style="13" customWidth="1"/>
    <col min="1287" max="1287" width="8.42578125" style="13" customWidth="1"/>
    <col min="1288" max="1288" width="6.7109375" style="13" customWidth="1"/>
    <col min="1289" max="1291" width="7.85546875" style="13" customWidth="1"/>
    <col min="1292" max="1292" width="8.42578125" style="13" customWidth="1"/>
    <col min="1293" max="1293" width="6.7109375" style="13" customWidth="1"/>
    <col min="1294" max="1296" width="7.85546875" style="13" customWidth="1"/>
    <col min="1297" max="1297" width="8.42578125" style="13" customWidth="1"/>
    <col min="1298" max="1301" width="7.85546875" style="13" customWidth="1"/>
    <col min="1302" max="1302" width="8.42578125" style="13" customWidth="1"/>
    <col min="1303" max="1312" width="7.85546875" style="13" customWidth="1"/>
    <col min="1313" max="1536" width="11.42578125" style="13" customWidth="1"/>
    <col min="1537" max="1537" width="36.140625" style="13" customWidth="1"/>
    <col min="1538" max="1538" width="8.42578125" style="13" customWidth="1"/>
    <col min="1539" max="1539" width="6.7109375" style="13" customWidth="1"/>
    <col min="1540" max="1542" width="7.85546875" style="13" customWidth="1"/>
    <col min="1543" max="1543" width="8.42578125" style="13" customWidth="1"/>
    <col min="1544" max="1544" width="6.7109375" style="13" customWidth="1"/>
    <col min="1545" max="1547" width="7.85546875" style="13" customWidth="1"/>
    <col min="1548" max="1548" width="8.42578125" style="13" customWidth="1"/>
    <col min="1549" max="1549" width="6.7109375" style="13" customWidth="1"/>
    <col min="1550" max="1552" width="7.85546875" style="13" customWidth="1"/>
    <col min="1553" max="1553" width="8.42578125" style="13" customWidth="1"/>
    <col min="1554" max="1557" width="7.85546875" style="13" customWidth="1"/>
    <col min="1558" max="1558" width="8.42578125" style="13" customWidth="1"/>
    <col min="1559" max="1568" width="7.85546875" style="13" customWidth="1"/>
    <col min="1569" max="1792" width="11.42578125" style="13" customWidth="1"/>
    <col min="1793" max="1793" width="36.140625" style="13" customWidth="1"/>
    <col min="1794" max="1794" width="8.42578125" style="13" customWidth="1"/>
    <col min="1795" max="1795" width="6.7109375" style="13" customWidth="1"/>
    <col min="1796" max="1798" width="7.85546875" style="13" customWidth="1"/>
    <col min="1799" max="1799" width="8.42578125" style="13" customWidth="1"/>
    <col min="1800" max="1800" width="6.7109375" style="13" customWidth="1"/>
    <col min="1801" max="1803" width="7.85546875" style="13" customWidth="1"/>
    <col min="1804" max="1804" width="8.42578125" style="13" customWidth="1"/>
    <col min="1805" max="1805" width="6.7109375" style="13" customWidth="1"/>
    <col min="1806" max="1808" width="7.85546875" style="13" customWidth="1"/>
    <col min="1809" max="1809" width="8.42578125" style="13" customWidth="1"/>
    <col min="1810" max="1813" width="7.85546875" style="13" customWidth="1"/>
    <col min="1814" max="1814" width="8.42578125" style="13" customWidth="1"/>
    <col min="1815" max="1824" width="7.85546875" style="13" customWidth="1"/>
    <col min="1825" max="2048" width="11.42578125" style="13" customWidth="1"/>
    <col min="2049" max="2049" width="36.140625" style="13" customWidth="1"/>
    <col min="2050" max="2050" width="8.42578125" style="13" customWidth="1"/>
    <col min="2051" max="2051" width="6.7109375" style="13" customWidth="1"/>
    <col min="2052" max="2054" width="7.85546875" style="13" customWidth="1"/>
    <col min="2055" max="2055" width="8.42578125" style="13" customWidth="1"/>
    <col min="2056" max="2056" width="6.7109375" style="13" customWidth="1"/>
    <col min="2057" max="2059" width="7.85546875" style="13" customWidth="1"/>
    <col min="2060" max="2060" width="8.42578125" style="13" customWidth="1"/>
    <col min="2061" max="2061" width="6.7109375" style="13" customWidth="1"/>
    <col min="2062" max="2064" width="7.85546875" style="13" customWidth="1"/>
    <col min="2065" max="2065" width="8.42578125" style="13" customWidth="1"/>
    <col min="2066" max="2069" width="7.85546875" style="13" customWidth="1"/>
    <col min="2070" max="2070" width="8.42578125" style="13" customWidth="1"/>
    <col min="2071" max="2080" width="7.85546875" style="13" customWidth="1"/>
    <col min="2081" max="2304" width="11.42578125" style="13" customWidth="1"/>
    <col min="2305" max="2305" width="36.140625" style="13" customWidth="1"/>
    <col min="2306" max="2306" width="8.42578125" style="13" customWidth="1"/>
    <col min="2307" max="2307" width="6.7109375" style="13" customWidth="1"/>
    <col min="2308" max="2310" width="7.85546875" style="13" customWidth="1"/>
    <col min="2311" max="2311" width="8.42578125" style="13" customWidth="1"/>
    <col min="2312" max="2312" width="6.7109375" style="13" customWidth="1"/>
    <col min="2313" max="2315" width="7.85546875" style="13" customWidth="1"/>
    <col min="2316" max="2316" width="8.42578125" style="13" customWidth="1"/>
    <col min="2317" max="2317" width="6.7109375" style="13" customWidth="1"/>
    <col min="2318" max="2320" width="7.85546875" style="13" customWidth="1"/>
    <col min="2321" max="2321" width="8.42578125" style="13" customWidth="1"/>
    <col min="2322" max="2325" width="7.85546875" style="13" customWidth="1"/>
    <col min="2326" max="2326" width="8.42578125" style="13" customWidth="1"/>
    <col min="2327" max="2336" width="7.85546875" style="13" customWidth="1"/>
    <col min="2337" max="2560" width="11.42578125" style="13" customWidth="1"/>
    <col min="2561" max="2561" width="36.140625" style="13" customWidth="1"/>
    <col min="2562" max="2562" width="8.42578125" style="13" customWidth="1"/>
    <col min="2563" max="2563" width="6.7109375" style="13" customWidth="1"/>
    <col min="2564" max="2566" width="7.85546875" style="13" customWidth="1"/>
    <col min="2567" max="2567" width="8.42578125" style="13" customWidth="1"/>
    <col min="2568" max="2568" width="6.7109375" style="13" customWidth="1"/>
    <col min="2569" max="2571" width="7.85546875" style="13" customWidth="1"/>
    <col min="2572" max="2572" width="8.42578125" style="13" customWidth="1"/>
    <col min="2573" max="2573" width="6.7109375" style="13" customWidth="1"/>
    <col min="2574" max="2576" width="7.85546875" style="13" customWidth="1"/>
    <col min="2577" max="2577" width="8.42578125" style="13" customWidth="1"/>
    <col min="2578" max="2581" width="7.85546875" style="13" customWidth="1"/>
    <col min="2582" max="2582" width="8.42578125" style="13" customWidth="1"/>
    <col min="2583" max="2592" width="7.85546875" style="13" customWidth="1"/>
    <col min="2593" max="2816" width="11.42578125" style="13" customWidth="1"/>
    <col min="2817" max="2817" width="36.140625" style="13" customWidth="1"/>
    <col min="2818" max="2818" width="8.42578125" style="13" customWidth="1"/>
    <col min="2819" max="2819" width="6.7109375" style="13" customWidth="1"/>
    <col min="2820" max="2822" width="7.85546875" style="13" customWidth="1"/>
    <col min="2823" max="2823" width="8.42578125" style="13" customWidth="1"/>
    <col min="2824" max="2824" width="6.7109375" style="13" customWidth="1"/>
    <col min="2825" max="2827" width="7.85546875" style="13" customWidth="1"/>
    <col min="2828" max="2828" width="8.42578125" style="13" customWidth="1"/>
    <col min="2829" max="2829" width="6.7109375" style="13" customWidth="1"/>
    <col min="2830" max="2832" width="7.85546875" style="13" customWidth="1"/>
    <col min="2833" max="2833" width="8.42578125" style="13" customWidth="1"/>
    <col min="2834" max="2837" width="7.85546875" style="13" customWidth="1"/>
    <col min="2838" max="2838" width="8.42578125" style="13" customWidth="1"/>
    <col min="2839" max="2848" width="7.85546875" style="13" customWidth="1"/>
    <col min="2849" max="3072" width="11.42578125" style="13" customWidth="1"/>
    <col min="3073" max="3073" width="36.140625" style="13" customWidth="1"/>
    <col min="3074" max="3074" width="8.42578125" style="13" customWidth="1"/>
    <col min="3075" max="3075" width="6.7109375" style="13" customWidth="1"/>
    <col min="3076" max="3078" width="7.85546875" style="13" customWidth="1"/>
    <col min="3079" max="3079" width="8.42578125" style="13" customWidth="1"/>
    <col min="3080" max="3080" width="6.7109375" style="13" customWidth="1"/>
    <col min="3081" max="3083" width="7.85546875" style="13" customWidth="1"/>
    <col min="3084" max="3084" width="8.42578125" style="13" customWidth="1"/>
    <col min="3085" max="3085" width="6.7109375" style="13" customWidth="1"/>
    <col min="3086" max="3088" width="7.85546875" style="13" customWidth="1"/>
    <col min="3089" max="3089" width="8.42578125" style="13" customWidth="1"/>
    <col min="3090" max="3093" width="7.85546875" style="13" customWidth="1"/>
    <col min="3094" max="3094" width="8.42578125" style="13" customWidth="1"/>
    <col min="3095" max="3104" width="7.85546875" style="13" customWidth="1"/>
    <col min="3105" max="3328" width="11.42578125" style="13" customWidth="1"/>
    <col min="3329" max="3329" width="36.140625" style="13" customWidth="1"/>
    <col min="3330" max="3330" width="8.42578125" style="13" customWidth="1"/>
    <col min="3331" max="3331" width="6.7109375" style="13" customWidth="1"/>
    <col min="3332" max="3334" width="7.85546875" style="13" customWidth="1"/>
    <col min="3335" max="3335" width="8.42578125" style="13" customWidth="1"/>
    <col min="3336" max="3336" width="6.7109375" style="13" customWidth="1"/>
    <col min="3337" max="3339" width="7.85546875" style="13" customWidth="1"/>
    <col min="3340" max="3340" width="8.42578125" style="13" customWidth="1"/>
    <col min="3341" max="3341" width="6.7109375" style="13" customWidth="1"/>
    <col min="3342" max="3344" width="7.85546875" style="13" customWidth="1"/>
    <col min="3345" max="3345" width="8.42578125" style="13" customWidth="1"/>
    <col min="3346" max="3349" width="7.85546875" style="13" customWidth="1"/>
    <col min="3350" max="3350" width="8.42578125" style="13" customWidth="1"/>
    <col min="3351" max="3360" width="7.85546875" style="13" customWidth="1"/>
    <col min="3361" max="3584" width="11.42578125" style="13" customWidth="1"/>
    <col min="3585" max="3585" width="36.140625" style="13" customWidth="1"/>
    <col min="3586" max="3586" width="8.42578125" style="13" customWidth="1"/>
    <col min="3587" max="3587" width="6.7109375" style="13" customWidth="1"/>
    <col min="3588" max="3590" width="7.85546875" style="13" customWidth="1"/>
    <col min="3591" max="3591" width="8.42578125" style="13" customWidth="1"/>
    <col min="3592" max="3592" width="6.7109375" style="13" customWidth="1"/>
    <col min="3593" max="3595" width="7.85546875" style="13" customWidth="1"/>
    <col min="3596" max="3596" width="8.42578125" style="13" customWidth="1"/>
    <col min="3597" max="3597" width="6.7109375" style="13" customWidth="1"/>
    <col min="3598" max="3600" width="7.85546875" style="13" customWidth="1"/>
    <col min="3601" max="3601" width="8.42578125" style="13" customWidth="1"/>
    <col min="3602" max="3605" width="7.85546875" style="13" customWidth="1"/>
    <col min="3606" max="3606" width="8.42578125" style="13" customWidth="1"/>
    <col min="3607" max="3616" width="7.85546875" style="13" customWidth="1"/>
    <col min="3617" max="3840" width="11.42578125" style="13" customWidth="1"/>
    <col min="3841" max="3841" width="36.140625" style="13" customWidth="1"/>
    <col min="3842" max="3842" width="8.42578125" style="13" customWidth="1"/>
    <col min="3843" max="3843" width="6.7109375" style="13" customWidth="1"/>
    <col min="3844" max="3846" width="7.85546875" style="13" customWidth="1"/>
    <col min="3847" max="3847" width="8.42578125" style="13" customWidth="1"/>
    <col min="3848" max="3848" width="6.7109375" style="13" customWidth="1"/>
    <col min="3849" max="3851" width="7.85546875" style="13" customWidth="1"/>
    <col min="3852" max="3852" width="8.42578125" style="13" customWidth="1"/>
    <col min="3853" max="3853" width="6.7109375" style="13" customWidth="1"/>
    <col min="3854" max="3856" width="7.85546875" style="13" customWidth="1"/>
    <col min="3857" max="3857" width="8.42578125" style="13" customWidth="1"/>
    <col min="3858" max="3861" width="7.85546875" style="13" customWidth="1"/>
    <col min="3862" max="3862" width="8.42578125" style="13" customWidth="1"/>
    <col min="3863" max="3872" width="7.85546875" style="13" customWidth="1"/>
    <col min="3873" max="4096" width="11.42578125" style="13" customWidth="1"/>
    <col min="4097" max="4097" width="36.140625" style="13" customWidth="1"/>
    <col min="4098" max="4098" width="8.42578125" style="13" customWidth="1"/>
    <col min="4099" max="4099" width="6.7109375" style="13" customWidth="1"/>
    <col min="4100" max="4102" width="7.85546875" style="13" customWidth="1"/>
    <col min="4103" max="4103" width="8.42578125" style="13" customWidth="1"/>
    <col min="4104" max="4104" width="6.7109375" style="13" customWidth="1"/>
    <col min="4105" max="4107" width="7.85546875" style="13" customWidth="1"/>
    <col min="4108" max="4108" width="8.42578125" style="13" customWidth="1"/>
    <col min="4109" max="4109" width="6.7109375" style="13" customWidth="1"/>
    <col min="4110" max="4112" width="7.85546875" style="13" customWidth="1"/>
    <col min="4113" max="4113" width="8.42578125" style="13" customWidth="1"/>
    <col min="4114" max="4117" width="7.85546875" style="13" customWidth="1"/>
    <col min="4118" max="4118" width="8.42578125" style="13" customWidth="1"/>
    <col min="4119" max="4128" width="7.85546875" style="13" customWidth="1"/>
    <col min="4129" max="4352" width="11.42578125" style="13" customWidth="1"/>
    <col min="4353" max="4353" width="36.140625" style="13" customWidth="1"/>
    <col min="4354" max="4354" width="8.42578125" style="13" customWidth="1"/>
    <col min="4355" max="4355" width="6.7109375" style="13" customWidth="1"/>
    <col min="4356" max="4358" width="7.85546875" style="13" customWidth="1"/>
    <col min="4359" max="4359" width="8.42578125" style="13" customWidth="1"/>
    <col min="4360" max="4360" width="6.7109375" style="13" customWidth="1"/>
    <col min="4361" max="4363" width="7.85546875" style="13" customWidth="1"/>
    <col min="4364" max="4364" width="8.42578125" style="13" customWidth="1"/>
    <col min="4365" max="4365" width="6.7109375" style="13" customWidth="1"/>
    <col min="4366" max="4368" width="7.85546875" style="13" customWidth="1"/>
    <col min="4369" max="4369" width="8.42578125" style="13" customWidth="1"/>
    <col min="4370" max="4373" width="7.85546875" style="13" customWidth="1"/>
    <col min="4374" max="4374" width="8.42578125" style="13" customWidth="1"/>
    <col min="4375" max="4384" width="7.85546875" style="13" customWidth="1"/>
    <col min="4385" max="4608" width="11.42578125" style="13" customWidth="1"/>
    <col min="4609" max="4609" width="36.140625" style="13" customWidth="1"/>
    <col min="4610" max="4610" width="8.42578125" style="13" customWidth="1"/>
    <col min="4611" max="4611" width="6.7109375" style="13" customWidth="1"/>
    <col min="4612" max="4614" width="7.85546875" style="13" customWidth="1"/>
    <col min="4615" max="4615" width="8.42578125" style="13" customWidth="1"/>
    <col min="4616" max="4616" width="6.7109375" style="13" customWidth="1"/>
    <col min="4617" max="4619" width="7.85546875" style="13" customWidth="1"/>
    <col min="4620" max="4620" width="8.42578125" style="13" customWidth="1"/>
    <col min="4621" max="4621" width="6.7109375" style="13" customWidth="1"/>
    <col min="4622" max="4624" width="7.85546875" style="13" customWidth="1"/>
    <col min="4625" max="4625" width="8.42578125" style="13" customWidth="1"/>
    <col min="4626" max="4629" width="7.85546875" style="13" customWidth="1"/>
    <col min="4630" max="4630" width="8.42578125" style="13" customWidth="1"/>
    <col min="4631" max="4640" width="7.85546875" style="13" customWidth="1"/>
    <col min="4641" max="4864" width="11.42578125" style="13" customWidth="1"/>
    <col min="4865" max="4865" width="36.140625" style="13" customWidth="1"/>
    <col min="4866" max="4866" width="8.42578125" style="13" customWidth="1"/>
    <col min="4867" max="4867" width="6.7109375" style="13" customWidth="1"/>
    <col min="4868" max="4870" width="7.85546875" style="13" customWidth="1"/>
    <col min="4871" max="4871" width="8.42578125" style="13" customWidth="1"/>
    <col min="4872" max="4872" width="6.7109375" style="13" customWidth="1"/>
    <col min="4873" max="4875" width="7.85546875" style="13" customWidth="1"/>
    <col min="4876" max="4876" width="8.42578125" style="13" customWidth="1"/>
    <col min="4877" max="4877" width="6.7109375" style="13" customWidth="1"/>
    <col min="4878" max="4880" width="7.85546875" style="13" customWidth="1"/>
    <col min="4881" max="4881" width="8.42578125" style="13" customWidth="1"/>
    <col min="4882" max="4885" width="7.85546875" style="13" customWidth="1"/>
    <col min="4886" max="4886" width="8.42578125" style="13" customWidth="1"/>
    <col min="4887" max="4896" width="7.85546875" style="13" customWidth="1"/>
    <col min="4897" max="5120" width="11.42578125" style="13" customWidth="1"/>
    <col min="5121" max="5121" width="36.140625" style="13" customWidth="1"/>
    <col min="5122" max="5122" width="8.42578125" style="13" customWidth="1"/>
    <col min="5123" max="5123" width="6.7109375" style="13" customWidth="1"/>
    <col min="5124" max="5126" width="7.85546875" style="13" customWidth="1"/>
    <col min="5127" max="5127" width="8.42578125" style="13" customWidth="1"/>
    <col min="5128" max="5128" width="6.7109375" style="13" customWidth="1"/>
    <col min="5129" max="5131" width="7.85546875" style="13" customWidth="1"/>
    <col min="5132" max="5132" width="8.42578125" style="13" customWidth="1"/>
    <col min="5133" max="5133" width="6.7109375" style="13" customWidth="1"/>
    <col min="5134" max="5136" width="7.85546875" style="13" customWidth="1"/>
    <col min="5137" max="5137" width="8.42578125" style="13" customWidth="1"/>
    <col min="5138" max="5141" width="7.85546875" style="13" customWidth="1"/>
    <col min="5142" max="5142" width="8.42578125" style="13" customWidth="1"/>
    <col min="5143" max="5152" width="7.85546875" style="13" customWidth="1"/>
    <col min="5153" max="5376" width="11.42578125" style="13" customWidth="1"/>
    <col min="5377" max="5377" width="36.140625" style="13" customWidth="1"/>
    <col min="5378" max="5378" width="8.42578125" style="13" customWidth="1"/>
    <col min="5379" max="5379" width="6.7109375" style="13" customWidth="1"/>
    <col min="5380" max="5382" width="7.85546875" style="13" customWidth="1"/>
    <col min="5383" max="5383" width="8.42578125" style="13" customWidth="1"/>
    <col min="5384" max="5384" width="6.7109375" style="13" customWidth="1"/>
    <col min="5385" max="5387" width="7.85546875" style="13" customWidth="1"/>
    <col min="5388" max="5388" width="8.42578125" style="13" customWidth="1"/>
    <col min="5389" max="5389" width="6.7109375" style="13" customWidth="1"/>
    <col min="5390" max="5392" width="7.85546875" style="13" customWidth="1"/>
    <col min="5393" max="5393" width="8.42578125" style="13" customWidth="1"/>
    <col min="5394" max="5397" width="7.85546875" style="13" customWidth="1"/>
    <col min="5398" max="5398" width="8.42578125" style="13" customWidth="1"/>
    <col min="5399" max="5408" width="7.85546875" style="13" customWidth="1"/>
    <col min="5409" max="5632" width="11.42578125" style="13" customWidth="1"/>
    <col min="5633" max="5633" width="36.140625" style="13" customWidth="1"/>
    <col min="5634" max="5634" width="8.42578125" style="13" customWidth="1"/>
    <col min="5635" max="5635" width="6.7109375" style="13" customWidth="1"/>
    <col min="5636" max="5638" width="7.85546875" style="13" customWidth="1"/>
    <col min="5639" max="5639" width="8.42578125" style="13" customWidth="1"/>
    <col min="5640" max="5640" width="6.7109375" style="13" customWidth="1"/>
    <col min="5641" max="5643" width="7.85546875" style="13" customWidth="1"/>
    <col min="5644" max="5644" width="8.42578125" style="13" customWidth="1"/>
    <col min="5645" max="5645" width="6.7109375" style="13" customWidth="1"/>
    <col min="5646" max="5648" width="7.85546875" style="13" customWidth="1"/>
    <col min="5649" max="5649" width="8.42578125" style="13" customWidth="1"/>
    <col min="5650" max="5653" width="7.85546875" style="13" customWidth="1"/>
    <col min="5654" max="5654" width="8.42578125" style="13" customWidth="1"/>
    <col min="5655" max="5664" width="7.85546875" style="13" customWidth="1"/>
    <col min="5665" max="5888" width="11.42578125" style="13" customWidth="1"/>
    <col min="5889" max="5889" width="36.140625" style="13" customWidth="1"/>
    <col min="5890" max="5890" width="8.42578125" style="13" customWidth="1"/>
    <col min="5891" max="5891" width="6.7109375" style="13" customWidth="1"/>
    <col min="5892" max="5894" width="7.85546875" style="13" customWidth="1"/>
    <col min="5895" max="5895" width="8.42578125" style="13" customWidth="1"/>
    <col min="5896" max="5896" width="6.7109375" style="13" customWidth="1"/>
    <col min="5897" max="5899" width="7.85546875" style="13" customWidth="1"/>
    <col min="5900" max="5900" width="8.42578125" style="13" customWidth="1"/>
    <col min="5901" max="5901" width="6.7109375" style="13" customWidth="1"/>
    <col min="5902" max="5904" width="7.85546875" style="13" customWidth="1"/>
    <col min="5905" max="5905" width="8.42578125" style="13" customWidth="1"/>
    <col min="5906" max="5909" width="7.85546875" style="13" customWidth="1"/>
    <col min="5910" max="5910" width="8.42578125" style="13" customWidth="1"/>
    <col min="5911" max="5920" width="7.85546875" style="13" customWidth="1"/>
    <col min="5921" max="6144" width="11.42578125" style="13" customWidth="1"/>
    <col min="6145" max="6145" width="36.140625" style="13" customWidth="1"/>
    <col min="6146" max="6146" width="8.42578125" style="13" customWidth="1"/>
    <col min="6147" max="6147" width="6.7109375" style="13" customWidth="1"/>
    <col min="6148" max="6150" width="7.85546875" style="13" customWidth="1"/>
    <col min="6151" max="6151" width="8.42578125" style="13" customWidth="1"/>
    <col min="6152" max="6152" width="6.7109375" style="13" customWidth="1"/>
    <col min="6153" max="6155" width="7.85546875" style="13" customWidth="1"/>
    <col min="6156" max="6156" width="8.42578125" style="13" customWidth="1"/>
    <col min="6157" max="6157" width="6.7109375" style="13" customWidth="1"/>
    <col min="6158" max="6160" width="7.85546875" style="13" customWidth="1"/>
    <col min="6161" max="6161" width="8.42578125" style="13" customWidth="1"/>
    <col min="6162" max="6165" width="7.85546875" style="13" customWidth="1"/>
    <col min="6166" max="6166" width="8.42578125" style="13" customWidth="1"/>
    <col min="6167" max="6176" width="7.85546875" style="13" customWidth="1"/>
    <col min="6177" max="6400" width="11.42578125" style="13" customWidth="1"/>
    <col min="6401" max="6401" width="36.140625" style="13" customWidth="1"/>
    <col min="6402" max="6402" width="8.42578125" style="13" customWidth="1"/>
    <col min="6403" max="6403" width="6.7109375" style="13" customWidth="1"/>
    <col min="6404" max="6406" width="7.85546875" style="13" customWidth="1"/>
    <col min="6407" max="6407" width="8.42578125" style="13" customWidth="1"/>
    <col min="6408" max="6408" width="6.7109375" style="13" customWidth="1"/>
    <col min="6409" max="6411" width="7.85546875" style="13" customWidth="1"/>
    <col min="6412" max="6412" width="8.42578125" style="13" customWidth="1"/>
    <col min="6413" max="6413" width="6.7109375" style="13" customWidth="1"/>
    <col min="6414" max="6416" width="7.85546875" style="13" customWidth="1"/>
    <col min="6417" max="6417" width="8.42578125" style="13" customWidth="1"/>
    <col min="6418" max="6421" width="7.85546875" style="13" customWidth="1"/>
    <col min="6422" max="6422" width="8.42578125" style="13" customWidth="1"/>
    <col min="6423" max="6432" width="7.85546875" style="13" customWidth="1"/>
    <col min="6433" max="6656" width="11.42578125" style="13" customWidth="1"/>
    <col min="6657" max="6657" width="36.140625" style="13" customWidth="1"/>
    <col min="6658" max="6658" width="8.42578125" style="13" customWidth="1"/>
    <col min="6659" max="6659" width="6.7109375" style="13" customWidth="1"/>
    <col min="6660" max="6662" width="7.85546875" style="13" customWidth="1"/>
    <col min="6663" max="6663" width="8.42578125" style="13" customWidth="1"/>
    <col min="6664" max="6664" width="6.7109375" style="13" customWidth="1"/>
    <col min="6665" max="6667" width="7.85546875" style="13" customWidth="1"/>
    <col min="6668" max="6668" width="8.42578125" style="13" customWidth="1"/>
    <col min="6669" max="6669" width="6.7109375" style="13" customWidth="1"/>
    <col min="6670" max="6672" width="7.85546875" style="13" customWidth="1"/>
    <col min="6673" max="6673" width="8.42578125" style="13" customWidth="1"/>
    <col min="6674" max="6677" width="7.85546875" style="13" customWidth="1"/>
    <col min="6678" max="6678" width="8.42578125" style="13" customWidth="1"/>
    <col min="6679" max="6688" width="7.85546875" style="13" customWidth="1"/>
    <col min="6689" max="6912" width="11.42578125" style="13" customWidth="1"/>
    <col min="6913" max="6913" width="36.140625" style="13" customWidth="1"/>
    <col min="6914" max="6914" width="8.42578125" style="13" customWidth="1"/>
    <col min="6915" max="6915" width="6.7109375" style="13" customWidth="1"/>
    <col min="6916" max="6918" width="7.85546875" style="13" customWidth="1"/>
    <col min="6919" max="6919" width="8.42578125" style="13" customWidth="1"/>
    <col min="6920" max="6920" width="6.7109375" style="13" customWidth="1"/>
    <col min="6921" max="6923" width="7.85546875" style="13" customWidth="1"/>
    <col min="6924" max="6924" width="8.42578125" style="13" customWidth="1"/>
    <col min="6925" max="6925" width="6.7109375" style="13" customWidth="1"/>
    <col min="6926" max="6928" width="7.85546875" style="13" customWidth="1"/>
    <col min="6929" max="6929" width="8.42578125" style="13" customWidth="1"/>
    <col min="6930" max="6933" width="7.85546875" style="13" customWidth="1"/>
    <col min="6934" max="6934" width="8.42578125" style="13" customWidth="1"/>
    <col min="6935" max="6944" width="7.85546875" style="13" customWidth="1"/>
    <col min="6945" max="7168" width="11.42578125" style="13" customWidth="1"/>
    <col min="7169" max="7169" width="36.140625" style="13" customWidth="1"/>
    <col min="7170" max="7170" width="8.42578125" style="13" customWidth="1"/>
    <col min="7171" max="7171" width="6.7109375" style="13" customWidth="1"/>
    <col min="7172" max="7174" width="7.85546875" style="13" customWidth="1"/>
    <col min="7175" max="7175" width="8.42578125" style="13" customWidth="1"/>
    <col min="7176" max="7176" width="6.7109375" style="13" customWidth="1"/>
    <col min="7177" max="7179" width="7.85546875" style="13" customWidth="1"/>
    <col min="7180" max="7180" width="8.42578125" style="13" customWidth="1"/>
    <col min="7181" max="7181" width="6.7109375" style="13" customWidth="1"/>
    <col min="7182" max="7184" width="7.85546875" style="13" customWidth="1"/>
    <col min="7185" max="7185" width="8.42578125" style="13" customWidth="1"/>
    <col min="7186" max="7189" width="7.85546875" style="13" customWidth="1"/>
    <col min="7190" max="7190" width="8.42578125" style="13" customWidth="1"/>
    <col min="7191" max="7200" width="7.85546875" style="13" customWidth="1"/>
    <col min="7201" max="7424" width="11.42578125" style="13" customWidth="1"/>
    <col min="7425" max="7425" width="36.140625" style="13" customWidth="1"/>
    <col min="7426" max="7426" width="8.42578125" style="13" customWidth="1"/>
    <col min="7427" max="7427" width="6.7109375" style="13" customWidth="1"/>
    <col min="7428" max="7430" width="7.85546875" style="13" customWidth="1"/>
    <col min="7431" max="7431" width="8.42578125" style="13" customWidth="1"/>
    <col min="7432" max="7432" width="6.7109375" style="13" customWidth="1"/>
    <col min="7433" max="7435" width="7.85546875" style="13" customWidth="1"/>
    <col min="7436" max="7436" width="8.42578125" style="13" customWidth="1"/>
    <col min="7437" max="7437" width="6.7109375" style="13" customWidth="1"/>
    <col min="7438" max="7440" width="7.85546875" style="13" customWidth="1"/>
    <col min="7441" max="7441" width="8.42578125" style="13" customWidth="1"/>
    <col min="7442" max="7445" width="7.85546875" style="13" customWidth="1"/>
    <col min="7446" max="7446" width="8.42578125" style="13" customWidth="1"/>
    <col min="7447" max="7456" width="7.85546875" style="13" customWidth="1"/>
    <col min="7457" max="7680" width="11.42578125" style="13" customWidth="1"/>
    <col min="7681" max="7681" width="36.140625" style="13" customWidth="1"/>
    <col min="7682" max="7682" width="8.42578125" style="13" customWidth="1"/>
    <col min="7683" max="7683" width="6.7109375" style="13" customWidth="1"/>
    <col min="7684" max="7686" width="7.85546875" style="13" customWidth="1"/>
    <col min="7687" max="7687" width="8.42578125" style="13" customWidth="1"/>
    <col min="7688" max="7688" width="6.7109375" style="13" customWidth="1"/>
    <col min="7689" max="7691" width="7.85546875" style="13" customWidth="1"/>
    <col min="7692" max="7692" width="8.42578125" style="13" customWidth="1"/>
    <col min="7693" max="7693" width="6.7109375" style="13" customWidth="1"/>
    <col min="7694" max="7696" width="7.85546875" style="13" customWidth="1"/>
    <col min="7697" max="7697" width="8.42578125" style="13" customWidth="1"/>
    <col min="7698" max="7701" width="7.85546875" style="13" customWidth="1"/>
    <col min="7702" max="7702" width="8.42578125" style="13" customWidth="1"/>
    <col min="7703" max="7712" width="7.85546875" style="13" customWidth="1"/>
    <col min="7713" max="7936" width="11.42578125" style="13" customWidth="1"/>
    <col min="7937" max="7937" width="36.140625" style="13" customWidth="1"/>
    <col min="7938" max="7938" width="8.42578125" style="13" customWidth="1"/>
    <col min="7939" max="7939" width="6.7109375" style="13" customWidth="1"/>
    <col min="7940" max="7942" width="7.85546875" style="13" customWidth="1"/>
    <col min="7943" max="7943" width="8.42578125" style="13" customWidth="1"/>
    <col min="7944" max="7944" width="6.7109375" style="13" customWidth="1"/>
    <col min="7945" max="7947" width="7.85546875" style="13" customWidth="1"/>
    <col min="7948" max="7948" width="8.42578125" style="13" customWidth="1"/>
    <col min="7949" max="7949" width="6.7109375" style="13" customWidth="1"/>
    <col min="7950" max="7952" width="7.85546875" style="13" customWidth="1"/>
    <col min="7953" max="7953" width="8.42578125" style="13" customWidth="1"/>
    <col min="7954" max="7957" width="7.85546875" style="13" customWidth="1"/>
    <col min="7958" max="7958" width="8.42578125" style="13" customWidth="1"/>
    <col min="7959" max="7968" width="7.85546875" style="13" customWidth="1"/>
    <col min="7969" max="8192" width="11.42578125" style="13" customWidth="1"/>
    <col min="8193" max="8193" width="36.140625" style="13" customWidth="1"/>
    <col min="8194" max="8194" width="8.42578125" style="13" customWidth="1"/>
    <col min="8195" max="8195" width="6.7109375" style="13" customWidth="1"/>
    <col min="8196" max="8198" width="7.85546875" style="13" customWidth="1"/>
    <col min="8199" max="8199" width="8.42578125" style="13" customWidth="1"/>
    <col min="8200" max="8200" width="6.7109375" style="13" customWidth="1"/>
    <col min="8201" max="8203" width="7.85546875" style="13" customWidth="1"/>
    <col min="8204" max="8204" width="8.42578125" style="13" customWidth="1"/>
    <col min="8205" max="8205" width="6.7109375" style="13" customWidth="1"/>
    <col min="8206" max="8208" width="7.85546875" style="13" customWidth="1"/>
    <col min="8209" max="8209" width="8.42578125" style="13" customWidth="1"/>
    <col min="8210" max="8213" width="7.85546875" style="13" customWidth="1"/>
    <col min="8214" max="8214" width="8.42578125" style="13" customWidth="1"/>
    <col min="8215" max="8224" width="7.85546875" style="13" customWidth="1"/>
    <col min="8225" max="8448" width="11.42578125" style="13" customWidth="1"/>
    <col min="8449" max="8449" width="36.140625" style="13" customWidth="1"/>
    <col min="8450" max="8450" width="8.42578125" style="13" customWidth="1"/>
    <col min="8451" max="8451" width="6.7109375" style="13" customWidth="1"/>
    <col min="8452" max="8454" width="7.85546875" style="13" customWidth="1"/>
    <col min="8455" max="8455" width="8.42578125" style="13" customWidth="1"/>
    <col min="8456" max="8456" width="6.7109375" style="13" customWidth="1"/>
    <col min="8457" max="8459" width="7.85546875" style="13" customWidth="1"/>
    <col min="8460" max="8460" width="8.42578125" style="13" customWidth="1"/>
    <col min="8461" max="8461" width="6.7109375" style="13" customWidth="1"/>
    <col min="8462" max="8464" width="7.85546875" style="13" customWidth="1"/>
    <col min="8465" max="8465" width="8.42578125" style="13" customWidth="1"/>
    <col min="8466" max="8469" width="7.85546875" style="13" customWidth="1"/>
    <col min="8470" max="8470" width="8.42578125" style="13" customWidth="1"/>
    <col min="8471" max="8480" width="7.85546875" style="13" customWidth="1"/>
    <col min="8481" max="8704" width="11.42578125" style="13" customWidth="1"/>
    <col min="8705" max="8705" width="36.140625" style="13" customWidth="1"/>
    <col min="8706" max="8706" width="8.42578125" style="13" customWidth="1"/>
    <col min="8707" max="8707" width="6.7109375" style="13" customWidth="1"/>
    <col min="8708" max="8710" width="7.85546875" style="13" customWidth="1"/>
    <col min="8711" max="8711" width="8.42578125" style="13" customWidth="1"/>
    <col min="8712" max="8712" width="6.7109375" style="13" customWidth="1"/>
    <col min="8713" max="8715" width="7.85546875" style="13" customWidth="1"/>
    <col min="8716" max="8716" width="8.42578125" style="13" customWidth="1"/>
    <col min="8717" max="8717" width="6.7109375" style="13" customWidth="1"/>
    <col min="8718" max="8720" width="7.85546875" style="13" customWidth="1"/>
    <col min="8721" max="8721" width="8.42578125" style="13" customWidth="1"/>
    <col min="8722" max="8725" width="7.85546875" style="13" customWidth="1"/>
    <col min="8726" max="8726" width="8.42578125" style="13" customWidth="1"/>
    <col min="8727" max="8736" width="7.85546875" style="13" customWidth="1"/>
    <col min="8737" max="8960" width="11.42578125" style="13" customWidth="1"/>
    <col min="8961" max="8961" width="36.140625" style="13" customWidth="1"/>
    <col min="8962" max="8962" width="8.42578125" style="13" customWidth="1"/>
    <col min="8963" max="8963" width="6.7109375" style="13" customWidth="1"/>
    <col min="8964" max="8966" width="7.85546875" style="13" customWidth="1"/>
    <col min="8967" max="8967" width="8.42578125" style="13" customWidth="1"/>
    <col min="8968" max="8968" width="6.7109375" style="13" customWidth="1"/>
    <col min="8969" max="8971" width="7.85546875" style="13" customWidth="1"/>
    <col min="8972" max="8972" width="8.42578125" style="13" customWidth="1"/>
    <col min="8973" max="8973" width="6.7109375" style="13" customWidth="1"/>
    <col min="8974" max="8976" width="7.85546875" style="13" customWidth="1"/>
    <col min="8977" max="8977" width="8.42578125" style="13" customWidth="1"/>
    <col min="8978" max="8981" width="7.85546875" style="13" customWidth="1"/>
    <col min="8982" max="8982" width="8.42578125" style="13" customWidth="1"/>
    <col min="8983" max="8992" width="7.85546875" style="13" customWidth="1"/>
    <col min="8993" max="9216" width="11.42578125" style="13" customWidth="1"/>
    <col min="9217" max="9217" width="36.140625" style="13" customWidth="1"/>
    <col min="9218" max="9218" width="8.42578125" style="13" customWidth="1"/>
    <col min="9219" max="9219" width="6.7109375" style="13" customWidth="1"/>
    <col min="9220" max="9222" width="7.85546875" style="13" customWidth="1"/>
    <col min="9223" max="9223" width="8.42578125" style="13" customWidth="1"/>
    <col min="9224" max="9224" width="6.7109375" style="13" customWidth="1"/>
    <col min="9225" max="9227" width="7.85546875" style="13" customWidth="1"/>
    <col min="9228" max="9228" width="8.42578125" style="13" customWidth="1"/>
    <col min="9229" max="9229" width="6.7109375" style="13" customWidth="1"/>
    <col min="9230" max="9232" width="7.85546875" style="13" customWidth="1"/>
    <col min="9233" max="9233" width="8.42578125" style="13" customWidth="1"/>
    <col min="9234" max="9237" width="7.85546875" style="13" customWidth="1"/>
    <col min="9238" max="9238" width="8.42578125" style="13" customWidth="1"/>
    <col min="9239" max="9248" width="7.85546875" style="13" customWidth="1"/>
    <col min="9249" max="9472" width="11.42578125" style="13" customWidth="1"/>
    <col min="9473" max="9473" width="36.140625" style="13" customWidth="1"/>
    <col min="9474" max="9474" width="8.42578125" style="13" customWidth="1"/>
    <col min="9475" max="9475" width="6.7109375" style="13" customWidth="1"/>
    <col min="9476" max="9478" width="7.85546875" style="13" customWidth="1"/>
    <col min="9479" max="9479" width="8.42578125" style="13" customWidth="1"/>
    <col min="9480" max="9480" width="6.7109375" style="13" customWidth="1"/>
    <col min="9481" max="9483" width="7.85546875" style="13" customWidth="1"/>
    <col min="9484" max="9484" width="8.42578125" style="13" customWidth="1"/>
    <col min="9485" max="9485" width="6.7109375" style="13" customWidth="1"/>
    <col min="9486" max="9488" width="7.85546875" style="13" customWidth="1"/>
    <col min="9489" max="9489" width="8.42578125" style="13" customWidth="1"/>
    <col min="9490" max="9493" width="7.85546875" style="13" customWidth="1"/>
    <col min="9494" max="9494" width="8.42578125" style="13" customWidth="1"/>
    <col min="9495" max="9504" width="7.85546875" style="13" customWidth="1"/>
    <col min="9505" max="9728" width="11.42578125" style="13" customWidth="1"/>
    <col min="9729" max="9729" width="36.140625" style="13" customWidth="1"/>
    <col min="9730" max="9730" width="8.42578125" style="13" customWidth="1"/>
    <col min="9731" max="9731" width="6.7109375" style="13" customWidth="1"/>
    <col min="9732" max="9734" width="7.85546875" style="13" customWidth="1"/>
    <col min="9735" max="9735" width="8.42578125" style="13" customWidth="1"/>
    <col min="9736" max="9736" width="6.7109375" style="13" customWidth="1"/>
    <col min="9737" max="9739" width="7.85546875" style="13" customWidth="1"/>
    <col min="9740" max="9740" width="8.42578125" style="13" customWidth="1"/>
    <col min="9741" max="9741" width="6.7109375" style="13" customWidth="1"/>
    <col min="9742" max="9744" width="7.85546875" style="13" customWidth="1"/>
    <col min="9745" max="9745" width="8.42578125" style="13" customWidth="1"/>
    <col min="9746" max="9749" width="7.85546875" style="13" customWidth="1"/>
    <col min="9750" max="9750" width="8.42578125" style="13" customWidth="1"/>
    <col min="9751" max="9760" width="7.85546875" style="13" customWidth="1"/>
    <col min="9761" max="9984" width="11.42578125" style="13" customWidth="1"/>
    <col min="9985" max="9985" width="36.140625" style="13" customWidth="1"/>
    <col min="9986" max="9986" width="8.42578125" style="13" customWidth="1"/>
    <col min="9987" max="9987" width="6.7109375" style="13" customWidth="1"/>
    <col min="9988" max="9990" width="7.85546875" style="13" customWidth="1"/>
    <col min="9991" max="9991" width="8.42578125" style="13" customWidth="1"/>
    <col min="9992" max="9992" width="6.7109375" style="13" customWidth="1"/>
    <col min="9993" max="9995" width="7.85546875" style="13" customWidth="1"/>
    <col min="9996" max="9996" width="8.42578125" style="13" customWidth="1"/>
    <col min="9997" max="9997" width="6.7109375" style="13" customWidth="1"/>
    <col min="9998" max="10000" width="7.85546875" style="13" customWidth="1"/>
    <col min="10001" max="10001" width="8.42578125" style="13" customWidth="1"/>
    <col min="10002" max="10005" width="7.85546875" style="13" customWidth="1"/>
    <col min="10006" max="10006" width="8.42578125" style="13" customWidth="1"/>
    <col min="10007" max="10016" width="7.85546875" style="13" customWidth="1"/>
    <col min="10017" max="10240" width="11.42578125" style="13" customWidth="1"/>
    <col min="10241" max="10241" width="36.140625" style="13" customWidth="1"/>
    <col min="10242" max="10242" width="8.42578125" style="13" customWidth="1"/>
    <col min="10243" max="10243" width="6.7109375" style="13" customWidth="1"/>
    <col min="10244" max="10246" width="7.85546875" style="13" customWidth="1"/>
    <col min="10247" max="10247" width="8.42578125" style="13" customWidth="1"/>
    <col min="10248" max="10248" width="6.7109375" style="13" customWidth="1"/>
    <col min="10249" max="10251" width="7.85546875" style="13" customWidth="1"/>
    <col min="10252" max="10252" width="8.42578125" style="13" customWidth="1"/>
    <col min="10253" max="10253" width="6.7109375" style="13" customWidth="1"/>
    <col min="10254" max="10256" width="7.85546875" style="13" customWidth="1"/>
    <col min="10257" max="10257" width="8.42578125" style="13" customWidth="1"/>
    <col min="10258" max="10261" width="7.85546875" style="13" customWidth="1"/>
    <col min="10262" max="10262" width="8.42578125" style="13" customWidth="1"/>
    <col min="10263" max="10272" width="7.85546875" style="13" customWidth="1"/>
    <col min="10273" max="10496" width="11.42578125" style="13" customWidth="1"/>
    <col min="10497" max="10497" width="36.140625" style="13" customWidth="1"/>
    <col min="10498" max="10498" width="8.42578125" style="13" customWidth="1"/>
    <col min="10499" max="10499" width="6.7109375" style="13" customWidth="1"/>
    <col min="10500" max="10502" width="7.85546875" style="13" customWidth="1"/>
    <col min="10503" max="10503" width="8.42578125" style="13" customWidth="1"/>
    <col min="10504" max="10504" width="6.7109375" style="13" customWidth="1"/>
    <col min="10505" max="10507" width="7.85546875" style="13" customWidth="1"/>
    <col min="10508" max="10508" width="8.42578125" style="13" customWidth="1"/>
    <col min="10509" max="10509" width="6.7109375" style="13" customWidth="1"/>
    <col min="10510" max="10512" width="7.85546875" style="13" customWidth="1"/>
    <col min="10513" max="10513" width="8.42578125" style="13" customWidth="1"/>
    <col min="10514" max="10517" width="7.85546875" style="13" customWidth="1"/>
    <col min="10518" max="10518" width="8.42578125" style="13" customWidth="1"/>
    <col min="10519" max="10528" width="7.85546875" style="13" customWidth="1"/>
    <col min="10529" max="10752" width="11.42578125" style="13" customWidth="1"/>
    <col min="10753" max="10753" width="36.140625" style="13" customWidth="1"/>
    <col min="10754" max="10754" width="8.42578125" style="13" customWidth="1"/>
    <col min="10755" max="10755" width="6.7109375" style="13" customWidth="1"/>
    <col min="10756" max="10758" width="7.85546875" style="13" customWidth="1"/>
    <col min="10759" max="10759" width="8.42578125" style="13" customWidth="1"/>
    <col min="10760" max="10760" width="6.7109375" style="13" customWidth="1"/>
    <col min="10761" max="10763" width="7.85546875" style="13" customWidth="1"/>
    <col min="10764" max="10764" width="8.42578125" style="13" customWidth="1"/>
    <col min="10765" max="10765" width="6.7109375" style="13" customWidth="1"/>
    <col min="10766" max="10768" width="7.85546875" style="13" customWidth="1"/>
    <col min="10769" max="10769" width="8.42578125" style="13" customWidth="1"/>
    <col min="10770" max="10773" width="7.85546875" style="13" customWidth="1"/>
    <col min="10774" max="10774" width="8.42578125" style="13" customWidth="1"/>
    <col min="10775" max="10784" width="7.85546875" style="13" customWidth="1"/>
    <col min="10785" max="11008" width="11.42578125" style="13" customWidth="1"/>
    <col min="11009" max="11009" width="36.140625" style="13" customWidth="1"/>
    <col min="11010" max="11010" width="8.42578125" style="13" customWidth="1"/>
    <col min="11011" max="11011" width="6.7109375" style="13" customWidth="1"/>
    <col min="11012" max="11014" width="7.85546875" style="13" customWidth="1"/>
    <col min="11015" max="11015" width="8.42578125" style="13" customWidth="1"/>
    <col min="11016" max="11016" width="6.7109375" style="13" customWidth="1"/>
    <col min="11017" max="11019" width="7.85546875" style="13" customWidth="1"/>
    <col min="11020" max="11020" width="8.42578125" style="13" customWidth="1"/>
    <col min="11021" max="11021" width="6.7109375" style="13" customWidth="1"/>
    <col min="11022" max="11024" width="7.85546875" style="13" customWidth="1"/>
    <col min="11025" max="11025" width="8.42578125" style="13" customWidth="1"/>
    <col min="11026" max="11029" width="7.85546875" style="13" customWidth="1"/>
    <col min="11030" max="11030" width="8.42578125" style="13" customWidth="1"/>
    <col min="11031" max="11040" width="7.85546875" style="13" customWidth="1"/>
    <col min="11041" max="11264" width="11.42578125" style="13" customWidth="1"/>
    <col min="11265" max="11265" width="36.140625" style="13" customWidth="1"/>
    <col min="11266" max="11266" width="8.42578125" style="13" customWidth="1"/>
    <col min="11267" max="11267" width="6.7109375" style="13" customWidth="1"/>
    <col min="11268" max="11270" width="7.85546875" style="13" customWidth="1"/>
    <col min="11271" max="11271" width="8.42578125" style="13" customWidth="1"/>
    <col min="11272" max="11272" width="6.7109375" style="13" customWidth="1"/>
    <col min="11273" max="11275" width="7.85546875" style="13" customWidth="1"/>
    <col min="11276" max="11276" width="8.42578125" style="13" customWidth="1"/>
    <col min="11277" max="11277" width="6.7109375" style="13" customWidth="1"/>
    <col min="11278" max="11280" width="7.85546875" style="13" customWidth="1"/>
    <col min="11281" max="11281" width="8.42578125" style="13" customWidth="1"/>
    <col min="11282" max="11285" width="7.85546875" style="13" customWidth="1"/>
    <col min="11286" max="11286" width="8.42578125" style="13" customWidth="1"/>
    <col min="11287" max="11296" width="7.85546875" style="13" customWidth="1"/>
    <col min="11297" max="11520" width="11.42578125" style="13" customWidth="1"/>
    <col min="11521" max="11521" width="36.140625" style="13" customWidth="1"/>
    <col min="11522" max="11522" width="8.42578125" style="13" customWidth="1"/>
    <col min="11523" max="11523" width="6.7109375" style="13" customWidth="1"/>
    <col min="11524" max="11526" width="7.85546875" style="13" customWidth="1"/>
    <col min="11527" max="11527" width="8.42578125" style="13" customWidth="1"/>
    <col min="11528" max="11528" width="6.7109375" style="13" customWidth="1"/>
    <col min="11529" max="11531" width="7.85546875" style="13" customWidth="1"/>
    <col min="11532" max="11532" width="8.42578125" style="13" customWidth="1"/>
    <col min="11533" max="11533" width="6.7109375" style="13" customWidth="1"/>
    <col min="11534" max="11536" width="7.85546875" style="13" customWidth="1"/>
    <col min="11537" max="11537" width="8.42578125" style="13" customWidth="1"/>
    <col min="11538" max="11541" width="7.85546875" style="13" customWidth="1"/>
    <col min="11542" max="11542" width="8.42578125" style="13" customWidth="1"/>
    <col min="11543" max="11552" width="7.85546875" style="13" customWidth="1"/>
    <col min="11553" max="11776" width="11.42578125" style="13" customWidth="1"/>
    <col min="11777" max="11777" width="36.140625" style="13" customWidth="1"/>
    <col min="11778" max="11778" width="8.42578125" style="13" customWidth="1"/>
    <col min="11779" max="11779" width="6.7109375" style="13" customWidth="1"/>
    <col min="11780" max="11782" width="7.85546875" style="13" customWidth="1"/>
    <col min="11783" max="11783" width="8.42578125" style="13" customWidth="1"/>
    <col min="11784" max="11784" width="6.7109375" style="13" customWidth="1"/>
    <col min="11785" max="11787" width="7.85546875" style="13" customWidth="1"/>
    <col min="11788" max="11788" width="8.42578125" style="13" customWidth="1"/>
    <col min="11789" max="11789" width="6.7109375" style="13" customWidth="1"/>
    <col min="11790" max="11792" width="7.85546875" style="13" customWidth="1"/>
    <col min="11793" max="11793" width="8.42578125" style="13" customWidth="1"/>
    <col min="11794" max="11797" width="7.85546875" style="13" customWidth="1"/>
    <col min="11798" max="11798" width="8.42578125" style="13" customWidth="1"/>
    <col min="11799" max="11808" width="7.85546875" style="13" customWidth="1"/>
    <col min="11809" max="12032" width="11.42578125" style="13" customWidth="1"/>
    <col min="12033" max="12033" width="36.140625" style="13" customWidth="1"/>
    <col min="12034" max="12034" width="8.42578125" style="13" customWidth="1"/>
    <col min="12035" max="12035" width="6.7109375" style="13" customWidth="1"/>
    <col min="12036" max="12038" width="7.85546875" style="13" customWidth="1"/>
    <col min="12039" max="12039" width="8.42578125" style="13" customWidth="1"/>
    <col min="12040" max="12040" width="6.7109375" style="13" customWidth="1"/>
    <col min="12041" max="12043" width="7.85546875" style="13" customWidth="1"/>
    <col min="12044" max="12044" width="8.42578125" style="13" customWidth="1"/>
    <col min="12045" max="12045" width="6.7109375" style="13" customWidth="1"/>
    <col min="12046" max="12048" width="7.85546875" style="13" customWidth="1"/>
    <col min="12049" max="12049" width="8.42578125" style="13" customWidth="1"/>
    <col min="12050" max="12053" width="7.85546875" style="13" customWidth="1"/>
    <col min="12054" max="12054" width="8.42578125" style="13" customWidth="1"/>
    <col min="12055" max="12064" width="7.85546875" style="13" customWidth="1"/>
    <col min="12065" max="12288" width="11.42578125" style="13" customWidth="1"/>
    <col min="12289" max="12289" width="36.140625" style="13" customWidth="1"/>
    <col min="12290" max="12290" width="8.42578125" style="13" customWidth="1"/>
    <col min="12291" max="12291" width="6.7109375" style="13" customWidth="1"/>
    <col min="12292" max="12294" width="7.85546875" style="13" customWidth="1"/>
    <col min="12295" max="12295" width="8.42578125" style="13" customWidth="1"/>
    <col min="12296" max="12296" width="6.7109375" style="13" customWidth="1"/>
    <col min="12297" max="12299" width="7.85546875" style="13" customWidth="1"/>
    <col min="12300" max="12300" width="8.42578125" style="13" customWidth="1"/>
    <col min="12301" max="12301" width="6.7109375" style="13" customWidth="1"/>
    <col min="12302" max="12304" width="7.85546875" style="13" customWidth="1"/>
    <col min="12305" max="12305" width="8.42578125" style="13" customWidth="1"/>
    <col min="12306" max="12309" width="7.85546875" style="13" customWidth="1"/>
    <col min="12310" max="12310" width="8.42578125" style="13" customWidth="1"/>
    <col min="12311" max="12320" width="7.85546875" style="13" customWidth="1"/>
    <col min="12321" max="12544" width="11.42578125" style="13" customWidth="1"/>
    <col min="12545" max="12545" width="36.140625" style="13" customWidth="1"/>
    <col min="12546" max="12546" width="8.42578125" style="13" customWidth="1"/>
    <col min="12547" max="12547" width="6.7109375" style="13" customWidth="1"/>
    <col min="12548" max="12550" width="7.85546875" style="13" customWidth="1"/>
    <col min="12551" max="12551" width="8.42578125" style="13" customWidth="1"/>
    <col min="12552" max="12552" width="6.7109375" style="13" customWidth="1"/>
    <col min="12553" max="12555" width="7.85546875" style="13" customWidth="1"/>
    <col min="12556" max="12556" width="8.42578125" style="13" customWidth="1"/>
    <col min="12557" max="12557" width="6.7109375" style="13" customWidth="1"/>
    <col min="12558" max="12560" width="7.85546875" style="13" customWidth="1"/>
    <col min="12561" max="12561" width="8.42578125" style="13" customWidth="1"/>
    <col min="12562" max="12565" width="7.85546875" style="13" customWidth="1"/>
    <col min="12566" max="12566" width="8.42578125" style="13" customWidth="1"/>
    <col min="12567" max="12576" width="7.85546875" style="13" customWidth="1"/>
    <col min="12577" max="12800" width="11.42578125" style="13" customWidth="1"/>
    <col min="12801" max="12801" width="36.140625" style="13" customWidth="1"/>
    <col min="12802" max="12802" width="8.42578125" style="13" customWidth="1"/>
    <col min="12803" max="12803" width="6.7109375" style="13" customWidth="1"/>
    <col min="12804" max="12806" width="7.85546875" style="13" customWidth="1"/>
    <col min="12807" max="12807" width="8.42578125" style="13" customWidth="1"/>
    <col min="12808" max="12808" width="6.7109375" style="13" customWidth="1"/>
    <col min="12809" max="12811" width="7.85546875" style="13" customWidth="1"/>
    <col min="12812" max="12812" width="8.42578125" style="13" customWidth="1"/>
    <col min="12813" max="12813" width="6.7109375" style="13" customWidth="1"/>
    <col min="12814" max="12816" width="7.85546875" style="13" customWidth="1"/>
    <col min="12817" max="12817" width="8.42578125" style="13" customWidth="1"/>
    <col min="12818" max="12821" width="7.85546875" style="13" customWidth="1"/>
    <col min="12822" max="12822" width="8.42578125" style="13" customWidth="1"/>
    <col min="12823" max="12832" width="7.85546875" style="13" customWidth="1"/>
    <col min="12833" max="13056" width="11.42578125" style="13" customWidth="1"/>
    <col min="13057" max="13057" width="36.140625" style="13" customWidth="1"/>
    <col min="13058" max="13058" width="8.42578125" style="13" customWidth="1"/>
    <col min="13059" max="13059" width="6.7109375" style="13" customWidth="1"/>
    <col min="13060" max="13062" width="7.85546875" style="13" customWidth="1"/>
    <col min="13063" max="13063" width="8.42578125" style="13" customWidth="1"/>
    <col min="13064" max="13064" width="6.7109375" style="13" customWidth="1"/>
    <col min="13065" max="13067" width="7.85546875" style="13" customWidth="1"/>
    <col min="13068" max="13068" width="8.42578125" style="13" customWidth="1"/>
    <col min="13069" max="13069" width="6.7109375" style="13" customWidth="1"/>
    <col min="13070" max="13072" width="7.85546875" style="13" customWidth="1"/>
    <col min="13073" max="13073" width="8.42578125" style="13" customWidth="1"/>
    <col min="13074" max="13077" width="7.85546875" style="13" customWidth="1"/>
    <col min="13078" max="13078" width="8.42578125" style="13" customWidth="1"/>
    <col min="13079" max="13088" width="7.85546875" style="13" customWidth="1"/>
    <col min="13089" max="13312" width="11.42578125" style="13" customWidth="1"/>
    <col min="13313" max="13313" width="36.140625" style="13" customWidth="1"/>
    <col min="13314" max="13314" width="8.42578125" style="13" customWidth="1"/>
    <col min="13315" max="13315" width="6.7109375" style="13" customWidth="1"/>
    <col min="13316" max="13318" width="7.85546875" style="13" customWidth="1"/>
    <col min="13319" max="13319" width="8.42578125" style="13" customWidth="1"/>
    <col min="13320" max="13320" width="6.7109375" style="13" customWidth="1"/>
    <col min="13321" max="13323" width="7.85546875" style="13" customWidth="1"/>
    <col min="13324" max="13324" width="8.42578125" style="13" customWidth="1"/>
    <col min="13325" max="13325" width="6.7109375" style="13" customWidth="1"/>
    <col min="13326" max="13328" width="7.85546875" style="13" customWidth="1"/>
    <col min="13329" max="13329" width="8.42578125" style="13" customWidth="1"/>
    <col min="13330" max="13333" width="7.85546875" style="13" customWidth="1"/>
    <col min="13334" max="13334" width="8.42578125" style="13" customWidth="1"/>
    <col min="13335" max="13344" width="7.85546875" style="13" customWidth="1"/>
    <col min="13345" max="13568" width="11.42578125" style="13" customWidth="1"/>
    <col min="13569" max="13569" width="36.140625" style="13" customWidth="1"/>
    <col min="13570" max="13570" width="8.42578125" style="13" customWidth="1"/>
    <col min="13571" max="13571" width="6.7109375" style="13" customWidth="1"/>
    <col min="13572" max="13574" width="7.85546875" style="13" customWidth="1"/>
    <col min="13575" max="13575" width="8.42578125" style="13" customWidth="1"/>
    <col min="13576" max="13576" width="6.7109375" style="13" customWidth="1"/>
    <col min="13577" max="13579" width="7.85546875" style="13" customWidth="1"/>
    <col min="13580" max="13580" width="8.42578125" style="13" customWidth="1"/>
    <col min="13581" max="13581" width="6.7109375" style="13" customWidth="1"/>
    <col min="13582" max="13584" width="7.85546875" style="13" customWidth="1"/>
    <col min="13585" max="13585" width="8.42578125" style="13" customWidth="1"/>
    <col min="13586" max="13589" width="7.85546875" style="13" customWidth="1"/>
    <col min="13590" max="13590" width="8.42578125" style="13" customWidth="1"/>
    <col min="13591" max="13600" width="7.85546875" style="13" customWidth="1"/>
    <col min="13601" max="13824" width="11.42578125" style="13" customWidth="1"/>
    <col min="13825" max="13825" width="36.140625" style="13" customWidth="1"/>
    <col min="13826" max="13826" width="8.42578125" style="13" customWidth="1"/>
    <col min="13827" max="13827" width="6.7109375" style="13" customWidth="1"/>
    <col min="13828" max="13830" width="7.85546875" style="13" customWidth="1"/>
    <col min="13831" max="13831" width="8.42578125" style="13" customWidth="1"/>
    <col min="13832" max="13832" width="6.7109375" style="13" customWidth="1"/>
    <col min="13833" max="13835" width="7.85546875" style="13" customWidth="1"/>
    <col min="13836" max="13836" width="8.42578125" style="13" customWidth="1"/>
    <col min="13837" max="13837" width="6.7109375" style="13" customWidth="1"/>
    <col min="13838" max="13840" width="7.85546875" style="13" customWidth="1"/>
    <col min="13841" max="13841" width="8.42578125" style="13" customWidth="1"/>
    <col min="13842" max="13845" width="7.85546875" style="13" customWidth="1"/>
    <col min="13846" max="13846" width="8.42578125" style="13" customWidth="1"/>
    <col min="13847" max="13856" width="7.85546875" style="13" customWidth="1"/>
    <col min="13857" max="14080" width="11.42578125" style="13" customWidth="1"/>
    <col min="14081" max="14081" width="36.140625" style="13" customWidth="1"/>
    <col min="14082" max="14082" width="8.42578125" style="13" customWidth="1"/>
    <col min="14083" max="14083" width="6.7109375" style="13" customWidth="1"/>
    <col min="14084" max="14086" width="7.85546875" style="13" customWidth="1"/>
    <col min="14087" max="14087" width="8.42578125" style="13" customWidth="1"/>
    <col min="14088" max="14088" width="6.7109375" style="13" customWidth="1"/>
    <col min="14089" max="14091" width="7.85546875" style="13" customWidth="1"/>
    <col min="14092" max="14092" width="8.42578125" style="13" customWidth="1"/>
    <col min="14093" max="14093" width="6.7109375" style="13" customWidth="1"/>
    <col min="14094" max="14096" width="7.85546875" style="13" customWidth="1"/>
    <col min="14097" max="14097" width="8.42578125" style="13" customWidth="1"/>
    <col min="14098" max="14101" width="7.85546875" style="13" customWidth="1"/>
    <col min="14102" max="14102" width="8.42578125" style="13" customWidth="1"/>
    <col min="14103" max="14112" width="7.85546875" style="13" customWidth="1"/>
    <col min="14113" max="14336" width="11.42578125" style="13" customWidth="1"/>
    <col min="14337" max="14337" width="36.140625" style="13" customWidth="1"/>
    <col min="14338" max="14338" width="8.42578125" style="13" customWidth="1"/>
    <col min="14339" max="14339" width="6.7109375" style="13" customWidth="1"/>
    <col min="14340" max="14342" width="7.85546875" style="13" customWidth="1"/>
    <col min="14343" max="14343" width="8.42578125" style="13" customWidth="1"/>
    <col min="14344" max="14344" width="6.7109375" style="13" customWidth="1"/>
    <col min="14345" max="14347" width="7.85546875" style="13" customWidth="1"/>
    <col min="14348" max="14348" width="8.42578125" style="13" customWidth="1"/>
    <col min="14349" max="14349" width="6.7109375" style="13" customWidth="1"/>
    <col min="14350" max="14352" width="7.85546875" style="13" customWidth="1"/>
    <col min="14353" max="14353" width="8.42578125" style="13" customWidth="1"/>
    <col min="14354" max="14357" width="7.85546875" style="13" customWidth="1"/>
    <col min="14358" max="14358" width="8.42578125" style="13" customWidth="1"/>
    <col min="14359" max="14368" width="7.85546875" style="13" customWidth="1"/>
    <col min="14369" max="14592" width="11.42578125" style="13" customWidth="1"/>
    <col min="14593" max="14593" width="36.140625" style="13" customWidth="1"/>
    <col min="14594" max="14594" width="8.42578125" style="13" customWidth="1"/>
    <col min="14595" max="14595" width="6.7109375" style="13" customWidth="1"/>
    <col min="14596" max="14598" width="7.85546875" style="13" customWidth="1"/>
    <col min="14599" max="14599" width="8.42578125" style="13" customWidth="1"/>
    <col min="14600" max="14600" width="6.7109375" style="13" customWidth="1"/>
    <col min="14601" max="14603" width="7.85546875" style="13" customWidth="1"/>
    <col min="14604" max="14604" width="8.42578125" style="13" customWidth="1"/>
    <col min="14605" max="14605" width="6.7109375" style="13" customWidth="1"/>
    <col min="14606" max="14608" width="7.85546875" style="13" customWidth="1"/>
    <col min="14609" max="14609" width="8.42578125" style="13" customWidth="1"/>
    <col min="14610" max="14613" width="7.85546875" style="13" customWidth="1"/>
    <col min="14614" max="14614" width="8.42578125" style="13" customWidth="1"/>
    <col min="14615" max="14624" width="7.85546875" style="13" customWidth="1"/>
    <col min="14625" max="14848" width="11.42578125" style="13" customWidth="1"/>
    <col min="14849" max="14849" width="36.140625" style="13" customWidth="1"/>
    <col min="14850" max="14850" width="8.42578125" style="13" customWidth="1"/>
    <col min="14851" max="14851" width="6.7109375" style="13" customWidth="1"/>
    <col min="14852" max="14854" width="7.85546875" style="13" customWidth="1"/>
    <col min="14855" max="14855" width="8.42578125" style="13" customWidth="1"/>
    <col min="14856" max="14856" width="6.7109375" style="13" customWidth="1"/>
    <col min="14857" max="14859" width="7.85546875" style="13" customWidth="1"/>
    <col min="14860" max="14860" width="8.42578125" style="13" customWidth="1"/>
    <col min="14861" max="14861" width="6.7109375" style="13" customWidth="1"/>
    <col min="14862" max="14864" width="7.85546875" style="13" customWidth="1"/>
    <col min="14865" max="14865" width="8.42578125" style="13" customWidth="1"/>
    <col min="14866" max="14869" width="7.85546875" style="13" customWidth="1"/>
    <col min="14870" max="14870" width="8.42578125" style="13" customWidth="1"/>
    <col min="14871" max="14880" width="7.85546875" style="13" customWidth="1"/>
    <col min="14881" max="15104" width="11.42578125" style="13" customWidth="1"/>
    <col min="15105" max="15105" width="36.140625" style="13" customWidth="1"/>
    <col min="15106" max="15106" width="8.42578125" style="13" customWidth="1"/>
    <col min="15107" max="15107" width="6.7109375" style="13" customWidth="1"/>
    <col min="15108" max="15110" width="7.85546875" style="13" customWidth="1"/>
    <col min="15111" max="15111" width="8.42578125" style="13" customWidth="1"/>
    <col min="15112" max="15112" width="6.7109375" style="13" customWidth="1"/>
    <col min="15113" max="15115" width="7.85546875" style="13" customWidth="1"/>
    <col min="15116" max="15116" width="8.42578125" style="13" customWidth="1"/>
    <col min="15117" max="15117" width="6.7109375" style="13" customWidth="1"/>
    <col min="15118" max="15120" width="7.85546875" style="13" customWidth="1"/>
    <col min="15121" max="15121" width="8.42578125" style="13" customWidth="1"/>
    <col min="15122" max="15125" width="7.85546875" style="13" customWidth="1"/>
    <col min="15126" max="15126" width="8.42578125" style="13" customWidth="1"/>
    <col min="15127" max="15136" width="7.85546875" style="13" customWidth="1"/>
    <col min="15137" max="15360" width="11.42578125" style="13" customWidth="1"/>
    <col min="15361" max="15361" width="36.140625" style="13" customWidth="1"/>
    <col min="15362" max="15362" width="8.42578125" style="13" customWidth="1"/>
    <col min="15363" max="15363" width="6.7109375" style="13" customWidth="1"/>
    <col min="15364" max="15366" width="7.85546875" style="13" customWidth="1"/>
    <col min="15367" max="15367" width="8.42578125" style="13" customWidth="1"/>
    <col min="15368" max="15368" width="6.7109375" style="13" customWidth="1"/>
    <col min="15369" max="15371" width="7.85546875" style="13" customWidth="1"/>
    <col min="15372" max="15372" width="8.42578125" style="13" customWidth="1"/>
    <col min="15373" max="15373" width="6.7109375" style="13" customWidth="1"/>
    <col min="15374" max="15376" width="7.85546875" style="13" customWidth="1"/>
    <col min="15377" max="15377" width="8.42578125" style="13" customWidth="1"/>
    <col min="15378" max="15381" width="7.85546875" style="13" customWidth="1"/>
    <col min="15382" max="15382" width="8.42578125" style="13" customWidth="1"/>
    <col min="15383" max="15392" width="7.85546875" style="13" customWidth="1"/>
    <col min="15393" max="15616" width="11.42578125" style="13" customWidth="1"/>
    <col min="15617" max="15617" width="36.140625" style="13" customWidth="1"/>
    <col min="15618" max="15618" width="8.42578125" style="13" customWidth="1"/>
    <col min="15619" max="15619" width="6.7109375" style="13" customWidth="1"/>
    <col min="15620" max="15622" width="7.85546875" style="13" customWidth="1"/>
    <col min="15623" max="15623" width="8.42578125" style="13" customWidth="1"/>
    <col min="15624" max="15624" width="6.7109375" style="13" customWidth="1"/>
    <col min="15625" max="15627" width="7.85546875" style="13" customWidth="1"/>
    <col min="15628" max="15628" width="8.42578125" style="13" customWidth="1"/>
    <col min="15629" max="15629" width="6.7109375" style="13" customWidth="1"/>
    <col min="15630" max="15632" width="7.85546875" style="13" customWidth="1"/>
    <col min="15633" max="15633" width="8.42578125" style="13" customWidth="1"/>
    <col min="15634" max="15637" width="7.85546875" style="13" customWidth="1"/>
    <col min="15638" max="15638" width="8.42578125" style="13" customWidth="1"/>
    <col min="15639" max="15648" width="7.85546875" style="13" customWidth="1"/>
    <col min="15649" max="15872" width="11.42578125" style="13" customWidth="1"/>
    <col min="15873" max="15873" width="36.140625" style="13" customWidth="1"/>
    <col min="15874" max="15874" width="8.42578125" style="13" customWidth="1"/>
    <col min="15875" max="15875" width="6.7109375" style="13" customWidth="1"/>
    <col min="15876" max="15878" width="7.85546875" style="13" customWidth="1"/>
    <col min="15879" max="15879" width="8.42578125" style="13" customWidth="1"/>
    <col min="15880" max="15880" width="6.7109375" style="13" customWidth="1"/>
    <col min="15881" max="15883" width="7.85546875" style="13" customWidth="1"/>
    <col min="15884" max="15884" width="8.42578125" style="13" customWidth="1"/>
    <col min="15885" max="15885" width="6.7109375" style="13" customWidth="1"/>
    <col min="15886" max="15888" width="7.85546875" style="13" customWidth="1"/>
    <col min="15889" max="15889" width="8.42578125" style="13" customWidth="1"/>
    <col min="15890" max="15893" width="7.85546875" style="13" customWidth="1"/>
    <col min="15894" max="15894" width="8.42578125" style="13" customWidth="1"/>
    <col min="15895" max="15904" width="7.85546875" style="13" customWidth="1"/>
    <col min="15905" max="16128" width="11.42578125" style="13" customWidth="1"/>
    <col min="16129" max="16129" width="36.140625" style="13" customWidth="1"/>
    <col min="16130" max="16130" width="8.42578125" style="13" customWidth="1"/>
    <col min="16131" max="16131" width="6.7109375" style="13" customWidth="1"/>
    <col min="16132" max="16134" width="7.85546875" style="13" customWidth="1"/>
    <col min="16135" max="16135" width="8.42578125" style="13" customWidth="1"/>
    <col min="16136" max="16136" width="6.7109375" style="13" customWidth="1"/>
    <col min="16137" max="16139" width="7.85546875" style="13" customWidth="1"/>
    <col min="16140" max="16140" width="8.42578125" style="13" customWidth="1"/>
    <col min="16141" max="16141" width="6.7109375" style="13" customWidth="1"/>
    <col min="16142" max="16144" width="7.85546875" style="13" customWidth="1"/>
    <col min="16145" max="16145" width="8.42578125" style="13" customWidth="1"/>
    <col min="16146" max="16149" width="7.85546875" style="13" customWidth="1"/>
    <col min="16150" max="16150" width="8.42578125" style="13" customWidth="1"/>
    <col min="16151" max="16160" width="7.85546875" style="13" customWidth="1"/>
    <col min="16161" max="16384" width="11.42578125" style="13" customWidth="1"/>
  </cols>
  <sheetData>
    <row r="2" spans="1:63">
      <c r="AH2" s="13" t="s">
        <v>154</v>
      </c>
    </row>
    <row r="3" spans="1:63" ht="18.75" customHeight="1">
      <c r="A3" s="11" t="s">
        <v>112</v>
      </c>
      <c r="B3" s="12" t="s">
        <v>113</v>
      </c>
      <c r="C3" s="1724" t="s">
        <v>114</v>
      </c>
      <c r="D3" s="1725"/>
      <c r="E3" s="1725"/>
      <c r="F3" s="1725"/>
      <c r="G3" s="1726"/>
      <c r="H3" s="1724" t="s">
        <v>115</v>
      </c>
      <c r="I3" s="1725"/>
      <c r="J3" s="1725"/>
      <c r="K3" s="1725"/>
      <c r="L3" s="1726"/>
      <c r="M3" s="1724" t="s">
        <v>116</v>
      </c>
      <c r="N3" s="1725"/>
      <c r="O3" s="1725"/>
      <c r="P3" s="1725"/>
      <c r="Q3" s="1726"/>
      <c r="R3" s="1724" t="s">
        <v>117</v>
      </c>
      <c r="S3" s="1725"/>
      <c r="T3" s="1725"/>
      <c r="U3" s="1725"/>
      <c r="V3" s="1726"/>
      <c r="W3" s="1724" t="s">
        <v>118</v>
      </c>
      <c r="X3" s="1725"/>
      <c r="Y3" s="1725"/>
      <c r="Z3" s="1725"/>
      <c r="AA3" s="1726"/>
      <c r="AB3" s="1721">
        <v>2011</v>
      </c>
      <c r="AC3" s="1722"/>
      <c r="AD3" s="1722"/>
      <c r="AE3" s="1722"/>
      <c r="AF3" s="1723"/>
      <c r="AH3" s="1724" t="s">
        <v>114</v>
      </c>
      <c r="AI3" s="1725"/>
      <c r="AJ3" s="1725"/>
      <c r="AK3" s="1725"/>
      <c r="AL3" s="1726"/>
      <c r="AM3" s="1724" t="s">
        <v>115</v>
      </c>
      <c r="AN3" s="1725"/>
      <c r="AO3" s="1725"/>
      <c r="AP3" s="1725"/>
      <c r="AQ3" s="1726"/>
      <c r="AR3" s="1724" t="s">
        <v>116</v>
      </c>
      <c r="AS3" s="1725"/>
      <c r="AT3" s="1725"/>
      <c r="AU3" s="1725"/>
      <c r="AV3" s="1726"/>
      <c r="AW3" s="1724" t="s">
        <v>117</v>
      </c>
      <c r="AX3" s="1725"/>
      <c r="AY3" s="1725"/>
      <c r="AZ3" s="1725"/>
      <c r="BA3" s="1726"/>
      <c r="BB3" s="1724" t="s">
        <v>118</v>
      </c>
      <c r="BC3" s="1725"/>
      <c r="BD3" s="1725"/>
      <c r="BE3" s="1725"/>
      <c r="BF3" s="1726"/>
      <c r="BG3" s="1721">
        <v>2011</v>
      </c>
      <c r="BH3" s="1722"/>
      <c r="BI3" s="1722"/>
      <c r="BJ3" s="1722"/>
      <c r="BK3" s="1723"/>
    </row>
    <row r="4" spans="1:63" ht="14.25" customHeight="1">
      <c r="A4" s="14"/>
      <c r="B4" s="15" t="s">
        <v>119</v>
      </c>
      <c r="C4" s="16" t="s">
        <v>120</v>
      </c>
      <c r="D4" s="17" t="s">
        <v>121</v>
      </c>
      <c r="E4" s="17" t="s">
        <v>122</v>
      </c>
      <c r="F4" s="17" t="s">
        <v>123</v>
      </c>
      <c r="G4" s="15" t="s">
        <v>119</v>
      </c>
      <c r="H4" s="16" t="s">
        <v>120</v>
      </c>
      <c r="I4" s="17" t="s">
        <v>121</v>
      </c>
      <c r="J4" s="17" t="s">
        <v>122</v>
      </c>
      <c r="K4" s="17" t="s">
        <v>123</v>
      </c>
      <c r="L4" s="15" t="s">
        <v>119</v>
      </c>
      <c r="M4" s="16" t="s">
        <v>120</v>
      </c>
      <c r="N4" s="17" t="s">
        <v>121</v>
      </c>
      <c r="O4" s="17" t="s">
        <v>122</v>
      </c>
      <c r="P4" s="17" t="s">
        <v>123</v>
      </c>
      <c r="Q4" s="15" t="s">
        <v>119</v>
      </c>
      <c r="R4" s="16" t="s">
        <v>120</v>
      </c>
      <c r="S4" s="17" t="s">
        <v>121</v>
      </c>
      <c r="T4" s="17" t="s">
        <v>122</v>
      </c>
      <c r="U4" s="17" t="s">
        <v>123</v>
      </c>
      <c r="V4" s="15" t="s">
        <v>119</v>
      </c>
      <c r="W4" s="16" t="s">
        <v>120</v>
      </c>
      <c r="X4" s="17" t="s">
        <v>121</v>
      </c>
      <c r="Y4" s="17" t="s">
        <v>122</v>
      </c>
      <c r="Z4" s="17" t="s">
        <v>123</v>
      </c>
      <c r="AA4" s="15" t="s">
        <v>119</v>
      </c>
      <c r="AB4" s="16" t="s">
        <v>120</v>
      </c>
      <c r="AC4" s="17" t="s">
        <v>121</v>
      </c>
      <c r="AD4" s="17" t="s">
        <v>122</v>
      </c>
      <c r="AE4" s="17" t="s">
        <v>123</v>
      </c>
      <c r="AF4" s="15" t="s">
        <v>119</v>
      </c>
      <c r="AH4" s="16" t="s">
        <v>120</v>
      </c>
      <c r="AI4" s="17" t="s">
        <v>121</v>
      </c>
      <c r="AJ4" s="17" t="s">
        <v>122</v>
      </c>
      <c r="AK4" s="17" t="s">
        <v>123</v>
      </c>
      <c r="AL4" s="15" t="s">
        <v>119</v>
      </c>
      <c r="AM4" s="16" t="s">
        <v>120</v>
      </c>
      <c r="AN4" s="17" t="s">
        <v>121</v>
      </c>
      <c r="AO4" s="17" t="s">
        <v>122</v>
      </c>
      <c r="AP4" s="17" t="s">
        <v>123</v>
      </c>
      <c r="AQ4" s="15" t="s">
        <v>119</v>
      </c>
      <c r="AR4" s="16" t="s">
        <v>120</v>
      </c>
      <c r="AS4" s="17" t="s">
        <v>121</v>
      </c>
      <c r="AT4" s="17" t="s">
        <v>122</v>
      </c>
      <c r="AU4" s="17" t="s">
        <v>123</v>
      </c>
      <c r="AV4" s="15" t="s">
        <v>119</v>
      </c>
      <c r="AW4" s="16" t="s">
        <v>120</v>
      </c>
      <c r="AX4" s="17" t="s">
        <v>121</v>
      </c>
      <c r="AY4" s="17" t="s">
        <v>122</v>
      </c>
      <c r="AZ4" s="17" t="s">
        <v>123</v>
      </c>
      <c r="BA4" s="15" t="s">
        <v>119</v>
      </c>
      <c r="BB4" s="16" t="s">
        <v>120</v>
      </c>
      <c r="BC4" s="17" t="s">
        <v>121</v>
      </c>
      <c r="BD4" s="17" t="s">
        <v>122</v>
      </c>
      <c r="BE4" s="17" t="s">
        <v>123</v>
      </c>
      <c r="BF4" s="15" t="s">
        <v>119</v>
      </c>
      <c r="BG4" s="16" t="s">
        <v>120</v>
      </c>
      <c r="BH4" s="17" t="s">
        <v>121</v>
      </c>
      <c r="BI4" s="17" t="s">
        <v>122</v>
      </c>
      <c r="BJ4" s="17" t="s">
        <v>123</v>
      </c>
      <c r="BK4" s="15" t="s">
        <v>119</v>
      </c>
    </row>
    <row r="5" spans="1:63" ht="14.25" customHeight="1">
      <c r="A5" s="14"/>
      <c r="B5" s="18"/>
      <c r="C5" s="19"/>
      <c r="D5" s="20"/>
      <c r="E5" s="20"/>
      <c r="F5" s="20"/>
      <c r="G5" s="18"/>
      <c r="H5" s="19"/>
      <c r="I5" s="20"/>
      <c r="J5" s="20"/>
      <c r="K5" s="20"/>
      <c r="L5" s="18"/>
      <c r="M5" s="19"/>
      <c r="N5" s="20"/>
      <c r="O5" s="20"/>
      <c r="P5" s="20"/>
      <c r="Q5" s="18"/>
      <c r="R5" s="19"/>
      <c r="S5" s="20"/>
      <c r="T5" s="20"/>
      <c r="U5" s="20"/>
      <c r="V5" s="18"/>
      <c r="W5" s="20"/>
      <c r="AA5" s="18"/>
      <c r="AB5" s="20"/>
    </row>
    <row r="6" spans="1:63">
      <c r="A6" s="21" t="s">
        <v>124</v>
      </c>
      <c r="B6" s="18"/>
      <c r="C6" s="19"/>
      <c r="D6" s="20"/>
      <c r="E6" s="20"/>
      <c r="F6" s="20"/>
      <c r="G6" s="18"/>
      <c r="H6" s="19"/>
      <c r="I6" s="20"/>
      <c r="J6" s="20"/>
      <c r="K6" s="20"/>
      <c r="L6" s="18"/>
      <c r="M6" s="19"/>
      <c r="N6" s="20"/>
      <c r="O6" s="20"/>
      <c r="P6" s="20"/>
      <c r="Q6" s="18"/>
      <c r="R6" s="19"/>
      <c r="S6" s="20"/>
      <c r="T6" s="20"/>
      <c r="U6" s="20"/>
      <c r="V6" s="18"/>
      <c r="W6" s="20"/>
      <c r="AA6" s="18"/>
      <c r="AB6" s="20"/>
    </row>
    <row r="7" spans="1:63" ht="14.25" customHeight="1">
      <c r="A7" s="22" t="s">
        <v>125</v>
      </c>
      <c r="B7" s="23">
        <v>20049.898998278739</v>
      </c>
      <c r="C7" s="24">
        <v>4081.4138862835712</v>
      </c>
      <c r="D7" s="25">
        <v>6023.4058376359344</v>
      </c>
      <c r="E7" s="25">
        <v>5260.1214825096476</v>
      </c>
      <c r="F7" s="25">
        <v>6395.4924664435412</v>
      </c>
      <c r="G7" s="23">
        <v>21760.433672872699</v>
      </c>
      <c r="H7" s="24">
        <v>3926.3453168238079</v>
      </c>
      <c r="I7" s="25">
        <v>5091.8909766717297</v>
      </c>
      <c r="J7" s="25">
        <v>5438.4418460367706</v>
      </c>
      <c r="K7" s="25">
        <v>6756.4968608676927</v>
      </c>
      <c r="L7" s="23">
        <v>21213.175000399999</v>
      </c>
      <c r="M7" s="24">
        <v>3882.476000000001</v>
      </c>
      <c r="N7" s="25">
        <v>5290.8962109399999</v>
      </c>
      <c r="O7" s="25">
        <v>5576.8927890599998</v>
      </c>
      <c r="P7" s="25">
        <v>6710.3430319000008</v>
      </c>
      <c r="Q7" s="23">
        <v>21460.608031899999</v>
      </c>
      <c r="R7" s="24">
        <v>4041.7190163599998</v>
      </c>
      <c r="S7" s="25">
        <v>5301.4783482399998</v>
      </c>
      <c r="T7" s="25">
        <v>5471.9499508499994</v>
      </c>
      <c r="U7" s="25">
        <v>6746.4885044500006</v>
      </c>
      <c r="V7" s="23">
        <v>21561.635819899999</v>
      </c>
      <c r="W7" s="25">
        <v>4179.2</v>
      </c>
      <c r="X7" s="25">
        <v>5821</v>
      </c>
      <c r="Y7" s="25">
        <v>5860.5</v>
      </c>
      <c r="Z7" s="25">
        <v>6889.3999999999978</v>
      </c>
      <c r="AA7" s="23">
        <v>22750.1</v>
      </c>
      <c r="AB7" s="25">
        <v>4105.6000000000004</v>
      </c>
      <c r="AC7" s="25">
        <v>5478.7</v>
      </c>
      <c r="AD7" s="25">
        <v>6001.2</v>
      </c>
      <c r="AE7" s="25">
        <v>7243.7</v>
      </c>
      <c r="AF7" s="25">
        <f t="shared" ref="AF7:AF12" si="0">+SUM(AB7:AE7)</f>
        <v>22829.200000000001</v>
      </c>
      <c r="AG7" s="40"/>
      <c r="AH7" s="40"/>
      <c r="AI7" s="40"/>
      <c r="AJ7" s="40"/>
      <c r="AK7" s="40"/>
      <c r="AL7" s="40">
        <f t="shared" ref="AL7:AL31" si="1">G7/B7-1</f>
        <v>8.5313879872452647E-2</v>
      </c>
      <c r="AM7" s="40">
        <f t="shared" ref="AM7:AM31" si="2">H7/C7-1</f>
        <v>-3.7993835905959727E-2</v>
      </c>
      <c r="AN7" s="40">
        <f t="shared" ref="AN7:AN31" si="3">I7/D7-1</f>
        <v>-0.15464919450451731</v>
      </c>
      <c r="AO7" s="40">
        <f t="shared" ref="AO7:AO31" si="4">J7/E7-1</f>
        <v>3.3900426847564891E-2</v>
      </c>
      <c r="AP7" s="40">
        <f t="shared" ref="AP7:AP31" si="5">K7/F7-1</f>
        <v>5.6446692153622635E-2</v>
      </c>
      <c r="AQ7" s="40">
        <f t="shared" ref="AQ7:AQ31" si="6">L7/G7-1</f>
        <v>-2.5149253948690053E-2</v>
      </c>
      <c r="AR7" s="40">
        <f t="shared" ref="AR7:AR31" si="7">M7/H7-1</f>
        <v>-1.1173066371883644E-2</v>
      </c>
      <c r="AS7" s="40">
        <f t="shared" ref="AS7:AS31" si="8">N7/I7-1</f>
        <v>3.9082775962801186E-2</v>
      </c>
      <c r="AT7" s="40">
        <f t="shared" ref="AT7:AT31" si="9">O7/J7-1</f>
        <v>2.545783276585456E-2</v>
      </c>
      <c r="AU7" s="40">
        <f t="shared" ref="AU7:AU31" si="10">P7/K7-1</f>
        <v>-6.831029439975933E-3</v>
      </c>
      <c r="AV7" s="40">
        <f t="shared" ref="AV7:AV31" si="11">Q7/L7-1</f>
        <v>1.1664120599360395E-2</v>
      </c>
      <c r="AW7" s="40">
        <f t="shared" ref="AW7:AW31" si="12">R7/M7-1</f>
        <v>4.1015840499722067E-2</v>
      </c>
      <c r="AX7" s="40">
        <f t="shared" ref="AX7:AX31" si="13">S7/N7-1</f>
        <v>2.0000651833085303E-3</v>
      </c>
      <c r="AY7" s="40">
        <f t="shared" ref="AY7:AY31" si="14">T7/O7-1</f>
        <v>-1.8817438702759981E-2</v>
      </c>
      <c r="AZ7" s="40">
        <f t="shared" ref="AZ7:AZ31" si="15">U7/P7-1</f>
        <v>5.3865312664598264E-3</v>
      </c>
      <c r="BA7" s="40">
        <f t="shared" ref="BA7:BA31" si="16">V7/Q7-1</f>
        <v>4.7075920612233979E-3</v>
      </c>
      <c r="BB7" s="40">
        <f t="shared" ref="BB7:BB31" si="17">W7/R7-1</f>
        <v>3.4015472892476417E-2</v>
      </c>
      <c r="BC7" s="40">
        <f t="shared" ref="BC7:BC31" si="18">X7/S7-1</f>
        <v>9.7995618888544911E-2</v>
      </c>
      <c r="BD7" s="40">
        <f t="shared" ref="BD7:BD31" si="19">Y7/T7-1</f>
        <v>7.1007602891112631E-2</v>
      </c>
      <c r="BE7" s="40">
        <f t="shared" ref="BE7:BE31" si="20">Z7/U7-1</f>
        <v>2.1183093316728074E-2</v>
      </c>
      <c r="BF7" s="40">
        <f t="shared" ref="BF7:BF31" si="21">AA7/V7-1</f>
        <v>5.5119388437268935E-2</v>
      </c>
      <c r="BG7" s="40">
        <f t="shared" ref="BG7:BG31" si="22">AB7/W7-1</f>
        <v>-1.761102603369058E-2</v>
      </c>
      <c r="BH7" s="40">
        <f t="shared" ref="BH7:BH31" si="23">AC7/X7-1</f>
        <v>-5.8804329153066548E-2</v>
      </c>
      <c r="BI7" s="40">
        <f t="shared" ref="BI7:BI31" si="24">AD7/Y7-1</f>
        <v>2.4008190427437848E-2</v>
      </c>
      <c r="BJ7" s="40">
        <f t="shared" ref="BJ7:BJ31" si="25">AE7/Z7-1</f>
        <v>5.1426829622318593E-2</v>
      </c>
      <c r="BK7" s="40">
        <f>AF7/AA7-1</f>
        <v>3.4769077938119342E-3</v>
      </c>
    </row>
    <row r="8" spans="1:63" ht="14.25" customHeight="1">
      <c r="A8" s="22" t="s">
        <v>126</v>
      </c>
      <c r="B8" s="23">
        <v>1199.6775888</v>
      </c>
      <c r="C8" s="24">
        <v>307.94964629999998</v>
      </c>
      <c r="D8" s="25">
        <v>352.18410569999998</v>
      </c>
      <c r="E8" s="25">
        <v>356.58588830000008</v>
      </c>
      <c r="F8" s="25">
        <v>362.28363039999988</v>
      </c>
      <c r="G8" s="23">
        <v>1379.0032707</v>
      </c>
      <c r="H8" s="24">
        <v>408.79584820000002</v>
      </c>
      <c r="I8" s="25">
        <v>450.73177349999992</v>
      </c>
      <c r="J8" s="25">
        <v>477.50985630000002</v>
      </c>
      <c r="K8" s="25">
        <v>514.93152199999997</v>
      </c>
      <c r="L8" s="23">
        <v>1851.9690000000001</v>
      </c>
      <c r="M8" s="24">
        <v>463.61700000000008</v>
      </c>
      <c r="N8" s="25">
        <v>514.66807343560026</v>
      </c>
      <c r="O8" s="25">
        <v>534.88788975632383</v>
      </c>
      <c r="P8" s="25">
        <v>699.32785617833167</v>
      </c>
      <c r="Q8" s="23">
        <v>2212.5008193702561</v>
      </c>
      <c r="R8" s="24">
        <v>608.35778853759984</v>
      </c>
      <c r="S8" s="25">
        <v>698.59634391229997</v>
      </c>
      <c r="T8" s="25">
        <v>687.85370051120015</v>
      </c>
      <c r="U8" s="25">
        <v>741.76875751680063</v>
      </c>
      <c r="V8" s="23">
        <v>2736.5765904779</v>
      </c>
      <c r="W8" s="25">
        <v>701.5</v>
      </c>
      <c r="X8" s="25">
        <v>777.1</v>
      </c>
      <c r="Y8" s="25">
        <v>809.6</v>
      </c>
      <c r="Z8" s="25">
        <v>858</v>
      </c>
      <c r="AA8" s="23">
        <v>3146.2</v>
      </c>
      <c r="AB8" s="25">
        <v>768.4</v>
      </c>
      <c r="AC8" s="25">
        <v>826.9</v>
      </c>
      <c r="AD8" s="25">
        <v>931.3</v>
      </c>
      <c r="AE8" s="25">
        <v>1058.3</v>
      </c>
      <c r="AF8" s="25">
        <f t="shared" si="0"/>
        <v>3584.8999999999996</v>
      </c>
      <c r="AG8" s="26"/>
      <c r="AH8" s="40"/>
      <c r="AI8" s="40"/>
      <c r="AJ8" s="40"/>
      <c r="AK8" s="40"/>
      <c r="AL8" s="40">
        <f t="shared" si="1"/>
        <v>0.14947822946277922</v>
      </c>
      <c r="AM8" s="40">
        <f t="shared" si="2"/>
        <v>0.32747627123999745</v>
      </c>
      <c r="AN8" s="40">
        <f t="shared" si="3"/>
        <v>0.27981861249566298</v>
      </c>
      <c r="AO8" s="40">
        <f t="shared" si="4"/>
        <v>0.3391159660762153</v>
      </c>
      <c r="AP8" s="40">
        <f t="shared" si="5"/>
        <v>0.42134912756466658</v>
      </c>
      <c r="AQ8" s="40">
        <f t="shared" si="6"/>
        <v>0.34297651017166664</v>
      </c>
      <c r="AR8" s="40">
        <f t="shared" si="7"/>
        <v>0.13410398378894306</v>
      </c>
      <c r="AS8" s="40">
        <f t="shared" si="8"/>
        <v>0.14184999526242703</v>
      </c>
      <c r="AT8" s="40">
        <f t="shared" si="9"/>
        <v>0.12016094055297466</v>
      </c>
      <c r="AU8" s="40">
        <f t="shared" si="10"/>
        <v>0.35809874963982447</v>
      </c>
      <c r="AV8" s="40">
        <f t="shared" si="11"/>
        <v>0.19467486732783112</v>
      </c>
      <c r="AW8" s="40">
        <f t="shared" si="12"/>
        <v>0.31219905339450404</v>
      </c>
      <c r="AX8" s="40">
        <f t="shared" si="13"/>
        <v>0.35737260570470264</v>
      </c>
      <c r="AY8" s="40">
        <f t="shared" si="14"/>
        <v>0.28597733036087658</v>
      </c>
      <c r="AZ8" s="40">
        <f t="shared" si="15"/>
        <v>6.0688132130755967E-2</v>
      </c>
      <c r="BA8" s="40">
        <f t="shared" si="16"/>
        <v>0.23687031729859953</v>
      </c>
      <c r="BB8" s="40">
        <f t="shared" si="17"/>
        <v>0.15310432975026078</v>
      </c>
      <c r="BC8" s="40">
        <f t="shared" si="18"/>
        <v>0.11237341387740662</v>
      </c>
      <c r="BD8" s="40">
        <f t="shared" si="19"/>
        <v>0.17699446757111326</v>
      </c>
      <c r="BE8" s="40">
        <f t="shared" si="20"/>
        <v>0.156694712881011</v>
      </c>
      <c r="BF8" s="40">
        <f t="shared" si="21"/>
        <v>0.14968461359620333</v>
      </c>
      <c r="BG8" s="40">
        <f t="shared" si="22"/>
        <v>9.5367070563079137E-2</v>
      </c>
      <c r="BH8" s="40">
        <f t="shared" si="23"/>
        <v>6.408441642002316E-2</v>
      </c>
      <c r="BI8" s="40">
        <f t="shared" si="24"/>
        <v>0.1503211462450591</v>
      </c>
      <c r="BJ8" s="40">
        <f t="shared" si="25"/>
        <v>0.23344988344988349</v>
      </c>
      <c r="BK8" s="40">
        <f t="shared" ref="BK8:BK31" si="26">AF8/AA8-1</f>
        <v>0.13943805225351213</v>
      </c>
    </row>
    <row r="9" spans="1:63" ht="14.25" customHeight="1">
      <c r="A9" s="22" t="s">
        <v>127</v>
      </c>
      <c r="B9" s="23">
        <v>2025.3266662999999</v>
      </c>
      <c r="C9" s="24">
        <v>455.58038829999992</v>
      </c>
      <c r="D9" s="25">
        <v>551.11553879999997</v>
      </c>
      <c r="E9" s="25">
        <v>606.28360189999989</v>
      </c>
      <c r="F9" s="25">
        <v>577.29387180000003</v>
      </c>
      <c r="G9" s="23">
        <v>2190.2734008000002</v>
      </c>
      <c r="H9" s="24">
        <v>538.84622264939628</v>
      </c>
      <c r="I9" s="25">
        <v>598.96751466391277</v>
      </c>
      <c r="J9" s="25">
        <v>594.37325919999989</v>
      </c>
      <c r="K9" s="25">
        <v>529.94888619999983</v>
      </c>
      <c r="L9" s="23">
        <v>2262.135882713309</v>
      </c>
      <c r="M9" s="24">
        <v>578.29888144100005</v>
      </c>
      <c r="N9" s="25">
        <v>571.23716096199996</v>
      </c>
      <c r="O9" s="25">
        <v>551.92380884999989</v>
      </c>
      <c r="P9" s="25">
        <v>735.77725987100007</v>
      </c>
      <c r="Q9" s="23">
        <v>2437.237111124</v>
      </c>
      <c r="R9" s="24">
        <v>686.29931108799997</v>
      </c>
      <c r="S9" s="25">
        <v>638.4522480789999</v>
      </c>
      <c r="T9" s="25">
        <v>755.81540129799998</v>
      </c>
      <c r="U9" s="25">
        <v>765.35054988699994</v>
      </c>
      <c r="V9" s="23">
        <v>2845.9175103520001</v>
      </c>
      <c r="W9" s="25">
        <v>660.1</v>
      </c>
      <c r="X9" s="25">
        <v>633.4</v>
      </c>
      <c r="Y9" s="25">
        <v>771.1</v>
      </c>
      <c r="Z9" s="25">
        <v>1010.2000000000003</v>
      </c>
      <c r="AA9" s="23">
        <v>3074.8</v>
      </c>
      <c r="AB9" s="25">
        <v>790.2</v>
      </c>
      <c r="AC9" s="25">
        <v>890</v>
      </c>
      <c r="AD9" s="25">
        <v>999.7</v>
      </c>
      <c r="AE9" s="25">
        <v>1358.8</v>
      </c>
      <c r="AF9" s="25">
        <f t="shared" si="0"/>
        <v>4038.7</v>
      </c>
      <c r="AG9" s="26"/>
      <c r="AH9" s="40"/>
      <c r="AI9" s="40"/>
      <c r="AJ9" s="40"/>
      <c r="AK9" s="40"/>
      <c r="AL9" s="40">
        <f t="shared" si="1"/>
        <v>8.1442039570503333E-2</v>
      </c>
      <c r="AM9" s="40">
        <f t="shared" si="2"/>
        <v>0.18276869788030847</v>
      </c>
      <c r="AN9" s="40">
        <f t="shared" si="3"/>
        <v>8.6827484429319091E-2</v>
      </c>
      <c r="AO9" s="40">
        <f t="shared" si="4"/>
        <v>-1.9644837271987625E-2</v>
      </c>
      <c r="AP9" s="40">
        <f t="shared" si="5"/>
        <v>-8.2011931726173937E-2</v>
      </c>
      <c r="AQ9" s="40">
        <f t="shared" si="6"/>
        <v>3.2809822685634149E-2</v>
      </c>
      <c r="AR9" s="40">
        <f t="shared" si="7"/>
        <v>7.3216916317280889E-2</v>
      </c>
      <c r="AS9" s="40">
        <f t="shared" si="8"/>
        <v>-4.6296924328980693E-2</v>
      </c>
      <c r="AT9" s="40">
        <f t="shared" si="9"/>
        <v>-7.1418842777575597E-2</v>
      </c>
      <c r="AU9" s="40">
        <f t="shared" si="10"/>
        <v>0.38839287906970288</v>
      </c>
      <c r="AV9" s="40">
        <f t="shared" si="11"/>
        <v>7.7405265416976787E-2</v>
      </c>
      <c r="AW9" s="40">
        <f t="shared" si="12"/>
        <v>0.18675538395973623</v>
      </c>
      <c r="AX9" s="40">
        <f t="shared" si="13"/>
        <v>0.11766581677530463</v>
      </c>
      <c r="AY9" s="40">
        <f t="shared" si="14"/>
        <v>0.36941981697226089</v>
      </c>
      <c r="AZ9" s="40">
        <f t="shared" si="15"/>
        <v>4.0193264495813397E-2</v>
      </c>
      <c r="BA9" s="40">
        <f t="shared" si="16"/>
        <v>0.16768183832533468</v>
      </c>
      <c r="BB9" s="40">
        <f t="shared" si="17"/>
        <v>-3.8174759415779969E-2</v>
      </c>
      <c r="BC9" s="40">
        <f t="shared" si="18"/>
        <v>-7.9132747894635758E-3</v>
      </c>
      <c r="BD9" s="40">
        <f t="shared" si="19"/>
        <v>2.0222661083316051E-2</v>
      </c>
      <c r="BE9" s="40">
        <f t="shared" si="20"/>
        <v>0.31991804297932647</v>
      </c>
      <c r="BF9" s="40">
        <f t="shared" si="21"/>
        <v>8.0424850269005255E-2</v>
      </c>
      <c r="BG9" s="40">
        <f t="shared" si="22"/>
        <v>0.19709134979548559</v>
      </c>
      <c r="BH9" s="40">
        <f t="shared" si="23"/>
        <v>0.40511525102620771</v>
      </c>
      <c r="BI9" s="40">
        <f t="shared" si="24"/>
        <v>0.29645960316431075</v>
      </c>
      <c r="BJ9" s="40">
        <f t="shared" si="25"/>
        <v>0.34508018214214964</v>
      </c>
      <c r="BK9" s="40">
        <f t="shared" si="26"/>
        <v>0.31348380382463881</v>
      </c>
    </row>
    <row r="10" spans="1:63" ht="14.25" customHeight="1">
      <c r="A10" s="22" t="s">
        <v>25</v>
      </c>
      <c r="B10" s="23">
        <v>2705.0565012963611</v>
      </c>
      <c r="C10" s="24">
        <v>571.63094221244739</v>
      </c>
      <c r="D10" s="25">
        <v>793.9702084209938</v>
      </c>
      <c r="E10" s="25">
        <v>714.50237810701378</v>
      </c>
      <c r="F10" s="25">
        <v>913.8102239499716</v>
      </c>
      <c r="G10" s="23">
        <v>2993.913752690426</v>
      </c>
      <c r="H10" s="24">
        <v>609.32640131327503</v>
      </c>
      <c r="I10" s="25">
        <v>815.13328310453267</v>
      </c>
      <c r="J10" s="25">
        <v>824.12965166954041</v>
      </c>
      <c r="K10" s="25">
        <v>1063.2774209126519</v>
      </c>
      <c r="L10" s="23">
        <v>3311.8667569999998</v>
      </c>
      <c r="M10" s="24">
        <v>727.32445600000005</v>
      </c>
      <c r="N10" s="25">
        <v>927.32655599999998</v>
      </c>
      <c r="O10" s="25">
        <v>901.58107300000006</v>
      </c>
      <c r="P10" s="25">
        <v>1144.1308770000001</v>
      </c>
      <c r="Q10" s="23">
        <v>3700.3629620000002</v>
      </c>
      <c r="R10" s="24">
        <v>766.72429499999998</v>
      </c>
      <c r="S10" s="25">
        <v>849.00900000000001</v>
      </c>
      <c r="T10" s="25">
        <v>795.00453600000003</v>
      </c>
      <c r="U10" s="25">
        <v>945.31618199999991</v>
      </c>
      <c r="V10" s="23">
        <v>3356.0540129999999</v>
      </c>
      <c r="W10" s="25">
        <v>685.5</v>
      </c>
      <c r="X10" s="25">
        <v>812</v>
      </c>
      <c r="Y10" s="25">
        <v>787.7</v>
      </c>
      <c r="Z10" s="25">
        <v>944.40000000000009</v>
      </c>
      <c r="AA10" s="23">
        <v>3229.6</v>
      </c>
      <c r="AB10" s="25">
        <v>609.70000000000005</v>
      </c>
      <c r="AC10" s="25">
        <v>795.8</v>
      </c>
      <c r="AD10" s="25">
        <v>810.9</v>
      </c>
      <c r="AE10" s="25">
        <v>975.4</v>
      </c>
      <c r="AF10" s="25">
        <f t="shared" si="0"/>
        <v>3191.8</v>
      </c>
      <c r="AG10" s="26"/>
      <c r="AH10" s="40"/>
      <c r="AI10" s="40"/>
      <c r="AJ10" s="40"/>
      <c r="AK10" s="40"/>
      <c r="AL10" s="40">
        <f t="shared" si="1"/>
        <v>0.10678418408474433</v>
      </c>
      <c r="AM10" s="40">
        <f t="shared" si="2"/>
        <v>6.5943699539655176E-2</v>
      </c>
      <c r="AN10" s="40">
        <f t="shared" si="3"/>
        <v>2.6654746562376541E-2</v>
      </c>
      <c r="AO10" s="40">
        <f t="shared" si="4"/>
        <v>0.15343164266712539</v>
      </c>
      <c r="AP10" s="40">
        <f t="shared" si="5"/>
        <v>0.16356481142944967</v>
      </c>
      <c r="AQ10" s="40">
        <f t="shared" si="6"/>
        <v>0.10619978749349457</v>
      </c>
      <c r="AR10" s="40">
        <f t="shared" si="7"/>
        <v>0.19365327750841743</v>
      </c>
      <c r="AS10" s="40">
        <f t="shared" si="8"/>
        <v>0.13763794856733824</v>
      </c>
      <c r="AT10" s="40">
        <f t="shared" si="9"/>
        <v>9.3979656202827888E-2</v>
      </c>
      <c r="AU10" s="40">
        <f t="shared" si="10"/>
        <v>7.6041731440086968E-2</v>
      </c>
      <c r="AV10" s="40">
        <f t="shared" si="11"/>
        <v>0.11730429800017483</v>
      </c>
      <c r="AW10" s="40">
        <f t="shared" si="12"/>
        <v>5.417092560957415E-2</v>
      </c>
      <c r="AX10" s="40">
        <f t="shared" si="13"/>
        <v>-8.4455206737334088E-2</v>
      </c>
      <c r="AY10" s="40">
        <f t="shared" si="14"/>
        <v>-0.11821070804577549</v>
      </c>
      <c r="AZ10" s="40">
        <f t="shared" si="15"/>
        <v>-0.17376918934423635</v>
      </c>
      <c r="BA10" s="40">
        <f t="shared" si="16"/>
        <v>-9.3047344959345746E-2</v>
      </c>
      <c r="BB10" s="40">
        <f t="shared" si="17"/>
        <v>-0.10593676961808018</v>
      </c>
      <c r="BC10" s="40">
        <f t="shared" si="18"/>
        <v>-4.359082176985174E-2</v>
      </c>
      <c r="BD10" s="40">
        <f t="shared" si="19"/>
        <v>-9.1880431736304224E-3</v>
      </c>
      <c r="BE10" s="40">
        <f t="shared" si="20"/>
        <v>-9.6918048949656832E-4</v>
      </c>
      <c r="BF10" s="40">
        <f t="shared" si="21"/>
        <v>-3.7679373606672617E-2</v>
      </c>
      <c r="BG10" s="40">
        <f t="shared" si="22"/>
        <v>-0.11057622173595905</v>
      </c>
      <c r="BH10" s="40">
        <f t="shared" si="23"/>
        <v>-1.9950738916256205E-2</v>
      </c>
      <c r="BI10" s="40">
        <f t="shared" si="24"/>
        <v>2.9452837374634999E-2</v>
      </c>
      <c r="BJ10" s="40">
        <f t="shared" si="25"/>
        <v>3.282507412113489E-2</v>
      </c>
      <c r="BK10" s="40">
        <f t="shared" si="26"/>
        <v>-1.1704235818677189E-2</v>
      </c>
    </row>
    <row r="11" spans="1:63" ht="14.25" customHeight="1">
      <c r="A11" s="22" t="s">
        <v>128</v>
      </c>
      <c r="B11" s="23">
        <v>6463.3</v>
      </c>
      <c r="C11" s="24">
        <v>1836.5</v>
      </c>
      <c r="D11" s="25">
        <v>1948.9</v>
      </c>
      <c r="E11" s="25">
        <v>1981.7</v>
      </c>
      <c r="F11" s="25">
        <v>1965.8</v>
      </c>
      <c r="G11" s="23">
        <v>7732.9</v>
      </c>
      <c r="H11" s="24">
        <v>2037.4</v>
      </c>
      <c r="I11" s="25">
        <v>2094.5</v>
      </c>
      <c r="J11" s="25">
        <v>2090.9</v>
      </c>
      <c r="K11" s="25">
        <v>2179.5</v>
      </c>
      <c r="L11" s="23">
        <v>8402.2999999999993</v>
      </c>
      <c r="M11" s="24">
        <v>2180.6999999999998</v>
      </c>
      <c r="N11" s="25">
        <v>2272.4</v>
      </c>
      <c r="O11" s="25">
        <v>2296.6</v>
      </c>
      <c r="P11" s="25">
        <v>2412.5</v>
      </c>
      <c r="Q11" s="23">
        <v>9162.2000000000007</v>
      </c>
      <c r="R11" s="24">
        <v>2416.6999999999998</v>
      </c>
      <c r="S11" s="25">
        <v>2443.5</v>
      </c>
      <c r="T11" s="25">
        <v>2507.4</v>
      </c>
      <c r="U11" s="25">
        <v>2637.5</v>
      </c>
      <c r="V11" s="23">
        <v>10005.1</v>
      </c>
      <c r="W11" s="25">
        <v>2645.9</v>
      </c>
      <c r="X11" s="25">
        <v>2832.6</v>
      </c>
      <c r="Y11" s="25">
        <v>2894.9</v>
      </c>
      <c r="Z11" s="25">
        <v>2874.8000000000011</v>
      </c>
      <c r="AA11" s="23">
        <v>11248.2</v>
      </c>
      <c r="AB11" s="25">
        <v>3028.9</v>
      </c>
      <c r="AC11" s="25">
        <v>3122.4</v>
      </c>
      <c r="AD11" s="25">
        <v>3131.7</v>
      </c>
      <c r="AE11" s="25">
        <v>3196.1</v>
      </c>
      <c r="AF11" s="25">
        <f t="shared" si="0"/>
        <v>12479.1</v>
      </c>
      <c r="AG11" s="26"/>
      <c r="AH11" s="40"/>
      <c r="AI11" s="40"/>
      <c r="AJ11" s="40"/>
      <c r="AK11" s="40"/>
      <c r="AL11" s="40">
        <f t="shared" si="1"/>
        <v>0.19643216313647827</v>
      </c>
      <c r="AM11" s="40">
        <f t="shared" si="2"/>
        <v>0.10939286686632177</v>
      </c>
      <c r="AN11" s="40">
        <f t="shared" si="3"/>
        <v>7.4708810098004008E-2</v>
      </c>
      <c r="AO11" s="40">
        <f t="shared" si="4"/>
        <v>5.5104203461674439E-2</v>
      </c>
      <c r="AP11" s="40">
        <f t="shared" si="5"/>
        <v>0.10870892257605047</v>
      </c>
      <c r="AQ11" s="40">
        <f t="shared" si="6"/>
        <v>8.6565195463538913E-2</v>
      </c>
      <c r="AR11" s="40">
        <f t="shared" si="7"/>
        <v>7.0334740355354697E-2</v>
      </c>
      <c r="AS11" s="40">
        <f t="shared" si="8"/>
        <v>8.4936739078539158E-2</v>
      </c>
      <c r="AT11" s="40">
        <f t="shared" si="9"/>
        <v>9.8378688602993813E-2</v>
      </c>
      <c r="AU11" s="40">
        <f t="shared" si="10"/>
        <v>0.10690525349850888</v>
      </c>
      <c r="AV11" s="40">
        <f t="shared" si="11"/>
        <v>9.0439522511693404E-2</v>
      </c>
      <c r="AW11" s="40">
        <f t="shared" si="12"/>
        <v>0.10822213050855223</v>
      </c>
      <c r="AX11" s="40">
        <f t="shared" si="13"/>
        <v>7.5294842457313882E-2</v>
      </c>
      <c r="AY11" s="40">
        <f t="shared" si="14"/>
        <v>9.1787860315248659E-2</v>
      </c>
      <c r="AZ11" s="40">
        <f t="shared" si="15"/>
        <v>9.3264248704663322E-2</v>
      </c>
      <c r="BA11" s="40">
        <f t="shared" si="16"/>
        <v>9.199755517233843E-2</v>
      </c>
      <c r="BB11" s="40">
        <f t="shared" si="17"/>
        <v>9.4840071171432339E-2</v>
      </c>
      <c r="BC11" s="40">
        <f t="shared" si="18"/>
        <v>0.15923879680785746</v>
      </c>
      <c r="BD11" s="40">
        <f t="shared" si="19"/>
        <v>0.15454255404004158</v>
      </c>
      <c r="BE11" s="40">
        <f t="shared" si="20"/>
        <v>8.9971563981043001E-2</v>
      </c>
      <c r="BF11" s="40">
        <f t="shared" si="21"/>
        <v>0.12424663421654958</v>
      </c>
      <c r="BG11" s="40">
        <f t="shared" si="22"/>
        <v>0.14475225821081672</v>
      </c>
      <c r="BH11" s="40">
        <f t="shared" si="23"/>
        <v>0.10230883287439108</v>
      </c>
      <c r="BI11" s="40">
        <f t="shared" si="24"/>
        <v>8.1799025873086961E-2</v>
      </c>
      <c r="BJ11" s="40">
        <f t="shared" si="25"/>
        <v>0.11176429664672272</v>
      </c>
      <c r="BK11" s="40">
        <f t="shared" si="26"/>
        <v>0.1094308422680963</v>
      </c>
    </row>
    <row r="12" spans="1:63" ht="14.25" customHeight="1">
      <c r="A12" s="22" t="s">
        <v>129</v>
      </c>
      <c r="B12" s="23">
        <v>1517.1</v>
      </c>
      <c r="C12" s="24">
        <v>442.3</v>
      </c>
      <c r="D12" s="25">
        <v>516.29999999999995</v>
      </c>
      <c r="E12" s="25">
        <v>524.20000000000005</v>
      </c>
      <c r="F12" s="25">
        <v>576.5</v>
      </c>
      <c r="G12" s="23">
        <v>2059.3000000000002</v>
      </c>
      <c r="H12" s="24">
        <v>567.9</v>
      </c>
      <c r="I12" s="25">
        <v>603.79999999999995</v>
      </c>
      <c r="J12" s="25">
        <v>614.20000000000005</v>
      </c>
      <c r="K12" s="25">
        <v>825.6</v>
      </c>
      <c r="L12" s="23">
        <v>2611.5</v>
      </c>
      <c r="M12" s="24">
        <v>1052.9000000000001</v>
      </c>
      <c r="N12" s="25">
        <v>1407.9</v>
      </c>
      <c r="O12" s="25">
        <v>1980.9</v>
      </c>
      <c r="P12" s="25">
        <v>2181.6</v>
      </c>
      <c r="Q12" s="23">
        <v>6623.3</v>
      </c>
      <c r="R12" s="24">
        <v>2214</v>
      </c>
      <c r="S12" s="25">
        <v>2182.5</v>
      </c>
      <c r="T12" s="25">
        <v>2190.1999999999998</v>
      </c>
      <c r="U12" s="25">
        <v>2655</v>
      </c>
      <c r="V12" s="23">
        <v>9241.7000000000007</v>
      </c>
      <c r="W12" s="25">
        <v>2740.3030899999999</v>
      </c>
      <c r="X12" s="25">
        <v>2900.1</v>
      </c>
      <c r="Y12" s="25">
        <v>3002.5</v>
      </c>
      <c r="Z12" s="25">
        <v>3171.2969100000009</v>
      </c>
      <c r="AA12" s="23">
        <v>11814.2</v>
      </c>
      <c r="AB12" s="25">
        <v>3229.7</v>
      </c>
      <c r="AC12" s="25">
        <v>3332.7</v>
      </c>
      <c r="AD12" s="25">
        <v>3394.8</v>
      </c>
      <c r="AE12" s="25">
        <v>3678.1</v>
      </c>
      <c r="AF12" s="25">
        <f t="shared" si="0"/>
        <v>13635.300000000001</v>
      </c>
      <c r="AG12" s="26"/>
      <c r="AH12" s="40"/>
      <c r="AI12" s="40"/>
      <c r="AJ12" s="40"/>
      <c r="AK12" s="40"/>
      <c r="AL12" s="40">
        <f t="shared" si="1"/>
        <v>0.35739239338211082</v>
      </c>
      <c r="AM12" s="40">
        <f t="shared" si="2"/>
        <v>0.28397015600271303</v>
      </c>
      <c r="AN12" s="40">
        <f t="shared" si="3"/>
        <v>0.16947511136935889</v>
      </c>
      <c r="AO12" s="40">
        <f t="shared" si="4"/>
        <v>0.17169019458222046</v>
      </c>
      <c r="AP12" s="40">
        <f t="shared" si="5"/>
        <v>0.43209019947961846</v>
      </c>
      <c r="AQ12" s="40">
        <f t="shared" si="6"/>
        <v>0.26814937114553472</v>
      </c>
      <c r="AR12" s="40">
        <f t="shared" si="7"/>
        <v>0.8540235957034692</v>
      </c>
      <c r="AS12" s="40">
        <f t="shared" si="8"/>
        <v>1.3317323617091756</v>
      </c>
      <c r="AT12" s="40">
        <f t="shared" si="9"/>
        <v>2.2251709540866167</v>
      </c>
      <c r="AU12" s="40">
        <f t="shared" si="10"/>
        <v>1.6424418604651163</v>
      </c>
      <c r="AV12" s="40">
        <f t="shared" si="11"/>
        <v>1.5362052460271873</v>
      </c>
      <c r="AW12" s="40">
        <f t="shared" si="12"/>
        <v>1.1027637952322156</v>
      </c>
      <c r="AX12" s="40">
        <f t="shared" si="13"/>
        <v>0.55018112081823989</v>
      </c>
      <c r="AY12" s="40">
        <f t="shared" si="14"/>
        <v>0.10565904386894842</v>
      </c>
      <c r="AZ12" s="40">
        <f t="shared" si="15"/>
        <v>0.21699669966996704</v>
      </c>
      <c r="BA12" s="40">
        <f t="shared" si="16"/>
        <v>0.3953316322679028</v>
      </c>
      <c r="BB12" s="40">
        <f t="shared" si="17"/>
        <v>0.23771593947606129</v>
      </c>
      <c r="BC12" s="40">
        <f t="shared" si="18"/>
        <v>0.32879725085910638</v>
      </c>
      <c r="BD12" s="40">
        <f t="shared" si="19"/>
        <v>0.37087937174687258</v>
      </c>
      <c r="BE12" s="40">
        <f t="shared" si="20"/>
        <v>0.19446211299435068</v>
      </c>
      <c r="BF12" s="40">
        <f t="shared" si="21"/>
        <v>0.27835787787961097</v>
      </c>
      <c r="BG12" s="40">
        <f t="shared" si="22"/>
        <v>0.17859225564716641</v>
      </c>
      <c r="BH12" s="40">
        <f t="shared" si="23"/>
        <v>0.14916727009413466</v>
      </c>
      <c r="BI12" s="40">
        <f t="shared" si="24"/>
        <v>0.1306577851790176</v>
      </c>
      <c r="BJ12" s="40">
        <f t="shared" si="25"/>
        <v>0.15980941059221054</v>
      </c>
      <c r="BK12" s="40">
        <f t="shared" si="26"/>
        <v>0.15414501193479047</v>
      </c>
    </row>
    <row r="13" spans="1:63" ht="14.25" customHeight="1">
      <c r="A13" s="22" t="s">
        <v>130</v>
      </c>
      <c r="B13" s="23">
        <v>2235.9730232609058</v>
      </c>
      <c r="C13" s="24">
        <v>494.83461197261778</v>
      </c>
      <c r="D13" s="25">
        <v>557.70489882018785</v>
      </c>
      <c r="E13" s="25">
        <v>597.53194818756526</v>
      </c>
      <c r="F13" s="25">
        <v>631.53269933425236</v>
      </c>
      <c r="G13" s="23">
        <v>2281.604158314623</v>
      </c>
      <c r="H13" s="24">
        <v>612.12539767267003</v>
      </c>
      <c r="I13" s="25">
        <v>742.9559229966394</v>
      </c>
      <c r="J13" s="25">
        <v>869.15007740749365</v>
      </c>
      <c r="K13" s="25">
        <v>815.43376886723195</v>
      </c>
      <c r="L13" s="23">
        <v>3039.6651669440348</v>
      </c>
      <c r="M13" s="24">
        <v>901.10291400000006</v>
      </c>
      <c r="N13" s="25">
        <v>810.2683531429999</v>
      </c>
      <c r="O13" s="25">
        <v>929.59070769000004</v>
      </c>
      <c r="P13" s="25">
        <v>857.64635051000005</v>
      </c>
      <c r="Q13" s="23">
        <v>3498.6083253430002</v>
      </c>
      <c r="R13" s="24">
        <v>884.12150181000004</v>
      </c>
      <c r="S13" s="25">
        <v>862.3477701999999</v>
      </c>
      <c r="T13" s="25">
        <v>1065.3949861999999</v>
      </c>
      <c r="U13" s="25">
        <v>959.62410670499992</v>
      </c>
      <c r="V13" s="23">
        <v>3771.4883649150001</v>
      </c>
      <c r="W13" s="25">
        <v>803.8</v>
      </c>
      <c r="X13" s="25">
        <v>983.7</v>
      </c>
      <c r="Y13" s="25">
        <v>981.1</v>
      </c>
      <c r="Z13" s="25">
        <v>1043.7000000000003</v>
      </c>
      <c r="AA13" s="23">
        <v>3812.3</v>
      </c>
      <c r="AB13" s="25">
        <v>949.5</v>
      </c>
      <c r="AC13" s="25">
        <v>1005.3</v>
      </c>
      <c r="AD13" s="25">
        <v>1046.5</v>
      </c>
      <c r="AE13" s="25">
        <v>1125.5000000000002</v>
      </c>
      <c r="AF13" s="25">
        <f>+SUM(AB13:AE13)</f>
        <v>4126.8</v>
      </c>
      <c r="AG13" s="26"/>
      <c r="AH13" s="40"/>
      <c r="AI13" s="40"/>
      <c r="AJ13" s="40"/>
      <c r="AK13" s="40"/>
      <c r="AL13" s="40">
        <f t="shared" si="1"/>
        <v>2.040773058485712E-2</v>
      </c>
      <c r="AM13" s="40">
        <f t="shared" si="2"/>
        <v>0.23703027812157695</v>
      </c>
      <c r="AN13" s="40">
        <f t="shared" si="3"/>
        <v>0.33216675085398384</v>
      </c>
      <c r="AO13" s="40">
        <f t="shared" si="4"/>
        <v>0.45456670566954771</v>
      </c>
      <c r="AP13" s="40">
        <f t="shared" si="5"/>
        <v>0.29119801670894319</v>
      </c>
      <c r="AQ13" s="40">
        <f t="shared" si="6"/>
        <v>0.33224913527041289</v>
      </c>
      <c r="AR13" s="40">
        <f t="shared" si="7"/>
        <v>0.47208875407888051</v>
      </c>
      <c r="AS13" s="40">
        <f t="shared" si="8"/>
        <v>9.0600839246105513E-2</v>
      </c>
      <c r="AT13" s="40">
        <f t="shared" si="9"/>
        <v>6.9539923948219728E-2</v>
      </c>
      <c r="AU13" s="40">
        <f t="shared" si="10"/>
        <v>5.1767026648170456E-2</v>
      </c>
      <c r="AV13" s="40">
        <f t="shared" si="11"/>
        <v>0.15098477404350752</v>
      </c>
      <c r="AW13" s="40">
        <f t="shared" si="12"/>
        <v>-1.8845141799197385E-2</v>
      </c>
      <c r="AX13" s="40">
        <f t="shared" si="13"/>
        <v>6.427428253243006E-2</v>
      </c>
      <c r="AY13" s="40">
        <f t="shared" si="14"/>
        <v>0.14609040020147002</v>
      </c>
      <c r="AZ13" s="40">
        <f t="shared" si="15"/>
        <v>0.11890420350341224</v>
      </c>
      <c r="BA13" s="40">
        <f t="shared" si="16"/>
        <v>7.799673875904567E-2</v>
      </c>
      <c r="BB13" s="40">
        <f t="shared" si="17"/>
        <v>-9.084894061004456E-2</v>
      </c>
      <c r="BC13" s="40">
        <f t="shared" si="18"/>
        <v>0.14072307483540603</v>
      </c>
      <c r="BD13" s="40">
        <f t="shared" si="19"/>
        <v>-7.9120877507279475E-2</v>
      </c>
      <c r="BE13" s="40">
        <f t="shared" si="20"/>
        <v>8.7613361010371538E-2</v>
      </c>
      <c r="BF13" s="40">
        <f t="shared" si="21"/>
        <v>1.0821095317344209E-2</v>
      </c>
      <c r="BG13" s="40">
        <f t="shared" si="22"/>
        <v>0.18126399601891019</v>
      </c>
      <c r="BH13" s="40">
        <f t="shared" si="23"/>
        <v>2.1957913998170042E-2</v>
      </c>
      <c r="BI13" s="40">
        <f t="shared" si="24"/>
        <v>6.6659871572724461E-2</v>
      </c>
      <c r="BJ13" s="40">
        <f t="shared" si="25"/>
        <v>7.8375011976621556E-2</v>
      </c>
      <c r="BK13" s="40">
        <f t="shared" si="26"/>
        <v>8.2496130944574197E-2</v>
      </c>
    </row>
    <row r="14" spans="1:63" ht="14.25" customHeight="1">
      <c r="A14" s="27" t="s">
        <v>131</v>
      </c>
      <c r="B14" s="28">
        <v>36196.332777936012</v>
      </c>
      <c r="C14" s="29">
        <v>8190.2094750686356</v>
      </c>
      <c r="D14" s="30">
        <v>10743.580589377119</v>
      </c>
      <c r="E14" s="30">
        <v>10040.92529900423</v>
      </c>
      <c r="F14" s="30">
        <v>11422.71289192776</v>
      </c>
      <c r="G14" s="28">
        <v>40397.428255377738</v>
      </c>
      <c r="H14" s="29">
        <v>8700.7391866591497</v>
      </c>
      <c r="I14" s="30">
        <v>10397.979470936811</v>
      </c>
      <c r="J14" s="30">
        <v>10908.7046906138</v>
      </c>
      <c r="K14" s="30">
        <v>12685.18845884757</v>
      </c>
      <c r="L14" s="28">
        <v>42692.611807057343</v>
      </c>
      <c r="M14" s="29">
        <v>9786.4192514410006</v>
      </c>
      <c r="N14" s="30">
        <v>11794.6963544806</v>
      </c>
      <c r="O14" s="30">
        <v>12772.37626835632</v>
      </c>
      <c r="P14" s="30">
        <v>14741.32537545933</v>
      </c>
      <c r="Q14" s="28">
        <v>49094.817249737258</v>
      </c>
      <c r="R14" s="29">
        <v>11617.9219127956</v>
      </c>
      <c r="S14" s="30">
        <v>12975.883710431301</v>
      </c>
      <c r="T14" s="30">
        <v>13473.6185748592</v>
      </c>
      <c r="U14" s="30">
        <v>15451.048100558801</v>
      </c>
      <c r="V14" s="28">
        <v>53518.472298644898</v>
      </c>
      <c r="W14" s="30">
        <v>12416.303089999999</v>
      </c>
      <c r="X14" s="30">
        <v>14759.900000000001</v>
      </c>
      <c r="Y14" s="30">
        <f>+SUM(Y7:Y13)</f>
        <v>15107.400000000001</v>
      </c>
      <c r="Z14" s="30">
        <v>16791.79690999999</v>
      </c>
      <c r="AA14" s="28">
        <v>59075.399999999994</v>
      </c>
      <c r="AB14" s="30">
        <v>13482</v>
      </c>
      <c r="AC14" s="30">
        <f>+SUM(AC7:AC13)</f>
        <v>15451.8</v>
      </c>
      <c r="AD14" s="30">
        <f>+SUM(AD7:AD13)</f>
        <v>16316.099999999999</v>
      </c>
      <c r="AE14" s="30">
        <f>+SUM(AE7:AE13)</f>
        <v>18635.899999999998</v>
      </c>
      <c r="AF14" s="30">
        <f>+SUM(AF7:AF13)</f>
        <v>63885.8</v>
      </c>
      <c r="AH14" s="40"/>
      <c r="AI14" s="40"/>
      <c r="AJ14" s="40"/>
      <c r="AK14" s="40"/>
      <c r="AL14" s="41">
        <f t="shared" si="1"/>
        <v>0.11606411907016634</v>
      </c>
      <c r="AM14" s="41">
        <f t="shared" si="2"/>
        <v>6.233414580476726E-2</v>
      </c>
      <c r="AN14" s="41">
        <f t="shared" si="3"/>
        <v>-3.2168150605397572E-2</v>
      </c>
      <c r="AO14" s="41">
        <f t="shared" si="4"/>
        <v>8.6424245352729523E-2</v>
      </c>
      <c r="AP14" s="41">
        <f t="shared" si="5"/>
        <v>0.11052326875973395</v>
      </c>
      <c r="AQ14" s="41">
        <f t="shared" si="6"/>
        <v>5.6815090732268869E-2</v>
      </c>
      <c r="AR14" s="41">
        <f t="shared" si="7"/>
        <v>0.12478021022012986</v>
      </c>
      <c r="AS14" s="41">
        <f t="shared" si="8"/>
        <v>0.13432579737705064</v>
      </c>
      <c r="AT14" s="41">
        <f t="shared" si="9"/>
        <v>0.17084260969554732</v>
      </c>
      <c r="AU14" s="41">
        <f t="shared" si="10"/>
        <v>0.16208958371270077</v>
      </c>
      <c r="AV14" s="41">
        <f t="shared" si="11"/>
        <v>0.14996050069772471</v>
      </c>
      <c r="AW14" s="41">
        <f t="shared" si="12"/>
        <v>0.18714737375316526</v>
      </c>
      <c r="AX14" s="41">
        <f t="shared" si="13"/>
        <v>0.10014563499144158</v>
      </c>
      <c r="AY14" s="41">
        <f t="shared" si="14"/>
        <v>5.4903041671283459E-2</v>
      </c>
      <c r="AZ14" s="41">
        <f t="shared" si="15"/>
        <v>4.8145109549035725E-2</v>
      </c>
      <c r="BA14" s="41">
        <f t="shared" si="16"/>
        <v>9.010431847429512E-2</v>
      </c>
      <c r="BB14" s="41">
        <f t="shared" si="17"/>
        <v>6.8719791990087931E-2</v>
      </c>
      <c r="BC14" s="41">
        <f t="shared" si="18"/>
        <v>0.13748707443598085</v>
      </c>
      <c r="BD14" s="41">
        <f t="shared" si="19"/>
        <v>0.121257805842101</v>
      </c>
      <c r="BE14" s="41">
        <f t="shared" si="20"/>
        <v>8.677397162414513E-2</v>
      </c>
      <c r="BF14" s="41">
        <f t="shared" si="21"/>
        <v>0.10383195675590695</v>
      </c>
      <c r="BG14" s="41">
        <f t="shared" si="22"/>
        <v>8.5830452291254522E-2</v>
      </c>
      <c r="BH14" s="41">
        <f t="shared" si="23"/>
        <v>4.6877011361865506E-2</v>
      </c>
      <c r="BI14" s="41">
        <f t="shared" si="24"/>
        <v>8.0007148814488005E-2</v>
      </c>
      <c r="BJ14" s="41">
        <f t="shared" si="25"/>
        <v>0.109821664702352</v>
      </c>
      <c r="BK14" s="41">
        <f t="shared" si="26"/>
        <v>8.1428140985926545E-2</v>
      </c>
    </row>
    <row r="15" spans="1:63" ht="14.25" customHeight="1">
      <c r="A15" s="22" t="s">
        <v>132</v>
      </c>
      <c r="B15" s="31">
        <v>-1128.3949901000001</v>
      </c>
      <c r="C15" s="32">
        <v>-245.75367374999999</v>
      </c>
      <c r="D15" s="33">
        <v>-279.43892247000002</v>
      </c>
      <c r="E15" s="33">
        <v>-326.68702116999998</v>
      </c>
      <c r="F15" s="33">
        <v>-278.38833691000002</v>
      </c>
      <c r="G15" s="31">
        <v>-1130.2679542999999</v>
      </c>
      <c r="H15" s="32">
        <v>-245.33174295000001</v>
      </c>
      <c r="I15" s="33">
        <v>-279.69415031000011</v>
      </c>
      <c r="J15" s="33">
        <v>-328.36141863</v>
      </c>
      <c r="K15" s="33">
        <v>-277.66568813999999</v>
      </c>
      <c r="L15" s="31">
        <v>-1131.05300003</v>
      </c>
      <c r="M15" s="32">
        <v>-248.24600000000001</v>
      </c>
      <c r="N15" s="33">
        <v>-291.322</v>
      </c>
      <c r="O15" s="33">
        <v>-313.33600000000001</v>
      </c>
      <c r="P15" s="33">
        <v>-269.72500000000002</v>
      </c>
      <c r="Q15" s="31">
        <v>-1122.6289999999999</v>
      </c>
      <c r="R15" s="32">
        <v>-255.57199999999989</v>
      </c>
      <c r="S15" s="33">
        <v>-299.137</v>
      </c>
      <c r="T15" s="33">
        <v>-323.91500000000002</v>
      </c>
      <c r="U15" s="33">
        <v>-287.47500000000002</v>
      </c>
      <c r="V15" s="31">
        <v>-1166.0989999999999</v>
      </c>
      <c r="W15" s="33">
        <v>-269.3</v>
      </c>
      <c r="X15" s="33">
        <v>-312.2</v>
      </c>
      <c r="Y15" s="33">
        <v>-336.4</v>
      </c>
      <c r="Z15" s="33">
        <v>-300.69999999999993</v>
      </c>
      <c r="AA15" s="31">
        <v>-1218.5999999999999</v>
      </c>
      <c r="AB15" s="33">
        <v>-282.39999999999998</v>
      </c>
      <c r="AC15" s="33">
        <v>-326.10000000000002</v>
      </c>
      <c r="AD15" s="33">
        <v>-352.6</v>
      </c>
      <c r="AE15" s="33">
        <v>-343.1</v>
      </c>
      <c r="AF15" s="33">
        <f>+SUM(AB15:AE15)</f>
        <v>-1304.2</v>
      </c>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row>
    <row r="16" spans="1:63" ht="14.25" customHeight="1">
      <c r="A16" s="22" t="s">
        <v>133</v>
      </c>
      <c r="B16" s="23">
        <v>0</v>
      </c>
      <c r="C16" s="24">
        <v>42.891854909000003</v>
      </c>
      <c r="D16" s="25">
        <v>46.937694121</v>
      </c>
      <c r="E16" s="25">
        <v>0.50551466</v>
      </c>
      <c r="F16" s="25">
        <v>0.18743395099999999</v>
      </c>
      <c r="G16" s="23">
        <v>90.522497641000001</v>
      </c>
      <c r="H16" s="24">
        <v>0</v>
      </c>
      <c r="I16" s="25">
        <v>0</v>
      </c>
      <c r="J16" s="25">
        <v>0</v>
      </c>
      <c r="K16" s="25">
        <v>0</v>
      </c>
      <c r="L16" s="23">
        <v>0</v>
      </c>
      <c r="M16" s="24">
        <v>0</v>
      </c>
      <c r="N16" s="25">
        <v>0</v>
      </c>
      <c r="O16" s="25">
        <v>0</v>
      </c>
      <c r="P16" s="25">
        <v>0</v>
      </c>
      <c r="Q16" s="23">
        <v>0</v>
      </c>
      <c r="R16" s="24">
        <v>0</v>
      </c>
      <c r="S16" s="25">
        <v>0</v>
      </c>
      <c r="T16" s="25">
        <v>0</v>
      </c>
      <c r="U16" s="25">
        <v>0</v>
      </c>
      <c r="V16" s="23">
        <v>0</v>
      </c>
      <c r="W16" s="25">
        <v>0</v>
      </c>
      <c r="X16" s="25">
        <v>0</v>
      </c>
      <c r="Y16" s="25">
        <v>0</v>
      </c>
      <c r="Z16" s="25">
        <v>0</v>
      </c>
      <c r="AA16" s="23">
        <v>0</v>
      </c>
      <c r="AB16" s="25">
        <v>0</v>
      </c>
      <c r="AC16" s="25">
        <v>0</v>
      </c>
      <c r="AD16" s="25">
        <v>0</v>
      </c>
      <c r="AE16" s="25">
        <v>0</v>
      </c>
      <c r="AF16" s="25">
        <v>0</v>
      </c>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row>
    <row r="17" spans="1:63" ht="14.25" customHeight="1">
      <c r="A17" s="27" t="s">
        <v>134</v>
      </c>
      <c r="B17" s="28">
        <v>35067.93778783601</v>
      </c>
      <c r="C17" s="29">
        <v>7987.3476562276355</v>
      </c>
      <c r="D17" s="30">
        <v>10511.079361028118</v>
      </c>
      <c r="E17" s="30">
        <v>9714.7437924942296</v>
      </c>
      <c r="F17" s="30">
        <v>11144.511988968759</v>
      </c>
      <c r="G17" s="28">
        <v>39357.682798718743</v>
      </c>
      <c r="H17" s="29">
        <v>8455.4074437091494</v>
      </c>
      <c r="I17" s="30">
        <v>10118.28532062681</v>
      </c>
      <c r="J17" s="30">
        <v>10580.3432719838</v>
      </c>
      <c r="K17" s="30">
        <v>12407.52277070757</v>
      </c>
      <c r="L17" s="28">
        <v>41561.558807027344</v>
      </c>
      <c r="M17" s="29">
        <v>9538.1732514410014</v>
      </c>
      <c r="N17" s="30">
        <v>11503.3743544806</v>
      </c>
      <c r="O17" s="30">
        <v>12459.040268356321</v>
      </c>
      <c r="P17" s="30">
        <v>14471.600375459329</v>
      </c>
      <c r="Q17" s="28">
        <v>47972.188249737257</v>
      </c>
      <c r="R17" s="29">
        <v>11362.3499127956</v>
      </c>
      <c r="S17" s="30">
        <v>12676.7467104313</v>
      </c>
      <c r="T17" s="30">
        <v>13149.703574859199</v>
      </c>
      <c r="U17" s="30">
        <v>15163.5731005588</v>
      </c>
      <c r="V17" s="28">
        <v>52352.373298644896</v>
      </c>
      <c r="W17" s="30">
        <v>12147.00309</v>
      </c>
      <c r="X17" s="30">
        <v>14447.7</v>
      </c>
      <c r="Y17" s="30">
        <f>+Y14+Y15</f>
        <v>14771.000000000002</v>
      </c>
      <c r="Z17" s="30">
        <v>16491.096909999993</v>
      </c>
      <c r="AA17" s="28">
        <v>57856.799999999996</v>
      </c>
      <c r="AB17" s="30">
        <v>13199.6</v>
      </c>
      <c r="AC17" s="30">
        <f>+AC14+AC15</f>
        <v>15125.699999999999</v>
      </c>
      <c r="AD17" s="30">
        <f>+AD14+AD15</f>
        <v>15963.499999999998</v>
      </c>
      <c r="AE17" s="30">
        <f>+AE14+AE15</f>
        <v>18292.8</v>
      </c>
      <c r="AF17" s="30">
        <f>+AF14+AF15</f>
        <v>62581.600000000006</v>
      </c>
      <c r="AH17" s="40"/>
      <c r="AI17" s="40"/>
      <c r="AJ17" s="40"/>
      <c r="AK17" s="40"/>
      <c r="AL17" s="41">
        <f t="shared" si="1"/>
        <v>0.12232669730498702</v>
      </c>
      <c r="AM17" s="41">
        <f t="shared" si="2"/>
        <v>5.8600152093864821E-2</v>
      </c>
      <c r="AN17" s="41">
        <f t="shared" si="3"/>
        <v>-3.7369524756674211E-2</v>
      </c>
      <c r="AO17" s="41">
        <f t="shared" si="4"/>
        <v>8.910162717398129E-2</v>
      </c>
      <c r="AP17" s="41">
        <f t="shared" si="5"/>
        <v>0.11333029054919441</v>
      </c>
      <c r="AQ17" s="41">
        <f t="shared" si="6"/>
        <v>5.5996081364331429E-2</v>
      </c>
      <c r="AR17" s="41">
        <f t="shared" si="7"/>
        <v>0.1280560179908814</v>
      </c>
      <c r="AS17" s="41">
        <f t="shared" si="8"/>
        <v>0.1368896991894657</v>
      </c>
      <c r="AT17" s="41">
        <f t="shared" si="9"/>
        <v>0.17756484341554524</v>
      </c>
      <c r="AU17" s="41">
        <f t="shared" si="10"/>
        <v>0.16635694674079171</v>
      </c>
      <c r="AV17" s="41">
        <f t="shared" si="11"/>
        <v>0.154244201293672</v>
      </c>
      <c r="AW17" s="41">
        <f t="shared" si="12"/>
        <v>0.19125010767433981</v>
      </c>
      <c r="AX17" s="41">
        <f t="shared" si="13"/>
        <v>0.10200244900259792</v>
      </c>
      <c r="AY17" s="41">
        <f t="shared" si="14"/>
        <v>5.5434711793735492E-2</v>
      </c>
      <c r="AZ17" s="41">
        <f t="shared" si="15"/>
        <v>4.7815908893732662E-2</v>
      </c>
      <c r="BA17" s="41">
        <f t="shared" si="16"/>
        <v>9.1306759368677159E-2</v>
      </c>
      <c r="BB17" s="41">
        <f t="shared" si="17"/>
        <v>6.9057297409998775E-2</v>
      </c>
      <c r="BC17" s="41">
        <f t="shared" si="18"/>
        <v>0.13970092879677387</v>
      </c>
      <c r="BD17" s="41">
        <f t="shared" si="19"/>
        <v>0.12329528311501603</v>
      </c>
      <c r="BE17" s="41">
        <f t="shared" si="20"/>
        <v>8.754689944365901E-2</v>
      </c>
      <c r="BF17" s="41">
        <f t="shared" si="21"/>
        <v>0.10514187522989671</v>
      </c>
      <c r="BG17" s="41">
        <f t="shared" si="22"/>
        <v>8.6654864759732275E-2</v>
      </c>
      <c r="BH17" s="41">
        <f t="shared" si="23"/>
        <v>4.6927884715214141E-2</v>
      </c>
      <c r="BI17" s="41">
        <f t="shared" si="24"/>
        <v>8.0732516417303835E-2</v>
      </c>
      <c r="BJ17" s="41">
        <f t="shared" si="25"/>
        <v>0.10925307757469271</v>
      </c>
      <c r="BK17" s="41">
        <f t="shared" si="26"/>
        <v>8.1663693809543636E-2</v>
      </c>
    </row>
    <row r="18" spans="1:63" ht="14.25" customHeight="1">
      <c r="A18" s="34"/>
      <c r="B18" s="35"/>
      <c r="C18" s="36"/>
      <c r="D18" s="37"/>
      <c r="E18" s="37"/>
      <c r="F18" s="37"/>
      <c r="G18" s="35"/>
      <c r="H18" s="36"/>
      <c r="I18" s="37"/>
      <c r="J18" s="37"/>
      <c r="K18" s="37"/>
      <c r="L18" s="35"/>
      <c r="M18" s="36"/>
      <c r="N18" s="37"/>
      <c r="O18" s="37"/>
      <c r="P18" s="37"/>
      <c r="Q18" s="35"/>
      <c r="R18" s="36"/>
      <c r="S18" s="37"/>
      <c r="T18" s="37"/>
      <c r="U18" s="37"/>
      <c r="V18" s="35"/>
      <c r="W18" s="37"/>
      <c r="AA18" s="35"/>
      <c r="AB18" s="37"/>
      <c r="AC18" s="37"/>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row>
    <row r="19" spans="1:63">
      <c r="A19" s="21" t="s">
        <v>135</v>
      </c>
      <c r="B19" s="35"/>
      <c r="C19" s="36"/>
      <c r="D19" s="37"/>
      <c r="E19" s="37"/>
      <c r="F19" s="37"/>
      <c r="G19" s="35"/>
      <c r="H19" s="36"/>
      <c r="I19" s="37"/>
      <c r="J19" s="37"/>
      <c r="K19" s="37"/>
      <c r="L19" s="35"/>
      <c r="M19" s="36"/>
      <c r="N19" s="37"/>
      <c r="O19" s="37"/>
      <c r="P19" s="37"/>
      <c r="Q19" s="35"/>
      <c r="R19" s="36"/>
      <c r="S19" s="37"/>
      <c r="T19" s="37"/>
      <c r="U19" s="37"/>
      <c r="V19" s="35"/>
      <c r="W19" s="37"/>
      <c r="AA19" s="35"/>
      <c r="AB19" s="37"/>
      <c r="AC19" s="37"/>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row>
    <row r="20" spans="1:63" ht="14.25" customHeight="1">
      <c r="A20" s="22" t="s">
        <v>125</v>
      </c>
      <c r="B20" s="23">
        <v>9557.6983461275304</v>
      </c>
      <c r="C20" s="24">
        <v>1787.201651796511</v>
      </c>
      <c r="D20" s="25">
        <v>3236.1542586656828</v>
      </c>
      <c r="E20" s="25">
        <v>2666.085670630704</v>
      </c>
      <c r="F20" s="25">
        <v>3306.9049646922422</v>
      </c>
      <c r="G20" s="23">
        <v>10996.34654578514</v>
      </c>
      <c r="H20" s="24">
        <v>1581.885149854138</v>
      </c>
      <c r="I20" s="25">
        <v>2554.9948097912038</v>
      </c>
      <c r="J20" s="25">
        <v>2824.2093705676589</v>
      </c>
      <c r="K20" s="25">
        <v>3556.973670117</v>
      </c>
      <c r="L20" s="23">
        <v>10518.063000329999</v>
      </c>
      <c r="M20" s="24">
        <v>1514.171</v>
      </c>
      <c r="N20" s="25">
        <v>2707.1047059399998</v>
      </c>
      <c r="O20" s="25">
        <v>2803.849294059999</v>
      </c>
      <c r="P20" s="25">
        <v>3479.700996900001</v>
      </c>
      <c r="Q20" s="23">
        <v>10504.825996899999</v>
      </c>
      <c r="R20" s="24">
        <v>1584.2619713600011</v>
      </c>
      <c r="S20" s="25">
        <v>2698.1080562400002</v>
      </c>
      <c r="T20" s="25">
        <v>2696.4982948500001</v>
      </c>
      <c r="U20" s="25">
        <v>3345.03008469</v>
      </c>
      <c r="V20" s="23">
        <v>10323.898407139999</v>
      </c>
      <c r="W20" s="25">
        <v>1604.2</v>
      </c>
      <c r="X20" s="25">
        <v>2866.7</v>
      </c>
      <c r="Y20" s="25">
        <v>2805.2</v>
      </c>
      <c r="Z20" s="25">
        <v>3438.2</v>
      </c>
      <c r="AA20" s="23">
        <v>10714.3</v>
      </c>
      <c r="AB20" s="25">
        <v>1427.9</v>
      </c>
      <c r="AC20" s="25">
        <v>2618.6999999999994</v>
      </c>
      <c r="AD20" s="25">
        <v>2917.5</v>
      </c>
      <c r="AE20" s="25">
        <v>3560.2000000000003</v>
      </c>
      <c r="AF20" s="25">
        <f>+SUM(AB20:AE20)</f>
        <v>10524.3</v>
      </c>
      <c r="AH20" s="40"/>
      <c r="AI20" s="40"/>
      <c r="AJ20" s="40"/>
      <c r="AK20" s="40"/>
      <c r="AL20" s="40">
        <f t="shared" si="1"/>
        <v>0.15052245295442956</v>
      </c>
      <c r="AM20" s="40">
        <f t="shared" si="2"/>
        <v>-0.11488155336919426</v>
      </c>
      <c r="AN20" s="40">
        <f t="shared" si="3"/>
        <v>-0.21048423357770707</v>
      </c>
      <c r="AO20" s="40">
        <f t="shared" si="4"/>
        <v>5.930930940398027E-2</v>
      </c>
      <c r="AP20" s="40">
        <f t="shared" si="5"/>
        <v>7.5620166921860799E-2</v>
      </c>
      <c r="AQ20" s="40">
        <f t="shared" si="6"/>
        <v>-4.3494768327255406E-2</v>
      </c>
      <c r="AR20" s="40">
        <f t="shared" si="7"/>
        <v>-4.2805983645767043E-2</v>
      </c>
      <c r="AS20" s="40">
        <f t="shared" si="8"/>
        <v>5.9534326866686138E-2</v>
      </c>
      <c r="AT20" s="40">
        <f t="shared" si="9"/>
        <v>-7.2091243375371761E-3</v>
      </c>
      <c r="AU20" s="40">
        <f t="shared" si="10"/>
        <v>-2.172427473000027E-2</v>
      </c>
      <c r="AV20" s="40">
        <f t="shared" si="11"/>
        <v>-1.2585020102641176E-3</v>
      </c>
      <c r="AW20" s="40">
        <f t="shared" si="12"/>
        <v>4.6289997206392819E-2</v>
      </c>
      <c r="AX20" s="40">
        <f t="shared" si="13"/>
        <v>-3.3233475159859527E-3</v>
      </c>
      <c r="AY20" s="40">
        <f t="shared" si="14"/>
        <v>-3.8287007592534894E-2</v>
      </c>
      <c r="AZ20" s="40">
        <f t="shared" si="15"/>
        <v>-3.8701863272153747E-2</v>
      </c>
      <c r="BA20" s="40">
        <f t="shared" si="16"/>
        <v>-1.7223282880972302E-2</v>
      </c>
      <c r="BB20" s="40">
        <f t="shared" si="17"/>
        <v>1.2585057901051133E-2</v>
      </c>
      <c r="BC20" s="40">
        <f t="shared" si="18"/>
        <v>6.2485245307389192E-2</v>
      </c>
      <c r="BD20" s="40">
        <f t="shared" si="19"/>
        <v>4.0312172775190502E-2</v>
      </c>
      <c r="BE20" s="40">
        <f t="shared" si="20"/>
        <v>2.7853236877130927E-2</v>
      </c>
      <c r="BF20" s="40">
        <f t="shared" si="21"/>
        <v>3.7815326872066013E-2</v>
      </c>
      <c r="BG20" s="40">
        <f t="shared" si="22"/>
        <v>-0.10989901508540079</v>
      </c>
      <c r="BH20" s="40">
        <f t="shared" si="23"/>
        <v>-8.6510621969512091E-2</v>
      </c>
      <c r="BI20" s="40">
        <f t="shared" si="24"/>
        <v>4.0032796235562662E-2</v>
      </c>
      <c r="BJ20" s="40">
        <f t="shared" si="25"/>
        <v>3.5483683322669046E-2</v>
      </c>
      <c r="BK20" s="40">
        <f t="shared" si="26"/>
        <v>-1.7733309688920396E-2</v>
      </c>
    </row>
    <row r="21" spans="1:63" ht="14.25" customHeight="1">
      <c r="A21" s="22" t="s">
        <v>126</v>
      </c>
      <c r="B21" s="23">
        <v>559.33692508000013</v>
      </c>
      <c r="C21" s="24">
        <v>147.38669761</v>
      </c>
      <c r="D21" s="25">
        <v>174.53979450099999</v>
      </c>
      <c r="E21" s="25">
        <v>189.34352157800009</v>
      </c>
      <c r="F21" s="25">
        <v>196.62706148799981</v>
      </c>
      <c r="G21" s="23">
        <v>707.89707517699992</v>
      </c>
      <c r="H21" s="24">
        <v>244.35183340699999</v>
      </c>
      <c r="I21" s="25">
        <v>271.12273276399992</v>
      </c>
      <c r="J21" s="25">
        <v>306.28749781800002</v>
      </c>
      <c r="K21" s="25">
        <v>328.46393600699997</v>
      </c>
      <c r="L21" s="23">
        <v>1150.2259999959999</v>
      </c>
      <c r="M21" s="24">
        <v>283.3</v>
      </c>
      <c r="N21" s="25">
        <v>329.89902735760029</v>
      </c>
      <c r="O21" s="25">
        <v>335.1851250813238</v>
      </c>
      <c r="P21" s="25">
        <v>429.76352753833169</v>
      </c>
      <c r="Q21" s="23">
        <v>1378.1476799772561</v>
      </c>
      <c r="R21" s="24">
        <v>396.82120354459988</v>
      </c>
      <c r="S21" s="25">
        <v>462.50568056930001</v>
      </c>
      <c r="T21" s="25">
        <v>398.03464178120021</v>
      </c>
      <c r="U21" s="25">
        <v>403.00249478960052</v>
      </c>
      <c r="V21" s="23">
        <v>1660.364020684701</v>
      </c>
      <c r="W21" s="25">
        <v>329.5</v>
      </c>
      <c r="X21" s="25">
        <v>365.4</v>
      </c>
      <c r="Y21" s="25">
        <v>412.9</v>
      </c>
      <c r="Z21" s="25">
        <v>514.20000000000005</v>
      </c>
      <c r="AA21" s="23">
        <v>1622</v>
      </c>
      <c r="AB21" s="25">
        <v>361.3</v>
      </c>
      <c r="AC21" s="25">
        <v>413.79999999999995</v>
      </c>
      <c r="AD21" s="25">
        <v>498.8</v>
      </c>
      <c r="AE21" s="25">
        <v>529.99999999999989</v>
      </c>
      <c r="AF21" s="25">
        <f t="shared" ref="AF21:AF30" si="27">+SUM(AB21:AE21)</f>
        <v>1803.8999999999996</v>
      </c>
      <c r="AH21" s="40"/>
      <c r="AI21" s="40"/>
      <c r="AJ21" s="40"/>
      <c r="AK21" s="40"/>
      <c r="AL21" s="40">
        <f t="shared" si="1"/>
        <v>0.26560046983444141</v>
      </c>
      <c r="AM21" s="40">
        <f t="shared" si="2"/>
        <v>0.65789611524901304</v>
      </c>
      <c r="AN21" s="40">
        <f t="shared" si="3"/>
        <v>0.55335769438210591</v>
      </c>
      <c r="AO21" s="40">
        <f t="shared" si="4"/>
        <v>0.61762861103132516</v>
      </c>
      <c r="AP21" s="40">
        <f t="shared" si="5"/>
        <v>0.67049201427976479</v>
      </c>
      <c r="AQ21" s="40">
        <f t="shared" si="6"/>
        <v>0.62484920524414056</v>
      </c>
      <c r="AR21" s="40">
        <f t="shared" si="7"/>
        <v>0.15939379725515201</v>
      </c>
      <c r="AS21" s="40">
        <f t="shared" si="8"/>
        <v>0.21678851490761009</v>
      </c>
      <c r="AT21" s="40">
        <f t="shared" si="9"/>
        <v>9.4348047077308816E-2</v>
      </c>
      <c r="AU21" s="40">
        <f t="shared" si="10"/>
        <v>0.30840399942468233</v>
      </c>
      <c r="AV21" s="40">
        <f t="shared" si="11"/>
        <v>0.19815382366773893</v>
      </c>
      <c r="AW21" s="40">
        <f t="shared" si="12"/>
        <v>0.40071021371196558</v>
      </c>
      <c r="AX21" s="40">
        <f t="shared" si="13"/>
        <v>0.40196133427201119</v>
      </c>
      <c r="AY21" s="40">
        <f t="shared" si="14"/>
        <v>0.18750687902581475</v>
      </c>
      <c r="AZ21" s="40">
        <f t="shared" si="15"/>
        <v>-6.2269203955061747E-2</v>
      </c>
      <c r="BA21" s="40">
        <f t="shared" si="16"/>
        <v>0.2047794621778869</v>
      </c>
      <c r="BB21" s="40">
        <f t="shared" si="17"/>
        <v>-0.16965122564836299</v>
      </c>
      <c r="BC21" s="40">
        <f t="shared" si="18"/>
        <v>-0.20995564951715251</v>
      </c>
      <c r="BD21" s="40">
        <f t="shared" si="19"/>
        <v>3.7346895617621279E-2</v>
      </c>
      <c r="BE21" s="40">
        <f t="shared" si="20"/>
        <v>0.27592262243551002</v>
      </c>
      <c r="BF21" s="40">
        <f t="shared" si="21"/>
        <v>-2.3105788975649078E-2</v>
      </c>
      <c r="BG21" s="40">
        <f t="shared" si="22"/>
        <v>9.6509863429438569E-2</v>
      </c>
      <c r="BH21" s="40">
        <f t="shared" si="23"/>
        <v>0.13245758073344271</v>
      </c>
      <c r="BI21" s="40">
        <f t="shared" si="24"/>
        <v>0.20804068781787377</v>
      </c>
      <c r="BJ21" s="40">
        <f t="shared" si="25"/>
        <v>3.0727343446129707E-2</v>
      </c>
      <c r="BK21" s="40">
        <f t="shared" si="26"/>
        <v>0.11214549938347695</v>
      </c>
    </row>
    <row r="22" spans="1:63" ht="14.25" customHeight="1">
      <c r="A22" s="22" t="s">
        <v>127</v>
      </c>
      <c r="B22" s="23">
        <v>721.94036718999996</v>
      </c>
      <c r="C22" s="24">
        <v>138.43412548799989</v>
      </c>
      <c r="D22" s="25">
        <v>227.47446721300011</v>
      </c>
      <c r="E22" s="25">
        <v>293.35772429999992</v>
      </c>
      <c r="F22" s="25">
        <v>242.69958820700009</v>
      </c>
      <c r="G22" s="23">
        <v>901.96590520799987</v>
      </c>
      <c r="H22" s="24">
        <v>243.1302864243963</v>
      </c>
      <c r="I22" s="25">
        <v>291.4901740669128</v>
      </c>
      <c r="J22" s="25">
        <v>287.71405096799998</v>
      </c>
      <c r="K22" s="25">
        <v>209.68637124599991</v>
      </c>
      <c r="L22" s="23">
        <v>1032.0208827053091</v>
      </c>
      <c r="M22" s="24">
        <v>245.335587441</v>
      </c>
      <c r="N22" s="25">
        <v>264.98463096199998</v>
      </c>
      <c r="O22" s="25">
        <v>238.25424184999989</v>
      </c>
      <c r="P22" s="25">
        <v>328.19437787099997</v>
      </c>
      <c r="Q22" s="23">
        <v>1076.768838124</v>
      </c>
      <c r="R22" s="24">
        <v>340.46265808800001</v>
      </c>
      <c r="S22" s="25">
        <v>294.31073846899977</v>
      </c>
      <c r="T22" s="25">
        <v>423.33908121799999</v>
      </c>
      <c r="U22" s="25">
        <v>379.10340263100898</v>
      </c>
      <c r="V22" s="23">
        <v>1437.2158804060091</v>
      </c>
      <c r="W22" s="25">
        <v>294.89999999999998</v>
      </c>
      <c r="X22" s="25">
        <v>293.60000000000002</v>
      </c>
      <c r="Y22" s="25">
        <v>371.2</v>
      </c>
      <c r="Z22" s="25">
        <v>543.89999999999986</v>
      </c>
      <c r="AA22" s="23">
        <v>1503.6</v>
      </c>
      <c r="AB22" s="25">
        <v>367.4</v>
      </c>
      <c r="AC22" s="25">
        <v>466</v>
      </c>
      <c r="AD22" s="25">
        <v>548</v>
      </c>
      <c r="AE22" s="25">
        <v>734.9</v>
      </c>
      <c r="AF22" s="25">
        <f t="shared" si="27"/>
        <v>2116.3000000000002</v>
      </c>
      <c r="AH22" s="40"/>
      <c r="AI22" s="40"/>
      <c r="AJ22" s="40"/>
      <c r="AK22" s="40"/>
      <c r="AL22" s="40">
        <f t="shared" si="1"/>
        <v>0.2493634463448986</v>
      </c>
      <c r="AM22" s="40">
        <f t="shared" si="2"/>
        <v>0.75628867208376271</v>
      </c>
      <c r="AN22" s="40">
        <f t="shared" si="3"/>
        <v>0.28141930669506898</v>
      </c>
      <c r="AO22" s="40">
        <f t="shared" si="4"/>
        <v>-1.9238195774345712E-2</v>
      </c>
      <c r="AP22" s="40">
        <f t="shared" si="5"/>
        <v>-0.1360250225593419</v>
      </c>
      <c r="AQ22" s="40">
        <f t="shared" si="6"/>
        <v>0.14419056945097886</v>
      </c>
      <c r="AR22" s="40">
        <f t="shared" si="7"/>
        <v>9.0704496302622672E-3</v>
      </c>
      <c r="AS22" s="40">
        <f t="shared" si="8"/>
        <v>-9.0931171830266777E-2</v>
      </c>
      <c r="AT22" s="40">
        <f t="shared" si="9"/>
        <v>-0.17190613024144963</v>
      </c>
      <c r="AU22" s="40">
        <f t="shared" si="10"/>
        <v>0.56516790252414073</v>
      </c>
      <c r="AV22" s="40">
        <f t="shared" si="11"/>
        <v>4.3359544529166794E-2</v>
      </c>
      <c r="AW22" s="40">
        <f t="shared" si="12"/>
        <v>0.38774264932060376</v>
      </c>
      <c r="AX22" s="40">
        <f t="shared" si="13"/>
        <v>0.11067097514498969</v>
      </c>
      <c r="AY22" s="40">
        <f t="shared" si="14"/>
        <v>0.77683754098500302</v>
      </c>
      <c r="AZ22" s="40">
        <f t="shared" si="15"/>
        <v>0.15511851571089164</v>
      </c>
      <c r="BA22" s="40">
        <f t="shared" si="16"/>
        <v>0.33474876827787647</v>
      </c>
      <c r="BB22" s="40">
        <f t="shared" si="17"/>
        <v>-0.1338257133509877</v>
      </c>
      <c r="BC22" s="40">
        <f t="shared" si="18"/>
        <v>-2.4149253700255224E-3</v>
      </c>
      <c r="BD22" s="40">
        <f t="shared" si="19"/>
        <v>-0.12316151173189416</v>
      </c>
      <c r="BE22" s="40">
        <f t="shared" si="20"/>
        <v>0.43470091860238891</v>
      </c>
      <c r="BF22" s="40">
        <f t="shared" si="21"/>
        <v>4.6189386367786023E-2</v>
      </c>
      <c r="BG22" s="40">
        <f t="shared" si="22"/>
        <v>0.24584604950830791</v>
      </c>
      <c r="BH22" s="40">
        <f t="shared" si="23"/>
        <v>0.58719346049046317</v>
      </c>
      <c r="BI22" s="40">
        <f t="shared" si="24"/>
        <v>0.4762931034482758</v>
      </c>
      <c r="BJ22" s="40">
        <f t="shared" si="25"/>
        <v>0.35116749402463721</v>
      </c>
      <c r="BK22" s="40">
        <f t="shared" si="26"/>
        <v>0.40748869380154318</v>
      </c>
    </row>
    <row r="23" spans="1:63" ht="14.25" customHeight="1">
      <c r="A23" s="22" t="s">
        <v>25</v>
      </c>
      <c r="B23" s="23">
        <v>518.30862772072487</v>
      </c>
      <c r="C23" s="24">
        <v>47.669942082357842</v>
      </c>
      <c r="D23" s="25">
        <v>158.77676407115439</v>
      </c>
      <c r="E23" s="25">
        <v>148.39577966647599</v>
      </c>
      <c r="F23" s="25">
        <v>221.8362987735251</v>
      </c>
      <c r="G23" s="23">
        <v>576.67878459351334</v>
      </c>
      <c r="H23" s="24">
        <v>55.278122222113119</v>
      </c>
      <c r="I23" s="25">
        <v>159.67111186364019</v>
      </c>
      <c r="J23" s="25">
        <v>157.8430296184402</v>
      </c>
      <c r="K23" s="25">
        <v>251.57012029580619</v>
      </c>
      <c r="L23" s="23">
        <v>624.36238399999979</v>
      </c>
      <c r="M23" s="24">
        <v>49.064933999999987</v>
      </c>
      <c r="N23" s="25">
        <v>173.65027099999989</v>
      </c>
      <c r="O23" s="25">
        <v>160.086119</v>
      </c>
      <c r="P23" s="25">
        <v>265.82688000000002</v>
      </c>
      <c r="Q23" s="23">
        <v>648.62820399999987</v>
      </c>
      <c r="R23" s="24">
        <v>22.534839000000051</v>
      </c>
      <c r="S23" s="25">
        <v>131.94676899999999</v>
      </c>
      <c r="T23" s="25">
        <v>35.136932000000002</v>
      </c>
      <c r="U23" s="25">
        <v>1.1000000000000001</v>
      </c>
      <c r="V23" s="23">
        <v>190.7</v>
      </c>
      <c r="W23" s="25">
        <v>24.7</v>
      </c>
      <c r="X23" s="25">
        <v>132.80000000000001</v>
      </c>
      <c r="Y23" s="25">
        <v>91.5</v>
      </c>
      <c r="Z23" s="25">
        <v>176.3</v>
      </c>
      <c r="AA23" s="23">
        <v>425.3</v>
      </c>
      <c r="AB23" s="25">
        <v>19.899999999999999</v>
      </c>
      <c r="AC23" s="25">
        <v>151.7999999999999</v>
      </c>
      <c r="AD23" s="25">
        <v>121.9</v>
      </c>
      <c r="AE23" s="25">
        <v>158.99999999999994</v>
      </c>
      <c r="AF23" s="25">
        <f t="shared" si="27"/>
        <v>452.59999999999985</v>
      </c>
      <c r="AH23" s="40"/>
      <c r="AI23" s="40"/>
      <c r="AJ23" s="40"/>
      <c r="AK23" s="40"/>
      <c r="AL23" s="40">
        <f t="shared" si="1"/>
        <v>0.11261660283270358</v>
      </c>
      <c r="AM23" s="40">
        <f t="shared" si="2"/>
        <v>0.15960120376506581</v>
      </c>
      <c r="AN23" s="40">
        <f t="shared" si="3"/>
        <v>5.632737244128494E-3</v>
      </c>
      <c r="AO23" s="40">
        <f t="shared" si="4"/>
        <v>6.3662524454517477E-2</v>
      </c>
      <c r="AP23" s="40">
        <f t="shared" si="5"/>
        <v>0.13403496941966497</v>
      </c>
      <c r="AQ23" s="40">
        <f t="shared" si="6"/>
        <v>8.2686585115312461E-2</v>
      </c>
      <c r="AR23" s="40">
        <f t="shared" si="7"/>
        <v>-0.11239868454915869</v>
      </c>
      <c r="AS23" s="40">
        <f t="shared" si="8"/>
        <v>8.7549707478068894E-2</v>
      </c>
      <c r="AT23" s="40">
        <f t="shared" si="9"/>
        <v>1.4210886517967314E-2</v>
      </c>
      <c r="AU23" s="40">
        <f t="shared" si="10"/>
        <v>5.667111693324367E-2</v>
      </c>
      <c r="AV23" s="40">
        <f t="shared" si="11"/>
        <v>3.8864961474040616E-2</v>
      </c>
      <c r="AW23" s="40">
        <f t="shared" si="12"/>
        <v>-0.54071396488579693</v>
      </c>
      <c r="AX23" s="40">
        <f t="shared" si="13"/>
        <v>-0.24015800125068576</v>
      </c>
      <c r="AY23" s="40">
        <f t="shared" si="14"/>
        <v>-0.78051231287579648</v>
      </c>
      <c r="AZ23" s="40">
        <f t="shared" si="15"/>
        <v>-0.99586196851123554</v>
      </c>
      <c r="BA23" s="40">
        <f t="shared" si="16"/>
        <v>-0.70599489996891962</v>
      </c>
      <c r="BB23" s="40">
        <f t="shared" si="17"/>
        <v>9.6080606566567583E-2</v>
      </c>
      <c r="BC23" s="40">
        <f t="shared" si="18"/>
        <v>6.4664789177220072E-3</v>
      </c>
      <c r="BD23" s="40">
        <f t="shared" si="19"/>
        <v>1.6040975916736269</v>
      </c>
      <c r="BE23" s="40">
        <f t="shared" si="20"/>
        <v>159.27272727272728</v>
      </c>
      <c r="BF23" s="40">
        <f t="shared" si="21"/>
        <v>1.2302045097011014</v>
      </c>
      <c r="BG23" s="40">
        <f t="shared" si="22"/>
        <v>-0.19433198380566807</v>
      </c>
      <c r="BH23" s="40">
        <f t="shared" si="23"/>
        <v>0.14307228915662562</v>
      </c>
      <c r="BI23" s="40">
        <f t="shared" si="24"/>
        <v>0.33224043715846996</v>
      </c>
      <c r="BJ23" s="40">
        <f t="shared" si="25"/>
        <v>-9.8128190584231834E-2</v>
      </c>
      <c r="BK23" s="40">
        <f t="shared" si="26"/>
        <v>6.418998354102956E-2</v>
      </c>
    </row>
    <row r="24" spans="1:63" ht="14.25" customHeight="1">
      <c r="A24" s="22" t="s">
        <v>128</v>
      </c>
      <c r="B24" s="23">
        <v>2717.2501114000002</v>
      </c>
      <c r="C24" s="24">
        <v>837</v>
      </c>
      <c r="D24" s="25">
        <v>904.5</v>
      </c>
      <c r="E24" s="25">
        <v>990.3</v>
      </c>
      <c r="F24" s="25">
        <v>957.6</v>
      </c>
      <c r="G24" s="23">
        <v>3689.4</v>
      </c>
      <c r="H24" s="24">
        <v>991.7</v>
      </c>
      <c r="I24" s="25">
        <v>1023.5</v>
      </c>
      <c r="J24" s="25">
        <v>1003.7</v>
      </c>
      <c r="K24" s="25">
        <v>1019.3</v>
      </c>
      <c r="L24" s="23">
        <v>4038.2</v>
      </c>
      <c r="M24" s="24">
        <v>1080.4000000000001</v>
      </c>
      <c r="N24" s="25">
        <v>1130.4000000000001</v>
      </c>
      <c r="O24" s="25">
        <v>1120.2</v>
      </c>
      <c r="P24" s="25">
        <v>1085.7</v>
      </c>
      <c r="Q24" s="23">
        <v>4416.7</v>
      </c>
      <c r="R24" s="24">
        <v>1110.5999999999999</v>
      </c>
      <c r="S24" s="25">
        <v>1142.2</v>
      </c>
      <c r="T24" s="25">
        <v>1081.5999999999999</v>
      </c>
      <c r="U24" s="25">
        <v>1144.3</v>
      </c>
      <c r="V24" s="23">
        <v>4478.8</v>
      </c>
      <c r="W24" s="25">
        <v>1116.8</v>
      </c>
      <c r="X24" s="25">
        <v>1285.4000000000001</v>
      </c>
      <c r="Y24" s="25">
        <v>1398.3</v>
      </c>
      <c r="Z24" s="25">
        <v>1274</v>
      </c>
      <c r="AA24" s="23">
        <v>5074.5</v>
      </c>
      <c r="AB24" s="25">
        <v>1425.5</v>
      </c>
      <c r="AC24" s="25">
        <v>1496.4</v>
      </c>
      <c r="AD24" s="25">
        <v>1457.4</v>
      </c>
      <c r="AE24" s="25">
        <v>1410.8999999999999</v>
      </c>
      <c r="AF24" s="25">
        <f t="shared" si="27"/>
        <v>5790.2</v>
      </c>
      <c r="AH24" s="40"/>
      <c r="AI24" s="40"/>
      <c r="AJ24" s="40"/>
      <c r="AK24" s="40"/>
      <c r="AL24" s="40">
        <f t="shared" si="1"/>
        <v>0.35776974836487252</v>
      </c>
      <c r="AM24" s="40">
        <f t="shared" si="2"/>
        <v>0.18482676224611705</v>
      </c>
      <c r="AN24" s="40">
        <f t="shared" si="3"/>
        <v>0.13156440022111671</v>
      </c>
      <c r="AO24" s="40">
        <f t="shared" si="4"/>
        <v>1.3531253155609546E-2</v>
      </c>
      <c r="AP24" s="40">
        <f t="shared" si="5"/>
        <v>6.4431913116123507E-2</v>
      </c>
      <c r="AQ24" s="40">
        <f t="shared" si="6"/>
        <v>9.4541117796931751E-2</v>
      </c>
      <c r="AR24" s="40">
        <f t="shared" si="7"/>
        <v>8.9442371684985478E-2</v>
      </c>
      <c r="AS24" s="40">
        <f t="shared" si="8"/>
        <v>0.10444553004396684</v>
      </c>
      <c r="AT24" s="40">
        <f t="shared" si="9"/>
        <v>0.11607053900567887</v>
      </c>
      <c r="AU24" s="40">
        <f t="shared" si="10"/>
        <v>6.5142745021093074E-2</v>
      </c>
      <c r="AV24" s="40">
        <f t="shared" si="11"/>
        <v>9.3729879649348646E-2</v>
      </c>
      <c r="AW24" s="40">
        <f t="shared" si="12"/>
        <v>2.7952610144390766E-2</v>
      </c>
      <c r="AX24" s="40">
        <f t="shared" si="13"/>
        <v>1.0438782731776231E-2</v>
      </c>
      <c r="AY24" s="40">
        <f t="shared" si="14"/>
        <v>-3.4458132476343661E-2</v>
      </c>
      <c r="AZ24" s="40">
        <f t="shared" si="15"/>
        <v>5.397439439992624E-2</v>
      </c>
      <c r="BA24" s="40">
        <f t="shared" si="16"/>
        <v>1.4060271243236055E-2</v>
      </c>
      <c r="BB24" s="40">
        <f t="shared" si="17"/>
        <v>5.5825679812713247E-3</v>
      </c>
      <c r="BC24" s="40">
        <f t="shared" si="18"/>
        <v>0.12537208895114693</v>
      </c>
      <c r="BD24" s="40">
        <f t="shared" si="19"/>
        <v>0.29280695266272194</v>
      </c>
      <c r="BE24" s="40">
        <f t="shared" si="20"/>
        <v>0.11334440269160195</v>
      </c>
      <c r="BF24" s="40">
        <f t="shared" si="21"/>
        <v>0.13300437617218885</v>
      </c>
      <c r="BG24" s="40">
        <f t="shared" si="22"/>
        <v>0.27641475644699143</v>
      </c>
      <c r="BH24" s="40">
        <f t="shared" si="23"/>
        <v>0.16415123696903677</v>
      </c>
      <c r="BI24" s="40">
        <f t="shared" si="24"/>
        <v>4.2265608238575503E-2</v>
      </c>
      <c r="BJ24" s="40">
        <f t="shared" si="25"/>
        <v>0.10745682888540031</v>
      </c>
      <c r="BK24" s="40">
        <f t="shared" si="26"/>
        <v>0.14103852596314903</v>
      </c>
    </row>
    <row r="25" spans="1:63" ht="14.25" customHeight="1">
      <c r="A25" s="22" t="s">
        <v>129</v>
      </c>
      <c r="B25" s="23">
        <v>528.70000000000005</v>
      </c>
      <c r="C25" s="24">
        <v>167.2</v>
      </c>
      <c r="D25" s="25">
        <v>223.6</v>
      </c>
      <c r="E25" s="25">
        <v>219.7</v>
      </c>
      <c r="F25" s="25">
        <v>237.2</v>
      </c>
      <c r="G25" s="23">
        <v>847.7</v>
      </c>
      <c r="H25" s="24">
        <v>207.4</v>
      </c>
      <c r="I25" s="25">
        <v>233.4</v>
      </c>
      <c r="J25" s="25">
        <v>223.3</v>
      </c>
      <c r="K25" s="25">
        <v>283.10000000000002</v>
      </c>
      <c r="L25" s="23">
        <v>947.2</v>
      </c>
      <c r="M25" s="24">
        <v>327.7</v>
      </c>
      <c r="N25" s="25">
        <v>449.9</v>
      </c>
      <c r="O25" s="25">
        <v>674.6</v>
      </c>
      <c r="P25" s="25">
        <v>682.2</v>
      </c>
      <c r="Q25" s="23">
        <v>2134.4</v>
      </c>
      <c r="R25" s="24">
        <v>679.64</v>
      </c>
      <c r="S25" s="25">
        <v>753.7</v>
      </c>
      <c r="T25" s="25">
        <v>751.8</v>
      </c>
      <c r="U25" s="25">
        <v>786.9</v>
      </c>
      <c r="V25" s="23">
        <v>2972.04</v>
      </c>
      <c r="W25" s="25">
        <v>907.10308999999972</v>
      </c>
      <c r="X25" s="25">
        <v>959.6</v>
      </c>
      <c r="Y25" s="25">
        <v>946.5</v>
      </c>
      <c r="Z25" s="25">
        <v>1093.9969099999998</v>
      </c>
      <c r="AA25" s="23">
        <v>3907.2</v>
      </c>
      <c r="AB25" s="25">
        <v>1068.0999999999999</v>
      </c>
      <c r="AC25" s="25">
        <v>1104.4999999999995</v>
      </c>
      <c r="AD25" s="25">
        <v>1197.5</v>
      </c>
      <c r="AE25" s="25">
        <v>1398.1</v>
      </c>
      <c r="AF25" s="25">
        <f t="shared" si="27"/>
        <v>4768.1999999999989</v>
      </c>
      <c r="AH25" s="40"/>
      <c r="AI25" s="40"/>
      <c r="AJ25" s="40"/>
      <c r="AK25" s="40"/>
      <c r="AL25" s="40">
        <f t="shared" si="1"/>
        <v>0.60336674862871198</v>
      </c>
      <c r="AM25" s="40">
        <f t="shared" si="2"/>
        <v>0.24043062200956955</v>
      </c>
      <c r="AN25" s="40">
        <f t="shared" si="3"/>
        <v>4.3828264758497326E-2</v>
      </c>
      <c r="AO25" s="40">
        <f t="shared" si="4"/>
        <v>1.6385980883022455E-2</v>
      </c>
      <c r="AP25" s="40">
        <f t="shared" si="5"/>
        <v>0.19350758853288386</v>
      </c>
      <c r="AQ25" s="40">
        <f t="shared" si="6"/>
        <v>0.1173764303409226</v>
      </c>
      <c r="AR25" s="40">
        <f t="shared" si="7"/>
        <v>0.58003857280617166</v>
      </c>
      <c r="AS25" s="40">
        <f t="shared" si="8"/>
        <v>0.92759211653813178</v>
      </c>
      <c r="AT25" s="40">
        <f t="shared" si="9"/>
        <v>2.0210479175996419</v>
      </c>
      <c r="AU25" s="40">
        <f t="shared" si="10"/>
        <v>1.4097492052278349</v>
      </c>
      <c r="AV25" s="40">
        <f t="shared" si="11"/>
        <v>1.2533783783783785</v>
      </c>
      <c r="AW25" s="40">
        <f t="shared" si="12"/>
        <v>1.0739700945987183</v>
      </c>
      <c r="AX25" s="40">
        <f t="shared" si="13"/>
        <v>0.67526116914869982</v>
      </c>
      <c r="AY25" s="40">
        <f t="shared" si="14"/>
        <v>0.11443818559146157</v>
      </c>
      <c r="AZ25" s="40">
        <f t="shared" si="15"/>
        <v>0.1534740545294635</v>
      </c>
      <c r="BA25" s="40">
        <f t="shared" si="16"/>
        <v>0.39244752623688139</v>
      </c>
      <c r="BB25" s="40">
        <f t="shared" si="17"/>
        <v>0.3346817285621797</v>
      </c>
      <c r="BC25" s="40">
        <f t="shared" si="18"/>
        <v>0.27318561761974247</v>
      </c>
      <c r="BD25" s="40">
        <f t="shared" si="19"/>
        <v>0.25897845171588196</v>
      </c>
      <c r="BE25" s="40">
        <f t="shared" si="20"/>
        <v>0.39026167238530918</v>
      </c>
      <c r="BF25" s="40">
        <f t="shared" si="21"/>
        <v>0.31465256187669066</v>
      </c>
      <c r="BG25" s="40">
        <f t="shared" si="22"/>
        <v>0.17748468919888727</v>
      </c>
      <c r="BH25" s="40">
        <f t="shared" si="23"/>
        <v>0.15100041684034959</v>
      </c>
      <c r="BI25" s="40">
        <f t="shared" si="24"/>
        <v>0.26518753301637621</v>
      </c>
      <c r="BJ25" s="40">
        <f t="shared" si="25"/>
        <v>0.27797435917803481</v>
      </c>
      <c r="BK25" s="40">
        <f t="shared" si="26"/>
        <v>0.22036240786240757</v>
      </c>
    </row>
    <row r="26" spans="1:63" ht="14.25" customHeight="1">
      <c r="A26" s="22" t="s">
        <v>130</v>
      </c>
      <c r="B26" s="31">
        <v>-131.3955416133081</v>
      </c>
      <c r="C26" s="32">
        <v>-9.762411792390715</v>
      </c>
      <c r="D26" s="33">
        <v>-35.654835380196182</v>
      </c>
      <c r="E26" s="33">
        <v>-12.943581885275391</v>
      </c>
      <c r="F26" s="33">
        <v>-102.6891074761041</v>
      </c>
      <c r="G26" s="31">
        <v>-161.04993653396639</v>
      </c>
      <c r="H26" s="32">
        <v>-82.303218855261932</v>
      </c>
      <c r="I26" s="33">
        <v>-84.747738521559228</v>
      </c>
      <c r="J26" s="33">
        <v>-11.6395419496207</v>
      </c>
      <c r="K26" s="33">
        <v>-58.707746726523169</v>
      </c>
      <c r="L26" s="31">
        <v>-237.39824605296499</v>
      </c>
      <c r="M26" s="32">
        <v>-22.61623299999999</v>
      </c>
      <c r="N26" s="33">
        <v>-1.876758907000017</v>
      </c>
      <c r="O26" s="33">
        <v>-55.294587319999998</v>
      </c>
      <c r="P26" s="33">
        <v>-162.95519730999999</v>
      </c>
      <c r="Q26" s="31">
        <v>-242.742776537</v>
      </c>
      <c r="R26" s="32">
        <v>-39.586630639999967</v>
      </c>
      <c r="S26" s="33">
        <v>-29.21436991000013</v>
      </c>
      <c r="T26" s="33">
        <v>-30.900702840000111</v>
      </c>
      <c r="U26" s="33">
        <v>-218.08146127500009</v>
      </c>
      <c r="V26" s="31">
        <v>-317.7831646650003</v>
      </c>
      <c r="W26" s="33">
        <v>-92.699592420000016</v>
      </c>
      <c r="X26" s="25">
        <v>48.1</v>
      </c>
      <c r="Y26" s="25">
        <v>-32.200000000000003</v>
      </c>
      <c r="Z26" s="25">
        <v>-107.20040757999999</v>
      </c>
      <c r="AA26" s="31">
        <v>-184</v>
      </c>
      <c r="AB26" s="33">
        <v>-65.5</v>
      </c>
      <c r="AC26" s="33">
        <v>11.500000000000032</v>
      </c>
      <c r="AD26" s="33">
        <v>2</v>
      </c>
      <c r="AE26" s="33">
        <v>-66.499999999999972</v>
      </c>
      <c r="AF26" s="33">
        <f t="shared" si="27"/>
        <v>-118.49999999999994</v>
      </c>
      <c r="AH26" s="40"/>
      <c r="AI26" s="40"/>
      <c r="AJ26" s="40"/>
      <c r="AK26" s="40"/>
      <c r="AL26" s="40">
        <f t="shared" si="1"/>
        <v>0.22568798420824665</v>
      </c>
      <c r="AM26" s="40">
        <f t="shared" si="2"/>
        <v>7.430623559581143</v>
      </c>
      <c r="AN26" s="40">
        <f t="shared" si="3"/>
        <v>1.3768932773878628</v>
      </c>
      <c r="AO26" s="40">
        <f t="shared" si="4"/>
        <v>-0.1007479959730595</v>
      </c>
      <c r="AP26" s="40">
        <f t="shared" si="5"/>
        <v>-0.4282962607286801</v>
      </c>
      <c r="AQ26" s="40">
        <f t="shared" si="6"/>
        <v>0.47406606399311624</v>
      </c>
      <c r="AR26" s="40">
        <f t="shared" si="7"/>
        <v>-0.72520840236184692</v>
      </c>
      <c r="AS26" s="40">
        <f t="shared" si="8"/>
        <v>-0.97785476120377435</v>
      </c>
      <c r="AT26" s="40">
        <f t="shared" si="9"/>
        <v>3.7505810417051588</v>
      </c>
      <c r="AU26" s="40">
        <f t="shared" si="10"/>
        <v>1.7757017837712308</v>
      </c>
      <c r="AV26" s="40">
        <f t="shared" si="11"/>
        <v>2.2512931636582634E-2</v>
      </c>
      <c r="AW26" s="40">
        <f t="shared" si="12"/>
        <v>0.75036358353754062</v>
      </c>
      <c r="AX26" s="40">
        <f t="shared" si="13"/>
        <v>14.566394703675098</v>
      </c>
      <c r="AY26" s="40">
        <f t="shared" si="14"/>
        <v>-0.44116224864520592</v>
      </c>
      <c r="AZ26" s="40">
        <f t="shared" si="15"/>
        <v>0.33829092213689838</v>
      </c>
      <c r="BA26" s="40">
        <f t="shared" si="16"/>
        <v>0.30913541156007285</v>
      </c>
      <c r="BB26" s="40">
        <f t="shared" si="17"/>
        <v>1.3416893764717757</v>
      </c>
      <c r="BC26" s="40">
        <f t="shared" si="18"/>
        <v>-2.6464500226491374</v>
      </c>
      <c r="BD26" s="40">
        <f t="shared" si="19"/>
        <v>4.2047495383114253E-2</v>
      </c>
      <c r="BE26" s="40">
        <f t="shared" si="20"/>
        <v>-0.50843869555321541</v>
      </c>
      <c r="BF26" s="40">
        <f t="shared" si="21"/>
        <v>-0.42098883622746797</v>
      </c>
      <c r="BG26" s="40">
        <f t="shared" si="22"/>
        <v>-0.29341652654485328</v>
      </c>
      <c r="BH26" s="40">
        <f t="shared" si="23"/>
        <v>-0.76091476091476029</v>
      </c>
      <c r="BI26" s="40">
        <f t="shared" si="24"/>
        <v>-1.0621118012422359</v>
      </c>
      <c r="BJ26" s="40">
        <f t="shared" si="25"/>
        <v>-0.37966653764470715</v>
      </c>
      <c r="BK26" s="40">
        <f t="shared" si="26"/>
        <v>-0.35597826086956552</v>
      </c>
    </row>
    <row r="27" spans="1:63" ht="14.25" customHeight="1">
      <c r="A27" s="27" t="s">
        <v>136</v>
      </c>
      <c r="B27" s="28">
        <v>14471.838835904948</v>
      </c>
      <c r="C27" s="29">
        <v>3115.1300051844783</v>
      </c>
      <c r="D27" s="30">
        <v>4889.3904490706418</v>
      </c>
      <c r="E27" s="30">
        <v>4494.2391142899041</v>
      </c>
      <c r="F27" s="30">
        <v>5060.1788056846626</v>
      </c>
      <c r="G27" s="28">
        <v>17558.938374229689</v>
      </c>
      <c r="H27" s="29">
        <v>3241.4421730523854</v>
      </c>
      <c r="I27" s="30">
        <v>4449.4310899641978</v>
      </c>
      <c r="J27" s="30">
        <v>4791.4144070224784</v>
      </c>
      <c r="K27" s="30">
        <v>5590.3863509392831</v>
      </c>
      <c r="L27" s="28">
        <v>18072.674020978342</v>
      </c>
      <c r="M27" s="29">
        <v>3477.3552884409996</v>
      </c>
      <c r="N27" s="30">
        <v>5054.061876352599</v>
      </c>
      <c r="O27" s="30">
        <v>5276.8801926713231</v>
      </c>
      <c r="P27" s="30">
        <v>6108.4305849993325</v>
      </c>
      <c r="Q27" s="28">
        <v>19916.727942464255</v>
      </c>
      <c r="R27" s="29">
        <v>4094.7340413526013</v>
      </c>
      <c r="S27" s="30">
        <v>5453.5568743683007</v>
      </c>
      <c r="T27" s="30">
        <v>5355.5082470092002</v>
      </c>
      <c r="U27" s="30">
        <v>5841.354520835609</v>
      </c>
      <c r="V27" s="28">
        <v>20745.235143565711</v>
      </c>
      <c r="W27" s="30">
        <v>4184.503497579999</v>
      </c>
      <c r="X27" s="30">
        <v>5951.6</v>
      </c>
      <c r="Y27" s="30">
        <f>+SUM(Y20:Y26)</f>
        <v>5993.4</v>
      </c>
      <c r="Z27" s="30">
        <v>6933.3965024199988</v>
      </c>
      <c r="AA27" s="28">
        <v>23062.899999999998</v>
      </c>
      <c r="AB27" s="30">
        <v>4604.6000000000004</v>
      </c>
      <c r="AC27" s="30">
        <f>+SUM(AC20:AC26)</f>
        <v>6262.6999999999989</v>
      </c>
      <c r="AD27" s="30">
        <f>+SUM(AD20:AD26)</f>
        <v>6743.1</v>
      </c>
      <c r="AE27" s="30">
        <f>+SUM(AE20:AE26)</f>
        <v>7726.6</v>
      </c>
      <c r="AF27" s="30">
        <f>+SUM(AF20:AF26)</f>
        <v>25337</v>
      </c>
      <c r="AH27" s="40"/>
      <c r="AI27" s="40"/>
      <c r="AJ27" s="40"/>
      <c r="AK27" s="40"/>
      <c r="AL27" s="41">
        <f t="shared" si="1"/>
        <v>0.21331771126870058</v>
      </c>
      <c r="AM27" s="41">
        <f t="shared" si="2"/>
        <v>4.0547960328360944E-2</v>
      </c>
      <c r="AN27" s="41">
        <f t="shared" si="3"/>
        <v>-8.9982455622882429E-2</v>
      </c>
      <c r="AO27" s="41">
        <f t="shared" si="4"/>
        <v>6.6123605169932764E-2</v>
      </c>
      <c r="AP27" s="41">
        <f t="shared" si="5"/>
        <v>0.10478039721817334</v>
      </c>
      <c r="AQ27" s="41">
        <f t="shared" si="6"/>
        <v>2.9257785168984585E-2</v>
      </c>
      <c r="AR27" s="41">
        <f t="shared" si="7"/>
        <v>7.2780294323887551E-2</v>
      </c>
      <c r="AS27" s="41">
        <f t="shared" si="8"/>
        <v>0.1358894596102771</v>
      </c>
      <c r="AT27" s="41">
        <f t="shared" si="9"/>
        <v>0.10131993278171225</v>
      </c>
      <c r="AU27" s="41">
        <f t="shared" si="10"/>
        <v>9.2666982483779359E-2</v>
      </c>
      <c r="AV27" s="41">
        <f t="shared" si="11"/>
        <v>0.10203547739229823</v>
      </c>
      <c r="AW27" s="41">
        <f t="shared" si="12"/>
        <v>0.17754261549396944</v>
      </c>
      <c r="AX27" s="41">
        <f t="shared" si="13"/>
        <v>7.9044342508922449E-2</v>
      </c>
      <c r="AY27" s="41">
        <f t="shared" si="14"/>
        <v>1.4900481244026986E-2</v>
      </c>
      <c r="AZ27" s="41">
        <f t="shared" si="15"/>
        <v>-4.3722534036744309E-2</v>
      </c>
      <c r="BA27" s="41">
        <f t="shared" si="16"/>
        <v>4.15985599389046E-2</v>
      </c>
      <c r="BB27" s="41">
        <f t="shared" si="17"/>
        <v>2.1923146978733765E-2</v>
      </c>
      <c r="BC27" s="41">
        <f t="shared" si="18"/>
        <v>9.132445798310096E-2</v>
      </c>
      <c r="BD27" s="41">
        <f t="shared" si="19"/>
        <v>0.11910947076722955</v>
      </c>
      <c r="BE27" s="41">
        <f t="shared" si="20"/>
        <v>0.18695012906495734</v>
      </c>
      <c r="BF27" s="41">
        <f t="shared" si="21"/>
        <v>0.11172034640220163</v>
      </c>
      <c r="BG27" s="41">
        <f t="shared" si="22"/>
        <v>0.10039339258838087</v>
      </c>
      <c r="BH27" s="41">
        <f t="shared" si="23"/>
        <v>5.2271658041534774E-2</v>
      </c>
      <c r="BI27" s="41">
        <f t="shared" si="24"/>
        <v>0.12508759635599165</v>
      </c>
      <c r="BJ27" s="41">
        <f t="shared" si="25"/>
        <v>0.11440330829242873</v>
      </c>
      <c r="BK27" s="41">
        <f t="shared" si="26"/>
        <v>9.8604251850374469E-2</v>
      </c>
    </row>
    <row r="28" spans="1:63" ht="14.25" customHeight="1">
      <c r="A28" s="22" t="s">
        <v>137</v>
      </c>
      <c r="B28" s="31">
        <v>-197.00422734</v>
      </c>
      <c r="C28" s="32">
        <v>-108.85231776000001</v>
      </c>
      <c r="D28" s="33">
        <v>-99.591495199999997</v>
      </c>
      <c r="E28" s="33">
        <v>-87.108365689999999</v>
      </c>
      <c r="F28" s="33">
        <v>-172.27553491</v>
      </c>
      <c r="G28" s="31">
        <v>-467.82771356000001</v>
      </c>
      <c r="H28" s="32">
        <v>-90.84295118</v>
      </c>
      <c r="I28" s="33">
        <v>-98.33191708999999</v>
      </c>
      <c r="J28" s="33">
        <v>-87.286424260000004</v>
      </c>
      <c r="K28" s="33">
        <v>-91.882707470000014</v>
      </c>
      <c r="L28" s="31">
        <v>-368.34399999999999</v>
      </c>
      <c r="M28" s="32">
        <v>-99.495000000000005</v>
      </c>
      <c r="N28" s="33">
        <v>-83.385000000000005</v>
      </c>
      <c r="O28" s="33">
        <v>-151.208</v>
      </c>
      <c r="P28" s="33">
        <v>-144.197</v>
      </c>
      <c r="Q28" s="31">
        <v>-478.28500000000003</v>
      </c>
      <c r="R28" s="32">
        <v>-157.833</v>
      </c>
      <c r="S28" s="33">
        <v>-161.71299999999999</v>
      </c>
      <c r="T28" s="33">
        <v>-164.911</v>
      </c>
      <c r="U28" s="33">
        <v>-173.792</v>
      </c>
      <c r="V28" s="31">
        <v>-658.24900000000002</v>
      </c>
      <c r="W28" s="33">
        <v>-175</v>
      </c>
      <c r="X28" s="33">
        <v>-197.3</v>
      </c>
      <c r="Y28" s="33">
        <v>-205.2</v>
      </c>
      <c r="Z28" s="33">
        <v>-323.5</v>
      </c>
      <c r="AA28" s="31">
        <v>-901</v>
      </c>
      <c r="AB28" s="33">
        <v>-281.7</v>
      </c>
      <c r="AC28" s="33">
        <v>-241.1</v>
      </c>
      <c r="AD28" s="33">
        <v>-263.8</v>
      </c>
      <c r="AE28" s="33">
        <v>-298.60000000000002</v>
      </c>
      <c r="AF28" s="33">
        <f t="shared" si="27"/>
        <v>-1085.1999999999998</v>
      </c>
      <c r="AH28" s="40"/>
      <c r="AI28" s="40"/>
      <c r="AJ28" s="40"/>
      <c r="AK28" s="40"/>
      <c r="AL28" s="40">
        <f t="shared" si="1"/>
        <v>1.3747090094295231</v>
      </c>
      <c r="AM28" s="40">
        <f t="shared" si="2"/>
        <v>-0.16544770888303417</v>
      </c>
      <c r="AN28" s="40">
        <f t="shared" si="3"/>
        <v>-1.2647446526136807E-2</v>
      </c>
      <c r="AO28" s="40">
        <f t="shared" si="4"/>
        <v>2.0441041292598161E-3</v>
      </c>
      <c r="AP28" s="40">
        <f t="shared" si="5"/>
        <v>-0.46665260672096431</v>
      </c>
      <c r="AQ28" s="40">
        <f t="shared" si="6"/>
        <v>-0.21265032121112459</v>
      </c>
      <c r="AR28" s="40">
        <f t="shared" si="7"/>
        <v>9.5241828976432963E-2</v>
      </c>
      <c r="AS28" s="40">
        <f t="shared" si="8"/>
        <v>-0.15200473592231056</v>
      </c>
      <c r="AT28" s="40">
        <f t="shared" si="9"/>
        <v>0.73231978835101375</v>
      </c>
      <c r="AU28" s="40">
        <f t="shared" si="10"/>
        <v>0.5693595015915347</v>
      </c>
      <c r="AV28" s="40">
        <f t="shared" si="11"/>
        <v>0.29847370935864315</v>
      </c>
      <c r="AW28" s="40">
        <f t="shared" si="12"/>
        <v>0.58634102216191764</v>
      </c>
      <c r="AX28" s="40">
        <f t="shared" si="13"/>
        <v>0.93935360076752383</v>
      </c>
      <c r="AY28" s="40">
        <f t="shared" si="14"/>
        <v>9.0623511983493055E-2</v>
      </c>
      <c r="AZ28" s="40">
        <f t="shared" si="15"/>
        <v>0.20524005353786823</v>
      </c>
      <c r="BA28" s="40">
        <f t="shared" si="16"/>
        <v>0.37626937913587089</v>
      </c>
      <c r="BB28" s="40">
        <f t="shared" si="17"/>
        <v>0.10876686117605328</v>
      </c>
      <c r="BC28" s="40">
        <f t="shared" si="18"/>
        <v>0.2200627036787397</v>
      </c>
      <c r="BD28" s="40">
        <f t="shared" si="19"/>
        <v>0.24430753557979745</v>
      </c>
      <c r="BE28" s="40">
        <f t="shared" si="20"/>
        <v>0.86142054870189644</v>
      </c>
      <c r="BF28" s="40">
        <f t="shared" si="21"/>
        <v>0.36878293776367288</v>
      </c>
      <c r="BG28" s="40">
        <f t="shared" si="22"/>
        <v>0.60971428571428565</v>
      </c>
      <c r="BH28" s="40">
        <f t="shared" si="23"/>
        <v>0.22199695894576776</v>
      </c>
      <c r="BI28" s="40">
        <f t="shared" si="24"/>
        <v>0.28557504873294359</v>
      </c>
      <c r="BJ28" s="40">
        <f t="shared" si="25"/>
        <v>-7.6970633693972057E-2</v>
      </c>
      <c r="BK28" s="40">
        <f t="shared" si="26"/>
        <v>0.20443951165371788</v>
      </c>
    </row>
    <row r="29" spans="1:63" ht="14.25" customHeight="1">
      <c r="A29" s="22" t="s">
        <v>133</v>
      </c>
      <c r="B29" s="23">
        <v>0</v>
      </c>
      <c r="C29" s="32">
        <v>-3.3566794109999996</v>
      </c>
      <c r="D29" s="33">
        <v>-16.941183816000002</v>
      </c>
      <c r="E29" s="33">
        <v>-24.720576506</v>
      </c>
      <c r="F29" s="33">
        <v>-0.15617028100000002</v>
      </c>
      <c r="G29" s="31">
        <v>-45.174610014000002</v>
      </c>
      <c r="H29" s="24">
        <v>0</v>
      </c>
      <c r="I29" s="25">
        <v>0</v>
      </c>
      <c r="J29" s="25">
        <v>0</v>
      </c>
      <c r="K29" s="25">
        <v>0</v>
      </c>
      <c r="L29" s="23">
        <v>0</v>
      </c>
      <c r="M29" s="24">
        <v>0</v>
      </c>
      <c r="N29" s="25">
        <v>0</v>
      </c>
      <c r="O29" s="25">
        <v>0</v>
      </c>
      <c r="P29" s="25">
        <v>0</v>
      </c>
      <c r="Q29" s="23">
        <v>0</v>
      </c>
      <c r="R29" s="24">
        <v>0</v>
      </c>
      <c r="S29" s="25">
        <v>0</v>
      </c>
      <c r="T29" s="25">
        <v>0</v>
      </c>
      <c r="U29" s="25">
        <v>0</v>
      </c>
      <c r="V29" s="23">
        <v>0</v>
      </c>
      <c r="W29" s="25">
        <v>0</v>
      </c>
      <c r="X29" s="25">
        <v>0</v>
      </c>
      <c r="Y29" s="25">
        <v>0</v>
      </c>
      <c r="Z29" s="25">
        <v>0</v>
      </c>
      <c r="AA29" s="23">
        <v>0</v>
      </c>
      <c r="AB29" s="25">
        <v>0</v>
      </c>
      <c r="AC29" s="25">
        <v>0</v>
      </c>
      <c r="AD29" s="25">
        <v>0</v>
      </c>
      <c r="AE29" s="25">
        <v>0</v>
      </c>
      <c r="AF29" s="25">
        <v>0</v>
      </c>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row>
    <row r="30" spans="1:63" ht="14.25" customHeight="1">
      <c r="A30" s="22" t="s">
        <v>138</v>
      </c>
      <c r="B30" s="31">
        <v>-2611.6320884257229</v>
      </c>
      <c r="C30" s="32">
        <v>-673.47769023689568</v>
      </c>
      <c r="D30" s="33">
        <v>-704.20156323357651</v>
      </c>
      <c r="E30" s="33">
        <v>-677.17871481013549</v>
      </c>
      <c r="F30" s="33">
        <v>-724.91514434179408</v>
      </c>
      <c r="G30" s="31">
        <v>-2779.7731126224021</v>
      </c>
      <c r="H30" s="32">
        <v>-718.59618585779253</v>
      </c>
      <c r="I30" s="33">
        <v>-764.72727270728637</v>
      </c>
      <c r="J30" s="33">
        <v>-844.93555790364553</v>
      </c>
      <c r="K30" s="33">
        <v>-894.81098353127572</v>
      </c>
      <c r="L30" s="31">
        <v>-3223.07</v>
      </c>
      <c r="M30" s="32">
        <v>-993.26800000000003</v>
      </c>
      <c r="N30" s="33">
        <v>-962.80799999999999</v>
      </c>
      <c r="O30" s="33">
        <v>-1149.7080000000001</v>
      </c>
      <c r="P30" s="33">
        <v>-1205.3309999999999</v>
      </c>
      <c r="Q30" s="31">
        <v>-4311.1149999999998</v>
      </c>
      <c r="R30" s="32">
        <v>-1207.1500000000001</v>
      </c>
      <c r="S30" s="33">
        <v>-1155.0840000000001</v>
      </c>
      <c r="T30" s="33">
        <v>-1195.021</v>
      </c>
      <c r="U30" s="33">
        <v>-1372.3340000000001</v>
      </c>
      <c r="V30" s="31">
        <v>-4929.5889999999999</v>
      </c>
      <c r="W30" s="33">
        <v>-1481.2</v>
      </c>
      <c r="X30" s="33">
        <v>-1522.3</v>
      </c>
      <c r="Y30" s="33">
        <v>-1636.7</v>
      </c>
      <c r="Z30" s="33">
        <v>-1939.1000000000001</v>
      </c>
      <c r="AA30" s="31">
        <v>-6579.3</v>
      </c>
      <c r="AB30" s="33">
        <v>-1775.5</v>
      </c>
      <c r="AC30" s="33">
        <v>-1813.2</v>
      </c>
      <c r="AD30" s="33">
        <v>-1841.2</v>
      </c>
      <c r="AE30" s="33">
        <v>-1999.9</v>
      </c>
      <c r="AF30" s="33">
        <f t="shared" si="27"/>
        <v>-7429.7999999999993</v>
      </c>
      <c r="AH30" s="40"/>
      <c r="AI30" s="40"/>
      <c r="AJ30" s="40"/>
      <c r="AK30" s="40"/>
      <c r="AL30" s="40">
        <f t="shared" si="1"/>
        <v>6.4381589176304654E-2</v>
      </c>
      <c r="AM30" s="40">
        <f t="shared" si="2"/>
        <v>6.6993303972736618E-2</v>
      </c>
      <c r="AN30" s="40">
        <f t="shared" si="3"/>
        <v>8.5949410841671403E-2</v>
      </c>
      <c r="AO30" s="40">
        <f t="shared" si="4"/>
        <v>0.24772905501104692</v>
      </c>
      <c r="AP30" s="40">
        <f t="shared" si="5"/>
        <v>0.23436651933067698</v>
      </c>
      <c r="AQ30" s="40">
        <f t="shared" si="6"/>
        <v>0.15947232720709259</v>
      </c>
      <c r="AR30" s="40">
        <f t="shared" si="7"/>
        <v>0.38223388816673176</v>
      </c>
      <c r="AS30" s="40">
        <f t="shared" si="8"/>
        <v>0.25902139803575785</v>
      </c>
      <c r="AT30" s="40">
        <f t="shared" si="9"/>
        <v>0.36070495465064822</v>
      </c>
      <c r="AU30" s="40">
        <f t="shared" si="10"/>
        <v>0.34702302741444924</v>
      </c>
      <c r="AV30" s="40">
        <f t="shared" si="11"/>
        <v>0.33758031938493405</v>
      </c>
      <c r="AW30" s="40">
        <f t="shared" si="12"/>
        <v>0.21533161241477639</v>
      </c>
      <c r="AX30" s="40">
        <f t="shared" si="13"/>
        <v>0.19970336764962493</v>
      </c>
      <c r="AY30" s="40">
        <f t="shared" si="14"/>
        <v>3.9412616072950657E-2</v>
      </c>
      <c r="AZ30" s="40">
        <f t="shared" si="15"/>
        <v>0.13855364211158605</v>
      </c>
      <c r="BA30" s="40">
        <f t="shared" si="16"/>
        <v>0.14346033450743034</v>
      </c>
      <c r="BB30" s="40">
        <f t="shared" si="17"/>
        <v>0.22702232531168454</v>
      </c>
      <c r="BC30" s="40">
        <f t="shared" si="18"/>
        <v>0.31791280980430847</v>
      </c>
      <c r="BD30" s="40">
        <f t="shared" si="19"/>
        <v>0.36959936268902394</v>
      </c>
      <c r="BE30" s="40">
        <f t="shared" si="20"/>
        <v>0.41299421277910486</v>
      </c>
      <c r="BF30" s="40">
        <f t="shared" si="21"/>
        <v>0.33465487690758811</v>
      </c>
      <c r="BG30" s="40">
        <f t="shared" si="22"/>
        <v>0.19869025114771799</v>
      </c>
      <c r="BH30" s="40">
        <f t="shared" si="23"/>
        <v>0.19109242593444131</v>
      </c>
      <c r="BI30" s="40">
        <f t="shared" si="24"/>
        <v>0.12494653876703121</v>
      </c>
      <c r="BJ30" s="40">
        <f t="shared" si="25"/>
        <v>3.1354752204630909E-2</v>
      </c>
      <c r="BK30" s="40">
        <f t="shared" si="26"/>
        <v>0.12926907117778463</v>
      </c>
    </row>
    <row r="31" spans="1:63" ht="14.25" customHeight="1">
      <c r="A31" s="27" t="s">
        <v>139</v>
      </c>
      <c r="B31" s="28">
        <v>11663.202520139224</v>
      </c>
      <c r="C31" s="29">
        <v>2329.4433177765823</v>
      </c>
      <c r="D31" s="30">
        <v>4068.6562068210646</v>
      </c>
      <c r="E31" s="30">
        <v>3705.2314572837686</v>
      </c>
      <c r="F31" s="30">
        <v>4162.8319561518683</v>
      </c>
      <c r="G31" s="28">
        <v>14266.162938033285</v>
      </c>
      <c r="H31" s="29">
        <v>2432.0030360145929</v>
      </c>
      <c r="I31" s="30">
        <v>3586.371900166911</v>
      </c>
      <c r="J31" s="30">
        <v>3859.192424858833</v>
      </c>
      <c r="K31" s="30">
        <v>4603.6926599380076</v>
      </c>
      <c r="L31" s="28">
        <v>14481.260020978341</v>
      </c>
      <c r="M31" s="29">
        <v>2384.5922884409997</v>
      </c>
      <c r="N31" s="30">
        <v>4007.8688763525988</v>
      </c>
      <c r="O31" s="30">
        <v>3975.9641926713234</v>
      </c>
      <c r="P31" s="30">
        <v>4758.9025849993322</v>
      </c>
      <c r="Q31" s="28">
        <v>15127.327942464255</v>
      </c>
      <c r="R31" s="29">
        <v>2729.7510413526011</v>
      </c>
      <c r="S31" s="30">
        <v>4136.7598743683011</v>
      </c>
      <c r="T31" s="30">
        <v>3995.5762470092004</v>
      </c>
      <c r="U31" s="30">
        <v>4295.2285208356088</v>
      </c>
      <c r="V31" s="28">
        <v>15157.397143565711</v>
      </c>
      <c r="W31" s="30">
        <v>2528.3034975799992</v>
      </c>
      <c r="X31" s="30">
        <v>4232</v>
      </c>
      <c r="Y31" s="30">
        <f>+Y27+Y28+Y30</f>
        <v>4151.5</v>
      </c>
      <c r="Z31" s="30">
        <v>17829.396502419997</v>
      </c>
      <c r="AA31" s="28">
        <v>28741.199999999997</v>
      </c>
      <c r="AB31" s="30">
        <v>2547.4</v>
      </c>
      <c r="AC31" s="30">
        <f>+AC27+AC28+AC30</f>
        <v>4208.3999999999987</v>
      </c>
      <c r="AD31" s="30">
        <f>+AD27+AD28+AD30</f>
        <v>4638.1000000000004</v>
      </c>
      <c r="AE31" s="30">
        <f>+AE27+AE28+AE30</f>
        <v>5428.1</v>
      </c>
      <c r="AF31" s="30">
        <f>+AF27+AF28+AF30</f>
        <v>16822</v>
      </c>
      <c r="AH31" s="40"/>
      <c r="AI31" s="40"/>
      <c r="AJ31" s="40"/>
      <c r="AK31" s="40"/>
      <c r="AL31" s="41">
        <f t="shared" si="1"/>
        <v>0.22317716025246459</v>
      </c>
      <c r="AM31" s="41">
        <f t="shared" si="2"/>
        <v>4.4027565494017873E-2</v>
      </c>
      <c r="AN31" s="41">
        <f t="shared" si="3"/>
        <v>-0.11853650987901321</v>
      </c>
      <c r="AO31" s="41">
        <f t="shared" si="4"/>
        <v>4.1552321184256114E-2</v>
      </c>
      <c r="AP31" s="41">
        <f t="shared" si="5"/>
        <v>0.10590403562522654</v>
      </c>
      <c r="AQ31" s="41">
        <f t="shared" si="6"/>
        <v>1.5077430692426175E-2</v>
      </c>
      <c r="AR31" s="41">
        <f t="shared" si="7"/>
        <v>-1.9494526475298701E-2</v>
      </c>
      <c r="AS31" s="41">
        <f t="shared" si="8"/>
        <v>0.11752740315806931</v>
      </c>
      <c r="AT31" s="41">
        <f t="shared" si="9"/>
        <v>3.0258083805386304E-2</v>
      </c>
      <c r="AU31" s="41">
        <f t="shared" si="10"/>
        <v>3.3714223890743966E-2</v>
      </c>
      <c r="AV31" s="41">
        <f t="shared" si="11"/>
        <v>4.4614068150836683E-2</v>
      </c>
      <c r="AW31" s="41">
        <f t="shared" si="12"/>
        <v>0.1447453950869142</v>
      </c>
      <c r="AX31" s="41">
        <f t="shared" si="13"/>
        <v>3.2159484751657086E-2</v>
      </c>
      <c r="AY31" s="41">
        <f t="shared" si="14"/>
        <v>4.9326536627334328E-3</v>
      </c>
      <c r="AZ31" s="41">
        <f t="shared" si="15"/>
        <v>-9.743298079378282E-2</v>
      </c>
      <c r="BA31" s="41">
        <f t="shared" si="16"/>
        <v>1.9877404136290355E-3</v>
      </c>
      <c r="BB31" s="41">
        <f t="shared" si="17"/>
        <v>-7.379703889508693E-2</v>
      </c>
      <c r="BC31" s="41">
        <f t="shared" si="18"/>
        <v>2.3022879868327406E-2</v>
      </c>
      <c r="BD31" s="41">
        <f t="shared" si="19"/>
        <v>3.9024096488588622E-2</v>
      </c>
      <c r="BE31" s="41">
        <f t="shared" si="20"/>
        <v>3.1509773964136842</v>
      </c>
      <c r="BF31" s="41">
        <f t="shared" si="21"/>
        <v>0.89618307996901603</v>
      </c>
      <c r="BG31" s="41">
        <f t="shared" si="22"/>
        <v>7.5530894286541805E-3</v>
      </c>
      <c r="BH31" s="41">
        <f t="shared" si="23"/>
        <v>-5.576559546314086E-3</v>
      </c>
      <c r="BI31" s="41">
        <f t="shared" si="24"/>
        <v>0.11721064675418535</v>
      </c>
      <c r="BJ31" s="41">
        <f t="shared" si="25"/>
        <v>-0.69555335205747204</v>
      </c>
      <c r="BK31" s="41">
        <f t="shared" si="26"/>
        <v>-0.41470780621546766</v>
      </c>
    </row>
    <row r="33" spans="1:32" ht="15">
      <c r="A33" s="38" t="s">
        <v>140</v>
      </c>
      <c r="AA33" s="39"/>
      <c r="AF33" s="39"/>
    </row>
    <row r="34" spans="1:32">
      <c r="A34" s="38" t="s">
        <v>141</v>
      </c>
    </row>
    <row r="35" spans="1:32" ht="15">
      <c r="A35" s="38" t="s">
        <v>142</v>
      </c>
      <c r="M35" s="39">
        <f t="shared" ref="M35:P40" si="28">M22/$Q22</f>
        <v>0.22784424915976934</v>
      </c>
      <c r="N35" s="39">
        <f t="shared" si="28"/>
        <v>0.24609240310452271</v>
      </c>
      <c r="O35" s="39">
        <f t="shared" si="28"/>
        <v>0.22126777207362189</v>
      </c>
      <c r="P35" s="39">
        <f t="shared" si="28"/>
        <v>0.30479557566208593</v>
      </c>
      <c r="R35" s="39">
        <f t="shared" ref="R35:U40" si="29">R22/$V22</f>
        <v>0.23689040924862334</v>
      </c>
      <c r="S35" s="39">
        <f t="shared" si="29"/>
        <v>0.20477837914361055</v>
      </c>
      <c r="T35" s="39">
        <f t="shared" si="29"/>
        <v>0.29455497047416984</v>
      </c>
      <c r="U35" s="39">
        <f t="shared" si="29"/>
        <v>0.26377624113359605</v>
      </c>
      <c r="W35" s="39">
        <f t="shared" ref="W35:Z40" si="30">W22/$AA22</f>
        <v>0.19612928970470869</v>
      </c>
      <c r="X35" s="39">
        <f t="shared" si="30"/>
        <v>0.19526469805799418</v>
      </c>
      <c r="Y35" s="39">
        <f t="shared" si="30"/>
        <v>0.24687416866187817</v>
      </c>
      <c r="Z35" s="39">
        <f t="shared" si="30"/>
        <v>0.36173184357541893</v>
      </c>
      <c r="AB35" s="39">
        <f t="shared" ref="AB35:AE40" si="31">AB22/$AF22</f>
        <v>0.17360487643528796</v>
      </c>
      <c r="AC35" s="39">
        <f t="shared" si="31"/>
        <v>0.22019562443887916</v>
      </c>
      <c r="AD35" s="39">
        <f t="shared" si="31"/>
        <v>0.25894249397533431</v>
      </c>
      <c r="AE35" s="39">
        <f t="shared" si="31"/>
        <v>0.34725700515049845</v>
      </c>
    </row>
    <row r="36" spans="1:32" ht="15">
      <c r="A36" s="38" t="s">
        <v>143</v>
      </c>
      <c r="M36" s="39">
        <f t="shared" si="28"/>
        <v>7.5644157465591791E-2</v>
      </c>
      <c r="N36" s="39">
        <f t="shared" si="28"/>
        <v>0.26771927265746825</v>
      </c>
      <c r="O36" s="39">
        <f t="shared" si="28"/>
        <v>0.2468072125337307</v>
      </c>
      <c r="P36" s="39">
        <f t="shared" si="28"/>
        <v>0.4098293573432093</v>
      </c>
      <c r="R36" s="39">
        <f t="shared" si="29"/>
        <v>0.11816905610907212</v>
      </c>
      <c r="S36" s="39">
        <f t="shared" si="29"/>
        <v>0.69190754588358672</v>
      </c>
      <c r="T36" s="39">
        <f t="shared" si="29"/>
        <v>0.18425239643418984</v>
      </c>
      <c r="U36" s="39">
        <f t="shared" si="29"/>
        <v>5.7682223387519674E-3</v>
      </c>
      <c r="W36" s="39">
        <f t="shared" si="30"/>
        <v>5.8076651775217487E-2</v>
      </c>
      <c r="X36" s="39">
        <f t="shared" si="30"/>
        <v>0.31225017634610863</v>
      </c>
      <c r="Y36" s="39">
        <f t="shared" si="30"/>
        <v>0.21514225252762756</v>
      </c>
      <c r="Z36" s="39">
        <f t="shared" si="30"/>
        <v>0.41453091935104636</v>
      </c>
      <c r="AB36" s="39">
        <f t="shared" si="31"/>
        <v>4.3968183826778626E-2</v>
      </c>
      <c r="AC36" s="39">
        <f t="shared" si="31"/>
        <v>0.33539549270879354</v>
      </c>
      <c r="AD36" s="39">
        <f t="shared" si="31"/>
        <v>0.26933274414494046</v>
      </c>
      <c r="AE36" s="39">
        <f t="shared" si="31"/>
        <v>0.35130357931948741</v>
      </c>
    </row>
    <row r="37" spans="1:32" ht="15">
      <c r="A37" s="38" t="s">
        <v>144</v>
      </c>
      <c r="M37" s="39">
        <f t="shared" si="28"/>
        <v>0.24461702175832639</v>
      </c>
      <c r="N37" s="39">
        <f t="shared" si="28"/>
        <v>0.2559376910362941</v>
      </c>
      <c r="O37" s="39">
        <f t="shared" si="28"/>
        <v>0.25362827450358866</v>
      </c>
      <c r="P37" s="39">
        <f t="shared" si="28"/>
        <v>0.24581701270179096</v>
      </c>
      <c r="R37" s="39">
        <f t="shared" si="29"/>
        <v>0.24796820576940248</v>
      </c>
      <c r="S37" s="39">
        <f t="shared" si="29"/>
        <v>0.25502366705367507</v>
      </c>
      <c r="T37" s="39">
        <f t="shared" si="29"/>
        <v>0.24149325712244349</v>
      </c>
      <c r="U37" s="39">
        <f t="shared" si="29"/>
        <v>0.25549254264535143</v>
      </c>
      <c r="W37" s="39">
        <f t="shared" si="30"/>
        <v>0.22008079613755049</v>
      </c>
      <c r="X37" s="39">
        <f t="shared" si="30"/>
        <v>0.2533057444083161</v>
      </c>
      <c r="Y37" s="39">
        <f t="shared" si="30"/>
        <v>0.27555424179722138</v>
      </c>
      <c r="Z37" s="39">
        <f t="shared" si="30"/>
        <v>0.25105921765691203</v>
      </c>
      <c r="AB37" s="39">
        <f t="shared" si="31"/>
        <v>0.24619184138717143</v>
      </c>
      <c r="AC37" s="39">
        <f t="shared" si="31"/>
        <v>0.25843666885427102</v>
      </c>
      <c r="AD37" s="39">
        <f t="shared" si="31"/>
        <v>0.25170115021933614</v>
      </c>
      <c r="AE37" s="39">
        <f t="shared" si="31"/>
        <v>0.24367033953922143</v>
      </c>
    </row>
    <row r="38" spans="1:32" ht="15">
      <c r="M38" s="39">
        <f t="shared" si="28"/>
        <v>0.15353260869565216</v>
      </c>
      <c r="N38" s="39">
        <f t="shared" si="28"/>
        <v>0.21078523238380809</v>
      </c>
      <c r="O38" s="39">
        <f t="shared" si="28"/>
        <v>0.3160607196401799</v>
      </c>
      <c r="P38" s="39">
        <f t="shared" si="28"/>
        <v>0.31962143928035985</v>
      </c>
      <c r="R38" s="39">
        <f t="shared" si="29"/>
        <v>0.22867794511513978</v>
      </c>
      <c r="S38" s="39">
        <f t="shared" si="29"/>
        <v>0.25359685603154736</v>
      </c>
      <c r="T38" s="39">
        <f t="shared" si="29"/>
        <v>0.2529575645011507</v>
      </c>
      <c r="U38" s="39">
        <f t="shared" si="29"/>
        <v>0.26476763435216216</v>
      </c>
      <c r="W38" s="39">
        <f t="shared" si="30"/>
        <v>0.23216192925880419</v>
      </c>
      <c r="X38" s="39">
        <f t="shared" si="30"/>
        <v>0.24559787059787061</v>
      </c>
      <c r="Y38" s="39">
        <f t="shared" si="30"/>
        <v>0.24224508599508601</v>
      </c>
      <c r="Z38" s="39">
        <f t="shared" si="30"/>
        <v>0.27999511414823913</v>
      </c>
      <c r="AB38" s="39">
        <f t="shared" si="31"/>
        <v>0.22400486556771951</v>
      </c>
      <c r="AC38" s="39">
        <f t="shared" si="31"/>
        <v>0.23163877354137827</v>
      </c>
      <c r="AD38" s="39">
        <f t="shared" si="31"/>
        <v>0.25114298896858361</v>
      </c>
      <c r="AE38" s="39">
        <f t="shared" si="31"/>
        <v>0.29321337192231872</v>
      </c>
    </row>
    <row r="39" spans="1:32" ht="15">
      <c r="M39" s="39">
        <f t="shared" si="28"/>
        <v>9.3169540707435702E-2</v>
      </c>
      <c r="N39" s="39">
        <f t="shared" si="28"/>
        <v>7.7314716992781555E-3</v>
      </c>
      <c r="O39" s="39">
        <f t="shared" si="28"/>
        <v>0.22779086615404079</v>
      </c>
      <c r="P39" s="39">
        <f t="shared" si="28"/>
        <v>0.67130812143924534</v>
      </c>
      <c r="R39" s="39">
        <f t="shared" si="29"/>
        <v>0.12457120150380302</v>
      </c>
      <c r="S39" s="39">
        <f t="shared" si="29"/>
        <v>9.1931773480817477E-2</v>
      </c>
      <c r="T39" s="39">
        <f t="shared" si="29"/>
        <v>9.7238325612922005E-2</v>
      </c>
      <c r="U39" s="39">
        <f t="shared" si="29"/>
        <v>0.68625869940245754</v>
      </c>
      <c r="W39" s="39">
        <f t="shared" si="30"/>
        <v>0.50380213271739138</v>
      </c>
      <c r="X39" s="39">
        <f t="shared" si="30"/>
        <v>-0.26141304347826089</v>
      </c>
      <c r="Y39" s="39">
        <f t="shared" si="30"/>
        <v>0.17500000000000002</v>
      </c>
      <c r="Z39" s="39">
        <f t="shared" si="30"/>
        <v>0.58261091076086946</v>
      </c>
      <c r="AB39" s="39">
        <f t="shared" si="31"/>
        <v>0.55274261603375552</v>
      </c>
      <c r="AC39" s="39">
        <f t="shared" si="31"/>
        <v>-9.7046413502110018E-2</v>
      </c>
      <c r="AD39" s="39">
        <f t="shared" si="31"/>
        <v>-1.6877637130801697E-2</v>
      </c>
      <c r="AE39" s="39">
        <f t="shared" si="31"/>
        <v>0.56118143459915615</v>
      </c>
    </row>
    <row r="40" spans="1:32" ht="15">
      <c r="M40" s="39">
        <f t="shared" si="28"/>
        <v>0.17459470744825337</v>
      </c>
      <c r="N40" s="39">
        <f t="shared" si="28"/>
        <v>0.25375964821896696</v>
      </c>
      <c r="O40" s="39">
        <f t="shared" si="28"/>
        <v>0.26494714432587796</v>
      </c>
      <c r="P40" s="39">
        <f t="shared" si="28"/>
        <v>0.30669850000690169</v>
      </c>
      <c r="R40" s="39">
        <f t="shared" si="29"/>
        <v>0.1973819054358906</v>
      </c>
      <c r="S40" s="39">
        <f t="shared" si="29"/>
        <v>0.26288238415363357</v>
      </c>
      <c r="T40" s="39">
        <f t="shared" si="29"/>
        <v>0.25815606378750788</v>
      </c>
      <c r="U40" s="39">
        <f t="shared" si="29"/>
        <v>0.2815757199381444</v>
      </c>
      <c r="W40" s="39">
        <f t="shared" si="30"/>
        <v>0.18143873916896833</v>
      </c>
      <c r="X40" s="39">
        <f t="shared" si="30"/>
        <v>0.25805948081117297</v>
      </c>
      <c r="Y40" s="39">
        <f t="shared" si="30"/>
        <v>0.25987191550065258</v>
      </c>
      <c r="Z40" s="39">
        <f t="shared" si="30"/>
        <v>0.30062986451920615</v>
      </c>
      <c r="AB40" s="39">
        <f t="shared" si="31"/>
        <v>0.18173422267829659</v>
      </c>
      <c r="AC40" s="39">
        <f t="shared" si="31"/>
        <v>0.24717606662193625</v>
      </c>
      <c r="AD40" s="39">
        <f t="shared" si="31"/>
        <v>0.26613648024628017</v>
      </c>
      <c r="AE40" s="39">
        <f t="shared" si="31"/>
        <v>0.30495323045348699</v>
      </c>
    </row>
  </sheetData>
  <mergeCells count="12">
    <mergeCell ref="BG3:BK3"/>
    <mergeCell ref="C3:G3"/>
    <mergeCell ref="H3:L3"/>
    <mergeCell ref="M3:Q3"/>
    <mergeCell ref="R3:V3"/>
    <mergeCell ref="W3:AA3"/>
    <mergeCell ref="AB3:AF3"/>
    <mergeCell ref="AH3:AL3"/>
    <mergeCell ref="AM3:AQ3"/>
    <mergeCell ref="AR3:AV3"/>
    <mergeCell ref="AW3:BA3"/>
    <mergeCell ref="BB3:BF3"/>
  </mergeCells>
  <pageMargins left="0.75" right="0.75" top="1" bottom="1" header="0" footer="0"/>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L11"/>
  <sheetViews>
    <sheetView workbookViewId="0">
      <selection activeCell="L3" sqref="L3"/>
    </sheetView>
  </sheetViews>
  <sheetFormatPr defaultRowHeight="15"/>
  <cols>
    <col min="3" max="3" width="12" bestFit="1" customWidth="1"/>
  </cols>
  <sheetData>
    <row r="2" spans="1:12">
      <c r="C2" t="s">
        <v>94</v>
      </c>
      <c r="E2" t="s">
        <v>95</v>
      </c>
      <c r="G2" t="s">
        <v>96</v>
      </c>
      <c r="I2" t="s">
        <v>97</v>
      </c>
      <c r="K2" t="s">
        <v>98</v>
      </c>
    </row>
    <row r="3" spans="1:12">
      <c r="B3" t="s">
        <v>93</v>
      </c>
      <c r="C3">
        <v>52.991825693000003</v>
      </c>
      <c r="D3" s="9">
        <v>0.43</v>
      </c>
      <c r="E3">
        <v>6.7814604000000001E-2</v>
      </c>
      <c r="F3" s="9">
        <v>1E-3</v>
      </c>
      <c r="G3">
        <v>0.10788687</v>
      </c>
      <c r="H3" s="9">
        <v>1E-3</v>
      </c>
      <c r="I3">
        <v>0.10788687</v>
      </c>
      <c r="J3" s="9">
        <v>1E-3</v>
      </c>
      <c r="K3">
        <f>C3+E3+G3+I3</f>
        <v>53.275414037000004</v>
      </c>
      <c r="L3" s="10">
        <f>K3/K5</f>
        <v>0.13095408262525282</v>
      </c>
    </row>
    <row r="5" spans="1:12">
      <c r="B5" t="s">
        <v>98</v>
      </c>
      <c r="C5">
        <f>C3/D3</f>
        <v>123.23680393720932</v>
      </c>
      <c r="E5">
        <f>E3/F3</f>
        <v>67.814604000000003</v>
      </c>
      <c r="G5">
        <f>G3/H3</f>
        <v>107.88686999999999</v>
      </c>
      <c r="I5">
        <f>I3/J3</f>
        <v>107.88686999999999</v>
      </c>
      <c r="K5">
        <f>C5+E5+G5+I5</f>
        <v>406.82514793720929</v>
      </c>
    </row>
    <row r="7" spans="1:12">
      <c r="B7" t="s">
        <v>99</v>
      </c>
    </row>
    <row r="8" spans="1:12">
      <c r="B8" t="s">
        <v>100</v>
      </c>
    </row>
    <row r="9" spans="1:12">
      <c r="B9" t="s">
        <v>101</v>
      </c>
    </row>
    <row r="11" spans="1:12">
      <c r="A11" t="s">
        <v>102</v>
      </c>
      <c r="B11">
        <v>571.20000000000005</v>
      </c>
      <c r="C11">
        <f>B11*5</f>
        <v>2856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U25"/>
  <sheetViews>
    <sheetView zoomScale="70" zoomScaleNormal="70" workbookViewId="0">
      <selection activeCell="M31" sqref="M31"/>
    </sheetView>
  </sheetViews>
  <sheetFormatPr defaultColWidth="9.140625" defaultRowHeight="15"/>
  <cols>
    <col min="1" max="1" width="4" style="193" customWidth="1"/>
    <col min="2" max="2" width="36.7109375" style="193" bestFit="1" customWidth="1"/>
    <col min="3" max="3" width="6.42578125" style="193" bestFit="1" customWidth="1"/>
    <col min="4" max="4" width="7.140625" style="193" bestFit="1" customWidth="1"/>
    <col min="5" max="5" width="7.42578125" style="193" bestFit="1" customWidth="1"/>
    <col min="6" max="6" width="7.42578125" style="193" customWidth="1"/>
    <col min="7" max="7" width="7.42578125" style="193" bestFit="1" customWidth="1"/>
    <col min="8" max="9" width="7.140625" style="193" bestFit="1" customWidth="1"/>
    <col min="10" max="10" width="7.42578125" style="193" bestFit="1" customWidth="1"/>
    <col min="11" max="11" width="7.7109375" style="193" bestFit="1" customWidth="1"/>
    <col min="12" max="12" width="7.85546875" style="193" bestFit="1" customWidth="1"/>
    <col min="13" max="14" width="5.42578125" style="193" bestFit="1" customWidth="1"/>
    <col min="15" max="16384" width="9.140625" style="193"/>
  </cols>
  <sheetData>
    <row r="2" spans="2:21">
      <c r="B2" s="192" t="s">
        <v>1110</v>
      </c>
      <c r="F2" s="193" t="s">
        <v>1111</v>
      </c>
    </row>
    <row r="3" spans="2:21">
      <c r="C3" s="199">
        <v>2009</v>
      </c>
      <c r="D3" s="199">
        <f>C3+1</f>
        <v>2010</v>
      </c>
      <c r="E3" s="199">
        <f t="shared" ref="E3:L3" si="0">D3+1</f>
        <v>2011</v>
      </c>
      <c r="F3" s="199">
        <f t="shared" si="0"/>
        <v>2012</v>
      </c>
      <c r="G3" s="199">
        <f t="shared" si="0"/>
        <v>2013</v>
      </c>
      <c r="H3" s="199">
        <f t="shared" si="0"/>
        <v>2014</v>
      </c>
      <c r="I3" s="199">
        <f t="shared" si="0"/>
        <v>2015</v>
      </c>
      <c r="J3" s="199">
        <f t="shared" si="0"/>
        <v>2016</v>
      </c>
      <c r="K3" s="199">
        <f t="shared" si="0"/>
        <v>2017</v>
      </c>
      <c r="L3" s="199">
        <f t="shared" si="0"/>
        <v>2018</v>
      </c>
      <c r="M3" s="199">
        <f>L3+1</f>
        <v>2019</v>
      </c>
      <c r="N3" s="199">
        <f>M3+1</f>
        <v>2020</v>
      </c>
    </row>
    <row r="4" spans="2:21">
      <c r="B4" s="194" t="s">
        <v>1112</v>
      </c>
      <c r="D4" s="195"/>
      <c r="E4" s="195"/>
      <c r="F4" s="200"/>
      <c r="G4" s="200"/>
      <c r="H4" s="200"/>
      <c r="I4" s="200"/>
      <c r="J4" s="200"/>
      <c r="K4" s="200"/>
      <c r="L4" s="200"/>
      <c r="M4" s="195"/>
      <c r="N4" s="195"/>
      <c r="O4" s="195"/>
      <c r="P4" s="195"/>
      <c r="Q4" s="195"/>
      <c r="R4" s="195"/>
      <c r="S4" s="195"/>
      <c r="T4" s="195"/>
      <c r="U4" s="195"/>
    </row>
    <row r="5" spans="2:21">
      <c r="B5" s="194" t="s">
        <v>1113</v>
      </c>
      <c r="C5" s="207">
        <f>'SKY Mex'!F58</f>
        <v>1823</v>
      </c>
      <c r="D5" s="195">
        <f>'SKY Mex'!G58</f>
        <v>2899</v>
      </c>
      <c r="E5" s="195">
        <f>'SKY Mex'!H58</f>
        <v>3849</v>
      </c>
      <c r="F5" s="200">
        <f>'SKY Mex'!I58</f>
        <v>4971</v>
      </c>
      <c r="G5" s="200">
        <f>'SKY Mex'!J58</f>
        <v>5812</v>
      </c>
      <c r="H5" s="200">
        <f>'SKY Mex'!K58</f>
        <v>6446</v>
      </c>
      <c r="I5" s="200">
        <f>'SKY Mex'!L58</f>
        <v>7092.1379999999999</v>
      </c>
      <c r="J5" s="200">
        <f>'SKY Mex'!M58</f>
        <v>7819.7049999999999</v>
      </c>
      <c r="K5" s="200">
        <f>'SKY Mex'!N58</f>
        <v>7827.7169999999996</v>
      </c>
      <c r="L5" s="200">
        <f>'SKY Mex'!O58</f>
        <v>7478.0129999999999</v>
      </c>
      <c r="M5" s="195">
        <f>'SKY Mex'!W58</f>
        <v>4968.4897178410083</v>
      </c>
      <c r="N5" s="195">
        <f>'SKY Mex'!X58</f>
        <v>4864.960882071071</v>
      </c>
      <c r="O5" s="195"/>
      <c r="P5" s="195"/>
      <c r="Q5" s="195"/>
      <c r="R5" s="195"/>
      <c r="S5" s="195"/>
      <c r="T5" s="195"/>
      <c r="U5" s="195"/>
    </row>
    <row r="6" spans="2:21">
      <c r="B6" s="194" t="s">
        <v>1114</v>
      </c>
      <c r="C6" s="207"/>
      <c r="D6" s="195"/>
      <c r="E6" s="195"/>
      <c r="F6" s="200"/>
      <c r="G6" s="200"/>
      <c r="H6" s="200"/>
      <c r="I6" s="200"/>
      <c r="J6" s="200"/>
      <c r="K6" s="200"/>
      <c r="L6" s="200"/>
      <c r="M6" s="195"/>
      <c r="N6" s="195"/>
      <c r="O6" s="213" t="s">
        <v>1130</v>
      </c>
      <c r="P6" s="195"/>
      <c r="Q6" s="195"/>
      <c r="R6" s="195"/>
      <c r="S6" s="195"/>
      <c r="T6" s="195"/>
      <c r="U6" s="195"/>
    </row>
    <row r="7" spans="2:21">
      <c r="B7" s="194" t="s">
        <v>1115</v>
      </c>
      <c r="C7" s="207">
        <f>'SKY Mex'!F61</f>
        <v>10005.1</v>
      </c>
      <c r="D7" s="195">
        <f>'SKY Mex'!G61</f>
        <v>11248.2</v>
      </c>
      <c r="E7" s="195">
        <f>'SKY Mex'!H61</f>
        <v>12479.2</v>
      </c>
      <c r="F7" s="200">
        <f>'SKY Mex'!I61</f>
        <v>14465.4</v>
      </c>
      <c r="G7" s="200">
        <f>'SKY Mex'!J61</f>
        <v>16098.3</v>
      </c>
      <c r="H7" s="200">
        <f>'SKY Mex'!K61</f>
        <v>17498.5</v>
      </c>
      <c r="I7" s="200">
        <f>'SKY Mex'!L61</f>
        <v>19253.5</v>
      </c>
      <c r="J7" s="200">
        <f>'SKY Mex'!M61</f>
        <v>21941.200000000001</v>
      </c>
      <c r="K7" s="200">
        <f>'SKY Mex'!N61</f>
        <v>22197</v>
      </c>
      <c r="L7" s="200">
        <f>'SKY Mex'!O61</f>
        <v>22002</v>
      </c>
      <c r="M7" s="195">
        <f>'SKY Mex'!W61</f>
        <v>12297.408422345456</v>
      </c>
      <c r="N7" s="195">
        <f>'SKY Mex'!X61</f>
        <v>11682.494183561092</v>
      </c>
      <c r="O7" s="195"/>
      <c r="P7" s="195"/>
      <c r="Q7" s="195"/>
      <c r="R7" s="195"/>
      <c r="S7" s="195"/>
      <c r="T7" s="195"/>
      <c r="U7" s="195"/>
    </row>
    <row r="8" spans="2:21">
      <c r="B8" s="194" t="s">
        <v>1116</v>
      </c>
      <c r="C8" s="207"/>
      <c r="D8" s="195"/>
      <c r="E8" s="195"/>
      <c r="F8" s="200"/>
      <c r="G8" s="200"/>
      <c r="H8" s="200"/>
      <c r="I8" s="200"/>
      <c r="J8" s="200"/>
      <c r="K8" s="200"/>
      <c r="L8" s="200"/>
      <c r="M8" s="195"/>
      <c r="N8" s="195"/>
      <c r="O8" s="195"/>
      <c r="P8" s="195"/>
      <c r="Q8" s="195"/>
      <c r="R8" s="195"/>
      <c r="S8" s="195"/>
      <c r="T8" s="195"/>
      <c r="U8" s="195"/>
    </row>
    <row r="9" spans="2:21">
      <c r="B9" s="194" t="s">
        <v>1117</v>
      </c>
      <c r="C9" s="207">
        <f>'SKY Mex'!F93</f>
        <v>4479</v>
      </c>
      <c r="D9" s="195">
        <f>'SKY Mex'!G93</f>
        <v>5075</v>
      </c>
      <c r="E9" s="195">
        <f>'SKY Mex'!H93</f>
        <v>5789.8</v>
      </c>
      <c r="F9" s="200">
        <f>'SKY Mex'!I93</f>
        <v>6558</v>
      </c>
      <c r="G9" s="200">
        <f>'SKY Mex'!J93</f>
        <v>7340.5</v>
      </c>
      <c r="H9" s="200">
        <f>'SKY Mex'!K93</f>
        <v>8211.2999999999993</v>
      </c>
      <c r="I9" s="200">
        <f>'SKY Mex'!L93</f>
        <v>8972.2999999999993</v>
      </c>
      <c r="J9" s="200">
        <f>'SKY Mex'!M93</f>
        <v>9898.5</v>
      </c>
      <c r="K9" s="200">
        <f>'SKY Mex'!N93</f>
        <v>10107</v>
      </c>
      <c r="L9" s="200">
        <f>'SKY Mex'!O93</f>
        <v>9767</v>
      </c>
      <c r="M9" s="195">
        <f>'SKY Mex'!W93</f>
        <v>4242.6059057091816</v>
      </c>
      <c r="N9" s="195">
        <f>'SKY Mex'!X93</f>
        <v>3972.048022410771</v>
      </c>
      <c r="O9" s="195"/>
      <c r="P9" s="195"/>
      <c r="Q9" s="195"/>
      <c r="R9" s="195"/>
      <c r="S9" s="195"/>
      <c r="T9" s="195"/>
      <c r="U9" s="195"/>
    </row>
    <row r="10" spans="2:21">
      <c r="B10" s="194" t="s">
        <v>1128</v>
      </c>
      <c r="C10" s="207">
        <f>'SKY Mex'!F131</f>
        <v>1738.8000000000002</v>
      </c>
      <c r="D10" s="195">
        <f>'SKY Mex'!G131</f>
        <v>5519.31</v>
      </c>
      <c r="E10" s="195">
        <f>'SKY Mex'!H131</f>
        <v>3005.5039999999999</v>
      </c>
      <c r="F10" s="200">
        <f>'SKY Mex'!I131</f>
        <v>9764.7200000000012</v>
      </c>
      <c r="G10" s="200">
        <f>'SKY Mex'!J131</f>
        <v>5967.8519999999999</v>
      </c>
      <c r="H10" s="200">
        <f>'SKY Mex'!K131</f>
        <v>6505.9280000000008</v>
      </c>
      <c r="I10" s="200">
        <f>'SKY Mex'!L131</f>
        <v>7325.5919999999996</v>
      </c>
      <c r="J10" s="200">
        <f>'SKY Mex'!M131</f>
        <v>6533.4100000000008</v>
      </c>
      <c r="K10" s="200">
        <f>'SKY Mex'!N131</f>
        <v>3995.4599999999996</v>
      </c>
      <c r="L10" s="200">
        <f>'SKY Mex'!O131</f>
        <v>4034.7999999999997</v>
      </c>
      <c r="M10" s="195">
        <f>'SKY Mex'!W131</f>
        <v>1844.6112633518183</v>
      </c>
      <c r="N10" s="195">
        <f>'SKY Mex'!X131</f>
        <v>1752.3741275341638</v>
      </c>
      <c r="O10" s="195"/>
      <c r="P10" s="195"/>
      <c r="Q10" s="195"/>
      <c r="R10" s="195"/>
      <c r="S10" s="195"/>
      <c r="T10" s="195"/>
      <c r="U10" s="195"/>
    </row>
    <row r="11" spans="2:21">
      <c r="B11" s="194" t="s">
        <v>1129</v>
      </c>
      <c r="C11" s="207">
        <f>'SKY Mex'!F162</f>
        <v>1043.28</v>
      </c>
      <c r="D11" s="195">
        <f>'SKY Mex'!G162</f>
        <v>3587.5515000000005</v>
      </c>
      <c r="E11" s="195">
        <f>'SKY Mex'!H162</f>
        <v>2103.8527999999997</v>
      </c>
      <c r="F11" s="200">
        <f>'SKY Mex'!I162</f>
        <v>2882.04</v>
      </c>
      <c r="G11" s="200">
        <f>'SKY Mex'!J162</f>
        <v>3044.7912000000001</v>
      </c>
      <c r="H11" s="200">
        <f>'SKY Mex'!K162</f>
        <v>3622.4496000000004</v>
      </c>
      <c r="I11" s="200">
        <f>'SKY Mex'!L162</f>
        <v>4590.8735999999999</v>
      </c>
      <c r="J11" s="200">
        <f>'SKY Mex'!M162</f>
        <v>5880.0690000000004</v>
      </c>
      <c r="K11" s="200">
        <f>'SKY Mex'!N162</f>
        <v>4794.5519999999997</v>
      </c>
      <c r="L11" s="200">
        <f>'SKY Mex'!O162</f>
        <v>4841.7599999999993</v>
      </c>
      <c r="M11" s="195">
        <f>'SKY Mex'!W162</f>
        <v>1844.6112633518183</v>
      </c>
      <c r="N11" s="195">
        <f>'SKY Mex'!X162</f>
        <v>1752.3741275341638</v>
      </c>
      <c r="O11" s="195"/>
      <c r="P11" s="195"/>
      <c r="Q11" s="195"/>
      <c r="R11" s="195"/>
      <c r="S11" s="195"/>
      <c r="T11" s="195"/>
      <c r="U11" s="195"/>
    </row>
    <row r="12" spans="2:21">
      <c r="B12" s="194" t="s">
        <v>186</v>
      </c>
      <c r="C12" s="207">
        <f>'SKY Mex'!F163</f>
        <v>3435.7200000000003</v>
      </c>
      <c r="D12" s="195">
        <f>'SKY Mex'!G163</f>
        <v>1487.4484999999995</v>
      </c>
      <c r="E12" s="195">
        <f>'SKY Mex'!H163</f>
        <v>3685.9472000000005</v>
      </c>
      <c r="F12" s="200">
        <f>'SKY Mex'!I163</f>
        <v>3675.96</v>
      </c>
      <c r="G12" s="200">
        <f>'SKY Mex'!J163</f>
        <v>4295.7088000000003</v>
      </c>
      <c r="H12" s="200">
        <f>'SKY Mex'!K163</f>
        <v>4588.8503999999994</v>
      </c>
      <c r="I12" s="200">
        <f>'SKY Mex'!L163</f>
        <v>4381.4263999999994</v>
      </c>
      <c r="J12" s="200">
        <f>'SKY Mex'!M163</f>
        <v>4018.4309999999996</v>
      </c>
      <c r="K12" s="200">
        <f>'SKY Mex'!N163</f>
        <v>5312.4480000000003</v>
      </c>
      <c r="L12" s="200">
        <f>'SKY Mex'!O163</f>
        <v>4925.2400000000007</v>
      </c>
      <c r="M12" s="195">
        <f>'SKY Mex'!W163</f>
        <v>2397.9946423573633</v>
      </c>
      <c r="N12" s="195">
        <f>'SKY Mex'!X163</f>
        <v>2219.6738948766069</v>
      </c>
      <c r="O12" s="195"/>
      <c r="P12" s="195"/>
      <c r="Q12" s="195"/>
      <c r="R12" s="195"/>
      <c r="S12" s="195"/>
      <c r="T12" s="195"/>
      <c r="U12" s="195"/>
    </row>
    <row r="13" spans="2:21">
      <c r="B13" s="194"/>
      <c r="D13" s="194"/>
      <c r="E13" s="194"/>
      <c r="F13" s="204"/>
      <c r="G13" s="204"/>
      <c r="H13" s="204"/>
      <c r="I13" s="204"/>
      <c r="J13" s="204"/>
      <c r="K13" s="204"/>
      <c r="L13" s="204"/>
      <c r="M13" s="194"/>
      <c r="N13" s="194"/>
      <c r="O13" s="194"/>
      <c r="P13" s="194"/>
      <c r="Q13" s="194"/>
      <c r="R13" s="194"/>
      <c r="S13" s="194"/>
      <c r="T13" s="194"/>
      <c r="U13" s="194"/>
    </row>
    <row r="14" spans="2:21">
      <c r="B14" s="194" t="s">
        <v>1118</v>
      </c>
      <c r="C14" s="208">
        <f>Valuation!E19</f>
        <v>13.5</v>
      </c>
      <c r="D14" s="209">
        <f>Valuation!F19</f>
        <v>12.63</v>
      </c>
      <c r="E14" s="209">
        <f>Valuation!G19</f>
        <v>12.44</v>
      </c>
      <c r="F14" s="210">
        <f>Valuation!H19</f>
        <v>13.16</v>
      </c>
      <c r="G14" s="210">
        <f>Valuation!I19</f>
        <v>12.76</v>
      </c>
      <c r="H14" s="210">
        <f>Valuation!J19</f>
        <v>13.31</v>
      </c>
      <c r="I14" s="210">
        <f>Valuation!K19</f>
        <v>15.87</v>
      </c>
      <c r="J14" s="210">
        <f>Valuation!L19</f>
        <v>18.850000000000001</v>
      </c>
      <c r="K14" s="210">
        <f>Valuation!M19</f>
        <v>18.899999999999999</v>
      </c>
      <c r="L14" s="210">
        <f>Valuation!N19</f>
        <v>19.25</v>
      </c>
      <c r="M14" s="209">
        <f>Valuation!O19</f>
        <v>19.25</v>
      </c>
      <c r="N14" s="209">
        <f>Valuation!P19</f>
        <v>21.48</v>
      </c>
      <c r="O14" s="197"/>
      <c r="P14" s="197"/>
      <c r="Q14" s="197"/>
      <c r="R14" s="197"/>
      <c r="S14" s="197"/>
      <c r="T14" s="197"/>
      <c r="U14" s="197"/>
    </row>
    <row r="15" spans="2:21">
      <c r="B15" s="194" t="s">
        <v>1119</v>
      </c>
      <c r="C15" s="206">
        <f>Master!H332</f>
        <v>0.28000000000000003</v>
      </c>
      <c r="D15" s="198">
        <f>Master!I332</f>
        <v>0.28000000000000003</v>
      </c>
      <c r="E15" s="198">
        <f>Master!J332</f>
        <v>0.28000000000000003</v>
      </c>
      <c r="F15" s="201">
        <f>Master!K332</f>
        <v>0.25</v>
      </c>
      <c r="G15" s="201">
        <f>Master!L332</f>
        <v>0.25</v>
      </c>
      <c r="H15" s="201">
        <f>Master!M332</f>
        <v>0.25</v>
      </c>
      <c r="I15" s="201">
        <f>Master!N332</f>
        <v>0.25</v>
      </c>
      <c r="J15" s="201">
        <f>Master!O332</f>
        <v>0.25</v>
      </c>
      <c r="K15" s="201">
        <f>Master!P332</f>
        <v>0.30843616944504582</v>
      </c>
      <c r="L15" s="201">
        <f>Master!Q332</f>
        <v>0.33169913656999978</v>
      </c>
      <c r="M15" s="198">
        <f>Master!R332</f>
        <v>0.23575012948638485</v>
      </c>
      <c r="N15" s="198">
        <f>Master!S332</f>
        <v>0.82718468240299936</v>
      </c>
      <c r="O15" s="198"/>
      <c r="P15" s="198"/>
      <c r="Q15" s="198"/>
      <c r="R15" s="198"/>
      <c r="S15" s="198"/>
      <c r="T15" s="198"/>
      <c r="U15" s="198"/>
    </row>
    <row r="16" spans="2:21">
      <c r="B16" s="194"/>
      <c r="D16" s="195"/>
      <c r="E16" s="195"/>
      <c r="F16" s="203"/>
      <c r="G16" s="203"/>
      <c r="H16" s="203"/>
      <c r="I16" s="203"/>
      <c r="J16" s="203"/>
      <c r="K16" s="203"/>
      <c r="L16" s="203"/>
      <c r="M16" s="195"/>
      <c r="N16" s="195"/>
      <c r="O16" s="195"/>
      <c r="P16" s="195"/>
      <c r="Q16" s="195"/>
      <c r="R16" s="195"/>
      <c r="S16" s="195"/>
      <c r="T16" s="195"/>
      <c r="U16" s="195"/>
    </row>
    <row r="17" spans="2:21">
      <c r="B17" s="194" t="s">
        <v>1120</v>
      </c>
      <c r="C17" s="207">
        <f>'SKY Mex'!F28</f>
        <v>27925</v>
      </c>
      <c r="D17" s="211">
        <f>'SKY Mex'!G28</f>
        <v>28625</v>
      </c>
      <c r="E17" s="211">
        <f>'SKY Mex'!H28</f>
        <v>29325</v>
      </c>
      <c r="F17" s="212">
        <f>'SKY Mex'!I28</f>
        <v>30025</v>
      </c>
      <c r="G17" s="212">
        <f>'SKY Mex'!J28</f>
        <v>30725</v>
      </c>
      <c r="H17" s="212">
        <f>'SKY Mex'!K28</f>
        <v>31425</v>
      </c>
      <c r="I17" s="212">
        <f>'SKY Mex'!L28</f>
        <v>32215</v>
      </c>
      <c r="J17" s="212">
        <f>'SKY Mex'!M28</f>
        <v>32365</v>
      </c>
      <c r="K17" s="212">
        <f>'SKY Mex'!N28</f>
        <v>32515</v>
      </c>
      <c r="L17" s="212">
        <f>'SKY Mex'!O28</f>
        <v>32665</v>
      </c>
      <c r="M17" s="209">
        <f>'SKY Mex'!W28</f>
        <v>33715</v>
      </c>
      <c r="N17" s="209">
        <f>'SKY Mex'!X28</f>
        <v>33715</v>
      </c>
      <c r="O17" s="196"/>
      <c r="P17" s="196"/>
      <c r="Q17" s="196"/>
      <c r="R17" s="196"/>
      <c r="S17" s="196"/>
      <c r="T17" s="196"/>
      <c r="U17" s="196"/>
    </row>
    <row r="18" spans="2:21">
      <c r="B18" s="194" t="s">
        <v>1121</v>
      </c>
      <c r="C18" s="207">
        <f>'SKY Mex'!F23</f>
        <v>8050</v>
      </c>
      <c r="D18" s="211">
        <f>'SKY Mex'!G23</f>
        <v>10073</v>
      </c>
      <c r="E18" s="211">
        <f>'SKY Mex'!H23</f>
        <v>11498</v>
      </c>
      <c r="F18" s="212">
        <f>'SKY Mex'!I23</f>
        <v>13019</v>
      </c>
      <c r="G18" s="212">
        <f>'SKY Mex'!J23</f>
        <v>14733</v>
      </c>
      <c r="H18" s="212">
        <f>'SKY Mex'!K23</f>
        <v>16095</v>
      </c>
      <c r="I18" s="212">
        <f>'SKY Mex'!L23</f>
        <v>17215</v>
      </c>
      <c r="J18" s="212">
        <f>'SKY Mex'!M23</f>
        <v>20500</v>
      </c>
      <c r="K18" s="212">
        <f>'SKY Mex'!N23</f>
        <v>22342</v>
      </c>
      <c r="L18" s="212">
        <f>'SKY Mex'!O23</f>
        <v>23000</v>
      </c>
      <c r="M18" s="209"/>
      <c r="N18" s="209"/>
      <c r="O18" s="196"/>
      <c r="P18" s="196"/>
      <c r="Q18" s="196"/>
      <c r="R18" s="196"/>
      <c r="S18" s="196"/>
      <c r="T18" s="196"/>
      <c r="U18" s="196"/>
    </row>
    <row r="19" spans="2:21">
      <c r="B19" s="194" t="s">
        <v>1122</v>
      </c>
      <c r="D19" s="196"/>
      <c r="E19" s="196"/>
      <c r="F19" s="202"/>
      <c r="G19" s="202"/>
      <c r="H19" s="202"/>
      <c r="I19" s="202"/>
      <c r="J19" s="202"/>
      <c r="K19" s="202"/>
      <c r="L19" s="202"/>
      <c r="M19" s="196"/>
      <c r="N19" s="196"/>
      <c r="O19" s="213" t="s">
        <v>1130</v>
      </c>
      <c r="P19" s="196"/>
      <c r="Q19" s="196"/>
      <c r="R19" s="196"/>
      <c r="S19" s="196"/>
      <c r="T19" s="196"/>
      <c r="U19" s="196"/>
    </row>
    <row r="20" spans="2:21">
      <c r="B20" s="194" t="s">
        <v>1123</v>
      </c>
      <c r="D20" s="196"/>
      <c r="E20" s="196"/>
      <c r="F20" s="202"/>
      <c r="G20" s="202"/>
      <c r="H20" s="202"/>
      <c r="I20" s="202"/>
      <c r="J20" s="202"/>
      <c r="K20" s="202"/>
      <c r="L20" s="202"/>
      <c r="M20" s="196"/>
      <c r="N20" s="196"/>
      <c r="O20" s="213" t="s">
        <v>1130</v>
      </c>
      <c r="P20" s="196"/>
      <c r="Q20" s="196"/>
      <c r="R20" s="196"/>
      <c r="S20" s="196"/>
      <c r="T20" s="196"/>
      <c r="U20" s="196"/>
    </row>
    <row r="21" spans="2:21">
      <c r="F21" s="205"/>
      <c r="G21" s="205"/>
      <c r="H21" s="205"/>
      <c r="I21" s="205"/>
      <c r="J21" s="205"/>
      <c r="K21" s="205"/>
      <c r="L21" s="205"/>
    </row>
    <row r="22" spans="2:21">
      <c r="B22" s="193" t="s">
        <v>1124</v>
      </c>
      <c r="F22" s="201">
        <f>SOP!L57</f>
        <v>7.9139999999999988E-2</v>
      </c>
      <c r="G22" s="205"/>
      <c r="H22" s="205"/>
      <c r="I22" s="205"/>
      <c r="J22" s="205"/>
      <c r="K22" s="205"/>
      <c r="L22" s="205"/>
    </row>
    <row r="23" spans="2:21">
      <c r="B23" s="193" t="s">
        <v>1125</v>
      </c>
      <c r="F23" s="201">
        <f>SOP!D68</f>
        <v>-0.08</v>
      </c>
      <c r="G23" s="205"/>
      <c r="H23" s="205"/>
      <c r="I23" s="205"/>
      <c r="J23" s="205"/>
      <c r="K23" s="205"/>
      <c r="L23" s="205"/>
    </row>
    <row r="24" spans="2:21">
      <c r="B24" s="193" t="s">
        <v>1126</v>
      </c>
      <c r="F24" s="200">
        <f>SOP!G68</f>
        <v>779.43221057187702</v>
      </c>
      <c r="G24" s="205"/>
      <c r="H24" s="205"/>
      <c r="I24" s="205"/>
      <c r="J24" s="205"/>
      <c r="K24" s="205"/>
      <c r="L24" s="205"/>
    </row>
    <row r="25" spans="2:21">
      <c r="B25" s="193" t="s">
        <v>1127</v>
      </c>
      <c r="F25" s="200">
        <f ca="1">SOP!F5</f>
        <v>35.537123705425479</v>
      </c>
      <c r="G25" s="205"/>
      <c r="H25" s="205"/>
      <c r="I25" s="205"/>
      <c r="J25" s="205"/>
      <c r="K25" s="205"/>
      <c r="L25" s="205"/>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L28"/>
  <sheetViews>
    <sheetView workbookViewId="0">
      <selection activeCell="M92" sqref="M92"/>
    </sheetView>
  </sheetViews>
  <sheetFormatPr defaultRowHeight="15"/>
  <cols>
    <col min="2" max="2" width="29.42578125" customWidth="1"/>
  </cols>
  <sheetData>
    <row r="1" spans="2:12">
      <c r="B1" t="s">
        <v>3295</v>
      </c>
    </row>
    <row r="3" spans="2:12" ht="15.75">
      <c r="B3" s="518"/>
      <c r="C3" s="519" t="s">
        <v>3296</v>
      </c>
      <c r="D3" s="519" t="s">
        <v>3297</v>
      </c>
      <c r="E3" s="519" t="s">
        <v>3298</v>
      </c>
      <c r="F3" s="519" t="s">
        <v>3299</v>
      </c>
      <c r="G3" s="519" t="s">
        <v>3300</v>
      </c>
      <c r="H3" s="519" t="s">
        <v>3301</v>
      </c>
      <c r="I3" s="519" t="s">
        <v>3302</v>
      </c>
      <c r="J3" s="519" t="s">
        <v>3303</v>
      </c>
      <c r="K3" s="519" t="s">
        <v>3304</v>
      </c>
      <c r="L3" s="519" t="s">
        <v>3305</v>
      </c>
    </row>
    <row r="4" spans="2:12" ht="15.75">
      <c r="B4" s="520" t="s">
        <v>3306</v>
      </c>
      <c r="C4" s="521">
        <v>12500</v>
      </c>
      <c r="D4" s="521">
        <v>12500</v>
      </c>
      <c r="E4" s="521">
        <v>12500</v>
      </c>
      <c r="F4" s="521">
        <v>12500</v>
      </c>
      <c r="G4" s="521">
        <v>12500</v>
      </c>
      <c r="H4" s="521">
        <v>12500</v>
      </c>
      <c r="I4" s="521">
        <v>12500</v>
      </c>
      <c r="J4" s="521">
        <v>12500</v>
      </c>
      <c r="K4" s="521">
        <v>12500</v>
      </c>
      <c r="L4" s="521">
        <v>12500</v>
      </c>
    </row>
    <row r="5" spans="2:12" ht="15.75">
      <c r="B5" s="520" t="s">
        <v>3307</v>
      </c>
      <c r="C5" s="521">
        <f>+(C6+C7+C8)/C28</f>
        <v>4769.9543062914154</v>
      </c>
      <c r="D5" s="521">
        <f t="shared" ref="D5:L5" si="0">+(D6+D7+D8)/D28</f>
        <v>4883.1284321453641</v>
      </c>
      <c r="E5" s="521">
        <f t="shared" si="0"/>
        <v>5474.8761721878518</v>
      </c>
      <c r="F5" s="521">
        <f t="shared" si="0"/>
        <v>5508.1602122348686</v>
      </c>
      <c r="G5" s="521">
        <f t="shared" si="0"/>
        <v>5984.9963548950027</v>
      </c>
      <c r="H5" s="521">
        <f t="shared" si="0"/>
        <v>6744.1113173274034</v>
      </c>
      <c r="I5" s="521">
        <f t="shared" si="0"/>
        <v>7157.8264455098169</v>
      </c>
      <c r="J5" s="521">
        <f t="shared" si="0"/>
        <v>6736.0007744363047</v>
      </c>
      <c r="K5" s="521">
        <f t="shared" si="0"/>
        <v>6664.1292765129201</v>
      </c>
      <c r="L5" s="521">
        <f t="shared" si="0"/>
        <v>6631.695133914448</v>
      </c>
    </row>
    <row r="6" spans="2:12" ht="15.75">
      <c r="B6" s="520" t="s">
        <v>1818</v>
      </c>
      <c r="C6" s="521">
        <f>+'Cable cos'!K148</f>
        <v>4206</v>
      </c>
      <c r="D6" s="521">
        <f>+'Cable cos'!L148</f>
        <v>4185</v>
      </c>
      <c r="E6" s="521">
        <f>+'Cable cos'!M148</f>
        <v>4384</v>
      </c>
      <c r="F6" s="521">
        <f>+'Cable cos'!N148</f>
        <v>4318.8630000000003</v>
      </c>
      <c r="G6" s="521">
        <f>+'Cable cos'!O148</f>
        <v>4284.7</v>
      </c>
      <c r="H6" s="521">
        <f>+'Cable cos'!P148</f>
        <v>4166.46</v>
      </c>
      <c r="I6" s="521">
        <f>+'Cable cos'!Q148</f>
        <v>4458.22</v>
      </c>
      <c r="J6" s="521">
        <f>+'Cable cos'!R148</f>
        <v>4059.4940000000001</v>
      </c>
      <c r="K6" s="521">
        <f>+'Cable cos'!S148</f>
        <v>4105</v>
      </c>
      <c r="L6" s="521">
        <f>+'Cable cos'!T148</f>
        <v>4063.95</v>
      </c>
    </row>
    <row r="7" spans="2:12" ht="15.75">
      <c r="B7" s="520" t="s">
        <v>3308</v>
      </c>
      <c r="C7" s="521">
        <f>+'Cable cos'!K147</f>
        <v>3185.8150779920593</v>
      </c>
      <c r="D7" s="521">
        <f>+'Cable cos'!L147</f>
        <v>3564.0404736245036</v>
      </c>
      <c r="E7" s="521">
        <f>+'Cable cos'!M147</f>
        <v>4129.7346908678392</v>
      </c>
      <c r="F7" s="521">
        <f>+'Cable cos'!N147</f>
        <v>4326.8025833716611</v>
      </c>
      <c r="G7" s="521">
        <f>+'Cable cos'!O147</f>
        <v>5013.6048992099777</v>
      </c>
      <c r="H7" s="521">
        <f>+'Cable cos'!P147</f>
        <v>5649.1019999999999</v>
      </c>
      <c r="I7" s="521">
        <f>+'Cable cos'!Q147</f>
        <v>5984.1509999999998</v>
      </c>
      <c r="J7" s="521">
        <f>+'Cable cos'!R147</f>
        <v>5678.4309999999996</v>
      </c>
      <c r="K7" s="521">
        <f>+'Cable cos'!S147</f>
        <v>5780.6295674905687</v>
      </c>
      <c r="L7" s="521">
        <f>+'Cable cos'!T147</f>
        <v>5897.8162438395439</v>
      </c>
    </row>
    <row r="8" spans="2:12" ht="15.75">
      <c r="B8" s="520" t="s">
        <v>3309</v>
      </c>
      <c r="C8" s="521">
        <f>+'Cable cos'!K146</f>
        <v>1814.5000000000002</v>
      </c>
      <c r="D8" s="521">
        <f>+'Cable cos'!L146</f>
        <v>1871.0330000000001</v>
      </c>
      <c r="E8" s="521">
        <f>+'Cable cos'!M146</f>
        <v>2491.1144999999997</v>
      </c>
      <c r="F8" s="521">
        <f>+'Cable cos'!N146</f>
        <v>2646.4130526315789</v>
      </c>
      <c r="G8" s="521">
        <f>+'Cable cos'!O146</f>
        <v>3210.7179999999998</v>
      </c>
      <c r="H8" s="521">
        <f>+'Cable cos'!P146</f>
        <v>4617.2650000000003</v>
      </c>
      <c r="I8" s="521">
        <f>+'Cable cos'!Q146</f>
        <v>5233.7240000000002</v>
      </c>
      <c r="J8" s="521">
        <f>+'Cable cos'!R146</f>
        <v>5351.1450000000004</v>
      </c>
      <c r="K8" s="521">
        <f>+'Cable cos'!S146</f>
        <v>5375.6501714999995</v>
      </c>
      <c r="L8" s="521">
        <f>+'Cable cos'!T146</f>
        <v>5556.8220031799992</v>
      </c>
    </row>
    <row r="9" spans="2:12" ht="15.75">
      <c r="B9" s="520" t="s">
        <v>1931</v>
      </c>
      <c r="C9" s="521"/>
      <c r="D9" s="521"/>
      <c r="E9" s="521"/>
      <c r="F9" s="521"/>
      <c r="G9" s="521"/>
      <c r="H9" s="521"/>
      <c r="I9" s="521"/>
      <c r="J9" s="521"/>
      <c r="K9" s="521"/>
      <c r="L9" s="521"/>
    </row>
    <row r="10" spans="2:12" ht="15.75">
      <c r="B10" s="520"/>
      <c r="C10" s="521"/>
      <c r="D10" s="521"/>
      <c r="E10" s="521"/>
      <c r="F10" s="521"/>
      <c r="G10" s="521"/>
      <c r="H10" s="521"/>
      <c r="I10" s="521"/>
      <c r="J10" s="521"/>
      <c r="K10" s="521"/>
      <c r="L10" s="521"/>
    </row>
    <row r="11" spans="2:12" ht="15.75">
      <c r="B11" s="520" t="s">
        <v>3310</v>
      </c>
      <c r="C11" s="521"/>
      <c r="D11" s="521"/>
      <c r="E11" s="521"/>
      <c r="F11" s="521"/>
      <c r="G11" s="521"/>
      <c r="H11" s="521"/>
      <c r="I11" s="521"/>
      <c r="J11" s="521"/>
      <c r="K11" s="521"/>
      <c r="L11" s="521"/>
    </row>
    <row r="12" spans="2:12" ht="15.75">
      <c r="B12" s="520" t="s">
        <v>1818</v>
      </c>
      <c r="C12" s="521"/>
      <c r="D12" s="521"/>
      <c r="E12" s="521"/>
      <c r="F12" s="521"/>
      <c r="G12" s="521"/>
      <c r="H12" s="521"/>
      <c r="I12" s="521"/>
      <c r="J12" s="521"/>
      <c r="K12" s="521"/>
      <c r="L12" s="521"/>
    </row>
    <row r="13" spans="2:12" ht="15.75">
      <c r="B13" s="520" t="s">
        <v>3308</v>
      </c>
      <c r="C13" s="521"/>
      <c r="D13" s="521"/>
      <c r="E13" s="521"/>
      <c r="F13" s="521"/>
      <c r="G13" s="521"/>
      <c r="H13" s="521"/>
      <c r="I13" s="521"/>
      <c r="J13" s="521"/>
      <c r="K13" s="521"/>
      <c r="L13" s="521"/>
    </row>
    <row r="14" spans="2:12" ht="15.75">
      <c r="B14" s="520" t="s">
        <v>3311</v>
      </c>
      <c r="C14" s="521"/>
      <c r="D14" s="521"/>
      <c r="E14" s="521"/>
      <c r="F14" s="521"/>
      <c r="G14" s="521"/>
      <c r="H14" s="521"/>
      <c r="I14" s="521"/>
      <c r="J14" s="521"/>
      <c r="K14" s="521"/>
      <c r="L14" s="521"/>
    </row>
    <row r="15" spans="2:12" ht="15.75">
      <c r="B15" s="520" t="s">
        <v>3312</v>
      </c>
      <c r="C15" s="522">
        <f>+'Cable cos'!K185</f>
        <v>31891.599999999999</v>
      </c>
      <c r="D15" s="522">
        <f>+'Cable cos'!L185</f>
        <v>33048</v>
      </c>
      <c r="E15" s="522">
        <f>+'Cable cos'!M185</f>
        <v>36233</v>
      </c>
      <c r="F15" s="522">
        <f>+'Cable cos'!N185</f>
        <v>41702</v>
      </c>
      <c r="G15" s="522">
        <f>+'Cable cos'!O185</f>
        <v>45367.1</v>
      </c>
      <c r="H15" s="522">
        <f>+'Cable cos'!P185</f>
        <v>48020.9</v>
      </c>
      <c r="I15" s="522">
        <f>+'Cable cos'!Q185</f>
        <v>48411.8</v>
      </c>
      <c r="J15" s="522">
        <f>+'Cable cos'!R185</f>
        <v>48802.5</v>
      </c>
      <c r="K15" s="522">
        <f>+'Cable cos'!S185</f>
        <v>48802.5</v>
      </c>
      <c r="L15" s="522">
        <f>+'Cable cos'!T185</f>
        <v>49290.525000000001</v>
      </c>
    </row>
    <row r="16" spans="2:12" ht="15.75">
      <c r="B16" s="520" t="s">
        <v>1931</v>
      </c>
      <c r="C16" s="521"/>
      <c r="D16" s="521"/>
      <c r="E16" s="521"/>
      <c r="F16" s="521"/>
      <c r="G16" s="521"/>
      <c r="H16" s="521"/>
      <c r="I16" s="521"/>
      <c r="J16" s="521"/>
      <c r="K16" s="521"/>
      <c r="L16" s="521"/>
    </row>
    <row r="17" spans="2:12" ht="15.75">
      <c r="B17" s="520" t="s">
        <v>3313</v>
      </c>
      <c r="C17" s="522">
        <f>+C16+C15</f>
        <v>31891.599999999999</v>
      </c>
      <c r="D17" s="522">
        <f t="shared" ref="D17:L17" si="1">+D16+D15</f>
        <v>33048</v>
      </c>
      <c r="E17" s="522">
        <f t="shared" si="1"/>
        <v>36233</v>
      </c>
      <c r="F17" s="522">
        <f t="shared" si="1"/>
        <v>41702</v>
      </c>
      <c r="G17" s="522">
        <f t="shared" si="1"/>
        <v>45367.1</v>
      </c>
      <c r="H17" s="522">
        <f t="shared" si="1"/>
        <v>48020.9</v>
      </c>
      <c r="I17" s="522">
        <f t="shared" si="1"/>
        <v>48411.8</v>
      </c>
      <c r="J17" s="522">
        <f t="shared" si="1"/>
        <v>48802.5</v>
      </c>
      <c r="K17" s="522">
        <f t="shared" si="1"/>
        <v>48802.5</v>
      </c>
      <c r="L17" s="522">
        <f t="shared" si="1"/>
        <v>49290.525000000001</v>
      </c>
    </row>
    <row r="18" spans="2:12" ht="15.75">
      <c r="B18" s="520" t="s">
        <v>3314</v>
      </c>
      <c r="C18" s="521"/>
      <c r="D18" s="521"/>
      <c r="E18" s="521"/>
      <c r="F18" s="521"/>
      <c r="G18" s="521"/>
      <c r="H18" s="521"/>
      <c r="I18" s="521"/>
      <c r="J18" s="521"/>
      <c r="K18" s="521"/>
      <c r="L18" s="521"/>
    </row>
    <row r="19" spans="2:12" ht="15.75">
      <c r="B19" s="520" t="s">
        <v>44</v>
      </c>
      <c r="C19" s="521">
        <f>+C20-C18-C17</f>
        <v>0</v>
      </c>
      <c r="D19" s="521">
        <f>+D20-D18-D17</f>
        <v>0</v>
      </c>
      <c r="E19" s="521">
        <f t="shared" ref="E19:L19" si="2">+E20-E18-E17</f>
        <v>0</v>
      </c>
      <c r="F19" s="521">
        <f t="shared" si="2"/>
        <v>0</v>
      </c>
      <c r="G19" s="521">
        <f t="shared" si="2"/>
        <v>0</v>
      </c>
      <c r="H19" s="521">
        <f t="shared" si="2"/>
        <v>0</v>
      </c>
      <c r="I19" s="521">
        <f t="shared" si="2"/>
        <v>0</v>
      </c>
      <c r="J19" s="521">
        <f t="shared" si="2"/>
        <v>0</v>
      </c>
      <c r="K19" s="521">
        <f t="shared" si="2"/>
        <v>0</v>
      </c>
      <c r="L19" s="521">
        <f t="shared" si="2"/>
        <v>0</v>
      </c>
    </row>
    <row r="20" spans="2:12" ht="15.75">
      <c r="B20" s="520" t="s">
        <v>3315</v>
      </c>
      <c r="C20" s="521">
        <f>+'Cable cos'!K185</f>
        <v>31891.599999999999</v>
      </c>
      <c r="D20" s="521">
        <f>+'Cable cos'!L185</f>
        <v>33048</v>
      </c>
      <c r="E20" s="521">
        <f>+'Cable cos'!M185</f>
        <v>36233</v>
      </c>
      <c r="F20" s="521">
        <f>+'Cable cos'!N185</f>
        <v>41702</v>
      </c>
      <c r="G20" s="521">
        <f>+'Cable cos'!O185</f>
        <v>45367.1</v>
      </c>
      <c r="H20" s="521">
        <f>+'Cable cos'!P185</f>
        <v>48020.9</v>
      </c>
      <c r="I20" s="521">
        <f>+'Cable cos'!Q185</f>
        <v>48411.8</v>
      </c>
      <c r="J20" s="521">
        <f>+'Cable cos'!R185</f>
        <v>48802.5</v>
      </c>
      <c r="K20" s="521">
        <f>+'Cable cos'!S185</f>
        <v>48802.5</v>
      </c>
      <c r="L20" s="521">
        <f>+'Cable cos'!T185</f>
        <v>49290.525000000001</v>
      </c>
    </row>
    <row r="21" spans="2:12" ht="15.75">
      <c r="B21" s="520"/>
      <c r="C21" s="521"/>
      <c r="D21" s="521"/>
      <c r="E21" s="521"/>
      <c r="F21" s="521"/>
      <c r="G21" s="521"/>
      <c r="H21" s="521"/>
      <c r="I21" s="521"/>
      <c r="J21" s="521"/>
      <c r="K21" s="521"/>
      <c r="L21" s="521"/>
    </row>
    <row r="22" spans="2:12" ht="15.75">
      <c r="B22" s="520" t="s">
        <v>57</v>
      </c>
      <c r="C22" s="521">
        <f>+'Cable cos'!K208</f>
        <v>13236.1</v>
      </c>
      <c r="D22" s="521">
        <f>+'Cable cos'!L208</f>
        <v>14035</v>
      </c>
      <c r="E22" s="521">
        <f>+'Cable cos'!M208</f>
        <v>15303</v>
      </c>
      <c r="F22" s="521">
        <f>+'Cable cos'!N208</f>
        <v>17798</v>
      </c>
      <c r="G22" s="521">
        <f>+'Cable cos'!O208</f>
        <v>18898.3</v>
      </c>
      <c r="H22" s="521">
        <f>+'Cable cos'!P208</f>
        <v>20285</v>
      </c>
      <c r="I22" s="521">
        <f>+'Cable cos'!Q208</f>
        <v>19902.8</v>
      </c>
      <c r="J22" s="521">
        <f>+'Cable cos'!R208</f>
        <v>18821</v>
      </c>
      <c r="K22" s="521">
        <f>+'Cable cos'!S208</f>
        <v>18178.931250000001</v>
      </c>
      <c r="L22" s="521">
        <f>+'Cable cos'!T208</f>
        <v>18237.49425</v>
      </c>
    </row>
    <row r="23" spans="2:12" ht="15.75">
      <c r="B23" s="520" t="s">
        <v>201</v>
      </c>
      <c r="C23" s="521">
        <f>+'Cable cos'!K228</f>
        <v>18552.170000000002</v>
      </c>
      <c r="D23" s="521">
        <f>+'Cable cos'!L228</f>
        <v>10578.33</v>
      </c>
      <c r="E23" s="521">
        <f>+'Cable cos'!M228</f>
        <v>12801.25</v>
      </c>
      <c r="F23" s="521">
        <f>+'Cable cos'!N228</f>
        <v>12966.800000000001</v>
      </c>
      <c r="G23" s="521">
        <f>+'Cable cos'!O228</f>
        <v>14230.5</v>
      </c>
      <c r="H23" s="521">
        <f>+'Cable cos'!P228</f>
        <v>17333.977760915466</v>
      </c>
      <c r="I23" s="521">
        <f>+'Cable cos'!Q228</f>
        <v>12989.048999999999</v>
      </c>
      <c r="J23" s="521">
        <f>+'Cable cos'!R228</f>
        <v>11204.1</v>
      </c>
      <c r="K23" s="521">
        <f>+'Cable cos'!S228</f>
        <v>10614.543750000001</v>
      </c>
      <c r="L23" s="521">
        <f>+'Cable cos'!T228</f>
        <v>10351.010249999999</v>
      </c>
    </row>
    <row r="24" spans="2:12" ht="15.75">
      <c r="B24" s="520" t="s">
        <v>3316</v>
      </c>
      <c r="C24" s="523"/>
      <c r="D24" s="523"/>
      <c r="E24" s="523"/>
      <c r="F24" s="523"/>
      <c r="G24" s="523"/>
      <c r="H24" s="523"/>
      <c r="I24" s="523"/>
      <c r="J24" s="523"/>
      <c r="K24" s="523"/>
      <c r="L24" s="523"/>
    </row>
    <row r="25" spans="2:12" ht="15.75">
      <c r="B25" s="520" t="s">
        <v>3317</v>
      </c>
      <c r="C25" s="523"/>
      <c r="D25" s="523"/>
      <c r="E25" s="523"/>
      <c r="F25" s="523"/>
      <c r="G25" s="523"/>
      <c r="H25" s="523"/>
      <c r="I25" s="523"/>
      <c r="J25" s="523"/>
      <c r="K25" s="523"/>
      <c r="L25" s="523"/>
    </row>
    <row r="27" spans="2:12" ht="15.75">
      <c r="B27" s="520" t="s">
        <v>3318</v>
      </c>
      <c r="C27" s="520"/>
      <c r="D27" s="520"/>
      <c r="E27" s="520"/>
      <c r="F27" s="520"/>
      <c r="G27" s="520"/>
      <c r="H27" s="520"/>
      <c r="I27" s="520"/>
      <c r="J27" s="520"/>
      <c r="K27" s="520"/>
      <c r="L27" s="520"/>
    </row>
    <row r="28" spans="2:12" ht="15.75">
      <c r="B28" s="520" t="s">
        <v>3319</v>
      </c>
      <c r="C28" s="521">
        <v>1.9300635785649409</v>
      </c>
      <c r="D28" s="521">
        <v>1.9700635785649405</v>
      </c>
      <c r="E28" s="521">
        <v>2.010063578564941</v>
      </c>
      <c r="F28" s="521">
        <v>2.050063578564941</v>
      </c>
      <c r="G28" s="521">
        <v>2.0900635785649411</v>
      </c>
      <c r="H28" s="521">
        <v>2.1400635785649409</v>
      </c>
      <c r="I28" s="521">
        <v>2.1900635785649407</v>
      </c>
      <c r="J28" s="521">
        <v>2.2400635785649405</v>
      </c>
      <c r="K28" s="521">
        <v>2.2900635785649408</v>
      </c>
      <c r="L28" s="521">
        <v>2.3400635785649402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AL96"/>
  <sheetViews>
    <sheetView showGridLines="0" zoomScale="72" zoomScaleNormal="72" workbookViewId="0">
      <selection activeCell="B3" sqref="B3"/>
    </sheetView>
  </sheetViews>
  <sheetFormatPr defaultColWidth="9.140625" defaultRowHeight="15" outlineLevelRow="1" outlineLevelCol="1"/>
  <cols>
    <col min="1" max="1" width="3.140625" style="685" customWidth="1"/>
    <col min="2" max="2" width="29.42578125" style="685" customWidth="1"/>
    <col min="3" max="3" width="18.5703125" style="685" customWidth="1"/>
    <col min="4" max="4" width="17.42578125" style="685" customWidth="1"/>
    <col min="5" max="5" width="16.28515625" style="685" customWidth="1"/>
    <col min="6" max="6" width="14.7109375" style="685" customWidth="1"/>
    <col min="7" max="7" width="12.7109375" style="685" customWidth="1"/>
    <col min="8" max="8" width="10.85546875" style="685" customWidth="1"/>
    <col min="9" max="9" width="15" style="685" customWidth="1"/>
    <col min="10" max="21" width="12.28515625" style="685" customWidth="1"/>
    <col min="22" max="22" width="9.140625" style="685"/>
    <col min="23" max="23" width="29.7109375" style="685" hidden="1" customWidth="1" outlineLevel="1"/>
    <col min="24" max="27" width="9.140625" style="685" hidden="1" customWidth="1" outlineLevel="1"/>
    <col min="28" max="28" width="12" style="685" hidden="1" customWidth="1" outlineLevel="1"/>
    <col min="29" max="37" width="9.140625" style="685" hidden="1" customWidth="1" outlineLevel="1"/>
    <col min="38" max="38" width="9.140625" style="685" collapsed="1"/>
    <col min="39" max="16384" width="9.140625" style="685"/>
  </cols>
  <sheetData>
    <row r="1" spans="2:37">
      <c r="E1" s="904"/>
      <c r="G1" s="685" t="s">
        <v>84</v>
      </c>
    </row>
    <row r="2" spans="2:37">
      <c r="E2" s="904"/>
    </row>
    <row r="3" spans="2:37">
      <c r="B3" s="857" t="s">
        <v>5049</v>
      </c>
      <c r="C3" s="858" t="s">
        <v>1586</v>
      </c>
      <c r="D3" s="858" t="s">
        <v>7712</v>
      </c>
      <c r="E3" s="858" t="s">
        <v>471</v>
      </c>
      <c r="F3" s="858" t="s">
        <v>7271</v>
      </c>
      <c r="G3" s="858" t="s">
        <v>473</v>
      </c>
      <c r="H3" s="858" t="s">
        <v>7275</v>
      </c>
      <c r="I3" s="925" t="s">
        <v>484</v>
      </c>
      <c r="W3" s="973" t="s">
        <v>5049</v>
      </c>
      <c r="X3" s="908" t="s">
        <v>1586</v>
      </c>
      <c r="Y3" s="908" t="s">
        <v>7458</v>
      </c>
      <c r="Z3" s="908" t="s">
        <v>471</v>
      </c>
      <c r="AA3" s="908" t="s">
        <v>7271</v>
      </c>
      <c r="AB3" s="908" t="s">
        <v>473</v>
      </c>
      <c r="AE3" s="685" t="s">
        <v>2697</v>
      </c>
      <c r="AF3" s="685" t="s">
        <v>2427</v>
      </c>
      <c r="AG3" s="685" t="s">
        <v>7532</v>
      </c>
    </row>
    <row r="4" spans="2:37" hidden="1" outlineLevel="1">
      <c r="B4" s="685" t="s">
        <v>1609</v>
      </c>
      <c r="C4" s="956">
        <v>1</v>
      </c>
      <c r="D4" s="957">
        <f>G4/(Content!O27/Valuation!Q19)</f>
        <v>0</v>
      </c>
      <c r="E4" s="958">
        <f>G4-F4</f>
        <v>0</v>
      </c>
      <c r="F4" s="959"/>
      <c r="G4" s="958">
        <f>G67</f>
        <v>0</v>
      </c>
      <c r="H4" s="956">
        <f ca="1">G4/G$23</f>
        <v>0</v>
      </c>
      <c r="I4" s="959" t="s">
        <v>485</v>
      </c>
      <c r="J4" s="905"/>
      <c r="W4" s="846" t="s">
        <v>1609</v>
      </c>
      <c r="X4" s="960">
        <v>1</v>
      </c>
      <c r="Y4" s="961">
        <v>-1.6698293684270428E-2</v>
      </c>
      <c r="Z4" s="962">
        <v>-11.34236521674667</v>
      </c>
      <c r="AA4" s="966"/>
      <c r="AB4" s="962">
        <v>-11.34236521674667</v>
      </c>
      <c r="AE4" s="905">
        <v>15000</v>
      </c>
      <c r="AF4" s="905">
        <f>F13</f>
        <v>9658.7000000000007</v>
      </c>
      <c r="AG4" s="905">
        <f>AE4-AF4</f>
        <v>5341.2999999999993</v>
      </c>
      <c r="AH4" s="807">
        <f>1000/AG4</f>
        <v>0.1872203396176961</v>
      </c>
      <c r="AI4" s="807">
        <f>C13/(1+AH4)</f>
        <v>0.37903663286707773</v>
      </c>
    </row>
    <row r="5" spans="2:37" collapsed="1">
      <c r="B5" s="846" t="str">
        <f>Master!B80</f>
        <v>Sky</v>
      </c>
      <c r="C5" s="960">
        <v>1</v>
      </c>
      <c r="D5" s="961">
        <f>G5/(Master!W67/Valuation!T$19)</f>
        <v>2.6973558160751723</v>
      </c>
      <c r="E5" s="1093">
        <f ca="1">G5-F5</f>
        <v>743.89508686645149</v>
      </c>
      <c r="F5" s="1093">
        <f ca="1">'SKY Mex'!U156/Valuation!$T$19</f>
        <v>35.537123705425479</v>
      </c>
      <c r="G5" s="1093">
        <f>G68</f>
        <v>779.43221057187702</v>
      </c>
      <c r="H5" s="960">
        <f ca="1">E5/G27*C5</f>
        <v>0.57281675432095769</v>
      </c>
      <c r="I5" s="959" t="s">
        <v>485</v>
      </c>
      <c r="W5" s="846" t="s">
        <v>128</v>
      </c>
      <c r="X5" s="960">
        <v>0.58699999999999997</v>
      </c>
      <c r="Y5" s="961">
        <v>3.5115594730161677</v>
      </c>
      <c r="Z5" s="962">
        <v>1170.6022154910552</v>
      </c>
      <c r="AA5" s="962">
        <v>78.05796745756146</v>
      </c>
      <c r="AB5" s="962">
        <v>1248.6601829486167</v>
      </c>
      <c r="AC5" s="807">
        <f>G5/AB5-1</f>
        <v>-0.37578516459834033</v>
      </c>
      <c r="AG5" s="905">
        <f>0.45*AG4</f>
        <v>2403.5849999999996</v>
      </c>
    </row>
    <row r="6" spans="2:37">
      <c r="B6" s="685" t="s">
        <v>528</v>
      </c>
      <c r="C6" s="956">
        <f>((100%*'Cable cos'!J200)+(51%*'Cable cos'!J199)+(100%*'Cable cos'!J201)+((69.2%*0.5+30.2%)*'Cable cos'!J202)+(100%*'Cable cos'!J203)+(100%*'Cable cos'!J204)+(100%*'Cable cos'!J205))/'Cable cos'!J206</f>
        <v>0.83798318232933966</v>
      </c>
      <c r="D6" s="957">
        <f>G6/('Cable cos'!S208/Valuation!T$19)</f>
        <v>3.3195057813632167</v>
      </c>
      <c r="E6" s="1094">
        <f>G6-F6</f>
        <v>3222.0819446102046</v>
      </c>
      <c r="F6" s="1094">
        <f>0.3*'Cable cos'!S208/Master!W92</f>
        <v>320.12675363935199</v>
      </c>
      <c r="G6" s="1094">
        <f>H73</f>
        <v>3542.2086982495566</v>
      </c>
      <c r="H6" s="956">
        <f ca="1">E6/G27*C6</f>
        <v>2.0791025249650814</v>
      </c>
      <c r="I6" s="959" t="s">
        <v>485</v>
      </c>
      <c r="W6" s="846" t="s">
        <v>528</v>
      </c>
      <c r="X6" s="960">
        <v>0.83798318232933966</v>
      </c>
      <c r="Y6" s="961">
        <v>3.2621701492660526</v>
      </c>
      <c r="Z6" s="962">
        <v>3580.568175760337</v>
      </c>
      <c r="AA6" s="962">
        <v>293.11587534808558</v>
      </c>
      <c r="AB6" s="962">
        <v>3873.6840511084224</v>
      </c>
      <c r="AC6" s="807">
        <f>G6/AB6-1</f>
        <v>-8.5571086460708323E-2</v>
      </c>
      <c r="AE6" s="905"/>
      <c r="AF6" s="905">
        <f>AF4-1000</f>
        <v>8658.7000000000007</v>
      </c>
    </row>
    <row r="7" spans="2:37" hidden="1" outlineLevel="1">
      <c r="B7" s="1590" t="s">
        <v>7679</v>
      </c>
      <c r="C7" s="1591"/>
      <c r="D7" s="1592"/>
      <c r="E7" s="1593"/>
      <c r="F7" s="1593"/>
      <c r="G7" s="1593"/>
      <c r="H7" s="1591"/>
      <c r="I7" s="959"/>
      <c r="W7" s="846"/>
      <c r="X7" s="960"/>
      <c r="Y7" s="961"/>
      <c r="Z7" s="962"/>
      <c r="AA7" s="962"/>
      <c r="AB7" s="962"/>
      <c r="AC7" s="807"/>
      <c r="AE7" s="905"/>
      <c r="AF7" s="905"/>
    </row>
    <row r="8" spans="2:37" collapsed="1">
      <c r="B8" s="846" t="s">
        <v>4712</v>
      </c>
      <c r="C8" s="960">
        <v>1</v>
      </c>
      <c r="D8" s="1093">
        <f>G8/((Master!W71+Master!W72)/Valuation!T$19)</f>
        <v>-15.900308755383659</v>
      </c>
      <c r="E8" s="1093">
        <f>G8-F8</f>
        <v>-1177.0111155928166</v>
      </c>
      <c r="F8" s="1093">
        <v>0</v>
      </c>
      <c r="G8" s="1093">
        <f>G70-G7</f>
        <v>-1177.0111155928166</v>
      </c>
      <c r="H8" s="960">
        <f ca="1">E8/G27*C8</f>
        <v>-0.90632630721300267</v>
      </c>
      <c r="I8" s="959" t="s">
        <v>485</v>
      </c>
      <c r="W8" s="846" t="s">
        <v>4712</v>
      </c>
      <c r="X8" s="960">
        <v>1</v>
      </c>
      <c r="Y8" s="961">
        <v>11.386236610835054</v>
      </c>
      <c r="Z8" s="962">
        <v>-460.99820231436598</v>
      </c>
      <c r="AA8" s="962">
        <v>0</v>
      </c>
      <c r="AB8" s="962">
        <v>-460.99820231436598</v>
      </c>
      <c r="AC8" s="807">
        <f>G8/AB8-1</f>
        <v>1.5531794043530431</v>
      </c>
      <c r="AE8" s="905"/>
      <c r="AF8" s="904">
        <f>AF6/SUM('VOD-quarts'!I55:L55)</f>
        <v>5.2470609623076001</v>
      </c>
      <c r="AG8" s="685" t="s">
        <v>7533</v>
      </c>
    </row>
    <row r="9" spans="2:37">
      <c r="B9" s="1594"/>
      <c r="C9" s="1591"/>
      <c r="D9" s="1595"/>
      <c r="E9" s="1595"/>
      <c r="F9" s="1596"/>
      <c r="G9" s="1596"/>
      <c r="H9" s="1595"/>
      <c r="I9" s="1092"/>
      <c r="W9" s="974"/>
      <c r="X9" s="960"/>
      <c r="Y9" s="966"/>
      <c r="Z9" s="966"/>
      <c r="AA9" s="962">
        <v>6439.5698404559953</v>
      </c>
      <c r="AB9" s="962"/>
      <c r="AC9" s="807"/>
    </row>
    <row r="10" spans="2:37">
      <c r="B10" s="973" t="s">
        <v>415</v>
      </c>
      <c r="C10" s="908"/>
      <c r="D10" s="908" t="str">
        <f>D3</f>
        <v>x 24 EBITDA</v>
      </c>
      <c r="E10" s="908" t="s">
        <v>456</v>
      </c>
      <c r="F10" s="908" t="s">
        <v>472</v>
      </c>
      <c r="G10" s="908" t="s">
        <v>530</v>
      </c>
      <c r="H10" s="908" t="str">
        <f>H3</f>
        <v>% of Eq</v>
      </c>
      <c r="I10" s="1091"/>
      <c r="W10" s="855" t="s">
        <v>415</v>
      </c>
      <c r="X10" s="908"/>
      <c r="Y10" s="908" t="s">
        <v>7458</v>
      </c>
      <c r="Z10" s="908" t="s">
        <v>456</v>
      </c>
      <c r="AA10" s="908" t="s">
        <v>472</v>
      </c>
      <c r="AB10" s="908" t="s">
        <v>530</v>
      </c>
      <c r="AC10" s="807"/>
    </row>
    <row r="11" spans="2:37" hidden="1" outlineLevel="1">
      <c r="B11" s="846" t="s">
        <v>1053</v>
      </c>
      <c r="C11" s="960">
        <v>0.1</v>
      </c>
      <c r="D11" s="961">
        <f ca="1">Univision!C107/Univision!K14</f>
        <v>9.7611533543358053</v>
      </c>
      <c r="E11" s="962">
        <f ca="1">Univision!C107</f>
        <v>9983.707650814662</v>
      </c>
      <c r="F11" s="962">
        <f ca="1">Univision!C108</f>
        <v>6704.4884065512269</v>
      </c>
      <c r="G11" s="962">
        <f ca="1">(E11-F11)*C11</f>
        <v>327.92192442634354</v>
      </c>
      <c r="H11" s="960">
        <f ca="1">G11/G$23</f>
        <v>6.1872872507415674E-2</v>
      </c>
      <c r="I11" s="959" t="s">
        <v>485</v>
      </c>
      <c r="J11" s="685" t="s">
        <v>440</v>
      </c>
      <c r="W11" s="846" t="s">
        <v>1053</v>
      </c>
      <c r="X11" s="960">
        <v>0.1</v>
      </c>
      <c r="Y11" s="961">
        <v>9.7611533543358053</v>
      </c>
      <c r="Z11" s="962">
        <v>9983.707650814662</v>
      </c>
      <c r="AA11" s="962">
        <v>6704.4884065512269</v>
      </c>
      <c r="AB11" s="962">
        <v>327.92192442634354</v>
      </c>
      <c r="AC11" s="807">
        <f ca="1">G11/AB11-1</f>
        <v>0</v>
      </c>
      <c r="AK11" s="904">
        <f ca="1">G35+AF25</f>
        <v>24.236849937779901</v>
      </c>
    </row>
    <row r="12" spans="2:37" hidden="1" outlineLevel="1">
      <c r="B12" s="846" t="s">
        <v>4771</v>
      </c>
      <c r="C12" s="960">
        <v>0.26</v>
      </c>
      <c r="D12" s="961">
        <f ca="1">Univision!C107/Univision!K14</f>
        <v>9.7611533543358053</v>
      </c>
      <c r="E12" s="962">
        <f ca="1">E11</f>
        <v>9983.707650814662</v>
      </c>
      <c r="F12" s="962">
        <f ca="1">Univision!C108</f>
        <v>6704.4884065512269</v>
      </c>
      <c r="G12" s="962">
        <f ca="1">(E12-F12)*C12</f>
        <v>852.59700350849312</v>
      </c>
      <c r="H12" s="960">
        <f ca="1">G12/G$23</f>
        <v>0.16086946851928074</v>
      </c>
      <c r="I12" s="959" t="s">
        <v>485</v>
      </c>
      <c r="J12" s="905"/>
      <c r="W12" s="846" t="s">
        <v>4771</v>
      </c>
      <c r="X12" s="960">
        <v>0.26</v>
      </c>
      <c r="Y12" s="961">
        <v>9.7611533543358053</v>
      </c>
      <c r="Z12" s="962">
        <v>9983.707650814662</v>
      </c>
      <c r="AA12" s="962">
        <v>6704.4884065512269</v>
      </c>
      <c r="AB12" s="962">
        <v>852.59700350849312</v>
      </c>
      <c r="AC12" s="807">
        <f ca="1">G12/AB12-1</f>
        <v>0</v>
      </c>
    </row>
    <row r="13" spans="2:37" collapsed="1">
      <c r="B13" s="685" t="s">
        <v>6713</v>
      </c>
      <c r="C13" s="956">
        <v>0.45</v>
      </c>
      <c r="D13" s="957">
        <f>E13/VOD!H142</f>
        <v>9.37580975701146</v>
      </c>
      <c r="E13" s="958">
        <f>VOD!F202</f>
        <v>15497.215943526713</v>
      </c>
      <c r="F13" s="958">
        <f>'VOD-quarts'!N66</f>
        <v>9658.7000000000007</v>
      </c>
      <c r="G13" s="958">
        <f>(E13-F13)*C13</f>
        <v>2627.3321745870207</v>
      </c>
      <c r="H13" s="956">
        <f ca="1">G13/G27</f>
        <v>2.0231077141663447</v>
      </c>
      <c r="I13" s="958">
        <f>G13/C13</f>
        <v>5838.5159435267124</v>
      </c>
      <c r="K13" s="807"/>
      <c r="W13" s="846" t="s">
        <v>6713</v>
      </c>
      <c r="X13" s="960">
        <v>0.45</v>
      </c>
      <c r="Y13" s="961">
        <v>9.2176536360931323</v>
      </c>
      <c r="Z13" s="962">
        <v>15439.569840455995</v>
      </c>
      <c r="AA13" s="962">
        <v>9000</v>
      </c>
      <c r="AB13" s="962">
        <v>2897.8064282051978</v>
      </c>
      <c r="AC13" s="807">
        <f>G13/AB13-1</f>
        <v>-9.3337584935133E-2</v>
      </c>
    </row>
    <row r="14" spans="2:37">
      <c r="B14" s="855" t="s">
        <v>353</v>
      </c>
      <c r="C14" s="963">
        <v>0.33</v>
      </c>
      <c r="D14" s="964"/>
      <c r="E14" s="964"/>
      <c r="F14" s="965"/>
      <c r="G14" s="965">
        <v>50</v>
      </c>
      <c r="H14" s="963">
        <f ca="1">G14/G$27</f>
        <v>3.8501178757199751E-2</v>
      </c>
      <c r="I14" s="959" t="s">
        <v>857</v>
      </c>
      <c r="W14" s="855" t="s">
        <v>353</v>
      </c>
      <c r="X14" s="963">
        <v>0.33</v>
      </c>
      <c r="Y14" s="964"/>
      <c r="Z14" s="964"/>
      <c r="AA14" s="965"/>
      <c r="AB14" s="965">
        <v>50</v>
      </c>
      <c r="AC14" s="807">
        <f>G14/AB14-1</f>
        <v>0</v>
      </c>
    </row>
    <row r="15" spans="2:37">
      <c r="B15" s="685" t="s">
        <v>98</v>
      </c>
      <c r="C15" s="959"/>
      <c r="D15" s="959"/>
      <c r="E15" s="959"/>
      <c r="F15" s="959"/>
      <c r="G15" s="958">
        <f>SUM(G13:G14)</f>
        <v>2677.3321745870207</v>
      </c>
      <c r="H15" s="956"/>
      <c r="I15" s="808"/>
      <c r="W15" s="846" t="s">
        <v>98</v>
      </c>
      <c r="X15" s="966"/>
      <c r="Y15" s="966"/>
      <c r="Z15" s="966"/>
      <c r="AA15" s="966"/>
      <c r="AB15" s="962">
        <v>2947.8064282051978</v>
      </c>
      <c r="AC15" s="807">
        <f>G15/AB15-1</f>
        <v>-9.1754414750651714E-2</v>
      </c>
    </row>
    <row r="16" spans="2:37">
      <c r="B16" s="846"/>
      <c r="C16" s="966"/>
      <c r="D16" s="966"/>
      <c r="E16" s="966"/>
      <c r="F16" s="966"/>
      <c r="G16" s="966"/>
      <c r="H16" s="966"/>
      <c r="W16" s="846"/>
      <c r="X16" s="966"/>
      <c r="Y16" s="966"/>
      <c r="Z16" s="966"/>
      <c r="AA16" s="966"/>
      <c r="AB16" s="966"/>
      <c r="AC16" s="807"/>
    </row>
    <row r="17" spans="2:35">
      <c r="B17" s="685" t="s">
        <v>7590</v>
      </c>
      <c r="C17" s="959"/>
      <c r="D17" s="959"/>
      <c r="E17" s="959"/>
      <c r="F17" s="959"/>
      <c r="G17" s="959"/>
      <c r="H17" s="959"/>
      <c r="W17" s="846" t="s">
        <v>477</v>
      </c>
      <c r="X17" s="966"/>
      <c r="Y17" s="966"/>
      <c r="Z17" s="966"/>
      <c r="AA17" s="966"/>
      <c r="AB17" s="966"/>
      <c r="AC17" s="807"/>
      <c r="AE17" s="905">
        <f>G5*C5</f>
        <v>779.43221057187702</v>
      </c>
      <c r="AF17" s="905">
        <f>G5/D5</f>
        <v>288.96158449944562</v>
      </c>
    </row>
    <row r="18" spans="2:35" hidden="1" outlineLevel="1">
      <c r="B18" s="846" t="str">
        <f>B5</f>
        <v>Sky</v>
      </c>
      <c r="C18" s="966"/>
      <c r="D18" s="966"/>
      <c r="E18" s="966"/>
      <c r="F18" s="966"/>
      <c r="G18" s="962">
        <f ca="1">(1-C5)*E5</f>
        <v>0</v>
      </c>
      <c r="H18" s="960"/>
      <c r="W18" s="846" t="s">
        <v>128</v>
      </c>
      <c r="X18" s="966"/>
      <c r="Y18" s="966"/>
      <c r="Z18" s="966"/>
      <c r="AA18" s="966"/>
      <c r="AB18" s="962">
        <v>483.45871499780583</v>
      </c>
      <c r="AC18" s="807">
        <f ca="1">G18/AB18-1</f>
        <v>-1</v>
      </c>
      <c r="AE18" s="905">
        <f>G6*C6</f>
        <v>2968.3113174338309</v>
      </c>
      <c r="AF18" s="905">
        <f>G6/D6</f>
        <v>1067.0891787978398</v>
      </c>
    </row>
    <row r="19" spans="2:35" collapsed="1">
      <c r="B19" s="846" t="str">
        <f>B6</f>
        <v>Cable cos</v>
      </c>
      <c r="C19" s="966"/>
      <c r="D19" s="966"/>
      <c r="E19" s="966"/>
      <c r="F19" s="966"/>
      <c r="G19" s="962">
        <f>(1-C6)*E6</f>
        <v>522.03146293983821</v>
      </c>
      <c r="H19" s="960"/>
      <c r="W19" s="855" t="s">
        <v>528</v>
      </c>
      <c r="X19" s="964"/>
      <c r="Y19" s="964"/>
      <c r="Z19" s="964"/>
      <c r="AA19" s="964"/>
      <c r="AB19" s="965">
        <v>323.21137687858425</v>
      </c>
      <c r="AC19" s="807">
        <f>G19/AB19-1</f>
        <v>0.61513950400310802</v>
      </c>
    </row>
    <row r="20" spans="2:35">
      <c r="B20" s="1597" t="s">
        <v>98</v>
      </c>
      <c r="C20" s="1647"/>
      <c r="D20" s="1647"/>
      <c r="E20" s="1647"/>
      <c r="F20" s="1647"/>
      <c r="G20" s="1648">
        <f ca="1">SUM(G18:G19)</f>
        <v>522.03146293983821</v>
      </c>
      <c r="H20" s="1649"/>
      <c r="K20" s="807"/>
      <c r="W20" s="846" t="s">
        <v>98</v>
      </c>
      <c r="X20" s="966"/>
      <c r="Y20" s="966"/>
      <c r="Z20" s="966"/>
      <c r="AA20" s="966"/>
      <c r="AB20" s="962">
        <v>806.67009187639007</v>
      </c>
      <c r="AC20" s="807">
        <f ca="1">G20/AB20-1</f>
        <v>-0.35285630619384412</v>
      </c>
    </row>
    <row r="21" spans="2:35">
      <c r="B21" s="846"/>
      <c r="C21" s="966"/>
      <c r="D21" s="966"/>
      <c r="E21" s="966"/>
      <c r="F21" s="966"/>
      <c r="G21" s="962"/>
      <c r="H21" s="960"/>
      <c r="W21" s="846"/>
      <c r="X21" s="966"/>
      <c r="Y21" s="966"/>
      <c r="Z21" s="966"/>
      <c r="AA21" s="966"/>
      <c r="AB21" s="966"/>
      <c r="AC21" s="807"/>
      <c r="AE21" s="905">
        <f>E6*C6</f>
        <v>2700.0504816703665</v>
      </c>
    </row>
    <row r="22" spans="2:35">
      <c r="C22" s="959"/>
      <c r="D22" s="959"/>
      <c r="E22" s="959"/>
      <c r="F22" s="959"/>
      <c r="G22" s="959"/>
      <c r="H22" s="959"/>
      <c r="K22" s="959" t="s">
        <v>651</v>
      </c>
      <c r="L22" s="959" t="s">
        <v>58</v>
      </c>
      <c r="W22" s="846"/>
      <c r="X22" s="966"/>
      <c r="Y22" s="966"/>
      <c r="Z22" s="966"/>
      <c r="AA22" s="966"/>
      <c r="AB22" s="966"/>
      <c r="AC22" s="807"/>
      <c r="AE22" s="905"/>
    </row>
    <row r="23" spans="2:35">
      <c r="B23" s="859" t="s">
        <v>478</v>
      </c>
      <c r="C23" s="870"/>
      <c r="D23" s="870"/>
      <c r="E23" s="870"/>
      <c r="F23" s="870"/>
      <c r="G23" s="968">
        <f ca="1">G5+G6+G8+G15-G20</f>
        <v>5299.9305048757997</v>
      </c>
      <c r="H23" s="966"/>
      <c r="K23" s="848">
        <f>Analysis!D2942</f>
        <v>1085.3333333333333</v>
      </c>
      <c r="L23" s="849">
        <f>K23/17</f>
        <v>63.843137254901954</v>
      </c>
      <c r="W23" s="859" t="s">
        <v>478</v>
      </c>
      <c r="X23" s="870"/>
      <c r="Y23" s="870"/>
      <c r="Z23" s="870"/>
      <c r="AA23" s="870"/>
      <c r="AB23" s="968">
        <v>6802.4823680714808</v>
      </c>
      <c r="AC23" s="807">
        <f ca="1">G23/AB23-1</f>
        <v>-0.22088287508809201</v>
      </c>
    </row>
    <row r="24" spans="2:35">
      <c r="B24" s="685" t="s">
        <v>7597</v>
      </c>
      <c r="C24" s="959"/>
      <c r="D24" s="959"/>
      <c r="E24" s="959"/>
      <c r="F24" s="959"/>
      <c r="G24" s="958">
        <f ca="1">Valuation!T15</f>
        <v>3458.2892069071536</v>
      </c>
      <c r="H24" s="959"/>
      <c r="K24" s="848">
        <f>Master!W69+Master!W71+Master!W72-K23</f>
        <v>175.74666666666667</v>
      </c>
      <c r="L24" s="849">
        <f>K24/17</f>
        <v>10.338039215686274</v>
      </c>
      <c r="W24" s="846" t="s">
        <v>7272</v>
      </c>
      <c r="X24" s="966"/>
      <c r="Y24" s="966"/>
      <c r="Z24" s="966"/>
      <c r="AA24" s="966"/>
      <c r="AB24" s="962">
        <v>3365.4355788123644</v>
      </c>
      <c r="AC24" s="807">
        <f ca="1">G24/AB24-1</f>
        <v>2.7590374535577E-2</v>
      </c>
      <c r="AE24" s="685">
        <f>15-8.3</f>
        <v>6.6999999999999993</v>
      </c>
      <c r="AF24" s="685">
        <f>AE24*1800</f>
        <v>12059.999999999998</v>
      </c>
    </row>
    <row r="25" spans="2:35">
      <c r="B25" s="846" t="s">
        <v>4076</v>
      </c>
      <c r="C25" s="966"/>
      <c r="D25" s="966"/>
      <c r="E25" s="966"/>
      <c r="F25" s="966"/>
      <c r="G25" s="962">
        <f>NPV(8%,Master!W351:X351)/Master!W92</f>
        <v>0</v>
      </c>
      <c r="H25" s="966"/>
      <c r="W25" s="846" t="s">
        <v>4076</v>
      </c>
      <c r="X25" s="966"/>
      <c r="Y25" s="966"/>
      <c r="Z25" s="966"/>
      <c r="AA25" s="966"/>
      <c r="AB25" s="962">
        <v>5.6530214424951266</v>
      </c>
      <c r="AC25" s="807">
        <f>G25/AB25-1</f>
        <v>-1</v>
      </c>
      <c r="AF25" s="904">
        <f>AF24/G29</f>
        <v>21.033058849098062</v>
      </c>
    </row>
    <row r="26" spans="2:35">
      <c r="B26" s="743" t="s">
        <v>5076</v>
      </c>
      <c r="C26" s="925"/>
      <c r="D26" s="925"/>
      <c r="E26" s="925"/>
      <c r="F26" s="925"/>
      <c r="G26" s="1650">
        <f>Master!U219/Master!W92+(Master!AC218/Master!W92)/(1+L56)^6</f>
        <v>542.97976047870714</v>
      </c>
      <c r="H26" s="959"/>
      <c r="W26" s="855" t="s">
        <v>5076</v>
      </c>
      <c r="X26" s="964"/>
      <c r="Y26" s="964"/>
      <c r="Z26" s="964"/>
      <c r="AA26" s="964"/>
      <c r="AB26" s="965">
        <v>469.85169676411397</v>
      </c>
      <c r="AC26" s="807">
        <f>G26/AB26-1</f>
        <v>0.15564073561557579</v>
      </c>
    </row>
    <row r="27" spans="2:35">
      <c r="B27" s="859" t="s">
        <v>479</v>
      </c>
      <c r="C27" s="870"/>
      <c r="D27" s="870"/>
      <c r="E27" s="870"/>
      <c r="F27" s="870"/>
      <c r="G27" s="968">
        <f ca="1">G23-G24-G25-G26</f>
        <v>1298.6615374899388</v>
      </c>
      <c r="H27" s="966"/>
      <c r="J27" s="807"/>
      <c r="W27" s="859" t="s">
        <v>479</v>
      </c>
      <c r="X27" s="870"/>
      <c r="Y27" s="870"/>
      <c r="Z27" s="870"/>
      <c r="AA27" s="870"/>
      <c r="AB27" s="968">
        <v>2961.5420710525073</v>
      </c>
      <c r="AC27" s="807">
        <f ca="1">G27/AB27-1</f>
        <v>-0.56149144387187266</v>
      </c>
    </row>
    <row r="28" spans="2:35">
      <c r="C28" s="959"/>
      <c r="D28" s="959"/>
      <c r="E28" s="959"/>
      <c r="F28" s="959"/>
      <c r="G28" s="958"/>
      <c r="H28" s="959"/>
      <c r="W28" s="846"/>
      <c r="X28" s="966"/>
      <c r="Y28" s="966"/>
      <c r="Z28" s="966"/>
      <c r="AA28" s="966"/>
      <c r="AB28" s="962"/>
      <c r="AC28" s="807"/>
    </row>
    <row r="29" spans="2:35">
      <c r="B29" s="846" t="s">
        <v>480</v>
      </c>
      <c r="C29" s="966"/>
      <c r="D29" s="966"/>
      <c r="E29" s="966"/>
      <c r="F29" s="966"/>
      <c r="G29" s="962">
        <f>Master!W509</f>
        <v>573.38307692307694</v>
      </c>
      <c r="H29" s="966"/>
      <c r="J29" s="906"/>
      <c r="W29" s="846" t="s">
        <v>480</v>
      </c>
      <c r="X29" s="966"/>
      <c r="Y29" s="966"/>
      <c r="Z29" s="966"/>
      <c r="AA29" s="966"/>
      <c r="AB29" s="962">
        <v>573.38307692307694</v>
      </c>
      <c r="AC29" s="807">
        <f>G29/AB29-1</f>
        <v>0</v>
      </c>
    </row>
    <row r="30" spans="2:35">
      <c r="C30" s="959"/>
      <c r="D30" s="959"/>
      <c r="E30" s="959"/>
      <c r="F30" s="959"/>
      <c r="G30" s="958"/>
      <c r="H30" s="959"/>
      <c r="I30" s="904"/>
      <c r="W30" s="846"/>
      <c r="X30" s="966"/>
      <c r="Y30" s="966"/>
      <c r="Z30" s="966"/>
      <c r="AA30" s="966"/>
      <c r="AB30" s="962"/>
      <c r="AC30" s="807"/>
      <c r="AH30" s="685" t="s">
        <v>145</v>
      </c>
      <c r="AI30" s="807">
        <f ca="1">H4</f>
        <v>0</v>
      </c>
    </row>
    <row r="31" spans="2:35">
      <c r="B31" s="859" t="s">
        <v>481</v>
      </c>
      <c r="C31" s="870"/>
      <c r="D31" s="870"/>
      <c r="E31" s="870"/>
      <c r="F31" s="870"/>
      <c r="G31" s="969">
        <f ca="1">G27/G29</f>
        <v>2.2649108244681639</v>
      </c>
      <c r="H31" s="970"/>
      <c r="I31" s="807"/>
      <c r="W31" s="859" t="s">
        <v>481</v>
      </c>
      <c r="X31" s="870"/>
      <c r="Y31" s="870"/>
      <c r="Z31" s="870"/>
      <c r="AA31" s="870"/>
      <c r="AB31" s="969">
        <v>5.1650322275727323</v>
      </c>
      <c r="AC31" s="807">
        <f ca="1">G31/AB31-1</f>
        <v>-0.56149144387187266</v>
      </c>
      <c r="AH31" s="685" t="s">
        <v>16</v>
      </c>
      <c r="AI31" s="807">
        <f ca="1">H6-H19</f>
        <v>2.0791025249650814</v>
      </c>
    </row>
    <row r="32" spans="2:35">
      <c r="C32" s="971"/>
      <c r="D32" s="971"/>
      <c r="E32" s="971"/>
      <c r="F32" s="971"/>
      <c r="G32" s="957"/>
      <c r="H32" s="1091"/>
      <c r="I32" s="807"/>
      <c r="W32" s="846" t="s">
        <v>7273</v>
      </c>
      <c r="X32" s="870"/>
      <c r="Y32" s="870"/>
      <c r="Z32" s="870"/>
      <c r="AA32" s="870"/>
      <c r="AB32" s="961">
        <v>0</v>
      </c>
      <c r="AC32" s="807"/>
      <c r="AH32" s="685" t="s">
        <v>87</v>
      </c>
      <c r="AI32" s="807">
        <f ca="1">H5-H18</f>
        <v>0.57281675432095769</v>
      </c>
    </row>
    <row r="33" spans="2:35">
      <c r="B33" s="846" t="s">
        <v>7707</v>
      </c>
      <c r="C33" s="870"/>
      <c r="D33" s="870"/>
      <c r="E33" s="870"/>
      <c r="F33" s="870"/>
      <c r="G33" s="961">
        <f>Analysis!C3018</f>
        <v>0.83527864030225119</v>
      </c>
      <c r="H33" s="970"/>
      <c r="I33" s="807"/>
      <c r="W33" s="846"/>
      <c r="X33" s="870"/>
      <c r="Y33" s="870"/>
      <c r="Z33" s="870"/>
      <c r="AA33" s="870"/>
      <c r="AB33" s="961"/>
      <c r="AC33" s="807"/>
      <c r="AI33" s="807"/>
    </row>
    <row r="34" spans="2:35" ht="15.75" thickBot="1">
      <c r="B34" s="685" t="s">
        <v>7598</v>
      </c>
      <c r="C34" s="971"/>
      <c r="D34" s="971"/>
      <c r="E34" s="971"/>
      <c r="F34" s="971"/>
      <c r="G34" s="957">
        <f>Master!W518</f>
        <v>0.10360162391142286</v>
      </c>
      <c r="H34" s="1092"/>
      <c r="W34" s="846" t="s">
        <v>7274</v>
      </c>
      <c r="X34" s="870"/>
      <c r="Y34" s="870"/>
      <c r="Z34" s="870"/>
      <c r="AA34" s="870"/>
      <c r="AB34" s="961">
        <v>0</v>
      </c>
      <c r="AC34" s="807" t="e">
        <f>G34/AB34-1</f>
        <v>#DIV/0!</v>
      </c>
      <c r="AH34" s="685" t="s">
        <v>417</v>
      </c>
      <c r="AI34" s="807">
        <f ca="1">H11+H12</f>
        <v>0.22274234102669643</v>
      </c>
    </row>
    <row r="35" spans="2:35" ht="15.75" thickBot="1">
      <c r="B35" s="975" t="s">
        <v>3063</v>
      </c>
      <c r="C35" s="976"/>
      <c r="D35" s="976"/>
      <c r="E35" s="976"/>
      <c r="F35" s="976"/>
      <c r="G35" s="977">
        <f ca="1">G31+G32+G33+G34</f>
        <v>3.2037910886818382</v>
      </c>
      <c r="H35" s="1090"/>
      <c r="W35" s="975" t="s">
        <v>3063</v>
      </c>
      <c r="X35" s="976"/>
      <c r="Y35" s="976"/>
      <c r="Z35" s="976"/>
      <c r="AA35" s="976"/>
      <c r="AB35" s="977">
        <v>5.1650322275727323</v>
      </c>
      <c r="AC35" s="807">
        <f ca="1">G35/AB35-1</f>
        <v>-0.37971517939832189</v>
      </c>
      <c r="AH35" s="685" t="str">
        <f>B8</f>
        <v>HQ/other central</v>
      </c>
      <c r="AI35" s="807" t="e">
        <f ca="1">H8+#REF!+H14</f>
        <v>#REF!</v>
      </c>
    </row>
    <row r="36" spans="2:35">
      <c r="B36" s="685" t="s">
        <v>482</v>
      </c>
      <c r="C36" s="959"/>
      <c r="D36" s="959"/>
      <c r="E36" s="959"/>
      <c r="F36" s="959"/>
      <c r="G36" s="957">
        <f>Valuation!B2</f>
        <v>3.16</v>
      </c>
      <c r="H36" s="959"/>
      <c r="W36" s="846" t="s">
        <v>482</v>
      </c>
      <c r="X36" s="966"/>
      <c r="Y36" s="966"/>
      <c r="Z36" s="966"/>
      <c r="AA36" s="966"/>
      <c r="AB36" s="961">
        <v>5</v>
      </c>
      <c r="AC36" s="807"/>
    </row>
    <row r="37" spans="2:35">
      <c r="B37" s="855" t="s">
        <v>483</v>
      </c>
      <c r="C37" s="964"/>
      <c r="D37" s="964"/>
      <c r="E37" s="964"/>
      <c r="F37" s="964"/>
      <c r="G37" s="963">
        <f ca="1">G35/G36-1</f>
        <v>1.385793945627789E-2</v>
      </c>
      <c r="H37" s="964"/>
      <c r="W37" s="855" t="s">
        <v>483</v>
      </c>
      <c r="X37" s="964"/>
      <c r="Y37" s="964"/>
      <c r="Z37" s="964"/>
      <c r="AA37" s="964"/>
      <c r="AB37" s="963">
        <v>3.3006445514546456E-2</v>
      </c>
      <c r="AC37" s="807"/>
    </row>
    <row r="38" spans="2:35">
      <c r="B38" s="685" t="s">
        <v>7591</v>
      </c>
    </row>
    <row r="42" spans="2:35">
      <c r="B42" s="912" t="s">
        <v>469</v>
      </c>
      <c r="C42" s="913">
        <v>2012</v>
      </c>
      <c r="D42" s="913">
        <f t="shared" ref="D42:J42" si="0">C42+1</f>
        <v>2013</v>
      </c>
      <c r="E42" s="913">
        <f t="shared" si="0"/>
        <v>2014</v>
      </c>
      <c r="F42" s="913">
        <f t="shared" si="0"/>
        <v>2015</v>
      </c>
      <c r="G42" s="913">
        <f t="shared" si="0"/>
        <v>2016</v>
      </c>
      <c r="H42" s="913">
        <f t="shared" si="0"/>
        <v>2017</v>
      </c>
      <c r="I42" s="913">
        <f t="shared" si="0"/>
        <v>2018</v>
      </c>
      <c r="J42" s="913">
        <f t="shared" si="0"/>
        <v>2019</v>
      </c>
      <c r="K42" s="913">
        <f t="shared" ref="K42:P42" si="1">J42+1</f>
        <v>2020</v>
      </c>
      <c r="L42" s="913">
        <f t="shared" si="1"/>
        <v>2021</v>
      </c>
      <c r="M42" s="913">
        <f t="shared" si="1"/>
        <v>2022</v>
      </c>
      <c r="N42" s="913">
        <f t="shared" si="1"/>
        <v>2023</v>
      </c>
      <c r="O42" s="913">
        <f t="shared" si="1"/>
        <v>2024</v>
      </c>
      <c r="P42" s="913">
        <f t="shared" si="1"/>
        <v>2025</v>
      </c>
      <c r="Q42" s="913">
        <f>P42+1</f>
        <v>2026</v>
      </c>
      <c r="R42" s="913">
        <f>Q42+1</f>
        <v>2027</v>
      </c>
      <c r="S42" s="913">
        <f>R42+1</f>
        <v>2028</v>
      </c>
      <c r="T42" s="913">
        <f>S42+1</f>
        <v>2029</v>
      </c>
      <c r="U42" s="913">
        <f>T42+1</f>
        <v>2030</v>
      </c>
    </row>
    <row r="43" spans="2:35">
      <c r="B43" s="685" t="s">
        <v>145</v>
      </c>
      <c r="C43" s="914">
        <f>(1-0.28)*(Master!K65-Master!K87)/Valuation!H$19</f>
        <v>746.6859574468084</v>
      </c>
      <c r="D43" s="914">
        <f>(1-0.28)*(Master!L65-Master!L87)/Valuation!I$19</f>
        <v>762.98828840125384</v>
      </c>
      <c r="E43" s="914">
        <f>(1-0.28)*(Master!M65-Master!M87)/Valuation!J$19</f>
        <v>709.7147648384672</v>
      </c>
      <c r="F43" s="914">
        <f>(1-0.28)*(Master!N65-Master!N87)/Valuation!K$19</f>
        <v>540.80565595463156</v>
      </c>
      <c r="G43" s="914">
        <f>(1-0.28)*(Master!O65-Master!O87)/Valuation!L$19</f>
        <v>455.31883289124664</v>
      </c>
      <c r="H43" s="914">
        <f>(1-0.28)*(Master!P65-Master!P87)/Valuation!M$19</f>
        <v>406.77942857142864</v>
      </c>
      <c r="I43" s="914">
        <f>(1-0.28)*(Master!Q65-Master!Q87)/Valuation!N$19</f>
        <v>487.35958441558444</v>
      </c>
      <c r="J43" s="914">
        <f>(1-0.28)*(Master!R65-Master!R87)/Valuation!O$19</f>
        <v>394.85361038961037</v>
      </c>
      <c r="K43" s="914">
        <f>(1-0.28)*(Master!S65-Master!S87)/Valuation!P$19</f>
        <v>395.10449162011173</v>
      </c>
      <c r="L43" s="914">
        <f>(1-0.28)*(Master!T65-Master!T87)/Valuation!Q$19</f>
        <v>452.70212278146357</v>
      </c>
      <c r="M43" s="914">
        <f>(1-0.28)*(Master!U65-Master!U87)/Valuation!R$19</f>
        <v>-12.24</v>
      </c>
      <c r="N43" s="914">
        <f>(1-0.28)*(Master!V65-Master!V87)/Valuation!S$19</f>
        <v>-33.335999999999991</v>
      </c>
      <c r="O43" s="914">
        <f>(1-0.28)*(Master!W65-Master!W87)/Valuation!T$19</f>
        <v>0</v>
      </c>
      <c r="P43" s="914">
        <f>(1-0.28)*(Master!X65-Master!X87)/Valuation!U$19</f>
        <v>0</v>
      </c>
      <c r="Q43" s="914">
        <f>(1-0.28)*(Master!Y65-Master!Y87)/Valuation!V$19</f>
        <v>0</v>
      </c>
      <c r="R43" s="914">
        <f>(1-0.28)*(Master!Z65-Master!Z87)/Valuation!W$19</f>
        <v>0</v>
      </c>
      <c r="S43" s="914">
        <f>(1-0.28)*(Master!AA65-Master!AA87)/Valuation!X$19</f>
        <v>0</v>
      </c>
      <c r="T43" s="914">
        <f>(1-0.28)*(Master!AB65-Master!AB87)/Valuation!Y$19</f>
        <v>0</v>
      </c>
      <c r="U43" s="914">
        <f>(1-0.28)*(Master!AC65-Master!AC87)/Valuation!Z$19</f>
        <v>0</v>
      </c>
    </row>
    <row r="44" spans="2:35">
      <c r="B44" s="685" t="str">
        <f>B57</f>
        <v>Sky</v>
      </c>
      <c r="C44" s="914">
        <f>(1-0.28)*Master!K113/Valuation!H$19</f>
        <v>148.5563525835866</v>
      </c>
      <c r="D44" s="914">
        <f>(1-0.28)*Master!L113/Valuation!I$19</f>
        <v>127.85349216300939</v>
      </c>
      <c r="E44" s="914">
        <f>(1-0.28)*Master!M113/Valuation!J$19</f>
        <v>164.25152817430492</v>
      </c>
      <c r="F44" s="914">
        <f>(1-0.28)*Master!N113/Valuation!K$19</f>
        <v>146.70886956521738</v>
      </c>
      <c r="G44" s="914">
        <f>(1-0.28)*Master!O113/Valuation!L$19</f>
        <v>128.5339416445623</v>
      </c>
      <c r="H44" s="914">
        <f>(1-0.28)*Master!P113/Valuation!M$19</f>
        <v>232.82057142857147</v>
      </c>
      <c r="I44" s="914">
        <f>(1-0.28)*Master!Q113/Valuation!N$19</f>
        <v>214.39916883116885</v>
      </c>
      <c r="J44" s="914">
        <f>(1-0.28)*Master!R113/Valuation!O$19</f>
        <v>190.59709090909095</v>
      </c>
      <c r="K44" s="914">
        <f>(1-0.28)*Master!S113/Valuation!P$19</f>
        <v>126.08393296089382</v>
      </c>
      <c r="L44" s="914">
        <f>(1-0.28)*Master!T113/Valuation!Q$19</f>
        <v>126.09008611351503</v>
      </c>
      <c r="M44" s="914">
        <f>(1-0.28)*Master!U113/Valuation!R$19</f>
        <v>90.692395822973637</v>
      </c>
      <c r="N44" s="914">
        <f>(1-0.28)*Master!V113/Valuation!S$19</f>
        <v>125.71769491525424</v>
      </c>
      <c r="O44" s="914">
        <f>(1-0.28)*Master!W113/Valuation!T$19</f>
        <v>112.87908335935229</v>
      </c>
      <c r="P44" s="914">
        <f>(1-0.28)*Master!X113/Valuation!U$19</f>
        <v>124.55330955680704</v>
      </c>
      <c r="Q44" s="914">
        <f>(1-0.28)*Master!Y113/Valuation!V$19</f>
        <v>112.97965597978931</v>
      </c>
      <c r="R44" s="914">
        <f>(1-0.28)*Master!Z113/Valuation!W$19</f>
        <v>103.06459697371527</v>
      </c>
      <c r="S44" s="914">
        <f>(1-0.28)*Master!AA113/Valuation!X$19</f>
        <v>93.878032822623368</v>
      </c>
      <c r="T44" s="914">
        <f>(1-0.28)*Master!AB113/Valuation!Y$19</f>
        <v>85.371521698244109</v>
      </c>
      <c r="U44" s="914">
        <f>(1-0.28)*Master!AC113/Valuation!Z$19</f>
        <v>77.499351773864745</v>
      </c>
    </row>
    <row r="45" spans="2:35">
      <c r="B45" s="685" t="str">
        <f>B58</f>
        <v>Cable</v>
      </c>
      <c r="C45" s="914">
        <f>(1-0.28)*Master!K114/Valuation!H$19</f>
        <v>-9.5744680851064334</v>
      </c>
      <c r="D45" s="914">
        <f>(1-0.28)*Master!L114/Valuation!I$19</f>
        <v>-85.933015673981146</v>
      </c>
      <c r="E45" s="914">
        <f>(1-0.28)*Master!M114/Valuation!J$19</f>
        <v>-79.665160030052604</v>
      </c>
      <c r="F45" s="914">
        <f>(1-0.28)*Master!N114/Valuation!K$19</f>
        <v>-258.1276672967864</v>
      </c>
      <c r="G45" s="914">
        <f>(1-0.28)*Master!O114/Valuation!L$19</f>
        <v>-203.05413262599473</v>
      </c>
      <c r="H45" s="914">
        <f>(1-0.28)*Master!P114/Valuation!M$19</f>
        <v>131.68266666666668</v>
      </c>
      <c r="I45" s="914">
        <f>(1-0.28)*Master!Q114/Valuation!N$19</f>
        <v>93.571948051948056</v>
      </c>
      <c r="J45" s="914">
        <f>(1-0.28)*Master!R114/Valuation!O$19</f>
        <v>180.69942857142851</v>
      </c>
      <c r="K45" s="914">
        <f>(1-0.28)*Master!S114/Valuation!P$19</f>
        <v>156.46256983240221</v>
      </c>
      <c r="L45" s="914">
        <f>(1-0.28)*Master!T114/Valuation!Q$19</f>
        <v>104.74150523419624</v>
      </c>
      <c r="M45" s="914">
        <f>(1-0.28)*Master!U114/Valuation!R$19</f>
        <v>247.53360119343608</v>
      </c>
      <c r="N45" s="914">
        <f>(1-0.28)*Master!V114/Valuation!S$19</f>
        <v>309.83999999999997</v>
      </c>
      <c r="O45" s="914">
        <f>(1-0.28)*Master!W114/Valuation!T$19</f>
        <v>319.69705329889644</v>
      </c>
      <c r="P45" s="914">
        <f>(1-0.28)*Master!X114/Valuation!U$19</f>
        <v>328.77473684210526</v>
      </c>
      <c r="Q45" s="914">
        <f>(1-0.28)*Master!Y114/Valuation!V$19</f>
        <v>323.63763157894738</v>
      </c>
      <c r="R45" s="914">
        <f>(1-0.28)*Master!Z114/Valuation!W$19</f>
        <v>330.38637770897839</v>
      </c>
      <c r="S45" s="914">
        <f>(1-0.28)*Master!AA114/Valuation!X$19</f>
        <v>339.66078085162076</v>
      </c>
      <c r="T45" s="914">
        <f>(1-0.28)*Master!AB114/Valuation!Y$19</f>
        <v>349.95818913988256</v>
      </c>
      <c r="U45" s="914">
        <f>(1-0.28)*Master!AC114/Valuation!Z$19</f>
        <v>355.10463309782193</v>
      </c>
    </row>
    <row r="46" spans="2:35">
      <c r="B46" s="685" t="s">
        <v>50</v>
      </c>
      <c r="C46" s="914">
        <f>(1-Master!K$332)*Iusacell!R83/Valuation!H$19</f>
        <v>-418.59737974924013</v>
      </c>
      <c r="D46" s="914">
        <f>(1-Master!L$332)*Iusacell!S83/Valuation!I$19</f>
        <v>-117.49604094827588</v>
      </c>
      <c r="E46" s="914">
        <f>(1-Master!M$332)*Iusacell!T83/Valuation!J$19</f>
        <v>-42.272380852599078</v>
      </c>
      <c r="F46" s="914">
        <f>(1-Master!N$332)*Iusacell!U83/Valuation!K$19</f>
        <v>-120.38381176369639</v>
      </c>
      <c r="G46" s="914">
        <f>(1-Master!O$332)*Iusacell!V83/Valuation!L$19</f>
        <v>-152.51515584383844</v>
      </c>
      <c r="H46" s="914">
        <f>(1-Master!P$332)*Iusacell!W83/Valuation!M$19</f>
        <v>-102.1742057165109</v>
      </c>
      <c r="I46" s="914">
        <f>(1-Master!Q$332)*Iusacell!X83/Valuation!N$19</f>
        <v>-35.861022631969071</v>
      </c>
      <c r="J46" s="914">
        <f>(1-Master!R$332)*Iusacell!Y83/Valuation!O$19</f>
        <v>8.3238627364572508</v>
      </c>
      <c r="K46" s="914">
        <f>(1-Master!S$332)*Iusacell!Z83/Valuation!P$19</f>
        <v>21.149726439767541</v>
      </c>
      <c r="L46" s="914"/>
      <c r="M46" s="914"/>
      <c r="N46" s="914"/>
      <c r="O46" s="914"/>
      <c r="P46" s="914"/>
      <c r="Q46" s="914"/>
      <c r="R46" s="914"/>
      <c r="S46" s="914"/>
      <c r="T46" s="914"/>
      <c r="U46" s="914"/>
    </row>
    <row r="47" spans="2:35">
      <c r="B47" s="685" t="s">
        <v>44</v>
      </c>
      <c r="C47" s="914">
        <f>(1-0.28)*(Master!K115)/Valuation!H$19</f>
        <v>-63.913677811550187</v>
      </c>
      <c r="D47" s="914">
        <f>(1-0.28)*(Master!L115)/Valuation!I$19</f>
        <v>-46.987510873824469</v>
      </c>
      <c r="E47" s="914">
        <f>(1-0.28)*(Master!M115)/Valuation!J$19</f>
        <v>-87.665815176558851</v>
      </c>
      <c r="F47" s="914">
        <f>(1-0.28)*(Master!N115)/Valuation!K$19</f>
        <v>-116.45217391304348</v>
      </c>
      <c r="G47" s="914">
        <f>(1-0.28)*(Master!O115)/Valuation!L$19</f>
        <v>-164.42355437665785</v>
      </c>
      <c r="H47" s="914">
        <f>(1-0.28)*(Master!P115)/Valuation!M$19</f>
        <v>-159.50476190476192</v>
      </c>
      <c r="I47" s="914">
        <f>(1-0.28)*(Master!Q115)/Valuation!N$19</f>
        <v>-125.39220779220778</v>
      </c>
      <c r="J47" s="914">
        <f>(1-0.28)*(Master!R115)/Valuation!O$19</f>
        <v>-49.853922077922078</v>
      </c>
      <c r="K47" s="914">
        <f>(1-0.28)*(Master!S115)/Valuation!P$19</f>
        <v>-53.115083798882679</v>
      </c>
      <c r="L47" s="914">
        <f>(1-0.28)*(Master!T115)/Valuation!Q$19</f>
        <v>36.678771876214853</v>
      </c>
      <c r="M47" s="914">
        <f>(1-0.28)*(Master!U112+Master!U115)/Valuation!R$19</f>
        <v>-40.277394331178513</v>
      </c>
      <c r="N47" s="914">
        <f>(1-0.28)*(Master!V112+Master!V115)/Valuation!S$19</f>
        <v>-46.934644067796604</v>
      </c>
      <c r="O47" s="914">
        <f>(1-0.28)*(Master!W112+Master!W115)/Valuation!T$19</f>
        <v>53.297581591922977</v>
      </c>
      <c r="P47" s="914">
        <f>(1-0.28)*(Master!X115)/Valuation!U$19</f>
        <v>-73.579989577905152</v>
      </c>
      <c r="Q47" s="914">
        <f>(1-0.28)*(Master!Y115)/Valuation!V$19</f>
        <v>-72.762570374684543</v>
      </c>
      <c r="R47" s="914">
        <f>(1-0.28)*(Master!Z115)/Valuation!W$19</f>
        <v>-71.961178998978028</v>
      </c>
      <c r="S47" s="914">
        <f>(1-0.28)*(Master!AA115)/Valuation!X$19</f>
        <v>-71.175501179657942</v>
      </c>
      <c r="T47" s="914">
        <f>(1-0.28)*(Master!AB115)/Valuation!Y$19</f>
        <v>-70.405228807775487</v>
      </c>
      <c r="U47" s="914">
        <f>(1-0.28)*(Master!AC115)/Valuation!Z$19</f>
        <v>-69.650059815733869</v>
      </c>
    </row>
    <row r="48" spans="2:35">
      <c r="C48" s="914"/>
      <c r="D48" s="914"/>
      <c r="E48" s="914"/>
      <c r="F48" s="914"/>
      <c r="G48" s="914"/>
      <c r="H48" s="914"/>
      <c r="I48" s="914"/>
      <c r="J48" s="914"/>
      <c r="K48" s="914"/>
      <c r="L48" s="914"/>
      <c r="M48" s="914"/>
      <c r="N48" s="914"/>
      <c r="O48" s="914"/>
      <c r="P48" s="914"/>
      <c r="Q48" s="914"/>
      <c r="R48" s="914"/>
      <c r="S48" s="914"/>
      <c r="T48" s="914"/>
      <c r="U48" s="914"/>
    </row>
    <row r="49" spans="2:21">
      <c r="B49" s="874" t="s">
        <v>7459</v>
      </c>
      <c r="D49" s="914"/>
      <c r="E49" s="914"/>
      <c r="F49" s="914"/>
      <c r="G49" s="914"/>
      <c r="H49" s="914"/>
      <c r="I49" s="914"/>
      <c r="J49" s="914"/>
      <c r="K49" s="914"/>
      <c r="L49" s="914"/>
      <c r="M49" s="914"/>
      <c r="N49" s="914"/>
      <c r="O49" s="914"/>
      <c r="P49" s="914"/>
      <c r="Q49" s="914"/>
      <c r="R49" s="914"/>
      <c r="S49" s="914"/>
      <c r="T49" s="914"/>
      <c r="U49" s="914"/>
    </row>
    <row r="50" spans="2:21">
      <c r="B50" s="685" t="s">
        <v>16</v>
      </c>
      <c r="C50" s="914">
        <f>(1-0.28)*Master!K114</f>
        <v>-126.00000000000065</v>
      </c>
      <c r="D50" s="914">
        <f>(1-0.28)*Master!L114</f>
        <v>-1096.5052799999994</v>
      </c>
      <c r="E50" s="914">
        <f>(1-0.28)*Master!M114</f>
        <v>-1060.3432800000003</v>
      </c>
      <c r="F50" s="914">
        <f>(1-0.28)*Master!N114</f>
        <v>-4096.4860799999997</v>
      </c>
      <c r="G50" s="914">
        <f>(1-0.28)*Master!O114</f>
        <v>-3827.570400000001</v>
      </c>
      <c r="H50" s="914">
        <f>(1-0.28)*Master!P114</f>
        <v>2488.8024</v>
      </c>
      <c r="I50" s="914">
        <f>(1-0.28)*Master!Q114</f>
        <v>1801.26</v>
      </c>
      <c r="J50" s="914">
        <f>(1-0.28)*Master!R114</f>
        <v>3478.463999999999</v>
      </c>
      <c r="K50" s="914">
        <f>(1-0.28)*Master!S114</f>
        <v>3360.8159999999993</v>
      </c>
      <c r="L50" s="914">
        <f>(1-0.28)*Master!T114</f>
        <v>2124.7360121408642</v>
      </c>
      <c r="M50" s="914">
        <f>(1-0.28)*Master!U114</f>
        <v>4977.9007199999996</v>
      </c>
      <c r="N50" s="914">
        <f>(1-0.28)*Master!V114</f>
        <v>5484.1679999999997</v>
      </c>
      <c r="O50" s="914">
        <f>(1-0.28)*Master!W114</f>
        <v>5446.3590000000004</v>
      </c>
      <c r="P50" s="914">
        <f>(1-0.28)*Master!X114</f>
        <v>5678.2684799999997</v>
      </c>
      <c r="Q50" s="914">
        <f>(1-0.28)*Master!Y114</f>
        <v>5701.3364456999998</v>
      </c>
      <c r="R50" s="914">
        <f>(1-0.28)*Master!Z114</f>
        <v>5936.6296958400007</v>
      </c>
      <c r="S50" s="914">
        <f>(1-0.28)*Master!AA114</f>
        <v>6225.3446947197172</v>
      </c>
      <c r="T50" s="914">
        <f>(1-0.28)*Master!AB114</f>
        <v>6542.3584014815979</v>
      </c>
      <c r="U50" s="914">
        <f>(1-0.28)*Master!AC114</f>
        <v>6771.3409455334522</v>
      </c>
    </row>
    <row r="51" spans="2:21">
      <c r="C51" s="914"/>
      <c r="D51" s="914"/>
      <c r="E51" s="914"/>
      <c r="F51" s="914"/>
      <c r="G51" s="914"/>
      <c r="H51" s="914"/>
      <c r="I51" s="914"/>
      <c r="J51" s="914"/>
      <c r="K51" s="914"/>
      <c r="L51" s="914"/>
      <c r="M51" s="914"/>
      <c r="N51" s="914"/>
      <c r="O51" s="914"/>
      <c r="P51" s="914"/>
      <c r="Q51" s="914"/>
      <c r="R51" s="914"/>
      <c r="S51" s="914"/>
      <c r="T51" s="914"/>
      <c r="U51" s="914"/>
    </row>
    <row r="52" spans="2:21">
      <c r="B52" s="685" t="s">
        <v>3662</v>
      </c>
      <c r="C52" s="914">
        <f>(1-Master!K$332)*'SKY Mex'!I145/Valuation!H$19</f>
        <v>0</v>
      </c>
      <c r="D52" s="914">
        <f>(1-Master!L$332)*'SKY Mex'!J145/Valuation!I$19</f>
        <v>0</v>
      </c>
      <c r="E52" s="914">
        <f>(1-Master!M$332)*'SKY Mex'!K145/Valuation!J$19</f>
        <v>0</v>
      </c>
      <c r="F52" s="914">
        <f>(1-Master!N$332)*'SKY Mex'!L145/Valuation!K$19</f>
        <v>0</v>
      </c>
      <c r="G52" s="914">
        <f>(1-Master!O$332)*'SKY Mex'!M145/Valuation!L$19</f>
        <v>0</v>
      </c>
      <c r="H52" s="914">
        <f>(1-Master!P$332)*'SKY Mex'!N145/Valuation!M$19</f>
        <v>0</v>
      </c>
      <c r="I52" s="914">
        <f>(1-Master!Q$332)*'SKY Mex'!O145/Valuation!N$19</f>
        <v>0</v>
      </c>
      <c r="J52" s="914">
        <f>(1-Master!R$332)*'SKY Mex'!P145/Valuation!O$19</f>
        <v>-27.030316558971414</v>
      </c>
      <c r="K52" s="914">
        <f>(1-Master!S$332)*'SKY Mex'!Q145/Valuation!P$19</f>
        <v>-2.5728258020636856</v>
      </c>
      <c r="L52" s="914">
        <f>(1-Master!T$332)*'SKY Mex'!R145/Valuation!Q$19</f>
        <v>5.0089811285861074</v>
      </c>
      <c r="M52" s="914">
        <f>(1-Master!U$332)*'SKY Mex'!S145/Valuation!R$19</f>
        <v>24.269935038125475</v>
      </c>
      <c r="N52" s="914">
        <f>(1-Master!V$332)*'SKY Mex'!T145/Valuation!S$19</f>
        <v>-181.57675096454128</v>
      </c>
      <c r="O52" s="914">
        <f>(1-Master!W$332)*'SKY Mex'!U145/Valuation!T$19</f>
        <v>16.473079190314717</v>
      </c>
      <c r="P52" s="914">
        <f>(1-Master!X$332)*'SKY Mex'!V145/Valuation!U$19</f>
        <v>15.79174751239127</v>
      </c>
      <c r="Q52" s="914">
        <f>(1-Master!Y$332)*'SKY Mex'!W145/Valuation!V$19</f>
        <v>14.971312485634341</v>
      </c>
      <c r="R52" s="914">
        <f>(1-Master!Z$332)*'SKY Mex'!X145/Valuation!W$19</f>
        <v>14.123221161966603</v>
      </c>
      <c r="S52" s="914">
        <f>(1-Master!AA$332)*'SKY Mex'!Y145/Valuation!X$19</f>
        <v>13.2564765263119</v>
      </c>
      <c r="T52" s="914">
        <f>(1-Master!AB$332)*'SKY Mex'!Z145/Valuation!Y$19</f>
        <v>12.378694265141958</v>
      </c>
      <c r="U52" s="914">
        <f>(1-Master!AC$332)*'SKY Mex'!AA145/Valuation!Z$19</f>
        <v>11.496294329746108</v>
      </c>
    </row>
    <row r="53" spans="2:21">
      <c r="C53" s="914"/>
      <c r="D53" s="915"/>
      <c r="E53" s="914"/>
      <c r="F53" s="914"/>
      <c r="G53" s="916"/>
      <c r="H53" s="915"/>
      <c r="I53" s="915"/>
      <c r="J53" s="916"/>
      <c r="K53" s="917"/>
    </row>
    <row r="54" spans="2:21">
      <c r="C54" s="914"/>
      <c r="D54" s="915"/>
      <c r="E54" s="914"/>
      <c r="F54" s="914"/>
      <c r="G54" s="916"/>
      <c r="H54" s="915"/>
      <c r="I54" s="915"/>
      <c r="J54" s="916"/>
      <c r="K54" s="917"/>
    </row>
    <row r="55" spans="2:21">
      <c r="B55" s="912" t="s">
        <v>457</v>
      </c>
      <c r="C55" s="913" t="s">
        <v>458</v>
      </c>
      <c r="D55" s="913" t="s">
        <v>459</v>
      </c>
      <c r="E55" s="913" t="s">
        <v>460</v>
      </c>
      <c r="F55" s="913" t="s">
        <v>192</v>
      </c>
      <c r="G55" s="913" t="s">
        <v>461</v>
      </c>
      <c r="H55" s="913" t="s">
        <v>462</v>
      </c>
      <c r="I55" s="913" t="s">
        <v>463</v>
      </c>
      <c r="J55" s="913" t="s">
        <v>464</v>
      </c>
      <c r="K55" s="913" t="s">
        <v>465</v>
      </c>
      <c r="L55" s="913" t="s">
        <v>457</v>
      </c>
    </row>
    <row r="56" spans="2:21">
      <c r="B56" s="685" t="s">
        <v>145</v>
      </c>
      <c r="C56" s="918">
        <v>4.4999999999999998E-2</v>
      </c>
      <c r="D56" s="918">
        <v>0.02</v>
      </c>
      <c r="E56" s="919">
        <f t="shared" ref="E56:E61" si="2">C56+D56</f>
        <v>6.5000000000000002E-2</v>
      </c>
      <c r="F56" s="918">
        <v>0.28000000000000003</v>
      </c>
      <c r="G56" s="920">
        <f t="shared" ref="G56:G61" si="3">E56*(1-F56)</f>
        <v>4.6800000000000001E-2</v>
      </c>
      <c r="H56" s="949">
        <v>0.04</v>
      </c>
      <c r="I56" s="952">
        <v>1.2</v>
      </c>
      <c r="J56" s="919">
        <f t="shared" ref="J56:J61" si="4">C56+H56*I56</f>
        <v>9.2999999999999999E-2</v>
      </c>
      <c r="K56" s="949">
        <v>0.3</v>
      </c>
      <c r="L56" s="953">
        <f t="shared" ref="L56:L61" si="5">G56*K56+J56*(1-K56)</f>
        <v>7.9139999999999988E-2</v>
      </c>
    </row>
    <row r="57" spans="2:21">
      <c r="B57" s="685" t="str">
        <f>SOP!B5</f>
        <v>Sky</v>
      </c>
      <c r="C57" s="918">
        <v>4.4999999999999998E-2</v>
      </c>
      <c r="D57" s="918">
        <v>0.02</v>
      </c>
      <c r="E57" s="919">
        <f t="shared" si="2"/>
        <v>6.5000000000000002E-2</v>
      </c>
      <c r="F57" s="918">
        <v>0.28000000000000003</v>
      </c>
      <c r="G57" s="920">
        <f t="shared" si="3"/>
        <v>4.6800000000000001E-2</v>
      </c>
      <c r="H57" s="949">
        <v>0.04</v>
      </c>
      <c r="I57" s="952">
        <v>1.2</v>
      </c>
      <c r="J57" s="919">
        <f t="shared" si="4"/>
        <v>9.2999999999999999E-2</v>
      </c>
      <c r="K57" s="949">
        <v>0.3</v>
      </c>
      <c r="L57" s="953">
        <f t="shared" si="5"/>
        <v>7.9139999999999988E-2</v>
      </c>
    </row>
    <row r="58" spans="2:21">
      <c r="B58" s="685" t="s">
        <v>16</v>
      </c>
      <c r="C58" s="918">
        <v>0.05</v>
      </c>
      <c r="D58" s="918">
        <v>0.02</v>
      </c>
      <c r="E58" s="919">
        <f t="shared" si="2"/>
        <v>7.0000000000000007E-2</v>
      </c>
      <c r="F58" s="918">
        <v>0.28000000000000003</v>
      </c>
      <c r="G58" s="920">
        <f t="shared" si="3"/>
        <v>5.04E-2</v>
      </c>
      <c r="H58" s="949">
        <v>0.04</v>
      </c>
      <c r="I58" s="952">
        <v>1.2</v>
      </c>
      <c r="J58" s="919">
        <f t="shared" si="4"/>
        <v>9.8000000000000004E-2</v>
      </c>
      <c r="K58" s="949">
        <v>0.3</v>
      </c>
      <c r="L58" s="953">
        <f t="shared" si="5"/>
        <v>8.3719999999999989E-2</v>
      </c>
    </row>
    <row r="59" spans="2:21">
      <c r="B59" s="685" t="s">
        <v>50</v>
      </c>
      <c r="C59" s="918">
        <v>4.7500000000000001E-2</v>
      </c>
      <c r="D59" s="918">
        <v>0.02</v>
      </c>
      <c r="E59" s="919">
        <f t="shared" si="2"/>
        <v>6.7500000000000004E-2</v>
      </c>
      <c r="F59" s="918">
        <v>0.28000000000000003</v>
      </c>
      <c r="G59" s="920">
        <f t="shared" si="3"/>
        <v>4.8600000000000004E-2</v>
      </c>
      <c r="H59" s="949">
        <v>0.04</v>
      </c>
      <c r="I59" s="952">
        <v>1.2</v>
      </c>
      <c r="J59" s="919">
        <f t="shared" si="4"/>
        <v>9.5500000000000002E-2</v>
      </c>
      <c r="K59" s="949">
        <v>0.3</v>
      </c>
      <c r="L59" s="953">
        <f t="shared" si="5"/>
        <v>8.1429999999999989E-2</v>
      </c>
    </row>
    <row r="60" spans="2:21">
      <c r="B60" s="685" t="s">
        <v>44</v>
      </c>
      <c r="C60" s="918">
        <v>0.05</v>
      </c>
      <c r="D60" s="918">
        <v>0.02</v>
      </c>
      <c r="E60" s="919">
        <f t="shared" si="2"/>
        <v>7.0000000000000007E-2</v>
      </c>
      <c r="F60" s="918">
        <v>0.28000000000000003</v>
      </c>
      <c r="G60" s="920">
        <f t="shared" si="3"/>
        <v>5.04E-2</v>
      </c>
      <c r="H60" s="949">
        <v>0.04</v>
      </c>
      <c r="I60" s="952">
        <v>1.2</v>
      </c>
      <c r="J60" s="919">
        <f t="shared" si="4"/>
        <v>9.8000000000000004E-2</v>
      </c>
      <c r="K60" s="949">
        <v>0.3</v>
      </c>
      <c r="L60" s="953">
        <f t="shared" si="5"/>
        <v>8.3719999999999989E-2</v>
      </c>
    </row>
    <row r="61" spans="2:21">
      <c r="B61" s="685" t="s">
        <v>4163</v>
      </c>
      <c r="C61" s="918">
        <v>0.04</v>
      </c>
      <c r="D61" s="918">
        <v>0.05</v>
      </c>
      <c r="E61" s="919">
        <f t="shared" si="2"/>
        <v>0.09</v>
      </c>
      <c r="F61" s="918">
        <v>0.28000000000000003</v>
      </c>
      <c r="G61" s="920">
        <f t="shared" si="3"/>
        <v>6.4799999999999996E-2</v>
      </c>
      <c r="H61" s="949">
        <v>0.04</v>
      </c>
      <c r="I61" s="952">
        <v>1.2</v>
      </c>
      <c r="J61" s="919">
        <f t="shared" si="4"/>
        <v>8.7999999999999995E-2</v>
      </c>
      <c r="K61" s="949">
        <v>0.3</v>
      </c>
      <c r="L61" s="953">
        <f t="shared" si="5"/>
        <v>8.1040000000000001E-2</v>
      </c>
    </row>
    <row r="62" spans="2:21">
      <c r="B62" s="874" t="s">
        <v>7460</v>
      </c>
      <c r="C62" s="919"/>
      <c r="D62" s="919"/>
      <c r="E62" s="919"/>
      <c r="F62" s="921"/>
      <c r="G62" s="915"/>
      <c r="H62" s="917"/>
      <c r="I62" s="919"/>
      <c r="J62" s="915"/>
      <c r="K62" s="919"/>
    </row>
    <row r="63" spans="2:21">
      <c r="B63" s="685" t="s">
        <v>16</v>
      </c>
      <c r="C63" s="950">
        <v>0.09</v>
      </c>
      <c r="D63" s="950">
        <v>0.01</v>
      </c>
      <c r="E63" s="919">
        <f>C63+D63</f>
        <v>9.9999999999999992E-2</v>
      </c>
      <c r="F63" s="951">
        <v>0.28000000000000003</v>
      </c>
      <c r="G63" s="920">
        <f>E63*(1-F63)</f>
        <v>7.1999999999999995E-2</v>
      </c>
      <c r="H63" s="949">
        <v>0.04</v>
      </c>
      <c r="I63" s="952">
        <v>1.2</v>
      </c>
      <c r="J63" s="919">
        <f>C63+H63*I63</f>
        <v>0.13800000000000001</v>
      </c>
      <c r="K63" s="949">
        <v>0.3</v>
      </c>
      <c r="L63" s="953">
        <f>G63*K63+J63*(1-K63)</f>
        <v>0.1182</v>
      </c>
    </row>
    <row r="64" spans="2:21">
      <c r="C64" s="919"/>
      <c r="D64" s="919"/>
      <c r="E64" s="919"/>
      <c r="F64" s="921"/>
      <c r="G64" s="915"/>
      <c r="H64" s="917"/>
      <c r="I64" s="919"/>
      <c r="J64" s="915"/>
      <c r="K64" s="919"/>
    </row>
    <row r="65" spans="2:11">
      <c r="C65" s="919"/>
      <c r="D65" s="919"/>
      <c r="E65" s="919"/>
      <c r="F65" s="921"/>
      <c r="G65" s="915"/>
      <c r="H65" s="917"/>
      <c r="I65" s="919"/>
      <c r="J65" s="915"/>
      <c r="K65" s="919"/>
    </row>
    <row r="66" spans="2:11">
      <c r="B66" s="912" t="s">
        <v>456</v>
      </c>
      <c r="C66" s="913" t="s">
        <v>466</v>
      </c>
      <c r="D66" s="913" t="s">
        <v>467</v>
      </c>
      <c r="E66" s="913" t="s">
        <v>74</v>
      </c>
      <c r="F66" s="913" t="s">
        <v>468</v>
      </c>
      <c r="G66" s="913" t="s">
        <v>456</v>
      </c>
      <c r="H66" s="922"/>
      <c r="I66" s="922"/>
      <c r="J66" s="922"/>
      <c r="K66" s="917"/>
    </row>
    <row r="67" spans="2:11">
      <c r="B67" s="685" t="s">
        <v>145</v>
      </c>
      <c r="C67" s="914">
        <f>NPV($L56,P43:U43)</f>
        <v>0</v>
      </c>
      <c r="D67" s="918">
        <v>0</v>
      </c>
      <c r="E67" s="914">
        <f>P43/(L56-D67)</f>
        <v>0</v>
      </c>
      <c r="F67" s="914">
        <f>E67/((1+L56)^6)</f>
        <v>0</v>
      </c>
      <c r="G67" s="954">
        <f>F67+C67</f>
        <v>0</v>
      </c>
      <c r="H67" s="915"/>
      <c r="I67" s="915"/>
      <c r="J67" s="916"/>
      <c r="K67" s="917"/>
    </row>
    <row r="68" spans="2:11">
      <c r="B68" s="685" t="str">
        <f>B57</f>
        <v>Sky</v>
      </c>
      <c r="C68" s="914">
        <f>NPV($L57,P44:U44)</f>
        <v>471.07651654479349</v>
      </c>
      <c r="D68" s="918">
        <v>-0.08</v>
      </c>
      <c r="E68" s="914">
        <f>U44/(L57-D68)</f>
        <v>486.98851183778271</v>
      </c>
      <c r="F68" s="914">
        <f>E68/((1+L57)^6)</f>
        <v>308.35569402708347</v>
      </c>
      <c r="G68" s="954">
        <f>F68+C68</f>
        <v>779.43221057187702</v>
      </c>
      <c r="H68" s="915"/>
      <c r="I68" s="915"/>
      <c r="J68" s="916"/>
      <c r="K68" s="917"/>
    </row>
    <row r="69" spans="2:11">
      <c r="B69" s="685" t="str">
        <f>B58</f>
        <v>Cable</v>
      </c>
      <c r="C69" s="914">
        <f>NPV($L58,P45:U45)</f>
        <v>1538.0943200967754</v>
      </c>
      <c r="D69" s="918">
        <v>0</v>
      </c>
      <c r="E69" s="914">
        <f>U45/(L58-D69)</f>
        <v>4241.5746906094364</v>
      </c>
      <c r="F69" s="914">
        <f>E69/((1+L58)^6)</f>
        <v>2618.3312495066421</v>
      </c>
      <c r="G69" s="954">
        <f>F69+C69</f>
        <v>4156.4255696034179</v>
      </c>
      <c r="H69" s="915"/>
      <c r="I69" s="915"/>
      <c r="J69" s="916"/>
      <c r="K69" s="917"/>
    </row>
    <row r="70" spans="2:11">
      <c r="B70" s="685" t="s">
        <v>44</v>
      </c>
      <c r="C70" s="914">
        <f>NPV($L59,P47:U47)</f>
        <v>-330.34049456195436</v>
      </c>
      <c r="D70" s="918">
        <v>0.03</v>
      </c>
      <c r="E70" s="914">
        <f>U47/(L59-D70)</f>
        <v>-1354.2691000531574</v>
      </c>
      <c r="F70" s="914">
        <f>E70/((1+L59)^6)</f>
        <v>-846.67062103086221</v>
      </c>
      <c r="G70" s="954">
        <f>F70+C70</f>
        <v>-1177.0111155928166</v>
      </c>
      <c r="H70" s="915"/>
      <c r="I70" s="915"/>
      <c r="J70" s="916"/>
      <c r="K70" s="917"/>
    </row>
    <row r="71" spans="2:11">
      <c r="C71" s="914"/>
      <c r="D71" s="915"/>
      <c r="E71" s="914"/>
      <c r="F71" s="914"/>
      <c r="G71" s="916"/>
      <c r="H71" s="915"/>
      <c r="I71" s="915"/>
      <c r="J71" s="916"/>
      <c r="K71" s="917"/>
    </row>
    <row r="72" spans="2:11">
      <c r="B72" s="874" t="s">
        <v>7461</v>
      </c>
      <c r="C72" s="914"/>
      <c r="D72" s="915"/>
      <c r="E72" s="914"/>
      <c r="F72" s="914"/>
      <c r="G72" s="916"/>
      <c r="H72" s="915"/>
      <c r="I72" s="915"/>
      <c r="J72" s="916"/>
      <c r="K72" s="917"/>
    </row>
    <row r="73" spans="2:11">
      <c r="B73" s="685" t="s">
        <v>16</v>
      </c>
      <c r="C73" s="914">
        <f>NPV($L63,P50:U50)</f>
        <v>25071.753232372808</v>
      </c>
      <c r="D73" s="949">
        <v>0.02</v>
      </c>
      <c r="E73" s="914">
        <f>U50/(L63-D73)</f>
        <v>68954.592113375285</v>
      </c>
      <c r="F73" s="914">
        <f>E73/((1+L63)^6)</f>
        <v>35273.314151006642</v>
      </c>
      <c r="G73" s="954">
        <f>F73+C73</f>
        <v>60345.06738337945</v>
      </c>
      <c r="H73" s="954">
        <f>G73/Master!W92</f>
        <v>3542.2086982495566</v>
      </c>
      <c r="I73" s="955" t="s">
        <v>58</v>
      </c>
      <c r="J73" s="916"/>
      <c r="K73" s="917"/>
    </row>
    <row r="74" spans="2:11">
      <c r="C74" s="914"/>
      <c r="D74" s="915"/>
      <c r="E74" s="914"/>
      <c r="F74" s="914"/>
      <c r="G74" s="916"/>
      <c r="H74" s="915"/>
      <c r="I74" s="915"/>
      <c r="J74" s="916"/>
      <c r="K74" s="917"/>
    </row>
    <row r="75" spans="2:11">
      <c r="B75" s="685" t="s">
        <v>3663</v>
      </c>
      <c r="C75" s="914">
        <f>NPV($L57,P52:U52)</f>
        <v>64.240572521595439</v>
      </c>
      <c r="D75" s="915">
        <f>D68</f>
        <v>-0.08</v>
      </c>
      <c r="E75" s="914">
        <f>P52/(L57-D75)</f>
        <v>99.231792838954817</v>
      </c>
      <c r="F75" s="914">
        <f>E75/((1+L57)^6)</f>
        <v>62.832464435218952</v>
      </c>
      <c r="G75" s="954">
        <f>F75+C75</f>
        <v>127.07303695681439</v>
      </c>
      <c r="H75" s="923">
        <f>G75/G29</f>
        <v>0.22161978975508212</v>
      </c>
      <c r="I75" s="915"/>
      <c r="J75" s="916"/>
      <c r="K75" s="917"/>
    </row>
    <row r="76" spans="2:11">
      <c r="C76" s="914"/>
      <c r="D76" s="915"/>
      <c r="E76" s="914"/>
      <c r="F76" s="914"/>
      <c r="G76" s="916"/>
      <c r="H76" s="915"/>
      <c r="I76" s="915"/>
      <c r="J76" s="916"/>
      <c r="K76" s="917"/>
    </row>
    <row r="77" spans="2:11">
      <c r="C77" s="914"/>
      <c r="D77" s="915"/>
      <c r="E77" s="914"/>
      <c r="F77" s="914"/>
      <c r="G77" s="916"/>
      <c r="H77" s="915"/>
      <c r="I77" s="915"/>
      <c r="J77" s="916"/>
      <c r="K77" s="917"/>
    </row>
    <row r="78" spans="2:11" hidden="1" outlineLevel="1">
      <c r="B78" s="743" t="s">
        <v>916</v>
      </c>
      <c r="C78" s="910" t="str">
        <f>C3</f>
        <v>Ownership %</v>
      </c>
      <c r="D78" s="924" t="str">
        <f>D3</f>
        <v>x 24 EBITDA</v>
      </c>
      <c r="E78" s="909" t="str">
        <f>E3</f>
        <v>100% equity</v>
      </c>
      <c r="F78" s="909" t="str">
        <f>F3</f>
        <v>2023 debt</v>
      </c>
      <c r="G78" s="909" t="s">
        <v>1588</v>
      </c>
      <c r="H78" s="910" t="s">
        <v>1589</v>
      </c>
      <c r="I78" s="743" t="str">
        <f>I3</f>
        <v>Methodology</v>
      </c>
      <c r="J78" s="916"/>
      <c r="K78" s="917"/>
    </row>
    <row r="79" spans="2:11" hidden="1" outlineLevel="1">
      <c r="B79" s="685" t="str">
        <f t="shared" ref="B79:G80" si="6">B11</f>
        <v>Univision (equity)</v>
      </c>
      <c r="C79" s="807">
        <f t="shared" si="6"/>
        <v>0.1</v>
      </c>
      <c r="D79" s="906">
        <f t="shared" ca="1" si="6"/>
        <v>9.7611533543358053</v>
      </c>
      <c r="E79" s="905">
        <f t="shared" ca="1" si="6"/>
        <v>9983.707650814662</v>
      </c>
      <c r="F79" s="905">
        <f t="shared" ca="1" si="6"/>
        <v>6704.4884065512269</v>
      </c>
      <c r="G79" s="905">
        <f t="shared" ca="1" si="6"/>
        <v>327.92192442634354</v>
      </c>
      <c r="H79" s="807">
        <f>AE11</f>
        <v>0</v>
      </c>
      <c r="I79" s="685" t="str">
        <f>I11</f>
        <v>DCF</v>
      </c>
      <c r="J79" s="916"/>
      <c r="K79" s="917"/>
    </row>
    <row r="80" spans="2:11" hidden="1" outlineLevel="1">
      <c r="B80" s="685" t="str">
        <f t="shared" si="6"/>
        <v>Univision  (warrants)</v>
      </c>
      <c r="C80" s="807">
        <f t="shared" si="6"/>
        <v>0.26</v>
      </c>
      <c r="D80" s="906">
        <f t="shared" ca="1" si="6"/>
        <v>9.7611533543358053</v>
      </c>
      <c r="E80" s="905">
        <f t="shared" ca="1" si="6"/>
        <v>9983.707650814662</v>
      </c>
      <c r="F80" s="905">
        <f t="shared" ca="1" si="6"/>
        <v>6704.4884065512269</v>
      </c>
      <c r="G80" s="905">
        <f t="shared" ca="1" si="6"/>
        <v>852.59700350849312</v>
      </c>
      <c r="H80" s="807">
        <f>J12</f>
        <v>0</v>
      </c>
      <c r="I80" s="685" t="str">
        <f>I12</f>
        <v>DCF</v>
      </c>
      <c r="J80" s="916"/>
      <c r="K80" s="917"/>
    </row>
    <row r="81" spans="2:11" hidden="1" outlineLevel="1">
      <c r="B81" s="743" t="e">
        <f>#REF!</f>
        <v>#REF!</v>
      </c>
      <c r="C81" s="910" t="e">
        <f>#REF!</f>
        <v>#REF!</v>
      </c>
      <c r="D81" s="924" t="e">
        <f>#REF!</f>
        <v>#REF!</v>
      </c>
      <c r="E81" s="909" t="e">
        <f>#REF!</f>
        <v>#REF!</v>
      </c>
      <c r="F81" s="909" t="e">
        <f>#REF!</f>
        <v>#REF!</v>
      </c>
      <c r="G81" s="909" t="e">
        <f>#REF!</f>
        <v>#REF!</v>
      </c>
      <c r="H81" s="910" t="e">
        <f>#REF!</f>
        <v>#REF!</v>
      </c>
      <c r="I81" s="743" t="e">
        <f>#REF!</f>
        <v>#REF!</v>
      </c>
      <c r="J81" s="916"/>
      <c r="K81" s="917"/>
    </row>
    <row r="82" spans="2:11" hidden="1" outlineLevel="1">
      <c r="B82" s="685" t="s">
        <v>1587</v>
      </c>
      <c r="C82" s="807"/>
      <c r="D82" s="906"/>
      <c r="E82" s="905"/>
      <c r="F82" s="905"/>
      <c r="G82" s="905" t="e">
        <f ca="1">G79+G80+G81</f>
        <v>#REF!</v>
      </c>
      <c r="H82" s="807" t="e">
        <f>H79+H80+H81</f>
        <v>#REF!</v>
      </c>
      <c r="J82" s="916"/>
      <c r="K82" s="917"/>
    </row>
    <row r="83" spans="2:11" hidden="1" outlineLevel="1">
      <c r="C83" s="807"/>
      <c r="D83" s="906"/>
      <c r="E83" s="905"/>
      <c r="F83" s="905"/>
      <c r="G83" s="905"/>
      <c r="H83" s="807"/>
      <c r="J83" s="916"/>
      <c r="K83" s="917"/>
    </row>
    <row r="84" spans="2:11" hidden="1" outlineLevel="1">
      <c r="B84" s="685" t="s">
        <v>1610</v>
      </c>
      <c r="C84" s="807" t="e">
        <f>#REF!</f>
        <v>#REF!</v>
      </c>
      <c r="D84" s="906" t="e">
        <f>#REF!</f>
        <v>#REF!</v>
      </c>
      <c r="E84" s="905" t="e">
        <f>#REF!</f>
        <v>#REF!</v>
      </c>
      <c r="F84" s="905" t="e">
        <f>#REF!</f>
        <v>#REF!</v>
      </c>
      <c r="G84" s="905" t="e">
        <f>#REF!</f>
        <v>#REF!</v>
      </c>
      <c r="H84" s="807" t="e">
        <f>#REF!</f>
        <v>#REF!</v>
      </c>
      <c r="I84" s="685" t="e">
        <f>#REF!</f>
        <v>#REF!</v>
      </c>
      <c r="J84" s="916"/>
      <c r="K84" s="917"/>
    </row>
    <row r="85" spans="2:11" hidden="1" outlineLevel="1">
      <c r="B85" s="917"/>
      <c r="C85" s="914"/>
      <c r="D85" s="915"/>
      <c r="E85" s="914"/>
      <c r="F85" s="914"/>
      <c r="G85" s="916"/>
      <c r="H85" s="915"/>
      <c r="I85" s="915"/>
      <c r="J85" s="916"/>
      <c r="K85" s="917"/>
    </row>
    <row r="86" spans="2:11" hidden="1" outlineLevel="1">
      <c r="B86" s="874" t="s">
        <v>2437</v>
      </c>
    </row>
    <row r="87" spans="2:11" hidden="1" outlineLevel="1">
      <c r="B87" s="743"/>
      <c r="C87" s="925" t="s">
        <v>2432</v>
      </c>
      <c r="D87" s="925" t="s">
        <v>2438</v>
      </c>
      <c r="E87" s="925" t="s">
        <v>2427</v>
      </c>
      <c r="F87" s="925" t="s">
        <v>2434</v>
      </c>
      <c r="G87" s="925" t="s">
        <v>2433</v>
      </c>
      <c r="H87" s="925" t="s">
        <v>2435</v>
      </c>
      <c r="I87" s="925" t="s">
        <v>2113</v>
      </c>
      <c r="J87" s="925" t="s">
        <v>2436</v>
      </c>
    </row>
    <row r="88" spans="2:11" hidden="1" outlineLevel="1">
      <c r="B88" s="685" t="str">
        <f>'Cable cos'!B199</f>
        <v>Cablevision</v>
      </c>
      <c r="C88" s="848">
        <f>'Cable cos'!J199</f>
        <v>3016.7745299999997</v>
      </c>
      <c r="D88" s="808">
        <v>3</v>
      </c>
      <c r="E88" s="848">
        <f t="shared" ref="E88:E93" si="7">C88*D88</f>
        <v>9050.32359</v>
      </c>
      <c r="F88" s="848">
        <f>E88/Master!$O$92</f>
        <v>480.12326737400525</v>
      </c>
      <c r="G88" s="848">
        <f t="shared" ref="G88:G93" si="8">C88/C$94*G$94</f>
        <v>908.9217596464008</v>
      </c>
      <c r="H88" s="848">
        <f t="shared" ref="H88:H94" si="9">G88-F88</f>
        <v>428.79849227239555</v>
      </c>
      <c r="I88" s="807">
        <v>0.51</v>
      </c>
      <c r="J88" s="848">
        <f t="shared" ref="J88:J93" si="10">H88*(1-I88)</f>
        <v>210.11126121347382</v>
      </c>
    </row>
    <row r="89" spans="2:11" hidden="1" outlineLevel="1">
      <c r="B89" s="685" t="str">
        <f>'Cable cos'!B200</f>
        <v>Cablemas</v>
      </c>
      <c r="C89" s="848">
        <f>'Cable cos'!J200</f>
        <v>3080.3099400000001</v>
      </c>
      <c r="D89" s="808">
        <v>3</v>
      </c>
      <c r="E89" s="848">
        <f t="shared" si="7"/>
        <v>9240.9298200000012</v>
      </c>
      <c r="F89" s="848">
        <f>E89/Master!$O$92</f>
        <v>490.23500371352787</v>
      </c>
      <c r="G89" s="848">
        <f t="shared" si="8"/>
        <v>928.06429618096104</v>
      </c>
      <c r="H89" s="848">
        <f t="shared" si="9"/>
        <v>437.82929246743316</v>
      </c>
      <c r="I89" s="807">
        <v>1</v>
      </c>
      <c r="J89" s="848">
        <f t="shared" si="10"/>
        <v>0</v>
      </c>
    </row>
    <row r="90" spans="2:11" hidden="1" outlineLevel="1">
      <c r="B90" s="685" t="str">
        <f>'Cable cos'!B201</f>
        <v>TVI</v>
      </c>
      <c r="C90" s="848">
        <f>'Cable cos'!J201</f>
        <v>1586.7010655999995</v>
      </c>
      <c r="D90" s="808">
        <v>3</v>
      </c>
      <c r="E90" s="848">
        <f t="shared" si="7"/>
        <v>4760.1031967999988</v>
      </c>
      <c r="F90" s="848">
        <f>E90/Master!$O$92</f>
        <v>252.5253685305039</v>
      </c>
      <c r="G90" s="848">
        <f t="shared" si="8"/>
        <v>478.05598669582076</v>
      </c>
      <c r="H90" s="848">
        <f t="shared" si="9"/>
        <v>225.53061816531687</v>
      </c>
      <c r="I90" s="807">
        <v>1</v>
      </c>
      <c r="J90" s="848">
        <f t="shared" si="10"/>
        <v>0</v>
      </c>
    </row>
    <row r="91" spans="2:11" hidden="1" outlineLevel="1">
      <c r="B91" s="685" t="str">
        <f>'Cable cos'!B202</f>
        <v>Bestel</v>
      </c>
      <c r="C91" s="848">
        <f>'Cable cos'!J202</f>
        <v>1211.8914719999996</v>
      </c>
      <c r="D91" s="808">
        <v>3</v>
      </c>
      <c r="E91" s="848">
        <f t="shared" si="7"/>
        <v>3635.6744159999989</v>
      </c>
      <c r="F91" s="848">
        <f>E91/Master!$O$92</f>
        <v>192.87397432360734</v>
      </c>
      <c r="G91" s="848">
        <f t="shared" si="8"/>
        <v>365.12988235508158</v>
      </c>
      <c r="H91" s="848">
        <f t="shared" si="9"/>
        <v>172.25590803147423</v>
      </c>
      <c r="I91" s="807">
        <f>69.2%*0.5+30.8%</f>
        <v>0.65400000000000003</v>
      </c>
      <c r="J91" s="848">
        <f t="shared" si="10"/>
        <v>59.600544178890082</v>
      </c>
    </row>
    <row r="92" spans="2:11" hidden="1" outlineLevel="1">
      <c r="B92" s="685" t="str">
        <f>'Cable cos'!B203</f>
        <v>Cablecom</v>
      </c>
      <c r="C92" s="848">
        <f>'Cable cos'!J203</f>
        <v>1811.16</v>
      </c>
      <c r="D92" s="808">
        <v>3</v>
      </c>
      <c r="E92" s="848">
        <f t="shared" si="7"/>
        <v>5433.4800000000005</v>
      </c>
      <c r="F92" s="848">
        <f>E92/Master!$O$92</f>
        <v>288.24827586206897</v>
      </c>
      <c r="G92" s="848">
        <f t="shared" si="8"/>
        <v>545.68305248890294</v>
      </c>
      <c r="H92" s="848">
        <f t="shared" si="9"/>
        <v>257.43477662683398</v>
      </c>
      <c r="I92" s="807">
        <v>1</v>
      </c>
      <c r="J92" s="848">
        <f t="shared" si="10"/>
        <v>0</v>
      </c>
    </row>
    <row r="93" spans="2:11" hidden="1" outlineLevel="1">
      <c r="B93" s="743" t="str">
        <f>'Cable cos'!B204</f>
        <v>Cablevision Red</v>
      </c>
      <c r="C93" s="901">
        <f>'Cable cos'!J204</f>
        <v>1050</v>
      </c>
      <c r="D93" s="926">
        <v>3</v>
      </c>
      <c r="E93" s="901">
        <f t="shared" si="7"/>
        <v>3150</v>
      </c>
      <c r="F93" s="901">
        <f>E93/Master!$O$92</f>
        <v>167.10875331564986</v>
      </c>
      <c r="G93" s="901">
        <f t="shared" si="8"/>
        <v>316.35372088238927</v>
      </c>
      <c r="H93" s="901">
        <f t="shared" si="9"/>
        <v>149.2449675667394</v>
      </c>
      <c r="I93" s="910">
        <v>1</v>
      </c>
      <c r="J93" s="901">
        <f t="shared" si="10"/>
        <v>0</v>
      </c>
    </row>
    <row r="94" spans="2:11" hidden="1" outlineLevel="1">
      <c r="C94" s="848">
        <f>SUM(C88:C93)</f>
        <v>11756.837007599999</v>
      </c>
      <c r="D94" s="808">
        <v>3</v>
      </c>
      <c r="E94" s="848">
        <f>C94*D94</f>
        <v>35270.511022799998</v>
      </c>
      <c r="F94" s="848">
        <f>E94/Master!$O$92</f>
        <v>1871.1146431193631</v>
      </c>
      <c r="G94" s="848">
        <f>SOP!G6</f>
        <v>3542.2086982495566</v>
      </c>
      <c r="H94" s="848">
        <f t="shared" si="9"/>
        <v>1671.0940551301935</v>
      </c>
      <c r="J94" s="848">
        <f>SUM(J88:J93)</f>
        <v>269.71180539236389</v>
      </c>
    </row>
    <row r="95" spans="2:11" hidden="1" outlineLevel="1"/>
    <row r="96" spans="2:11" collapsed="1">
      <c r="J96" s="905"/>
    </row>
  </sheetData>
  <pageMargins left="0.70866141732283472" right="0.70866141732283472" top="0.74803149606299213" bottom="0.74803149606299213" header="0.31496062992125984" footer="0.31496062992125984"/>
  <pageSetup paperSize="9" scale="21"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4:AI3072"/>
  <sheetViews>
    <sheetView showGridLines="0" topLeftCell="A3049" zoomScale="85" zoomScaleNormal="85" workbookViewId="0">
      <selection activeCell="B3054" sqref="B3054"/>
    </sheetView>
  </sheetViews>
  <sheetFormatPr defaultRowHeight="15" outlineLevelRow="1"/>
  <cols>
    <col min="2" max="2" width="44" customWidth="1"/>
    <col min="3" max="8" width="8.85546875" customWidth="1"/>
    <col min="9" max="9" width="15" customWidth="1"/>
    <col min="10" max="11" width="9.42578125" customWidth="1"/>
    <col min="12" max="12" width="9.42578125" hidden="1" customWidth="1"/>
    <col min="13" max="13" width="8.7109375" hidden="1" customWidth="1"/>
    <col min="14" max="14" width="9.7109375" customWidth="1"/>
    <col min="15" max="15" width="9.85546875" customWidth="1"/>
    <col min="16" max="17" width="9.140625" customWidth="1"/>
    <col min="18" max="18" width="9.140625" hidden="1" customWidth="1"/>
    <col min="19" max="19" width="0" hidden="1" customWidth="1"/>
    <col min="22" max="22" width="14.5703125" bestFit="1" customWidth="1"/>
    <col min="31" max="33" width="10.7109375" customWidth="1"/>
  </cols>
  <sheetData>
    <row r="4" spans="2:13">
      <c r="B4" s="61" t="s">
        <v>730</v>
      </c>
      <c r="C4" s="61"/>
      <c r="D4" s="61">
        <f>Master!F41</f>
        <v>2007</v>
      </c>
      <c r="E4" s="61">
        <f>Master!G41</f>
        <v>2008</v>
      </c>
      <c r="F4" s="61">
        <f>Master!H41</f>
        <v>2009</v>
      </c>
      <c r="G4" s="61">
        <f>Master!I41</f>
        <v>2010</v>
      </c>
      <c r="H4" s="61">
        <f>Master!J41</f>
        <v>2011</v>
      </c>
      <c r="I4" s="130" t="s">
        <v>894</v>
      </c>
      <c r="K4" s="61">
        <f>G4</f>
        <v>2010</v>
      </c>
      <c r="L4" s="61">
        <f>H4</f>
        <v>2011</v>
      </c>
      <c r="M4" s="61" t="str">
        <f>I4</f>
        <v>2012e</v>
      </c>
    </row>
    <row r="5" spans="2:13">
      <c r="B5" t="s">
        <v>725</v>
      </c>
      <c r="D5">
        <v>295</v>
      </c>
      <c r="E5">
        <v>387</v>
      </c>
      <c r="F5">
        <v>525</v>
      </c>
      <c r="G5">
        <v>715</v>
      </c>
      <c r="H5">
        <v>863</v>
      </c>
      <c r="I5" s="4">
        <f>H5*1.35</f>
        <v>1165.0500000000002</v>
      </c>
      <c r="K5" s="10">
        <f t="shared" ref="K5:M7" si="0">G5/F5-1</f>
        <v>0.36190476190476195</v>
      </c>
      <c r="L5" s="10">
        <f t="shared" si="0"/>
        <v>0.20699300699300704</v>
      </c>
      <c r="M5" s="10">
        <f t="shared" si="0"/>
        <v>0.35000000000000031</v>
      </c>
    </row>
    <row r="6" spans="2:13">
      <c r="B6" t="s">
        <v>727</v>
      </c>
      <c r="F6" s="122">
        <f>F7-F5</f>
        <v>20872</v>
      </c>
      <c r="G6" s="122">
        <f>G7-G5</f>
        <v>22032</v>
      </c>
      <c r="H6" s="122">
        <f>H7-H5</f>
        <v>22343.1</v>
      </c>
      <c r="I6" s="122">
        <f>I7-I5</f>
        <v>22770.850000000002</v>
      </c>
      <c r="K6" s="10">
        <f t="shared" si="0"/>
        <v>5.5576849367573677E-2</v>
      </c>
      <c r="L6" s="10">
        <f t="shared" si="0"/>
        <v>1.4120370370370283E-2</v>
      </c>
      <c r="M6" s="10">
        <f t="shared" si="0"/>
        <v>1.9144612878248868E-2</v>
      </c>
    </row>
    <row r="7" spans="2:13">
      <c r="B7" t="s">
        <v>726</v>
      </c>
      <c r="F7" s="122">
        <f>Master!H43</f>
        <v>21397</v>
      </c>
      <c r="G7" s="122">
        <f>Master!I43</f>
        <v>22747</v>
      </c>
      <c r="H7" s="122">
        <f>Master!J43</f>
        <v>23206.1</v>
      </c>
      <c r="I7" s="122">
        <f>Master!K43</f>
        <v>23935.9</v>
      </c>
      <c r="K7" s="10">
        <f t="shared" si="0"/>
        <v>6.3092956956582791E-2</v>
      </c>
      <c r="L7" s="10">
        <f t="shared" si="0"/>
        <v>2.0182881259066976E-2</v>
      </c>
      <c r="M7" s="10">
        <f t="shared" si="0"/>
        <v>3.144862773150181E-2</v>
      </c>
    </row>
    <row r="9" spans="2:13">
      <c r="B9" t="s">
        <v>734</v>
      </c>
      <c r="F9" s="10">
        <f>F5/F7</f>
        <v>2.4536149927559939E-2</v>
      </c>
      <c r="G9" s="10">
        <f>G5/G7</f>
        <v>3.143271640216292E-2</v>
      </c>
      <c r="H9" s="10">
        <f>H5/H7</f>
        <v>3.7188497851857918E-2</v>
      </c>
      <c r="I9" s="10">
        <f>I5/I7</f>
        <v>4.8673749472549606E-2</v>
      </c>
    </row>
    <row r="11" spans="2:13">
      <c r="B11" t="s">
        <v>87</v>
      </c>
      <c r="F11" s="122">
        <f>Master!H51</f>
        <v>10005.1</v>
      </c>
      <c r="G11" s="122">
        <f>Master!I51</f>
        <v>11248.2</v>
      </c>
      <c r="H11" s="122">
        <f>Master!J51</f>
        <v>12479.2</v>
      </c>
      <c r="I11" s="122">
        <f>Master!K51</f>
        <v>14465.4</v>
      </c>
      <c r="K11" s="10">
        <f t="shared" ref="K11:M12" si="1">G11/F11-1</f>
        <v>0.12424663421654958</v>
      </c>
      <c r="L11" s="10">
        <f t="shared" si="1"/>
        <v>0.10943973257943496</v>
      </c>
      <c r="M11" s="10">
        <f t="shared" si="1"/>
        <v>0.15916084364382321</v>
      </c>
    </row>
    <row r="12" spans="2:13">
      <c r="B12" t="s">
        <v>731</v>
      </c>
      <c r="F12" s="122">
        <f>Master!H52</f>
        <v>9241.7000000000007</v>
      </c>
      <c r="G12" s="122">
        <f>Master!I52</f>
        <v>11814.2</v>
      </c>
      <c r="H12" s="122">
        <f>Master!J52</f>
        <v>13635.400000000001</v>
      </c>
      <c r="I12" s="122">
        <f>Master!K52</f>
        <v>15570.4</v>
      </c>
      <c r="K12" s="10">
        <f t="shared" si="1"/>
        <v>0.27835787787961097</v>
      </c>
      <c r="L12" s="10">
        <f t="shared" si="1"/>
        <v>0.15415347632510046</v>
      </c>
      <c r="M12" s="10">
        <f t="shared" si="1"/>
        <v>0.14191002830866695</v>
      </c>
    </row>
    <row r="13" spans="2:13">
      <c r="B13" s="61"/>
      <c r="C13" s="61"/>
      <c r="D13" s="61"/>
      <c r="E13" s="61"/>
      <c r="F13" s="61"/>
      <c r="G13" s="61"/>
      <c r="H13" s="61"/>
      <c r="I13" s="61"/>
      <c r="J13" s="61"/>
      <c r="K13" s="61"/>
    </row>
    <row r="14" spans="2:13">
      <c r="B14" t="s">
        <v>733</v>
      </c>
      <c r="F14" s="122">
        <f>Master!J56</f>
        <v>62581.500000000007</v>
      </c>
      <c r="G14" s="122">
        <f>Master!K56</f>
        <v>69290.399999999994</v>
      </c>
      <c r="H14" s="122">
        <f>Master!L56</f>
        <v>73793.600000000006</v>
      </c>
      <c r="I14" s="122">
        <f>Master!M56</f>
        <v>80118.399999999994</v>
      </c>
    </row>
    <row r="15" spans="2:13">
      <c r="B15" t="s">
        <v>732</v>
      </c>
      <c r="F15" s="8">
        <f>(F5+F11+F12)/F14</f>
        <v>0.31593681838882098</v>
      </c>
      <c r="G15" s="8">
        <f>(G5+G11+G12)/G14</f>
        <v>0.34315576183713764</v>
      </c>
      <c r="H15" s="8">
        <f>(H5+H11+H12)/H14</f>
        <v>0.36558183907547537</v>
      </c>
      <c r="I15" s="8">
        <f>(I5+I11+I12)/I14</f>
        <v>0.38943426229180811</v>
      </c>
    </row>
    <row r="16" spans="2:13">
      <c r="F16" s="8"/>
      <c r="G16" s="8"/>
      <c r="H16" s="8"/>
      <c r="I16" s="8"/>
    </row>
    <row r="17" spans="2:9">
      <c r="B17" t="s">
        <v>885</v>
      </c>
      <c r="F17" s="122">
        <f>F11*SOP!$C$5+Analysis!F12*SOP!$C$6+Analysis!F5</f>
        <v>18274.489176133058</v>
      </c>
      <c r="G17" s="122">
        <f>G11*SOP!$C$5+Analysis!G12*SOP!$C$6+Analysis!G5</f>
        <v>21863.300912675288</v>
      </c>
      <c r="H17" s="122">
        <f>H11*SOP!$C$5+Analysis!H12*SOP!$C$6+Analysis!H5</f>
        <v>24768.435884333478</v>
      </c>
      <c r="I17" s="122">
        <f>I11*SOP!$C$5+Analysis!I12*SOP!$C$6+Analysis!I5</f>
        <v>28678.183342140746</v>
      </c>
    </row>
    <row r="18" spans="2:9">
      <c r="B18" t="s">
        <v>886</v>
      </c>
      <c r="F18" s="122">
        <f>Master!H56-Master!H51-Master!H52+Master!H51*SOP!$C$5+Master!H52*SOP!$C$6</f>
        <v>50855.062474777958</v>
      </c>
      <c r="G18" s="122">
        <f>Master!I56-Master!I51-Master!I52+Master!I51*SOP!$C$5+Master!I52*SOP!$C$6</f>
        <v>55942.700912675275</v>
      </c>
      <c r="H18" s="122">
        <f>Master!J56-Master!J51-Master!J52+Master!J51*SOP!$C$5+Master!J52*SOP!$C$6</f>
        <v>60372.335884333486</v>
      </c>
      <c r="I18" s="122">
        <f>Master!K56-Master!K51-Master!K52+Master!K51*SOP!$C$5+Master!K52*SOP!$C$6</f>
        <v>66767.733342140738</v>
      </c>
    </row>
    <row r="19" spans="2:9">
      <c r="B19" t="s">
        <v>884</v>
      </c>
      <c r="F19" s="8">
        <f>F17/F18</f>
        <v>0.35934454284067513</v>
      </c>
      <c r="G19" s="8">
        <f>G17/G18</f>
        <v>0.39081596984034045</v>
      </c>
      <c r="H19" s="8">
        <f>H17/H18</f>
        <v>0.4102613477104311</v>
      </c>
      <c r="I19" s="8">
        <f>I17/I18</f>
        <v>0.42952159533683598</v>
      </c>
    </row>
    <row r="21" spans="2:9">
      <c r="C21" t="s">
        <v>887</v>
      </c>
      <c r="D21" t="s">
        <v>740</v>
      </c>
    </row>
    <row r="22" spans="2:9">
      <c r="B22" t="s">
        <v>91</v>
      </c>
      <c r="C22" s="8">
        <v>0.95</v>
      </c>
      <c r="D22" s="8">
        <v>1</v>
      </c>
    </row>
    <row r="23" spans="2:9">
      <c r="B23" t="s">
        <v>90</v>
      </c>
      <c r="C23" s="8">
        <v>0.95</v>
      </c>
      <c r="D23" s="8">
        <v>0.42</v>
      </c>
    </row>
    <row r="24" spans="2:9">
      <c r="B24" t="s">
        <v>888</v>
      </c>
      <c r="C24" s="8">
        <v>0.83</v>
      </c>
      <c r="D24" s="8">
        <v>0.3</v>
      </c>
    </row>
    <row r="36" spans="2:9" ht="15.75">
      <c r="B36" s="67" t="s">
        <v>1052</v>
      </c>
      <c r="C36" s="67">
        <f t="shared" ref="C36:F37" si="2">F4</f>
        <v>2009</v>
      </c>
      <c r="D36" s="67">
        <f t="shared" si="2"/>
        <v>2010</v>
      </c>
      <c r="E36" s="67">
        <f t="shared" si="2"/>
        <v>2011</v>
      </c>
      <c r="F36" s="68" t="str">
        <f t="shared" si="2"/>
        <v>2012e</v>
      </c>
    </row>
    <row r="37" spans="2:9" ht="15.75">
      <c r="B37" s="183" t="str">
        <f>B5</f>
        <v>Pay TV advertising</v>
      </c>
      <c r="C37" s="184">
        <f t="shared" si="2"/>
        <v>525</v>
      </c>
      <c r="D37" s="184">
        <f t="shared" si="2"/>
        <v>715</v>
      </c>
      <c r="E37" s="184">
        <f t="shared" si="2"/>
        <v>863</v>
      </c>
      <c r="F37" s="184">
        <f t="shared" si="2"/>
        <v>1165.0500000000002</v>
      </c>
    </row>
    <row r="38" spans="2:9" ht="15.75">
      <c r="B38" s="66" t="s">
        <v>890</v>
      </c>
      <c r="C38" s="125">
        <f>F11*SOP!$C$5</f>
        <v>10005.1</v>
      </c>
      <c r="D38" s="125">
        <f>G11*SOP!$C$5</f>
        <v>11248.2</v>
      </c>
      <c r="E38" s="125">
        <f>H11*SOP!$C$5</f>
        <v>12479.2</v>
      </c>
      <c r="F38" s="125">
        <f>I11*SOP!$C$5</f>
        <v>14465.4</v>
      </c>
    </row>
    <row r="39" spans="2:9" ht="15.75">
      <c r="B39" s="185" t="s">
        <v>891</v>
      </c>
      <c r="C39" s="186">
        <f>F12*SOP!$C$6</f>
        <v>7744.3891761330588</v>
      </c>
      <c r="D39" s="186">
        <f>G12*SOP!$C$6</f>
        <v>9900.1009126752851</v>
      </c>
      <c r="E39" s="186">
        <f>H12*SOP!$C$6</f>
        <v>11426.235884333479</v>
      </c>
      <c r="F39" s="186">
        <f>I12*SOP!$C$6</f>
        <v>13047.733342140749</v>
      </c>
    </row>
    <row r="40" spans="2:9" ht="15.75">
      <c r="B40" s="66" t="s">
        <v>892</v>
      </c>
      <c r="C40" s="125">
        <f>C37+C38+C39</f>
        <v>18274.489176133058</v>
      </c>
      <c r="D40" s="125">
        <f>D37+D38+D39</f>
        <v>21863.300912675288</v>
      </c>
      <c r="E40" s="125">
        <f>E37+E38+E39</f>
        <v>24768.435884333478</v>
      </c>
      <c r="F40" s="125">
        <f>F37+F38+F39</f>
        <v>28678.18334214075</v>
      </c>
    </row>
    <row r="41" spans="2:9" ht="15.75">
      <c r="B41" s="183"/>
      <c r="C41" s="183"/>
      <c r="D41" s="183"/>
      <c r="E41" s="183"/>
      <c r="F41" s="183"/>
    </row>
    <row r="42" spans="2:9" ht="15.75">
      <c r="B42" s="66" t="s">
        <v>893</v>
      </c>
      <c r="C42" s="125">
        <f>F18</f>
        <v>50855.062474777958</v>
      </c>
      <c r="D42" s="125">
        <f>G18</f>
        <v>55942.700912675275</v>
      </c>
      <c r="E42" s="125">
        <f>H18</f>
        <v>60372.335884333486</v>
      </c>
      <c r="F42" s="125">
        <f>I18</f>
        <v>66767.733342140738</v>
      </c>
    </row>
    <row r="43" spans="2:9" ht="15.75">
      <c r="B43" s="185" t="s">
        <v>732</v>
      </c>
      <c r="C43" s="188">
        <f>C40/C42</f>
        <v>0.35934454284067513</v>
      </c>
      <c r="D43" s="188">
        <f>D40/D42</f>
        <v>0.39081596984034045</v>
      </c>
      <c r="E43" s="188">
        <f>E40/E42</f>
        <v>0.4102613477104311</v>
      </c>
      <c r="F43" s="188">
        <f>F40/F42</f>
        <v>0.42952159533683604</v>
      </c>
    </row>
    <row r="47" spans="2:9">
      <c r="B47" s="61"/>
      <c r="C47" s="61">
        <v>2006</v>
      </c>
      <c r="D47" s="61">
        <f t="shared" ref="D47:I47" si="3">C47+1</f>
        <v>2007</v>
      </c>
      <c r="E47" s="61">
        <f t="shared" si="3"/>
        <v>2008</v>
      </c>
      <c r="F47" s="61">
        <f t="shared" si="3"/>
        <v>2009</v>
      </c>
      <c r="G47" s="61">
        <f t="shared" si="3"/>
        <v>2010</v>
      </c>
      <c r="H47" s="61">
        <f t="shared" si="3"/>
        <v>2011</v>
      </c>
      <c r="I47" s="61">
        <f t="shared" si="3"/>
        <v>2012</v>
      </c>
    </row>
    <row r="48" spans="2:9">
      <c r="B48" t="s">
        <v>898</v>
      </c>
      <c r="C48">
        <v>94668</v>
      </c>
      <c r="D48">
        <v>96682</v>
      </c>
      <c r="E48" s="4">
        <f>G55</f>
        <v>98161.9</v>
      </c>
      <c r="F48" s="4">
        <f>K55</f>
        <v>99301.6</v>
      </c>
      <c r="G48" s="4">
        <f>O55</f>
        <v>99640.8</v>
      </c>
      <c r="H48" s="4">
        <f>S55</f>
        <v>100118.18432361734</v>
      </c>
      <c r="I48">
        <v>100917.72869595519</v>
      </c>
    </row>
    <row r="49" spans="2:23">
      <c r="B49" t="s">
        <v>519</v>
      </c>
      <c r="C49">
        <v>2000</v>
      </c>
      <c r="D49" s="4">
        <f t="shared" ref="D49:I49" si="4">D48-C48</f>
        <v>2014</v>
      </c>
      <c r="E49" s="4">
        <f t="shared" si="4"/>
        <v>1479.8999999999942</v>
      </c>
      <c r="F49" s="4">
        <f t="shared" si="4"/>
        <v>1139.7000000000116</v>
      </c>
      <c r="G49" s="4">
        <f t="shared" si="4"/>
        <v>339.19999999999709</v>
      </c>
      <c r="H49" s="4">
        <f t="shared" si="4"/>
        <v>477.38432361734158</v>
      </c>
      <c r="I49" s="4">
        <f t="shared" si="4"/>
        <v>799.5443723378412</v>
      </c>
    </row>
    <row r="50" spans="2:23">
      <c r="B50" t="s">
        <v>903</v>
      </c>
      <c r="D50" s="4">
        <f>E50*0.95</f>
        <v>62021.149949999999</v>
      </c>
      <c r="E50" s="4">
        <v>65285.421000000002</v>
      </c>
      <c r="F50" s="4">
        <v>66741.078000000009</v>
      </c>
      <c r="G50" s="4">
        <v>69774.793000000005</v>
      </c>
      <c r="H50" s="4">
        <v>73436.997000000003</v>
      </c>
      <c r="I50" s="4">
        <v>76101.129109118207</v>
      </c>
    </row>
    <row r="51" spans="2:23">
      <c r="B51" t="s">
        <v>904</v>
      </c>
      <c r="D51" s="4"/>
      <c r="E51" s="10">
        <f>E50/D50-1</f>
        <v>5.2631578947368363E-2</v>
      </c>
      <c r="F51" s="10">
        <f>F50/E50-1</f>
        <v>2.2296815701012385E-2</v>
      </c>
      <c r="G51" s="10">
        <f>G50/F50-1</f>
        <v>4.5454989504364773E-2</v>
      </c>
      <c r="H51" s="10">
        <f>H50/G50-1</f>
        <v>5.2486060402930912E-2</v>
      </c>
      <c r="I51" s="10">
        <f>I50/H50-1</f>
        <v>3.6277792093244221E-2</v>
      </c>
    </row>
    <row r="52" spans="2:23">
      <c r="B52" t="s">
        <v>902</v>
      </c>
      <c r="C52" s="10">
        <v>2.7E-2</v>
      </c>
      <c r="D52" s="10">
        <v>0.02</v>
      </c>
      <c r="E52" s="10">
        <v>-2.0000000000000001E-4</v>
      </c>
      <c r="F52" s="10">
        <v>-0.03</v>
      </c>
      <c r="G52" s="10">
        <v>2.4E-2</v>
      </c>
      <c r="H52" s="10">
        <v>1.7999999999999999E-2</v>
      </c>
      <c r="I52" s="10">
        <v>2.3E-2</v>
      </c>
    </row>
    <row r="54" spans="2:23" ht="15.75">
      <c r="D54" s="153">
        <v>39508</v>
      </c>
      <c r="E54" s="153">
        <v>39600</v>
      </c>
      <c r="F54" s="153">
        <v>39692</v>
      </c>
      <c r="G54" s="153">
        <v>39783</v>
      </c>
      <c r="H54" s="153">
        <v>39873</v>
      </c>
      <c r="I54" s="153">
        <v>39965</v>
      </c>
      <c r="J54" s="153">
        <v>40057</v>
      </c>
      <c r="K54" s="153">
        <v>40148</v>
      </c>
      <c r="L54" s="153">
        <v>40238</v>
      </c>
      <c r="M54" s="153">
        <v>40330</v>
      </c>
      <c r="N54" s="153">
        <v>40422</v>
      </c>
      <c r="O54" s="153">
        <v>40513</v>
      </c>
      <c r="P54" s="153">
        <v>40603</v>
      </c>
      <c r="Q54" s="153">
        <v>40695</v>
      </c>
      <c r="R54" s="153">
        <v>40787</v>
      </c>
      <c r="S54" s="153">
        <v>40878</v>
      </c>
      <c r="T54" s="153">
        <v>40969</v>
      </c>
      <c r="U54" s="153">
        <v>41061</v>
      </c>
      <c r="V54" s="153">
        <v>41153</v>
      </c>
      <c r="W54" s="153">
        <v>41244</v>
      </c>
    </row>
    <row r="55" spans="2:23">
      <c r="B55" t="s">
        <v>899</v>
      </c>
      <c r="D55" s="4">
        <v>97185.950000000012</v>
      </c>
      <c r="E55" s="4">
        <v>97616.3</v>
      </c>
      <c r="F55" s="4">
        <v>98035.349999999991</v>
      </c>
      <c r="G55" s="4">
        <v>98161.9</v>
      </c>
      <c r="H55" s="4">
        <v>98533.75</v>
      </c>
      <c r="I55" s="4">
        <v>98768.83</v>
      </c>
      <c r="J55" s="4">
        <v>99100.15</v>
      </c>
      <c r="K55" s="4">
        <v>99301.6</v>
      </c>
      <c r="L55" s="4">
        <v>99678.533333333326</v>
      </c>
      <c r="M55" s="4">
        <v>99474.766666666663</v>
      </c>
      <c r="N55" s="4">
        <v>99345.5</v>
      </c>
      <c r="O55" s="4">
        <v>99640.8</v>
      </c>
      <c r="P55" s="4">
        <v>100094.72108090433</v>
      </c>
      <c r="Q55" s="4">
        <v>99759.042161808669</v>
      </c>
      <c r="R55" s="4">
        <v>99800.963242713013</v>
      </c>
      <c r="S55" s="4">
        <v>100118.18432361734</v>
      </c>
      <c r="T55" s="4">
        <v>100606.88300613259</v>
      </c>
      <c r="U55" s="4">
        <v>100350.88168864782</v>
      </c>
      <c r="V55" s="4">
        <v>81561.880371163061</v>
      </c>
      <c r="W55" s="4">
        <v>81809.8181470774</v>
      </c>
    </row>
    <row r="56" spans="2:23">
      <c r="B56" t="s">
        <v>900</v>
      </c>
      <c r="E56" s="4">
        <f t="shared" ref="E56:W56" si="5">E55-D55</f>
        <v>430.34999999999127</v>
      </c>
      <c r="F56" s="4">
        <f t="shared" si="5"/>
        <v>419.04999999998836</v>
      </c>
      <c r="G56" s="4">
        <f t="shared" si="5"/>
        <v>126.55000000000291</v>
      </c>
      <c r="H56" s="4">
        <f t="shared" si="5"/>
        <v>371.85000000000582</v>
      </c>
      <c r="I56" s="4">
        <f t="shared" si="5"/>
        <v>235.08000000000175</v>
      </c>
      <c r="J56" s="4">
        <f t="shared" si="5"/>
        <v>331.31999999999243</v>
      </c>
      <c r="K56" s="4">
        <f t="shared" si="5"/>
        <v>201.45000000001164</v>
      </c>
      <c r="L56" s="4">
        <f t="shared" si="5"/>
        <v>376.93333333331975</v>
      </c>
      <c r="M56" s="4">
        <f t="shared" si="5"/>
        <v>-203.76666666666279</v>
      </c>
      <c r="N56" s="4">
        <f t="shared" si="5"/>
        <v>-129.26666666666279</v>
      </c>
      <c r="O56" s="4">
        <f t="shared" si="5"/>
        <v>295.30000000000291</v>
      </c>
      <c r="P56" s="4">
        <f t="shared" si="5"/>
        <v>453.92108090432885</v>
      </c>
      <c r="Q56" s="4">
        <f t="shared" si="5"/>
        <v>-335.67891909566242</v>
      </c>
      <c r="R56" s="4">
        <f t="shared" si="5"/>
        <v>41.921080904343398</v>
      </c>
      <c r="S56" s="4">
        <f t="shared" si="5"/>
        <v>317.22108090433176</v>
      </c>
      <c r="T56" s="4">
        <f t="shared" si="5"/>
        <v>488.69868251524167</v>
      </c>
      <c r="U56" s="4">
        <f t="shared" si="5"/>
        <v>-256.00131748476997</v>
      </c>
      <c r="V56" s="4">
        <f t="shared" si="5"/>
        <v>-18789.001317484755</v>
      </c>
      <c r="W56" s="4">
        <f t="shared" si="5"/>
        <v>247.937775914339</v>
      </c>
    </row>
    <row r="57" spans="2:23">
      <c r="B57" t="s">
        <v>901</v>
      </c>
    </row>
    <row r="76" spans="2:10">
      <c r="B76" t="s">
        <v>16</v>
      </c>
    </row>
    <row r="78" spans="2:10">
      <c r="C78">
        <f>Master!H41</f>
        <v>2009</v>
      </c>
      <c r="D78">
        <f>Master!I41</f>
        <v>2010</v>
      </c>
      <c r="E78">
        <f>Master!J41</f>
        <v>2011</v>
      </c>
      <c r="F78">
        <f>Master!K41</f>
        <v>2012</v>
      </c>
      <c r="G78">
        <f>Master!L41</f>
        <v>2013</v>
      </c>
      <c r="H78">
        <f>Master!M41</f>
        <v>2014</v>
      </c>
      <c r="I78">
        <f>Master!N41</f>
        <v>2015</v>
      </c>
      <c r="J78">
        <f>Master!O41</f>
        <v>2016</v>
      </c>
    </row>
    <row r="79" spans="2:10">
      <c r="C79" s="4">
        <f>Master!H97</f>
        <v>239</v>
      </c>
      <c r="D79" s="4">
        <f>Master!I97</f>
        <v>438</v>
      </c>
      <c r="E79" s="4">
        <f>Master!J97</f>
        <v>406</v>
      </c>
      <c r="F79" s="4">
        <f>Master!K97</f>
        <v>455</v>
      </c>
      <c r="G79" s="4">
        <f>Master!L97</f>
        <v>599.9</v>
      </c>
      <c r="H79" s="4">
        <f>Master!M97</f>
        <v>702.9</v>
      </c>
      <c r="I79" s="4">
        <f>Master!N97</f>
        <v>1077.2</v>
      </c>
      <c r="J79" s="4">
        <f>Master!O97</f>
        <v>984.2</v>
      </c>
    </row>
    <row r="80" spans="2:10">
      <c r="B80" t="s">
        <v>643</v>
      </c>
      <c r="C80" s="8">
        <f>Master!H123</f>
        <v>-3.8218076760769097E-2</v>
      </c>
      <c r="D80" s="8">
        <f>Master!I123</f>
        <v>-0.13754126390276111</v>
      </c>
      <c r="E80" s="8">
        <f>Master!J123</f>
        <v>-1.992167446499548E-2</v>
      </c>
      <c r="F80" s="8">
        <f>Master!K123</f>
        <v>-1.1239274520885842E-2</v>
      </c>
      <c r="G80" s="8">
        <f>Master!L123</f>
        <v>-8.8858263122272227E-2</v>
      </c>
      <c r="H80" s="8">
        <f>Master!M123</f>
        <v>-7.0338870527100111E-2</v>
      </c>
      <c r="I80" s="8">
        <f>Master!N123</f>
        <v>-0.19971581315838433</v>
      </c>
      <c r="J80" s="8">
        <f>Master!O123</f>
        <v>-0.16669185616275137</v>
      </c>
    </row>
    <row r="81" spans="2:10">
      <c r="C81" s="4"/>
      <c r="D81" s="4"/>
      <c r="E81" s="4"/>
      <c r="F81" s="4">
        <f t="shared" ref="F81:J83" si="6">F78</f>
        <v>2012</v>
      </c>
      <c r="G81" s="4">
        <f t="shared" si="6"/>
        <v>2013</v>
      </c>
      <c r="H81" s="4">
        <f t="shared" si="6"/>
        <v>2014</v>
      </c>
      <c r="I81" s="4">
        <f t="shared" si="6"/>
        <v>2015</v>
      </c>
      <c r="J81" s="4">
        <f t="shared" si="6"/>
        <v>2016</v>
      </c>
    </row>
    <row r="82" spans="2:10">
      <c r="B82" t="s">
        <v>907</v>
      </c>
      <c r="E82" t="s">
        <v>201</v>
      </c>
      <c r="F82" s="4">
        <f t="shared" si="6"/>
        <v>455</v>
      </c>
      <c r="G82" s="4">
        <f t="shared" si="6"/>
        <v>599.9</v>
      </c>
      <c r="H82" s="4">
        <f t="shared" si="6"/>
        <v>702.9</v>
      </c>
      <c r="I82" s="4">
        <f t="shared" si="6"/>
        <v>1077.2</v>
      </c>
      <c r="J82" s="4">
        <f t="shared" si="6"/>
        <v>984.2</v>
      </c>
    </row>
    <row r="83" spans="2:10">
      <c r="B83" t="s">
        <v>906</v>
      </c>
      <c r="E83" t="s">
        <v>643</v>
      </c>
      <c r="F83" s="8">
        <f t="shared" si="6"/>
        <v>-1.1239274520885842E-2</v>
      </c>
      <c r="G83" s="8">
        <f t="shared" si="6"/>
        <v>-8.8858263122272227E-2</v>
      </c>
      <c r="H83" s="8">
        <f t="shared" si="6"/>
        <v>-7.0338870527100111E-2</v>
      </c>
      <c r="I83" s="8">
        <f t="shared" si="6"/>
        <v>-0.19971581315838433</v>
      </c>
      <c r="J83" s="8">
        <f t="shared" si="6"/>
        <v>-0.16669185616275137</v>
      </c>
    </row>
    <row r="84" spans="2:10">
      <c r="B84" t="s">
        <v>908</v>
      </c>
      <c r="F84" s="4"/>
    </row>
    <row r="104" spans="2:11" ht="15.75">
      <c r="B104" s="66" t="s">
        <v>909</v>
      </c>
      <c r="C104" s="66"/>
      <c r="D104" s="66"/>
      <c r="E104" s="66"/>
      <c r="F104" s="66"/>
      <c r="G104" s="66"/>
      <c r="H104" s="66"/>
      <c r="I104" s="66"/>
      <c r="J104" s="66"/>
      <c r="K104" s="66"/>
    </row>
    <row r="105" spans="2:11" ht="15.75">
      <c r="B105" s="66"/>
      <c r="C105" s="66"/>
      <c r="D105" s="66"/>
      <c r="E105" s="66"/>
      <c r="F105" s="66"/>
      <c r="G105" s="66"/>
      <c r="H105" s="66"/>
      <c r="I105" s="66"/>
      <c r="J105" s="66"/>
      <c r="K105" s="66"/>
    </row>
    <row r="106" spans="2:11" ht="15.75">
      <c r="B106" s="67" t="s">
        <v>1967</v>
      </c>
      <c r="C106" s="67">
        <v>2015</v>
      </c>
      <c r="G106" s="66"/>
      <c r="H106" s="66"/>
      <c r="I106" s="66"/>
      <c r="J106" s="66"/>
      <c r="K106" s="66"/>
    </row>
    <row r="107" spans="2:11" ht="15.75" outlineLevel="1">
      <c r="B107" s="66" t="s">
        <v>224</v>
      </c>
      <c r="C107" s="125">
        <f>Valuation!K15+675*1.036</f>
        <v>4195.267233774417</v>
      </c>
      <c r="G107" s="66"/>
      <c r="H107" s="66"/>
      <c r="I107" s="66"/>
      <c r="J107" s="66"/>
      <c r="K107" s="66"/>
    </row>
    <row r="108" spans="2:11" ht="15.75" outlineLevel="1">
      <c r="B108" s="66" t="s">
        <v>57</v>
      </c>
      <c r="C108" s="125">
        <f>Valuation!K24+67.5</f>
        <v>2107.5315059861368</v>
      </c>
      <c r="G108" s="66"/>
      <c r="H108" s="66"/>
      <c r="I108" s="66"/>
      <c r="J108" s="66"/>
      <c r="K108" s="66"/>
    </row>
    <row r="109" spans="2:11" ht="15.75">
      <c r="B109" s="66" t="s">
        <v>852</v>
      </c>
      <c r="C109" s="112">
        <f>C107/C108</f>
        <v>1.9906071258523872</v>
      </c>
      <c r="G109" s="66"/>
      <c r="H109" s="66"/>
      <c r="I109" s="66"/>
      <c r="J109" s="66"/>
      <c r="K109" s="66"/>
    </row>
    <row r="110" spans="2:11" ht="15.75">
      <c r="B110" s="66" t="s">
        <v>1940</v>
      </c>
      <c r="C110" s="125">
        <f>D132</f>
        <v>3687.7168760991403</v>
      </c>
      <c r="E110" s="66"/>
      <c r="G110" s="66"/>
      <c r="H110" s="66"/>
      <c r="I110" s="66"/>
      <c r="J110" s="66"/>
      <c r="K110" s="66"/>
    </row>
    <row r="111" spans="2:11" ht="15.75">
      <c r="B111" s="66" t="s">
        <v>915</v>
      </c>
      <c r="C111" s="117">
        <f>5%*0.72</f>
        <v>3.5999999999999997E-2</v>
      </c>
      <c r="E111" s="66"/>
      <c r="F111" s="66"/>
      <c r="G111" s="66"/>
      <c r="H111" s="66"/>
      <c r="I111" s="66"/>
      <c r="J111" s="66"/>
      <c r="K111" s="66"/>
    </row>
    <row r="112" spans="2:11" ht="15.75">
      <c r="B112" s="66" t="s">
        <v>914</v>
      </c>
      <c r="C112" s="71">
        <f>C111*C110</f>
        <v>132.75780753956903</v>
      </c>
      <c r="E112" s="71"/>
      <c r="G112" s="66"/>
      <c r="H112" s="66"/>
      <c r="I112" s="66"/>
      <c r="J112" s="66"/>
      <c r="K112" s="66"/>
    </row>
    <row r="113" spans="2:11" ht="15.75">
      <c r="B113" s="66" t="s">
        <v>912</v>
      </c>
      <c r="C113" s="125">
        <f>C107+$C$110+C112</f>
        <v>8015.7419174131264</v>
      </c>
      <c r="E113" s="125"/>
      <c r="G113" s="66"/>
      <c r="H113" s="66"/>
      <c r="I113" s="66"/>
      <c r="J113" s="66"/>
      <c r="K113" s="66"/>
    </row>
    <row r="114" spans="2:11" ht="15.75">
      <c r="B114" s="66" t="s">
        <v>913</v>
      </c>
      <c r="C114" s="125">
        <f>C108+D123</f>
        <v>2451.4395700457922</v>
      </c>
      <c r="E114" s="125"/>
      <c r="G114" s="125"/>
      <c r="H114" s="125"/>
      <c r="I114" s="66"/>
      <c r="J114" s="66"/>
      <c r="K114" s="66"/>
    </row>
    <row r="115" spans="2:11" ht="15.75">
      <c r="B115" s="66" t="s">
        <v>852</v>
      </c>
      <c r="C115" s="156">
        <f>C113/C114</f>
        <v>3.269810121105043</v>
      </c>
      <c r="E115" s="156"/>
      <c r="G115" s="125"/>
      <c r="H115" s="125"/>
      <c r="I115" s="66"/>
      <c r="J115" s="66"/>
      <c r="K115" s="66"/>
    </row>
    <row r="116" spans="2:11" ht="15.75">
      <c r="B116" s="66"/>
      <c r="C116" s="66"/>
      <c r="D116" s="125"/>
      <c r="E116" s="125"/>
      <c r="F116" s="125"/>
      <c r="G116" s="125"/>
      <c r="H116" s="125"/>
      <c r="I116" s="66"/>
      <c r="J116" s="66"/>
      <c r="K116" s="66"/>
    </row>
    <row r="117" spans="2:11" ht="15.75">
      <c r="B117" s="66"/>
      <c r="C117" s="66"/>
      <c r="D117" s="66"/>
      <c r="E117" s="66"/>
      <c r="F117" s="66"/>
      <c r="G117" s="66"/>
      <c r="H117" s="66"/>
      <c r="I117" s="66"/>
      <c r="J117" s="66"/>
      <c r="K117" s="66"/>
    </row>
    <row r="118" spans="2:11" ht="15.75">
      <c r="B118" s="67" t="s">
        <v>1938</v>
      </c>
      <c r="C118" s="67">
        <v>2014</v>
      </c>
      <c r="D118" s="67">
        <f>C118+1</f>
        <v>2015</v>
      </c>
      <c r="E118" s="66"/>
      <c r="H118" s="66"/>
      <c r="I118" s="66"/>
      <c r="J118" s="66"/>
      <c r="K118" s="66"/>
    </row>
    <row r="119" spans="2:11" ht="15.75">
      <c r="B119" s="66" t="s">
        <v>653</v>
      </c>
      <c r="C119" s="71">
        <v>11446.085783442719</v>
      </c>
      <c r="D119" s="71">
        <v>13311.758479577387</v>
      </c>
      <c r="E119" s="66"/>
      <c r="H119" s="66"/>
      <c r="I119" s="66"/>
      <c r="J119" s="66"/>
      <c r="K119" s="66"/>
    </row>
    <row r="120" spans="2:11" ht="15.75">
      <c r="B120" s="66" t="s">
        <v>57</v>
      </c>
      <c r="C120" s="71">
        <v>4864.5864579631552</v>
      </c>
      <c r="D120" s="71">
        <v>5457.8209766267282</v>
      </c>
      <c r="E120" s="66"/>
      <c r="H120" s="66"/>
      <c r="I120" s="66"/>
      <c r="J120" s="66"/>
      <c r="K120" s="66"/>
    </row>
    <row r="121" spans="2:11" ht="15.75">
      <c r="B121" s="66" t="s">
        <v>158</v>
      </c>
      <c r="C121" s="116">
        <f>C120/C119</f>
        <v>0.42499999999999999</v>
      </c>
      <c r="D121" s="116">
        <f>D120/D119</f>
        <v>0.41</v>
      </c>
      <c r="E121" s="116"/>
      <c r="H121" s="66"/>
      <c r="I121" s="66"/>
      <c r="J121" s="66"/>
      <c r="K121" s="66"/>
    </row>
    <row r="122" spans="2:11" ht="15.75">
      <c r="B122" s="66"/>
      <c r="C122" s="116"/>
      <c r="D122" s="116"/>
      <c r="E122" s="116"/>
      <c r="H122" s="66"/>
      <c r="I122" s="66"/>
      <c r="J122" s="66"/>
      <c r="K122" s="66"/>
    </row>
    <row r="123" spans="2:11" ht="15.75">
      <c r="B123" s="66" t="s">
        <v>1939</v>
      </c>
      <c r="C123" s="116"/>
      <c r="D123" s="71">
        <f>D120/Master!N92</f>
        <v>343.9080640596552</v>
      </c>
      <c r="E123" s="116"/>
      <c r="H123" s="66"/>
      <c r="I123" s="66"/>
      <c r="J123" s="66"/>
      <c r="K123" s="66"/>
    </row>
    <row r="124" spans="2:11" ht="15.75">
      <c r="B124" s="66"/>
      <c r="C124" s="116"/>
      <c r="D124" s="116"/>
      <c r="E124" s="116"/>
      <c r="H124" s="66"/>
      <c r="I124" s="66"/>
      <c r="J124" s="66"/>
      <c r="K124" s="66"/>
    </row>
    <row r="125" spans="2:11" ht="15.75">
      <c r="B125" s="66" t="s">
        <v>201</v>
      </c>
      <c r="C125" s="66"/>
      <c r="D125" s="66"/>
      <c r="E125" s="66"/>
      <c r="H125" s="66"/>
      <c r="I125" s="66"/>
      <c r="J125" s="66"/>
      <c r="K125" s="66"/>
    </row>
    <row r="126" spans="2:11" ht="15.75">
      <c r="B126" s="66" t="s">
        <v>360</v>
      </c>
      <c r="C126" s="66"/>
      <c r="D126" s="66"/>
      <c r="E126" s="66"/>
      <c r="H126" s="66"/>
      <c r="I126" s="66"/>
      <c r="J126" s="66"/>
      <c r="K126" s="66"/>
    </row>
    <row r="127" spans="2:11" ht="15.75">
      <c r="B127" s="66" t="s">
        <v>203</v>
      </c>
      <c r="C127" s="66"/>
      <c r="D127" s="66"/>
      <c r="E127" s="66"/>
      <c r="H127" s="66"/>
      <c r="I127" s="66"/>
      <c r="J127" s="66"/>
      <c r="K127" s="66"/>
    </row>
    <row r="128" spans="2:11" ht="15.75">
      <c r="B128" s="66" t="s">
        <v>158</v>
      </c>
      <c r="C128" s="66"/>
      <c r="D128" s="66"/>
      <c r="E128" s="66"/>
      <c r="H128" s="66"/>
      <c r="I128" s="66"/>
      <c r="J128" s="66"/>
      <c r="K128" s="66"/>
    </row>
    <row r="129" spans="2:21" ht="15.75">
      <c r="B129" s="66"/>
      <c r="C129" s="66"/>
      <c r="D129" s="66"/>
      <c r="E129" s="66"/>
      <c r="H129" s="66"/>
      <c r="I129" s="66"/>
      <c r="J129" s="66"/>
      <c r="K129" s="66"/>
    </row>
    <row r="130" spans="2:21" ht="15.75">
      <c r="B130" s="66" t="s">
        <v>911</v>
      </c>
      <c r="C130" s="66"/>
      <c r="D130" s="66">
        <f>5.9*E120</f>
        <v>0</v>
      </c>
      <c r="H130" s="66"/>
      <c r="I130" s="66"/>
      <c r="J130" s="66"/>
      <c r="K130" s="66"/>
    </row>
    <row r="131" spans="2:21" ht="15.75">
      <c r="B131" s="66" t="s">
        <v>1937</v>
      </c>
      <c r="C131" s="66"/>
      <c r="D131" s="66">
        <f>10*D120</f>
        <v>54578.209766267282</v>
      </c>
      <c r="H131" s="66"/>
      <c r="I131" s="66"/>
      <c r="J131" s="66"/>
      <c r="K131" s="66"/>
    </row>
    <row r="132" spans="2:21" ht="15.75">
      <c r="B132" s="66" t="s">
        <v>859</v>
      </c>
      <c r="C132" s="66"/>
      <c r="D132" s="66">
        <f>D131/14.8</f>
        <v>3687.7168760991403</v>
      </c>
      <c r="H132" s="66"/>
      <c r="I132" s="66"/>
      <c r="J132" s="66"/>
      <c r="K132" s="66"/>
    </row>
    <row r="133" spans="2:21" ht="15.75">
      <c r="B133" s="66"/>
      <c r="C133" s="66"/>
      <c r="D133" s="66"/>
      <c r="E133" s="66"/>
      <c r="F133" s="66"/>
      <c r="G133" s="66"/>
      <c r="H133" s="66"/>
      <c r="I133" s="66"/>
      <c r="J133" s="66"/>
      <c r="K133" s="66"/>
    </row>
    <row r="134" spans="2:21" ht="15.75">
      <c r="B134" s="66"/>
      <c r="C134" s="66"/>
      <c r="D134" s="66"/>
      <c r="E134" s="66"/>
      <c r="F134" s="66"/>
      <c r="G134" s="66"/>
      <c r="H134" s="66"/>
      <c r="I134" s="66"/>
      <c r="J134" s="66"/>
      <c r="K134" s="66"/>
    </row>
    <row r="135" spans="2:21" ht="15.75">
      <c r="B135" s="154" t="s">
        <v>455</v>
      </c>
      <c r="C135" s="154">
        <v>2010</v>
      </c>
      <c r="D135" s="154">
        <f t="shared" ref="D135:K135" si="7">C135+1</f>
        <v>2011</v>
      </c>
      <c r="E135" s="154">
        <f t="shared" si="7"/>
        <v>2012</v>
      </c>
      <c r="F135" s="154">
        <f t="shared" si="7"/>
        <v>2013</v>
      </c>
      <c r="G135" s="154">
        <f t="shared" si="7"/>
        <v>2014</v>
      </c>
      <c r="H135" s="154">
        <f t="shared" si="7"/>
        <v>2015</v>
      </c>
      <c r="I135" s="154">
        <f t="shared" si="7"/>
        <v>2016</v>
      </c>
      <c r="J135" s="154">
        <f t="shared" si="7"/>
        <v>2017</v>
      </c>
      <c r="K135" s="154">
        <f t="shared" si="7"/>
        <v>2018</v>
      </c>
    </row>
    <row r="136" spans="2:21" ht="15.75">
      <c r="B136" s="125" t="s">
        <v>920</v>
      </c>
      <c r="C136" s="125">
        <v>122071.95</v>
      </c>
      <c r="D136" s="125">
        <v>131573</v>
      </c>
      <c r="E136" s="125">
        <v>141962.76007870724</v>
      </c>
      <c r="F136" s="125">
        <v>159596.15946480047</v>
      </c>
      <c r="G136" s="125">
        <v>175402.53760523588</v>
      </c>
      <c r="H136" s="125">
        <v>190242.8345770817</v>
      </c>
      <c r="I136" s="125">
        <v>202890.85561290066</v>
      </c>
      <c r="J136" s="125">
        <v>215310.31700116969</v>
      </c>
      <c r="K136" s="125">
        <v>227462.31363347726</v>
      </c>
      <c r="M136" s="69">
        <f t="shared" ref="M136:S140" si="8">E136/D136-1</f>
        <v>7.8965745849887581E-2</v>
      </c>
      <c r="N136" s="69">
        <f t="shared" si="8"/>
        <v>0.12421144373578596</v>
      </c>
      <c r="O136" s="69">
        <f t="shared" si="8"/>
        <v>9.903984026584034E-2</v>
      </c>
      <c r="P136" s="69">
        <f t="shared" si="8"/>
        <v>8.4607082511232834E-2</v>
      </c>
      <c r="Q136" s="69">
        <f t="shared" si="8"/>
        <v>6.6483560676206643E-2</v>
      </c>
      <c r="R136" s="69">
        <f t="shared" si="8"/>
        <v>6.1212524097016718E-2</v>
      </c>
      <c r="S136" s="69">
        <f t="shared" si="8"/>
        <v>5.6439453536458073E-2</v>
      </c>
      <c r="T136" s="69"/>
      <c r="U136" s="69"/>
    </row>
    <row r="137" spans="2:21" ht="15.75">
      <c r="B137" s="125" t="s">
        <v>921</v>
      </c>
      <c r="C137" s="124">
        <v>27683.82</v>
      </c>
      <c r="D137" s="124">
        <v>23982.78</v>
      </c>
      <c r="E137" s="124">
        <v>23639.367218647389</v>
      </c>
      <c r="F137" s="124">
        <v>24771.308743569847</v>
      </c>
      <c r="G137" s="124">
        <v>28487.005055105321</v>
      </c>
      <c r="H137" s="124">
        <v>32760.055813371117</v>
      </c>
      <c r="I137" s="124">
        <v>37674.064185376781</v>
      </c>
      <c r="J137" s="124">
        <v>43325.173813183297</v>
      </c>
      <c r="K137" s="124">
        <v>49823.949885160786</v>
      </c>
      <c r="M137" s="69">
        <f t="shared" si="8"/>
        <v>-1.4319139872550624E-2</v>
      </c>
      <c r="N137" s="69">
        <f t="shared" si="8"/>
        <v>4.7883748936796922E-2</v>
      </c>
      <c r="O137" s="69">
        <f t="shared" si="8"/>
        <v>0.14999999999999991</v>
      </c>
      <c r="P137" s="69">
        <f t="shared" si="8"/>
        <v>0.14999999999999991</v>
      </c>
      <c r="Q137" s="69">
        <f t="shared" si="8"/>
        <v>0.14999999999999991</v>
      </c>
      <c r="R137" s="69">
        <f t="shared" si="8"/>
        <v>0.14999999999999991</v>
      </c>
      <c r="S137" s="69">
        <f t="shared" si="8"/>
        <v>0.14999999999999991</v>
      </c>
      <c r="T137" s="69"/>
      <c r="U137" s="69"/>
    </row>
    <row r="138" spans="2:21" ht="15.75">
      <c r="B138" s="125" t="s">
        <v>50</v>
      </c>
      <c r="C138" s="125">
        <f>Iusacell!P37</f>
        <v>12560.625</v>
      </c>
      <c r="D138" s="125">
        <f>Iusacell!Q37</f>
        <v>11430.374879999999</v>
      </c>
      <c r="E138" s="125">
        <f>Iusacell!R37</f>
        <v>14774.7</v>
      </c>
      <c r="F138" s="125">
        <f>Iusacell!S37</f>
        <v>16644.7</v>
      </c>
      <c r="G138" s="125">
        <f>Iusacell!T37</f>
        <v>17063.389119957639</v>
      </c>
      <c r="H138" s="125">
        <f>Iusacell!U37</f>
        <v>18096.848396132104</v>
      </c>
      <c r="I138" s="125">
        <f>Iusacell!V37</f>
        <v>20755.631999255122</v>
      </c>
      <c r="J138" s="125">
        <f>Iusacell!W37</f>
        <v>24281.002679478403</v>
      </c>
      <c r="K138" s="125">
        <f>Iusacell!X37</f>
        <v>28343.462007068581</v>
      </c>
      <c r="M138" s="69">
        <f t="shared" si="8"/>
        <v>0.29258227793137803</v>
      </c>
      <c r="N138" s="69">
        <f t="shared" si="8"/>
        <v>0.12656771372684394</v>
      </c>
      <c r="O138" s="69">
        <f t="shared" si="8"/>
        <v>2.5154500829551729E-2</v>
      </c>
      <c r="P138" s="69">
        <f t="shared" si="8"/>
        <v>6.0565885763322003E-2</v>
      </c>
      <c r="Q138" s="69">
        <f t="shared" si="8"/>
        <v>0.14691970363697626</v>
      </c>
      <c r="R138" s="69">
        <f t="shared" si="8"/>
        <v>0.16985128086438417</v>
      </c>
      <c r="S138" s="69">
        <f t="shared" si="8"/>
        <v>0.16731019642049838</v>
      </c>
      <c r="T138" s="69"/>
      <c r="U138" s="69"/>
    </row>
    <row r="139" spans="2:21" ht="15.75">
      <c r="B139" s="154" t="s">
        <v>922</v>
      </c>
      <c r="C139" s="155">
        <v>25551.277072282981</v>
      </c>
      <c r="D139" s="155">
        <v>26938.82</v>
      </c>
      <c r="E139" s="155">
        <v>26836.609751534066</v>
      </c>
      <c r="F139" s="155">
        <v>27587.426507395743</v>
      </c>
      <c r="G139" s="155">
        <v>29912.498274622303</v>
      </c>
      <c r="H139" s="155">
        <v>32983.372667272772</v>
      </c>
      <c r="I139" s="155">
        <v>35543.194792722978</v>
      </c>
      <c r="J139" s="155">
        <v>37217.167475312926</v>
      </c>
      <c r="K139" s="155">
        <v>38619.167581150607</v>
      </c>
      <c r="M139" s="73">
        <f t="shared" si="8"/>
        <v>-3.7941620481496408E-3</v>
      </c>
      <c r="N139" s="73">
        <f t="shared" si="8"/>
        <v>2.7977332562238333E-2</v>
      </c>
      <c r="O139" s="73">
        <f t="shared" si="8"/>
        <v>8.4280125462345978E-2</v>
      </c>
      <c r="P139" s="73">
        <f t="shared" si="8"/>
        <v>0.10266191624842613</v>
      </c>
      <c r="Q139" s="73">
        <f t="shared" si="8"/>
        <v>7.7609471635086802E-2</v>
      </c>
      <c r="R139" s="73">
        <f t="shared" si="8"/>
        <v>4.7096854752422868E-2</v>
      </c>
      <c r="S139" s="73">
        <f t="shared" si="8"/>
        <v>3.7670790147252831E-2</v>
      </c>
      <c r="T139" s="69"/>
      <c r="U139" s="69"/>
    </row>
    <row r="140" spans="2:21" ht="15.75">
      <c r="B140" s="125" t="s">
        <v>923</v>
      </c>
      <c r="C140" s="125">
        <f t="shared" ref="C140:K140" si="9">SUM(C136:C139)</f>
        <v>187867.67207228296</v>
      </c>
      <c r="D140" s="125">
        <f t="shared" si="9"/>
        <v>193924.97487999999</v>
      </c>
      <c r="E140" s="125">
        <f t="shared" si="9"/>
        <v>207213.43704888871</v>
      </c>
      <c r="F140" s="125">
        <f t="shared" si="9"/>
        <v>228599.59471576608</v>
      </c>
      <c r="G140" s="125">
        <f t="shared" si="9"/>
        <v>250865.43005492113</v>
      </c>
      <c r="H140" s="125">
        <f t="shared" si="9"/>
        <v>274083.11145385768</v>
      </c>
      <c r="I140" s="125">
        <f t="shared" si="9"/>
        <v>296863.74659025553</v>
      </c>
      <c r="J140" s="125">
        <f t="shared" si="9"/>
        <v>320133.66096914432</v>
      </c>
      <c r="K140" s="125">
        <f t="shared" si="9"/>
        <v>344248.8931068572</v>
      </c>
      <c r="M140" s="69">
        <f t="shared" si="8"/>
        <v>6.8523727679282054E-2</v>
      </c>
      <c r="N140" s="69">
        <f t="shared" si="8"/>
        <v>0.10320835352888658</v>
      </c>
      <c r="O140" s="69">
        <f t="shared" si="8"/>
        <v>9.7401027183970923E-2</v>
      </c>
      <c r="P140" s="69">
        <f t="shared" si="8"/>
        <v>9.2550342204797076E-2</v>
      </c>
      <c r="Q140" s="69">
        <f t="shared" si="8"/>
        <v>8.3115792927040744E-2</v>
      </c>
      <c r="R140" s="69">
        <f t="shared" si="8"/>
        <v>7.8385840797889461E-2</v>
      </c>
      <c r="S140" s="69">
        <f t="shared" si="8"/>
        <v>7.5328636372409497E-2</v>
      </c>
      <c r="T140" s="69"/>
      <c r="U140" s="69"/>
    </row>
    <row r="141" spans="2:21" ht="15.75">
      <c r="B141" s="125"/>
      <c r="C141" s="125"/>
      <c r="D141" s="116">
        <f t="shared" ref="D141:K141" si="10">D140/C140-1</f>
        <v>3.2242390300053714E-2</v>
      </c>
      <c r="E141" s="116">
        <f t="shared" si="10"/>
        <v>6.8523727679282054E-2</v>
      </c>
      <c r="F141" s="116">
        <f t="shared" si="10"/>
        <v>0.10320835352888658</v>
      </c>
      <c r="G141" s="116">
        <f t="shared" si="10"/>
        <v>9.7401027183970923E-2</v>
      </c>
      <c r="H141" s="116">
        <f t="shared" si="10"/>
        <v>9.2550342204797076E-2</v>
      </c>
      <c r="I141" s="116">
        <f t="shared" si="10"/>
        <v>8.3115792927040744E-2</v>
      </c>
      <c r="J141" s="116">
        <f t="shared" si="10"/>
        <v>7.8385840797889461E-2</v>
      </c>
      <c r="K141" s="116">
        <f t="shared" si="10"/>
        <v>7.5328636372409497E-2</v>
      </c>
      <c r="M141" s="69"/>
      <c r="N141" s="69"/>
      <c r="O141" s="69"/>
      <c r="P141" s="69"/>
      <c r="Q141" s="69"/>
      <c r="R141" s="69"/>
      <c r="S141" s="69"/>
      <c r="T141" s="69"/>
      <c r="U141" s="69"/>
    </row>
    <row r="142" spans="2:21" ht="15.75">
      <c r="B142" s="125"/>
      <c r="C142" s="125"/>
      <c r="D142" s="116"/>
      <c r="E142" s="116"/>
      <c r="F142" s="116"/>
      <c r="G142" s="116"/>
      <c r="H142" s="116"/>
      <c r="I142" s="116"/>
      <c r="J142" s="116"/>
      <c r="K142" s="116"/>
      <c r="M142" s="69"/>
      <c r="N142" s="69"/>
      <c r="O142" s="69"/>
      <c r="P142" s="69"/>
      <c r="Q142" s="69"/>
      <c r="R142" s="69"/>
      <c r="S142" s="69"/>
      <c r="T142" s="69"/>
      <c r="U142" s="69"/>
    </row>
    <row r="143" spans="2:21" ht="15.75">
      <c r="B143" s="125" t="str">
        <f>B136</f>
        <v>Telcel</v>
      </c>
      <c r="C143" s="69">
        <f t="shared" ref="C143:K143" si="11">C136/C$140</f>
        <v>0.64977624225328268</v>
      </c>
      <c r="D143" s="69">
        <f t="shared" si="11"/>
        <v>0.67847372460105693</v>
      </c>
      <c r="E143" s="69">
        <f t="shared" si="11"/>
        <v>0.68510402655602587</v>
      </c>
      <c r="F143" s="69">
        <f t="shared" si="11"/>
        <v>0.69814716716028113</v>
      </c>
      <c r="G143" s="69">
        <f t="shared" si="11"/>
        <v>0.69918975112208803</v>
      </c>
      <c r="H143" s="69">
        <f t="shared" si="11"/>
        <v>0.694106373676035</v>
      </c>
      <c r="I143" s="69">
        <f t="shared" si="11"/>
        <v>0.68344773635475131</v>
      </c>
      <c r="J143" s="69">
        <f t="shared" si="11"/>
        <v>0.67256381709239288</v>
      </c>
      <c r="K143" s="69">
        <f t="shared" si="11"/>
        <v>0.66074958609342982</v>
      </c>
      <c r="M143" s="69"/>
      <c r="N143" s="69"/>
      <c r="O143" s="69"/>
      <c r="P143" s="69"/>
      <c r="Q143" s="69"/>
      <c r="R143" s="69"/>
      <c r="S143" s="69"/>
      <c r="T143" s="69"/>
      <c r="U143" s="69"/>
    </row>
    <row r="144" spans="2:21" ht="15.75">
      <c r="B144" s="125" t="str">
        <f>B137</f>
        <v>TEF</v>
      </c>
      <c r="C144" s="69">
        <f t="shared" ref="C144:K144" si="12">C137/C$140</f>
        <v>0.14735808292417932</v>
      </c>
      <c r="D144" s="69">
        <f t="shared" si="12"/>
        <v>0.12367040405621013</v>
      </c>
      <c r="E144" s="69">
        <f t="shared" si="12"/>
        <v>0.11408221182620534</v>
      </c>
      <c r="F144" s="69">
        <f t="shared" si="12"/>
        <v>0.10836112274988831</v>
      </c>
      <c r="G144" s="69">
        <f t="shared" si="12"/>
        <v>0.11355492484105426</v>
      </c>
      <c r="H144" s="69">
        <f t="shared" si="12"/>
        <v>0.11952599209632923</v>
      </c>
      <c r="I144" s="69">
        <f t="shared" si="12"/>
        <v>0.12690692150219404</v>
      </c>
      <c r="J144" s="69">
        <f t="shared" si="12"/>
        <v>0.13533464016881105</v>
      </c>
      <c r="K144" s="69">
        <f t="shared" si="12"/>
        <v>0.14473234593580842</v>
      </c>
      <c r="M144" s="69"/>
      <c r="N144" s="69"/>
      <c r="O144" s="69"/>
      <c r="P144" s="69"/>
      <c r="Q144" s="69"/>
      <c r="R144" s="69"/>
      <c r="S144" s="69"/>
      <c r="T144" s="69"/>
      <c r="U144" s="69"/>
    </row>
    <row r="145" spans="2:21" ht="15.75">
      <c r="B145" s="125" t="str">
        <f>B138</f>
        <v>Iusacell</v>
      </c>
      <c r="C145" s="69">
        <f t="shared" ref="C145:K145" si="13">C138/C$140</f>
        <v>6.6858895207724936E-2</v>
      </c>
      <c r="D145" s="69">
        <f t="shared" si="13"/>
        <v>5.8942252729815077E-2</v>
      </c>
      <c r="E145" s="69">
        <f t="shared" si="13"/>
        <v>7.1301843212581553E-2</v>
      </c>
      <c r="F145" s="69">
        <f t="shared" si="13"/>
        <v>7.2811590154809869E-2</v>
      </c>
      <c r="G145" s="69">
        <f t="shared" si="13"/>
        <v>6.801809685863057E-2</v>
      </c>
      <c r="H145" s="69">
        <f t="shared" si="13"/>
        <v>6.6026864260765428E-2</v>
      </c>
      <c r="I145" s="69">
        <f t="shared" si="13"/>
        <v>6.9916358051975144E-2</v>
      </c>
      <c r="J145" s="69">
        <f t="shared" si="13"/>
        <v>7.5846453028313998E-2</v>
      </c>
      <c r="K145" s="69">
        <f t="shared" si="13"/>
        <v>8.2334213920829014E-2</v>
      </c>
      <c r="M145" s="69"/>
      <c r="N145" s="69"/>
      <c r="O145" s="69"/>
      <c r="P145" s="69"/>
      <c r="Q145" s="69"/>
      <c r="R145" s="69"/>
      <c r="S145" s="69"/>
      <c r="T145" s="69"/>
      <c r="U145" s="69"/>
    </row>
    <row r="146" spans="2:21" ht="15.75">
      <c r="B146" s="125" t="str">
        <f>B139</f>
        <v>Nextel</v>
      </c>
      <c r="C146" s="69">
        <f t="shared" ref="C146:K146" si="14">C139/C$140</f>
        <v>0.13600677961481317</v>
      </c>
      <c r="D146" s="69">
        <f t="shared" si="14"/>
        <v>0.13891361861291787</v>
      </c>
      <c r="E146" s="69">
        <f t="shared" si="14"/>
        <v>0.12951191840518719</v>
      </c>
      <c r="F146" s="69">
        <f t="shared" si="14"/>
        <v>0.12068011993502056</v>
      </c>
      <c r="G146" s="69">
        <f t="shared" si="14"/>
        <v>0.11923722717822723</v>
      </c>
      <c r="H146" s="69">
        <f t="shared" si="14"/>
        <v>0.12034076996687033</v>
      </c>
      <c r="I146" s="69">
        <f t="shared" si="14"/>
        <v>0.11972898409107956</v>
      </c>
      <c r="J146" s="69">
        <f t="shared" si="14"/>
        <v>0.11625508971048208</v>
      </c>
      <c r="K146" s="69">
        <f t="shared" si="14"/>
        <v>0.11218385404993286</v>
      </c>
      <c r="M146" s="69"/>
      <c r="N146" s="69"/>
      <c r="O146" s="69"/>
      <c r="P146" s="69"/>
      <c r="Q146" s="69"/>
      <c r="R146" s="69"/>
      <c r="S146" s="69"/>
      <c r="T146" s="69"/>
      <c r="U146" s="69"/>
    </row>
    <row r="147" spans="2:21" ht="15.75">
      <c r="B147" s="125"/>
      <c r="C147" s="69"/>
      <c r="D147" s="69"/>
      <c r="E147" s="69"/>
      <c r="F147" s="69"/>
      <c r="G147" s="69"/>
      <c r="H147" s="69"/>
      <c r="I147" s="69"/>
      <c r="J147" s="69"/>
      <c r="K147" s="69"/>
    </row>
    <row r="148" spans="2:21" ht="15.75">
      <c r="B148" s="125" t="s">
        <v>201</v>
      </c>
      <c r="C148" s="125"/>
      <c r="D148" s="125"/>
      <c r="E148" s="125"/>
      <c r="F148" s="125"/>
      <c r="G148" s="125"/>
      <c r="H148" s="125"/>
      <c r="I148" s="125"/>
      <c r="J148" s="125"/>
      <c r="K148" s="125"/>
    </row>
    <row r="149" spans="2:21" ht="15.75">
      <c r="B149" s="125" t="str">
        <f>B136</f>
        <v>Telcel</v>
      </c>
      <c r="C149" s="125">
        <v>8179</v>
      </c>
      <c r="D149" s="125">
        <v>8487</v>
      </c>
      <c r="E149" s="125">
        <v>13579.2</v>
      </c>
      <c r="F149" s="125">
        <v>15208.704000000002</v>
      </c>
      <c r="G149" s="125">
        <v>16729.574400000001</v>
      </c>
      <c r="H149" s="125">
        <v>18402.531840000003</v>
      </c>
      <c r="I149" s="125">
        <v>20242.785024000004</v>
      </c>
      <c r="J149" s="125">
        <v>22267.063526400005</v>
      </c>
      <c r="K149" s="125">
        <v>24493.769879040006</v>
      </c>
    </row>
    <row r="150" spans="2:21" ht="15.75">
      <c r="B150" s="125" t="str">
        <f>B137</f>
        <v>TEF</v>
      </c>
      <c r="C150" s="125">
        <f>26449.2-1200*16.7</f>
        <v>6409.2000000000007</v>
      </c>
      <c r="D150" s="125">
        <v>8143.5899999999992</v>
      </c>
      <c r="E150" s="125">
        <v>6874.7139360352094</v>
      </c>
      <c r="F150" s="125">
        <v>5818.5354328989606</v>
      </c>
      <c r="G150" s="125">
        <v>5159.7710124543828</v>
      </c>
      <c r="H150" s="125">
        <v>5362.693343076432</v>
      </c>
      <c r="I150" s="125">
        <v>5945.9177854424543</v>
      </c>
      <c r="J150" s="125">
        <v>6593.4038290372819</v>
      </c>
      <c r="K150" s="125">
        <v>7312.3241710976372</v>
      </c>
    </row>
    <row r="151" spans="2:21" ht="15.75">
      <c r="B151" s="125" t="str">
        <f>B138</f>
        <v>Iusacell</v>
      </c>
      <c r="C151" s="125"/>
      <c r="D151" s="125">
        <f>Iusacell!Q75</f>
        <v>5143.6686959999997</v>
      </c>
      <c r="E151" s="125">
        <f>Iusacell!R75</f>
        <v>7574.988690000001</v>
      </c>
      <c r="F151" s="125">
        <f>Iusacell!S75</f>
        <v>3283.9993100000002</v>
      </c>
      <c r="G151" s="125">
        <f>Iusacell!T75</f>
        <v>2559.5083679936456</v>
      </c>
      <c r="H151" s="125">
        <f>Iusacell!U75</f>
        <v>3619.3696792264209</v>
      </c>
      <c r="I151" s="125">
        <f>Iusacell!V75</f>
        <v>4566.2390398361267</v>
      </c>
      <c r="J151" s="125">
        <f>Iusacell!W75</f>
        <v>5341.820589485249</v>
      </c>
      <c r="K151" s="125">
        <f>Iusacell!X75</f>
        <v>5952.1270214844017</v>
      </c>
    </row>
    <row r="152" spans="2:21" ht="15.75">
      <c r="B152" s="154" t="str">
        <f>B139</f>
        <v>Nextel</v>
      </c>
      <c r="C152" s="154">
        <v>1624.1877472668634</v>
      </c>
      <c r="D152" s="154">
        <v>4818.0119999999997</v>
      </c>
      <c r="E152" s="154">
        <v>6986.1173999999992</v>
      </c>
      <c r="F152" s="154">
        <v>6287.5056599999998</v>
      </c>
      <c r="G152" s="154">
        <v>5030.0045280000004</v>
      </c>
      <c r="H152" s="154">
        <v>5030.0045280000004</v>
      </c>
      <c r="I152" s="154">
        <v>5030.0045280000004</v>
      </c>
      <c r="J152" s="154">
        <v>5030.0045280000004</v>
      </c>
      <c r="K152" s="154">
        <v>5030.0045280000004</v>
      </c>
    </row>
    <row r="153" spans="2:21" ht="15.75">
      <c r="B153" s="125" t="s">
        <v>923</v>
      </c>
      <c r="C153" s="125">
        <f t="shared" ref="C153:K153" si="15">SUM(C149:C152)</f>
        <v>16212.387747266865</v>
      </c>
      <c r="D153" s="125">
        <f t="shared" si="15"/>
        <v>26592.270696</v>
      </c>
      <c r="E153" s="125">
        <f t="shared" si="15"/>
        <v>35015.020026035214</v>
      </c>
      <c r="F153" s="125">
        <f t="shared" si="15"/>
        <v>30598.744402898959</v>
      </c>
      <c r="G153" s="125">
        <f t="shared" si="15"/>
        <v>29478.858308448034</v>
      </c>
      <c r="H153" s="125">
        <f t="shared" si="15"/>
        <v>32414.599390302858</v>
      </c>
      <c r="I153" s="125">
        <f t="shared" si="15"/>
        <v>35784.946377278589</v>
      </c>
      <c r="J153" s="125">
        <f t="shared" si="15"/>
        <v>39232.292472922534</v>
      </c>
      <c r="K153" s="125">
        <f t="shared" si="15"/>
        <v>42788.225599622041</v>
      </c>
    </row>
    <row r="154" spans="2:21" ht="15.75">
      <c r="B154" s="125"/>
      <c r="C154" s="125"/>
      <c r="D154" s="125"/>
      <c r="E154" s="125"/>
      <c r="F154" s="125"/>
      <c r="G154" s="125"/>
      <c r="H154" s="125"/>
      <c r="I154" s="125"/>
      <c r="J154" s="125"/>
      <c r="K154" s="125"/>
    </row>
    <row r="155" spans="2:21" ht="15.75">
      <c r="B155" s="125" t="s">
        <v>924</v>
      </c>
      <c r="C155" s="125"/>
      <c r="D155" s="125"/>
      <c r="E155" s="125"/>
      <c r="F155" s="125"/>
      <c r="G155" s="125"/>
      <c r="H155" s="125"/>
      <c r="I155" s="125"/>
      <c r="J155" s="125"/>
      <c r="K155" s="125"/>
    </row>
    <row r="156" spans="2:21" ht="15.75">
      <c r="B156" s="125" t="str">
        <f>B149</f>
        <v>Telcel</v>
      </c>
      <c r="C156" s="69"/>
      <c r="D156" s="69">
        <f t="shared" ref="D156:K159" si="16">D149/D136</f>
        <v>6.4504115586024494E-2</v>
      </c>
      <c r="E156" s="69">
        <f t="shared" si="16"/>
        <v>9.565325436383032E-2</v>
      </c>
      <c r="F156" s="69">
        <f t="shared" si="16"/>
        <v>9.5294924708726081E-2</v>
      </c>
      <c r="G156" s="69">
        <f t="shared" si="16"/>
        <v>9.5378177695763358E-2</v>
      </c>
      <c r="H156" s="69">
        <f t="shared" si="16"/>
        <v>9.6731800074939228E-2</v>
      </c>
      <c r="I156" s="69">
        <f t="shared" si="16"/>
        <v>9.9771795839934757E-2</v>
      </c>
      <c r="J156" s="69">
        <f t="shared" si="16"/>
        <v>0.10341846984638008</v>
      </c>
      <c r="K156" s="69">
        <f t="shared" si="16"/>
        <v>0.10768276066385303</v>
      </c>
    </row>
    <row r="157" spans="2:21" ht="15.75">
      <c r="B157" s="125" t="str">
        <f>B150</f>
        <v>TEF</v>
      </c>
      <c r="C157" s="69"/>
      <c r="D157" s="69">
        <f t="shared" si="16"/>
        <v>0.33955988421692562</v>
      </c>
      <c r="E157" s="69">
        <f t="shared" si="16"/>
        <v>0.29081632653061223</v>
      </c>
      <c r="F157" s="69">
        <f t="shared" si="16"/>
        <v>0.23489010989010986</v>
      </c>
      <c r="G157" s="69">
        <f t="shared" si="16"/>
        <v>0.18112718421867482</v>
      </c>
      <c r="H157" s="69">
        <f t="shared" si="16"/>
        <v>0.16369609910394697</v>
      </c>
      <c r="I157" s="69">
        <f t="shared" si="16"/>
        <v>0.1578252284166986</v>
      </c>
      <c r="J157" s="69">
        <f t="shared" si="16"/>
        <v>0.15218412873466633</v>
      </c>
      <c r="K157" s="69">
        <f t="shared" si="16"/>
        <v>0.14676323711692493</v>
      </c>
    </row>
    <row r="158" spans="2:21" ht="15.75">
      <c r="B158" s="125" t="str">
        <f>B151</f>
        <v>Iusacell</v>
      </c>
      <c r="C158" s="69"/>
      <c r="D158" s="69">
        <f t="shared" si="16"/>
        <v>0.45</v>
      </c>
      <c r="E158" s="69">
        <f t="shared" si="16"/>
        <v>0.51270000000000004</v>
      </c>
      <c r="F158" s="69">
        <f t="shared" si="16"/>
        <v>0.1973</v>
      </c>
      <c r="G158" s="69">
        <f t="shared" si="16"/>
        <v>0.15</v>
      </c>
      <c r="H158" s="69">
        <f t="shared" si="16"/>
        <v>0.2</v>
      </c>
      <c r="I158" s="69">
        <f t="shared" si="16"/>
        <v>0.22</v>
      </c>
      <c r="J158" s="69">
        <f t="shared" si="16"/>
        <v>0.22000000000000003</v>
      </c>
      <c r="K158" s="69">
        <f t="shared" si="16"/>
        <v>0.21</v>
      </c>
    </row>
    <row r="159" spans="2:21" ht="15.75">
      <c r="B159" s="125" t="str">
        <f>B152</f>
        <v>Nextel</v>
      </c>
      <c r="C159" s="69"/>
      <c r="D159" s="69">
        <f t="shared" si="16"/>
        <v>0.17885015008081273</v>
      </c>
      <c r="E159" s="69">
        <f t="shared" si="16"/>
        <v>0.26032041545786722</v>
      </c>
      <c r="F159" s="69">
        <f t="shared" si="16"/>
        <v>0.22791200398175673</v>
      </c>
      <c r="G159" s="69">
        <f t="shared" si="16"/>
        <v>0.16815728602205871</v>
      </c>
      <c r="H159" s="69">
        <f t="shared" si="16"/>
        <v>0.15250121868194949</v>
      </c>
      <c r="I159" s="69">
        <f t="shared" si="16"/>
        <v>0.14151807560725607</v>
      </c>
      <c r="J159" s="69">
        <f t="shared" si="16"/>
        <v>0.13515280364462254</v>
      </c>
      <c r="K159" s="69">
        <f t="shared" si="16"/>
        <v>0.13024632178905546</v>
      </c>
    </row>
    <row r="160" spans="2:21" ht="15.75">
      <c r="B160" s="66"/>
      <c r="C160" s="66"/>
      <c r="D160" s="66"/>
      <c r="E160" s="66"/>
      <c r="F160" s="66"/>
      <c r="G160" s="66"/>
      <c r="H160" s="66"/>
      <c r="I160" s="66"/>
      <c r="J160" s="66"/>
      <c r="K160" s="66"/>
    </row>
    <row r="161" spans="2:20" ht="15.75">
      <c r="B161" s="67" t="s">
        <v>930</v>
      </c>
      <c r="C161" s="67">
        <v>2010</v>
      </c>
      <c r="D161" s="67">
        <f>Iusacell!Q2</f>
        <v>2011</v>
      </c>
      <c r="E161" s="67">
        <f>Iusacell!R2</f>
        <v>2012</v>
      </c>
      <c r="F161" s="67">
        <f>Iusacell!S2</f>
        <v>2013</v>
      </c>
      <c r="G161" s="67">
        <f>Iusacell!T2</f>
        <v>2014</v>
      </c>
      <c r="H161" s="67">
        <f>Iusacell!U2</f>
        <v>2015</v>
      </c>
      <c r="I161" s="67">
        <f>Iusacell!V2</f>
        <v>2016</v>
      </c>
      <c r="J161" s="67">
        <f>Iusacell!W2</f>
        <v>2017</v>
      </c>
      <c r="K161" s="67">
        <f>Iusacell!X2</f>
        <v>2018</v>
      </c>
    </row>
    <row r="162" spans="2:20" ht="15.75">
      <c r="B162" s="66" t="s">
        <v>926</v>
      </c>
      <c r="D162" s="69">
        <f t="shared" ref="D162:K162" si="17">D145</f>
        <v>5.8942252729815077E-2</v>
      </c>
      <c r="E162" s="69">
        <f t="shared" si="17"/>
        <v>7.1301843212581553E-2</v>
      </c>
      <c r="F162" s="69">
        <f t="shared" si="17"/>
        <v>7.2811590154809869E-2</v>
      </c>
      <c r="G162" s="69">
        <f t="shared" si="17"/>
        <v>6.801809685863057E-2</v>
      </c>
      <c r="H162" s="69">
        <f t="shared" si="17"/>
        <v>6.6026864260765428E-2</v>
      </c>
      <c r="I162" s="69">
        <f t="shared" si="17"/>
        <v>6.9916358051975144E-2</v>
      </c>
      <c r="J162" s="69">
        <f t="shared" si="17"/>
        <v>7.5846453028313998E-2</v>
      </c>
      <c r="K162" s="69">
        <f t="shared" si="17"/>
        <v>8.2334213920829014E-2</v>
      </c>
    </row>
    <row r="163" spans="2:20" ht="15.75">
      <c r="B163" s="66" t="s">
        <v>200</v>
      </c>
      <c r="D163" s="125">
        <f>Iusacell!Q37</f>
        <v>11430.374879999999</v>
      </c>
      <c r="E163" s="125">
        <f>Iusacell!R37</f>
        <v>14774.7</v>
      </c>
      <c r="F163" s="125">
        <f>Iusacell!S37</f>
        <v>16644.7</v>
      </c>
      <c r="G163" s="125">
        <f>Iusacell!T37</f>
        <v>17063.389119957639</v>
      </c>
      <c r="H163" s="125">
        <f>Iusacell!U37</f>
        <v>18096.848396132104</v>
      </c>
      <c r="I163" s="125">
        <f>Iusacell!V37</f>
        <v>20755.631999255122</v>
      </c>
      <c r="J163" s="125">
        <f>Iusacell!W37</f>
        <v>24281.002679478403</v>
      </c>
      <c r="K163" s="125">
        <f>Iusacell!X37</f>
        <v>28343.462007068581</v>
      </c>
      <c r="N163">
        <v>15071.183562211998</v>
      </c>
      <c r="O163">
        <v>18627.243048441906</v>
      </c>
      <c r="P163">
        <v>22460.153051687717</v>
      </c>
      <c r="Q163">
        <v>27680.535828188935</v>
      </c>
      <c r="R163">
        <v>33013.900097047474</v>
      </c>
      <c r="S163">
        <v>38303.57271808212</v>
      </c>
      <c r="T163">
        <v>43898.058295680159</v>
      </c>
    </row>
    <row r="164" spans="2:20" ht="15.75">
      <c r="B164" s="66" t="s">
        <v>1195</v>
      </c>
      <c r="D164" s="125"/>
      <c r="E164" s="69">
        <f t="shared" ref="E164:K164" si="18">E163/N163-1</f>
        <v>-1.9672214925135045E-2</v>
      </c>
      <c r="F164" s="69">
        <f t="shared" si="18"/>
        <v>-0.10643244645952776</v>
      </c>
      <c r="G164" s="69">
        <f t="shared" si="18"/>
        <v>-0.24028170775641933</v>
      </c>
      <c r="H164" s="69">
        <f t="shared" si="18"/>
        <v>-0.34622478016834934</v>
      </c>
      <c r="I164" s="69">
        <f t="shared" si="18"/>
        <v>-0.37130626983658443</v>
      </c>
      <c r="J164" s="69">
        <f t="shared" si="18"/>
        <v>-0.36609039427760814</v>
      </c>
      <c r="K164" s="69">
        <f t="shared" si="18"/>
        <v>-0.35433449433781095</v>
      </c>
    </row>
    <row r="165" spans="2:20" ht="15.75">
      <c r="B165" s="66" t="s">
        <v>57</v>
      </c>
      <c r="D165" s="125">
        <f>Iusacell!Q55</f>
        <v>457.21499519999998</v>
      </c>
      <c r="E165" s="125">
        <f>Iusacell!R55</f>
        <v>230</v>
      </c>
      <c r="F165" s="125">
        <f>Iusacell!S55</f>
        <v>1285</v>
      </c>
      <c r="G165" s="125">
        <f>Iusacell!T55</f>
        <v>1809.3145157961874</v>
      </c>
      <c r="H165" s="125">
        <f>Iusacell!U55</f>
        <v>1072.0482223066053</v>
      </c>
      <c r="I165" s="125">
        <f>Iusacell!V55</f>
        <v>733.02478962765372</v>
      </c>
      <c r="J165" s="125">
        <f>Iusacell!W55</f>
        <v>2549.4644789980562</v>
      </c>
      <c r="K165" s="125">
        <f>Iusacell!X55</f>
        <v>4919.1720704427871</v>
      </c>
      <c r="N165">
        <v>753.55917811059999</v>
      </c>
      <c r="O165">
        <v>2235.2691658130284</v>
      </c>
      <c r="P165">
        <v>3818.2260187869124</v>
      </c>
      <c r="Q165">
        <v>5536.1071656377871</v>
      </c>
      <c r="R165">
        <v>8253.4750242618684</v>
      </c>
      <c r="S165">
        <v>10725.000361062994</v>
      </c>
      <c r="T165">
        <v>12291.456322790445</v>
      </c>
    </row>
    <row r="166" spans="2:20" ht="15.75">
      <c r="B166" s="66" t="s">
        <v>1195</v>
      </c>
      <c r="D166" s="125"/>
      <c r="E166" s="69">
        <f t="shared" ref="E166:K166" si="19">E165/N165-1</f>
        <v>-0.69478176806673719</v>
      </c>
      <c r="F166" s="69">
        <f t="shared" si="19"/>
        <v>-0.42512516181351678</v>
      </c>
      <c r="G166" s="69">
        <f t="shared" si="19"/>
        <v>-0.52613739812840521</v>
      </c>
      <c r="H166" s="69">
        <f t="shared" si="19"/>
        <v>-0.80635341942787342</v>
      </c>
      <c r="I166" s="69">
        <f t="shared" si="19"/>
        <v>-0.91118592017630662</v>
      </c>
      <c r="J166" s="69">
        <f t="shared" si="19"/>
        <v>-0.76228770226863007</v>
      </c>
      <c r="K166" s="69">
        <f t="shared" si="19"/>
        <v>-0.59978932184611788</v>
      </c>
    </row>
    <row r="167" spans="2:20" ht="15.75">
      <c r="B167" s="66" t="s">
        <v>158</v>
      </c>
      <c r="D167" s="69">
        <f t="shared" ref="D167:K167" si="20">D165/D163</f>
        <v>0.04</v>
      </c>
      <c r="E167" s="69">
        <f t="shared" si="20"/>
        <v>1.5567151955708068E-2</v>
      </c>
      <c r="F167" s="69">
        <f t="shared" si="20"/>
        <v>7.7201751909016084E-2</v>
      </c>
      <c r="G167" s="69">
        <f t="shared" si="20"/>
        <v>0.10603488574728577</v>
      </c>
      <c r="H167" s="69">
        <f t="shared" si="20"/>
        <v>5.9239498438619712E-2</v>
      </c>
      <c r="I167" s="69">
        <f t="shared" si="20"/>
        <v>3.5316910111624668E-2</v>
      </c>
      <c r="J167" s="69">
        <f t="shared" si="20"/>
        <v>0.10499831957733728</v>
      </c>
      <c r="K167" s="69">
        <f t="shared" si="20"/>
        <v>0.17355579460321374</v>
      </c>
    </row>
    <row r="168" spans="2:20" ht="15.75">
      <c r="B168" s="66"/>
      <c r="D168" s="69"/>
      <c r="E168" s="69"/>
      <c r="F168" s="69"/>
      <c r="G168" s="69"/>
      <c r="H168" s="69"/>
      <c r="I168" s="69"/>
      <c r="J168" s="69"/>
      <c r="K168" s="69"/>
    </row>
    <row r="169" spans="2:20" ht="15.75">
      <c r="B169" s="66" t="s">
        <v>201</v>
      </c>
      <c r="D169" s="125">
        <f>Iusacell!Q75</f>
        <v>5143.6686959999997</v>
      </c>
      <c r="E169" s="125">
        <f>Iusacell!R75</f>
        <v>7574.988690000001</v>
      </c>
      <c r="F169" s="125">
        <f>Iusacell!S75</f>
        <v>3283.9993100000002</v>
      </c>
      <c r="G169" s="125">
        <f>Iusacell!T75</f>
        <v>2559.5083679936456</v>
      </c>
      <c r="H169" s="125">
        <f>Iusacell!U75</f>
        <v>3619.3696792264209</v>
      </c>
      <c r="I169" s="125">
        <f>Iusacell!V75</f>
        <v>4566.2390398361267</v>
      </c>
      <c r="J169" s="125">
        <f>Iusacell!W75</f>
        <v>5341.820589485249</v>
      </c>
      <c r="K169" s="125">
        <f>Iusacell!X75</f>
        <v>5952.1270214844017</v>
      </c>
      <c r="N169">
        <v>6480.6089317511587</v>
      </c>
      <c r="O169">
        <v>5588.1729145325717</v>
      </c>
      <c r="P169">
        <v>5615.0382629219293</v>
      </c>
      <c r="Q169">
        <v>5812.9125239196765</v>
      </c>
      <c r="R169">
        <v>5942.5020174685451</v>
      </c>
      <c r="S169">
        <v>5745.5359077123176</v>
      </c>
      <c r="T169">
        <v>6145.7281613952227</v>
      </c>
    </row>
    <row r="170" spans="2:20" ht="15.75">
      <c r="B170" s="66" t="s">
        <v>1195</v>
      </c>
      <c r="D170" s="125"/>
      <c r="E170" s="69">
        <f t="shared" ref="E170:K170" si="21">E169/N169-1</f>
        <v>0.16886989629740312</v>
      </c>
      <c r="F170" s="69">
        <f t="shared" si="21"/>
        <v>-0.41233040562154943</v>
      </c>
      <c r="G170" s="69">
        <f t="shared" si="21"/>
        <v>-0.54416902465385164</v>
      </c>
      <c r="H170" s="69">
        <f t="shared" si="21"/>
        <v>-0.37735693349366606</v>
      </c>
      <c r="I170" s="69">
        <f t="shared" si="21"/>
        <v>-0.23159655202249219</v>
      </c>
      <c r="J170" s="69">
        <f t="shared" si="21"/>
        <v>-7.0265911607158449E-2</v>
      </c>
      <c r="K170" s="69">
        <f t="shared" si="21"/>
        <v>-3.1501741506716585E-2</v>
      </c>
    </row>
    <row r="171" spans="2:20" ht="15.75">
      <c r="B171" s="66" t="s">
        <v>925</v>
      </c>
      <c r="D171" s="71">
        <f>Iusacell!Q77</f>
        <v>413.47819099678458</v>
      </c>
      <c r="E171" s="71">
        <f>Iusacell!R77</f>
        <v>575.60704331306999</v>
      </c>
      <c r="F171" s="71">
        <f>Iusacell!S77</f>
        <v>257.3667170846395</v>
      </c>
      <c r="G171" s="71">
        <f>Iusacell!T77</f>
        <v>192.29965199050679</v>
      </c>
      <c r="H171" s="71">
        <f>Iusacell!U77</f>
        <v>228.06362187942162</v>
      </c>
      <c r="I171" s="71">
        <f>Iusacell!V77</f>
        <v>242.24079786929053</v>
      </c>
      <c r="J171" s="71">
        <f>Iusacell!W77</f>
        <v>282.63601002567458</v>
      </c>
      <c r="K171" s="71">
        <f>Iusacell!X77</f>
        <v>309.20140371347543</v>
      </c>
    </row>
    <row r="172" spans="2:20" ht="15.75">
      <c r="B172" s="66" t="s">
        <v>937</v>
      </c>
      <c r="D172" s="71"/>
      <c r="E172" s="71"/>
      <c r="F172" s="71"/>
      <c r="G172" s="71">
        <f>SUM(D171:G171)</f>
        <v>1438.7516033850009</v>
      </c>
      <c r="H172" s="71"/>
      <c r="I172" s="71"/>
      <c r="J172" s="71"/>
      <c r="K172" s="71"/>
    </row>
    <row r="173" spans="2:20" ht="15.75">
      <c r="B173" s="66" t="s">
        <v>202</v>
      </c>
      <c r="D173" s="69">
        <f t="shared" ref="D173:K173" si="22">D169/D163</f>
        <v>0.45</v>
      </c>
      <c r="E173" s="69">
        <f t="shared" si="22"/>
        <v>0.51270000000000004</v>
      </c>
      <c r="F173" s="69">
        <f t="shared" si="22"/>
        <v>0.1973</v>
      </c>
      <c r="G173" s="69">
        <f t="shared" si="22"/>
        <v>0.15</v>
      </c>
      <c r="H173" s="69">
        <f t="shared" si="22"/>
        <v>0.2</v>
      </c>
      <c r="I173" s="69">
        <f t="shared" si="22"/>
        <v>0.22</v>
      </c>
      <c r="J173" s="69">
        <f t="shared" si="22"/>
        <v>0.22000000000000003</v>
      </c>
      <c r="K173" s="69">
        <f t="shared" si="22"/>
        <v>0.21</v>
      </c>
    </row>
    <row r="174" spans="2:20" ht="15.75">
      <c r="B174" s="66" t="s">
        <v>203</v>
      </c>
      <c r="D174" s="125">
        <f t="shared" ref="D174:K174" si="23">D165-D169</f>
        <v>-4686.4537007999998</v>
      </c>
      <c r="E174" s="125">
        <f t="shared" si="23"/>
        <v>-7344.988690000001</v>
      </c>
      <c r="F174" s="125">
        <f t="shared" si="23"/>
        <v>-1998.9993100000002</v>
      </c>
      <c r="G174" s="125">
        <f t="shared" si="23"/>
        <v>-750.19385219745823</v>
      </c>
      <c r="H174" s="125">
        <f t="shared" si="23"/>
        <v>-2547.3214569198153</v>
      </c>
      <c r="I174" s="125">
        <f t="shared" si="23"/>
        <v>-3833.214250208473</v>
      </c>
      <c r="J174" s="125">
        <f t="shared" si="23"/>
        <v>-2792.3561104871928</v>
      </c>
      <c r="K174" s="125">
        <f t="shared" si="23"/>
        <v>-1032.9549510416145</v>
      </c>
      <c r="N174">
        <v>-5727.0497536405583</v>
      </c>
      <c r="O174">
        <v>-3352.9037487195433</v>
      </c>
      <c r="P174">
        <v>-1796.812244135017</v>
      </c>
      <c r="Q174">
        <v>-276.80535828188931</v>
      </c>
      <c r="R174">
        <v>2310.9730067933233</v>
      </c>
      <c r="S174">
        <v>4979.4644533506762</v>
      </c>
      <c r="T174">
        <v>6145.7281613952227</v>
      </c>
    </row>
    <row r="175" spans="2:20" ht="15.75">
      <c r="B175" s="66" t="s">
        <v>1195</v>
      </c>
      <c r="D175" s="125"/>
      <c r="E175" s="69">
        <f t="shared" ref="E175:K175" si="24">E174/N174-1</f>
        <v>0.28250827318742155</v>
      </c>
      <c r="F175" s="69">
        <f t="shared" si="24"/>
        <v>-0.4038005681602379</v>
      </c>
      <c r="G175" s="69">
        <f t="shared" si="24"/>
        <v>-0.58248623102042552</v>
      </c>
      <c r="H175" s="69">
        <f t="shared" si="24"/>
        <v>8.2025727851904815</v>
      </c>
      <c r="I175" s="69">
        <f t="shared" si="24"/>
        <v>-2.6587014382861147</v>
      </c>
      <c r="J175" s="69">
        <f t="shared" si="24"/>
        <v>-1.5607743838010972</v>
      </c>
      <c r="K175" s="69">
        <f t="shared" si="24"/>
        <v>-1.1680769021855191</v>
      </c>
    </row>
    <row r="176" spans="2:20" ht="15.75">
      <c r="B176" s="66" t="s">
        <v>192</v>
      </c>
      <c r="D176" s="125">
        <f>Iusacell!Q94</f>
        <v>0</v>
      </c>
      <c r="E176" s="125">
        <f>Iusacell!R94</f>
        <v>-467</v>
      </c>
      <c r="F176" s="125">
        <f>Iusacell!S94</f>
        <v>-342</v>
      </c>
      <c r="G176" s="125">
        <f ca="1">Iusacell!T94</f>
        <v>-235.05077318530792</v>
      </c>
      <c r="H176" s="125">
        <f ca="1">Iusacell!U94</f>
        <v>-349.56801818467443</v>
      </c>
      <c r="I176" s="125">
        <f ca="1">Iusacell!V94</f>
        <v>-453.16882363453414</v>
      </c>
      <c r="J176" s="125">
        <f ca="1">Iusacell!W94</f>
        <v>-222.04944643734871</v>
      </c>
      <c r="K176" s="125">
        <f ca="1">Iusacell!X94</f>
        <v>76.046394713386206</v>
      </c>
    </row>
    <row r="177" spans="2:17" ht="15.75">
      <c r="B177" s="66" t="s">
        <v>531</v>
      </c>
      <c r="D177" s="125">
        <f ca="1">Iusacell!Q90</f>
        <v>1477.4159692254452</v>
      </c>
      <c r="E177" s="125">
        <f>Iusacell!R90</f>
        <v>1363</v>
      </c>
      <c r="F177" s="125">
        <f>Iusacell!S90</f>
        <v>1149</v>
      </c>
      <c r="G177" s="125">
        <f ca="1">Iusacell!T90</f>
        <v>1107.2401356992373</v>
      </c>
      <c r="H177" s="125">
        <f ca="1">Iusacell!U90</f>
        <v>1012.0926231726621</v>
      </c>
      <c r="I177" s="125">
        <f ca="1">Iusacell!V90</f>
        <v>903.11292415002458</v>
      </c>
      <c r="J177" s="125">
        <f ca="1">Iusacell!W90</f>
        <v>727.83586685611226</v>
      </c>
      <c r="K177" s="125">
        <f ca="1">Iusacell!X90</f>
        <v>452.33866623059714</v>
      </c>
    </row>
    <row r="178" spans="2:17" ht="15.75">
      <c r="B178" s="66" t="s">
        <v>933</v>
      </c>
      <c r="D178" s="125">
        <f>Iusacell!Q80</f>
        <v>0</v>
      </c>
      <c r="E178" s="125">
        <f>Iusacell!R80</f>
        <v>0</v>
      </c>
      <c r="F178" s="125">
        <f>Iusacell!S80</f>
        <v>0</v>
      </c>
      <c r="G178" s="125">
        <f>Iusacell!T80</f>
        <v>0</v>
      </c>
      <c r="H178" s="125">
        <f>Iusacell!U80</f>
        <v>0</v>
      </c>
      <c r="I178" s="125">
        <f>Iusacell!V80</f>
        <v>0</v>
      </c>
      <c r="J178" s="125">
        <f>Iusacell!W80</f>
        <v>0</v>
      </c>
      <c r="K178" s="125">
        <f>Iusacell!X80</f>
        <v>0</v>
      </c>
    </row>
    <row r="179" spans="2:17" ht="15.75">
      <c r="B179" s="66" t="s">
        <v>372</v>
      </c>
      <c r="D179" s="125">
        <f t="shared" ref="D179:K179" ca="1" si="25">D174-D176-D177-D178</f>
        <v>-6163.869670025445</v>
      </c>
      <c r="E179" s="125">
        <f t="shared" si="25"/>
        <v>-8240.988690000002</v>
      </c>
      <c r="F179" s="125">
        <f t="shared" si="25"/>
        <v>-2805.9993100000002</v>
      </c>
      <c r="G179" s="125">
        <f t="shared" ca="1" si="25"/>
        <v>-1622.3832147113876</v>
      </c>
      <c r="H179" s="125">
        <f t="shared" ca="1" si="25"/>
        <v>-3209.8460619078028</v>
      </c>
      <c r="I179" s="125">
        <f t="shared" ca="1" si="25"/>
        <v>-4283.1583507239638</v>
      </c>
      <c r="J179" s="125">
        <f t="shared" ca="1" si="25"/>
        <v>-3298.1425309059564</v>
      </c>
      <c r="K179" s="125">
        <f t="shared" ca="1" si="25"/>
        <v>-1561.3400119855978</v>
      </c>
    </row>
    <row r="180" spans="2:17" ht="15.75">
      <c r="B180" s="66" t="s">
        <v>927</v>
      </c>
      <c r="C180" s="66"/>
      <c r="D180" s="125">
        <f>Iusacell!Q103</f>
        <v>19935.099999999999</v>
      </c>
      <c r="E180" s="125"/>
      <c r="F180" s="125">
        <f>Iusacell!S103</f>
        <v>3175</v>
      </c>
      <c r="G180" s="125">
        <f>Iusacell!T103</f>
        <v>3327.5</v>
      </c>
      <c r="H180" s="125"/>
      <c r="I180" s="125"/>
      <c r="J180" s="125"/>
      <c r="K180" s="125"/>
    </row>
    <row r="181" spans="2:17" ht="15.75">
      <c r="B181" s="66" t="s">
        <v>224</v>
      </c>
      <c r="C181" s="125">
        <f>Iusacell!P106</f>
        <v>11998.5</v>
      </c>
      <c r="D181" s="125">
        <f ca="1">Iusacell!Q106</f>
        <v>-1772.7303299745545</v>
      </c>
      <c r="E181" s="125">
        <f>Iusacell!R106</f>
        <v>7762</v>
      </c>
      <c r="F181" s="125">
        <f>Iusacell!S106</f>
        <v>7735</v>
      </c>
      <c r="G181" s="125">
        <f ca="1">Iusacell!T106</f>
        <v>6264.9339878966948</v>
      </c>
      <c r="H181" s="125">
        <f ca="1">Iusacell!U106</f>
        <v>5044.6921118763203</v>
      </c>
      <c r="I181" s="125">
        <f ca="1">Iusacell!V106</f>
        <v>3183.5192862348167</v>
      </c>
      <c r="J181" s="125">
        <f ca="1">Iusacell!W106</f>
        <v>88.711263578122271</v>
      </c>
      <c r="K181" s="125">
        <f ca="1">Iusacell!X106</f>
        <v>-4606.1987244362799</v>
      </c>
    </row>
    <row r="182" spans="2:17" ht="15.75">
      <c r="B182" s="66" t="s">
        <v>852</v>
      </c>
      <c r="C182" s="66"/>
      <c r="D182" s="156">
        <f ca="1">Iusacell!Q115</f>
        <v>-3.8772357612617392</v>
      </c>
      <c r="E182" s="156">
        <f>Iusacell!R115</f>
        <v>33.747826086956522</v>
      </c>
      <c r="F182" s="156">
        <f>Iusacell!S115</f>
        <v>6.019455252918287</v>
      </c>
      <c r="G182" s="156">
        <f ca="1">Iusacell!T115</f>
        <v>3.4626008541913542</v>
      </c>
      <c r="H182" s="156">
        <f ca="1">Iusacell!U115</f>
        <v>4.7056578304119796</v>
      </c>
      <c r="I182" s="156">
        <f ca="1">Iusacell!V115</f>
        <v>4.3429899387876265</v>
      </c>
      <c r="J182" s="156">
        <f ca="1">Iusacell!W115</f>
        <v>3.4796038269568653E-2</v>
      </c>
      <c r="K182" s="156">
        <f ca="1">Iusacell!X115</f>
        <v>-0.93637682489558938</v>
      </c>
    </row>
    <row r="183" spans="2:17" ht="15.75">
      <c r="B183" s="66"/>
      <c r="C183" s="66"/>
      <c r="D183" s="156"/>
      <c r="E183" s="156"/>
      <c r="F183" s="156"/>
      <c r="G183" s="156"/>
      <c r="H183" s="156"/>
      <c r="I183" s="156"/>
      <c r="J183" s="156"/>
      <c r="K183" s="156"/>
    </row>
    <row r="184" spans="2:17" ht="15.75">
      <c r="B184" s="66" t="s">
        <v>936</v>
      </c>
      <c r="C184" s="125">
        <f>Iusacell!P107</f>
        <v>950</v>
      </c>
      <c r="D184" s="125">
        <f ca="1">Iusacell!Q107</f>
        <v>-142.50243810084842</v>
      </c>
      <c r="E184" s="125">
        <f>Iusacell!R107</f>
        <v>589.81762917933133</v>
      </c>
      <c r="F184" s="125">
        <f>Iusacell!S107</f>
        <v>606.19122257053289</v>
      </c>
      <c r="G184" s="125">
        <f ca="1">Iusacell!T107</f>
        <v>470.69376317781325</v>
      </c>
      <c r="H184" s="125">
        <f ca="1">Iusacell!U107</f>
        <v>317.87599948811095</v>
      </c>
      <c r="I184" s="125">
        <f ca="1">Iusacell!V107</f>
        <v>168.88696478699291</v>
      </c>
      <c r="J184" s="125">
        <f ca="1">Iusacell!W107</f>
        <v>4.6937176496360991</v>
      </c>
      <c r="K184" s="125">
        <f ca="1">Iusacell!X107</f>
        <v>-239.28305062006649</v>
      </c>
    </row>
    <row r="185" spans="2:17" ht="15.75">
      <c r="B185" s="66" t="s">
        <v>928</v>
      </c>
      <c r="C185" s="125">
        <f>Iusacell!P110</f>
        <v>1000</v>
      </c>
      <c r="D185" s="125">
        <f>Iusacell!Q110</f>
        <v>800</v>
      </c>
      <c r="E185" s="125">
        <f>Iusacell!R110</f>
        <v>646.96048632218844</v>
      </c>
      <c r="F185" s="125">
        <f>Iusacell!S110</f>
        <v>692.55485893416926</v>
      </c>
      <c r="G185" s="125">
        <f>Iusacell!T110</f>
        <v>663.93688955672428</v>
      </c>
      <c r="H185" s="125">
        <f>Iusacell!U110</f>
        <v>556.83679899180845</v>
      </c>
      <c r="I185" s="125">
        <f>Iusacell!V110</f>
        <v>468.80636604774531</v>
      </c>
      <c r="J185" s="125">
        <f>Iusacell!W110</f>
        <v>467.56613756613763</v>
      </c>
      <c r="K185" s="125">
        <f>Iusacell!X110</f>
        <v>459.06493506493507</v>
      </c>
    </row>
    <row r="186" spans="2:17" ht="15.75">
      <c r="B186" s="66" t="s">
        <v>929</v>
      </c>
      <c r="C186" s="125">
        <f>Iusacell!P113</f>
        <v>50</v>
      </c>
      <c r="D186" s="125">
        <f ca="1">Iusacell!Q113</f>
        <v>942.50243810084839</v>
      </c>
      <c r="E186" s="125">
        <f>Iusacell!R113</f>
        <v>57.142857142857139</v>
      </c>
      <c r="F186" s="125">
        <f>Iusacell!S113</f>
        <v>86.36363636363636</v>
      </c>
      <c r="G186" s="125">
        <f ca="1">Iusacell!T113</f>
        <v>193.24312637891103</v>
      </c>
      <c r="H186" s="125">
        <f ca="1">Iusacell!U113</f>
        <v>238.9607995036975</v>
      </c>
      <c r="I186" s="125">
        <f ca="1">Iusacell!V113</f>
        <v>299.91940126075241</v>
      </c>
      <c r="J186" s="125">
        <f ca="1">Iusacell!W113</f>
        <v>462.87241991650154</v>
      </c>
      <c r="K186" s="125">
        <f ca="1">Iusacell!X113</f>
        <v>698.3479856850015</v>
      </c>
    </row>
    <row r="188" spans="2:17" ht="15.75">
      <c r="B188" s="66"/>
      <c r="C188" s="66">
        <v>2000</v>
      </c>
      <c r="D188" s="66">
        <f t="shared" ref="D188:N188" si="26">C188+1</f>
        <v>2001</v>
      </c>
      <c r="E188" s="66">
        <f t="shared" si="26"/>
        <v>2002</v>
      </c>
      <c r="F188" s="66">
        <f t="shared" si="26"/>
        <v>2003</v>
      </c>
      <c r="G188" s="66">
        <f t="shared" si="26"/>
        <v>2004</v>
      </c>
      <c r="H188" s="66">
        <f t="shared" si="26"/>
        <v>2005</v>
      </c>
      <c r="I188" s="66">
        <f t="shared" si="26"/>
        <v>2006</v>
      </c>
      <c r="J188" s="66">
        <f t="shared" si="26"/>
        <v>2007</v>
      </c>
      <c r="K188" s="66">
        <f t="shared" si="26"/>
        <v>2008</v>
      </c>
      <c r="L188" s="66">
        <f t="shared" si="26"/>
        <v>2009</v>
      </c>
      <c r="M188" s="66">
        <f t="shared" si="26"/>
        <v>2010</v>
      </c>
      <c r="N188" s="66">
        <f t="shared" si="26"/>
        <v>2011</v>
      </c>
      <c r="O188" s="66"/>
      <c r="P188" s="66"/>
      <c r="Q188" s="66"/>
    </row>
    <row r="189" spans="2:17" ht="15.75">
      <c r="B189" s="66" t="s">
        <v>849</v>
      </c>
      <c r="C189" s="66"/>
      <c r="D189" s="66"/>
      <c r="E189" s="66">
        <v>397050</v>
      </c>
      <c r="F189" s="66">
        <v>458257</v>
      </c>
      <c r="G189" s="66">
        <v>522652</v>
      </c>
      <c r="H189" s="66">
        <v>575843</v>
      </c>
      <c r="I189" s="66">
        <v>642412</v>
      </c>
      <c r="J189" s="66">
        <v>709139</v>
      </c>
      <c r="K189" s="66">
        <v>786417</v>
      </c>
      <c r="L189" s="66">
        <v>876119</v>
      </c>
      <c r="M189" s="66">
        <v>1023981</v>
      </c>
      <c r="N189" s="66">
        <v>1090708</v>
      </c>
    </row>
    <row r="190" spans="2:17" ht="15.75">
      <c r="B190" s="66" t="s">
        <v>181</v>
      </c>
      <c r="C190" s="66"/>
      <c r="D190" s="66"/>
      <c r="E190" s="69"/>
      <c r="F190" s="69">
        <f t="shared" ref="F190:N190" si="27">F189/E189-1</f>
        <v>0.15415438861604325</v>
      </c>
      <c r="G190" s="69">
        <f t="shared" si="27"/>
        <v>0.14052158504943724</v>
      </c>
      <c r="H190" s="69">
        <f t="shared" si="27"/>
        <v>0.10177135072667864</v>
      </c>
      <c r="I190" s="69">
        <f t="shared" si="27"/>
        <v>0.1156026903166314</v>
      </c>
      <c r="J190" s="69">
        <f t="shared" si="27"/>
        <v>0.10386947939951319</v>
      </c>
      <c r="K190" s="69">
        <f t="shared" si="27"/>
        <v>0.10897440417181969</v>
      </c>
      <c r="L190" s="69">
        <f t="shared" si="27"/>
        <v>0.1140641669750273</v>
      </c>
      <c r="M190" s="69">
        <f t="shared" si="27"/>
        <v>0.16876931101825199</v>
      </c>
      <c r="N190" s="69">
        <f t="shared" si="27"/>
        <v>6.5164295040630593E-2</v>
      </c>
    </row>
    <row r="191" spans="2:17" ht="15.75">
      <c r="B191" s="66" t="s">
        <v>940</v>
      </c>
      <c r="C191" s="66"/>
      <c r="D191" s="66"/>
      <c r="E191" s="66"/>
      <c r="F191" s="66"/>
      <c r="G191" s="66"/>
      <c r="H191" s="125">
        <f>SEGMENTOS!B7</f>
        <v>20049.898998278739</v>
      </c>
      <c r="I191" s="125">
        <f>SEGMENTOS!G7</f>
        <v>21760.433672872699</v>
      </c>
      <c r="J191" s="125">
        <f>SEGMENTOS!L7</f>
        <v>21213.175000399999</v>
      </c>
      <c r="K191" s="125">
        <f>SEGMENTOS!Q7</f>
        <v>21460.608031899999</v>
      </c>
      <c r="L191" s="125">
        <f>SEGMENTOS!V7</f>
        <v>21561.635819899999</v>
      </c>
      <c r="M191" s="125">
        <f>SEGMENTOS!AA7</f>
        <v>22750.1</v>
      </c>
      <c r="N191" s="125">
        <f>SEGMENTOS!AF7</f>
        <v>22829.200000000001</v>
      </c>
    </row>
    <row r="192" spans="2:17" ht="15.75">
      <c r="B192" s="66" t="s">
        <v>181</v>
      </c>
      <c r="C192" s="69">
        <v>0.1</v>
      </c>
      <c r="D192" s="69">
        <v>-0.04</v>
      </c>
      <c r="E192" s="69">
        <v>4.3999999999999997E-2</v>
      </c>
      <c r="F192" s="69">
        <v>0.05</v>
      </c>
      <c r="G192" s="69">
        <v>0.05</v>
      </c>
      <c r="H192" s="69">
        <v>0.05</v>
      </c>
      <c r="I192" s="69">
        <f t="shared" ref="I192:N192" si="28">I191/H191-1</f>
        <v>8.5313879872452647E-2</v>
      </c>
      <c r="J192" s="69">
        <f t="shared" si="28"/>
        <v>-2.5149253948690053E-2</v>
      </c>
      <c r="K192" s="69">
        <f t="shared" si="28"/>
        <v>1.1664120599360395E-2</v>
      </c>
      <c r="L192" s="69">
        <f t="shared" si="28"/>
        <v>4.7075920612233979E-3</v>
      </c>
      <c r="M192" s="69">
        <f t="shared" si="28"/>
        <v>5.5119388437268935E-2</v>
      </c>
      <c r="N192" s="69">
        <f t="shared" si="28"/>
        <v>3.4769077938119342E-3</v>
      </c>
    </row>
    <row r="193" spans="2:14" ht="15.75">
      <c r="B193" s="66"/>
      <c r="C193" s="66"/>
      <c r="D193" s="66"/>
      <c r="E193" s="66"/>
      <c r="F193" s="66"/>
      <c r="G193" s="66"/>
      <c r="H193" s="66"/>
      <c r="I193" s="66"/>
      <c r="J193" s="66"/>
      <c r="K193" s="66"/>
    </row>
    <row r="194" spans="2:14" ht="15.75">
      <c r="B194" s="66"/>
      <c r="C194" s="66"/>
      <c r="D194" s="66"/>
      <c r="E194" s="66"/>
      <c r="F194" s="66"/>
      <c r="G194" s="66"/>
      <c r="H194" s="66"/>
      <c r="I194" s="66"/>
      <c r="J194" s="66"/>
      <c r="K194" s="66"/>
    </row>
    <row r="195" spans="2:14" ht="15.75">
      <c r="B195" s="66"/>
      <c r="C195" s="66">
        <f t="shared" ref="C195:K195" si="29">F188</f>
        <v>2003</v>
      </c>
      <c r="D195" s="66">
        <f t="shared" si="29"/>
        <v>2004</v>
      </c>
      <c r="E195" s="66">
        <f t="shared" si="29"/>
        <v>2005</v>
      </c>
      <c r="F195" s="66">
        <f t="shared" si="29"/>
        <v>2006</v>
      </c>
      <c r="G195" s="66">
        <f t="shared" si="29"/>
        <v>2007</v>
      </c>
      <c r="H195" s="66">
        <f t="shared" si="29"/>
        <v>2008</v>
      </c>
      <c r="I195" s="66">
        <f t="shared" si="29"/>
        <v>2009</v>
      </c>
      <c r="J195" s="66">
        <f t="shared" si="29"/>
        <v>2010</v>
      </c>
      <c r="K195" s="66">
        <f t="shared" si="29"/>
        <v>2011</v>
      </c>
      <c r="L195" s="111" t="s">
        <v>894</v>
      </c>
      <c r="M195" s="111" t="s">
        <v>1096</v>
      </c>
      <c r="N195" s="111" t="s">
        <v>1097</v>
      </c>
    </row>
    <row r="196" spans="2:14" ht="15.75">
      <c r="B196" s="66" t="s">
        <v>943</v>
      </c>
      <c r="C196" s="69">
        <v>1.353E-2</v>
      </c>
      <c r="D196" s="69">
        <v>4.0500000000000001E-2</v>
      </c>
      <c r="E196" s="69">
        <v>3.2000000000000001E-2</v>
      </c>
      <c r="F196" s="69">
        <v>5.1749999999999997E-2</v>
      </c>
      <c r="G196" s="69">
        <v>3.2750000000000001E-2</v>
      </c>
      <c r="H196" s="69">
        <v>1.4500000000000001E-2</v>
      </c>
      <c r="I196" s="69">
        <v>-6.1249999999999999E-2</v>
      </c>
      <c r="J196" s="69">
        <v>5.5500000000000001E-2</v>
      </c>
      <c r="K196" s="69">
        <v>3.925E-2</v>
      </c>
    </row>
    <row r="197" spans="2:14" ht="15.75">
      <c r="B197" s="67" t="s">
        <v>944</v>
      </c>
      <c r="C197" s="73">
        <v>0.04</v>
      </c>
      <c r="D197" s="73">
        <v>5.1999999999999998E-2</v>
      </c>
      <c r="E197" s="73">
        <v>3.3000000000000002E-2</v>
      </c>
      <c r="F197" s="73">
        <v>0.04</v>
      </c>
      <c r="G197" s="73">
        <v>3.7999999999999999E-2</v>
      </c>
      <c r="H197" s="73">
        <v>6.5000000000000002E-2</v>
      </c>
      <c r="I197" s="73">
        <v>3.5700000000000003E-2</v>
      </c>
      <c r="J197" s="73">
        <v>4.3999999999999997E-2</v>
      </c>
      <c r="K197" s="73">
        <v>3.8199999999999998E-2</v>
      </c>
      <c r="L197" s="61"/>
      <c r="M197" s="61"/>
      <c r="N197" s="61"/>
    </row>
    <row r="198" spans="2:14" ht="15.75">
      <c r="B198" s="66" t="s">
        <v>941</v>
      </c>
      <c r="C198" s="69">
        <f t="shared" ref="C198:K198" si="30">C196+C197</f>
        <v>5.3530000000000001E-2</v>
      </c>
      <c r="D198" s="69">
        <f t="shared" si="30"/>
        <v>9.2499999999999999E-2</v>
      </c>
      <c r="E198" s="69">
        <f t="shared" si="30"/>
        <v>6.5000000000000002E-2</v>
      </c>
      <c r="F198" s="69">
        <f t="shared" si="30"/>
        <v>9.1749999999999998E-2</v>
      </c>
      <c r="G198" s="69">
        <f t="shared" si="30"/>
        <v>7.0750000000000007E-2</v>
      </c>
      <c r="H198" s="69">
        <f t="shared" si="30"/>
        <v>7.9500000000000001E-2</v>
      </c>
      <c r="I198" s="69">
        <f t="shared" si="30"/>
        <v>-2.5549999999999996E-2</v>
      </c>
      <c r="J198" s="69">
        <f t="shared" si="30"/>
        <v>9.9500000000000005E-2</v>
      </c>
      <c r="K198" s="69">
        <f t="shared" si="30"/>
        <v>7.7449999999999991E-2</v>
      </c>
      <c r="L198" s="69">
        <f>Content!F8</f>
        <v>8.1100000000000005E-2</v>
      </c>
      <c r="M198" s="69">
        <f>Content!G8</f>
        <v>5.21E-2</v>
      </c>
      <c r="N198" s="69">
        <f>Content!H8</f>
        <v>6.1200000000000004E-2</v>
      </c>
    </row>
    <row r="199" spans="2:14" ht="15.75">
      <c r="B199" s="66" t="s">
        <v>942</v>
      </c>
      <c r="C199" s="69">
        <f t="shared" ref="C199:K199" si="31">F192</f>
        <v>0.05</v>
      </c>
      <c r="D199" s="69">
        <f t="shared" si="31"/>
        <v>0.05</v>
      </c>
      <c r="E199" s="69">
        <f t="shared" si="31"/>
        <v>0.05</v>
      </c>
      <c r="F199" s="69">
        <f t="shared" si="31"/>
        <v>8.5313879872452647E-2</v>
      </c>
      <c r="G199" s="69">
        <f t="shared" si="31"/>
        <v>-2.5149253948690053E-2</v>
      </c>
      <c r="H199" s="69">
        <f t="shared" si="31"/>
        <v>1.1664120599360395E-2</v>
      </c>
      <c r="I199" s="69">
        <f t="shared" si="31"/>
        <v>4.7075920612233979E-3</v>
      </c>
      <c r="J199" s="69">
        <f t="shared" si="31"/>
        <v>5.5119388437268935E-2</v>
      </c>
      <c r="K199" s="69">
        <f t="shared" si="31"/>
        <v>3.4769077938119342E-3</v>
      </c>
      <c r="L199" s="69">
        <f>Content!F4</f>
        <v>3.144862773150181E-2</v>
      </c>
      <c r="M199" s="69">
        <f>Content!G4</f>
        <v>3.8837060649484556E-2</v>
      </c>
      <c r="N199" s="69">
        <f>Content!H4</f>
        <v>2.4137861695924023E-2</v>
      </c>
    </row>
    <row r="200" spans="2:14" ht="15.75">
      <c r="B200" s="66"/>
      <c r="C200" s="66"/>
      <c r="D200" s="66"/>
      <c r="E200" s="66"/>
      <c r="F200" s="112">
        <f>AVERAGE(C199:F199)/AVERAGE(C198:F198)</f>
        <v>0.77717775240257836</v>
      </c>
      <c r="G200" s="112"/>
      <c r="H200" s="66"/>
      <c r="I200" s="66"/>
      <c r="J200" s="66"/>
      <c r="K200" s="112">
        <f>AVERAGE(G199:K199)/AVERAGE(G198:K198)</f>
        <v>0.16515416854955947</v>
      </c>
    </row>
    <row r="201" spans="2:14" ht="15.75">
      <c r="B201" s="66"/>
      <c r="C201" s="66">
        <v>2012</v>
      </c>
      <c r="D201" s="66">
        <f t="shared" ref="D201:I201" si="32">C201+1</f>
        <v>2013</v>
      </c>
      <c r="E201" s="66">
        <f t="shared" si="32"/>
        <v>2014</v>
      </c>
      <c r="F201" s="66">
        <f t="shared" si="32"/>
        <v>2015</v>
      </c>
      <c r="G201" s="66">
        <f t="shared" si="32"/>
        <v>2016</v>
      </c>
      <c r="H201" s="66">
        <f t="shared" si="32"/>
        <v>2017</v>
      </c>
      <c r="I201" s="66">
        <f t="shared" si="32"/>
        <v>2018</v>
      </c>
      <c r="J201" s="66"/>
      <c r="K201" s="66"/>
    </row>
    <row r="202" spans="2:14" ht="15.75">
      <c r="B202" s="66" t="str">
        <f>B198</f>
        <v>Nominal GDP growth</v>
      </c>
      <c r="C202" s="116">
        <f>Content!F8</f>
        <v>8.1100000000000005E-2</v>
      </c>
      <c r="D202" s="116">
        <f>Content!G8</f>
        <v>5.21E-2</v>
      </c>
      <c r="E202" s="116">
        <f>Content!H8</f>
        <v>6.1200000000000004E-2</v>
      </c>
      <c r="F202" s="116">
        <f>Content!I8</f>
        <v>5.5E-2</v>
      </c>
      <c r="G202" s="116">
        <f>Content!J8</f>
        <v>6.4000000000000001E-2</v>
      </c>
      <c r="H202" s="116">
        <f>Content!K8</f>
        <v>5.7999999999999996E-2</v>
      </c>
      <c r="I202" s="116">
        <f>Content!L8</f>
        <v>5.6999999999999995E-2</v>
      </c>
      <c r="J202" s="66"/>
      <c r="K202" s="66"/>
    </row>
    <row r="203" spans="2:14" ht="15.75">
      <c r="B203" s="66" t="s">
        <v>945</v>
      </c>
      <c r="C203" s="116">
        <f>Content!F4</f>
        <v>3.144862773150181E-2</v>
      </c>
      <c r="D203" s="116">
        <f>Content!G4</f>
        <v>3.8837060649484556E-2</v>
      </c>
      <c r="E203" s="116">
        <f>Content!H4</f>
        <v>2.4137861695924023E-2</v>
      </c>
      <c r="F203" s="116">
        <f>Content!I4</f>
        <v>-9.5673788664752957E-2</v>
      </c>
      <c r="G203" s="116">
        <f>Content!J4</f>
        <v>8.4197088057389458E-3</v>
      </c>
      <c r="H203" s="116">
        <f>Content!K4</f>
        <v>-0.10783182334906471</v>
      </c>
      <c r="I203" s="116">
        <f>Content!L4</f>
        <v>2.1043486654761301E-2</v>
      </c>
      <c r="J203" s="66"/>
      <c r="K203" s="66"/>
    </row>
    <row r="204" spans="2:14" ht="15.75">
      <c r="B204" s="66"/>
      <c r="C204" s="66"/>
      <c r="D204" s="66"/>
      <c r="E204" s="66"/>
      <c r="F204" s="66"/>
      <c r="G204" s="66"/>
      <c r="H204" s="66"/>
      <c r="I204" s="66"/>
      <c r="J204" s="66"/>
      <c r="K204" s="66"/>
    </row>
    <row r="205" spans="2:14" ht="15.75">
      <c r="B205" s="66"/>
      <c r="C205" s="66"/>
      <c r="D205" s="66"/>
      <c r="E205" s="66"/>
      <c r="F205" s="66"/>
      <c r="G205" s="66"/>
      <c r="H205" s="66"/>
      <c r="I205" s="66"/>
      <c r="J205" s="66"/>
      <c r="K205" s="66"/>
    </row>
    <row r="206" spans="2:14" ht="15.75">
      <c r="B206" s="67" t="s">
        <v>947</v>
      </c>
      <c r="C206" s="67">
        <v>2012</v>
      </c>
      <c r="D206" s="67">
        <f>C206+1</f>
        <v>2013</v>
      </c>
      <c r="E206" s="67">
        <f>D206+1</f>
        <v>2014</v>
      </c>
      <c r="F206" s="67">
        <f>E206+1</f>
        <v>2015</v>
      </c>
      <c r="G206" s="66"/>
      <c r="H206" s="66"/>
      <c r="I206" s="66"/>
      <c r="J206" s="66"/>
      <c r="K206" s="66"/>
    </row>
    <row r="207" spans="2:14" ht="15.75">
      <c r="B207" s="66" t="s">
        <v>200</v>
      </c>
      <c r="C207" s="125">
        <v>66790</v>
      </c>
      <c r="D207" s="125">
        <v>72167</v>
      </c>
      <c r="E207" s="125">
        <v>77619</v>
      </c>
      <c r="F207" s="125">
        <v>83482</v>
      </c>
      <c r="G207" s="66"/>
      <c r="H207" s="66"/>
      <c r="I207" s="66"/>
      <c r="J207" s="66"/>
      <c r="K207" s="66"/>
    </row>
    <row r="208" spans="2:14" ht="15.75">
      <c r="B208" s="66" t="s">
        <v>57</v>
      </c>
      <c r="C208" s="125">
        <v>25875</v>
      </c>
      <c r="D208" s="125">
        <v>27843</v>
      </c>
      <c r="E208" s="125">
        <v>29549</v>
      </c>
      <c r="F208" s="125">
        <v>31509</v>
      </c>
      <c r="G208" s="66"/>
      <c r="H208" s="66"/>
      <c r="I208" s="66"/>
      <c r="J208" s="66"/>
      <c r="K208" s="66"/>
    </row>
    <row r="209" spans="2:11" ht="15.75">
      <c r="B209" s="66" t="s">
        <v>158</v>
      </c>
      <c r="C209" s="116">
        <f>C208/C207</f>
        <v>0.38740829465488846</v>
      </c>
      <c r="D209" s="116">
        <f>D208/D207</f>
        <v>0.38581346044591019</v>
      </c>
      <c r="E209" s="116">
        <f>E208/E207</f>
        <v>0.38069287159071874</v>
      </c>
      <c r="F209" s="116">
        <f>F208/F207</f>
        <v>0.37743465657267433</v>
      </c>
      <c r="G209" s="66"/>
      <c r="H209" s="66"/>
      <c r="I209" s="66"/>
      <c r="J209" s="66"/>
      <c r="K209" s="66"/>
    </row>
    <row r="210" spans="2:11" ht="15.75">
      <c r="B210" s="66"/>
      <c r="C210" s="66"/>
      <c r="D210" s="66"/>
      <c r="E210" s="66"/>
      <c r="F210" s="66"/>
      <c r="G210" s="66"/>
      <c r="H210" s="66"/>
      <c r="I210" s="66"/>
      <c r="J210" s="66"/>
      <c r="K210" s="66"/>
    </row>
    <row r="211" spans="2:11" ht="15.75">
      <c r="B211" s="66" t="s">
        <v>946</v>
      </c>
      <c r="C211" s="66"/>
      <c r="D211" s="66"/>
      <c r="E211" s="66"/>
      <c r="F211" s="66"/>
      <c r="G211" s="66"/>
      <c r="H211" s="66"/>
      <c r="I211" s="66"/>
      <c r="J211" s="66"/>
      <c r="K211" s="66"/>
    </row>
    <row r="212" spans="2:11" ht="15.75">
      <c r="B212" s="66" t="str">
        <f>B207</f>
        <v>Revenue</v>
      </c>
      <c r="C212" s="125">
        <f>Master!K5</f>
        <v>69290.399999999994</v>
      </c>
      <c r="D212" s="125">
        <f>Master!L5</f>
        <v>73793.600000000006</v>
      </c>
      <c r="E212" s="125">
        <f>Master!M5</f>
        <v>80118.399999999994</v>
      </c>
      <c r="F212" s="125">
        <f>Master!N5</f>
        <v>88052</v>
      </c>
      <c r="G212" s="66"/>
      <c r="H212" s="66"/>
      <c r="I212" s="66"/>
      <c r="J212" s="66"/>
      <c r="K212" s="66"/>
    </row>
    <row r="213" spans="2:11" ht="15.75">
      <c r="B213" s="66" t="str">
        <f>B208</f>
        <v>EBITDA</v>
      </c>
      <c r="C213" s="125">
        <f>Master!K13</f>
        <v>26613.8</v>
      </c>
      <c r="D213" s="125">
        <f>Master!L13</f>
        <v>28205.576890624998</v>
      </c>
      <c r="E213" s="125">
        <f>Master!M13</f>
        <v>30007.9</v>
      </c>
      <c r="F213" s="125">
        <f>Master!N13</f>
        <v>32375.299999999992</v>
      </c>
      <c r="G213" s="66"/>
      <c r="H213" s="66"/>
      <c r="I213" s="66"/>
      <c r="J213" s="66"/>
      <c r="K213" s="66"/>
    </row>
    <row r="214" spans="2:11" ht="15.75">
      <c r="B214" s="66" t="str">
        <f>B209</f>
        <v>% margin</v>
      </c>
      <c r="C214" s="116">
        <f>C213/C212</f>
        <v>0.38409072541073513</v>
      </c>
      <c r="D214" s="116">
        <f>D213/D212</f>
        <v>0.38222253543159562</v>
      </c>
      <c r="E214" s="116">
        <f>E213/E212</f>
        <v>0.37454442425210693</v>
      </c>
      <c r="F214" s="116">
        <f>F213/F212</f>
        <v>0.36768386862308627</v>
      </c>
      <c r="G214" s="66"/>
      <c r="H214" s="66"/>
      <c r="I214" s="66"/>
      <c r="J214" s="66"/>
      <c r="K214" s="66"/>
    </row>
    <row r="215" spans="2:11" ht="15.75">
      <c r="B215" s="66"/>
      <c r="C215" s="66"/>
      <c r="D215" s="66"/>
      <c r="E215" s="66"/>
      <c r="F215" s="66"/>
      <c r="G215" s="66"/>
      <c r="H215" s="66"/>
      <c r="I215" s="66"/>
      <c r="J215" s="66"/>
      <c r="K215" s="66"/>
    </row>
    <row r="216" spans="2:11" ht="15.75">
      <c r="B216" s="66" t="s">
        <v>948</v>
      </c>
      <c r="C216" s="66"/>
      <c r="D216" s="66"/>
      <c r="E216" s="66"/>
      <c r="F216" s="66"/>
      <c r="G216" s="66"/>
      <c r="H216" s="66"/>
      <c r="I216" s="66"/>
      <c r="J216" s="66"/>
      <c r="K216" s="66"/>
    </row>
    <row r="217" spans="2:11" ht="15.75">
      <c r="B217" s="66" t="str">
        <f>B212</f>
        <v>Revenue</v>
      </c>
      <c r="C217" s="116">
        <f t="shared" ref="C217:F218" si="33">C212/C207-1</f>
        <v>3.7436742027249448E-2</v>
      </c>
      <c r="D217" s="116">
        <f t="shared" si="33"/>
        <v>2.2539387808832467E-2</v>
      </c>
      <c r="E217" s="116">
        <f t="shared" si="33"/>
        <v>3.2200878650845643E-2</v>
      </c>
      <c r="F217" s="116">
        <f t="shared" si="33"/>
        <v>5.4742339666035811E-2</v>
      </c>
      <c r="G217" s="66"/>
      <c r="H217" s="66"/>
      <c r="I217" s="66"/>
      <c r="J217" s="66"/>
      <c r="K217" s="66"/>
    </row>
    <row r="218" spans="2:11" ht="15.75">
      <c r="B218" s="66" t="str">
        <f>B213</f>
        <v>EBITDA</v>
      </c>
      <c r="C218" s="116">
        <f t="shared" si="33"/>
        <v>2.8552657004830895E-2</v>
      </c>
      <c r="D218" s="116">
        <f t="shared" si="33"/>
        <v>1.3022191955787799E-2</v>
      </c>
      <c r="E218" s="116">
        <f t="shared" si="33"/>
        <v>1.5530136383633986E-2</v>
      </c>
      <c r="F218" s="116">
        <f t="shared" si="33"/>
        <v>2.7493731949601363E-2</v>
      </c>
      <c r="G218" s="66"/>
      <c r="H218" s="66"/>
      <c r="I218" s="66"/>
      <c r="J218" s="66"/>
      <c r="K218" s="66"/>
    </row>
    <row r="219" spans="2:11" ht="15.75">
      <c r="B219" s="66"/>
      <c r="C219" s="66"/>
      <c r="D219" s="66"/>
      <c r="E219" s="66"/>
      <c r="F219" s="66"/>
      <c r="G219" s="66"/>
      <c r="H219" s="66"/>
      <c r="I219" s="66"/>
      <c r="J219" s="66"/>
      <c r="K219" s="66"/>
    </row>
    <row r="220" spans="2:11" ht="15.75">
      <c r="B220" s="66" t="s">
        <v>1042</v>
      </c>
      <c r="C220" s="66"/>
      <c r="D220" s="66"/>
      <c r="E220" s="66"/>
      <c r="F220" s="66"/>
      <c r="G220" s="66"/>
      <c r="H220" s="66"/>
      <c r="I220" s="66"/>
      <c r="J220" s="66"/>
      <c r="K220" s="66"/>
    </row>
    <row r="221" spans="2:11" ht="15.75">
      <c r="B221" s="66"/>
      <c r="C221" s="66">
        <v>2006</v>
      </c>
      <c r="D221" s="66">
        <f>C221+1</f>
        <v>2007</v>
      </c>
      <c r="E221" s="66">
        <f>D221+1</f>
        <v>2008</v>
      </c>
      <c r="F221" s="66">
        <f>E221+1</f>
        <v>2009</v>
      </c>
      <c r="G221" s="66">
        <f>F221+1</f>
        <v>2010</v>
      </c>
      <c r="H221" s="66">
        <f>G221+1</f>
        <v>2011</v>
      </c>
      <c r="I221" s="111" t="s">
        <v>554</v>
      </c>
      <c r="J221" s="66"/>
      <c r="K221" s="66"/>
    </row>
    <row r="222" spans="2:11" ht="15.75">
      <c r="B222" s="66" t="s">
        <v>1043</v>
      </c>
      <c r="C222" s="69">
        <v>0.71</v>
      </c>
      <c r="D222" s="69">
        <v>0.71</v>
      </c>
      <c r="E222" s="69">
        <v>0.72</v>
      </c>
      <c r="F222" s="69">
        <v>0.71</v>
      </c>
      <c r="G222" s="69">
        <v>0.7</v>
      </c>
      <c r="H222" s="69">
        <v>0.69</v>
      </c>
      <c r="I222" s="69">
        <v>0.7</v>
      </c>
      <c r="J222" s="66"/>
      <c r="K222" s="66"/>
    </row>
    <row r="223" spans="2:11" ht="15.75">
      <c r="B223" s="66"/>
      <c r="C223" s="66"/>
      <c r="D223" s="66"/>
      <c r="E223" s="66"/>
      <c r="F223" s="66"/>
      <c r="G223" s="66"/>
      <c r="H223" s="66"/>
      <c r="I223" s="66"/>
      <c r="J223" s="66"/>
      <c r="K223" s="66"/>
    </row>
    <row r="224" spans="2:11" ht="15.75">
      <c r="B224" s="66"/>
      <c r="C224" s="66"/>
      <c r="D224" s="66"/>
      <c r="E224" s="66"/>
      <c r="F224" s="66"/>
      <c r="G224" s="66"/>
      <c r="H224" s="66"/>
      <c r="I224" s="66"/>
      <c r="J224" s="66"/>
      <c r="K224" s="66"/>
    </row>
    <row r="225" spans="2:12" ht="15.75">
      <c r="B225" s="66"/>
      <c r="C225" s="66"/>
      <c r="D225" s="66"/>
      <c r="E225" s="66"/>
      <c r="F225" s="66"/>
      <c r="G225" s="66"/>
      <c r="H225" s="66"/>
      <c r="I225" s="66"/>
      <c r="J225" s="66"/>
      <c r="K225" s="66"/>
    </row>
    <row r="226" spans="2:12" ht="15.75">
      <c r="B226" s="66"/>
      <c r="C226" s="66"/>
      <c r="D226" s="66"/>
      <c r="E226" s="66"/>
      <c r="F226" s="66"/>
      <c r="G226" s="66"/>
      <c r="H226" s="66"/>
      <c r="I226" s="66"/>
      <c r="J226" s="66"/>
      <c r="K226" s="66"/>
    </row>
    <row r="227" spans="2:12" ht="15.75">
      <c r="B227" s="66"/>
      <c r="C227" s="66"/>
      <c r="D227" s="66"/>
      <c r="E227" s="66"/>
      <c r="F227" s="66"/>
      <c r="G227" s="66"/>
      <c r="H227" s="66"/>
      <c r="I227" s="66"/>
      <c r="J227" s="66"/>
      <c r="K227" s="66"/>
    </row>
    <row r="228" spans="2:12" ht="15.75">
      <c r="B228" s="66"/>
      <c r="C228" s="66"/>
      <c r="D228" s="66"/>
      <c r="E228" s="66"/>
      <c r="F228" s="66"/>
      <c r="G228" s="66"/>
      <c r="H228" s="66"/>
      <c r="I228" s="66"/>
      <c r="J228" s="66"/>
      <c r="K228" s="66"/>
    </row>
    <row r="229" spans="2:12" ht="15.75">
      <c r="B229" s="66"/>
      <c r="C229" s="66"/>
      <c r="D229" s="66"/>
      <c r="E229" s="66"/>
      <c r="F229" s="66"/>
      <c r="G229" s="66"/>
      <c r="H229" s="66"/>
      <c r="I229" s="66"/>
      <c r="J229" s="66"/>
      <c r="K229" s="66"/>
    </row>
    <row r="230" spans="2:12" ht="15.75">
      <c r="B230" s="66"/>
      <c r="C230" s="66"/>
      <c r="D230" s="66"/>
      <c r="E230" s="66"/>
      <c r="F230" s="66"/>
      <c r="G230" s="66"/>
      <c r="H230" s="66"/>
      <c r="I230" s="66"/>
      <c r="J230" s="66"/>
      <c r="K230" s="66"/>
    </row>
    <row r="231" spans="2:12" ht="15.75">
      <c r="B231" s="66"/>
      <c r="C231" s="66"/>
      <c r="D231" s="66"/>
      <c r="E231" s="66"/>
      <c r="F231" s="66"/>
      <c r="G231" s="66"/>
      <c r="H231" s="66"/>
      <c r="I231" s="66"/>
      <c r="J231" s="66"/>
      <c r="K231" s="66"/>
    </row>
    <row r="232" spans="2:12" ht="15.75">
      <c r="B232" s="66"/>
      <c r="C232" s="66"/>
      <c r="D232" s="66"/>
      <c r="E232" s="66"/>
      <c r="F232" s="66"/>
      <c r="G232" s="66"/>
      <c r="H232" s="66"/>
      <c r="I232" s="66"/>
      <c r="J232" s="66"/>
      <c r="K232" s="66"/>
    </row>
    <row r="233" spans="2:12" ht="15.75">
      <c r="B233" s="66"/>
      <c r="C233" s="66"/>
      <c r="D233" s="66"/>
      <c r="E233" s="66"/>
      <c r="F233" s="66"/>
      <c r="G233" s="66"/>
      <c r="H233" s="66"/>
      <c r="I233" s="66"/>
      <c r="J233" s="66"/>
      <c r="K233" s="66"/>
    </row>
    <row r="234" spans="2:12" ht="15.75">
      <c r="B234" s="66"/>
      <c r="C234" s="66"/>
      <c r="D234" s="66"/>
      <c r="E234" s="66"/>
      <c r="F234" s="66"/>
      <c r="G234" s="66"/>
      <c r="H234" s="66"/>
      <c r="I234" s="66"/>
      <c r="J234" s="66"/>
      <c r="K234" s="66"/>
    </row>
    <row r="235" spans="2:12" ht="15.75">
      <c r="B235" s="66"/>
      <c r="C235" s="66"/>
      <c r="D235" s="66"/>
      <c r="E235" s="66"/>
      <c r="F235" s="66"/>
      <c r="G235" s="66"/>
      <c r="H235" s="66"/>
      <c r="I235" s="66"/>
      <c r="J235" s="66"/>
      <c r="K235" s="66"/>
    </row>
    <row r="236" spans="2:12" ht="15.75">
      <c r="B236" s="66"/>
      <c r="C236" s="66"/>
      <c r="D236" s="66"/>
      <c r="E236" s="66"/>
      <c r="F236" s="66"/>
      <c r="G236" s="66"/>
      <c r="H236" s="66"/>
      <c r="I236" s="66"/>
      <c r="J236" s="66"/>
      <c r="K236" s="66"/>
    </row>
    <row r="237" spans="2:12" ht="15.75">
      <c r="B237" s="66"/>
      <c r="C237" s="66"/>
      <c r="D237" s="66"/>
      <c r="E237" s="66"/>
      <c r="F237" s="66"/>
      <c r="G237" s="66"/>
      <c r="H237" s="66"/>
      <c r="I237" s="66"/>
      <c r="J237" s="66"/>
      <c r="K237" s="66"/>
    </row>
    <row r="238" spans="2:12" ht="15.75">
      <c r="B238" s="66"/>
      <c r="C238" s="66"/>
      <c r="D238" s="66"/>
      <c r="E238" s="66"/>
      <c r="F238" s="66"/>
      <c r="G238" s="66"/>
      <c r="H238" s="66"/>
      <c r="I238" s="66"/>
      <c r="J238" s="66"/>
      <c r="K238" s="66"/>
    </row>
    <row r="239" spans="2:12" ht="15.75">
      <c r="B239" s="66"/>
      <c r="C239" s="66">
        <v>2009</v>
      </c>
      <c r="D239" s="66">
        <v>2010</v>
      </c>
      <c r="E239" s="66">
        <f t="shared" ref="E239:L239" si="34">D239+1</f>
        <v>2011</v>
      </c>
      <c r="F239" s="66">
        <f t="shared" si="34"/>
        <v>2012</v>
      </c>
      <c r="G239" s="66">
        <f t="shared" si="34"/>
        <v>2013</v>
      </c>
      <c r="H239" s="66">
        <f t="shared" si="34"/>
        <v>2014</v>
      </c>
      <c r="I239" s="66">
        <f t="shared" si="34"/>
        <v>2015</v>
      </c>
      <c r="J239" s="66">
        <f t="shared" si="34"/>
        <v>2016</v>
      </c>
      <c r="K239" s="66">
        <f t="shared" si="34"/>
        <v>2017</v>
      </c>
      <c r="L239" s="66">
        <f t="shared" si="34"/>
        <v>2018</v>
      </c>
    </row>
    <row r="240" spans="2:12" ht="15.75">
      <c r="B240" s="66" t="s">
        <v>1054</v>
      </c>
      <c r="C240" s="69">
        <f>'SKY Mex'!F29</f>
        <v>0.28827215756490598</v>
      </c>
      <c r="D240" s="69">
        <f>'SKY Mex'!G29</f>
        <v>0.35189519650655021</v>
      </c>
      <c r="E240" s="69">
        <f>'SKY Mex'!H29</f>
        <v>0.39208866155157718</v>
      </c>
      <c r="F240" s="69">
        <f>'SKY Mex'!I29</f>
        <v>0.43360532889258951</v>
      </c>
      <c r="G240" s="69">
        <f>'SKY Mex'!J29</f>
        <v>0.47951179820992679</v>
      </c>
      <c r="H240" s="69">
        <f>'SKY Mex'!K29</f>
        <v>0.51217183770883057</v>
      </c>
      <c r="I240" s="69">
        <f>'SKY Mex'!L29</f>
        <v>0.53437839515753527</v>
      </c>
      <c r="J240" s="69">
        <f>'SKY Mex'!M29</f>
        <v>0.6334002780781709</v>
      </c>
      <c r="K240" s="69">
        <f>'SKY Mex'!N29</f>
        <v>0.68712901737659537</v>
      </c>
      <c r="L240" s="69">
        <f>'SKY Mex'!O29</f>
        <v>0.70411755701821521</v>
      </c>
    </row>
    <row r="241" spans="2:12" ht="15.75">
      <c r="B241" s="66"/>
      <c r="D241" s="66"/>
      <c r="E241" s="66"/>
      <c r="F241" s="66"/>
      <c r="G241" s="66"/>
      <c r="H241" s="66"/>
      <c r="I241" s="66"/>
      <c r="J241" s="66"/>
      <c r="K241" s="66"/>
      <c r="L241" s="66"/>
    </row>
    <row r="242" spans="2:12" ht="15.75">
      <c r="B242" s="66" t="s">
        <v>1055</v>
      </c>
      <c r="C242" s="69">
        <f>'SKY Mex'!F51</f>
        <v>0.51769576649011162</v>
      </c>
      <c r="D242" s="69">
        <f>'SKY Mex'!G51</f>
        <v>0.55432439307574133</v>
      </c>
      <c r="E242" s="69">
        <f>'SKY Mex'!H51</f>
        <v>0.60089475861543984</v>
      </c>
      <c r="F242" s="69">
        <f>'SKY Mex'!I51</f>
        <v>0.62754082400568867</v>
      </c>
      <c r="G242" s="69">
        <f>'SKY Mex'!J51</f>
        <v>0.63519529700932909</v>
      </c>
      <c r="H242" s="69">
        <f>'SKY Mex'!K51</f>
        <v>0.63452003727865802</v>
      </c>
      <c r="I242" s="69">
        <f>'SKY Mex'!L51</f>
        <v>0.64793133894859134</v>
      </c>
      <c r="J242" s="69">
        <f>'SKY Mex'!M51</f>
        <v>0.58661975609756101</v>
      </c>
      <c r="K242" s="69">
        <f>'SKY Mex'!N51</f>
        <v>0.53767420105630648</v>
      </c>
      <c r="L242" s="69">
        <f>'SKY Mex'!O51</f>
        <v>0.51573969565217392</v>
      </c>
    </row>
    <row r="243" spans="2:12" ht="15.75">
      <c r="B243" s="66"/>
      <c r="C243" s="66"/>
      <c r="D243" s="66"/>
      <c r="E243" s="66"/>
      <c r="F243" s="66"/>
      <c r="G243" s="66"/>
      <c r="H243" s="66"/>
      <c r="I243" s="66"/>
      <c r="J243" s="66"/>
      <c r="K243" s="66"/>
    </row>
    <row r="244" spans="2:12" ht="15.75">
      <c r="B244" s="66"/>
      <c r="C244" s="66"/>
      <c r="D244" s="66"/>
      <c r="E244" s="66"/>
      <c r="F244" s="66"/>
      <c r="G244" s="66"/>
      <c r="H244" s="66"/>
      <c r="I244" s="66"/>
      <c r="J244" s="66"/>
      <c r="K244" s="66"/>
    </row>
    <row r="245" spans="2:12" ht="15.75">
      <c r="B245" s="66"/>
      <c r="C245" s="66"/>
      <c r="D245" s="66"/>
      <c r="E245" s="66"/>
      <c r="F245" s="66"/>
      <c r="G245" s="66"/>
      <c r="H245" s="66"/>
      <c r="I245" s="66"/>
      <c r="J245" s="66"/>
      <c r="K245" s="66"/>
    </row>
    <row r="246" spans="2:12" ht="15.75">
      <c r="B246" s="66"/>
      <c r="C246" s="66"/>
      <c r="D246" s="66"/>
      <c r="E246" s="66"/>
      <c r="F246" s="66"/>
      <c r="G246" s="66"/>
      <c r="H246" s="66"/>
      <c r="I246" s="66"/>
      <c r="J246" s="66"/>
      <c r="K246" s="66"/>
    </row>
    <row r="247" spans="2:12" ht="15.75">
      <c r="B247" s="66"/>
      <c r="C247" s="66"/>
      <c r="D247" s="66"/>
      <c r="E247" s="66"/>
      <c r="F247" s="66"/>
      <c r="G247" s="66"/>
      <c r="H247" s="66"/>
      <c r="I247" s="66"/>
      <c r="J247" s="66"/>
      <c r="K247" s="66"/>
    </row>
    <row r="248" spans="2:12" ht="15.75">
      <c r="B248" s="66"/>
      <c r="C248" s="66"/>
      <c r="D248" s="66"/>
      <c r="E248" s="66"/>
      <c r="F248" s="66"/>
      <c r="G248" s="66"/>
      <c r="H248" s="66"/>
      <c r="I248" s="66"/>
      <c r="J248" s="66"/>
      <c r="K248" s="66"/>
    </row>
    <row r="249" spans="2:12" ht="15.75">
      <c r="B249" s="66"/>
      <c r="C249" s="66"/>
      <c r="D249" s="66"/>
      <c r="E249" s="66"/>
      <c r="F249" s="66"/>
      <c r="G249" s="66"/>
      <c r="H249" s="66"/>
      <c r="I249" s="66"/>
      <c r="J249" s="66"/>
      <c r="K249" s="66"/>
    </row>
    <row r="250" spans="2:12" ht="15.75">
      <c r="B250" s="66"/>
      <c r="C250" s="66"/>
      <c r="D250" s="66"/>
      <c r="E250" s="66"/>
      <c r="F250" s="66"/>
      <c r="G250" s="66"/>
      <c r="H250" s="66"/>
      <c r="I250" s="66"/>
      <c r="J250" s="66"/>
      <c r="K250" s="66"/>
    </row>
    <row r="251" spans="2:12" ht="15.75">
      <c r="B251" s="66"/>
      <c r="C251" s="66"/>
      <c r="D251" s="66"/>
      <c r="E251" s="66"/>
      <c r="F251" s="66"/>
      <c r="G251" s="66"/>
      <c r="H251" s="66"/>
      <c r="I251" s="66"/>
      <c r="J251" s="66"/>
      <c r="K251" s="66"/>
    </row>
    <row r="252" spans="2:12" ht="15.75">
      <c r="B252" s="66"/>
      <c r="C252" s="66"/>
      <c r="D252" s="66"/>
      <c r="E252" s="66"/>
      <c r="F252" s="66"/>
      <c r="G252" s="66"/>
      <c r="H252" s="66"/>
      <c r="I252" s="66"/>
      <c r="J252" s="66"/>
      <c r="K252" s="66"/>
    </row>
    <row r="253" spans="2:12" ht="15.75">
      <c r="B253" s="66"/>
      <c r="C253" s="66"/>
      <c r="D253" s="66"/>
      <c r="E253" s="66"/>
      <c r="F253" s="66"/>
      <c r="G253" s="66"/>
      <c r="H253" s="66"/>
      <c r="I253" s="66"/>
      <c r="J253" s="66"/>
      <c r="K253" s="66"/>
    </row>
    <row r="254" spans="2:12" ht="15.75">
      <c r="B254" s="66"/>
      <c r="C254" s="66"/>
      <c r="D254" s="66"/>
      <c r="E254" s="66"/>
      <c r="F254" s="66"/>
      <c r="G254" s="66"/>
      <c r="H254" s="66"/>
      <c r="I254" s="66"/>
      <c r="J254" s="66"/>
      <c r="K254" s="66"/>
    </row>
    <row r="255" spans="2:12" ht="15.75">
      <c r="B255" s="66"/>
      <c r="C255" s="66"/>
      <c r="D255" s="66"/>
      <c r="E255" s="66"/>
      <c r="F255" s="66"/>
      <c r="G255" s="66"/>
      <c r="H255" s="66"/>
      <c r="I255" s="66"/>
      <c r="J255" s="66"/>
      <c r="K255" s="66"/>
    </row>
    <row r="256" spans="2:12" ht="15.75">
      <c r="B256" s="67" t="s">
        <v>1083</v>
      </c>
      <c r="C256" s="67">
        <f>D256-1</f>
        <v>2011</v>
      </c>
      <c r="D256" s="67">
        <v>2012</v>
      </c>
      <c r="E256" s="67">
        <f t="shared" ref="E256:J256" si="35">D256+1</f>
        <v>2013</v>
      </c>
      <c r="F256" s="67">
        <f t="shared" si="35"/>
        <v>2014</v>
      </c>
      <c r="G256" s="67">
        <f t="shared" si="35"/>
        <v>2015</v>
      </c>
      <c r="H256" s="67">
        <f t="shared" si="35"/>
        <v>2016</v>
      </c>
      <c r="I256" s="67">
        <f t="shared" si="35"/>
        <v>2017</v>
      </c>
      <c r="J256" s="67">
        <f t="shared" si="35"/>
        <v>2018</v>
      </c>
      <c r="K256" s="66"/>
    </row>
    <row r="257" spans="2:11" ht="15.75">
      <c r="B257" s="183" t="s">
        <v>145</v>
      </c>
      <c r="C257" s="189">
        <f>Content!E23</f>
        <v>4.96186078330767E-2</v>
      </c>
      <c r="D257" s="189">
        <f>Content!F23</f>
        <v>7.1642724926349821E-2</v>
      </c>
      <c r="E257" s="189">
        <f>Content!G23</f>
        <v>2.8481936504074934E-2</v>
      </c>
      <c r="F257" s="189">
        <f>Content!H23</f>
        <v>3.0972247683364484E-2</v>
      </c>
      <c r="G257" s="189">
        <f>Content!I23</f>
        <v>-1.535787725743587E-2</v>
      </c>
      <c r="H257" s="189">
        <f>Content!J23</f>
        <v>6.8567483965676912E-2</v>
      </c>
      <c r="I257" s="189">
        <f>Content!K23</f>
        <v>-7.331539767817763E-2</v>
      </c>
      <c r="J257" s="189">
        <f>Content!L23</f>
        <v>0.14773362355501951</v>
      </c>
      <c r="K257" s="66"/>
    </row>
    <row r="258" spans="2:11" ht="15.75">
      <c r="B258" s="66" t="s">
        <v>1085</v>
      </c>
      <c r="C258" s="116">
        <f>Content!E24</f>
        <v>5.284938218241475E-2</v>
      </c>
      <c r="D258" s="116">
        <f>Content!F24</f>
        <v>5.8531716866016437E-2</v>
      </c>
      <c r="E258" s="116">
        <f>Content!G24</f>
        <v>3.5462206086637194E-2</v>
      </c>
      <c r="F258" s="116">
        <f>Content!H24</f>
        <v>2.1438013743200868E-2</v>
      </c>
      <c r="G258" s="116">
        <f>Content!I24</f>
        <v>-5.9333732132121231E-2</v>
      </c>
      <c r="H258" s="116">
        <f>Content!J24</f>
        <v>1.6701207076334601E-2</v>
      </c>
      <c r="I258" s="116">
        <f>Content!K24</f>
        <v>-7.4126570644382106E-2</v>
      </c>
      <c r="J258" s="116">
        <f>Content!L24</f>
        <v>6.7202988498985095E-2</v>
      </c>
      <c r="K258" s="66"/>
    </row>
    <row r="259" spans="2:11" ht="15.75">
      <c r="B259" s="183"/>
      <c r="C259" s="190"/>
      <c r="D259" s="183"/>
      <c r="E259" s="183"/>
      <c r="F259" s="183"/>
      <c r="G259" s="183"/>
      <c r="H259" s="183"/>
      <c r="I259" s="183"/>
      <c r="J259" s="183"/>
      <c r="K259" s="66"/>
    </row>
    <row r="260" spans="2:11" ht="15.75">
      <c r="B260" s="66" t="s">
        <v>16</v>
      </c>
      <c r="C260" s="116">
        <f>'Cable cos'!F186</f>
        <v>0.15415347632510046</v>
      </c>
      <c r="D260" s="116">
        <f>'Cable cos'!G186</f>
        <v>0.14191002830866695</v>
      </c>
      <c r="E260" s="116">
        <f>'Cable cos'!H186</f>
        <v>0.10072958947747002</v>
      </c>
      <c r="F260" s="116">
        <f>'Cable cos'!I186</f>
        <v>0.22162578476906214</v>
      </c>
      <c r="G260" s="116">
        <f>'Cable cos'!J186</f>
        <v>0.36065471982882125</v>
      </c>
      <c r="H260" s="116">
        <f>'Cable cos'!K186</f>
        <v>0.11946307782493171</v>
      </c>
      <c r="I260" s="116">
        <f>'Cable cos'!L186</f>
        <v>3.6260331874224061E-2</v>
      </c>
      <c r="J260" s="116">
        <f>'Cable cos'!M186</f>
        <v>9.6374969740982808E-2</v>
      </c>
      <c r="K260" s="66"/>
    </row>
    <row r="261" spans="2:11" ht="15.75">
      <c r="B261" s="183" t="s">
        <v>87</v>
      </c>
      <c r="C261" s="189">
        <f>'SKY Mex'!H62</f>
        <v>0.10943973257943496</v>
      </c>
      <c r="D261" s="189">
        <f>'SKY Mex'!I62</f>
        <v>0.15916084364382321</v>
      </c>
      <c r="E261" s="189">
        <f>'SKY Mex'!J62</f>
        <v>0.11288315566800788</v>
      </c>
      <c r="F261" s="189">
        <f>'SKY Mex'!K62</f>
        <v>8.6978128125330123E-2</v>
      </c>
      <c r="G261" s="189">
        <f>'SKY Mex'!L62</f>
        <v>0.10029431094093777</v>
      </c>
      <c r="H261" s="189">
        <f>'SKY Mex'!M62</f>
        <v>0.13959539823928124</v>
      </c>
      <c r="I261" s="189">
        <f>'SKY Mex'!N62</f>
        <v>1.1658432537873908E-2</v>
      </c>
      <c r="J261" s="189">
        <f>'SKY Mex'!O62</f>
        <v>-8.7849709420192434E-3</v>
      </c>
      <c r="K261" s="66"/>
    </row>
    <row r="262" spans="2:11" ht="15.75">
      <c r="B262" s="66" t="s">
        <v>44</v>
      </c>
      <c r="C262" s="116">
        <f>Master!J53/Master!I53-1</f>
        <v>3.3837840673607289E-3</v>
      </c>
      <c r="D262" s="116">
        <f>Master!K53/Master!J53-1</f>
        <v>0.10096204120046015</v>
      </c>
      <c r="E262" s="116">
        <f>Master!L53/Master!K53-1</f>
        <v>0.15282328916749788</v>
      </c>
      <c r="F262" s="116">
        <f>Master!M53/Master!L53-1</f>
        <v>0.68984552008238942</v>
      </c>
      <c r="G262" s="116">
        <f>Master!N53/Master!M53-1</f>
        <v>-9.7389142146705465E-3</v>
      </c>
      <c r="H262" s="116">
        <f>Master!O53/Master!N53-1</f>
        <v>8.6653619388747272E-2</v>
      </c>
      <c r="I262" s="116">
        <f>Master!P53/Master!O53-1</f>
        <v>-5.1232966709332417E-2</v>
      </c>
      <c r="J262" s="116">
        <f>Master!Q53/Master!P53-1</f>
        <v>3.1041069723018122E-2</v>
      </c>
      <c r="K262" s="66"/>
    </row>
    <row r="263" spans="2:11" ht="15.75">
      <c r="B263" s="183"/>
      <c r="C263" s="190"/>
      <c r="D263" s="183"/>
      <c r="E263" s="183"/>
      <c r="F263" s="183"/>
      <c r="G263" s="183"/>
      <c r="H263" s="183"/>
      <c r="I263" s="183"/>
      <c r="J263" s="183"/>
      <c r="K263" s="66"/>
    </row>
    <row r="264" spans="2:11" ht="15.75">
      <c r="B264" s="66" t="s">
        <v>1084</v>
      </c>
      <c r="C264" s="116">
        <f>Master!J57</f>
        <v>8.1661965404239645E-2</v>
      </c>
      <c r="D264" s="116">
        <f>Master!K57</f>
        <v>0.10720260779942925</v>
      </c>
      <c r="E264" s="116">
        <f>Master!L57</f>
        <v>6.4990243958759297E-2</v>
      </c>
      <c r="F264" s="116">
        <f>Master!M57</f>
        <v>8.5709329806378687E-2</v>
      </c>
      <c r="G264" s="116">
        <f>Master!N57</f>
        <v>9.9023445300954638E-2</v>
      </c>
      <c r="H264" s="116">
        <f>Master!O57</f>
        <v>9.3528823876799949E-2</v>
      </c>
      <c r="I264" s="116">
        <f>Master!P57</f>
        <v>-2.0899930832071423E-2</v>
      </c>
      <c r="J264" s="116">
        <f>Master!Q57</f>
        <v>7.4622116149562379E-2</v>
      </c>
      <c r="K264" s="66"/>
    </row>
    <row r="265" spans="2:11" ht="15.75">
      <c r="B265" s="183" t="s">
        <v>1087</v>
      </c>
      <c r="C265" s="189">
        <f>Master!J59</f>
        <v>8.469384926004353E-2</v>
      </c>
      <c r="D265" s="189">
        <f>Master!K59</f>
        <v>9.4797294892161821E-2</v>
      </c>
      <c r="E265" s="189">
        <f>Master!L59</f>
        <v>6.3619971694879096E-2</v>
      </c>
      <c r="F265" s="189">
        <f>Master!M59</f>
        <v>3.7627997777780475E-2</v>
      </c>
      <c r="G265" s="189">
        <f>Master!N59</f>
        <v>8.6076982583339179E-2</v>
      </c>
      <c r="H265" s="189">
        <f>Master!O59</f>
        <v>6.7598001508186512E-2</v>
      </c>
      <c r="I265" s="189">
        <f>Master!P59</f>
        <v>-1.8239691285720672E-2</v>
      </c>
      <c r="J265" s="189">
        <f>Master!Q59</f>
        <v>7.5620099292086129E-2</v>
      </c>
      <c r="K265" s="66"/>
    </row>
    <row r="266" spans="2:11" ht="15.75">
      <c r="B266" s="66" t="s">
        <v>1088</v>
      </c>
      <c r="C266" s="116" t="e">
        <f>Master!#REF!</f>
        <v>#REF!</v>
      </c>
      <c r="D266" s="116" t="e">
        <f>Master!#REF!</f>
        <v>#REF!</v>
      </c>
      <c r="E266" s="116" t="e">
        <f>Master!#REF!</f>
        <v>#REF!</v>
      </c>
      <c r="F266" s="116" t="e">
        <f>Master!#REF!</f>
        <v>#REF!</v>
      </c>
      <c r="G266" s="116" t="e">
        <f>Master!#REF!</f>
        <v>#REF!</v>
      </c>
      <c r="H266" s="116" t="e">
        <f>Master!#REF!</f>
        <v>#REF!</v>
      </c>
      <c r="I266" s="116" t="e">
        <f>Master!#REF!</f>
        <v>#REF!</v>
      </c>
      <c r="J266" s="116" t="e">
        <f>Master!#REF!</f>
        <v>#REF!</v>
      </c>
      <c r="K266" s="66"/>
    </row>
    <row r="267" spans="2:11" ht="15.75">
      <c r="B267" s="183"/>
      <c r="C267" s="190"/>
      <c r="D267" s="183"/>
      <c r="E267" s="183"/>
      <c r="F267" s="183"/>
      <c r="G267" s="183"/>
      <c r="H267" s="183"/>
      <c r="I267" s="183"/>
      <c r="J267" s="183"/>
      <c r="K267" s="66"/>
    </row>
    <row r="268" spans="2:11" ht="15.75">
      <c r="B268" s="67" t="s">
        <v>1095</v>
      </c>
      <c r="C268" s="67">
        <f>D268-1</f>
        <v>2011</v>
      </c>
      <c r="D268" s="67">
        <v>2012</v>
      </c>
      <c r="E268" s="67">
        <f t="shared" ref="E268:J268" si="36">D268+1</f>
        <v>2013</v>
      </c>
      <c r="F268" s="67">
        <f t="shared" si="36"/>
        <v>2014</v>
      </c>
      <c r="G268" s="67">
        <f t="shared" si="36"/>
        <v>2015</v>
      </c>
      <c r="H268" s="67">
        <f t="shared" si="36"/>
        <v>2016</v>
      </c>
      <c r="I268" s="67">
        <f t="shared" si="36"/>
        <v>2017</v>
      </c>
      <c r="J268" s="67">
        <f t="shared" si="36"/>
        <v>2018</v>
      </c>
      <c r="K268" s="66"/>
    </row>
    <row r="269" spans="2:11" ht="15.75">
      <c r="B269" s="183" t="s">
        <v>145</v>
      </c>
      <c r="C269" s="187">
        <f>(Master!J47-Master!I47)/(Master!J$56-Master!I$56)</f>
        <v>0.30702478464241012</v>
      </c>
      <c r="D269" s="187">
        <f>(Master!K47-Master!J47)/(Master!K$56-Master!J$56)</f>
        <v>0.32768412109287748</v>
      </c>
      <c r="E269" s="187">
        <f>(Master!L47-Master!K47)/(Master!L$56-Master!K$56)</f>
        <v>0.20798543258127467</v>
      </c>
      <c r="F269" s="187">
        <f>(Master!M47-Master!L47)/(Master!M$56-Master!L$56)</f>
        <v>0.1656178851505189</v>
      </c>
      <c r="G269" s="187">
        <f>(Master!N47-Master!M47)/(Master!N$56-Master!M$56)</f>
        <v>-6.7497731168700156E-2</v>
      </c>
      <c r="H269" s="187">
        <f>(Master!O47-Master!N47)/(Master!O$56-Master!N$56)</f>
        <v>0.28585132476868158</v>
      </c>
      <c r="I269" s="187">
        <f>(Master!P47-Master!O47)/(Master!P$56-Master!O$56)</f>
        <v>1.3365633074935426</v>
      </c>
      <c r="J269" s="187">
        <f>(Master!Q47-Master!P47)/(Master!Q$56-Master!P$56)</f>
        <v>0.74683724235963045</v>
      </c>
      <c r="K269" s="66"/>
    </row>
    <row r="270" spans="2:11" ht="15.75">
      <c r="B270" s="66" t="s">
        <v>87</v>
      </c>
      <c r="C270" s="69">
        <f>(Master!J51-Master!I51)/(Master!J$56-Master!I$56)</f>
        <v>0.26054564310961481</v>
      </c>
      <c r="D270" s="69">
        <f>(Master!K51-Master!J51)/(Master!K$56-Master!J$56)</f>
        <v>0.29605449477559703</v>
      </c>
      <c r="E270" s="69">
        <f>(Master!L51-Master!K51)/(Master!L$56-Master!K$56)</f>
        <v>0.36260881151181279</v>
      </c>
      <c r="F270" s="69">
        <f>(Master!M51-Master!L51)/(Master!M$56-Master!L$56)</f>
        <v>0.22138249430812093</v>
      </c>
      <c r="G270" s="69">
        <f>(Master!N51-Master!M51)/(Master!N$56-Master!M$56)</f>
        <v>0.22121105172935349</v>
      </c>
      <c r="H270" s="69">
        <f>(Master!O51-Master!N51)/(Master!O$56-Master!N$56)</f>
        <v>0.32635937537945975</v>
      </c>
      <c r="I270" s="69">
        <f>(Master!P51-Master!O51)/(Master!P$56-Master!O$56)</f>
        <v>-0.12711190618167362</v>
      </c>
      <c r="J270" s="69">
        <f>(Master!Q51-Master!P51)/(Master!Q$56-Master!P$56)</f>
        <v>-2.7718550106609809E-2</v>
      </c>
      <c r="K270" s="66"/>
    </row>
    <row r="271" spans="2:11" ht="15.75">
      <c r="B271" s="183" t="s">
        <v>16</v>
      </c>
      <c r="C271" s="187">
        <f>(Master!J52-Master!I52)/(Master!J$56-Master!I$56)</f>
        <v>0.38546362732025236</v>
      </c>
      <c r="D271" s="187">
        <f>(Master!K52-Master!J52)/(Master!K$56-Master!J$56)</f>
        <v>0.2884228413003625</v>
      </c>
      <c r="E271" s="187">
        <f>(Master!L52-Master!K52)/(Master!L$56-Master!K$56)</f>
        <v>0.34828566352815676</v>
      </c>
      <c r="F271" s="187">
        <f>(Master!M52-Master!L52)/(Master!M$56-Master!L$56)</f>
        <v>0.60055653933721354</v>
      </c>
      <c r="G271" s="187">
        <f>(Master!N52-Master!M52)/(Master!N$56-Master!M$56)</f>
        <v>0.95178733487949896</v>
      </c>
      <c r="H271" s="187">
        <f>(Master!O52-Master!N52)/(Master!O$56-Master!N$56)</f>
        <v>0.41325254389586441</v>
      </c>
      <c r="I271" s="187">
        <f>(Master!P52-Master!O52)/(Master!P$56-Master!O$56)</f>
        <v>-0.57463724905585611</v>
      </c>
      <c r="J271" s="187">
        <f>(Master!Q52-Master!P52)/(Master!Q$56-Master!P$56)</f>
        <v>0.45273631840796019</v>
      </c>
      <c r="K271" s="66"/>
    </row>
    <row r="272" spans="2:11" ht="15.75">
      <c r="B272" s="67" t="s">
        <v>44</v>
      </c>
      <c r="C272" s="73">
        <f>(Master!J53+Master!J50-Master!I53-Master!I50)/(Master!J$56-Master!I$56)</f>
        <v>-5.2701758841831288E-3</v>
      </c>
      <c r="D272" s="73">
        <f>(Master!K53+Master!K50-Master!J53-Master!J50)/(Master!K$56-Master!J$56)</f>
        <v>9.6483775283578752E-2</v>
      </c>
      <c r="E272" s="73">
        <f>(Master!L53+Master!L50-Master!K53-Master!K50)/(Master!L$56-Master!K$56)</f>
        <v>9.0824302718066921E-2</v>
      </c>
      <c r="F272" s="73">
        <f>(Master!M53+Master!M50-Master!L53-Master!L50)/(Master!M$56-Master!L$56)</f>
        <v>2.0696306602580442E-2</v>
      </c>
      <c r="G272" s="73">
        <f>(Master!N53+Master!N50-Master!M53-Master!M50)/(Master!N$56-Master!M$56)</f>
        <v>-1.0071090047393426E-2</v>
      </c>
      <c r="H272" s="73">
        <f>(Master!O53+Master!O50-Master!N53-Master!N50)/(Master!O$56-Master!N$56)</f>
        <v>8.548461519780455E-2</v>
      </c>
      <c r="I272" s="73">
        <f>(Master!P53+Master!P50-Master!O53-Master!O50)/(Master!P$56-Master!O$56)</f>
        <v>0.22475650964023086</v>
      </c>
      <c r="J272" s="73">
        <f>(Master!Q53+Master!Q50-Master!P53-Master!P50)/(Master!Q$56-Master!P$56)</f>
        <v>3.6958066808813077E-2</v>
      </c>
      <c r="K272" s="66"/>
    </row>
    <row r="273" spans="2:11" ht="15.75">
      <c r="B273" s="66"/>
      <c r="E273" s="66"/>
      <c r="F273" s="66"/>
      <c r="G273" s="66"/>
      <c r="I273" s="66"/>
      <c r="J273" s="66"/>
      <c r="K273" s="66"/>
    </row>
    <row r="274" spans="2:11" ht="15.75">
      <c r="B274" s="66"/>
      <c r="C274" s="66"/>
      <c r="D274" s="66"/>
      <c r="E274" s="66"/>
      <c r="F274" s="66"/>
      <c r="G274" s="66"/>
      <c r="H274" s="66"/>
      <c r="I274" s="66"/>
      <c r="J274" s="66"/>
      <c r="K274" s="66"/>
    </row>
    <row r="275" spans="2:11" ht="15.75">
      <c r="B275" s="66" t="s">
        <v>1175</v>
      </c>
      <c r="C275" s="66"/>
    </row>
    <row r="276" spans="2:11" ht="15.75">
      <c r="B276" s="66"/>
      <c r="C276" s="66"/>
    </row>
    <row r="277" spans="2:11" ht="15.75">
      <c r="B277" s="67" t="s">
        <v>60</v>
      </c>
      <c r="C277" s="67">
        <v>2013</v>
      </c>
      <c r="D277" s="67">
        <f>C277+1</f>
        <v>2014</v>
      </c>
      <c r="E277" s="67">
        <f>D277+1</f>
        <v>2015</v>
      </c>
      <c r="F277" s="67">
        <f>E277+1</f>
        <v>2016</v>
      </c>
    </row>
    <row r="278" spans="2:11" ht="15.75">
      <c r="B278" s="66" t="s">
        <v>57</v>
      </c>
      <c r="C278" s="125">
        <v>455.26776417327909</v>
      </c>
      <c r="D278" s="125">
        <v>525.27958585233864</v>
      </c>
      <c r="E278" s="125">
        <v>589.94571203416638</v>
      </c>
      <c r="F278" s="125">
        <v>641.28017456118118</v>
      </c>
    </row>
    <row r="279" spans="2:11" ht="15.75">
      <c r="B279" s="66" t="s">
        <v>201</v>
      </c>
      <c r="C279" s="125">
        <v>260.15300809901657</v>
      </c>
      <c r="D279" s="125">
        <v>280.14911245458063</v>
      </c>
      <c r="E279" s="125">
        <v>285.45760259717724</v>
      </c>
      <c r="F279" s="125">
        <v>310.29685865863604</v>
      </c>
    </row>
    <row r="280" spans="2:11" ht="15.75">
      <c r="B280" s="66" t="s">
        <v>203</v>
      </c>
      <c r="C280" s="125">
        <f>C278-C279</f>
        <v>195.11475607426252</v>
      </c>
      <c r="D280" s="125">
        <f>D278-D279</f>
        <v>245.13047339775801</v>
      </c>
      <c r="E280" s="125">
        <f>E278-E279</f>
        <v>304.48810943698913</v>
      </c>
      <c r="F280" s="125">
        <f>F278-F279</f>
        <v>330.98331590254514</v>
      </c>
    </row>
    <row r="281" spans="2:11" ht="15.75">
      <c r="B281" s="66"/>
      <c r="C281" s="66"/>
    </row>
    <row r="282" spans="2:11" ht="15.75">
      <c r="B282" s="67" t="s">
        <v>1179</v>
      </c>
      <c r="C282" s="67">
        <f>C277</f>
        <v>2013</v>
      </c>
      <c r="D282" s="67">
        <f>D277</f>
        <v>2014</v>
      </c>
      <c r="E282" s="67">
        <f>E277</f>
        <v>2015</v>
      </c>
      <c r="F282" s="67">
        <f>F277</f>
        <v>2016</v>
      </c>
    </row>
    <row r="283" spans="2:11" ht="15.75">
      <c r="B283" s="66" t="str">
        <f>B278</f>
        <v>EBITDA</v>
      </c>
      <c r="C283" s="71">
        <f t="shared" ref="C283:F285" si="37">C278*$C$288</f>
        <v>610.05880399219404</v>
      </c>
      <c r="D283" s="71">
        <f t="shared" si="37"/>
        <v>703.87464504213381</v>
      </c>
      <c r="E283" s="71">
        <f t="shared" si="37"/>
        <v>790.52725412578297</v>
      </c>
      <c r="F283" s="71">
        <f t="shared" si="37"/>
        <v>859.31543391198284</v>
      </c>
    </row>
    <row r="284" spans="2:11" ht="15.75">
      <c r="B284" s="66" t="str">
        <f>B279</f>
        <v>Capex</v>
      </c>
      <c r="C284" s="71">
        <f t="shared" si="37"/>
        <v>348.60503085268221</v>
      </c>
      <c r="D284" s="71">
        <f t="shared" si="37"/>
        <v>375.39981068913806</v>
      </c>
      <c r="E284" s="71">
        <f t="shared" si="37"/>
        <v>382.51318748021754</v>
      </c>
      <c r="F284" s="71">
        <f t="shared" si="37"/>
        <v>415.79779060257232</v>
      </c>
    </row>
    <row r="285" spans="2:11" ht="15.75">
      <c r="B285" s="66" t="str">
        <f>B280</f>
        <v>OpFCF</v>
      </c>
      <c r="C285" s="71">
        <f t="shared" si="37"/>
        <v>261.45377313951178</v>
      </c>
      <c r="D285" s="71">
        <f t="shared" si="37"/>
        <v>328.47483435299574</v>
      </c>
      <c r="E285" s="71">
        <f t="shared" si="37"/>
        <v>408.01406664556549</v>
      </c>
      <c r="F285" s="71">
        <f t="shared" si="37"/>
        <v>443.51764330941052</v>
      </c>
    </row>
    <row r="286" spans="2:11" ht="15.75">
      <c r="B286" s="66"/>
      <c r="C286" s="66"/>
    </row>
    <row r="287" spans="2:11" ht="15.75">
      <c r="B287" s="66" t="s">
        <v>1176</v>
      </c>
      <c r="C287" s="125">
        <v>3158</v>
      </c>
    </row>
    <row r="288" spans="2:11" ht="15.75">
      <c r="B288" s="66" t="s">
        <v>1177</v>
      </c>
      <c r="C288" s="66">
        <v>1.34</v>
      </c>
    </row>
    <row r="289" spans="2:11" ht="15.75">
      <c r="B289" s="66"/>
      <c r="C289" s="66"/>
    </row>
    <row r="290" spans="2:11" ht="15.75">
      <c r="B290" s="67"/>
      <c r="C290" s="67"/>
      <c r="D290" s="215" t="s">
        <v>916</v>
      </c>
    </row>
    <row r="291" spans="2:11" ht="15.75">
      <c r="B291" s="66" t="s">
        <v>1192</v>
      </c>
      <c r="D291" s="125">
        <f>C287*C288</f>
        <v>4231.72</v>
      </c>
    </row>
    <row r="292" spans="2:11" ht="15.75">
      <c r="B292" s="66" t="s">
        <v>1178</v>
      </c>
      <c r="D292" s="69">
        <v>0.25</v>
      </c>
    </row>
    <row r="293" spans="2:11" ht="15.75">
      <c r="B293" s="66" t="s">
        <v>1193</v>
      </c>
      <c r="D293" s="125">
        <f>C287*C288*(1+D292)</f>
        <v>5289.6500000000005</v>
      </c>
    </row>
    <row r="294" spans="2:11" ht="15.75">
      <c r="B294" s="66" t="s">
        <v>1180</v>
      </c>
      <c r="D294" s="156">
        <f>D293/C283</f>
        <v>8.6707215196056477</v>
      </c>
    </row>
    <row r="295" spans="2:11" ht="15.75">
      <c r="B295" s="66" t="s">
        <v>1181</v>
      </c>
      <c r="D295" s="156">
        <f>D293/C285</f>
        <v>20.231683545746506</v>
      </c>
    </row>
    <row r="296" spans="2:11" ht="15.75">
      <c r="B296" s="66"/>
      <c r="D296" s="125"/>
    </row>
    <row r="297" spans="2:11" ht="15.75">
      <c r="B297" s="66" t="s">
        <v>1186</v>
      </c>
      <c r="D297" s="125">
        <f>D293*0.5</f>
        <v>2644.8250000000003</v>
      </c>
    </row>
    <row r="298" spans="2:11" ht="15.75">
      <c r="B298" s="66" t="s">
        <v>959</v>
      </c>
      <c r="D298" s="75">
        <v>0.05</v>
      </c>
    </row>
    <row r="299" spans="2:11" ht="15.75">
      <c r="B299" s="66" t="s">
        <v>1185</v>
      </c>
      <c r="D299" s="71">
        <f>D298*D297*0.7</f>
        <v>92.568875000000006</v>
      </c>
      <c r="E299" s="66"/>
      <c r="F299" s="66"/>
      <c r="G299" s="66"/>
      <c r="H299" s="66"/>
      <c r="I299" s="66"/>
      <c r="J299" s="66"/>
      <c r="K299" s="66"/>
    </row>
    <row r="300" spans="2:11" ht="15.75">
      <c r="B300" s="66"/>
      <c r="C300" s="71"/>
      <c r="D300" s="66" t="s">
        <v>84</v>
      </c>
      <c r="E300" s="66"/>
      <c r="F300" s="66"/>
      <c r="G300" s="66"/>
      <c r="H300" s="66"/>
      <c r="I300" s="66"/>
      <c r="J300" s="66"/>
      <c r="K300" s="66"/>
    </row>
    <row r="301" spans="2:11" ht="15.75">
      <c r="B301" s="67" t="s">
        <v>1096</v>
      </c>
      <c r="C301" s="68" t="s">
        <v>1190</v>
      </c>
      <c r="D301" s="68" t="s">
        <v>1191</v>
      </c>
      <c r="F301" t="s">
        <v>84</v>
      </c>
    </row>
    <row r="302" spans="2:11" ht="15.75">
      <c r="B302" s="66" t="s">
        <v>1182</v>
      </c>
      <c r="C302" s="125">
        <f>Master!L73/Valuation!I19</f>
        <v>2210.468408356191</v>
      </c>
      <c r="D302" s="125">
        <f>C302</f>
        <v>2210.468408356191</v>
      </c>
      <c r="E302" s="66"/>
      <c r="F302" s="66"/>
      <c r="G302" s="66"/>
      <c r="H302" s="66"/>
      <c r="I302" s="66"/>
      <c r="J302" s="66"/>
      <c r="K302" s="66"/>
    </row>
    <row r="303" spans="2:11" ht="15.75">
      <c r="B303" s="66" t="s">
        <v>1183</v>
      </c>
      <c r="C303" s="125">
        <f>Valuation!I15</f>
        <v>2742.398119122257</v>
      </c>
      <c r="D303" s="125">
        <f>C303+D297+D299</f>
        <v>5479.7919941222572</v>
      </c>
    </row>
    <row r="304" spans="2:11" ht="15.75">
      <c r="B304" s="66" t="s">
        <v>1184</v>
      </c>
      <c r="C304" s="156">
        <f>C303/C302</f>
        <v>1.2406411730451439</v>
      </c>
      <c r="D304" s="156">
        <f>D303/D302</f>
        <v>2.4790184620631108</v>
      </c>
    </row>
    <row r="305" spans="2:11" ht="15.75">
      <c r="B305" s="66"/>
      <c r="C305" s="156"/>
    </row>
    <row r="306" spans="2:11" ht="15.75">
      <c r="B306" s="66" t="s">
        <v>1188</v>
      </c>
      <c r="C306" s="125" t="e">
        <f>Valuation!#REF!</f>
        <v>#REF!</v>
      </c>
      <c r="D306" s="125" t="e">
        <f>C306+0.5*C283</f>
        <v>#REF!</v>
      </c>
      <c r="E306" s="66"/>
      <c r="F306" s="66"/>
      <c r="G306" s="66"/>
      <c r="H306" s="66"/>
      <c r="I306" s="66"/>
      <c r="J306" s="66"/>
      <c r="K306" s="66"/>
    </row>
    <row r="307" spans="2:11" ht="15.75">
      <c r="B307" s="66" t="s">
        <v>1187</v>
      </c>
      <c r="C307" s="125" t="e">
        <f>Valuation!#REF!</f>
        <v>#REF!</v>
      </c>
      <c r="D307" s="125" t="e">
        <f>C307+D297+D299</f>
        <v>#REF!</v>
      </c>
      <c r="E307" s="66"/>
      <c r="F307" s="66"/>
      <c r="G307" s="66"/>
      <c r="H307" s="66"/>
      <c r="I307" s="66"/>
      <c r="J307" s="66"/>
      <c r="K307" s="66"/>
    </row>
    <row r="308" spans="2:11" ht="15.75">
      <c r="B308" s="66" t="s">
        <v>1189</v>
      </c>
      <c r="C308" s="156" t="e">
        <f>C307/C306</f>
        <v>#REF!</v>
      </c>
      <c r="D308" s="156" t="e">
        <f>D307/D306</f>
        <v>#REF!</v>
      </c>
      <c r="E308" s="66"/>
      <c r="F308" s="66"/>
      <c r="G308" s="66"/>
      <c r="H308" s="66"/>
      <c r="I308" s="66"/>
      <c r="J308" s="66"/>
      <c r="K308" s="66"/>
    </row>
    <row r="309" spans="2:11" ht="15.75">
      <c r="B309" s="66"/>
      <c r="C309" s="156"/>
    </row>
    <row r="310" spans="2:11" ht="15.75">
      <c r="B310" s="66"/>
      <c r="C310" s="125"/>
      <c r="D310" s="66"/>
      <c r="E310" s="66"/>
      <c r="F310" s="66"/>
      <c r="G310" s="66"/>
      <c r="H310" s="66"/>
      <c r="I310" s="66"/>
      <c r="J310" s="66"/>
      <c r="K310" s="66"/>
    </row>
    <row r="311" spans="2:11" ht="15.75">
      <c r="B311" s="67" t="s">
        <v>930</v>
      </c>
      <c r="C311" s="67">
        <v>2012</v>
      </c>
      <c r="D311" s="67">
        <f>C311+1</f>
        <v>2013</v>
      </c>
      <c r="E311" s="67">
        <f>D311+1</f>
        <v>2014</v>
      </c>
      <c r="F311" s="66"/>
      <c r="G311" s="66"/>
      <c r="H311" s="66"/>
      <c r="I311" s="66"/>
      <c r="J311" s="66"/>
      <c r="K311" s="66"/>
    </row>
    <row r="312" spans="2:11" ht="15.75">
      <c r="B312" s="66" t="str">
        <f>Master!B44</f>
        <v>Network Subscription Revenue</v>
      </c>
      <c r="C312" s="125">
        <f>Master!K44</f>
        <v>3189.2000000000003</v>
      </c>
      <c r="D312" s="125">
        <f>Master!L44</f>
        <v>3265.5999999999995</v>
      </c>
      <c r="E312" s="125">
        <f>Master!M44</f>
        <v>2854.4</v>
      </c>
      <c r="F312" s="66"/>
      <c r="G312" s="66"/>
      <c r="H312" s="66"/>
      <c r="I312" s="66"/>
      <c r="J312" s="66"/>
      <c r="K312" s="66"/>
    </row>
    <row r="313" spans="2:11" ht="15.75">
      <c r="B313" s="66" t="s">
        <v>1237</v>
      </c>
      <c r="C313" s="125"/>
      <c r="D313" s="66"/>
      <c r="E313" s="125">
        <f>-0.5*E312</f>
        <v>-1427.2</v>
      </c>
      <c r="F313" s="66"/>
      <c r="G313" s="66"/>
      <c r="H313" s="66"/>
      <c r="I313" s="66"/>
      <c r="J313" s="66"/>
      <c r="K313" s="66"/>
    </row>
    <row r="314" spans="2:11" ht="15.75">
      <c r="B314" s="66" t="s">
        <v>1238</v>
      </c>
      <c r="C314" s="112"/>
      <c r="D314" s="66"/>
      <c r="E314" s="69">
        <f>E313/Master!M54</f>
        <v>-1.7509937674829466E-2</v>
      </c>
      <c r="F314" s="66"/>
      <c r="G314" s="66"/>
      <c r="H314" s="66"/>
      <c r="I314" s="66"/>
      <c r="J314" s="66"/>
      <c r="K314" s="66"/>
    </row>
    <row r="315" spans="2:11" ht="15.75">
      <c r="B315" s="66"/>
      <c r="C315" s="72"/>
      <c r="D315" s="66"/>
      <c r="E315" s="66"/>
      <c r="F315" s="66"/>
      <c r="G315" s="66"/>
      <c r="H315" s="66"/>
      <c r="I315" s="66"/>
      <c r="J315" s="66"/>
      <c r="K315" s="66"/>
    </row>
    <row r="316" spans="2:11" ht="15.75">
      <c r="B316" s="66" t="s">
        <v>1239</v>
      </c>
      <c r="C316" s="72"/>
      <c r="D316" s="66"/>
      <c r="E316" s="125">
        <f>0.6*E313</f>
        <v>-856.32</v>
      </c>
      <c r="F316" s="66"/>
      <c r="G316" s="66"/>
      <c r="H316" s="66"/>
      <c r="I316" s="66"/>
      <c r="J316" s="66"/>
      <c r="K316" s="66"/>
    </row>
    <row r="317" spans="2:11" ht="15.75">
      <c r="B317" s="66" t="s">
        <v>1240</v>
      </c>
      <c r="C317" s="214"/>
      <c r="D317" s="66"/>
      <c r="E317" s="125">
        <f>E313-E316</f>
        <v>-570.88</v>
      </c>
      <c r="F317" s="66"/>
      <c r="G317" s="66"/>
      <c r="H317" s="66"/>
      <c r="I317" s="66"/>
      <c r="J317" s="66"/>
      <c r="K317" s="66"/>
    </row>
    <row r="318" spans="2:11" ht="15.75">
      <c r="B318" s="66" t="s">
        <v>1241</v>
      </c>
      <c r="C318" s="66"/>
      <c r="D318" s="66"/>
      <c r="E318" s="69">
        <f>E317/Master!M73</f>
        <v>-1.9024323594786705E-2</v>
      </c>
      <c r="F318" s="66"/>
      <c r="G318" s="66"/>
      <c r="H318" s="66"/>
      <c r="I318" s="66"/>
      <c r="J318" s="66"/>
      <c r="K318" s="66"/>
    </row>
    <row r="319" spans="2:11" ht="15.75">
      <c r="B319" s="66"/>
      <c r="C319" s="66"/>
      <c r="D319" s="66"/>
      <c r="E319" s="66"/>
      <c r="F319" s="66"/>
      <c r="G319" s="66"/>
      <c r="H319" s="66"/>
      <c r="I319" s="66"/>
      <c r="J319" s="66"/>
      <c r="K319" s="66"/>
    </row>
    <row r="320" spans="2:11" ht="15.75">
      <c r="B320" s="66"/>
      <c r="C320" s="66"/>
      <c r="D320" s="66"/>
      <c r="E320" s="66"/>
      <c r="F320" s="66"/>
      <c r="G320" s="66"/>
      <c r="H320" s="66"/>
      <c r="I320" s="66"/>
      <c r="J320" s="66"/>
      <c r="K320" s="66"/>
    </row>
    <row r="321" spans="2:11" ht="15.75">
      <c r="B321" s="74" t="s">
        <v>1245</v>
      </c>
      <c r="C321" s="66"/>
      <c r="D321" s="66"/>
      <c r="E321" s="66"/>
      <c r="F321" s="66"/>
      <c r="G321" s="66"/>
      <c r="H321" s="66"/>
      <c r="I321" s="66"/>
      <c r="J321" s="66"/>
      <c r="K321" s="66"/>
    </row>
    <row r="322" spans="2:11" ht="15.75">
      <c r="B322" s="66"/>
      <c r="C322" s="66"/>
      <c r="D322" s="66"/>
      <c r="E322" s="66"/>
      <c r="F322" s="66"/>
      <c r="G322" s="66"/>
      <c r="H322" s="66"/>
      <c r="I322" s="66"/>
      <c r="J322" s="66"/>
      <c r="K322" s="66"/>
    </row>
    <row r="323" spans="2:11" ht="15.75">
      <c r="B323" s="217" t="s">
        <v>1247</v>
      </c>
      <c r="C323" s="217">
        <v>2013</v>
      </c>
      <c r="D323" s="217">
        <f>C323+1</f>
        <v>2014</v>
      </c>
      <c r="E323" s="217">
        <f>D323+1</f>
        <v>2015</v>
      </c>
      <c r="F323" s="66"/>
      <c r="G323" s="66"/>
      <c r="H323" s="66"/>
      <c r="I323" s="66"/>
      <c r="J323" s="66"/>
      <c r="K323" s="66"/>
    </row>
    <row r="324" spans="2:11" ht="15.75">
      <c r="B324" s="66" t="s">
        <v>653</v>
      </c>
      <c r="C324" s="125">
        <f>Master!L5</f>
        <v>73793.600000000006</v>
      </c>
      <c r="D324" s="125">
        <f>Master!M5</f>
        <v>80118.399999999994</v>
      </c>
      <c r="E324" s="125">
        <f>Master!N5</f>
        <v>88052</v>
      </c>
      <c r="F324" s="66"/>
      <c r="G324" s="66"/>
      <c r="H324" s="66"/>
      <c r="I324" s="66"/>
      <c r="J324" s="66"/>
      <c r="K324" s="66"/>
    </row>
    <row r="325" spans="2:11" ht="15.75">
      <c r="B325" s="66" t="s">
        <v>57</v>
      </c>
      <c r="C325" s="125">
        <f>Master!L13</f>
        <v>28205.576890624998</v>
      </c>
      <c r="D325" s="125">
        <f>Master!M13</f>
        <v>30007.9</v>
      </c>
      <c r="E325" s="125">
        <f>Master!N13</f>
        <v>32375.299999999992</v>
      </c>
      <c r="F325" s="66"/>
      <c r="G325" s="66"/>
      <c r="H325" s="66"/>
      <c r="I325" s="66"/>
      <c r="J325" s="66"/>
      <c r="K325" s="66"/>
    </row>
    <row r="326" spans="2:11" ht="15.75">
      <c r="B326" s="66" t="s">
        <v>201</v>
      </c>
      <c r="C326" s="125">
        <f>Master!L90</f>
        <v>14773.527999999998</v>
      </c>
      <c r="D326" s="125">
        <f>Master!M90</f>
        <v>16944.960999999999</v>
      </c>
      <c r="E326" s="125">
        <f>Master!N90</f>
        <v>25477.698</v>
      </c>
      <c r="F326" s="66"/>
      <c r="G326" s="66"/>
      <c r="H326" s="66"/>
      <c r="I326" s="66"/>
      <c r="J326" s="66"/>
      <c r="K326" s="66"/>
    </row>
    <row r="327" spans="2:11" ht="15.75">
      <c r="B327" s="66" t="s">
        <v>1246</v>
      </c>
      <c r="C327" s="125">
        <f>C325-C326</f>
        <v>13432.048890624999</v>
      </c>
      <c r="D327" s="125">
        <f>D325-D326</f>
        <v>13062.939000000002</v>
      </c>
      <c r="E327" s="125">
        <f>E325-E326</f>
        <v>6897.6019999999917</v>
      </c>
      <c r="F327" s="66"/>
      <c r="G327" s="66"/>
      <c r="H327" s="66"/>
      <c r="I327" s="66"/>
      <c r="J327" s="66"/>
      <c r="K327" s="66"/>
    </row>
    <row r="328" spans="2:11" ht="15.75">
      <c r="B328" s="66"/>
      <c r="C328" s="66"/>
      <c r="D328" s="66"/>
      <c r="E328" s="66"/>
      <c r="F328" s="66"/>
      <c r="G328" s="66"/>
      <c r="H328" s="66"/>
      <c r="I328" s="66"/>
      <c r="J328" s="66"/>
      <c r="K328" s="66"/>
    </row>
    <row r="329" spans="2:11" ht="15.75">
      <c r="B329" s="66" t="s">
        <v>1248</v>
      </c>
      <c r="C329" s="66"/>
      <c r="D329" s="66"/>
      <c r="E329" s="66"/>
      <c r="F329" s="66"/>
      <c r="G329" s="66"/>
      <c r="H329" s="66"/>
      <c r="I329" s="66"/>
      <c r="J329" s="66"/>
      <c r="K329" s="66"/>
    </row>
    <row r="330" spans="2:11" ht="15.75">
      <c r="B330" s="66" t="s">
        <v>653</v>
      </c>
      <c r="C330" s="125">
        <v>74796.3900172391</v>
      </c>
      <c r="D330" s="125">
        <v>78837.38305603074</v>
      </c>
      <c r="E330" s="125">
        <v>85212.996755716857</v>
      </c>
      <c r="F330" s="66"/>
      <c r="G330" s="66"/>
      <c r="H330" s="66"/>
      <c r="I330" s="66"/>
      <c r="J330" s="66"/>
      <c r="K330" s="66"/>
    </row>
    <row r="331" spans="2:11" ht="15.75">
      <c r="B331" s="66" t="s">
        <v>57</v>
      </c>
      <c r="C331" s="125">
        <v>28521.335989399457</v>
      </c>
      <c r="D331" s="125">
        <v>30064.277176346146</v>
      </c>
      <c r="E331" s="125">
        <v>32268.006798440932</v>
      </c>
      <c r="F331" s="66"/>
      <c r="G331" s="66"/>
      <c r="H331" s="66"/>
      <c r="I331" s="66"/>
      <c r="J331" s="66"/>
      <c r="K331" s="66"/>
    </row>
    <row r="332" spans="2:11" ht="15.75">
      <c r="B332" s="66" t="s">
        <v>201</v>
      </c>
      <c r="C332" s="125">
        <v>12780.714648999809</v>
      </c>
      <c r="D332" s="125">
        <v>11819.466754577512</v>
      </c>
      <c r="E332" s="125">
        <v>10803.268334036376</v>
      </c>
      <c r="F332" s="66"/>
      <c r="G332" s="66"/>
      <c r="H332" s="66"/>
      <c r="I332" s="66"/>
      <c r="J332" s="66"/>
      <c r="K332" s="66"/>
    </row>
    <row r="333" spans="2:11" ht="15.75">
      <c r="B333" s="66" t="s">
        <v>1246</v>
      </c>
      <c r="C333" s="125">
        <f>C331-C332</f>
        <v>15740.621340399648</v>
      </c>
      <c r="D333" s="125">
        <f>D331-D332</f>
        <v>18244.810421768634</v>
      </c>
      <c r="E333" s="125">
        <f>E331-E332</f>
        <v>21464.738464404556</v>
      </c>
      <c r="F333" s="66"/>
      <c r="G333" s="66"/>
      <c r="H333" s="66"/>
      <c r="I333" s="66"/>
      <c r="J333" s="66"/>
      <c r="K333" s="66"/>
    </row>
    <row r="334" spans="2:11" ht="15.75">
      <c r="B334" s="66"/>
      <c r="C334" s="66"/>
      <c r="D334" s="66"/>
      <c r="E334" s="66"/>
      <c r="F334" s="66"/>
      <c r="G334" s="66"/>
      <c r="H334" s="66"/>
      <c r="I334" s="66"/>
      <c r="J334" s="66"/>
      <c r="K334" s="66"/>
    </row>
    <row r="335" spans="2:11" ht="15.75">
      <c r="B335" s="66" t="s">
        <v>264</v>
      </c>
      <c r="C335" s="66"/>
      <c r="D335" s="66"/>
      <c r="E335" s="66"/>
      <c r="F335" s="66"/>
      <c r="G335" s="66"/>
      <c r="H335" s="66"/>
      <c r="I335" s="66"/>
      <c r="J335" s="66"/>
      <c r="K335" s="66"/>
    </row>
    <row r="336" spans="2:11" ht="15.75">
      <c r="B336" s="66" t="s">
        <v>653</v>
      </c>
      <c r="C336" s="116">
        <f t="shared" ref="C336:E339" si="38">C324/C330-1</f>
        <v>-1.3406930695558539E-2</v>
      </c>
      <c r="D336" s="116">
        <f t="shared" si="38"/>
        <v>1.6248851678128728E-2</v>
      </c>
      <c r="E336" s="116">
        <f t="shared" si="38"/>
        <v>3.3316552079746931E-2</v>
      </c>
      <c r="F336" s="66"/>
      <c r="G336" s="66"/>
      <c r="H336" s="66"/>
      <c r="I336" s="66"/>
      <c r="J336" s="66"/>
      <c r="K336" s="66"/>
    </row>
    <row r="337" spans="2:11" ht="15.75">
      <c r="B337" s="66" t="s">
        <v>57</v>
      </c>
      <c r="C337" s="116">
        <f t="shared" si="38"/>
        <v>-1.1070978543635479E-2</v>
      </c>
      <c r="D337" s="116">
        <f t="shared" si="38"/>
        <v>-1.8752214136217304E-3</v>
      </c>
      <c r="E337" s="116">
        <f t="shared" si="38"/>
        <v>3.3250644277242891E-3</v>
      </c>
      <c r="F337" s="66"/>
      <c r="G337" s="66"/>
      <c r="H337" s="66"/>
      <c r="I337" s="66"/>
      <c r="J337" s="66"/>
      <c r="K337" s="66"/>
    </row>
    <row r="338" spans="2:11" ht="15.75">
      <c r="B338" s="66" t="s">
        <v>201</v>
      </c>
      <c r="C338" s="116">
        <f t="shared" si="38"/>
        <v>0.15592346795381617</v>
      </c>
      <c r="D338" s="116">
        <f t="shared" si="38"/>
        <v>0.43364851831724605</v>
      </c>
      <c r="E338" s="116">
        <f t="shared" si="38"/>
        <v>1.3583324242471058</v>
      </c>
      <c r="F338" s="66"/>
      <c r="G338" s="66"/>
      <c r="H338" s="66"/>
      <c r="I338" s="66"/>
      <c r="J338" s="66"/>
      <c r="K338" s="66"/>
    </row>
    <row r="339" spans="2:11" ht="15.75">
      <c r="B339" s="66" t="s">
        <v>1246</v>
      </c>
      <c r="C339" s="116">
        <f t="shared" si="38"/>
        <v>-0.14666336225556109</v>
      </c>
      <c r="D339" s="116">
        <f t="shared" si="38"/>
        <v>-0.28401892384619831</v>
      </c>
      <c r="E339" s="116">
        <f t="shared" si="38"/>
        <v>-0.67865427238079623</v>
      </c>
      <c r="F339" s="66"/>
      <c r="G339" s="66"/>
      <c r="H339" s="66"/>
      <c r="I339" s="66"/>
      <c r="J339" s="66"/>
      <c r="K339" s="66"/>
    </row>
    <row r="340" spans="2:11" ht="15.75">
      <c r="B340" s="66"/>
      <c r="C340" s="66"/>
      <c r="D340" s="66"/>
      <c r="E340" s="66"/>
      <c r="F340" s="66"/>
      <c r="G340" s="66"/>
      <c r="H340" s="66"/>
      <c r="I340" s="66"/>
      <c r="J340" s="66"/>
      <c r="K340" s="66"/>
    </row>
    <row r="341" spans="2:11" ht="15.75">
      <c r="B341" s="217" t="s">
        <v>1287</v>
      </c>
      <c r="C341" s="217">
        <f>C323</f>
        <v>2013</v>
      </c>
      <c r="D341" s="217">
        <f>D323</f>
        <v>2014</v>
      </c>
      <c r="E341" s="217">
        <f>E323</f>
        <v>2015</v>
      </c>
      <c r="F341" s="66"/>
      <c r="G341" s="66"/>
      <c r="H341" s="66"/>
      <c r="I341" s="66"/>
      <c r="J341" s="66"/>
      <c r="K341" s="66"/>
    </row>
    <row r="342" spans="2:11" ht="15.75">
      <c r="B342" s="66" t="s">
        <v>653</v>
      </c>
      <c r="C342" s="125">
        <f>Master!L5</f>
        <v>73793.600000000006</v>
      </c>
      <c r="D342" s="125">
        <f>Master!M5</f>
        <v>80118.399999999994</v>
      </c>
      <c r="E342" s="125">
        <f>Master!N5</f>
        <v>88052</v>
      </c>
      <c r="F342" s="66"/>
      <c r="G342" s="66"/>
      <c r="H342" s="66"/>
      <c r="I342" s="66"/>
      <c r="J342" s="66"/>
      <c r="K342" s="66"/>
    </row>
    <row r="343" spans="2:11" ht="15.75">
      <c r="B343" s="66" t="s">
        <v>57</v>
      </c>
      <c r="C343" s="125">
        <f>Master!L13</f>
        <v>28205.576890624998</v>
      </c>
      <c r="D343" s="125">
        <f>Master!M13</f>
        <v>30007.9</v>
      </c>
      <c r="E343" s="125">
        <f>Master!N13</f>
        <v>32375.299999999992</v>
      </c>
      <c r="F343" s="66"/>
      <c r="G343" s="66"/>
      <c r="H343" s="66"/>
      <c r="I343" s="66"/>
      <c r="J343" s="66"/>
      <c r="K343" s="66"/>
    </row>
    <row r="344" spans="2:11" ht="15.75">
      <c r="B344" s="66" t="s">
        <v>201</v>
      </c>
      <c r="C344" s="125">
        <f>Master!L90</f>
        <v>14773.527999999998</v>
      </c>
      <c r="D344" s="125">
        <f>Master!M90</f>
        <v>16944.960999999999</v>
      </c>
      <c r="E344" s="125">
        <f>Master!N90</f>
        <v>25477.698</v>
      </c>
      <c r="F344" s="66"/>
      <c r="G344" s="66"/>
      <c r="H344" s="66"/>
      <c r="I344" s="66"/>
      <c r="J344" s="66"/>
      <c r="K344" s="66"/>
    </row>
    <row r="345" spans="2:11" ht="15.75">
      <c r="B345" s="66" t="s">
        <v>1246</v>
      </c>
      <c r="C345" s="125">
        <f>C343-C344</f>
        <v>13432.048890624999</v>
      </c>
      <c r="D345" s="125">
        <f>D343-D344</f>
        <v>13062.939000000002</v>
      </c>
      <c r="E345" s="125">
        <f>E343-E344</f>
        <v>6897.6019999999917</v>
      </c>
      <c r="F345" s="66"/>
      <c r="G345" s="66"/>
      <c r="H345" s="66"/>
      <c r="I345" s="66"/>
      <c r="J345" s="66"/>
      <c r="K345" s="66"/>
    </row>
    <row r="346" spans="2:11" ht="15.75">
      <c r="B346" s="66"/>
      <c r="C346" s="66"/>
      <c r="D346" s="66"/>
      <c r="E346" s="66"/>
      <c r="F346" s="66"/>
      <c r="G346" s="66"/>
      <c r="H346" s="66"/>
      <c r="I346" s="66"/>
      <c r="J346" s="66"/>
      <c r="K346" s="66"/>
    </row>
    <row r="347" spans="2:11" ht="15.75">
      <c r="B347" s="66" t="s">
        <v>1248</v>
      </c>
      <c r="C347" s="66"/>
      <c r="D347" s="66"/>
      <c r="E347" s="66"/>
      <c r="F347" s="66"/>
      <c r="G347" s="66"/>
      <c r="H347" s="66"/>
      <c r="I347" s="66"/>
      <c r="J347" s="66"/>
      <c r="K347" s="66"/>
    </row>
    <row r="348" spans="2:11" ht="15.75">
      <c r="B348" s="66" t="s">
        <v>653</v>
      </c>
      <c r="C348" s="125">
        <v>73843.22788154961</v>
      </c>
      <c r="D348" s="125">
        <v>77553.659913962314</v>
      </c>
      <c r="E348" s="125">
        <v>83990.632000253638</v>
      </c>
      <c r="F348" s="66"/>
      <c r="G348" s="66"/>
      <c r="H348" s="66"/>
      <c r="I348" s="66"/>
      <c r="J348" s="66"/>
      <c r="K348" s="66"/>
    </row>
    <row r="349" spans="2:11" ht="15.75">
      <c r="B349" s="66" t="s">
        <v>57</v>
      </c>
      <c r="C349" s="125">
        <v>28209.765111564215</v>
      </c>
      <c r="D349" s="125">
        <v>29623.237487129179</v>
      </c>
      <c r="E349" s="125">
        <v>31938.980516344003</v>
      </c>
      <c r="F349" s="66"/>
      <c r="G349" s="66"/>
      <c r="H349" s="66"/>
      <c r="I349" s="66"/>
      <c r="J349" s="66"/>
      <c r="K349" s="66"/>
    </row>
    <row r="350" spans="2:11" ht="15.75">
      <c r="B350" s="66" t="s">
        <v>201</v>
      </c>
      <c r="C350" s="125">
        <v>12401.226332695038</v>
      </c>
      <c r="D350" s="125">
        <v>11483.875266287725</v>
      </c>
      <c r="E350" s="125">
        <v>10590.814147921705</v>
      </c>
      <c r="F350" s="66"/>
      <c r="G350" s="66"/>
      <c r="H350" s="66"/>
      <c r="I350" s="66"/>
      <c r="J350" s="66"/>
      <c r="K350" s="66"/>
    </row>
    <row r="351" spans="2:11" ht="15.75">
      <c r="B351" s="66" t="s">
        <v>1246</v>
      </c>
      <c r="C351" s="125">
        <f>C349-C350</f>
        <v>15808.538778869177</v>
      </c>
      <c r="D351" s="125">
        <f>D349-D350</f>
        <v>18139.362220841453</v>
      </c>
      <c r="E351" s="125">
        <f>E349-E350</f>
        <v>21348.166368422299</v>
      </c>
      <c r="F351" s="66"/>
      <c r="G351" s="66"/>
      <c r="H351" s="66"/>
      <c r="I351" s="66"/>
      <c r="J351" s="66"/>
      <c r="K351" s="66"/>
    </row>
    <row r="352" spans="2:11" ht="15.75">
      <c r="B352" s="66"/>
      <c r="C352" s="66"/>
      <c r="D352" s="66"/>
      <c r="E352" s="66"/>
      <c r="F352" s="66"/>
      <c r="G352" s="66"/>
      <c r="H352" s="66"/>
      <c r="I352" s="66"/>
      <c r="J352" s="66"/>
      <c r="K352" s="66"/>
    </row>
    <row r="353" spans="2:11" ht="15.75">
      <c r="B353" s="217" t="s">
        <v>264</v>
      </c>
      <c r="C353" s="217">
        <f>C341</f>
        <v>2013</v>
      </c>
      <c r="D353" s="217">
        <f>D341</f>
        <v>2014</v>
      </c>
      <c r="E353" s="217">
        <f>E341</f>
        <v>2015</v>
      </c>
      <c r="F353" s="66"/>
      <c r="G353" s="66"/>
      <c r="H353" s="66"/>
      <c r="I353" s="66"/>
      <c r="J353" s="66"/>
      <c r="K353" s="66"/>
    </row>
    <row r="354" spans="2:11" ht="15.75">
      <c r="B354" s="66" t="s">
        <v>653</v>
      </c>
      <c r="C354" s="116">
        <f t="shared" ref="C354:E357" si="39">C342/C348-1</f>
        <v>-6.7207085840303993E-4</v>
      </c>
      <c r="D354" s="116">
        <f t="shared" si="39"/>
        <v>3.3070522898377641E-2</v>
      </c>
      <c r="E354" s="116">
        <f t="shared" si="39"/>
        <v>4.8355011779576795E-2</v>
      </c>
      <c r="F354" s="66"/>
      <c r="G354" s="66"/>
      <c r="H354" s="66"/>
      <c r="I354" s="66"/>
      <c r="J354" s="66"/>
      <c r="K354" s="66"/>
    </row>
    <row r="355" spans="2:11" ht="15.75">
      <c r="B355" s="66" t="s">
        <v>57</v>
      </c>
      <c r="C355" s="116">
        <f t="shared" si="39"/>
        <v>-1.4846706176574465E-4</v>
      </c>
      <c r="D355" s="116">
        <f t="shared" si="39"/>
        <v>1.2985161160658176E-2</v>
      </c>
      <c r="E355" s="116">
        <f t="shared" si="39"/>
        <v>1.3661033527125666E-2</v>
      </c>
      <c r="F355" s="66"/>
      <c r="G355" s="66"/>
      <c r="H355" s="66"/>
      <c r="I355" s="66"/>
      <c r="J355" s="66"/>
      <c r="K355" s="66"/>
    </row>
    <row r="356" spans="2:11" ht="15.75">
      <c r="B356" s="66" t="s">
        <v>201</v>
      </c>
      <c r="C356" s="116">
        <f t="shared" si="39"/>
        <v>0.19129573186246418</v>
      </c>
      <c r="D356" s="116">
        <f t="shared" si="39"/>
        <v>0.47554380442845257</v>
      </c>
      <c r="E356" s="116">
        <f t="shared" si="39"/>
        <v>1.4056411191956979</v>
      </c>
      <c r="F356" s="66"/>
      <c r="G356" s="66"/>
      <c r="H356" s="66"/>
      <c r="I356" s="66"/>
      <c r="J356" s="66"/>
      <c r="K356" s="66"/>
    </row>
    <row r="357" spans="2:11" ht="15.75">
      <c r="B357" s="66" t="s">
        <v>1246</v>
      </c>
      <c r="C357" s="116">
        <f t="shared" si="39"/>
        <v>-0.15032950998739769</v>
      </c>
      <c r="D357" s="116">
        <f t="shared" si="39"/>
        <v>-0.27985676447922903</v>
      </c>
      <c r="E357" s="116">
        <f t="shared" si="39"/>
        <v>-0.67689955750940922</v>
      </c>
      <c r="F357" s="66"/>
      <c r="G357" s="66"/>
      <c r="H357" s="66"/>
      <c r="I357" s="66"/>
      <c r="J357" s="66"/>
      <c r="K357" s="66"/>
    </row>
    <row r="358" spans="2:11" ht="15.75">
      <c r="B358" s="66"/>
      <c r="C358" s="66"/>
      <c r="D358" s="66"/>
      <c r="E358" s="66"/>
      <c r="F358" s="66"/>
      <c r="G358" s="66"/>
      <c r="H358" s="66"/>
      <c r="I358" s="66"/>
      <c r="J358" s="66"/>
      <c r="K358" s="66"/>
    </row>
    <row r="359" spans="2:11" ht="15.75">
      <c r="B359" s="74" t="s">
        <v>1511</v>
      </c>
      <c r="C359" s="66"/>
      <c r="D359" s="66"/>
      <c r="E359" s="66"/>
      <c r="F359" s="66"/>
      <c r="G359" s="66"/>
      <c r="H359" s="66"/>
      <c r="I359" s="66"/>
      <c r="J359" s="66"/>
      <c r="K359" s="66"/>
    </row>
    <row r="360" spans="2:11" ht="15.75">
      <c r="B360" s="66"/>
      <c r="C360" s="66"/>
      <c r="D360" s="66"/>
      <c r="E360" s="66"/>
      <c r="F360" s="66"/>
      <c r="G360" s="66"/>
      <c r="H360" s="66"/>
      <c r="I360" s="66"/>
      <c r="J360" s="66"/>
      <c r="K360" s="66"/>
    </row>
    <row r="361" spans="2:11" ht="15.75">
      <c r="B361" s="66" t="s">
        <v>1512</v>
      </c>
      <c r="C361" s="66">
        <v>1200</v>
      </c>
      <c r="D361" s="66"/>
      <c r="E361" s="66"/>
      <c r="F361" s="66"/>
      <c r="G361" s="66"/>
      <c r="H361" s="66"/>
      <c r="I361" s="66"/>
      <c r="J361" s="66"/>
      <c r="K361" s="66"/>
    </row>
    <row r="362" spans="2:11" ht="15.75">
      <c r="B362" s="141" t="s">
        <v>1513</v>
      </c>
      <c r="C362" s="66">
        <f>0.7*C361</f>
        <v>840</v>
      </c>
      <c r="D362" s="66"/>
      <c r="E362" s="66"/>
      <c r="F362" s="66"/>
      <c r="G362" s="66"/>
      <c r="H362" s="66"/>
      <c r="I362" s="66"/>
      <c r="J362" s="66"/>
      <c r="K362" s="66"/>
    </row>
    <row r="363" spans="2:11" ht="15.75">
      <c r="B363" s="141" t="s">
        <v>1514</v>
      </c>
      <c r="C363" s="66">
        <f>(C361-C362)/2</f>
        <v>180</v>
      </c>
      <c r="D363" s="66"/>
      <c r="E363" s="66"/>
      <c r="F363" s="66"/>
      <c r="G363" s="66"/>
      <c r="H363" s="66"/>
      <c r="I363" s="66"/>
      <c r="J363" s="66"/>
      <c r="K363" s="66"/>
    </row>
    <row r="364" spans="2:11" ht="15.75">
      <c r="B364" s="141" t="s">
        <v>1515</v>
      </c>
      <c r="C364" s="66">
        <f>C363</f>
        <v>180</v>
      </c>
      <c r="D364" s="66"/>
      <c r="E364" s="66"/>
      <c r="F364" s="66"/>
      <c r="G364" s="66"/>
      <c r="H364" s="66"/>
      <c r="I364" s="66"/>
      <c r="J364" s="66"/>
      <c r="K364" s="66"/>
    </row>
    <row r="365" spans="2:11" ht="15.75">
      <c r="C365" s="66"/>
      <c r="D365" s="66"/>
      <c r="E365" s="66"/>
      <c r="F365" s="66"/>
      <c r="G365" s="66"/>
      <c r="H365" s="66"/>
      <c r="I365" s="66"/>
      <c r="J365" s="66"/>
      <c r="K365" s="66"/>
    </row>
    <row r="366" spans="2:11" ht="15.75">
      <c r="B366" s="66" t="s">
        <v>1516</v>
      </c>
      <c r="C366" s="66">
        <v>3900</v>
      </c>
      <c r="D366" s="66">
        <f>C366/C$383</f>
        <v>293.0127723516153</v>
      </c>
      <c r="E366" s="66"/>
      <c r="F366" s="66"/>
      <c r="G366" s="66"/>
      <c r="H366" s="66"/>
      <c r="I366" s="66"/>
      <c r="J366" s="66"/>
      <c r="K366" s="66"/>
    </row>
    <row r="367" spans="2:11" ht="15.75">
      <c r="B367" s="66" t="s">
        <v>1517</v>
      </c>
      <c r="C367" s="66">
        <v>1600</v>
      </c>
      <c r="D367" s="71">
        <f>C367/C$383</f>
        <v>120.21036814425244</v>
      </c>
      <c r="E367" s="66"/>
      <c r="F367" s="66"/>
      <c r="G367" s="66"/>
      <c r="H367" s="66"/>
      <c r="I367" s="66"/>
      <c r="J367" s="66"/>
      <c r="K367" s="66"/>
    </row>
    <row r="368" spans="2:11" ht="15.75">
      <c r="B368" s="66"/>
      <c r="C368" s="66"/>
      <c r="D368" s="66"/>
      <c r="E368" s="66"/>
      <c r="F368" s="66"/>
      <c r="G368" s="66"/>
      <c r="H368" s="66"/>
      <c r="I368" s="66"/>
      <c r="J368" s="66"/>
      <c r="K368" s="66"/>
    </row>
    <row r="369" spans="2:11" ht="15.75">
      <c r="B369" s="67"/>
      <c r="C369" s="67"/>
      <c r="D369" s="68" t="s">
        <v>1250</v>
      </c>
      <c r="E369" s="66"/>
      <c r="F369" s="66"/>
      <c r="G369" s="66"/>
      <c r="H369" s="66"/>
      <c r="I369" s="66"/>
      <c r="J369" s="66"/>
      <c r="K369" s="66"/>
    </row>
    <row r="370" spans="2:11" ht="15.75">
      <c r="B370" s="66" t="s">
        <v>1518</v>
      </c>
      <c r="C370" s="69">
        <v>0.95</v>
      </c>
      <c r="D370" s="66">
        <v>7000</v>
      </c>
      <c r="E370" s="66"/>
      <c r="F370" s="66"/>
      <c r="G370" s="66"/>
      <c r="H370" s="66"/>
      <c r="I370" s="66"/>
      <c r="J370" s="66"/>
      <c r="K370" s="66"/>
    </row>
    <row r="371" spans="2:11" ht="15.75">
      <c r="B371" s="66" t="s">
        <v>1519</v>
      </c>
      <c r="C371" s="69">
        <v>0.51</v>
      </c>
      <c r="D371" s="66"/>
      <c r="E371" s="66"/>
      <c r="F371" s="66"/>
      <c r="G371" s="66"/>
      <c r="H371" s="66"/>
      <c r="I371" s="66"/>
      <c r="J371" s="66"/>
      <c r="K371" s="66"/>
    </row>
    <row r="372" spans="2:11" ht="15.75">
      <c r="B372" s="66" t="s">
        <v>1520</v>
      </c>
      <c r="C372" s="69"/>
      <c r="D372" s="71">
        <f>D370/C370/C371</f>
        <v>14447.884416924664</v>
      </c>
      <c r="E372" s="66"/>
      <c r="F372" s="71">
        <f>D372/C383</f>
        <v>1085.4909404150762</v>
      </c>
      <c r="G372" s="66"/>
      <c r="H372" s="66"/>
      <c r="I372" s="66"/>
      <c r="J372" s="66"/>
      <c r="K372" s="66"/>
    </row>
    <row r="373" spans="2:11" ht="15.75">
      <c r="B373" s="66" t="s">
        <v>1521</v>
      </c>
      <c r="C373" s="66"/>
      <c r="D373" s="112">
        <f>D372/C367</f>
        <v>9.0299277605779142</v>
      </c>
      <c r="E373" s="66"/>
      <c r="F373" s="66"/>
      <c r="G373" s="66"/>
      <c r="H373" s="66"/>
      <c r="I373" s="66"/>
      <c r="J373" s="66"/>
      <c r="K373" s="66"/>
    </row>
    <row r="374" spans="2:11" ht="15.75">
      <c r="B374" s="66"/>
      <c r="C374" s="66"/>
      <c r="D374" s="66"/>
      <c r="E374" s="66"/>
      <c r="F374" s="66"/>
      <c r="G374" s="66"/>
      <c r="H374" s="66"/>
      <c r="I374" s="66"/>
      <c r="J374" s="66"/>
      <c r="K374" s="66"/>
    </row>
    <row r="375" spans="2:11" ht="15.75">
      <c r="B375" s="66" t="s">
        <v>1522</v>
      </c>
      <c r="C375" s="66"/>
      <c r="D375" s="66"/>
      <c r="E375" s="66"/>
      <c r="F375" s="66"/>
      <c r="G375" s="66"/>
      <c r="H375" s="66"/>
      <c r="I375" s="66"/>
      <c r="J375" s="66"/>
      <c r="K375" s="66"/>
    </row>
    <row r="376" spans="2:11" ht="15.75">
      <c r="B376" s="66"/>
      <c r="C376" s="66"/>
      <c r="D376" s="66"/>
      <c r="E376" s="66"/>
      <c r="F376" s="66"/>
      <c r="G376" s="66"/>
      <c r="H376" s="66"/>
      <c r="I376" s="66"/>
      <c r="J376" s="66"/>
      <c r="K376" s="66"/>
    </row>
    <row r="377" spans="2:11" ht="15.75">
      <c r="B377" s="67"/>
      <c r="C377" s="67">
        <v>2014</v>
      </c>
      <c r="D377" s="66"/>
      <c r="E377" s="66"/>
      <c r="F377" s="66"/>
      <c r="G377" s="66"/>
      <c r="H377" s="66"/>
      <c r="I377" s="66"/>
      <c r="J377" s="66"/>
      <c r="K377" s="66"/>
    </row>
    <row r="378" spans="2:11" ht="15.75">
      <c r="B378" s="66" t="s">
        <v>1523</v>
      </c>
      <c r="C378" s="71">
        <f>Valuation!J15</f>
        <v>3043.3508640120212</v>
      </c>
      <c r="D378" s="66"/>
      <c r="E378" s="66"/>
      <c r="F378" s="66"/>
      <c r="G378" s="66"/>
      <c r="H378" s="66"/>
      <c r="I378" s="66"/>
      <c r="J378" s="66"/>
      <c r="K378" s="66"/>
    </row>
    <row r="379" spans="2:11" ht="15.75">
      <c r="B379" s="66" t="s">
        <v>1549</v>
      </c>
      <c r="C379" s="71"/>
      <c r="D379" s="66"/>
      <c r="E379" s="66"/>
      <c r="F379" s="66"/>
      <c r="G379" s="66"/>
      <c r="H379" s="66"/>
      <c r="I379" s="66"/>
      <c r="J379" s="66"/>
      <c r="K379" s="66"/>
    </row>
    <row r="380" spans="2:11" ht="15.75">
      <c r="B380" s="66"/>
      <c r="C380" s="71"/>
      <c r="D380" s="66"/>
      <c r="E380" s="66"/>
      <c r="F380" s="66"/>
      <c r="G380" s="66"/>
      <c r="H380" s="66"/>
      <c r="I380" s="66"/>
      <c r="J380" s="66"/>
      <c r="K380" s="66"/>
    </row>
    <row r="381" spans="2:11" ht="15.75">
      <c r="B381" s="70" t="s">
        <v>1529</v>
      </c>
      <c r="C381" s="66"/>
      <c r="D381" s="66"/>
      <c r="E381" s="66"/>
      <c r="F381" s="66"/>
      <c r="G381" s="66"/>
      <c r="H381" s="66"/>
      <c r="I381" s="66"/>
      <c r="J381" s="66"/>
      <c r="K381" s="66"/>
    </row>
    <row r="382" spans="2:11" ht="15.75">
      <c r="B382" s="141" t="s">
        <v>1530</v>
      </c>
      <c r="C382" s="71">
        <f>9.3*C367*0.49*0.95</f>
        <v>6926.64</v>
      </c>
      <c r="D382" s="66"/>
      <c r="E382" s="66"/>
      <c r="F382" s="66"/>
      <c r="G382" s="66"/>
      <c r="H382" s="66"/>
      <c r="I382" s="66"/>
      <c r="J382" s="66"/>
      <c r="K382" s="66"/>
    </row>
    <row r="383" spans="2:11" ht="15.75">
      <c r="B383" s="66" t="s">
        <v>1524</v>
      </c>
      <c r="C383" s="66">
        <f>Master!M92</f>
        <v>13.31</v>
      </c>
      <c r="D383" s="66"/>
      <c r="E383" s="66"/>
      <c r="F383" s="66"/>
      <c r="G383" s="66"/>
      <c r="H383" s="66"/>
      <c r="I383" s="66"/>
      <c r="J383" s="66"/>
      <c r="K383" s="66"/>
    </row>
    <row r="384" spans="2:11" ht="15.75">
      <c r="B384" s="67" t="s">
        <v>1525</v>
      </c>
      <c r="C384" s="76">
        <f>C382/C383</f>
        <v>520.40871525169041</v>
      </c>
      <c r="D384" s="66"/>
      <c r="E384" s="66"/>
      <c r="F384" s="66"/>
      <c r="G384" s="66"/>
      <c r="H384" s="66"/>
      <c r="I384" s="66"/>
      <c r="J384" s="66"/>
      <c r="K384" s="66"/>
    </row>
    <row r="385" spans="2:11" ht="15.75">
      <c r="B385" s="66" t="s">
        <v>912</v>
      </c>
      <c r="C385" s="71">
        <f>C378+C384</f>
        <v>3563.7595792637117</v>
      </c>
      <c r="D385" s="66"/>
      <c r="E385" s="66"/>
      <c r="F385" s="66"/>
      <c r="G385" s="66"/>
      <c r="H385" s="66"/>
      <c r="I385" s="66"/>
      <c r="J385" s="66"/>
      <c r="K385" s="66"/>
    </row>
    <row r="386" spans="2:11" ht="15.75">
      <c r="D386" s="66"/>
      <c r="E386" s="66"/>
      <c r="F386" s="66"/>
      <c r="G386" s="66"/>
      <c r="H386" s="66"/>
      <c r="I386" s="66"/>
      <c r="J386" s="66"/>
      <c r="K386" s="66"/>
    </row>
    <row r="387" spans="2:11" ht="15.75">
      <c r="B387" s="66" t="s">
        <v>1526</v>
      </c>
      <c r="C387" s="125">
        <f>Valuation!J24</f>
        <v>2254.5379413974456</v>
      </c>
      <c r="D387" s="66"/>
      <c r="E387" s="66"/>
      <c r="F387" s="66"/>
      <c r="G387" s="66"/>
      <c r="H387" s="66"/>
      <c r="I387" s="66"/>
      <c r="J387" s="66"/>
      <c r="K387" s="66"/>
    </row>
    <row r="388" spans="2:11" ht="15.75">
      <c r="B388" s="66" t="s">
        <v>1527</v>
      </c>
      <c r="C388" s="71">
        <f>C367/C383</f>
        <v>120.21036814425244</v>
      </c>
      <c r="D388" s="66"/>
      <c r="E388" s="66"/>
      <c r="F388" s="66"/>
      <c r="G388" s="66"/>
      <c r="H388" s="66"/>
      <c r="I388" s="66"/>
      <c r="J388" s="66"/>
      <c r="K388" s="66"/>
    </row>
    <row r="389" spans="2:11" ht="15.75">
      <c r="B389" s="66" t="s">
        <v>913</v>
      </c>
      <c r="C389" s="125">
        <f>C387+C388</f>
        <v>2374.7483095416978</v>
      </c>
      <c r="D389" s="66"/>
      <c r="E389" s="66"/>
      <c r="F389" s="66"/>
      <c r="G389" s="66"/>
      <c r="H389" s="66"/>
      <c r="I389" s="66"/>
      <c r="J389" s="66"/>
      <c r="K389" s="66"/>
    </row>
    <row r="390" spans="2:11" ht="15.75">
      <c r="B390" s="66"/>
      <c r="C390" s="66"/>
      <c r="D390" s="66"/>
      <c r="E390" s="66"/>
      <c r="F390" s="66"/>
      <c r="G390" s="66"/>
      <c r="H390" s="66"/>
      <c r="I390" s="66"/>
      <c r="J390" s="66"/>
      <c r="K390" s="66"/>
    </row>
    <row r="391" spans="2:11" ht="15.75">
      <c r="B391" s="66" t="s">
        <v>1528</v>
      </c>
      <c r="C391" s="214">
        <f>Valuation!J53</f>
        <v>1.3498778654954198</v>
      </c>
      <c r="D391" s="66"/>
      <c r="E391" s="66"/>
      <c r="F391" s="66"/>
      <c r="G391" s="66"/>
      <c r="H391" s="66"/>
      <c r="I391" s="66"/>
      <c r="J391" s="66"/>
      <c r="K391" s="66"/>
    </row>
    <row r="392" spans="2:11" ht="15.75">
      <c r="B392" s="66" t="s">
        <v>852</v>
      </c>
      <c r="C392" s="214">
        <f>C385/C389</f>
        <v>1.5006893846158715</v>
      </c>
      <c r="D392" s="66"/>
      <c r="E392" s="66"/>
      <c r="F392" s="66"/>
      <c r="G392" s="66"/>
      <c r="H392" s="66"/>
      <c r="I392" s="66"/>
      <c r="J392" s="66"/>
      <c r="K392" s="66"/>
    </row>
    <row r="393" spans="2:11" ht="15.75">
      <c r="B393" s="66"/>
      <c r="C393" s="66"/>
      <c r="D393" s="66"/>
      <c r="E393" s="66"/>
      <c r="F393" s="66"/>
      <c r="G393" s="66"/>
      <c r="H393" s="66"/>
      <c r="I393" s="66"/>
      <c r="J393" s="66"/>
      <c r="K393" s="66"/>
    </row>
    <row r="394" spans="2:11" ht="15.75">
      <c r="B394" s="66" t="s">
        <v>1841</v>
      </c>
      <c r="C394" s="66"/>
      <c r="D394" s="66"/>
      <c r="E394" s="66"/>
      <c r="F394" s="66"/>
      <c r="G394" s="66"/>
      <c r="H394" s="66"/>
      <c r="I394" s="66"/>
      <c r="J394" s="66"/>
      <c r="K394" s="66"/>
    </row>
    <row r="395" spans="2:11" ht="15.75">
      <c r="B395" s="66" t="s">
        <v>1842</v>
      </c>
      <c r="C395" s="66">
        <f>D370</f>
        <v>7000</v>
      </c>
      <c r="D395" s="66"/>
      <c r="E395" s="66"/>
      <c r="F395" s="66"/>
      <c r="G395" s="66"/>
      <c r="H395" s="66"/>
      <c r="I395" s="66"/>
      <c r="J395" s="66"/>
      <c r="K395" s="66"/>
    </row>
    <row r="396" spans="2:11" ht="15.75">
      <c r="B396" s="67" t="s">
        <v>1843</v>
      </c>
      <c r="C396" s="67">
        <v>8550</v>
      </c>
      <c r="D396" s="66"/>
      <c r="E396" s="66"/>
      <c r="F396" s="66"/>
      <c r="G396" s="66"/>
      <c r="H396" s="66"/>
      <c r="I396" s="66"/>
      <c r="J396" s="66"/>
      <c r="K396" s="66"/>
    </row>
    <row r="397" spans="2:11" ht="15.75">
      <c r="B397" s="66" t="s">
        <v>1844</v>
      </c>
      <c r="C397" s="66">
        <f>SUM(C395:C396)</f>
        <v>15550</v>
      </c>
      <c r="D397" s="66"/>
      <c r="E397" s="66"/>
      <c r="F397" s="66"/>
      <c r="G397" s="66"/>
      <c r="H397" s="66"/>
      <c r="I397" s="66"/>
      <c r="J397" s="66"/>
      <c r="K397" s="66"/>
    </row>
    <row r="398" spans="2:11" ht="15.75">
      <c r="B398" s="66"/>
      <c r="C398" s="66"/>
      <c r="D398" s="66"/>
      <c r="E398" s="66"/>
      <c r="F398" s="66"/>
      <c r="G398" s="66"/>
      <c r="H398" s="66"/>
      <c r="I398" s="66"/>
      <c r="J398" s="66"/>
      <c r="K398" s="66"/>
    </row>
    <row r="399" spans="2:11" ht="15.75">
      <c r="B399" s="61"/>
      <c r="C399" s="67">
        <v>2014</v>
      </c>
      <c r="D399" s="66"/>
      <c r="E399" s="66"/>
      <c r="F399" s="66"/>
      <c r="G399" s="66"/>
      <c r="H399" s="66"/>
      <c r="I399" s="66"/>
      <c r="J399" s="66"/>
      <c r="K399" s="66"/>
    </row>
    <row r="400" spans="2:11" ht="15.75">
      <c r="B400" s="66" t="s">
        <v>57</v>
      </c>
      <c r="C400" s="66">
        <v>1600</v>
      </c>
      <c r="D400" s="125"/>
      <c r="E400" s="66"/>
      <c r="F400" s="66"/>
      <c r="G400" s="66"/>
      <c r="H400" s="66"/>
      <c r="I400" s="66"/>
      <c r="J400" s="66"/>
      <c r="K400" s="66"/>
    </row>
    <row r="401" spans="2:11" ht="15.75">
      <c r="B401" s="66" t="s">
        <v>380</v>
      </c>
      <c r="C401" s="112">
        <f>C397/C400</f>
        <v>9.71875</v>
      </c>
      <c r="D401" s="125"/>
      <c r="E401" s="66"/>
      <c r="F401" s="66"/>
      <c r="G401" s="66"/>
      <c r="H401" s="66"/>
      <c r="I401" s="66"/>
      <c r="J401" s="66"/>
      <c r="K401" s="66"/>
    </row>
    <row r="402" spans="2:11" ht="15.75">
      <c r="B402" s="66"/>
      <c r="C402" s="112"/>
      <c r="D402" s="125"/>
      <c r="E402" s="66"/>
      <c r="F402" s="66"/>
      <c r="G402" s="66"/>
      <c r="H402" s="66"/>
      <c r="I402" s="66"/>
      <c r="J402" s="66"/>
      <c r="K402" s="66"/>
    </row>
    <row r="403" spans="2:11" ht="15.75">
      <c r="B403" s="66"/>
      <c r="C403" s="112"/>
      <c r="D403" s="125"/>
      <c r="E403" s="66"/>
      <c r="F403" s="66"/>
      <c r="G403" s="66"/>
      <c r="H403" s="66"/>
      <c r="I403" s="66"/>
      <c r="J403" s="66"/>
      <c r="K403" s="66"/>
    </row>
    <row r="404" spans="2:11" ht="15.75">
      <c r="B404" s="66"/>
      <c r="C404" s="66"/>
      <c r="D404" s="66"/>
      <c r="E404" s="66"/>
      <c r="F404" s="66"/>
      <c r="G404" s="66"/>
      <c r="H404" s="66"/>
      <c r="I404" s="66"/>
      <c r="J404" s="66"/>
      <c r="K404" s="66"/>
    </row>
    <row r="405" spans="2:11" ht="15.75">
      <c r="B405" s="74" t="s">
        <v>1531</v>
      </c>
      <c r="C405" s="66"/>
      <c r="D405" s="66"/>
      <c r="E405" s="66"/>
      <c r="F405" s="66"/>
      <c r="G405" s="66"/>
      <c r="H405" s="66"/>
      <c r="I405" s="66"/>
      <c r="J405" s="66"/>
      <c r="K405" s="66"/>
    </row>
    <row r="406" spans="2:11" ht="15.75">
      <c r="B406" s="66" t="s">
        <v>1532</v>
      </c>
      <c r="C406" s="66">
        <v>550</v>
      </c>
      <c r="D406" s="66"/>
      <c r="E406" s="66"/>
      <c r="F406" s="66"/>
      <c r="G406" s="66"/>
      <c r="H406" s="66"/>
      <c r="I406" s="66"/>
      <c r="J406" s="66"/>
      <c r="K406" s="66"/>
    </row>
    <row r="407" spans="2:11" ht="15.75">
      <c r="B407" s="66" t="s">
        <v>1533</v>
      </c>
      <c r="C407" s="66">
        <v>350</v>
      </c>
      <c r="D407" s="66"/>
      <c r="E407" s="66"/>
      <c r="F407" s="66"/>
      <c r="G407" s="66"/>
      <c r="H407" s="66"/>
      <c r="I407" s="66"/>
      <c r="J407" s="66"/>
      <c r="K407" s="66"/>
    </row>
    <row r="408" spans="2:11" ht="15.75">
      <c r="B408" s="66" t="s">
        <v>1534</v>
      </c>
      <c r="C408" s="71">
        <f>C407/F372*C367/C383</f>
        <v>38.759999999999991</v>
      </c>
      <c r="D408" s="66"/>
      <c r="E408" s="66"/>
      <c r="F408" s="66"/>
      <c r="G408" s="66"/>
      <c r="H408" s="66"/>
      <c r="I408" s="66"/>
      <c r="J408" s="66"/>
      <c r="K408" s="66"/>
    </row>
    <row r="409" spans="2:11" ht="15.75">
      <c r="B409" s="66"/>
      <c r="C409" s="66"/>
      <c r="D409" s="66"/>
      <c r="E409" s="66"/>
      <c r="F409" s="66"/>
      <c r="G409" s="66"/>
      <c r="H409" s="66"/>
      <c r="I409" s="66"/>
      <c r="J409" s="66"/>
      <c r="K409" s="66"/>
    </row>
    <row r="410" spans="2:11" ht="15.75">
      <c r="B410" s="66" t="s">
        <v>1535</v>
      </c>
      <c r="C410" s="71">
        <f>C385+C406</f>
        <v>4113.7595792637112</v>
      </c>
      <c r="D410" s="66"/>
      <c r="E410" s="66"/>
      <c r="F410" s="66"/>
      <c r="G410" s="66"/>
      <c r="H410" s="66"/>
      <c r="I410" s="66"/>
      <c r="J410" s="66"/>
      <c r="K410" s="66"/>
    </row>
    <row r="411" spans="2:11" ht="15.75">
      <c r="B411" s="66" t="s">
        <v>913</v>
      </c>
      <c r="C411" s="71">
        <f>C389+C408</f>
        <v>2413.5083095416976</v>
      </c>
      <c r="D411" s="66"/>
      <c r="E411" s="66"/>
      <c r="F411" s="66"/>
      <c r="G411" s="66"/>
      <c r="H411" s="66"/>
      <c r="I411" s="66"/>
      <c r="J411" s="66"/>
      <c r="K411" s="66"/>
    </row>
    <row r="412" spans="2:11" ht="15.75">
      <c r="B412" s="66" t="s">
        <v>852</v>
      </c>
      <c r="C412" s="214">
        <f>C410/C411</f>
        <v>1.7044729297181809</v>
      </c>
      <c r="D412" s="66"/>
      <c r="E412" s="66"/>
      <c r="F412" s="66"/>
      <c r="G412" s="66"/>
      <c r="H412" s="66"/>
      <c r="I412" s="66"/>
      <c r="J412" s="66"/>
      <c r="K412" s="66"/>
    </row>
    <row r="413" spans="2:11" ht="15.75">
      <c r="B413" s="66"/>
      <c r="C413" s="66"/>
      <c r="D413" s="66"/>
      <c r="E413" s="66"/>
      <c r="F413" s="66"/>
      <c r="G413" s="66"/>
      <c r="H413" s="66"/>
      <c r="I413" s="66"/>
      <c r="J413" s="66"/>
      <c r="K413" s="66"/>
    </row>
    <row r="414" spans="2:11" ht="15.75">
      <c r="B414" s="74" t="s">
        <v>89</v>
      </c>
      <c r="C414" s="66"/>
      <c r="D414" s="66"/>
      <c r="E414" s="66"/>
      <c r="F414" s="66"/>
      <c r="G414" s="66"/>
      <c r="H414" s="66"/>
      <c r="I414" s="66"/>
      <c r="J414" s="66"/>
      <c r="K414" s="66"/>
    </row>
    <row r="415" spans="2:11" ht="15.75">
      <c r="B415" s="66"/>
      <c r="C415" s="66"/>
      <c r="D415" s="66"/>
      <c r="E415" s="66"/>
      <c r="F415" s="66"/>
      <c r="G415" s="66"/>
      <c r="H415" s="66"/>
      <c r="I415" s="66"/>
      <c r="J415" s="66"/>
      <c r="K415" s="66"/>
    </row>
    <row r="416" spans="2:11" ht="15.75">
      <c r="B416" s="67" t="s">
        <v>1547</v>
      </c>
      <c r="C416" s="67">
        <v>2013</v>
      </c>
      <c r="D416" s="67">
        <v>2014</v>
      </c>
      <c r="E416" s="67">
        <v>2015</v>
      </c>
      <c r="F416" s="66"/>
      <c r="G416" s="66"/>
      <c r="H416" s="66"/>
      <c r="I416" s="66"/>
      <c r="J416" s="66"/>
      <c r="K416" s="66"/>
    </row>
    <row r="417" spans="2:11" ht="15.75">
      <c r="B417" s="66" t="s">
        <v>57</v>
      </c>
      <c r="C417" s="66">
        <v>323</v>
      </c>
      <c r="D417" s="66">
        <v>362</v>
      </c>
      <c r="E417" s="66">
        <v>385</v>
      </c>
      <c r="F417" s="66"/>
      <c r="G417" s="66"/>
      <c r="H417" s="66"/>
      <c r="I417" s="66"/>
      <c r="J417" s="66"/>
      <c r="K417" s="66"/>
    </row>
    <row r="418" spans="2:11" ht="15.75">
      <c r="B418" s="66" t="s">
        <v>224</v>
      </c>
      <c r="C418" s="66">
        <v>-102</v>
      </c>
      <c r="D418" s="66">
        <v>-172</v>
      </c>
      <c r="E418" s="66">
        <v>-275</v>
      </c>
      <c r="F418" s="66"/>
      <c r="G418" s="66"/>
      <c r="H418" s="66"/>
      <c r="I418" s="66"/>
      <c r="J418" s="66"/>
      <c r="K418" s="66"/>
    </row>
    <row r="419" spans="2:11" ht="15.75">
      <c r="C419" s="66"/>
      <c r="D419" s="66"/>
      <c r="E419" s="66"/>
      <c r="F419" s="66"/>
      <c r="G419" s="66"/>
      <c r="H419" s="66"/>
      <c r="I419" s="66"/>
      <c r="J419" s="66"/>
      <c r="K419" s="66"/>
    </row>
    <row r="420" spans="2:11" ht="15.75">
      <c r="B420" s="66" t="s">
        <v>759</v>
      </c>
      <c r="C420" s="66">
        <v>46</v>
      </c>
      <c r="D420" s="66"/>
      <c r="E420" s="66"/>
      <c r="F420" s="66"/>
      <c r="G420" s="66"/>
      <c r="H420" s="66"/>
      <c r="I420" s="66"/>
      <c r="J420" s="66"/>
      <c r="K420" s="66"/>
    </row>
    <row r="421" spans="2:11" ht="15.75">
      <c r="B421" s="70" t="s">
        <v>1538</v>
      </c>
      <c r="D421" s="66"/>
      <c r="E421" s="66"/>
      <c r="F421" s="66"/>
      <c r="G421" s="66"/>
      <c r="H421" s="66"/>
      <c r="I421" s="66"/>
      <c r="J421" s="66"/>
      <c r="K421" s="66"/>
    </row>
    <row r="422" spans="2:11" ht="15.75">
      <c r="B422" s="66" t="s">
        <v>1546</v>
      </c>
      <c r="C422" s="66">
        <v>1718</v>
      </c>
      <c r="D422" s="66"/>
      <c r="E422" s="66"/>
      <c r="F422" s="66"/>
      <c r="G422" s="66"/>
      <c r="H422" s="66"/>
      <c r="I422" s="66"/>
      <c r="J422" s="66"/>
      <c r="K422" s="66"/>
    </row>
    <row r="423" spans="2:11" ht="15.75">
      <c r="B423" s="141" t="s">
        <v>1545</v>
      </c>
      <c r="C423" s="66">
        <v>298</v>
      </c>
      <c r="D423" s="66"/>
      <c r="E423" s="66"/>
      <c r="F423" s="66"/>
      <c r="G423" s="66"/>
      <c r="H423" s="66"/>
      <c r="I423" s="66"/>
      <c r="J423" s="66"/>
      <c r="K423" s="66"/>
    </row>
    <row r="424" spans="2:11" ht="15.75">
      <c r="B424" s="66"/>
      <c r="C424" s="66"/>
      <c r="D424" s="66"/>
      <c r="E424" s="66"/>
      <c r="F424" s="66"/>
      <c r="G424" s="66"/>
      <c r="H424" s="66"/>
      <c r="I424" s="66"/>
      <c r="J424" s="66"/>
      <c r="K424" s="66"/>
    </row>
    <row r="425" spans="2:11" ht="15.75">
      <c r="B425" s="66" t="s">
        <v>1539</v>
      </c>
      <c r="C425" s="66">
        <f>C422/2*C420</f>
        <v>39514</v>
      </c>
      <c r="D425" s="66"/>
      <c r="E425" s="66"/>
      <c r="F425" s="66"/>
      <c r="G425" s="66"/>
      <c r="H425" s="66"/>
      <c r="I425" s="66"/>
      <c r="J425" s="66"/>
      <c r="K425" s="66"/>
    </row>
    <row r="426" spans="2:11" ht="15.75">
      <c r="B426" s="66" t="s">
        <v>1540</v>
      </c>
      <c r="C426" s="71">
        <f>C425/C383</f>
        <v>2968.7453042824941</v>
      </c>
      <c r="D426" s="66"/>
      <c r="E426" s="66"/>
      <c r="F426" s="66"/>
      <c r="G426" s="66"/>
      <c r="H426" s="66"/>
      <c r="I426" s="66"/>
      <c r="J426" s="66"/>
      <c r="K426" s="66"/>
    </row>
    <row r="427" spans="2:11" ht="15.75">
      <c r="B427" s="66"/>
      <c r="C427" s="66"/>
      <c r="D427" s="66"/>
      <c r="E427" s="66"/>
      <c r="F427" s="66"/>
      <c r="G427" s="66"/>
      <c r="H427" s="66"/>
      <c r="I427" s="66"/>
      <c r="J427" s="66"/>
      <c r="K427" s="66"/>
    </row>
    <row r="428" spans="2:11" ht="15.75">
      <c r="B428" s="66" t="s">
        <v>865</v>
      </c>
      <c r="C428" s="69">
        <v>0.3</v>
      </c>
      <c r="D428" s="66"/>
      <c r="E428" s="66"/>
      <c r="F428" s="66"/>
      <c r="G428" s="66"/>
      <c r="H428" s="66"/>
      <c r="I428" s="66"/>
      <c r="J428" s="66"/>
      <c r="K428" s="66"/>
    </row>
    <row r="429" spans="2:11" ht="15.75">
      <c r="B429" s="66" t="s">
        <v>1541</v>
      </c>
      <c r="C429" s="71">
        <f>(1+C428)*C426</f>
        <v>3859.3688955672424</v>
      </c>
      <c r="D429" s="66"/>
      <c r="E429" s="66"/>
      <c r="F429" s="66"/>
      <c r="G429" s="66"/>
      <c r="H429" s="66"/>
      <c r="I429" s="66"/>
      <c r="J429" s="66"/>
      <c r="K429" s="66"/>
    </row>
    <row r="430" spans="2:11" ht="15.75">
      <c r="B430" s="66" t="s">
        <v>1542</v>
      </c>
      <c r="C430" s="71">
        <f>C429+D418</f>
        <v>3687.3688955672424</v>
      </c>
      <c r="D430" s="66"/>
      <c r="E430" s="66"/>
      <c r="F430" s="66"/>
      <c r="G430" s="66"/>
      <c r="H430" s="66"/>
      <c r="I430" s="66"/>
      <c r="J430" s="66"/>
      <c r="K430" s="66"/>
    </row>
    <row r="431" spans="2:11" ht="15.75">
      <c r="B431" s="66" t="s">
        <v>1544</v>
      </c>
      <c r="C431" s="112">
        <f>C430/D417</f>
        <v>10.186101921456471</v>
      </c>
      <c r="D431" s="66"/>
      <c r="E431" s="66"/>
      <c r="F431" s="66"/>
      <c r="G431" s="66"/>
      <c r="H431" s="66"/>
      <c r="I431" s="66"/>
      <c r="J431" s="66"/>
      <c r="K431" s="66"/>
    </row>
    <row r="432" spans="2:11" ht="15.75">
      <c r="B432" s="66"/>
      <c r="C432" s="66"/>
      <c r="D432" s="66"/>
      <c r="E432" s="66"/>
      <c r="F432" s="66"/>
      <c r="G432" s="66"/>
      <c r="H432" s="66"/>
      <c r="I432" s="66"/>
      <c r="J432" s="66"/>
      <c r="K432" s="66"/>
    </row>
    <row r="433" spans="2:11" ht="15.75">
      <c r="B433" s="66" t="s">
        <v>1543</v>
      </c>
      <c r="C433" s="71">
        <f>C410+C430</f>
        <v>7801.1284748309536</v>
      </c>
      <c r="D433" s="66"/>
      <c r="E433" s="66"/>
      <c r="F433" s="66"/>
      <c r="G433" s="66"/>
      <c r="H433" s="66"/>
      <c r="I433" s="66"/>
      <c r="J433" s="66"/>
      <c r="K433" s="66"/>
    </row>
    <row r="434" spans="2:11" ht="15.75">
      <c r="B434" s="66" t="s">
        <v>913</v>
      </c>
      <c r="C434" s="71">
        <f>C411+D417</f>
        <v>2775.5083095416976</v>
      </c>
      <c r="D434" s="66"/>
      <c r="E434" s="66"/>
      <c r="F434" s="66"/>
      <c r="G434" s="66"/>
      <c r="H434" s="66"/>
      <c r="I434" s="66"/>
      <c r="J434" s="66"/>
      <c r="K434" s="66"/>
    </row>
    <row r="435" spans="2:11" ht="15.75">
      <c r="B435" s="66" t="s">
        <v>852</v>
      </c>
      <c r="C435" s="112">
        <f>C433/C434</f>
        <v>2.8107026190525457</v>
      </c>
      <c r="D435" s="66"/>
      <c r="E435" s="66"/>
      <c r="F435" s="66"/>
      <c r="G435" s="66"/>
      <c r="H435" s="66"/>
      <c r="I435" s="66"/>
      <c r="J435" s="66"/>
      <c r="K435" s="66"/>
    </row>
    <row r="436" spans="2:11" ht="15.75">
      <c r="B436" s="66"/>
      <c r="C436" s="66"/>
      <c r="D436" s="71"/>
      <c r="E436" s="71"/>
      <c r="F436" s="71"/>
      <c r="G436" s="71"/>
      <c r="H436" s="66"/>
      <c r="I436" s="66"/>
      <c r="J436" s="66"/>
      <c r="K436" s="66"/>
    </row>
    <row r="437" spans="2:11" ht="15.75">
      <c r="B437" s="106"/>
      <c r="C437" s="222" t="s">
        <v>1536</v>
      </c>
      <c r="D437" s="71" t="s">
        <v>1510</v>
      </c>
      <c r="E437" s="222" t="s">
        <v>1537</v>
      </c>
      <c r="F437" s="106" t="s">
        <v>89</v>
      </c>
      <c r="H437" s="66"/>
      <c r="I437" s="66"/>
      <c r="J437" s="66"/>
      <c r="K437" s="66"/>
    </row>
    <row r="438" spans="2:11" ht="15.75">
      <c r="B438" s="105" t="s">
        <v>916</v>
      </c>
      <c r="C438" s="223"/>
      <c r="D438" s="227" t="s">
        <v>1551</v>
      </c>
      <c r="E438" s="224">
        <v>1</v>
      </c>
      <c r="F438" s="216">
        <v>1</v>
      </c>
      <c r="H438" s="66"/>
      <c r="I438" s="66"/>
      <c r="J438" s="66"/>
      <c r="K438" s="66"/>
    </row>
    <row r="439" spans="2:11" ht="15.75">
      <c r="B439" s="106" t="s">
        <v>552</v>
      </c>
      <c r="C439" s="225"/>
      <c r="D439" s="225">
        <f>C382/C383</f>
        <v>520.40871525169041</v>
      </c>
      <c r="E439" s="225">
        <f>C406</f>
        <v>550</v>
      </c>
      <c r="F439" s="225">
        <f>C430</f>
        <v>3687.3688955672424</v>
      </c>
      <c r="H439" s="66"/>
      <c r="I439" s="66"/>
      <c r="J439" s="66"/>
      <c r="K439" s="66"/>
    </row>
    <row r="440" spans="2:11" ht="15.75">
      <c r="B440" s="106" t="s">
        <v>1548</v>
      </c>
      <c r="C440" s="225"/>
      <c r="D440" s="225">
        <f>C388</f>
        <v>120.21036814425244</v>
      </c>
      <c r="E440" s="225">
        <f>C408</f>
        <v>38.759999999999991</v>
      </c>
      <c r="F440" s="225">
        <f>D417</f>
        <v>362</v>
      </c>
      <c r="H440" s="66"/>
      <c r="I440" s="66"/>
      <c r="J440" s="66"/>
      <c r="K440" s="66"/>
    </row>
    <row r="441" spans="2:11" ht="15.75">
      <c r="B441" s="106" t="s">
        <v>224</v>
      </c>
      <c r="C441" s="225">
        <f>Valuation!J15</f>
        <v>3043.3508640120212</v>
      </c>
      <c r="D441" s="225">
        <f>C385</f>
        <v>3563.7595792637117</v>
      </c>
      <c r="E441" s="225">
        <f>C410</f>
        <v>4113.7595792637112</v>
      </c>
      <c r="F441" s="225">
        <f>C433</f>
        <v>7801.1284748309536</v>
      </c>
      <c r="H441" s="66"/>
      <c r="I441" s="66"/>
      <c r="J441" s="66"/>
      <c r="K441" s="66"/>
    </row>
    <row r="442" spans="2:11" ht="15.75">
      <c r="B442" s="105" t="s">
        <v>976</v>
      </c>
      <c r="C442" s="226">
        <f>Valuation!J24</f>
        <v>2254.5379413974456</v>
      </c>
      <c r="D442" s="226">
        <f>C389</f>
        <v>2374.7483095416978</v>
      </c>
      <c r="E442" s="226">
        <f>C411</f>
        <v>2413.5083095416976</v>
      </c>
      <c r="F442" s="226">
        <f>C434</f>
        <v>2775.5083095416976</v>
      </c>
      <c r="H442" s="66"/>
      <c r="I442" s="66"/>
      <c r="J442" s="66"/>
      <c r="K442" s="66"/>
    </row>
    <row r="443" spans="2:11" ht="15.75">
      <c r="B443" s="106" t="s">
        <v>1550</v>
      </c>
      <c r="C443" s="221">
        <f>C391</f>
        <v>1.3498778654954198</v>
      </c>
      <c r="D443" s="221">
        <f>C392</f>
        <v>1.5006893846158715</v>
      </c>
      <c r="E443" s="221">
        <f>C412</f>
        <v>1.7044729297181809</v>
      </c>
      <c r="F443" s="221">
        <f>C435</f>
        <v>2.8107026190525457</v>
      </c>
      <c r="H443" s="66"/>
      <c r="I443" s="66"/>
      <c r="J443" s="66"/>
      <c r="K443" s="66"/>
    </row>
    <row r="444" spans="2:11" ht="15.75">
      <c r="B444" s="66"/>
      <c r="C444" s="66"/>
      <c r="D444" s="66"/>
      <c r="E444" s="66"/>
      <c r="F444" s="66"/>
      <c r="G444" s="66"/>
      <c r="H444" s="66"/>
      <c r="I444" s="66"/>
      <c r="J444" s="66"/>
      <c r="K444" s="66"/>
    </row>
    <row r="445" spans="2:11" ht="15.75">
      <c r="B445" s="66" t="s">
        <v>1671</v>
      </c>
      <c r="C445" s="66"/>
      <c r="D445" s="66"/>
      <c r="E445" s="66"/>
      <c r="F445" s="66"/>
      <c r="G445" s="66"/>
      <c r="H445" s="66"/>
      <c r="I445" s="66"/>
      <c r="J445" s="66"/>
      <c r="K445" s="66"/>
    </row>
    <row r="446" spans="2:11" ht="15.75">
      <c r="B446" s="66"/>
      <c r="C446" s="66"/>
      <c r="D446" s="66"/>
      <c r="E446" s="66"/>
      <c r="F446" s="66"/>
      <c r="G446" s="66"/>
      <c r="H446" s="66"/>
      <c r="I446" s="66"/>
      <c r="J446" s="66"/>
      <c r="K446" s="66"/>
    </row>
    <row r="447" spans="2:11" ht="15.75">
      <c r="B447" s="66" t="s">
        <v>1681</v>
      </c>
      <c r="C447" s="258">
        <v>6</v>
      </c>
      <c r="D447" s="66"/>
      <c r="E447" s="66"/>
      <c r="F447" s="66"/>
      <c r="G447" s="66"/>
      <c r="H447" s="66"/>
      <c r="I447" s="66"/>
      <c r="J447" s="66"/>
      <c r="K447" s="66"/>
    </row>
    <row r="448" spans="2:11" ht="15.75">
      <c r="B448" s="66" t="s">
        <v>456</v>
      </c>
      <c r="C448" s="71">
        <f>C447*('SKY Mex'!L93/Master!N92)</f>
        <v>3392.1739130434785</v>
      </c>
      <c r="D448" s="66"/>
      <c r="E448" s="66"/>
      <c r="F448" s="66"/>
      <c r="G448" s="66"/>
      <c r="H448" s="66"/>
      <c r="I448" s="66"/>
      <c r="J448" s="66"/>
      <c r="K448" s="66"/>
    </row>
    <row r="449" spans="2:11" ht="15.75">
      <c r="B449" s="66" t="s">
        <v>224</v>
      </c>
      <c r="C449" s="71">
        <f>'SKY Mex'!L156/Master!N92</f>
        <v>201.63831127914304</v>
      </c>
      <c r="D449" s="66"/>
      <c r="E449" s="66"/>
      <c r="F449" s="66"/>
      <c r="G449" s="66"/>
      <c r="H449" s="66"/>
      <c r="I449" s="66"/>
      <c r="J449" s="66"/>
      <c r="K449" s="66"/>
    </row>
    <row r="450" spans="2:11" ht="15.75">
      <c r="B450" s="66" t="s">
        <v>1674</v>
      </c>
      <c r="C450" s="71">
        <f>C448-C449</f>
        <v>3190.5356017643353</v>
      </c>
      <c r="D450" s="66"/>
      <c r="E450" s="66"/>
      <c r="F450" s="66"/>
      <c r="G450" s="66"/>
      <c r="H450" s="66"/>
      <c r="I450" s="66"/>
      <c r="J450" s="66"/>
      <c r="K450" s="66"/>
    </row>
    <row r="451" spans="2:11" ht="15.75">
      <c r="B451" s="66" t="s">
        <v>1672</v>
      </c>
      <c r="C451" s="69">
        <v>0.4</v>
      </c>
      <c r="D451" s="66"/>
      <c r="E451" s="66"/>
      <c r="F451" s="66"/>
      <c r="G451" s="66"/>
      <c r="H451" s="66"/>
      <c r="I451" s="66"/>
      <c r="J451" s="66"/>
      <c r="K451" s="66"/>
    </row>
    <row r="452" spans="2:11" ht="15.75">
      <c r="B452" s="66" t="s">
        <v>1079</v>
      </c>
      <c r="C452" s="71">
        <f>C450*C451</f>
        <v>1276.2142407057343</v>
      </c>
      <c r="D452" s="66"/>
      <c r="E452" s="66"/>
      <c r="F452" s="66"/>
      <c r="G452" s="66"/>
      <c r="H452" s="66"/>
      <c r="I452" s="66"/>
      <c r="J452" s="66"/>
      <c r="K452" s="66"/>
    </row>
    <row r="453" spans="2:11" ht="15.75">
      <c r="B453" s="66" t="s">
        <v>1676</v>
      </c>
      <c r="C453" s="71">
        <f>C450/('SKY Mex'!L167/Master!N92)</f>
        <v>17.749906482575827</v>
      </c>
      <c r="D453" s="66"/>
      <c r="E453" s="66"/>
      <c r="F453" s="66"/>
      <c r="G453" s="66"/>
      <c r="H453" s="66"/>
      <c r="I453" s="66"/>
      <c r="J453" s="66"/>
      <c r="K453" s="66"/>
    </row>
    <row r="454" spans="2:11" ht="15.75">
      <c r="B454" s="66"/>
      <c r="C454" s="66"/>
      <c r="D454" s="66"/>
      <c r="E454" s="66"/>
      <c r="F454" s="66"/>
      <c r="G454" s="66"/>
      <c r="H454" s="66"/>
      <c r="I454" s="66"/>
      <c r="J454" s="66"/>
      <c r="K454" s="66"/>
    </row>
    <row r="455" spans="2:11" ht="15.75">
      <c r="B455" s="66" t="s">
        <v>531</v>
      </c>
      <c r="C455" s="75">
        <v>0.06</v>
      </c>
      <c r="D455" s="66"/>
      <c r="E455" s="66"/>
      <c r="F455" s="66"/>
      <c r="G455" s="66"/>
      <c r="H455" s="66"/>
      <c r="I455" s="66"/>
      <c r="J455" s="66"/>
      <c r="K455" s="66"/>
    </row>
    <row r="456" spans="2:11" ht="15.75">
      <c r="B456" s="66"/>
      <c r="C456" s="66"/>
      <c r="D456" s="66"/>
      <c r="E456" s="66"/>
      <c r="F456" s="66"/>
      <c r="G456" s="66"/>
      <c r="H456" s="66"/>
      <c r="I456" s="66"/>
      <c r="J456" s="66"/>
      <c r="K456" s="66"/>
    </row>
    <row r="457" spans="2:11" ht="15.75">
      <c r="B457" s="67" t="s">
        <v>916</v>
      </c>
      <c r="C457" s="67">
        <v>2015</v>
      </c>
      <c r="D457" s="67">
        <f>C457+1</f>
        <v>2016</v>
      </c>
      <c r="E457" s="67">
        <f>D457+1</f>
        <v>2017</v>
      </c>
      <c r="F457" s="66"/>
      <c r="G457" s="66"/>
      <c r="H457" s="66"/>
      <c r="I457" s="66"/>
      <c r="J457" s="66"/>
      <c r="K457" s="66"/>
    </row>
    <row r="458" spans="2:11" ht="15.75">
      <c r="B458" s="66" t="s">
        <v>1673</v>
      </c>
      <c r="C458" s="71">
        <f>(1-0.34)*C455*$C$452</f>
        <v>50.538083931947071</v>
      </c>
      <c r="D458" s="71">
        <f>C458</f>
        <v>50.538083931947071</v>
      </c>
      <c r="E458" s="71">
        <f>D458</f>
        <v>50.538083931947071</v>
      </c>
      <c r="F458" s="66"/>
      <c r="G458" s="66"/>
      <c r="H458" s="66"/>
      <c r="I458" s="66"/>
      <c r="J458" s="66"/>
      <c r="K458" s="66"/>
    </row>
    <row r="459" spans="2:11" ht="15.75">
      <c r="B459" s="66" t="s">
        <v>1675</v>
      </c>
      <c r="C459" s="71">
        <f>C458</f>
        <v>50.538083931947071</v>
      </c>
      <c r="D459" s="71">
        <f>C459+D458</f>
        <v>101.07616786389414</v>
      </c>
      <c r="E459" s="71">
        <f>D459+E458</f>
        <v>151.6142517958412</v>
      </c>
      <c r="F459" s="66"/>
      <c r="G459" s="66"/>
      <c r="H459" s="66"/>
      <c r="I459" s="66"/>
      <c r="J459" s="66"/>
      <c r="K459" s="66"/>
    </row>
    <row r="460" spans="2:11" ht="15.75">
      <c r="B460" s="66" t="s">
        <v>224</v>
      </c>
      <c r="C460" s="71">
        <f>Valuation!K24+$C$452+C459</f>
        <v>3366.7838306238182</v>
      </c>
      <c r="D460" s="71">
        <f>Valuation!L24+$C$452+D459</f>
        <v>3158.6113634767898</v>
      </c>
      <c r="E460" s="71">
        <f>Valuation!M24+$C$452+E459</f>
        <v>3162.2200268931097</v>
      </c>
      <c r="F460" s="66"/>
      <c r="G460" s="66"/>
      <c r="H460" s="66"/>
      <c r="I460" s="66"/>
      <c r="J460" s="66"/>
      <c r="K460" s="66"/>
    </row>
    <row r="461" spans="2:11" ht="15.75">
      <c r="B461" s="66" t="s">
        <v>1682</v>
      </c>
      <c r="C461" s="214">
        <f>C460/Valuation!K24</f>
        <v>1.650358742374588</v>
      </c>
      <c r="D461" s="214">
        <f>D460/Valuation!L24</f>
        <v>1.7731848686647318</v>
      </c>
      <c r="E461" s="214">
        <f>E460/Valuation!M24</f>
        <v>1.823244615871866</v>
      </c>
      <c r="F461" s="66"/>
    </row>
    <row r="462" spans="2:11" ht="15.75">
      <c r="B462" s="66"/>
      <c r="C462" s="214"/>
      <c r="D462" s="214"/>
      <c r="E462" s="214"/>
      <c r="F462" s="66"/>
    </row>
    <row r="463" spans="2:11" ht="15.75">
      <c r="B463" s="66" t="s">
        <v>1683</v>
      </c>
      <c r="C463" s="71" t="e">
        <f>Valuation!K15+Valuation!#REF!+Valuation!#REF!+$C$452+C459</f>
        <v>#REF!</v>
      </c>
      <c r="D463" s="71" t="e">
        <f>Valuation!L15+Valuation!#REF!+Valuation!#REF!+$C$452+D459</f>
        <v>#REF!</v>
      </c>
      <c r="E463" s="71" t="e">
        <f>Valuation!M15+Valuation!#REF!+Valuation!#REF!+$C$452+E459</f>
        <v>#REF!</v>
      </c>
      <c r="F463" s="66"/>
    </row>
    <row r="464" spans="2:11" ht="15.75">
      <c r="B464" s="66" t="s">
        <v>1684</v>
      </c>
      <c r="C464" s="71" t="e">
        <f>Valuation!J24+Valuation!#REF!+Valuation!#REF!</f>
        <v>#REF!</v>
      </c>
      <c r="D464" s="71" t="e">
        <f>Valuation!K24+Valuation!#REF!+Valuation!#REF!</f>
        <v>#REF!</v>
      </c>
      <c r="E464" s="71" t="e">
        <f>Valuation!L24+Valuation!#REF!+Valuation!#REF!</f>
        <v>#REF!</v>
      </c>
      <c r="F464" s="66"/>
    </row>
    <row r="465" spans="2:8" ht="15.75">
      <c r="B465" s="66" t="s">
        <v>1685</v>
      </c>
      <c r="C465" s="214" t="e">
        <f>C463/C464</f>
        <v>#REF!</v>
      </c>
      <c r="D465" s="214" t="e">
        <f>D463/D464</f>
        <v>#REF!</v>
      </c>
      <c r="E465" s="214" t="e">
        <f>E463/E464</f>
        <v>#REF!</v>
      </c>
      <c r="F465" s="66"/>
    </row>
    <row r="466" spans="2:8" ht="15.75">
      <c r="F466" s="66"/>
    </row>
    <row r="467" spans="2:8" ht="15.75">
      <c r="B467" s="66" t="s">
        <v>1677</v>
      </c>
      <c r="C467" s="71">
        <f>'SKY Mex'!L167*0.4/Master!N92</f>
        <v>71.899772652804018</v>
      </c>
      <c r="D467" s="71">
        <f>'SKY Mex'!M167*0.4/Master!O92</f>
        <v>55.141150132625974</v>
      </c>
      <c r="E467" s="71">
        <f>'SKY Mex'!N167*0.4/Master!P92</f>
        <v>74.16589629629631</v>
      </c>
      <c r="F467" s="66"/>
    </row>
    <row r="468" spans="2:8" ht="15.75">
      <c r="B468" s="67" t="s">
        <v>1678</v>
      </c>
      <c r="C468" s="76">
        <f>-C458</f>
        <v>-50.538083931947071</v>
      </c>
      <c r="D468" s="76">
        <f>-D458</f>
        <v>-50.538083931947071</v>
      </c>
      <c r="E468" s="76">
        <f>-E458</f>
        <v>-50.538083931947071</v>
      </c>
      <c r="F468" s="66"/>
    </row>
    <row r="469" spans="2:8" ht="15.75">
      <c r="B469" s="66" t="s">
        <v>1679</v>
      </c>
      <c r="C469" s="71">
        <f>C467+C468</f>
        <v>21.361688720856947</v>
      </c>
      <c r="D469" s="71">
        <f>D467+D468</f>
        <v>4.6030662006789029</v>
      </c>
      <c r="E469" s="71">
        <f>E467+E468</f>
        <v>23.627812364349239</v>
      </c>
      <c r="F469" s="66"/>
    </row>
    <row r="470" spans="2:8" ht="15.75">
      <c r="B470" s="66" t="s">
        <v>1680</v>
      </c>
      <c r="C470" s="116">
        <f>(C469*Master!N92)/Master!N30</f>
        <v>2.6642722978867193E-2</v>
      </c>
      <c r="D470" s="116">
        <f>(D469*Master!O92)/Master!O30</f>
        <v>2.3317155187250742E-2</v>
      </c>
      <c r="E470" s="116">
        <f>(E469*Master!P92)/Master!P30</f>
        <v>9.8688542251094011E-2</v>
      </c>
    </row>
    <row r="472" spans="2:8" ht="15.75">
      <c r="B472" s="67" t="s">
        <v>1692</v>
      </c>
      <c r="C472" s="68" t="s">
        <v>1689</v>
      </c>
      <c r="D472" s="68" t="s">
        <v>1695</v>
      </c>
      <c r="E472" s="68" t="s">
        <v>1696</v>
      </c>
      <c r="F472" s="68" t="s">
        <v>1697</v>
      </c>
      <c r="G472" s="68" t="s">
        <v>1097</v>
      </c>
    </row>
    <row r="473" spans="2:8" ht="15.75">
      <c r="B473" s="66" t="s">
        <v>200</v>
      </c>
      <c r="C473" s="125">
        <f>Iusacell!P50</f>
        <v>14444.71875</v>
      </c>
      <c r="D473" s="125">
        <f>Iusacell!Q50</f>
        <v>13144.931111999998</v>
      </c>
      <c r="E473" s="125">
        <f>Iusacell!R50</f>
        <v>17382</v>
      </c>
      <c r="F473" s="125">
        <f>Iusacell!S50</f>
        <v>19582</v>
      </c>
      <c r="G473" s="125">
        <f>Iusacell!T50</f>
        <v>20103.494619957637</v>
      </c>
    </row>
    <row r="474" spans="2:8" ht="15.75">
      <c r="B474" s="141" t="s">
        <v>1686</v>
      </c>
      <c r="C474" s="125">
        <f>Iusacell!P43</f>
        <v>1130.45625</v>
      </c>
      <c r="D474" s="125">
        <f>Iusacell!Q43</f>
        <v>800.12624160000007</v>
      </c>
      <c r="E474" s="125">
        <f>Iusacell!R43</f>
        <v>480.17775000000006</v>
      </c>
      <c r="F474" s="125">
        <f>Iusacell!S43</f>
        <v>499.34100000000001</v>
      </c>
      <c r="G474" s="125">
        <f>Iusacell!T43</f>
        <v>519.18858973471151</v>
      </c>
    </row>
    <row r="475" spans="2:8" ht="15.75">
      <c r="B475" s="141" t="s">
        <v>1690</v>
      </c>
      <c r="C475" s="116">
        <f>C474/C473</f>
        <v>7.8260869565217384E-2</v>
      </c>
      <c r="D475" s="116">
        <f>D474/D473</f>
        <v>6.0869565217391314E-2</v>
      </c>
      <c r="E475" s="116">
        <f>E474/E473</f>
        <v>2.7625000000000004E-2</v>
      </c>
      <c r="F475" s="116">
        <f>F474/F473</f>
        <v>2.5500000000000002E-2</v>
      </c>
      <c r="G475" s="116">
        <f>G474/G473</f>
        <v>2.5825787981124924E-2</v>
      </c>
    </row>
    <row r="476" spans="2:8" ht="15.75">
      <c r="B476" s="141" t="s">
        <v>1687</v>
      </c>
      <c r="C476" s="125">
        <f>C473-C474</f>
        <v>13314.262500000001</v>
      </c>
      <c r="D476" s="125">
        <f>D473-D474</f>
        <v>12344.804870399998</v>
      </c>
      <c r="E476" s="125">
        <f>E473-E474</f>
        <v>16901.822250000001</v>
      </c>
      <c r="F476" s="125">
        <f>F473-F474</f>
        <v>19082.659</v>
      </c>
      <c r="G476" s="125">
        <f>G473-G474</f>
        <v>19584.306030222924</v>
      </c>
    </row>
    <row r="477" spans="2:8" ht="15.75">
      <c r="B477" s="141"/>
      <c r="C477" s="71"/>
      <c r="D477" s="71"/>
      <c r="E477" s="71"/>
      <c r="F477" s="71"/>
      <c r="G477" s="71"/>
    </row>
    <row r="478" spans="2:8" ht="15.75">
      <c r="B478" s="66" t="s">
        <v>57</v>
      </c>
      <c r="C478" s="125">
        <f>Iusacell!P55</f>
        <v>1884.09375</v>
      </c>
      <c r="D478" s="125">
        <f>Iusacell!Q55</f>
        <v>457.21499519999998</v>
      </c>
      <c r="E478" s="125">
        <f>Iusacell!R55</f>
        <v>230</v>
      </c>
      <c r="F478" s="125">
        <f>Iusacell!S55</f>
        <v>1285</v>
      </c>
      <c r="G478" s="125">
        <f>Iusacell!T55</f>
        <v>1809.3145157961874</v>
      </c>
      <c r="H478" s="4"/>
    </row>
    <row r="479" spans="2:8" ht="15.75">
      <c r="B479" s="66" t="s">
        <v>158</v>
      </c>
      <c r="C479" s="116">
        <f>C478/C473</f>
        <v>0.13043478260869565</v>
      </c>
      <c r="D479" s="116">
        <f>D478/D473</f>
        <v>3.4782608695652174E-2</v>
      </c>
      <c r="E479" s="116">
        <f>E478/E473</f>
        <v>1.3232079162351858E-2</v>
      </c>
      <c r="F479" s="116">
        <f>F478/F473</f>
        <v>6.5621489122663676E-2</v>
      </c>
      <c r="G479" s="116">
        <f>G478/G473</f>
        <v>0.09</v>
      </c>
      <c r="H479" s="10"/>
    </row>
    <row r="480" spans="2:8" ht="15.75">
      <c r="B480" s="66" t="s">
        <v>1654</v>
      </c>
      <c r="C480" s="125">
        <f>C473-C478</f>
        <v>12560.625</v>
      </c>
      <c r="D480" s="125">
        <f>D473-D478</f>
        <v>12687.716116799998</v>
      </c>
      <c r="E480" s="125">
        <f>E473-E478</f>
        <v>17152</v>
      </c>
      <c r="F480" s="125">
        <f>F473-F478</f>
        <v>18297</v>
      </c>
      <c r="G480" s="125">
        <f>G473-G478</f>
        <v>18294.180104161449</v>
      </c>
    </row>
    <row r="481" spans="2:7" ht="15.75">
      <c r="B481" s="141" t="s">
        <v>1688</v>
      </c>
      <c r="C481" s="125">
        <f>Iusacell!P58</f>
        <v>1412.5472286044073</v>
      </c>
      <c r="D481" s="125">
        <f>Iusacell!Q58</f>
        <v>999.78756816616351</v>
      </c>
      <c r="E481" s="125">
        <f>Iusacell!R58</f>
        <v>600</v>
      </c>
      <c r="F481" s="125">
        <f>Iusacell!S58</f>
        <v>600</v>
      </c>
      <c r="G481" s="125">
        <f>Iusacell!T58</f>
        <v>306.89323341535822</v>
      </c>
    </row>
    <row r="482" spans="2:7" ht="15.75">
      <c r="B482" s="259" t="s">
        <v>1691</v>
      </c>
      <c r="C482" s="260">
        <f>C481/C480</f>
        <v>0.11245835526531581</v>
      </c>
      <c r="D482" s="260">
        <f>D481/D480</f>
        <v>7.8799648334055131E-2</v>
      </c>
      <c r="E482" s="260">
        <f>E481/E480</f>
        <v>3.4981343283582086E-2</v>
      </c>
      <c r="F482" s="260">
        <f>F481/F480</f>
        <v>3.2792261026397769E-2</v>
      </c>
      <c r="G482" s="261">
        <f>G481/G480</f>
        <v>1.6775457094442184E-2</v>
      </c>
    </row>
    <row r="484" spans="2:7" ht="15.75">
      <c r="B484" s="66" t="s">
        <v>1664</v>
      </c>
      <c r="C484" s="125">
        <f>Iusacell!P64</f>
        <v>-282.09097860440738</v>
      </c>
      <c r="D484" s="125">
        <f>Iusacell!Q64</f>
        <v>-199.66132656616344</v>
      </c>
      <c r="E484" s="125">
        <f>Iusacell!R64</f>
        <v>-119.82224999999994</v>
      </c>
      <c r="F484" s="125">
        <f>Iusacell!S64</f>
        <v>-100.65899999999999</v>
      </c>
      <c r="G484" s="125">
        <f>Iusacell!T64</f>
        <v>212.29535631935329</v>
      </c>
    </row>
    <row r="485" spans="2:7" ht="15.75">
      <c r="B485" s="66" t="s">
        <v>1698</v>
      </c>
      <c r="C485" s="69">
        <f>C484/C473</f>
        <v>-1.9529004578535486E-2</v>
      </c>
      <c r="D485" s="69">
        <f>D484/D473</f>
        <v>-1.518922578330538E-2</v>
      </c>
      <c r="E485" s="69">
        <f>E484/E473</f>
        <v>-6.8934673800483222E-3</v>
      </c>
      <c r="F485" s="69">
        <f>F484/F473</f>
        <v>-5.1403840261464604E-3</v>
      </c>
      <c r="G485" s="69">
        <f>G484/G473</f>
        <v>1.0560122025182538E-2</v>
      </c>
    </row>
    <row r="487" spans="2:7" ht="15.75">
      <c r="B487" s="66" t="s">
        <v>531</v>
      </c>
      <c r="C487" s="122"/>
      <c r="D487" s="125">
        <f ca="1">-Iusacell!Q90</f>
        <v>-1477.4159692254452</v>
      </c>
      <c r="E487" s="125">
        <f>-Iusacell!R90</f>
        <v>-1363</v>
      </c>
      <c r="F487" s="125">
        <f>-Iusacell!S90</f>
        <v>-1149</v>
      </c>
      <c r="G487" s="125">
        <f ca="1">-Iusacell!T90</f>
        <v>-1107.2401356992373</v>
      </c>
    </row>
    <row r="488" spans="2:7" ht="15.75">
      <c r="B488" s="66" t="s">
        <v>1694</v>
      </c>
      <c r="C488" s="122"/>
      <c r="D488" s="125">
        <v>0</v>
      </c>
      <c r="E488" s="125">
        <v>0</v>
      </c>
      <c r="F488" s="125">
        <v>0</v>
      </c>
      <c r="G488" s="125">
        <v>0</v>
      </c>
    </row>
    <row r="489" spans="2:7" ht="15.75">
      <c r="B489" s="66" t="s">
        <v>1693</v>
      </c>
      <c r="C489" s="122"/>
      <c r="D489" s="262">
        <f>-Iusacell!Q75</f>
        <v>-5143.6686959999997</v>
      </c>
      <c r="E489" s="263">
        <f>-Iusacell!R75</f>
        <v>-7574.988690000001</v>
      </c>
      <c r="F489" s="125">
        <f>-Iusacell!S75</f>
        <v>-3283.9993100000002</v>
      </c>
      <c r="G489" s="125">
        <f>-Iusacell!T75</f>
        <v>-2559.5083679936456</v>
      </c>
    </row>
    <row r="490" spans="2:7" ht="15.75">
      <c r="B490" s="66" t="s">
        <v>202</v>
      </c>
      <c r="D490" s="69">
        <f>-D489/D473</f>
        <v>0.39130434782608697</v>
      </c>
      <c r="E490" s="69">
        <f>-E489/E473</f>
        <v>0.43579500000000004</v>
      </c>
      <c r="F490" s="69">
        <f>-F489/F473</f>
        <v>0.16770500000000002</v>
      </c>
      <c r="G490" s="69">
        <f>-G489/G473</f>
        <v>0.12731658929849476</v>
      </c>
    </row>
    <row r="491" spans="2:7" ht="15.75">
      <c r="B491" s="67" t="s">
        <v>927</v>
      </c>
      <c r="C491" s="154"/>
      <c r="D491" s="154">
        <f>Iusacell!Q103</f>
        <v>19935.099999999999</v>
      </c>
      <c r="E491" s="154">
        <f>Iusacell!R103</f>
        <v>0</v>
      </c>
      <c r="F491" s="154">
        <f>Iusacell!S103</f>
        <v>3175</v>
      </c>
      <c r="G491" s="154">
        <f>Iusacell!T103</f>
        <v>3327.5</v>
      </c>
    </row>
    <row r="492" spans="2:7" ht="15.75">
      <c r="B492" s="66" t="s">
        <v>225</v>
      </c>
      <c r="C492" s="122"/>
      <c r="D492" s="125">
        <f ca="1">D493-C493</f>
        <v>-13771.230329974554</v>
      </c>
      <c r="E492" s="125">
        <f ca="1">E493-D493</f>
        <v>9534.7303299745545</v>
      </c>
      <c r="F492" s="125">
        <f>F493-E493</f>
        <v>-27</v>
      </c>
      <c r="G492" s="125">
        <f ca="1">G493-F493</f>
        <v>-1470.0660121033052</v>
      </c>
    </row>
    <row r="493" spans="2:7" ht="15.75">
      <c r="B493" s="66" t="s">
        <v>224</v>
      </c>
      <c r="C493" s="125">
        <f>Iusacell!P106</f>
        <v>11998.5</v>
      </c>
      <c r="D493" s="125">
        <f ca="1">Iusacell!Q106</f>
        <v>-1772.7303299745545</v>
      </c>
      <c r="E493" s="125">
        <f>Iusacell!R106</f>
        <v>7762</v>
      </c>
      <c r="F493" s="125">
        <f>Iusacell!S106</f>
        <v>7735</v>
      </c>
      <c r="G493" s="125">
        <f ca="1">Iusacell!T106</f>
        <v>6264.9339878966948</v>
      </c>
    </row>
    <row r="494" spans="2:7" ht="15.75">
      <c r="B494" s="66" t="s">
        <v>270</v>
      </c>
      <c r="C494" s="125">
        <f>Iusacell!P109</f>
        <v>12630</v>
      </c>
      <c r="D494" s="125">
        <f>Iusacell!Q109</f>
        <v>9952</v>
      </c>
      <c r="E494" s="125">
        <f>Iusacell!R109</f>
        <v>8514</v>
      </c>
      <c r="F494" s="125">
        <f>Iusacell!S109</f>
        <v>8837</v>
      </c>
      <c r="G494" s="125">
        <f>Iusacell!T109</f>
        <v>8837</v>
      </c>
    </row>
    <row r="495" spans="2:7" ht="15.75">
      <c r="B495" s="66" t="s">
        <v>562</v>
      </c>
      <c r="C495" s="125">
        <f>Iusacell!P112</f>
        <v>631.5</v>
      </c>
      <c r="D495" s="125">
        <f ca="1">Iusacell!Q112</f>
        <v>11724.730329974553</v>
      </c>
      <c r="E495" s="125">
        <f>Iusacell!R112</f>
        <v>752</v>
      </c>
      <c r="F495" s="125">
        <f>Iusacell!S112</f>
        <v>1102</v>
      </c>
      <c r="G495" s="125">
        <f ca="1">Iusacell!T112</f>
        <v>2572.0660121033052</v>
      </c>
    </row>
    <row r="497" spans="2:8" ht="15.75">
      <c r="B497" s="66" t="s">
        <v>1699</v>
      </c>
    </row>
    <row r="498" spans="2:8" ht="15.75">
      <c r="B498" s="66" t="s">
        <v>1700</v>
      </c>
    </row>
    <row r="499" spans="2:8" ht="15.75">
      <c r="B499" s="66" t="s">
        <v>1701</v>
      </c>
    </row>
    <row r="500" spans="2:8" ht="15.75">
      <c r="B500" s="66" t="s">
        <v>1702</v>
      </c>
    </row>
    <row r="502" spans="2:8" ht="15.75">
      <c r="B502" s="235" t="s">
        <v>2169</v>
      </c>
    </row>
    <row r="503" spans="2:8" ht="15.75">
      <c r="B503" s="66"/>
    </row>
    <row r="504" spans="2:8" ht="15.75">
      <c r="B504" s="387" t="s">
        <v>1247</v>
      </c>
      <c r="C504" s="388">
        <v>2015</v>
      </c>
      <c r="D504" s="388">
        <f>C504+1</f>
        <v>2016</v>
      </c>
      <c r="E504" s="388">
        <f>D504+1</f>
        <v>2017</v>
      </c>
      <c r="F504" s="388">
        <f>E504+1</f>
        <v>2018</v>
      </c>
      <c r="G504" s="388">
        <f>F504+1</f>
        <v>2019</v>
      </c>
      <c r="H504" s="388">
        <f>G504+1</f>
        <v>2020</v>
      </c>
    </row>
    <row r="505" spans="2:8" ht="15.75">
      <c r="B505" s="142" t="str">
        <f>Master!B43</f>
        <v>Advertising</v>
      </c>
      <c r="C505" s="125">
        <f>Master!N43</f>
        <v>23029.3</v>
      </c>
      <c r="D505" s="125">
        <f>Master!O43</f>
        <v>23223.200000000001</v>
      </c>
      <c r="E505" s="125">
        <f>Master!P43</f>
        <v>20719</v>
      </c>
      <c r="F505" s="125">
        <f>Master!Q43</f>
        <v>21155</v>
      </c>
      <c r="G505" s="125">
        <f>Master!R43</f>
        <v>19420.400000000001</v>
      </c>
      <c r="H505" s="125">
        <f>Master!S43</f>
        <v>16349.8</v>
      </c>
    </row>
    <row r="506" spans="2:8" ht="15.75">
      <c r="B506" s="142" t="str">
        <f>Master!B44</f>
        <v>Network Subscription Revenue</v>
      </c>
      <c r="C506" s="125">
        <f>Master!N44</f>
        <v>3595.4</v>
      </c>
      <c r="D506" s="125">
        <f>Master!O44</f>
        <v>4399.3</v>
      </c>
      <c r="E506" s="125">
        <f>Master!P44</f>
        <v>4058</v>
      </c>
      <c r="F506" s="125">
        <f>Master!Q44</f>
        <v>4841</v>
      </c>
      <c r="G506" s="125">
        <f>Master!R44</f>
        <v>4939</v>
      </c>
      <c r="H506" s="125">
        <f>Master!S44</f>
        <v>5466.2</v>
      </c>
    </row>
    <row r="507" spans="2:8" ht="15.75">
      <c r="B507" s="142" t="str">
        <f>Master!B45</f>
        <v>Licensing and Syndication</v>
      </c>
      <c r="C507" s="125">
        <f>Master!N45</f>
        <v>7707.9</v>
      </c>
      <c r="D507" s="125">
        <f>Master!O45</f>
        <v>9064.2000000000007</v>
      </c>
      <c r="E507" s="125">
        <f>Master!P45</f>
        <v>9220</v>
      </c>
      <c r="F507" s="125">
        <f>Master!Q45</f>
        <v>10521</v>
      </c>
      <c r="G507" s="125">
        <f>Master!R45</f>
        <v>10436</v>
      </c>
      <c r="H507" s="125">
        <f>Master!S45</f>
        <v>10797</v>
      </c>
    </row>
    <row r="508" spans="2:8" ht="15.75">
      <c r="B508" s="142" t="str">
        <f>Master!B51</f>
        <v>Sky</v>
      </c>
      <c r="C508" s="125">
        <f>Master!N51</f>
        <v>19253.5</v>
      </c>
      <c r="D508" s="125">
        <f>Master!O51</f>
        <v>21941.200000000001</v>
      </c>
      <c r="E508" s="125">
        <f>Master!P51</f>
        <v>22197</v>
      </c>
      <c r="F508" s="125">
        <f>Master!Q51</f>
        <v>22002</v>
      </c>
      <c r="G508" s="125">
        <f>Master!R51</f>
        <v>21347</v>
      </c>
      <c r="H508" s="125">
        <f>Master!S51</f>
        <v>22134.7</v>
      </c>
    </row>
    <row r="509" spans="2:8" ht="15.75">
      <c r="B509" s="142" t="str">
        <f>Master!B52</f>
        <v>Cable and Telecom</v>
      </c>
      <c r="C509" s="125">
        <f>Master!N52</f>
        <v>28488.3</v>
      </c>
      <c r="D509" s="125">
        <f>Master!O52</f>
        <v>31891.599999999999</v>
      </c>
      <c r="E509" s="125">
        <f>Master!P52</f>
        <v>33048</v>
      </c>
      <c r="F509" s="125">
        <f>Master!Q52</f>
        <v>36233</v>
      </c>
      <c r="G509" s="125">
        <f>Master!R52</f>
        <v>41702</v>
      </c>
      <c r="H509" s="125">
        <f>Master!S52</f>
        <v>45367.1</v>
      </c>
    </row>
    <row r="510" spans="2:8" ht="15.75">
      <c r="B510" s="142" t="str">
        <f>Master!B53</f>
        <v>Other Businesses</v>
      </c>
      <c r="C510" s="125">
        <f>Master!N53</f>
        <v>8124.3</v>
      </c>
      <c r="D510" s="125">
        <f>Master!O53</f>
        <v>8828.2999999999993</v>
      </c>
      <c r="E510" s="125">
        <f>Master!P53</f>
        <v>8376</v>
      </c>
      <c r="F510" s="125">
        <f>Master!Q53</f>
        <v>8636</v>
      </c>
      <c r="G510" s="125">
        <f>Master!R53</f>
        <v>8200.2000000000007</v>
      </c>
      <c r="H510" s="125">
        <f>Master!S53</f>
        <v>4276</v>
      </c>
    </row>
    <row r="511" spans="2:8" ht="15.75">
      <c r="B511" s="126" t="s">
        <v>1887</v>
      </c>
      <c r="C511" s="154">
        <f>Master!N55</f>
        <v>-2146.9</v>
      </c>
      <c r="D511" s="154">
        <f>Master!O55</f>
        <v>-3064.4</v>
      </c>
      <c r="E511" s="154">
        <f>Master!P55</f>
        <v>-3343</v>
      </c>
      <c r="F511" s="154">
        <f>Master!Q55</f>
        <v>-4812</v>
      </c>
      <c r="G511" s="154">
        <f>Master!R55</f>
        <v>-5394</v>
      </c>
      <c r="H511" s="154">
        <f>Master!S55</f>
        <v>-7252.5</v>
      </c>
    </row>
    <row r="512" spans="2:8" ht="15.75">
      <c r="B512" s="66" t="s">
        <v>653</v>
      </c>
      <c r="C512" s="125">
        <f>Master!N5</f>
        <v>88052</v>
      </c>
      <c r="D512" s="125">
        <f>Master!O5</f>
        <v>96287.4</v>
      </c>
      <c r="E512" s="125">
        <f>Master!P5</f>
        <v>94275</v>
      </c>
      <c r="F512" s="125">
        <f>Master!Q5</f>
        <v>101310</v>
      </c>
      <c r="G512" s="125">
        <f>Master!R5</f>
        <v>100650.6</v>
      </c>
      <c r="H512" s="125">
        <f>Master!S5</f>
        <v>97138.3</v>
      </c>
    </row>
    <row r="513" spans="2:8" ht="15.75">
      <c r="B513" s="66"/>
      <c r="C513" s="125"/>
      <c r="D513" s="125"/>
      <c r="E513" s="125"/>
      <c r="F513" s="125"/>
      <c r="G513" s="125"/>
      <c r="H513" s="125"/>
    </row>
    <row r="514" spans="2:8" ht="15.75">
      <c r="B514" s="66" t="str">
        <f>Master!B65</f>
        <v>Content</v>
      </c>
      <c r="C514" s="125">
        <f>Master!N65</f>
        <v>14564.2</v>
      </c>
      <c r="D514" s="125">
        <f>Master!O65</f>
        <v>14748</v>
      </c>
      <c r="E514" s="125">
        <f>Master!P65</f>
        <v>12825</v>
      </c>
      <c r="F514" s="125">
        <f>Master!Q65</f>
        <v>14855</v>
      </c>
      <c r="G514" s="125">
        <f>Master!R65</f>
        <v>12632</v>
      </c>
      <c r="H514" s="125">
        <f>Master!S65</f>
        <v>12360.8</v>
      </c>
    </row>
    <row r="515" spans="2:8" ht="15.75">
      <c r="B515" s="66" t="str">
        <f>B508</f>
        <v>Sky</v>
      </c>
      <c r="C515" s="125">
        <f>Master!N67</f>
        <v>8972.2999999999993</v>
      </c>
      <c r="D515" s="125">
        <f>Master!O67</f>
        <v>9898.5</v>
      </c>
      <c r="E515" s="125">
        <f>Master!P67</f>
        <v>10107</v>
      </c>
      <c r="F515" s="125">
        <f>Master!Q67</f>
        <v>9767</v>
      </c>
      <c r="G515" s="125">
        <f>Master!R67</f>
        <v>9121</v>
      </c>
      <c r="H515" s="125">
        <f>Master!S67</f>
        <v>9135.7999999999993</v>
      </c>
    </row>
    <row r="516" spans="2:8" ht="15.75">
      <c r="B516" s="66" t="str">
        <f>B509</f>
        <v>Cable and Telecom</v>
      </c>
      <c r="C516" s="125">
        <f>Master!N68</f>
        <v>11405.6</v>
      </c>
      <c r="D516" s="125">
        <f>Master!O68</f>
        <v>13236.1</v>
      </c>
      <c r="E516" s="125">
        <f>Master!P68</f>
        <v>14035</v>
      </c>
      <c r="F516" s="125">
        <f>Master!Q68</f>
        <v>15303</v>
      </c>
      <c r="G516" s="125">
        <f>Master!R68</f>
        <v>17798</v>
      </c>
      <c r="H516" s="125">
        <f>Master!S68</f>
        <v>18898.3</v>
      </c>
    </row>
    <row r="517" spans="2:8" ht="15.75">
      <c r="B517" s="66" t="s">
        <v>44</v>
      </c>
      <c r="C517" s="125">
        <f>Master!N69</f>
        <v>753.2</v>
      </c>
      <c r="D517" s="125">
        <f>Master!O69</f>
        <v>1040.5999999999999</v>
      </c>
      <c r="E517" s="125">
        <f>Master!P69</f>
        <v>490</v>
      </c>
      <c r="F517" s="125">
        <f>Master!Q69</f>
        <v>754</v>
      </c>
      <c r="G517" s="125">
        <f>Master!R69</f>
        <v>1464</v>
      </c>
      <c r="H517" s="125">
        <f>Master!S69</f>
        <v>116.5</v>
      </c>
    </row>
    <row r="518" spans="2:8" ht="15.75">
      <c r="B518" s="66" t="s">
        <v>2173</v>
      </c>
      <c r="C518" s="125">
        <f>Master!N71</f>
        <v>-1960.8</v>
      </c>
      <c r="D518" s="125">
        <f>Master!O71</f>
        <v>-2207.9</v>
      </c>
      <c r="E518" s="125">
        <f>Master!P71</f>
        <v>-2291</v>
      </c>
      <c r="F518" s="125">
        <f>Master!Q71</f>
        <v>-2155</v>
      </c>
      <c r="G518" s="125">
        <f>Master!R71</f>
        <v>-1888</v>
      </c>
      <c r="H518" s="125">
        <f>Master!S71</f>
        <v>-1882.9</v>
      </c>
    </row>
    <row r="519" spans="2:8" ht="15.75">
      <c r="B519" s="67" t="s">
        <v>44</v>
      </c>
      <c r="C519" s="154">
        <f>Master!N72</f>
        <v>-1359.2</v>
      </c>
      <c r="D519" s="154">
        <f>Master!O72</f>
        <v>-3137.4</v>
      </c>
      <c r="E519" s="154">
        <f>Master!P72</f>
        <v>-2386</v>
      </c>
      <c r="F519" s="154">
        <f>Master!Q72</f>
        <v>-1951.5000000000002</v>
      </c>
      <c r="G519" s="154">
        <f>Master!R72</f>
        <v>-908.9</v>
      </c>
      <c r="H519" s="154">
        <f>Master!S72</f>
        <v>181.8</v>
      </c>
    </row>
    <row r="520" spans="2:8" ht="15.75">
      <c r="B520" s="66" t="s">
        <v>57</v>
      </c>
      <c r="C520" s="125">
        <f>Master!N13</f>
        <v>32375.299999999992</v>
      </c>
      <c r="D520" s="125">
        <f>Master!O13</f>
        <v>33577.899999999994</v>
      </c>
      <c r="E520" s="125">
        <f>Master!P13</f>
        <v>32780</v>
      </c>
      <c r="F520" s="125">
        <f>Master!Q13</f>
        <v>36572.5</v>
      </c>
      <c r="G520" s="125">
        <f>Master!R13</f>
        <v>38218.1</v>
      </c>
      <c r="H520" s="125">
        <f>Master!S13</f>
        <v>38810.299999999996</v>
      </c>
    </row>
    <row r="521" spans="2:8" ht="15.75">
      <c r="B521" s="66"/>
      <c r="C521" s="125"/>
      <c r="D521" s="125"/>
      <c r="E521" s="125"/>
      <c r="F521" s="125"/>
      <c r="G521" s="125"/>
      <c r="H521" s="125"/>
    </row>
    <row r="522" spans="2:8" ht="15.75">
      <c r="B522" s="66" t="s">
        <v>201</v>
      </c>
      <c r="C522" s="125">
        <f>Master!N90</f>
        <v>25477.698</v>
      </c>
      <c r="D522" s="125">
        <f>Master!O90</f>
        <v>27913.08</v>
      </c>
      <c r="E522" s="125">
        <f>Master!P90</f>
        <v>16720.829999999998</v>
      </c>
      <c r="F522" s="125">
        <f>Master!Q90</f>
        <v>18660.95</v>
      </c>
      <c r="G522" s="125">
        <f>Master!R90</f>
        <v>19067.125</v>
      </c>
      <c r="H522" s="125">
        <f>Master!S90</f>
        <v>20178.311999999998</v>
      </c>
    </row>
    <row r="523" spans="2:8" ht="15.75">
      <c r="B523" s="66" t="s">
        <v>203</v>
      </c>
      <c r="C523" s="125">
        <f t="shared" ref="C523:H523" si="40">C520-C522</f>
        <v>6897.6019999999917</v>
      </c>
      <c r="D523" s="125">
        <f t="shared" si="40"/>
        <v>5664.8199999999924</v>
      </c>
      <c r="E523" s="125">
        <f t="shared" si="40"/>
        <v>16059.170000000002</v>
      </c>
      <c r="F523" s="125">
        <f t="shared" si="40"/>
        <v>17911.55</v>
      </c>
      <c r="G523" s="125">
        <f t="shared" si="40"/>
        <v>19150.974999999999</v>
      </c>
      <c r="H523" s="125">
        <f t="shared" si="40"/>
        <v>18631.987999999998</v>
      </c>
    </row>
    <row r="524" spans="2:8" ht="15.75">
      <c r="B524" s="66"/>
      <c r="C524" s="66"/>
      <c r="D524" s="66"/>
      <c r="E524" s="66"/>
    </row>
    <row r="525" spans="2:8" ht="15.75">
      <c r="B525" s="217" t="s">
        <v>1248</v>
      </c>
      <c r="C525" s="217">
        <f t="shared" ref="C525:H525" si="41">C504</f>
        <v>2015</v>
      </c>
      <c r="D525" s="217">
        <f t="shared" si="41"/>
        <v>2016</v>
      </c>
      <c r="E525" s="217">
        <f t="shared" si="41"/>
        <v>2017</v>
      </c>
      <c r="F525" s="217">
        <f t="shared" si="41"/>
        <v>2018</v>
      </c>
      <c r="G525" s="217">
        <f t="shared" si="41"/>
        <v>2019</v>
      </c>
      <c r="H525" s="217">
        <f t="shared" si="41"/>
        <v>2020</v>
      </c>
    </row>
    <row r="526" spans="2:8" ht="15.75">
      <c r="B526" s="66" t="str">
        <f t="shared" ref="B526:B533" si="42">B505</f>
        <v>Advertising</v>
      </c>
      <c r="C526" s="125">
        <v>26293.335249999996</v>
      </c>
      <c r="D526" s="125">
        <v>27410.801998124996</v>
      </c>
      <c r="E526" s="125">
        <v>28233.126058068749</v>
      </c>
      <c r="F526" s="125">
        <v>29023.653587694673</v>
      </c>
      <c r="G526" s="125">
        <v>29836.315888150126</v>
      </c>
      <c r="H526" s="125">
        <v>30671.732733018329</v>
      </c>
    </row>
    <row r="527" spans="2:8" ht="15.75">
      <c r="B527" s="66" t="str">
        <f t="shared" si="42"/>
        <v>Network Subscription Revenue</v>
      </c>
      <c r="C527" s="125">
        <v>3464.08</v>
      </c>
      <c r="D527" s="125">
        <v>3710.0296800000001</v>
      </c>
      <c r="E527" s="125">
        <v>3859.5438761040004</v>
      </c>
      <c r="F527" s="125">
        <v>4015.0834943109917</v>
      </c>
      <c r="G527" s="125">
        <v>4176.8913591317241</v>
      </c>
      <c r="H527" s="125">
        <v>4345.2200809047335</v>
      </c>
    </row>
    <row r="528" spans="2:8" ht="15.75">
      <c r="B528" s="66" t="str">
        <f t="shared" si="42"/>
        <v>Licensing and Syndication</v>
      </c>
      <c r="C528" s="125">
        <v>7263.926394350111</v>
      </c>
      <c r="D528" s="125">
        <v>7725.5696856931136</v>
      </c>
      <c r="E528" s="125">
        <v>8141.5254983060377</v>
      </c>
      <c r="F528" s="125">
        <v>10575.343940880757</v>
      </c>
      <c r="G528" s="125">
        <v>11147.491972447291</v>
      </c>
      <c r="H528" s="125">
        <v>11755.933649845434</v>
      </c>
    </row>
    <row r="529" spans="2:8" ht="15.75">
      <c r="B529" s="66" t="str">
        <f t="shared" si="42"/>
        <v>Sky</v>
      </c>
      <c r="C529" s="125">
        <v>19239.487535303168</v>
      </c>
      <c r="D529" s="125">
        <v>20994.278688562281</v>
      </c>
      <c r="E529" s="125">
        <v>22640.319359957975</v>
      </c>
      <c r="F529" s="125">
        <v>23979.627470345695</v>
      </c>
      <c r="G529" s="125">
        <v>25177.609998386117</v>
      </c>
      <c r="H529" s="125">
        <v>26419.85435590045</v>
      </c>
    </row>
    <row r="530" spans="2:8" ht="15.75">
      <c r="B530" s="66" t="str">
        <f t="shared" si="42"/>
        <v>Cable and Telecom</v>
      </c>
      <c r="C530" s="125">
        <v>28313.433436078405</v>
      </c>
      <c r="D530" s="125">
        <v>31469.872174631899</v>
      </c>
      <c r="E530" s="125">
        <v>35211.728213540453</v>
      </c>
      <c r="F530" s="125">
        <v>39638.00896327501</v>
      </c>
      <c r="G530" s="125">
        <v>44564.432803909614</v>
      </c>
      <c r="H530" s="125">
        <v>49996.177661933718</v>
      </c>
    </row>
    <row r="531" spans="2:8" ht="15.75">
      <c r="B531" s="66" t="str">
        <f t="shared" si="42"/>
        <v>Other Businesses</v>
      </c>
      <c r="C531" s="125">
        <v>8204.2000000000007</v>
      </c>
      <c r="D531" s="125">
        <v>8286.2420000000002</v>
      </c>
      <c r="E531" s="125">
        <v>8369.1044199999997</v>
      </c>
      <c r="F531" s="125">
        <v>8452.7954642000004</v>
      </c>
      <c r="G531" s="125">
        <v>8537.323418842001</v>
      </c>
      <c r="H531" s="125">
        <v>8622.6966530304217</v>
      </c>
    </row>
    <row r="532" spans="2:8" ht="15.75">
      <c r="B532" s="66" t="str">
        <f t="shared" si="42"/>
        <v>Intersegment</v>
      </c>
      <c r="C532" s="125">
        <v>-1581.7459838398818</v>
      </c>
      <c r="D532" s="125">
        <v>-1697.9892189460743</v>
      </c>
      <c r="E532" s="125">
        <v>-1814.918177149952</v>
      </c>
      <c r="F532" s="125">
        <v>-1972.2628349930685</v>
      </c>
      <c r="G532" s="125">
        <v>-2104.48440566115</v>
      </c>
      <c r="H532" s="125">
        <v>-2247.2078862330882</v>
      </c>
    </row>
    <row r="533" spans="2:8" ht="15.75">
      <c r="B533" s="66" t="str">
        <f t="shared" si="42"/>
        <v>Revs</v>
      </c>
      <c r="C533" s="125">
        <v>91196.716631891817</v>
      </c>
      <c r="D533" s="125">
        <v>97898.805008066207</v>
      </c>
      <c r="E533" s="125">
        <v>104640.42924882725</v>
      </c>
      <c r="F533" s="125">
        <v>113712.25008571405</v>
      </c>
      <c r="G533" s="125">
        <v>121335.58103520573</v>
      </c>
      <c r="H533" s="125">
        <v>129564.40724840001</v>
      </c>
    </row>
    <row r="534" spans="2:8" ht="15.75">
      <c r="B534" s="66"/>
      <c r="C534" s="125"/>
      <c r="D534" s="125"/>
      <c r="E534" s="125"/>
      <c r="F534" s="125"/>
      <c r="G534" s="125"/>
      <c r="H534" s="125"/>
    </row>
    <row r="535" spans="2:8" ht="15.75">
      <c r="B535" s="66" t="s">
        <v>145</v>
      </c>
      <c r="C535" s="125">
        <v>16289.39032351405</v>
      </c>
      <c r="D535" s="125">
        <v>17092.416600079967</v>
      </c>
      <c r="E535" s="125">
        <v>17703.045990290666</v>
      </c>
      <c r="F535" s="125">
        <v>20716.688485871051</v>
      </c>
      <c r="G535" s="125">
        <v>21677.135625469986</v>
      </c>
      <c r="H535" s="125">
        <v>22684.849934927719</v>
      </c>
    </row>
    <row r="536" spans="2:8" ht="15.75">
      <c r="B536" s="66" t="s">
        <v>128</v>
      </c>
      <c r="C536" s="125">
        <v>8989.7922480990874</v>
      </c>
      <c r="D536" s="125">
        <v>9767.7427809734672</v>
      </c>
      <c r="E536" s="125">
        <v>10510.935006933267</v>
      </c>
      <c r="F536" s="125">
        <v>11108.73903360348</v>
      </c>
      <c r="G536" s="125">
        <v>11638.535652761699</v>
      </c>
      <c r="H536" s="125">
        <v>12186.352401693377</v>
      </c>
    </row>
    <row r="537" spans="2:8" ht="15.75">
      <c r="B537" s="66" t="s">
        <v>129</v>
      </c>
      <c r="C537" s="125">
        <v>10946.16307548029</v>
      </c>
      <c r="D537" s="125">
        <v>12049.617819905827</v>
      </c>
      <c r="E537" s="125">
        <v>13378.623606124978</v>
      </c>
      <c r="F537" s="125">
        <v>15167.38894417695</v>
      </c>
      <c r="G537" s="125">
        <v>17018.225466060674</v>
      </c>
      <c r="H537" s="125">
        <v>19072.350045193867</v>
      </c>
    </row>
    <row r="538" spans="2:8" ht="15.75">
      <c r="B538" s="66" t="s">
        <v>44</v>
      </c>
      <c r="C538" s="125">
        <v>716.32000000000289</v>
      </c>
      <c r="D538" s="125">
        <v>709.15680000000282</v>
      </c>
      <c r="E538" s="125">
        <v>702.06523200000277</v>
      </c>
      <c r="F538" s="125">
        <v>695.0445796800027</v>
      </c>
      <c r="G538" s="125">
        <v>688.09413388320263</v>
      </c>
      <c r="H538" s="125">
        <v>681.2131925443706</v>
      </c>
    </row>
    <row r="539" spans="2:8" ht="15.75">
      <c r="B539" s="66" t="s">
        <v>2173</v>
      </c>
      <c r="C539" s="125">
        <v>-1500.6774999999998</v>
      </c>
      <c r="D539" s="125">
        <v>-1523.1876624999995</v>
      </c>
      <c r="E539" s="125">
        <v>-1546.0354774374994</v>
      </c>
      <c r="F539" s="125">
        <v>-1569.2260095990616</v>
      </c>
      <c r="G539" s="125">
        <v>-1592.7643997430473</v>
      </c>
      <c r="H539" s="125">
        <v>-1616.6558657391929</v>
      </c>
    </row>
    <row r="540" spans="2:8" ht="15.75">
      <c r="B540" s="67" t="s">
        <v>44</v>
      </c>
      <c r="C540" s="154">
        <v>-713.97000000000025</v>
      </c>
      <c r="D540" s="154">
        <v>-713.97000000000025</v>
      </c>
      <c r="E540" s="154">
        <v>-713.97000000000025</v>
      </c>
      <c r="F540" s="154">
        <v>-713.97000000000025</v>
      </c>
      <c r="G540" s="154">
        <v>-713.97000000000025</v>
      </c>
      <c r="H540" s="154">
        <v>-713.97000000000025</v>
      </c>
    </row>
    <row r="541" spans="2:8" ht="15.75">
      <c r="B541" s="66" t="s">
        <v>57</v>
      </c>
      <c r="C541" s="125">
        <v>34727.018147093426</v>
      </c>
      <c r="D541" s="125">
        <v>37381.776338459262</v>
      </c>
      <c r="E541" s="125">
        <v>40034.66435791141</v>
      </c>
      <c r="F541" s="125">
        <v>45404.665033732424</v>
      </c>
      <c r="G541" s="125">
        <v>48715.256478432515</v>
      </c>
      <c r="H541" s="125">
        <v>52294.139708620132</v>
      </c>
    </row>
    <row r="542" spans="2:8" ht="15.75">
      <c r="B542" s="66"/>
      <c r="C542" s="125"/>
      <c r="D542" s="125"/>
      <c r="E542" s="125"/>
      <c r="F542" s="125"/>
      <c r="G542" s="125"/>
      <c r="H542" s="125"/>
    </row>
    <row r="543" spans="2:8" ht="15.75">
      <c r="B543" s="66" t="s">
        <v>201</v>
      </c>
      <c r="C543" s="125">
        <v>21071.627795071079</v>
      </c>
      <c r="D543" s="125">
        <v>21421.60512031737</v>
      </c>
      <c r="E543" s="125">
        <v>19056.978138311977</v>
      </c>
      <c r="F543" s="125">
        <v>16791.139589814258</v>
      </c>
      <c r="G543" s="125">
        <v>14940.580025812907</v>
      </c>
      <c r="H543" s="125">
        <v>15407.464170827801</v>
      </c>
    </row>
    <row r="544" spans="2:8" ht="15.75">
      <c r="B544" s="66" t="s">
        <v>203</v>
      </c>
      <c r="C544" s="125">
        <f t="shared" ref="C544:H544" si="43">C541-C543</f>
        <v>13655.390352022347</v>
      </c>
      <c r="D544" s="125">
        <f t="shared" si="43"/>
        <v>15960.171218141892</v>
      </c>
      <c r="E544" s="125">
        <f t="shared" si="43"/>
        <v>20977.686219599433</v>
      </c>
      <c r="F544" s="125">
        <f t="shared" si="43"/>
        <v>28613.525443918166</v>
      </c>
      <c r="G544" s="125">
        <f t="shared" si="43"/>
        <v>33774.676452619606</v>
      </c>
      <c r="H544" s="125">
        <f t="shared" si="43"/>
        <v>36886.675537792333</v>
      </c>
    </row>
    <row r="545" spans="2:8" ht="15.75">
      <c r="B545" s="66"/>
      <c r="C545" s="66"/>
      <c r="D545" s="66"/>
      <c r="E545" s="66"/>
      <c r="F545" s="66"/>
      <c r="G545" s="66"/>
      <c r="H545" s="66"/>
    </row>
    <row r="546" spans="2:8" ht="15.75">
      <c r="B546" s="217" t="s">
        <v>1888</v>
      </c>
      <c r="C546" s="217">
        <f t="shared" ref="C546:H546" si="44">C525</f>
        <v>2015</v>
      </c>
      <c r="D546" s="217">
        <f t="shared" si="44"/>
        <v>2016</v>
      </c>
      <c r="E546" s="217">
        <f t="shared" si="44"/>
        <v>2017</v>
      </c>
      <c r="F546" s="217">
        <f t="shared" si="44"/>
        <v>2018</v>
      </c>
      <c r="G546" s="217">
        <f t="shared" si="44"/>
        <v>2019</v>
      </c>
      <c r="H546" s="217">
        <f t="shared" si="44"/>
        <v>2020</v>
      </c>
    </row>
    <row r="547" spans="2:8" ht="15.75">
      <c r="B547" s="66" t="str">
        <f t="shared" ref="B547:B554" si="45">B526</f>
        <v>Advertising</v>
      </c>
      <c r="C547" s="116">
        <f t="shared" ref="C547:H554" si="46">C505/C526-1</f>
        <v>-0.12413926262930064</v>
      </c>
      <c r="D547" s="116">
        <f t="shared" si="46"/>
        <v>-0.15277196188610032</v>
      </c>
      <c r="E547" s="116">
        <f t="shared" si="46"/>
        <v>-0.26614573400812924</v>
      </c>
      <c r="F547" s="116">
        <f t="shared" si="46"/>
        <v>-0.27111175248559305</v>
      </c>
      <c r="G547" s="116">
        <f t="shared" si="46"/>
        <v>-0.34910194432841957</v>
      </c>
      <c r="H547" s="116">
        <f t="shared" si="46"/>
        <v>-0.46694240777602602</v>
      </c>
    </row>
    <row r="548" spans="2:8" ht="15.75">
      <c r="B548" s="66" t="str">
        <f t="shared" si="45"/>
        <v>Network Subscription Revenue</v>
      </c>
      <c r="C548" s="116">
        <f t="shared" si="46"/>
        <v>3.7909055218124266E-2</v>
      </c>
      <c r="D548" s="116">
        <f t="shared" si="46"/>
        <v>0.18578566196268276</v>
      </c>
      <c r="E548" s="116">
        <f t="shared" si="46"/>
        <v>5.1419579687828287E-2</v>
      </c>
      <c r="F548" s="116">
        <f t="shared" si="46"/>
        <v>0.20570344473763913</v>
      </c>
      <c r="G548" s="116">
        <f t="shared" si="46"/>
        <v>0.18245833452242333</v>
      </c>
      <c r="H548" s="116">
        <f t="shared" si="46"/>
        <v>0.25798000980927593</v>
      </c>
    </row>
    <row r="549" spans="2:8" ht="15.75">
      <c r="B549" s="66" t="str">
        <f t="shared" si="45"/>
        <v>Licensing and Syndication</v>
      </c>
      <c r="C549" s="116">
        <f t="shared" si="46"/>
        <v>6.1120333762634482E-2</v>
      </c>
      <c r="D549" s="116">
        <f t="shared" si="46"/>
        <v>0.17327269946006441</v>
      </c>
      <c r="E549" s="116">
        <f t="shared" si="46"/>
        <v>0.13246589990025259</v>
      </c>
      <c r="F549" s="116">
        <f t="shared" si="46"/>
        <v>-5.1387398069089318E-3</v>
      </c>
      <c r="G549" s="116">
        <f t="shared" si="46"/>
        <v>-6.3825295789030512E-2</v>
      </c>
      <c r="H549" s="116">
        <f t="shared" si="46"/>
        <v>-8.1570182208202779E-2</v>
      </c>
    </row>
    <row r="550" spans="2:8" ht="15.75">
      <c r="B550" s="66" t="str">
        <f t="shared" si="45"/>
        <v>Sky</v>
      </c>
      <c r="C550" s="116">
        <f t="shared" si="46"/>
        <v>7.2831797994199476E-4</v>
      </c>
      <c r="D550" s="116">
        <f t="shared" si="46"/>
        <v>4.5103779247895881E-2</v>
      </c>
      <c r="E550" s="116">
        <f t="shared" si="46"/>
        <v>-1.9580967605167143E-2</v>
      </c>
      <c r="F550" s="116">
        <f t="shared" si="46"/>
        <v>-8.2471150679522376E-2</v>
      </c>
      <c r="G550" s="116">
        <f t="shared" si="46"/>
        <v>-0.15214351158158612</v>
      </c>
      <c r="H550" s="116">
        <f t="shared" si="46"/>
        <v>-0.16219447307223434</v>
      </c>
    </row>
    <row r="551" spans="2:8" ht="15.75">
      <c r="B551" s="66" t="str">
        <f t="shared" si="45"/>
        <v>Cable and Telecom</v>
      </c>
      <c r="C551" s="116">
        <f t="shared" si="46"/>
        <v>6.1760988583874354E-3</v>
      </c>
      <c r="D551" s="116">
        <f t="shared" si="46"/>
        <v>1.3401002172104715E-2</v>
      </c>
      <c r="E551" s="116">
        <f t="shared" si="46"/>
        <v>-6.1449077432910726E-2</v>
      </c>
      <c r="F551" s="116">
        <f t="shared" si="46"/>
        <v>-8.590262357601719E-2</v>
      </c>
      <c r="G551" s="116">
        <f t="shared" si="46"/>
        <v>-6.4231330319063251E-2</v>
      </c>
      <c r="H551" s="116">
        <f t="shared" si="46"/>
        <v>-9.2588631339675875E-2</v>
      </c>
    </row>
    <row r="552" spans="2:8" ht="15.75">
      <c r="B552" s="66" t="str">
        <f t="shared" si="45"/>
        <v>Other Businesses</v>
      </c>
      <c r="C552" s="116">
        <f t="shared" si="46"/>
        <v>-9.7389142146705465E-3</v>
      </c>
      <c r="D552" s="116">
        <f t="shared" si="46"/>
        <v>6.5416626741048534E-2</v>
      </c>
      <c r="E552" s="116">
        <f t="shared" si="46"/>
        <v>8.2393284322290761E-4</v>
      </c>
      <c r="F552" s="116">
        <f t="shared" si="46"/>
        <v>2.1673839923836313E-2</v>
      </c>
      <c r="G552" s="116">
        <f t="shared" si="46"/>
        <v>-3.9488186437679484E-2</v>
      </c>
      <c r="H552" s="116">
        <f t="shared" si="46"/>
        <v>-0.50409945147528612</v>
      </c>
    </row>
    <row r="553" spans="2:8" ht="15.75">
      <c r="B553" s="67" t="str">
        <f t="shared" si="45"/>
        <v>Intersegment</v>
      </c>
      <c r="C553" s="123">
        <f t="shared" si="46"/>
        <v>0.35729758250318921</v>
      </c>
      <c r="D553" s="123">
        <f t="shared" si="46"/>
        <v>0.80472288387204483</v>
      </c>
      <c r="E553" s="123">
        <f t="shared" si="46"/>
        <v>0.84195631631706047</v>
      </c>
      <c r="F553" s="123">
        <f t="shared" si="46"/>
        <v>1.4398370818648578</v>
      </c>
      <c r="G553" s="123">
        <f t="shared" si="46"/>
        <v>1.5630981087291107</v>
      </c>
      <c r="H553" s="123">
        <f t="shared" si="46"/>
        <v>2.227338264710836</v>
      </c>
    </row>
    <row r="554" spans="2:8" ht="15.75">
      <c r="B554" s="66" t="str">
        <f t="shared" si="45"/>
        <v>Revs</v>
      </c>
      <c r="C554" s="116">
        <f t="shared" si="46"/>
        <v>-3.4482783460124011E-2</v>
      </c>
      <c r="D554" s="116">
        <f t="shared" si="46"/>
        <v>-1.6459904775481649E-2</v>
      </c>
      <c r="E554" s="116">
        <f t="shared" si="46"/>
        <v>-9.9057594882175248E-2</v>
      </c>
      <c r="F554" s="116">
        <f t="shared" si="46"/>
        <v>-0.10906696575228692</v>
      </c>
      <c r="G554" s="116">
        <f t="shared" si="46"/>
        <v>-0.17047745483003818</v>
      </c>
      <c r="H554" s="116">
        <f t="shared" si="46"/>
        <v>-0.25027017787557115</v>
      </c>
    </row>
    <row r="556" spans="2:8" ht="15.75">
      <c r="B556" s="66" t="str">
        <f t="shared" ref="B556:B561" si="47">B535</f>
        <v>Content</v>
      </c>
      <c r="C556" s="116">
        <f t="shared" ref="C556:H562" si="48">C514/C535-1</f>
        <v>-0.10590883324980571</v>
      </c>
      <c r="D556" s="116">
        <f t="shared" si="48"/>
        <v>-0.1371612133575657</v>
      </c>
      <c r="E556" s="116">
        <f t="shared" si="48"/>
        <v>-0.27554839957858424</v>
      </c>
      <c r="F556" s="116">
        <f t="shared" si="48"/>
        <v>-0.28294524435547552</v>
      </c>
      <c r="G556" s="116">
        <f t="shared" si="48"/>
        <v>-0.41726618229219459</v>
      </c>
      <c r="H556" s="116">
        <f t="shared" si="48"/>
        <v>-0.45510770247731924</v>
      </c>
    </row>
    <row r="557" spans="2:8" ht="15.75">
      <c r="B557" s="66" t="str">
        <f t="shared" si="47"/>
        <v>Sky</v>
      </c>
      <c r="C557" s="116">
        <f t="shared" si="48"/>
        <v>-1.945790026770311E-3</v>
      </c>
      <c r="D557" s="116">
        <f t="shared" si="48"/>
        <v>1.338663619206204E-2</v>
      </c>
      <c r="E557" s="116">
        <f t="shared" si="48"/>
        <v>-3.8429978557266486E-2</v>
      </c>
      <c r="F557" s="116">
        <f t="shared" si="48"/>
        <v>-0.12078229847193056</v>
      </c>
      <c r="G557" s="116">
        <f t="shared" si="48"/>
        <v>-0.21631034417670192</v>
      </c>
      <c r="H557" s="116">
        <f t="shared" si="48"/>
        <v>-0.25032530663313846</v>
      </c>
    </row>
    <row r="558" spans="2:8" ht="15.75">
      <c r="B558" s="66" t="str">
        <f t="shared" si="47"/>
        <v>Cable and Telecom</v>
      </c>
      <c r="C558" s="116">
        <f t="shared" si="48"/>
        <v>4.197241730747292E-2</v>
      </c>
      <c r="D558" s="116">
        <f t="shared" si="48"/>
        <v>9.8466374438375803E-2</v>
      </c>
      <c r="E558" s="116">
        <f t="shared" si="48"/>
        <v>4.9061578619681079E-2</v>
      </c>
      <c r="F558" s="116">
        <f t="shared" si="48"/>
        <v>8.9409625033129991E-3</v>
      </c>
      <c r="G558" s="116">
        <f t="shared" si="48"/>
        <v>4.5819967275344098E-2</v>
      </c>
      <c r="H558" s="116">
        <f t="shared" si="48"/>
        <v>-9.125778668147233E-3</v>
      </c>
    </row>
    <row r="559" spans="2:8" ht="15.75">
      <c r="B559" s="66" t="str">
        <f t="shared" si="47"/>
        <v>Other</v>
      </c>
      <c r="C559" s="116">
        <f t="shared" si="48"/>
        <v>5.1485369667183756E-2</v>
      </c>
      <c r="D559" s="116">
        <f t="shared" si="48"/>
        <v>0.46737646737646132</v>
      </c>
      <c r="E559" s="116">
        <f t="shared" si="48"/>
        <v>-0.30205915680496476</v>
      </c>
      <c r="F559" s="116">
        <f t="shared" si="48"/>
        <v>8.4822502100714514E-2</v>
      </c>
      <c r="G559" s="116">
        <f t="shared" si="48"/>
        <v>1.1276158710117703</v>
      </c>
      <c r="H559" s="116">
        <f t="shared" si="48"/>
        <v>-0.82898158568411484</v>
      </c>
    </row>
    <row r="560" spans="2:8" ht="15.75">
      <c r="B560" s="66" t="str">
        <f t="shared" si="47"/>
        <v>Corporate</v>
      </c>
      <c r="C560" s="116">
        <f t="shared" si="48"/>
        <v>0.30660984788537204</v>
      </c>
      <c r="D560" s="116">
        <f t="shared" si="48"/>
        <v>0.44952592143254755</v>
      </c>
      <c r="E560" s="116">
        <f t="shared" si="48"/>
        <v>0.48185473970963044</v>
      </c>
      <c r="F560" s="116">
        <f t="shared" si="48"/>
        <v>0.37328847904490448</v>
      </c>
      <c r="G560" s="116">
        <f t="shared" si="48"/>
        <v>0.18536049669654941</v>
      </c>
      <c r="H560" s="116">
        <f t="shared" si="48"/>
        <v>0.16468819363672726</v>
      </c>
    </row>
    <row r="561" spans="2:15" ht="15.75">
      <c r="B561" s="67" t="str">
        <f t="shared" si="47"/>
        <v>Other</v>
      </c>
      <c r="C561" s="123">
        <f t="shared" si="48"/>
        <v>0.9037214448786357</v>
      </c>
      <c r="D561" s="123">
        <f t="shared" si="48"/>
        <v>3.3943022816084696</v>
      </c>
      <c r="E561" s="123">
        <f t="shared" si="48"/>
        <v>2.3418771096824784</v>
      </c>
      <c r="F561" s="123">
        <f t="shared" si="48"/>
        <v>1.7333081221900075</v>
      </c>
      <c r="G561" s="123">
        <f t="shared" si="48"/>
        <v>0.27302267602280161</v>
      </c>
      <c r="H561" s="123">
        <f t="shared" si="48"/>
        <v>-1.2546325475860329</v>
      </c>
    </row>
    <row r="562" spans="2:15" ht="15.75">
      <c r="B562" s="66" t="s">
        <v>57</v>
      </c>
      <c r="C562" s="116">
        <f t="shared" si="48"/>
        <v>-6.7720128953549841E-2</v>
      </c>
      <c r="D562" s="116">
        <f t="shared" si="48"/>
        <v>-0.10175750622491819</v>
      </c>
      <c r="E562" s="116">
        <f t="shared" si="48"/>
        <v>-0.18120957111203517</v>
      </c>
      <c r="F562" s="116">
        <f t="shared" si="48"/>
        <v>-0.19452109220871372</v>
      </c>
      <c r="G562" s="116">
        <f t="shared" si="48"/>
        <v>-0.21547985656361834</v>
      </c>
      <c r="H562" s="116">
        <f t="shared" si="48"/>
        <v>-0.25784609487317889</v>
      </c>
    </row>
    <row r="563" spans="2:15" ht="15.75">
      <c r="B563" s="66"/>
      <c r="C563" s="116"/>
      <c r="D563" s="116"/>
      <c r="E563" s="116"/>
      <c r="F563" s="116"/>
      <c r="G563" s="116"/>
      <c r="H563" s="116"/>
    </row>
    <row r="564" spans="2:15" ht="15.75">
      <c r="B564" s="66" t="s">
        <v>201</v>
      </c>
      <c r="C564" s="116">
        <f t="shared" ref="C564:H565" si="49">C522/C543-1</f>
        <v>0.20909965987343204</v>
      </c>
      <c r="D564" s="116">
        <f t="shared" si="49"/>
        <v>0.30303400904004985</v>
      </c>
      <c r="E564" s="116">
        <f t="shared" si="49"/>
        <v>-0.12258754359461677</v>
      </c>
      <c r="F564" s="116">
        <f t="shared" si="49"/>
        <v>0.11135696896475067</v>
      </c>
      <c r="G564" s="116">
        <f t="shared" si="49"/>
        <v>0.27619710660882246</v>
      </c>
      <c r="H564" s="116">
        <f t="shared" si="49"/>
        <v>0.30964523274408973</v>
      </c>
    </row>
    <row r="565" spans="2:15" ht="15.75">
      <c r="B565" s="66" t="s">
        <v>203</v>
      </c>
      <c r="C565" s="116">
        <f t="shared" si="49"/>
        <v>-0.49488064257507913</v>
      </c>
      <c r="D565" s="116">
        <f t="shared" si="49"/>
        <v>-0.6450652112327715</v>
      </c>
      <c r="E565" s="116">
        <f t="shared" si="49"/>
        <v>-0.23446419057427148</v>
      </c>
      <c r="F565" s="116">
        <f t="shared" si="49"/>
        <v>-0.37401806585818254</v>
      </c>
      <c r="G565" s="116">
        <f t="shared" si="49"/>
        <v>-0.43297828398546734</v>
      </c>
      <c r="H565" s="116">
        <f t="shared" si="49"/>
        <v>-0.49488568084942897</v>
      </c>
      <c r="O565" t="s">
        <v>84</v>
      </c>
    </row>
    <row r="567" spans="2:15">
      <c r="B567" t="s">
        <v>1915</v>
      </c>
      <c r="C567">
        <v>2013</v>
      </c>
      <c r="D567">
        <v>2014</v>
      </c>
    </row>
    <row r="569" spans="2:15">
      <c r="B569" t="s">
        <v>270</v>
      </c>
      <c r="C569">
        <f>Master!L262</f>
        <v>60864</v>
      </c>
      <c r="D569">
        <f>Master!M262</f>
        <v>80660.5</v>
      </c>
    </row>
    <row r="570" spans="2:15">
      <c r="B570" s="264" t="s">
        <v>1916</v>
      </c>
      <c r="C570">
        <v>29383</v>
      </c>
      <c r="D570">
        <f>C570+D577</f>
        <v>42383</v>
      </c>
    </row>
    <row r="571" spans="2:15">
      <c r="B571" s="264" t="s">
        <v>1919</v>
      </c>
      <c r="C571">
        <v>34845</v>
      </c>
      <c r="D571">
        <f>C571+D578</f>
        <v>40845</v>
      </c>
    </row>
    <row r="572" spans="2:15">
      <c r="B572" s="264" t="s">
        <v>1917</v>
      </c>
      <c r="C572">
        <f>C569-C570-C571</f>
        <v>-3364</v>
      </c>
      <c r="D572">
        <f>D569-D570-D571</f>
        <v>-2567.5</v>
      </c>
    </row>
    <row r="573" spans="2:15">
      <c r="B573" s="264"/>
    </row>
    <row r="574" spans="2:15">
      <c r="B574" s="264"/>
      <c r="C574" s="8">
        <f>(C569-C571)/C569</f>
        <v>0.42749408517350157</v>
      </c>
      <c r="D574" s="8">
        <f>(D569-D571)/D569</f>
        <v>0.49361831379671589</v>
      </c>
    </row>
    <row r="576" spans="2:15">
      <c r="B576" t="s">
        <v>1918</v>
      </c>
    </row>
    <row r="577" spans="2:8">
      <c r="B577" t="str">
        <f>B570</f>
        <v xml:space="preserve"> of which $</v>
      </c>
      <c r="D577">
        <f>1000*13</f>
        <v>13000</v>
      </c>
    </row>
    <row r="578" spans="2:8">
      <c r="B578" t="str">
        <f>B572</f>
        <v xml:space="preserve"> of which peso/other</v>
      </c>
      <c r="D578">
        <v>6000</v>
      </c>
    </row>
    <row r="580" spans="2:8">
      <c r="B580" s="42" t="s">
        <v>1943</v>
      </c>
    </row>
    <row r="581" spans="2:8">
      <c r="B581" s="42"/>
    </row>
    <row r="582" spans="2:8" ht="15.75">
      <c r="B582" s="74" t="s">
        <v>651</v>
      </c>
      <c r="C582" s="391" t="s">
        <v>1909</v>
      </c>
      <c r="D582" s="394" t="s">
        <v>1951</v>
      </c>
      <c r="E582" s="395"/>
      <c r="F582" s="394" t="s">
        <v>1952</v>
      </c>
      <c r="G582" s="395"/>
      <c r="H582" s="391" t="s">
        <v>89</v>
      </c>
    </row>
    <row r="583" spans="2:8" ht="15.75">
      <c r="B583" s="217" t="s">
        <v>759</v>
      </c>
      <c r="C583" s="217">
        <v>400</v>
      </c>
      <c r="D583" s="217">
        <v>389</v>
      </c>
      <c r="E583" s="217">
        <v>599</v>
      </c>
      <c r="F583" s="217">
        <v>389</v>
      </c>
      <c r="G583" s="217">
        <v>599</v>
      </c>
      <c r="H583" s="217">
        <v>409</v>
      </c>
    </row>
    <row r="584" spans="2:8" ht="15.75">
      <c r="B584" s="183" t="s">
        <v>1944</v>
      </c>
      <c r="C584" s="392" t="s">
        <v>747</v>
      </c>
      <c r="D584" s="392" t="s">
        <v>1958</v>
      </c>
      <c r="E584" s="392" t="s">
        <v>1959</v>
      </c>
      <c r="F584" s="392">
        <v>100</v>
      </c>
      <c r="G584" s="392" t="s">
        <v>747</v>
      </c>
      <c r="H584" s="392" t="s">
        <v>747</v>
      </c>
    </row>
    <row r="585" spans="2:8" ht="15.75">
      <c r="B585" s="66" t="s">
        <v>1945</v>
      </c>
      <c r="C585" s="111" t="s">
        <v>747</v>
      </c>
      <c r="D585" s="111" t="s">
        <v>1960</v>
      </c>
      <c r="E585" s="111" t="s">
        <v>1960</v>
      </c>
      <c r="F585" s="111">
        <v>200</v>
      </c>
      <c r="G585" s="111" t="s">
        <v>747</v>
      </c>
      <c r="H585" s="111">
        <v>50</v>
      </c>
    </row>
    <row r="586" spans="2:8" ht="15.75">
      <c r="B586" s="183" t="s">
        <v>1946</v>
      </c>
      <c r="C586" s="392" t="s">
        <v>747</v>
      </c>
      <c r="D586" s="392" t="s">
        <v>1953</v>
      </c>
      <c r="E586" s="392" t="s">
        <v>1953</v>
      </c>
      <c r="F586" s="392">
        <v>200</v>
      </c>
      <c r="G586" s="392" t="s">
        <v>747</v>
      </c>
      <c r="H586" s="392" t="s">
        <v>1953</v>
      </c>
    </row>
    <row r="587" spans="2:8" ht="15.75">
      <c r="B587" s="66" t="s">
        <v>1947</v>
      </c>
      <c r="C587" s="111" t="s">
        <v>747</v>
      </c>
      <c r="D587" s="111" t="s">
        <v>1954</v>
      </c>
      <c r="E587" s="111" t="s">
        <v>747</v>
      </c>
      <c r="F587" s="111" t="s">
        <v>747</v>
      </c>
      <c r="G587" s="111" t="s">
        <v>747</v>
      </c>
      <c r="H587" s="111" t="s">
        <v>1955</v>
      </c>
    </row>
    <row r="588" spans="2:8" ht="15.75">
      <c r="B588" s="183" t="s">
        <v>1604</v>
      </c>
      <c r="C588" s="392" t="s">
        <v>747</v>
      </c>
      <c r="D588" s="392" t="s">
        <v>1955</v>
      </c>
      <c r="E588" s="392" t="s">
        <v>1961</v>
      </c>
      <c r="F588" s="392" t="s">
        <v>747</v>
      </c>
      <c r="G588" s="392" t="s">
        <v>747</v>
      </c>
      <c r="H588" s="392" t="s">
        <v>1955</v>
      </c>
    </row>
    <row r="589" spans="2:8" ht="15.75">
      <c r="B589" s="66" t="s">
        <v>1948</v>
      </c>
      <c r="C589" s="111" t="s">
        <v>747</v>
      </c>
      <c r="D589" s="111" t="s">
        <v>1955</v>
      </c>
      <c r="E589" s="111" t="s">
        <v>1955</v>
      </c>
      <c r="F589" s="111" t="s">
        <v>747</v>
      </c>
      <c r="G589" s="111" t="s">
        <v>747</v>
      </c>
      <c r="H589" s="111" t="s">
        <v>1955</v>
      </c>
    </row>
    <row r="590" spans="2:8" ht="15.75">
      <c r="B590" s="183" t="s">
        <v>1949</v>
      </c>
      <c r="C590" s="392" t="s">
        <v>747</v>
      </c>
      <c r="D590" s="392" t="s">
        <v>1956</v>
      </c>
      <c r="E590" s="392" t="s">
        <v>1955</v>
      </c>
      <c r="F590" s="392" t="s">
        <v>747</v>
      </c>
      <c r="G590" s="392" t="s">
        <v>747</v>
      </c>
      <c r="H590" s="392" t="s">
        <v>1956</v>
      </c>
    </row>
    <row r="591" spans="2:8" ht="15.75">
      <c r="B591" s="66"/>
      <c r="C591" s="66"/>
      <c r="D591" s="66"/>
      <c r="E591" s="66"/>
      <c r="F591" s="66"/>
      <c r="G591" s="66"/>
      <c r="H591" s="66"/>
    </row>
    <row r="592" spans="2:8" ht="15.75">
      <c r="B592" s="185" t="s">
        <v>1950</v>
      </c>
      <c r="C592" s="393" t="s">
        <v>1965</v>
      </c>
      <c r="D592" s="393" t="s">
        <v>1957</v>
      </c>
      <c r="E592" s="393" t="s">
        <v>1962</v>
      </c>
      <c r="F592" s="393" t="s">
        <v>1963</v>
      </c>
      <c r="G592" s="393" t="s">
        <v>1963</v>
      </c>
      <c r="H592" s="393" t="s">
        <v>1966</v>
      </c>
    </row>
    <row r="593" spans="2:8" ht="15.75">
      <c r="B593" s="66" t="s">
        <v>1964</v>
      </c>
      <c r="C593" s="66"/>
      <c r="D593" s="66"/>
      <c r="E593" s="66"/>
      <c r="F593" s="66"/>
      <c r="G593" s="66"/>
      <c r="H593" s="66"/>
    </row>
    <row r="594" spans="2:8" ht="15.75">
      <c r="B594" s="66"/>
      <c r="C594" s="66"/>
      <c r="D594" s="66"/>
      <c r="E594" s="66"/>
      <c r="F594" s="66"/>
      <c r="G594" s="66"/>
      <c r="H594" s="66"/>
    </row>
    <row r="595" spans="2:8" ht="15.75">
      <c r="B595" s="66" t="s">
        <v>2215</v>
      </c>
      <c r="G595" s="111" t="s">
        <v>2223</v>
      </c>
    </row>
    <row r="596" spans="2:8" ht="15.75">
      <c r="C596" s="66" t="s">
        <v>2220</v>
      </c>
      <c r="D596" s="66" t="s">
        <v>2221</v>
      </c>
      <c r="G596" s="69">
        <v>0.38</v>
      </c>
    </row>
    <row r="597" spans="2:8" ht="15.75">
      <c r="C597" s="66" t="s">
        <v>2218</v>
      </c>
      <c r="D597" s="66" t="s">
        <v>2222</v>
      </c>
      <c r="G597" s="69">
        <v>0.19</v>
      </c>
    </row>
    <row r="598" spans="2:8" ht="15.75">
      <c r="C598" s="66" t="s">
        <v>2219</v>
      </c>
      <c r="D598" s="66"/>
      <c r="G598" s="69">
        <v>0.43</v>
      </c>
    </row>
    <row r="599" spans="2:8" ht="15.75">
      <c r="C599" s="66"/>
      <c r="D599" s="66"/>
    </row>
    <row r="600" spans="2:8" ht="15.75">
      <c r="B600" s="66" t="s">
        <v>2216</v>
      </c>
      <c r="C600" s="66" t="s">
        <v>2224</v>
      </c>
      <c r="D600" s="66"/>
    </row>
    <row r="601" spans="2:8" ht="15.75">
      <c r="C601" s="66" t="s">
        <v>2225</v>
      </c>
      <c r="D601" s="66"/>
    </row>
    <row r="602" spans="2:8" ht="15.75">
      <c r="C602" s="66" t="s">
        <v>2226</v>
      </c>
    </row>
    <row r="603" spans="2:8" ht="15.75">
      <c r="C603" s="66" t="s">
        <v>2227</v>
      </c>
      <c r="D603" s="66" t="s">
        <v>2228</v>
      </c>
    </row>
    <row r="604" spans="2:8" ht="15.75">
      <c r="C604" s="66" t="s">
        <v>2229</v>
      </c>
      <c r="D604" s="66"/>
    </row>
    <row r="605" spans="2:8">
      <c r="B605" t="s">
        <v>2217</v>
      </c>
    </row>
    <row r="607" spans="2:8">
      <c r="B607" t="s">
        <v>2230</v>
      </c>
    </row>
    <row r="609" spans="2:10" ht="15.75">
      <c r="B609" s="409" t="s">
        <v>2311</v>
      </c>
      <c r="C609" s="410"/>
      <c r="D609" s="410"/>
      <c r="E609" s="410"/>
      <c r="F609" s="410"/>
    </row>
    <row r="610" spans="2:10" ht="15.75">
      <c r="B610" s="66"/>
      <c r="C610" s="66"/>
      <c r="D610" s="66"/>
      <c r="E610" s="66"/>
      <c r="F610" s="66"/>
    </row>
    <row r="611" spans="2:10" ht="15.75">
      <c r="B611" s="217" t="s">
        <v>2375</v>
      </c>
      <c r="C611" s="217">
        <v>2018</v>
      </c>
      <c r="D611" s="217">
        <f t="shared" ref="D611:J611" si="50">C611+1</f>
        <v>2019</v>
      </c>
      <c r="E611" s="217">
        <f t="shared" si="50"/>
        <v>2020</v>
      </c>
      <c r="F611" s="217">
        <f t="shared" si="50"/>
        <v>2021</v>
      </c>
      <c r="G611" s="217">
        <f t="shared" si="50"/>
        <v>2022</v>
      </c>
      <c r="H611" s="217">
        <f t="shared" si="50"/>
        <v>2023</v>
      </c>
      <c r="I611" s="217">
        <f t="shared" si="50"/>
        <v>2024</v>
      </c>
      <c r="J611" s="217">
        <f t="shared" si="50"/>
        <v>2025</v>
      </c>
    </row>
    <row r="612" spans="2:10" ht="15.75" outlineLevel="1">
      <c r="B612" s="66" t="s">
        <v>653</v>
      </c>
      <c r="C612" s="124">
        <v>21283.55297795399</v>
      </c>
      <c r="D612" s="124">
        <v>23235.939147363839</v>
      </c>
      <c r="E612" s="124">
        <v>25082.937694171425</v>
      </c>
      <c r="F612" s="124">
        <v>27133.013385722807</v>
      </c>
      <c r="G612" s="124">
        <v>29125.224529959047</v>
      </c>
      <c r="H612" s="124">
        <v>31135.567599213697</v>
      </c>
      <c r="I612" s="124">
        <v>33403.148138822551</v>
      </c>
      <c r="J612" s="124">
        <v>34311.252502995354</v>
      </c>
    </row>
    <row r="613" spans="2:10" ht="15.75" outlineLevel="1">
      <c r="B613" s="66" t="s">
        <v>57</v>
      </c>
      <c r="C613" s="124">
        <v>9347</v>
      </c>
      <c r="D613" s="124">
        <v>10151.006166499565</v>
      </c>
      <c r="E613" s="124">
        <v>10868.339872494105</v>
      </c>
      <c r="F613" s="124">
        <v>11630.993211156871</v>
      </c>
      <c r="G613" s="124">
        <v>12596.475634837565</v>
      </c>
      <c r="H613" s="124">
        <v>13523.649192283743</v>
      </c>
      <c r="I613" s="124">
        <v>14529.301692545572</v>
      </c>
      <c r="J613" s="124">
        <v>15661.25131216696</v>
      </c>
    </row>
    <row r="614" spans="2:10" ht="15.75" outlineLevel="1">
      <c r="B614" s="66" t="s">
        <v>158</v>
      </c>
      <c r="C614" s="116">
        <f t="shared" ref="C614:J614" si="51">C613/C612</f>
        <v>0.43916539732261078</v>
      </c>
      <c r="D614" s="116">
        <f t="shared" si="51"/>
        <v>0.43686661865144433</v>
      </c>
      <c r="E614" s="116">
        <f t="shared" si="51"/>
        <v>0.43329613161777314</v>
      </c>
      <c r="F614" s="116">
        <f t="shared" si="51"/>
        <v>0.4286657381475002</v>
      </c>
      <c r="G614" s="116">
        <f t="shared" si="51"/>
        <v>0.43249368333213933</v>
      </c>
      <c r="H614" s="116">
        <f t="shared" si="51"/>
        <v>0.43434728302898423</v>
      </c>
      <c r="I614" s="116">
        <f t="shared" si="51"/>
        <v>0.4349680345146571</v>
      </c>
      <c r="J614" s="116">
        <f t="shared" si="51"/>
        <v>0.45644650572868889</v>
      </c>
    </row>
    <row r="615" spans="2:10" ht="15.75" outlineLevel="1">
      <c r="B615" s="66" t="s">
        <v>2312</v>
      </c>
      <c r="C615" s="125">
        <f t="shared" ref="C615:J615" si="52">C612-C613</f>
        <v>11936.55297795399</v>
      </c>
      <c r="D615" s="125">
        <f t="shared" si="52"/>
        <v>13084.932980864274</v>
      </c>
      <c r="E615" s="125">
        <f t="shared" si="52"/>
        <v>14214.59782167732</v>
      </c>
      <c r="F615" s="125">
        <f t="shared" si="52"/>
        <v>15502.020174565936</v>
      </c>
      <c r="G615" s="125">
        <f t="shared" si="52"/>
        <v>16528.748895121484</v>
      </c>
      <c r="H615" s="125">
        <f t="shared" si="52"/>
        <v>17611.918406929952</v>
      </c>
      <c r="I615" s="125">
        <f t="shared" si="52"/>
        <v>18873.846446276977</v>
      </c>
      <c r="J615" s="125">
        <f t="shared" si="52"/>
        <v>18650.001190828392</v>
      </c>
    </row>
    <row r="616" spans="2:10" ht="15.75" outlineLevel="1">
      <c r="B616" s="66" t="s">
        <v>201</v>
      </c>
      <c r="C616" s="124">
        <v>5753.1229999999996</v>
      </c>
      <c r="D616" s="124">
        <v>6372.8442575629906</v>
      </c>
      <c r="E616" s="124">
        <v>6649.0822466305517</v>
      </c>
      <c r="F616" s="124">
        <v>6835.2215205398434</v>
      </c>
      <c r="G616" s="124">
        <v>7054.9496650179817</v>
      </c>
      <c r="H616" s="124">
        <v>7269.7168532408614</v>
      </c>
      <c r="I616" s="124">
        <v>7197.1061884705587</v>
      </c>
      <c r="J616" s="124">
        <v>7420.4508785086073</v>
      </c>
    </row>
    <row r="617" spans="2:10" ht="15.75" outlineLevel="1">
      <c r="B617" s="66" t="s">
        <v>202</v>
      </c>
      <c r="C617" s="116">
        <f t="shared" ref="C617:J617" si="53">C616/C612</f>
        <v>0.27030839286839098</v>
      </c>
      <c r="D617" s="116">
        <f t="shared" si="53"/>
        <v>0.27426669596378256</v>
      </c>
      <c r="E617" s="116">
        <f t="shared" si="53"/>
        <v>0.26508387206079187</v>
      </c>
      <c r="F617" s="116">
        <f t="shared" si="53"/>
        <v>0.25191531155682423</v>
      </c>
      <c r="G617" s="116">
        <f t="shared" si="53"/>
        <v>0.2422281640356474</v>
      </c>
      <c r="H617" s="116">
        <f t="shared" si="53"/>
        <v>0.23348592666813794</v>
      </c>
      <c r="I617" s="116">
        <f t="shared" si="53"/>
        <v>0.21546191270833476</v>
      </c>
      <c r="J617" s="116">
        <f t="shared" si="53"/>
        <v>0.21626872635619485</v>
      </c>
    </row>
    <row r="618" spans="2:10" ht="15.75" outlineLevel="1">
      <c r="B618" s="66" t="s">
        <v>203</v>
      </c>
      <c r="C618" s="125">
        <f t="shared" ref="C618:J618" si="54">C613-C616</f>
        <v>3593.8770000000004</v>
      </c>
      <c r="D618" s="125">
        <f t="shared" si="54"/>
        <v>3778.161908936574</v>
      </c>
      <c r="E618" s="125">
        <f t="shared" si="54"/>
        <v>4219.2576258635536</v>
      </c>
      <c r="F618" s="125">
        <f t="shared" si="54"/>
        <v>4795.7716906170272</v>
      </c>
      <c r="G618" s="125">
        <f t="shared" si="54"/>
        <v>5541.5259698195832</v>
      </c>
      <c r="H618" s="125">
        <f t="shared" si="54"/>
        <v>6253.9323390428817</v>
      </c>
      <c r="I618" s="125">
        <f t="shared" si="54"/>
        <v>7332.1955040750136</v>
      </c>
      <c r="J618" s="125">
        <f t="shared" si="54"/>
        <v>8240.8004336583526</v>
      </c>
    </row>
    <row r="619" spans="2:10" ht="15.75" outlineLevel="1">
      <c r="B619" s="66" t="s">
        <v>372</v>
      </c>
      <c r="C619" s="124">
        <v>2102.1770000000006</v>
      </c>
      <c r="D619" s="124">
        <v>1947.8409004383952</v>
      </c>
      <c r="E619" s="124">
        <v>2188.3925210189764</v>
      </c>
      <c r="F619" s="124">
        <v>2523.6633579052282</v>
      </c>
      <c r="G619" s="124">
        <v>2926.3376283679067</v>
      </c>
      <c r="H619" s="124">
        <v>3447.53482271442</v>
      </c>
      <c r="I619" s="124">
        <v>4304.094688126328</v>
      </c>
      <c r="J619" s="124">
        <v>4941.1156643689455</v>
      </c>
    </row>
    <row r="620" spans="2:10" ht="15.75" outlineLevel="1">
      <c r="B620" s="66"/>
      <c r="C620" s="66"/>
      <c r="D620" s="66"/>
      <c r="E620" s="66"/>
      <c r="F620" s="66"/>
    </row>
    <row r="621" spans="2:10" ht="15.75">
      <c r="B621" s="414" t="s">
        <v>2313</v>
      </c>
      <c r="C621" s="550">
        <v>100</v>
      </c>
      <c r="E621" s="66"/>
      <c r="F621" s="66"/>
    </row>
    <row r="622" spans="2:10" ht="15.75">
      <c r="B622" s="415" t="s">
        <v>3868</v>
      </c>
      <c r="C622" s="551">
        <f>C621/80-1</f>
        <v>0.25</v>
      </c>
      <c r="E622" s="66"/>
      <c r="F622" s="66"/>
    </row>
    <row r="623" spans="2:10" ht="15.75">
      <c r="B623" s="66"/>
      <c r="C623" s="66"/>
      <c r="D623" s="66"/>
      <c r="E623" s="66"/>
      <c r="F623" s="66"/>
    </row>
    <row r="624" spans="2:10" ht="15.75" outlineLevel="1">
      <c r="B624" s="66" t="s">
        <v>2374</v>
      </c>
      <c r="C624" s="412">
        <v>859.25699999999995</v>
      </c>
      <c r="D624" s="412">
        <v>859.25699999999995</v>
      </c>
      <c r="E624" s="412">
        <v>859.25699999999995</v>
      </c>
      <c r="F624" s="412">
        <v>859.25699999999995</v>
      </c>
      <c r="G624" s="412">
        <v>859.25699999999995</v>
      </c>
      <c r="H624" s="412">
        <v>859.25699999999995</v>
      </c>
      <c r="I624" s="412">
        <v>859.25699999999995</v>
      </c>
      <c r="J624" s="412">
        <v>859.25699999999995</v>
      </c>
    </row>
    <row r="625" spans="2:10" ht="15.75" outlineLevel="1">
      <c r="B625" s="66" t="s">
        <v>530</v>
      </c>
      <c r="C625" s="411">
        <f t="shared" ref="C625:J625" si="55">$C$621*C624</f>
        <v>85925.7</v>
      </c>
      <c r="D625" s="411">
        <f t="shared" si="55"/>
        <v>85925.7</v>
      </c>
      <c r="E625" s="411">
        <f t="shared" si="55"/>
        <v>85925.7</v>
      </c>
      <c r="F625" s="411">
        <f t="shared" si="55"/>
        <v>85925.7</v>
      </c>
      <c r="G625" s="411">
        <f t="shared" si="55"/>
        <v>85925.7</v>
      </c>
      <c r="H625" s="411">
        <f t="shared" si="55"/>
        <v>85925.7</v>
      </c>
      <c r="I625" s="411">
        <f t="shared" si="55"/>
        <v>85925.7</v>
      </c>
      <c r="J625" s="411">
        <f t="shared" si="55"/>
        <v>85925.7</v>
      </c>
    </row>
    <row r="626" spans="2:10" ht="15.75" outlineLevel="1">
      <c r="B626" s="66" t="s">
        <v>692</v>
      </c>
      <c r="C626" s="412">
        <v>0</v>
      </c>
      <c r="D626" s="412">
        <v>0</v>
      </c>
      <c r="E626" s="412">
        <v>0</v>
      </c>
      <c r="F626" s="412">
        <v>0</v>
      </c>
      <c r="G626" s="412">
        <v>0</v>
      </c>
      <c r="H626" s="412">
        <v>0</v>
      </c>
      <c r="I626" s="412">
        <v>0</v>
      </c>
      <c r="J626" s="412">
        <v>0</v>
      </c>
    </row>
    <row r="627" spans="2:10" ht="15.75" outlineLevel="1">
      <c r="B627" s="66" t="s">
        <v>2514</v>
      </c>
      <c r="C627" s="412">
        <v>5720.3070317789588</v>
      </c>
      <c r="D627" s="412">
        <v>5720.3070317789588</v>
      </c>
      <c r="E627" s="412">
        <v>5720.3070317789588</v>
      </c>
      <c r="F627" s="412">
        <v>5720.3070317789588</v>
      </c>
      <c r="G627" s="412">
        <v>5720.3070317789588</v>
      </c>
      <c r="H627" s="412">
        <v>5720.3070317789588</v>
      </c>
      <c r="I627" s="412">
        <v>5720.3070317789588</v>
      </c>
      <c r="J627" s="412">
        <v>5720.3070317789588</v>
      </c>
    </row>
    <row r="628" spans="2:10" ht="15.75" outlineLevel="1">
      <c r="B628" s="67" t="s">
        <v>224</v>
      </c>
      <c r="C628" s="413">
        <v>567.90000000000009</v>
      </c>
      <c r="D628" s="413">
        <v>1272.5062658414979</v>
      </c>
      <c r="E628" s="413">
        <v>718.8495111426289</v>
      </c>
      <c r="F628" s="413">
        <v>-10.356929632980155</v>
      </c>
      <c r="G628" s="413">
        <v>-948.88751043291722</v>
      </c>
      <c r="H628" s="413">
        <v>-2185.5941613352493</v>
      </c>
      <c r="I628" s="413">
        <v>-4050.7896395261982</v>
      </c>
      <c r="J628" s="413">
        <v>-6290.1846071106556</v>
      </c>
    </row>
    <row r="629" spans="2:10" ht="15.75">
      <c r="B629" s="66" t="s">
        <v>3869</v>
      </c>
      <c r="C629" s="411">
        <f t="shared" ref="C629:J629" si="56">C625+C628+C627-C626</f>
        <v>92213.907031778945</v>
      </c>
      <c r="D629" s="411">
        <f t="shared" si="56"/>
        <v>92918.513297620448</v>
      </c>
      <c r="E629" s="411">
        <f t="shared" si="56"/>
        <v>92364.856542921581</v>
      </c>
      <c r="F629" s="411">
        <f t="shared" si="56"/>
        <v>91635.65010214597</v>
      </c>
      <c r="G629" s="411">
        <f t="shared" si="56"/>
        <v>90697.119521346031</v>
      </c>
      <c r="H629" s="411">
        <f t="shared" si="56"/>
        <v>89460.412870443703</v>
      </c>
      <c r="I629" s="411">
        <f t="shared" si="56"/>
        <v>87595.217392252758</v>
      </c>
      <c r="J629" s="411">
        <f t="shared" si="56"/>
        <v>85355.822424668295</v>
      </c>
    </row>
    <row r="630" spans="2:10" ht="15.75">
      <c r="B630" s="66" t="s">
        <v>380</v>
      </c>
      <c r="C630" s="112">
        <f t="shared" ref="C630:J630" si="57">C629/C613</f>
        <v>9.8656153880152928</v>
      </c>
      <c r="D630" s="112">
        <f t="shared" si="57"/>
        <v>9.1536259335819246</v>
      </c>
      <c r="E630" s="112">
        <f t="shared" si="57"/>
        <v>8.4985248553627866</v>
      </c>
      <c r="F630" s="112">
        <f t="shared" si="57"/>
        <v>7.8785748077168281</v>
      </c>
      <c r="G630" s="112">
        <f t="shared" si="57"/>
        <v>7.2001980673473982</v>
      </c>
      <c r="H630" s="112">
        <f t="shared" si="57"/>
        <v>6.6151089545777024</v>
      </c>
      <c r="I630" s="112">
        <f t="shared" si="57"/>
        <v>6.0288663038220554</v>
      </c>
      <c r="J630" s="112">
        <f t="shared" si="57"/>
        <v>5.4501278808007383</v>
      </c>
    </row>
    <row r="631" spans="2:10" ht="15.75">
      <c r="B631" s="66"/>
      <c r="C631" s="66"/>
      <c r="D631" s="66"/>
      <c r="E631" s="66"/>
      <c r="F631" s="66"/>
    </row>
    <row r="632" spans="2:10" ht="15.75">
      <c r="B632" s="66" t="s">
        <v>562</v>
      </c>
      <c r="C632" s="75">
        <v>1</v>
      </c>
      <c r="E632" s="66"/>
      <c r="F632" s="66"/>
    </row>
    <row r="633" spans="2:10" ht="15.75">
      <c r="B633" s="66" t="s">
        <v>2314</v>
      </c>
      <c r="C633" s="69">
        <f>100%-C632</f>
        <v>0</v>
      </c>
      <c r="E633" s="66"/>
      <c r="F633" s="66"/>
    </row>
    <row r="634" spans="2:10" ht="15.75">
      <c r="B634" s="66"/>
      <c r="C634" s="66"/>
      <c r="D634" s="66"/>
      <c r="E634" s="66"/>
      <c r="F634" s="66"/>
    </row>
    <row r="635" spans="2:10" ht="15.75" outlineLevel="1">
      <c r="B635" s="66" t="s">
        <v>1079</v>
      </c>
      <c r="C635" s="411">
        <f>C625*C632</f>
        <v>85925.7</v>
      </c>
      <c r="E635" s="411"/>
      <c r="F635" s="411"/>
    </row>
    <row r="636" spans="2:10" ht="15.75" outlineLevel="1">
      <c r="B636" s="66" t="s">
        <v>2314</v>
      </c>
      <c r="C636" s="411">
        <f>C625-C635</f>
        <v>0</v>
      </c>
      <c r="E636" s="411"/>
      <c r="F636" s="411"/>
    </row>
    <row r="637" spans="2:10" ht="15.75" outlineLevel="1">
      <c r="B637" s="66"/>
      <c r="C637" s="66"/>
      <c r="D637" s="71"/>
      <c r="E637" s="66"/>
      <c r="F637" s="66"/>
    </row>
    <row r="638" spans="2:10" ht="15.75">
      <c r="B638" s="66" t="s">
        <v>2315</v>
      </c>
      <c r="C638" s="117">
        <v>0.06</v>
      </c>
      <c r="D638" s="66"/>
      <c r="E638" s="66"/>
      <c r="F638" s="66"/>
    </row>
    <row r="639" spans="2:10" ht="15.75" outlineLevel="1">
      <c r="B639" s="66" t="s">
        <v>2316</v>
      </c>
      <c r="C639" s="411">
        <f>C635*C638</f>
        <v>5155.5419999999995</v>
      </c>
      <c r="D639" s="411">
        <f>C639+C638*$C$635</f>
        <v>10311.083999999999</v>
      </c>
      <c r="E639" s="411">
        <f t="shared" ref="E639:J639" si="58">D639+C638*$C$635</f>
        <v>15466.625999999998</v>
      </c>
      <c r="F639" s="411">
        <f t="shared" si="58"/>
        <v>15466.625999999998</v>
      </c>
      <c r="G639" s="411">
        <f t="shared" si="58"/>
        <v>15466.625999999998</v>
      </c>
      <c r="H639" s="411">
        <f t="shared" si="58"/>
        <v>15466.625999999998</v>
      </c>
      <c r="I639" s="411">
        <f t="shared" si="58"/>
        <v>15466.625999999998</v>
      </c>
      <c r="J639" s="411">
        <f t="shared" si="58"/>
        <v>15466.625999999998</v>
      </c>
    </row>
    <row r="640" spans="2:10" ht="15.75" outlineLevel="1">
      <c r="B640" s="66" t="s">
        <v>2317</v>
      </c>
      <c r="C640" s="411">
        <f>Master!Q258+$C$635+C639</f>
        <v>174398.94199999998</v>
      </c>
      <c r="D640" s="411">
        <f>Master!R258+$C$635+D639</f>
        <v>189969.88399999999</v>
      </c>
      <c r="E640" s="411">
        <f>Master!S258+$C$635+E639</f>
        <v>197535.326</v>
      </c>
      <c r="F640" s="411">
        <f>Master!T258+$C$635+F639</f>
        <v>206612.22599999997</v>
      </c>
      <c r="G640" s="411">
        <f>Master!U258+$C$635+G639</f>
        <v>155502.02599999998</v>
      </c>
      <c r="H640" s="411">
        <f>Master!V258+$C$635+H639</f>
        <v>157341.92599999998</v>
      </c>
      <c r="I640" s="411">
        <f ca="1">Master!W258+$C$635+I639</f>
        <v>160307.74092887028</v>
      </c>
      <c r="J640" s="411">
        <f ca="1">Master!X258+$C$635+J639</f>
        <v>159748.55138346908</v>
      </c>
    </row>
    <row r="641" spans="2:10" ht="15.75" outlineLevel="1">
      <c r="B641" s="66"/>
      <c r="C641" s="411"/>
      <c r="D641" s="411"/>
      <c r="E641" s="411"/>
      <c r="F641" s="411"/>
      <c r="G641" s="411"/>
      <c r="H641" s="411"/>
      <c r="I641" s="411"/>
      <c r="J641" s="411"/>
    </row>
    <row r="642" spans="2:10" ht="15.75" outlineLevel="1">
      <c r="B642" s="66" t="s">
        <v>3876</v>
      </c>
      <c r="C642" s="411">
        <f>Master!Q73+C613</f>
        <v>45919.5</v>
      </c>
      <c r="D642" s="411">
        <f>Master!R73+D613</f>
        <v>48369.106166499565</v>
      </c>
      <c r="E642" s="411">
        <f>Master!S73+E613</f>
        <v>49678.639872494103</v>
      </c>
      <c r="F642" s="411">
        <f>Master!T73+F613</f>
        <v>55232.593211156869</v>
      </c>
      <c r="G642" s="411">
        <f>Master!U73+G613</f>
        <v>38132.505634837566</v>
      </c>
      <c r="H642" s="411">
        <f>Master!V73+H613</f>
        <v>37741.749192283743</v>
      </c>
      <c r="I642" s="411">
        <f>Master!W73+I613</f>
        <v>38892.062496078135</v>
      </c>
      <c r="J642" s="411">
        <f>Master!X73+J613</f>
        <v>37063.156552316184</v>
      </c>
    </row>
    <row r="643" spans="2:10" ht="15.75" outlineLevel="1">
      <c r="B643" s="66"/>
      <c r="C643" s="411"/>
      <c r="D643" s="411"/>
      <c r="E643" s="411"/>
      <c r="F643" s="411"/>
      <c r="G643" s="411"/>
      <c r="H643" s="411"/>
      <c r="I643" s="411"/>
      <c r="J643" s="411"/>
    </row>
    <row r="644" spans="2:10" ht="15.75">
      <c r="B644" s="66" t="s">
        <v>3877</v>
      </c>
      <c r="C644" s="112">
        <f t="shared" ref="C644:J644" si="59">C640/C642</f>
        <v>3.7979277213384286</v>
      </c>
      <c r="D644" s="112">
        <f t="shared" si="59"/>
        <v>3.9275045386630092</v>
      </c>
      <c r="E644" s="112">
        <f t="shared" si="59"/>
        <v>3.9762627661908008</v>
      </c>
      <c r="F644" s="112">
        <f t="shared" si="59"/>
        <v>3.740766348053068</v>
      </c>
      <c r="G644" s="112">
        <f t="shared" si="59"/>
        <v>4.0779388453806327</v>
      </c>
      <c r="H644" s="112">
        <f t="shared" si="59"/>
        <v>4.1689092150548328</v>
      </c>
      <c r="I644" s="112">
        <f t="shared" ca="1" si="59"/>
        <v>4.1218626794358277</v>
      </c>
      <c r="J644" s="112">
        <f t="shared" ca="1" si="59"/>
        <v>4.3101712385985627</v>
      </c>
    </row>
    <row r="645" spans="2:10" ht="15.75">
      <c r="B645" s="66"/>
      <c r="C645" s="112"/>
      <c r="D645" s="112"/>
      <c r="E645" s="112"/>
      <c r="F645" s="112"/>
      <c r="G645" s="112"/>
      <c r="H645" s="112"/>
      <c r="I645" s="112"/>
      <c r="J645" s="112"/>
    </row>
    <row r="646" spans="2:10" ht="15.75">
      <c r="B646" s="66" t="s">
        <v>3872</v>
      </c>
      <c r="C646" s="214">
        <f>Valuation!N32/Valuation!N7</f>
        <v>-0.56915661925990646</v>
      </c>
      <c r="D646" s="214">
        <f>Valuation!O32/Valuation!O7</f>
        <v>0.14170660842009514</v>
      </c>
      <c r="E646" s="214">
        <f>Valuation!P32/Valuation!P7</f>
        <v>0.11021909767945033</v>
      </c>
      <c r="F646" s="214">
        <f>Valuation!Q32/Valuation!Q7</f>
        <v>-0.27828974748349067</v>
      </c>
      <c r="G646" s="214">
        <f>Valuation!R32/Valuation!R7</f>
        <v>-1.2086665853615464</v>
      </c>
      <c r="H646" s="214">
        <f>Valuation!S32/Valuation!S7</f>
        <v>-0.41791653927482059</v>
      </c>
      <c r="I646" s="214">
        <f ca="1">Valuation!T32/Valuation!T7</f>
        <v>0.23930627401338833</v>
      </c>
      <c r="J646" s="214">
        <f ca="1">Valuation!U32/Valuation!U7</f>
        <v>0.41001995806693381</v>
      </c>
    </row>
    <row r="647" spans="2:10" ht="15.75" outlineLevel="1">
      <c r="B647" s="66" t="s">
        <v>3870</v>
      </c>
      <c r="C647" s="71">
        <f>(C619+(Valuation!N32*Master!Q92)-$C$639)/Master!Q92</f>
        <v>-487.78259740259745</v>
      </c>
      <c r="D647" s="71">
        <f>(D619+(Valuation!O32*Master!R92)-$C$639)/Master!R92</f>
        <v>-85.648109068135341</v>
      </c>
      <c r="E647" s="71">
        <f>(E619+(Valuation!P32*Master!S92)-$C$639)/Master!S92</f>
        <v>-74.937685241202288</v>
      </c>
      <c r="F647" s="71">
        <f>(F619+(Valuation!Q32*Master!T92)-$C$639)/Master!T92</f>
        <v>-289.30836383357041</v>
      </c>
      <c r="G647" s="71">
        <f>(G619+(Valuation!R32*Master!U92)-$C$639)/Master!U92</f>
        <v>-803.87950629697161</v>
      </c>
      <c r="H647" s="71">
        <f>(H619+(Valuation!S32*Master!V92)-$C$639)/Master!V92</f>
        <v>-336.12385182404392</v>
      </c>
      <c r="I647" s="71">
        <f ca="1">(I619+(Valuation!T32*Master!W92)-$C$639)/Master!W92</f>
        <v>87.234870240535784</v>
      </c>
      <c r="J647" s="71">
        <f ca="1">(J619+(Valuation!U32*Master!X92)-$C$639)/Master!X92</f>
        <v>222.68310734313135</v>
      </c>
    </row>
    <row r="648" spans="2:10" ht="15.75">
      <c r="B648" s="66" t="s">
        <v>3874</v>
      </c>
      <c r="C648" s="258">
        <v>18</v>
      </c>
      <c r="D648" s="71"/>
      <c r="E648" s="71"/>
      <c r="F648" s="71"/>
      <c r="G648" s="71"/>
      <c r="H648" s="71"/>
      <c r="I648" s="71"/>
      <c r="J648" s="71"/>
    </row>
    <row r="649" spans="2:10" ht="15.75">
      <c r="B649" s="66" t="s">
        <v>3873</v>
      </c>
      <c r="C649" s="71">
        <f>(C636/Master!Q92)/C648</f>
        <v>0</v>
      </c>
      <c r="D649" s="71"/>
      <c r="E649" s="71"/>
      <c r="F649" s="71"/>
      <c r="G649" s="71"/>
      <c r="H649" s="71"/>
      <c r="I649" s="71"/>
      <c r="J649" s="71"/>
    </row>
    <row r="650" spans="2:10" ht="15.75" customHeight="1" outlineLevel="1">
      <c r="B650" s="66" t="s">
        <v>3875</v>
      </c>
      <c r="C650" s="71">
        <f>$C$649+Valuation!N7</f>
        <v>578.34034188034184</v>
      </c>
      <c r="D650" s="71">
        <f>$C$649+Valuation!O7</f>
        <v>571.50273504273503</v>
      </c>
      <c r="E650" s="71">
        <f>$C$649+Valuation!P7</f>
        <v>573.38307692307694</v>
      </c>
      <c r="F650" s="71">
        <f>$C$649+Valuation!Q7</f>
        <v>573.38307692307694</v>
      </c>
      <c r="G650" s="71">
        <f>$C$649+Valuation!R7</f>
        <v>573.38307692307694</v>
      </c>
      <c r="H650" s="71">
        <f>$C$649+Valuation!S7</f>
        <v>573.38307692307694</v>
      </c>
      <c r="I650" s="71">
        <f>$C$649+Valuation!T7</f>
        <v>573.38307692307694</v>
      </c>
      <c r="J650" s="71">
        <f>$C$649+Valuation!U7</f>
        <v>573.38307692307694</v>
      </c>
    </row>
    <row r="651" spans="2:10" ht="15.75" outlineLevel="1">
      <c r="B651" s="66" t="s">
        <v>3879</v>
      </c>
      <c r="C651" s="69">
        <f>C649/(C649+Valuation!N7)</f>
        <v>0</v>
      </c>
      <c r="D651" s="71"/>
      <c r="E651" s="71"/>
      <c r="F651" s="71"/>
      <c r="G651" s="71"/>
      <c r="H651" s="71"/>
      <c r="I651" s="71"/>
      <c r="J651" s="71"/>
    </row>
    <row r="652" spans="2:10" ht="15.75">
      <c r="B652" s="66" t="s">
        <v>3878</v>
      </c>
      <c r="C652" s="214">
        <f t="shared" ref="C652:J652" si="60">C647/C650</f>
        <v>-0.84341790132897088</v>
      </c>
      <c r="D652" s="214">
        <f t="shared" si="60"/>
        <v>-0.1498647404753555</v>
      </c>
      <c r="E652" s="214">
        <f t="shared" si="60"/>
        <v>-0.13069392567938601</v>
      </c>
      <c r="F652" s="214">
        <f t="shared" si="60"/>
        <v>-0.50456383433231844</v>
      </c>
      <c r="G652" s="214">
        <f t="shared" si="60"/>
        <v>-1.4019937780703235</v>
      </c>
      <c r="H652" s="214">
        <f t="shared" si="60"/>
        <v>-0.5862116713101686</v>
      </c>
      <c r="I652" s="214">
        <f t="shared" ca="1" si="60"/>
        <v>0.15214064340486091</v>
      </c>
      <c r="J652" s="214">
        <f t="shared" ca="1" si="60"/>
        <v>0.38836707308856577</v>
      </c>
    </row>
    <row r="653" spans="2:10" ht="15.75">
      <c r="B653" s="66" t="s">
        <v>3871</v>
      </c>
      <c r="C653" s="116">
        <f t="shared" ref="C653:J653" si="61">C652/C646-1</f>
        <v>0.48187313085402672</v>
      </c>
      <c r="D653" s="116">
        <f t="shared" si="61"/>
        <v>-2.0575705829545736</v>
      </c>
      <c r="E653" s="116">
        <f t="shared" si="61"/>
        <v>-2.1857647942236156</v>
      </c>
      <c r="F653" s="116">
        <f t="shared" si="61"/>
        <v>0.81308811731287833</v>
      </c>
      <c r="G653" s="116">
        <f t="shared" si="61"/>
        <v>0.15995080450656096</v>
      </c>
      <c r="H653" s="116">
        <f t="shared" si="61"/>
        <v>0.4027003389896413</v>
      </c>
      <c r="I653" s="116">
        <f t="shared" ca="1" si="61"/>
        <v>-0.36424298095774454</v>
      </c>
      <c r="J653" s="116">
        <f t="shared" ca="1" si="61"/>
        <v>-5.2809343916944917E-2</v>
      </c>
    </row>
    <row r="654" spans="2:10" ht="15.75">
      <c r="B654" s="66"/>
      <c r="C654" s="66"/>
      <c r="D654" s="66"/>
      <c r="E654" s="66"/>
      <c r="F654" s="66"/>
      <c r="G654" s="66"/>
      <c r="H654" s="66"/>
      <c r="I654" s="66"/>
      <c r="J654" s="66"/>
    </row>
    <row r="655" spans="2:10" ht="15.75">
      <c r="B655" s="217" t="s">
        <v>2376</v>
      </c>
      <c r="C655" s="217">
        <f t="shared" ref="C655:J655" si="62">C611</f>
        <v>2018</v>
      </c>
      <c r="D655" s="217">
        <f t="shared" si="62"/>
        <v>2019</v>
      </c>
      <c r="E655" s="217">
        <f t="shared" si="62"/>
        <v>2020</v>
      </c>
      <c r="F655" s="217">
        <f t="shared" si="62"/>
        <v>2021</v>
      </c>
      <c r="G655" s="217">
        <f t="shared" si="62"/>
        <v>2022</v>
      </c>
      <c r="H655" s="217">
        <f t="shared" si="62"/>
        <v>2023</v>
      </c>
      <c r="I655" s="217">
        <f t="shared" si="62"/>
        <v>2024</v>
      </c>
      <c r="J655" s="217">
        <f t="shared" si="62"/>
        <v>2025</v>
      </c>
    </row>
    <row r="656" spans="2:10" ht="15.75" outlineLevel="1">
      <c r="B656" s="66" t="s">
        <v>2318</v>
      </c>
      <c r="C656" s="125">
        <f>'Cable cos'!M185-'Cable cos'!M208</f>
        <v>20930</v>
      </c>
      <c r="D656" s="125">
        <f>'Cable cos'!N185-'Cable cos'!N208</f>
        <v>23904</v>
      </c>
      <c r="E656" s="125">
        <f>'Cable cos'!O185-'Cable cos'!O208</f>
        <v>26468.799999999999</v>
      </c>
      <c r="F656" s="125">
        <f>'Cable cos'!P185-'Cable cos'!P208</f>
        <v>27735.9</v>
      </c>
      <c r="G656" s="125">
        <f>'Cable cos'!Q185-'Cable cos'!Q208</f>
        <v>28509.000000000004</v>
      </c>
      <c r="H656" s="125">
        <f>'Cable cos'!R185-'Cable cos'!R208</f>
        <v>29981.5</v>
      </c>
      <c r="I656" s="125">
        <f>'Cable cos'!S185-'Cable cos'!S208</f>
        <v>30623.568749999999</v>
      </c>
      <c r="J656" s="125">
        <f>'Cable cos'!T185-'Cable cos'!T208</f>
        <v>31053.030750000002</v>
      </c>
    </row>
    <row r="657" spans="2:10" ht="15.75" outlineLevel="1">
      <c r="B657" s="66" t="s">
        <v>2319</v>
      </c>
      <c r="C657" s="125">
        <f>'Cable cos'!M228</f>
        <v>12801.25</v>
      </c>
      <c r="D657" s="125">
        <f>'Cable cos'!N228</f>
        <v>12966.800000000001</v>
      </c>
      <c r="E657" s="125">
        <f>'Cable cos'!O228</f>
        <v>14230.5</v>
      </c>
      <c r="F657" s="125">
        <f>'Cable cos'!P228</f>
        <v>17333.977760915466</v>
      </c>
      <c r="G657" s="125">
        <f>'Cable cos'!Q228</f>
        <v>12989.048999999999</v>
      </c>
      <c r="H657" s="125">
        <f>'Cable cos'!R228</f>
        <v>11204.1</v>
      </c>
      <c r="I657" s="125">
        <f>'Cable cos'!S228</f>
        <v>10614.543750000001</v>
      </c>
      <c r="J657" s="125">
        <f>'Cable cos'!T228</f>
        <v>10351.010249999999</v>
      </c>
    </row>
    <row r="658" spans="2:10" ht="15.75" outlineLevel="1">
      <c r="B658" s="66"/>
      <c r="C658" s="66"/>
      <c r="D658" s="66"/>
      <c r="E658" s="66"/>
      <c r="F658" s="66"/>
      <c r="G658" s="66"/>
      <c r="H658" s="66"/>
      <c r="I658" s="66"/>
      <c r="J658" s="66"/>
    </row>
    <row r="659" spans="2:10" ht="15.75" outlineLevel="1">
      <c r="B659" s="66" t="s">
        <v>4720</v>
      </c>
      <c r="C659" s="125">
        <f t="shared" ref="C659:J660" si="63">C656+C615</f>
        <v>32866.552977953994</v>
      </c>
      <c r="D659" s="125">
        <f t="shared" si="63"/>
        <v>36988.932980864272</v>
      </c>
      <c r="E659" s="125">
        <f t="shared" si="63"/>
        <v>40683.397821677318</v>
      </c>
      <c r="F659" s="125">
        <f t="shared" si="63"/>
        <v>43237.920174565937</v>
      </c>
      <c r="G659" s="125">
        <f t="shared" si="63"/>
        <v>45037.748895121491</v>
      </c>
      <c r="H659" s="125">
        <f t="shared" si="63"/>
        <v>47593.418406929952</v>
      </c>
      <c r="I659" s="125">
        <f t="shared" si="63"/>
        <v>49497.415196276976</v>
      </c>
      <c r="J659" s="125">
        <f t="shared" si="63"/>
        <v>49703.031940828398</v>
      </c>
    </row>
    <row r="660" spans="2:10" ht="15.75" outlineLevel="1">
      <c r="B660" s="67" t="s">
        <v>4721</v>
      </c>
      <c r="C660" s="154">
        <f t="shared" si="63"/>
        <v>18554.373</v>
      </c>
      <c r="D660" s="154">
        <f t="shared" si="63"/>
        <v>19339.644257562992</v>
      </c>
      <c r="E660" s="154">
        <f t="shared" si="63"/>
        <v>20879.582246630551</v>
      </c>
      <c r="F660" s="154">
        <f t="shared" si="63"/>
        <v>24169.199281455309</v>
      </c>
      <c r="G660" s="154">
        <f t="shared" si="63"/>
        <v>20043.998665017982</v>
      </c>
      <c r="H660" s="154">
        <f t="shared" si="63"/>
        <v>18473.81685324086</v>
      </c>
      <c r="I660" s="154">
        <f t="shared" si="63"/>
        <v>17811.64993847056</v>
      </c>
      <c r="J660" s="154">
        <f t="shared" si="63"/>
        <v>17771.461128508607</v>
      </c>
    </row>
    <row r="661" spans="2:10" ht="15.75">
      <c r="B661" s="66" t="s">
        <v>4722</v>
      </c>
      <c r="C661" s="125">
        <f t="shared" ref="C661:J661" si="64">SUM(C659:C660)</f>
        <v>51420.925977953993</v>
      </c>
      <c r="D661" s="125">
        <f t="shared" si="64"/>
        <v>56328.577238427264</v>
      </c>
      <c r="E661" s="125">
        <f t="shared" si="64"/>
        <v>61562.980068307865</v>
      </c>
      <c r="F661" s="125">
        <f t="shared" si="64"/>
        <v>67407.119456021246</v>
      </c>
      <c r="G661" s="125">
        <f t="shared" si="64"/>
        <v>65081.747560139469</v>
      </c>
      <c r="H661" s="125">
        <f t="shared" si="64"/>
        <v>66067.235260170812</v>
      </c>
      <c r="I661" s="125">
        <f t="shared" si="64"/>
        <v>67309.065134747536</v>
      </c>
      <c r="J661" s="125">
        <f t="shared" si="64"/>
        <v>67474.493069337012</v>
      </c>
    </row>
    <row r="662" spans="2:10" ht="15.75">
      <c r="B662" s="259" t="s">
        <v>2320</v>
      </c>
      <c r="C662" s="260">
        <v>0</v>
      </c>
      <c r="D662" s="260">
        <v>0</v>
      </c>
      <c r="E662" s="260">
        <v>0.01</v>
      </c>
      <c r="F662" s="260">
        <v>0.02</v>
      </c>
      <c r="G662" s="260">
        <v>0.03</v>
      </c>
      <c r="H662" s="260">
        <v>0.04</v>
      </c>
      <c r="I662" s="260">
        <v>0.06</v>
      </c>
      <c r="J662" s="261">
        <v>0.06</v>
      </c>
    </row>
    <row r="663" spans="2:10" ht="15.75">
      <c r="B663" s="66"/>
      <c r="C663" s="66"/>
      <c r="D663" s="112"/>
      <c r="E663" s="112"/>
      <c r="F663" s="112"/>
      <c r="G663" s="112"/>
      <c r="H663" s="112"/>
      <c r="I663" s="112"/>
      <c r="J663" s="112"/>
    </row>
    <row r="664" spans="2:10" ht="15.75" outlineLevel="1">
      <c r="B664" s="66" t="s">
        <v>4718</v>
      </c>
      <c r="C664" s="125"/>
      <c r="D664" s="125"/>
      <c r="E664" s="125">
        <f t="shared" ref="E664:J664" si="65">E662*E661</f>
        <v>615.62980068307866</v>
      </c>
      <c r="F664" s="125">
        <f t="shared" si="65"/>
        <v>1348.1423891204249</v>
      </c>
      <c r="G664" s="125">
        <f t="shared" si="65"/>
        <v>1952.4524268041839</v>
      </c>
      <c r="H664" s="125">
        <f t="shared" si="65"/>
        <v>2642.6894104068324</v>
      </c>
      <c r="I664" s="125">
        <f t="shared" si="65"/>
        <v>4038.5439080848519</v>
      </c>
      <c r="J664" s="125">
        <f t="shared" si="65"/>
        <v>4048.4695841602206</v>
      </c>
    </row>
    <row r="665" spans="2:10" ht="15.75" outlineLevel="1">
      <c r="B665" s="66" t="s">
        <v>2324</v>
      </c>
      <c r="C665" s="125"/>
      <c r="D665" s="125"/>
      <c r="E665" s="125">
        <f t="shared" ref="E665:J665" si="66">E664*0.72</f>
        <v>443.25345649181662</v>
      </c>
      <c r="F665" s="125">
        <f t="shared" si="66"/>
        <v>970.66252016670592</v>
      </c>
      <c r="G665" s="125">
        <f t="shared" si="66"/>
        <v>1405.7657472990124</v>
      </c>
      <c r="H665" s="125">
        <f t="shared" si="66"/>
        <v>1902.7363754929193</v>
      </c>
      <c r="I665" s="125">
        <f t="shared" si="66"/>
        <v>2907.7516138210931</v>
      </c>
      <c r="J665" s="125">
        <f t="shared" si="66"/>
        <v>2914.8981005953588</v>
      </c>
    </row>
    <row r="666" spans="2:10" ht="15.75" outlineLevel="1">
      <c r="B666" s="66" t="s">
        <v>1901</v>
      </c>
      <c r="C666" s="125">
        <f>NPV(SOP!$L$58%,E665:J665)</f>
        <v>10506.449762269291</v>
      </c>
      <c r="D666" s="66"/>
      <c r="E666" s="125"/>
      <c r="F666" s="125"/>
      <c r="G666" s="66"/>
      <c r="H666" s="66"/>
      <c r="I666" s="66"/>
      <c r="J666" s="66"/>
    </row>
    <row r="667" spans="2:10" ht="15.75" outlineLevel="1">
      <c r="B667" s="66" t="s">
        <v>1903</v>
      </c>
      <c r="C667" s="125">
        <f>J665/(SOP!$L$58-0%)</f>
        <v>34817.225281836589</v>
      </c>
      <c r="D667" s="66"/>
      <c r="E667" s="125"/>
      <c r="F667" s="125"/>
      <c r="G667" s="66"/>
      <c r="H667" s="66"/>
      <c r="I667" s="66"/>
      <c r="J667" s="66"/>
    </row>
    <row r="668" spans="2:10" ht="15.75" outlineLevel="1">
      <c r="B668" s="66" t="s">
        <v>1904</v>
      </c>
      <c r="C668" s="125">
        <f>C667/(1+SOP!$L$58)^6</f>
        <v>21492.73221060431</v>
      </c>
      <c r="D668" s="66"/>
      <c r="E668" s="125"/>
      <c r="F668" s="125"/>
      <c r="G668" s="66"/>
      <c r="H668" s="66"/>
      <c r="I668" s="66"/>
      <c r="J668" s="66"/>
    </row>
    <row r="669" spans="2:10" ht="15.75">
      <c r="B669" s="259" t="s">
        <v>2321</v>
      </c>
      <c r="C669" s="263">
        <f>C666+C668</f>
        <v>31999.181972873601</v>
      </c>
      <c r="D669" s="66"/>
      <c r="E669" s="125"/>
      <c r="F669" s="125"/>
      <c r="G669" s="66"/>
      <c r="H669" s="66"/>
      <c r="I669" s="66"/>
      <c r="J669" s="66"/>
    </row>
    <row r="670" spans="2:10" ht="15.75">
      <c r="B670" s="66" t="s">
        <v>4717</v>
      </c>
      <c r="C670" s="125">
        <f>C669/Master!Q92</f>
        <v>1662.2951674220053</v>
      </c>
      <c r="D670" s="66"/>
      <c r="E670" s="125"/>
      <c r="F670" s="125"/>
      <c r="G670" s="66"/>
      <c r="H670" s="66"/>
      <c r="I670" s="66"/>
      <c r="J670" s="66"/>
    </row>
    <row r="671" spans="2:10" ht="16.5">
      <c r="B671" s="66"/>
      <c r="C671" s="115"/>
      <c r="D671" s="71"/>
      <c r="E671" s="71"/>
      <c r="F671" s="71"/>
    </row>
    <row r="672" spans="2:10" ht="15.75">
      <c r="B672" s="414" t="s">
        <v>4232</v>
      </c>
      <c r="C672" s="560">
        <f t="shared" ref="C672:J672" si="67">C629-$C$669</f>
        <v>60214.725058905344</v>
      </c>
      <c r="D672" s="560">
        <f t="shared" si="67"/>
        <v>60919.331324746847</v>
      </c>
      <c r="E672" s="560">
        <f t="shared" si="67"/>
        <v>60365.674570047981</v>
      </c>
      <c r="F672" s="560">
        <f t="shared" si="67"/>
        <v>59636.468129272369</v>
      </c>
      <c r="G672" s="560">
        <f t="shared" si="67"/>
        <v>58697.93754847243</v>
      </c>
      <c r="H672" s="560">
        <f t="shared" si="67"/>
        <v>57461.230897570102</v>
      </c>
      <c r="I672" s="560">
        <f t="shared" si="67"/>
        <v>55596.035419379157</v>
      </c>
      <c r="J672" s="561">
        <f t="shared" si="67"/>
        <v>53356.640451794694</v>
      </c>
    </row>
    <row r="673" spans="2:10" ht="15.75">
      <c r="B673" s="415" t="s">
        <v>4233</v>
      </c>
      <c r="C673" s="405">
        <f t="shared" ref="C673:J673" si="68">C672/C613</f>
        <v>6.4421445446566112</v>
      </c>
      <c r="D673" s="405">
        <f t="shared" si="68"/>
        <v>6.0013096559623156</v>
      </c>
      <c r="E673" s="405">
        <f t="shared" si="68"/>
        <v>5.5542682027108023</v>
      </c>
      <c r="F673" s="405">
        <f t="shared" si="68"/>
        <v>5.1273753708382275</v>
      </c>
      <c r="G673" s="405">
        <f t="shared" si="68"/>
        <v>4.6598698913951697</v>
      </c>
      <c r="H673" s="405">
        <f t="shared" si="68"/>
        <v>4.2489442073339232</v>
      </c>
      <c r="I673" s="405">
        <f t="shared" si="68"/>
        <v>3.8264767705872162</v>
      </c>
      <c r="J673" s="562">
        <f t="shared" si="68"/>
        <v>3.4069206469053226</v>
      </c>
    </row>
    <row r="674" spans="2:10" ht="15.75">
      <c r="B674" s="66"/>
      <c r="C674" s="71"/>
      <c r="D674" s="71"/>
      <c r="E674" s="71"/>
      <c r="F674" s="71"/>
    </row>
    <row r="675" spans="2:10" ht="15.75">
      <c r="B675" s="66" t="s">
        <v>3867</v>
      </c>
      <c r="C675" s="114">
        <v>90</v>
      </c>
      <c r="D675" s="71"/>
      <c r="E675" s="71"/>
      <c r="F675" s="71"/>
    </row>
    <row r="676" spans="2:10" ht="15.75">
      <c r="B676" s="66" t="s">
        <v>2322</v>
      </c>
      <c r="C676" s="125">
        <f>(C675*C624)-(C621*C624)+C669</f>
        <v>23406.611972873594</v>
      </c>
      <c r="D676" s="71"/>
      <c r="E676" s="71"/>
      <c r="F676" s="71"/>
    </row>
    <row r="677" spans="2:10" ht="15.75">
      <c r="B677" s="414" t="s">
        <v>2323</v>
      </c>
      <c r="C677" s="561">
        <f>C676/Master!O92</f>
        <v>1241.73007813653</v>
      </c>
      <c r="D677" s="66"/>
      <c r="E677" s="66"/>
      <c r="F677" s="66"/>
    </row>
    <row r="678" spans="2:10" ht="15.75">
      <c r="B678" s="415" t="s">
        <v>2377</v>
      </c>
      <c r="C678" s="562">
        <f>C677/SOP!G29</f>
        <v>2.165620382101225</v>
      </c>
      <c r="D678" s="66"/>
      <c r="E678" s="66"/>
      <c r="F678" s="66"/>
    </row>
    <row r="680" spans="2:10" ht="15.75">
      <c r="B680" s="217" t="s">
        <v>4719</v>
      </c>
      <c r="C680" s="217">
        <f t="shared" ref="C680:J680" si="69">C655</f>
        <v>2018</v>
      </c>
      <c r="D680" s="217">
        <f t="shared" si="69"/>
        <v>2019</v>
      </c>
      <c r="E680" s="217">
        <f t="shared" si="69"/>
        <v>2020</v>
      </c>
      <c r="F680" s="217">
        <f t="shared" si="69"/>
        <v>2021</v>
      </c>
      <c r="G680" s="217">
        <f t="shared" si="69"/>
        <v>2022</v>
      </c>
      <c r="H680" s="217">
        <f t="shared" si="69"/>
        <v>2023</v>
      </c>
      <c r="I680" s="217">
        <f t="shared" si="69"/>
        <v>2024</v>
      </c>
      <c r="J680" s="217">
        <f t="shared" si="69"/>
        <v>2025</v>
      </c>
    </row>
    <row r="681" spans="2:10" ht="15.75">
      <c r="B681" s="66" t="s">
        <v>200</v>
      </c>
      <c r="C681" s="125">
        <f>C612+Master!Q52</f>
        <v>57516.552977953994</v>
      </c>
      <c r="D681" s="125">
        <f>D612+Master!R52</f>
        <v>64937.939147363839</v>
      </c>
      <c r="E681" s="125">
        <f>E612+Master!S52</f>
        <v>70450.03769417142</v>
      </c>
      <c r="F681" s="125">
        <f>F612+Master!T52</f>
        <v>75153.913385722815</v>
      </c>
      <c r="G681" s="125">
        <f>G612+Master!U52</f>
        <v>77537.024529959046</v>
      </c>
      <c r="H681" s="125">
        <f>H612+Master!V52</f>
        <v>79938.067599213697</v>
      </c>
      <c r="I681" s="125">
        <f>I612+Master!W52</f>
        <v>82205.648138822551</v>
      </c>
      <c r="J681" s="125">
        <f>J612+Master!X52</f>
        <v>83601.777502995363</v>
      </c>
    </row>
    <row r="682" spans="2:10" ht="15.75">
      <c r="B682" s="66"/>
    </row>
    <row r="683" spans="2:10" ht="15.75">
      <c r="B683" s="66" t="s">
        <v>57</v>
      </c>
      <c r="C683" s="125">
        <f>(C613+Master!Q68)+(C659*C662)</f>
        <v>24650</v>
      </c>
      <c r="D683" s="125">
        <f>(D613+Master!R68)+(D659*D662)</f>
        <v>27949.006166499566</v>
      </c>
      <c r="E683" s="125">
        <f>(E613+Master!S68)+(E659*E662)</f>
        <v>30173.473850710878</v>
      </c>
      <c r="F683" s="125">
        <f>(F613+Master!T68)+(F659*F662)</f>
        <v>32780.751614648187</v>
      </c>
      <c r="G683" s="125">
        <f>(G613+Master!U68)+(G659*G662)</f>
        <v>33850.40810169121</v>
      </c>
      <c r="H683" s="125">
        <f>(H613+Master!V68)+(H659*H662)</f>
        <v>34248.385928560943</v>
      </c>
      <c r="I683" s="125">
        <f>(I613+Master!W68)+(I659*I662)</f>
        <v>35678.077854322197</v>
      </c>
      <c r="J683" s="125">
        <f>(J613+Master!X68)+(J659*J662)</f>
        <v>36880.927478616664</v>
      </c>
    </row>
    <row r="684" spans="2:10" ht="15.75">
      <c r="B684" s="66" t="s">
        <v>158</v>
      </c>
      <c r="C684" s="116">
        <f t="shared" ref="C684:J684" si="70">C683/C681</f>
        <v>0.42857227569684692</v>
      </c>
      <c r="D684" s="116">
        <f t="shared" si="70"/>
        <v>0.4303956444178928</v>
      </c>
      <c r="E684" s="116">
        <f t="shared" si="70"/>
        <v>0.42829606396658088</v>
      </c>
      <c r="F684" s="116">
        <f t="shared" si="70"/>
        <v>0.43618156577426653</v>
      </c>
      <c r="G684" s="116">
        <f t="shared" si="70"/>
        <v>0.43657089380070241</v>
      </c>
      <c r="H684" s="116">
        <f t="shared" si="70"/>
        <v>0.4284365003701669</v>
      </c>
      <c r="I684" s="116">
        <f t="shared" si="70"/>
        <v>0.43401005480878652</v>
      </c>
      <c r="J684" s="116">
        <f t="shared" si="70"/>
        <v>0.44115003986960993</v>
      </c>
    </row>
    <row r="685" spans="2:10" ht="15.75">
      <c r="B685" s="66"/>
    </row>
    <row r="686" spans="2:10" ht="15.75">
      <c r="B686" s="66" t="s">
        <v>201</v>
      </c>
      <c r="C686" s="125">
        <f>(C616+Master!Q89)-(C660*C662)</f>
        <v>18554.373</v>
      </c>
      <c r="D686" s="125">
        <f>(D616+Master!R89)-(D660*D662)</f>
        <v>19339.644257562992</v>
      </c>
      <c r="E686" s="125">
        <f>(E616+Master!S89)-(E660*E662)</f>
        <v>20670.786424164246</v>
      </c>
      <c r="F686" s="125">
        <f>(F616+Master!T89)-(F660*F662)</f>
        <v>23685.815295826204</v>
      </c>
      <c r="G686" s="125">
        <f>(G616+Master!U89)-(G660*G662)</f>
        <v>19442.678705067443</v>
      </c>
      <c r="H686" s="125">
        <f>(H616+Master!V89)-(H660*H662)</f>
        <v>17734.864179111224</v>
      </c>
      <c r="I686" s="125">
        <f>(I616+Master!W89)-(I660*I662)</f>
        <v>16742.950942162326</v>
      </c>
      <c r="J686" s="125">
        <f>(J616+Master!X89)-(J660*J662)</f>
        <v>16705.173460798091</v>
      </c>
    </row>
    <row r="687" spans="2:10" ht="15.75">
      <c r="B687" s="66" t="s">
        <v>360</v>
      </c>
      <c r="C687" s="116">
        <f t="shared" ref="C687:J687" si="71">C686/C681</f>
        <v>0.32259188076016765</v>
      </c>
      <c r="D687" s="116">
        <f t="shared" si="71"/>
        <v>0.29781733931647392</v>
      </c>
      <c r="E687" s="116">
        <f t="shared" si="71"/>
        <v>0.2934105800467785</v>
      </c>
      <c r="F687" s="116">
        <f t="shared" si="71"/>
        <v>0.31516409763334907</v>
      </c>
      <c r="G687" s="116">
        <f t="shared" si="71"/>
        <v>0.25075347968189193</v>
      </c>
      <c r="H687" s="116">
        <f t="shared" si="71"/>
        <v>0.2218575543760789</v>
      </c>
      <c r="I687" s="116">
        <f t="shared" si="71"/>
        <v>0.20367153986655664</v>
      </c>
      <c r="J687" s="116">
        <f t="shared" si="71"/>
        <v>0.19981840051426614</v>
      </c>
    </row>
    <row r="689" spans="2:4" ht="15.75">
      <c r="B689" s="409" t="s">
        <v>2426</v>
      </c>
    </row>
    <row r="691" spans="2:4" ht="15.75">
      <c r="B691" s="70"/>
      <c r="C691" s="66"/>
    </row>
    <row r="692" spans="2:4" ht="15.75">
      <c r="B692" s="66" t="s">
        <v>2430</v>
      </c>
      <c r="C692" s="125">
        <v>2000</v>
      </c>
    </row>
    <row r="693" spans="2:4" ht="15.75">
      <c r="B693" s="66"/>
      <c r="C693" s="125" t="s">
        <v>84</v>
      </c>
    </row>
    <row r="694" spans="2:4" ht="15.75">
      <c r="B694" s="66" t="s">
        <v>471</v>
      </c>
      <c r="C694" s="125">
        <f>C692*2</f>
        <v>4000</v>
      </c>
    </row>
    <row r="695" spans="2:4" ht="15.75">
      <c r="B695" s="66" t="s">
        <v>2431</v>
      </c>
      <c r="C695" s="125">
        <v>4750</v>
      </c>
    </row>
    <row r="696" spans="2:4" ht="15.75">
      <c r="B696" s="67" t="s">
        <v>2439</v>
      </c>
      <c r="C696" s="154">
        <v>2709</v>
      </c>
    </row>
    <row r="697" spans="2:4" ht="15.75">
      <c r="B697" s="66" t="s">
        <v>456</v>
      </c>
      <c r="C697" s="125">
        <f>SUM(C694:C696)</f>
        <v>11459</v>
      </c>
    </row>
    <row r="698" spans="2:4" ht="15.75">
      <c r="B698" s="66"/>
      <c r="C698" s="125"/>
    </row>
    <row r="699" spans="2:4" ht="15.75">
      <c r="B699" s="66" t="s">
        <v>2429</v>
      </c>
      <c r="C699" s="125">
        <f>'Cable cos'!J201</f>
        <v>1586.7010655999995</v>
      </c>
      <c r="D699" s="125"/>
    </row>
    <row r="700" spans="2:4" ht="15.75">
      <c r="B700" s="66" t="s">
        <v>380</v>
      </c>
      <c r="C700" s="112">
        <f>C697/C699</f>
        <v>7.2219022526885759</v>
      </c>
      <c r="D700" s="112"/>
    </row>
    <row r="702" spans="2:4" ht="15.75">
      <c r="B702" s="66" t="s">
        <v>2428</v>
      </c>
      <c r="C702" s="156">
        <f>C696/C699</f>
        <v>1.7073159265671831</v>
      </c>
    </row>
    <row r="704" spans="2:4" ht="15.75">
      <c r="B704" s="409" t="s">
        <v>2612</v>
      </c>
      <c r="C704" s="112"/>
    </row>
    <row r="706" spans="2:7">
      <c r="B706" t="s">
        <v>853</v>
      </c>
      <c r="C706">
        <v>169</v>
      </c>
      <c r="D706">
        <v>185</v>
      </c>
    </row>
    <row r="707" spans="2:7">
      <c r="D707" s="8">
        <f>D706/C706-1</f>
        <v>9.4674556213017791E-2</v>
      </c>
    </row>
    <row r="708" spans="2:7">
      <c r="B708" t="s">
        <v>2613</v>
      </c>
      <c r="D708">
        <v>230</v>
      </c>
    </row>
    <row r="709" spans="2:7">
      <c r="B709" t="s">
        <v>771</v>
      </c>
      <c r="C709">
        <v>389</v>
      </c>
      <c r="D709">
        <v>299</v>
      </c>
    </row>
    <row r="710" spans="2:7">
      <c r="B710" t="s">
        <v>772</v>
      </c>
      <c r="C710">
        <v>499</v>
      </c>
      <c r="D710">
        <v>429</v>
      </c>
    </row>
    <row r="711" spans="2:7">
      <c r="B711" t="s">
        <v>2614</v>
      </c>
      <c r="C711">
        <v>649</v>
      </c>
      <c r="D711">
        <v>589</v>
      </c>
    </row>
    <row r="712" spans="2:7">
      <c r="B712" t="s">
        <v>2615</v>
      </c>
      <c r="C712">
        <v>659</v>
      </c>
      <c r="D712">
        <v>599</v>
      </c>
    </row>
    <row r="713" spans="2:7">
      <c r="B713" t="s">
        <v>773</v>
      </c>
      <c r="C713">
        <v>859</v>
      </c>
      <c r="D713">
        <v>799</v>
      </c>
    </row>
    <row r="714" spans="2:7">
      <c r="D714" s="8"/>
    </row>
    <row r="715" spans="2:7">
      <c r="B715" t="s">
        <v>1401</v>
      </c>
      <c r="D715">
        <v>129</v>
      </c>
      <c r="F715">
        <v>9.99</v>
      </c>
      <c r="G715">
        <f>F715*G716</f>
        <v>186.77701543739281</v>
      </c>
    </row>
    <row r="716" spans="2:7">
      <c r="B716" t="s">
        <v>2540</v>
      </c>
      <c r="D716">
        <v>109</v>
      </c>
      <c r="F716">
        <v>5.83</v>
      </c>
      <c r="G716" s="151">
        <f>D716/F716</f>
        <v>18.69639794168096</v>
      </c>
    </row>
    <row r="717" spans="2:7">
      <c r="F717">
        <v>3.69</v>
      </c>
      <c r="G717">
        <f>F717*G716</f>
        <v>68.989708404802741</v>
      </c>
    </row>
    <row r="720" spans="2:7">
      <c r="B720" s="61" t="s">
        <v>2335</v>
      </c>
      <c r="C720" s="61"/>
      <c r="D720" s="130" t="s">
        <v>2641</v>
      </c>
      <c r="E720" s="130" t="s">
        <v>2639</v>
      </c>
    </row>
    <row r="721" spans="2:14">
      <c r="B721" t="s">
        <v>756</v>
      </c>
      <c r="C721">
        <v>10</v>
      </c>
      <c r="D721">
        <v>299</v>
      </c>
      <c r="E721">
        <v>329</v>
      </c>
    </row>
    <row r="722" spans="2:14">
      <c r="C722">
        <v>20</v>
      </c>
      <c r="D722">
        <v>399</v>
      </c>
      <c r="E722">
        <v>429</v>
      </c>
    </row>
    <row r="723" spans="2:14">
      <c r="C723">
        <v>50</v>
      </c>
      <c r="D723">
        <v>599</v>
      </c>
      <c r="E723">
        <v>629</v>
      </c>
    </row>
    <row r="724" spans="2:14">
      <c r="C724">
        <v>100</v>
      </c>
      <c r="D724">
        <v>799</v>
      </c>
      <c r="E724">
        <v>829</v>
      </c>
    </row>
    <row r="725" spans="2:14">
      <c r="C725">
        <v>200</v>
      </c>
      <c r="D725">
        <v>999</v>
      </c>
      <c r="E725">
        <v>1029</v>
      </c>
    </row>
    <row r="726" spans="2:14">
      <c r="B726" t="s">
        <v>2643</v>
      </c>
      <c r="E726" s="8">
        <f>AVERAGE(E721:E725)/AVERAGE(D721:D725)-1</f>
        <v>4.8465266558965991E-2</v>
      </c>
    </row>
    <row r="728" spans="2:14">
      <c r="B728" t="s">
        <v>2640</v>
      </c>
      <c r="E728" s="136" t="s">
        <v>2642</v>
      </c>
    </row>
    <row r="729" spans="2:14">
      <c r="E729" s="8">
        <f>25/350</f>
        <v>7.1428571428571425E-2</v>
      </c>
    </row>
    <row r="731" spans="2:14">
      <c r="E731">
        <f>Master!J41</f>
        <v>2011</v>
      </c>
      <c r="F731">
        <f>Master!K41</f>
        <v>2012</v>
      </c>
      <c r="G731">
        <f>Master!L41</f>
        <v>2013</v>
      </c>
      <c r="H731">
        <f>Master!M41</f>
        <v>2014</v>
      </c>
      <c r="I731">
        <f>Master!N41</f>
        <v>2015</v>
      </c>
      <c r="J731">
        <f>Master!O41</f>
        <v>2016</v>
      </c>
      <c r="K731">
        <f>Master!P41</f>
        <v>2017</v>
      </c>
      <c r="L731">
        <f>Master!Q41</f>
        <v>2018</v>
      </c>
      <c r="M731">
        <f>Master!R41</f>
        <v>2019</v>
      </c>
      <c r="N731">
        <f>Master!S41</f>
        <v>2020</v>
      </c>
    </row>
    <row r="732" spans="2:14">
      <c r="D732" t="s">
        <v>2668</v>
      </c>
      <c r="E732">
        <f>Master!J116</f>
        <v>13794.86</v>
      </c>
      <c r="F732">
        <f>Master!K116</f>
        <v>15019.84</v>
      </c>
      <c r="G732">
        <f>Master!L116</f>
        <v>13432.048890624999</v>
      </c>
      <c r="H732">
        <f>Master!M116</f>
        <v>13062.938999999998</v>
      </c>
      <c r="I732">
        <f>Master!N116</f>
        <v>6897.6019999999999</v>
      </c>
      <c r="J732">
        <f>Master!O116</f>
        <v>5664.8199999999979</v>
      </c>
      <c r="K732">
        <f>Master!P116</f>
        <v>16059.169999999998</v>
      </c>
      <c r="L732">
        <f>Master!Q116</f>
        <v>17911.550000000003</v>
      </c>
      <c r="M732">
        <f>Master!R116</f>
        <v>19150.974999999999</v>
      </c>
      <c r="N732">
        <f>Master!S116</f>
        <v>18631.987999999998</v>
      </c>
    </row>
    <row r="733" spans="2:14">
      <c r="D733" t="s">
        <v>2667</v>
      </c>
      <c r="E733" s="8">
        <f>Master!J124</f>
        <v>0.22043031886420106</v>
      </c>
      <c r="F733" s="8">
        <f>Master!K124</f>
        <v>0.2167665362012631</v>
      </c>
      <c r="G733" s="8">
        <f>Master!L124</f>
        <v>0.18202186762300523</v>
      </c>
      <c r="H733" s="8">
        <f>Master!M124</f>
        <v>0.16304543026321044</v>
      </c>
      <c r="I733" s="8">
        <f>Master!N124</f>
        <v>7.8335551719438512E-2</v>
      </c>
      <c r="J733" s="8">
        <f>Master!O124</f>
        <v>5.8832412132843945E-2</v>
      </c>
      <c r="K733" s="8">
        <f>Master!P124</f>
        <v>0.17034388756298063</v>
      </c>
      <c r="L733" s="8">
        <f>Master!Q124</f>
        <v>0.17679942749975325</v>
      </c>
      <c r="M733" s="8">
        <f>Master!R124</f>
        <v>0.19027184139985254</v>
      </c>
      <c r="N733" s="8">
        <f>Master!S124</f>
        <v>0.19180887456338022</v>
      </c>
    </row>
    <row r="735" spans="2:14">
      <c r="B735" s="42" t="s">
        <v>508</v>
      </c>
      <c r="C735" s="255" t="s">
        <v>2727</v>
      </c>
    </row>
    <row r="736" spans="2:14">
      <c r="B736" t="s">
        <v>1401</v>
      </c>
      <c r="C736">
        <v>4.9000000000000004</v>
      </c>
    </row>
    <row r="737" spans="2:7">
      <c r="B737" t="s">
        <v>2728</v>
      </c>
      <c r="C737">
        <v>3.3</v>
      </c>
    </row>
    <row r="738" spans="2:7">
      <c r="B738" t="s">
        <v>2540</v>
      </c>
      <c r="C738">
        <v>1</v>
      </c>
    </row>
    <row r="739" spans="2:7">
      <c r="C739">
        <f>SUM(C736:C738)</f>
        <v>9.1999999999999993</v>
      </c>
    </row>
    <row r="740" spans="2:7">
      <c r="B740" t="s">
        <v>2729</v>
      </c>
    </row>
    <row r="742" spans="2:7">
      <c r="D742" t="s">
        <v>2619</v>
      </c>
      <c r="E742" s="3" t="s">
        <v>2621</v>
      </c>
      <c r="F742" t="s">
        <v>2620</v>
      </c>
    </row>
    <row r="743" spans="2:7">
      <c r="B743" s="61"/>
      <c r="C743" s="61">
        <v>2016</v>
      </c>
      <c r="D743" s="61">
        <f>C743+1</f>
        <v>2017</v>
      </c>
      <c r="E743" s="61">
        <f>D743+1</f>
        <v>2018</v>
      </c>
      <c r="F743" s="61">
        <f>E743+1</f>
        <v>2019</v>
      </c>
      <c r="G743" s="61">
        <f>F743+1</f>
        <v>2020</v>
      </c>
    </row>
    <row r="744" spans="2:7">
      <c r="B744" t="s">
        <v>145</v>
      </c>
      <c r="C744" s="4">
        <f>Master!O95</f>
        <v>150</v>
      </c>
      <c r="D744" s="4">
        <f>Master!P95</f>
        <v>113.59999999999998</v>
      </c>
      <c r="E744" s="4">
        <f>Master!Q95</f>
        <v>94.8</v>
      </c>
      <c r="F744" s="4">
        <f>Master!R95</f>
        <v>107.8</v>
      </c>
      <c r="G744" s="4">
        <f>Master!S95</f>
        <v>26.7</v>
      </c>
    </row>
    <row r="745" spans="2:7">
      <c r="B745" t="s">
        <v>2622</v>
      </c>
      <c r="C745" s="4">
        <v>170</v>
      </c>
      <c r="D745">
        <v>150</v>
      </c>
      <c r="E745">
        <v>120</v>
      </c>
      <c r="F745">
        <v>80</v>
      </c>
      <c r="G745">
        <v>0</v>
      </c>
    </row>
    <row r="746" spans="2:7">
      <c r="B746" t="s">
        <v>2623</v>
      </c>
      <c r="C746" s="4">
        <f>Master!O96-C745</f>
        <v>176.60000000000002</v>
      </c>
      <c r="D746" s="4">
        <f>Master!P96-D745</f>
        <v>61.400000000000006</v>
      </c>
      <c r="E746" s="4">
        <f>Master!Q96-E745</f>
        <v>89.6</v>
      </c>
      <c r="F746" s="4">
        <f>Master!R96-F745</f>
        <v>129.1</v>
      </c>
      <c r="G746" s="4">
        <f>Master!S96-G745</f>
        <v>250.2</v>
      </c>
    </row>
    <row r="747" spans="2:7">
      <c r="B747" t="s">
        <v>2624</v>
      </c>
      <c r="C747" s="4">
        <f>0.4*Master!$O$97</f>
        <v>393.68000000000006</v>
      </c>
      <c r="D747">
        <v>180</v>
      </c>
      <c r="E747">
        <v>160</v>
      </c>
      <c r="F747" s="4">
        <v>140</v>
      </c>
      <c r="G747">
        <v>140</v>
      </c>
    </row>
    <row r="748" spans="2:7">
      <c r="B748" t="s">
        <v>2625</v>
      </c>
      <c r="C748" s="4">
        <f>0.3*Master!$O$97</f>
        <v>295.26</v>
      </c>
      <c r="D748" s="4">
        <v>300</v>
      </c>
      <c r="E748" s="4">
        <v>225</v>
      </c>
      <c r="F748" s="4">
        <v>130</v>
      </c>
      <c r="G748" s="4">
        <v>130</v>
      </c>
    </row>
    <row r="749" spans="2:7">
      <c r="B749" s="61" t="s">
        <v>2626</v>
      </c>
      <c r="C749" s="420">
        <f>Master!O97-C747-C748</f>
        <v>295.26</v>
      </c>
      <c r="D749" s="420">
        <f>Master!P97-D747-D748</f>
        <v>79.700000000000045</v>
      </c>
      <c r="E749" s="420">
        <f>Master!Q97-E747-E748</f>
        <v>280</v>
      </c>
      <c r="F749" s="420">
        <f>Master!R97-F747-F748</f>
        <v>403.6</v>
      </c>
      <c r="G749" s="420">
        <f>Master!S97-G747-G748</f>
        <v>392.5</v>
      </c>
    </row>
    <row r="750" spans="2:7">
      <c r="B750" t="s">
        <v>358</v>
      </c>
      <c r="C750" s="4">
        <f>Master!O98</f>
        <v>1480.8000000000002</v>
      </c>
      <c r="D750" s="4">
        <f>Master!P98</f>
        <v>884.7</v>
      </c>
      <c r="E750" s="4">
        <f>Master!Q98</f>
        <v>969.4</v>
      </c>
      <c r="F750" s="4">
        <f>Master!R98</f>
        <v>990.5</v>
      </c>
      <c r="G750" s="4">
        <f>Master!S98</f>
        <v>939.4</v>
      </c>
    </row>
    <row r="752" spans="2:7">
      <c r="B752" s="61" t="s">
        <v>2627</v>
      </c>
      <c r="C752" s="61">
        <v>2016</v>
      </c>
      <c r="D752" s="61">
        <f>C752+1</f>
        <v>2017</v>
      </c>
      <c r="E752" s="61">
        <f>D752+1</f>
        <v>2018</v>
      </c>
      <c r="F752" s="61">
        <f>E752+1</f>
        <v>2019</v>
      </c>
      <c r="G752" s="61">
        <f>F752+1</f>
        <v>2020</v>
      </c>
    </row>
    <row r="753" spans="2:7">
      <c r="B753" t="s">
        <v>2628</v>
      </c>
      <c r="C753" s="122">
        <f>Master!O68</f>
        <v>13236.1</v>
      </c>
      <c r="D753" s="122">
        <f>Master!P68</f>
        <v>14035</v>
      </c>
      <c r="E753" s="122">
        <f>Master!Q68</f>
        <v>15303</v>
      </c>
      <c r="F753" s="122">
        <f>Master!R68</f>
        <v>17798</v>
      </c>
      <c r="G753" s="122">
        <f>Master!S68</f>
        <v>18898.3</v>
      </c>
    </row>
    <row r="754" spans="2:7">
      <c r="B754" t="s">
        <v>158</v>
      </c>
      <c r="C754" s="10">
        <f>Master!O81</f>
        <v>0.4150340528540431</v>
      </c>
      <c r="D754" s="10">
        <f>Master!P81</f>
        <v>0.42468530622125394</v>
      </c>
      <c r="E754" s="10">
        <f>Master!Q81</f>
        <v>0.42234979162641789</v>
      </c>
      <c r="F754" s="10">
        <f>Master!R81</f>
        <v>0.42679008201045515</v>
      </c>
      <c r="G754" s="10">
        <f>Master!S81</f>
        <v>0.41656398579587411</v>
      </c>
    </row>
    <row r="756" spans="2:7">
      <c r="B756" t="s">
        <v>714</v>
      </c>
      <c r="C756" s="122">
        <v>13153.048110000002</v>
      </c>
      <c r="D756" s="122">
        <v>15126.005326500001</v>
      </c>
      <c r="E756" s="122">
        <v>17287.530161737501</v>
      </c>
      <c r="F756" s="122">
        <v>19413.574243739997</v>
      </c>
      <c r="G756" s="122">
        <v>21663.122159233368</v>
      </c>
    </row>
    <row r="757" spans="2:7">
      <c r="B757" t="str">
        <f>B754</f>
        <v>% margin</v>
      </c>
      <c r="C757" s="10">
        <v>0.40499999999999997</v>
      </c>
      <c r="D757" s="10">
        <v>0.40500000000000003</v>
      </c>
      <c r="E757" s="10">
        <v>0.40250000000000008</v>
      </c>
      <c r="F757" s="10">
        <v>0.4</v>
      </c>
      <c r="G757" s="10">
        <v>0.39500000000000002</v>
      </c>
    </row>
    <row r="760" spans="2:7">
      <c r="B760" t="s">
        <v>264</v>
      </c>
      <c r="C760" s="10">
        <f>C753/C756-1</f>
        <v>6.3142694609972239E-3</v>
      </c>
      <c r="D760" s="10">
        <f>D753/D756-1</f>
        <v>-7.2127789389880403E-2</v>
      </c>
      <c r="E760" s="10">
        <f>E753/E756-1</f>
        <v>-0.11479547067572804</v>
      </c>
      <c r="F760" s="10">
        <f>F753/F756-1</f>
        <v>-8.3218794409326557E-2</v>
      </c>
      <c r="G760" s="10">
        <f>G753/G756-1</f>
        <v>-0.12762805559192825</v>
      </c>
    </row>
    <row r="762" spans="2:7">
      <c r="B762" t="s">
        <v>2636</v>
      </c>
    </row>
    <row r="763" spans="2:7">
      <c r="B763" t="s">
        <v>2629</v>
      </c>
    </row>
    <row r="764" spans="2:7">
      <c r="B764" t="s">
        <v>2630</v>
      </c>
    </row>
    <row r="765" spans="2:7">
      <c r="B765" t="s">
        <v>2631</v>
      </c>
    </row>
    <row r="766" spans="2:7">
      <c r="B766" t="s">
        <v>2632</v>
      </c>
    </row>
    <row r="767" spans="2:7">
      <c r="C767" t="s">
        <v>2633</v>
      </c>
      <c r="D767">
        <f>350*1000000/18</f>
        <v>19444444.444444444</v>
      </c>
      <c r="E767" s="4">
        <f>D767/1000</f>
        <v>19444.444444444445</v>
      </c>
    </row>
    <row r="768" spans="2:7">
      <c r="C768" t="s">
        <v>2634</v>
      </c>
    </row>
    <row r="769" spans="2:8">
      <c r="B769" t="s">
        <v>2635</v>
      </c>
    </row>
    <row r="771" spans="2:8">
      <c r="B771" t="s">
        <v>2676</v>
      </c>
      <c r="C771" s="3" t="s">
        <v>2675</v>
      </c>
      <c r="D771" s="3" t="s">
        <v>2673</v>
      </c>
      <c r="E771" s="3" t="s">
        <v>2674</v>
      </c>
      <c r="G771">
        <v>18.5</v>
      </c>
    </row>
    <row r="772" spans="2:8">
      <c r="B772" s="417">
        <v>0.05</v>
      </c>
      <c r="C772" s="122">
        <f>B772*Master!$O$43</f>
        <v>1161.1600000000001</v>
      </c>
      <c r="D772" s="10">
        <f>C772/Master!$P$73</f>
        <v>3.5422818791946309E-2</v>
      </c>
      <c r="E772" s="419">
        <f>H772/SOP!$G$29</f>
        <v>0.92723333842274958</v>
      </c>
      <c r="F772" s="4">
        <f>(1-0.28)*C772</f>
        <v>836.03520000000003</v>
      </c>
      <c r="G772" s="4">
        <f>F772/8.5%</f>
        <v>9835.7082352941179</v>
      </c>
      <c r="H772" s="4">
        <f>G772/$G$771</f>
        <v>531.65990461049284</v>
      </c>
    </row>
    <row r="773" spans="2:8">
      <c r="B773" s="417">
        <f>B772+5%</f>
        <v>0.1</v>
      </c>
      <c r="C773" s="122">
        <f>B773*Master!$O$43</f>
        <v>2322.3200000000002</v>
      </c>
      <c r="D773" s="10">
        <f>C773/Master!$P$73</f>
        <v>7.0845637583892618E-2</v>
      </c>
      <c r="E773" s="419">
        <f>H773/SOP!$G$29</f>
        <v>1.8544666768454992</v>
      </c>
      <c r="F773" s="4">
        <f>(1-0.28)*C773</f>
        <v>1672.0704000000001</v>
      </c>
      <c r="G773" s="4">
        <f>F773/8.5%</f>
        <v>19671.416470588236</v>
      </c>
      <c r="H773" s="4">
        <f>G773/$G$771</f>
        <v>1063.3198092209857</v>
      </c>
    </row>
    <row r="774" spans="2:8">
      <c r="B774" s="417">
        <f>B773+5%</f>
        <v>0.15000000000000002</v>
      </c>
      <c r="C774" s="122">
        <f>B774*Master!$O$43</f>
        <v>3483.4800000000005</v>
      </c>
      <c r="D774" s="10">
        <f>C774/Master!$P$73</f>
        <v>0.10626845637583894</v>
      </c>
      <c r="E774" s="419">
        <f>H774/SOP!$G$29</f>
        <v>2.7817000152682487</v>
      </c>
      <c r="F774" s="4">
        <f>(1-0.28)*C774</f>
        <v>2508.1056000000003</v>
      </c>
      <c r="G774" s="4">
        <f>F774/8.5%</f>
        <v>29507.124705882354</v>
      </c>
      <c r="H774" s="4">
        <f>G774/$G$771</f>
        <v>1594.9797138314786</v>
      </c>
    </row>
    <row r="775" spans="2:8">
      <c r="B775" s="417">
        <f>B774+5%</f>
        <v>0.2</v>
      </c>
      <c r="C775" s="122">
        <f>B775*Master!$O$43</f>
        <v>4644.6400000000003</v>
      </c>
      <c r="D775" s="10">
        <f>C775/Master!$P$73</f>
        <v>0.14169127516778524</v>
      </c>
      <c r="E775" s="419">
        <f>H775/SOP!$G$29</f>
        <v>3.7089333536909983</v>
      </c>
      <c r="F775" s="4">
        <f>(1-0.28)*C775</f>
        <v>3344.1408000000001</v>
      </c>
      <c r="G775" s="4">
        <f>F775/8.5%</f>
        <v>39342.832941176472</v>
      </c>
      <c r="H775" s="4">
        <f>G775/$G$771</f>
        <v>2126.6396184419714</v>
      </c>
    </row>
    <row r="776" spans="2:8">
      <c r="B776" s="417"/>
      <c r="C776" s="122"/>
      <c r="D776" s="10"/>
      <c r="E776" s="419"/>
      <c r="F776" s="4"/>
      <c r="G776" s="4"/>
      <c r="H776" s="4"/>
    </row>
    <row r="778" spans="2:8">
      <c r="B778" s="149" t="s">
        <v>2637</v>
      </c>
      <c r="C778" s="149">
        <v>2016</v>
      </c>
      <c r="D778" s="149">
        <f>C778+1</f>
        <v>2017</v>
      </c>
      <c r="E778" s="149">
        <f>D778+1</f>
        <v>2018</v>
      </c>
    </row>
    <row r="779" spans="2:8">
      <c r="B779" t="s">
        <v>653</v>
      </c>
      <c r="C779" s="122">
        <f>Master!O56</f>
        <v>96287.4</v>
      </c>
      <c r="D779" s="122">
        <f>Master!P56</f>
        <v>94275</v>
      </c>
      <c r="E779" s="122">
        <f>Master!Q56</f>
        <v>101310</v>
      </c>
    </row>
    <row r="780" spans="2:8">
      <c r="B780" t="s">
        <v>57</v>
      </c>
      <c r="C780" s="122">
        <f>Master!O73</f>
        <v>33577.899999999994</v>
      </c>
      <c r="D780" s="122">
        <f>Master!P73</f>
        <v>32780</v>
      </c>
      <c r="E780" s="122">
        <f>Master!Q73</f>
        <v>36572.5</v>
      </c>
    </row>
    <row r="781" spans="2:8">
      <c r="B781" t="s">
        <v>158</v>
      </c>
    </row>
    <row r="782" spans="2:8">
      <c r="B782" t="s">
        <v>201</v>
      </c>
      <c r="C782" s="122">
        <f>Master!O90</f>
        <v>27913.08</v>
      </c>
      <c r="D782" s="122">
        <f>Master!P90</f>
        <v>16720.829999999998</v>
      </c>
      <c r="E782" s="122">
        <f>Master!Q90</f>
        <v>18660.95</v>
      </c>
    </row>
    <row r="783" spans="2:8">
      <c r="B783" t="s">
        <v>202</v>
      </c>
    </row>
    <row r="784" spans="2:8">
      <c r="B784" t="s">
        <v>203</v>
      </c>
      <c r="C784" s="122">
        <f>Master!O116</f>
        <v>5664.8199999999979</v>
      </c>
      <c r="D784" s="122">
        <f>Master!P116</f>
        <v>16059.169999999998</v>
      </c>
      <c r="E784" s="122">
        <f>Master!Q116</f>
        <v>17911.550000000003</v>
      </c>
    </row>
    <row r="785" spans="2:5">
      <c r="B785" t="s">
        <v>372</v>
      </c>
      <c r="C785" s="122">
        <f>Valuation!L32</f>
        <v>-689.7920424403186</v>
      </c>
      <c r="D785" s="122">
        <f>Valuation!M32</f>
        <v>-55.017460317460106</v>
      </c>
      <c r="E785" s="122">
        <f>Valuation!N32</f>
        <v>-329.16623376623386</v>
      </c>
    </row>
    <row r="787" spans="2:5" hidden="1">
      <c r="B787" t="s">
        <v>1248</v>
      </c>
    </row>
    <row r="788" spans="2:5" hidden="1">
      <c r="B788" t="str">
        <f t="shared" ref="B788:B794" si="72">B779</f>
        <v>Revs</v>
      </c>
      <c r="C788" s="122">
        <v>96272.715053223685</v>
      </c>
      <c r="D788" s="122">
        <v>103650.90070172002</v>
      </c>
      <c r="E788" s="122">
        <v>113717.00984955725</v>
      </c>
    </row>
    <row r="789" spans="2:5" hidden="1">
      <c r="B789" t="str">
        <f t="shared" si="72"/>
        <v>EBITDA</v>
      </c>
      <c r="C789" s="122">
        <v>34176.654166974033</v>
      </c>
      <c r="D789" s="122">
        <v>37764.072691099624</v>
      </c>
      <c r="E789" s="122">
        <v>43178.71806576263</v>
      </c>
    </row>
    <row r="790" spans="2:5" hidden="1">
      <c r="B790" t="str">
        <f t="shared" si="72"/>
        <v>% margin</v>
      </c>
    </row>
    <row r="791" spans="2:5" hidden="1">
      <c r="B791" t="str">
        <f t="shared" si="72"/>
        <v>Capex</v>
      </c>
      <c r="C791" s="122">
        <v>29048.477887710607</v>
      </c>
      <c r="D791" s="122">
        <v>24659.14706927626</v>
      </c>
      <c r="E791" s="122">
        <v>22270.579099331386</v>
      </c>
    </row>
    <row r="792" spans="2:5" hidden="1">
      <c r="B792" t="str">
        <f t="shared" si="72"/>
        <v>as % sales</v>
      </c>
    </row>
    <row r="793" spans="2:5" hidden="1">
      <c r="B793" t="str">
        <f t="shared" si="72"/>
        <v>OpFCF</v>
      </c>
      <c r="C793" s="122">
        <v>5128.1762792634227</v>
      </c>
      <c r="D793" s="122">
        <v>13104.925621823368</v>
      </c>
      <c r="E793" s="122">
        <v>20908.138966431248</v>
      </c>
    </row>
    <row r="794" spans="2:5" hidden="1">
      <c r="B794" t="str">
        <f t="shared" si="72"/>
        <v>EFCF</v>
      </c>
      <c r="C794" s="122">
        <v>-320.36463748773849</v>
      </c>
      <c r="D794" s="122">
        <v>121.37591823550751</v>
      </c>
      <c r="E794" s="122">
        <v>435.13924787204843</v>
      </c>
    </row>
    <row r="795" spans="2:5" hidden="1"/>
    <row r="796" spans="2:5">
      <c r="B796" t="s">
        <v>264</v>
      </c>
    </row>
    <row r="797" spans="2:5">
      <c r="B797" t="str">
        <f>B788</f>
        <v>Revs</v>
      </c>
      <c r="C797" s="10">
        <f t="shared" ref="C797:E798" si="73">C779/C788-1</f>
        <v>1.5253487728261739E-4</v>
      </c>
      <c r="D797" s="10">
        <f t="shared" si="73"/>
        <v>-9.0456528966413874E-2</v>
      </c>
      <c r="E797" s="10">
        <f t="shared" si="73"/>
        <v>-0.10910425683871916</v>
      </c>
    </row>
    <row r="798" spans="2:5">
      <c r="B798" t="str">
        <f>B789</f>
        <v>EBITDA</v>
      </c>
      <c r="C798" s="10">
        <f t="shared" si="73"/>
        <v>-1.7519390986863614E-2</v>
      </c>
      <c r="D798" s="10">
        <f t="shared" si="73"/>
        <v>-0.13197921558588377</v>
      </c>
      <c r="E798" s="10">
        <f t="shared" si="73"/>
        <v>-0.15299708656707078</v>
      </c>
    </row>
    <row r="799" spans="2:5">
      <c r="B799" t="str">
        <f>B791</f>
        <v>Capex</v>
      </c>
      <c r="C799" s="10">
        <f>C782/C791-1</f>
        <v>-3.908631261505624E-2</v>
      </c>
      <c r="D799" s="10">
        <f>D782/D791-1</f>
        <v>-0.3219218023630227</v>
      </c>
      <c r="E799" s="10">
        <f>E782/E791-1</f>
        <v>-0.16208061241837013</v>
      </c>
    </row>
    <row r="800" spans="2:5">
      <c r="B800" t="str">
        <f>B793</f>
        <v>OpFCF</v>
      </c>
      <c r="C800" s="10">
        <f t="shared" ref="C800:E801" si="74">C784/C793-1</f>
        <v>0.10464611423491377</v>
      </c>
      <c r="D800" s="10">
        <f t="shared" si="74"/>
        <v>0.22543007594464992</v>
      </c>
      <c r="E800" s="10">
        <f t="shared" si="74"/>
        <v>-0.14332164958547355</v>
      </c>
    </row>
    <row r="801" spans="2:8">
      <c r="B801" t="str">
        <f>B794</f>
        <v>EFCF</v>
      </c>
      <c r="C801" s="10">
        <f t="shared" si="74"/>
        <v>1.1531466389348899</v>
      </c>
      <c r="D801" s="10">
        <f t="shared" si="74"/>
        <v>-1.4532815167726181</v>
      </c>
      <c r="E801" s="10">
        <f t="shared" si="74"/>
        <v>-1.7564618346332765</v>
      </c>
    </row>
    <row r="803" spans="2:8">
      <c r="B803" s="61" t="s">
        <v>2335</v>
      </c>
      <c r="C803" s="130" t="s">
        <v>2118</v>
      </c>
      <c r="D803" s="130" t="s">
        <v>2143</v>
      </c>
      <c r="E803" s="130" t="s">
        <v>2232</v>
      </c>
      <c r="F803" s="130" t="s">
        <v>2378</v>
      </c>
      <c r="G803" s="130" t="s">
        <v>2515</v>
      </c>
      <c r="H803" s="130" t="s">
        <v>2596</v>
      </c>
    </row>
    <row r="804" spans="2:8">
      <c r="B804" t="s">
        <v>2638</v>
      </c>
      <c r="C804" s="8">
        <v>0.1672202778518217</v>
      </c>
      <c r="D804" s="8">
        <v>0.12916219451866939</v>
      </c>
      <c r="E804" s="8">
        <v>0.16855895196506543</v>
      </c>
      <c r="F804" s="8">
        <v>0.21446542023787041</v>
      </c>
      <c r="G804" s="8">
        <v>0.19744562106468222</v>
      </c>
      <c r="H804" s="8">
        <v>0.2390799035516058</v>
      </c>
    </row>
    <row r="805" spans="2:8">
      <c r="B805" t="s">
        <v>1512</v>
      </c>
      <c r="C805" s="8">
        <v>0.22920845748095742</v>
      </c>
      <c r="D805" s="8">
        <v>0.23566511819716318</v>
      </c>
      <c r="E805" s="8">
        <v>0.24169424500651271</v>
      </c>
      <c r="F805" s="8">
        <v>0.24749175207689733</v>
      </c>
      <c r="G805" s="8">
        <v>0.23357183853070596</v>
      </c>
      <c r="H805" s="8">
        <v>0.20039464068209512</v>
      </c>
    </row>
    <row r="806" spans="2:8">
      <c r="B806" t="s">
        <v>507</v>
      </c>
      <c r="C806" s="8">
        <v>-9.1351074718526104E-2</v>
      </c>
      <c r="D806" s="8">
        <v>-1.9646924829157086E-2</v>
      </c>
      <c r="E806" s="8">
        <v>0</v>
      </c>
      <c r="F806" s="8">
        <v>3.3276931754089079E-2</v>
      </c>
      <c r="G806" s="8">
        <v>-3.9425513939735923E-3</v>
      </c>
      <c r="H806" s="8">
        <v>4.0952657566075912E-2</v>
      </c>
    </row>
    <row r="808" spans="2:8">
      <c r="B808" t="s">
        <v>74</v>
      </c>
    </row>
    <row r="809" spans="2:8">
      <c r="B809" t="s">
        <v>2638</v>
      </c>
      <c r="C809" s="8">
        <f>Interims!CP14</f>
        <v>0.12365778376733472</v>
      </c>
      <c r="D809" s="8">
        <f>Interims!CQ14</f>
        <v>0.10564772987488813</v>
      </c>
      <c r="E809" s="8">
        <f>Interims!CR14</f>
        <v>0.13799895485790081</v>
      </c>
      <c r="F809" s="8">
        <f>Interims!CS14</f>
        <v>0.12566235267670733</v>
      </c>
      <c r="G809" s="8">
        <f>Interims!CU14</f>
        <v>0.13502122272693429</v>
      </c>
      <c r="H809" s="8">
        <f>Interims!CV14</f>
        <v>0.12915177214640305</v>
      </c>
    </row>
    <row r="810" spans="2:8">
      <c r="B810" t="s">
        <v>1512</v>
      </c>
      <c r="C810" s="8"/>
      <c r="D810" s="8"/>
      <c r="E810" s="8"/>
      <c r="F810" s="8"/>
      <c r="G810" s="8">
        <f>Interims!CU239</f>
        <v>0.17049829523929771</v>
      </c>
      <c r="H810" s="8">
        <f>Interims!CV239</f>
        <v>0.15358625700517892</v>
      </c>
    </row>
    <row r="811" spans="2:8">
      <c r="B811" t="s">
        <v>507</v>
      </c>
      <c r="C811" s="8"/>
      <c r="D811" s="8"/>
      <c r="E811" s="8"/>
      <c r="F811" s="8"/>
      <c r="G811" s="8">
        <f>Interims!CU294</f>
        <v>0</v>
      </c>
      <c r="H811" s="8">
        <f>Interims!CV294</f>
        <v>-2.8154708641171644E-2</v>
      </c>
    </row>
    <row r="813" spans="2:8">
      <c r="B813" s="2" t="s">
        <v>2653</v>
      </c>
    </row>
    <row r="814" spans="2:8">
      <c r="B814" t="s">
        <v>2651</v>
      </c>
    </row>
    <row r="815" spans="2:8">
      <c r="B815" t="s">
        <v>2650</v>
      </c>
    </row>
    <row r="816" spans="2:8">
      <c r="B816" t="s">
        <v>2647</v>
      </c>
    </row>
    <row r="818" spans="2:12">
      <c r="B818" s="2" t="s">
        <v>2644</v>
      </c>
    </row>
    <row r="819" spans="2:12">
      <c r="B819" t="s">
        <v>2645</v>
      </c>
    </row>
    <row r="820" spans="2:12">
      <c r="B820" s="422" t="s">
        <v>2649</v>
      </c>
    </row>
    <row r="821" spans="2:12">
      <c r="B821" t="s">
        <v>2646</v>
      </c>
    </row>
    <row r="822" spans="2:12">
      <c r="B822" s="1" t="s">
        <v>2648</v>
      </c>
    </row>
    <row r="823" spans="2:12">
      <c r="B823" t="s">
        <v>2</v>
      </c>
    </row>
    <row r="824" spans="2:12">
      <c r="B824" s="1" t="s">
        <v>2652</v>
      </c>
    </row>
    <row r="826" spans="2:12">
      <c r="C826" s="130" t="s">
        <v>1619</v>
      </c>
      <c r="D826" s="130" t="s">
        <v>1719</v>
      </c>
      <c r="E826" s="130" t="s">
        <v>1823</v>
      </c>
      <c r="F826" s="130" t="s">
        <v>2007</v>
      </c>
      <c r="G826" s="130" t="s">
        <v>2118</v>
      </c>
      <c r="H826" s="130" t="s">
        <v>2143</v>
      </c>
      <c r="I826" s="130" t="s">
        <v>2232</v>
      </c>
      <c r="J826" s="130" t="s">
        <v>2378</v>
      </c>
      <c r="K826" s="130" t="s">
        <v>2515</v>
      </c>
      <c r="L826" s="130" t="s">
        <v>2596</v>
      </c>
    </row>
    <row r="827" spans="2:12">
      <c r="B827" t="s">
        <v>1042</v>
      </c>
      <c r="C827" s="10">
        <f>Interims!V54</f>
        <v>0.35369299656566533</v>
      </c>
      <c r="D827" s="10">
        <f>Interims!W54</f>
        <v>0.37017299165226808</v>
      </c>
      <c r="E827" s="10">
        <f>Interims!X54</f>
        <v>0.37352736046445867</v>
      </c>
      <c r="F827" s="10">
        <f>Interims!Y54</f>
        <v>0.40076752625325157</v>
      </c>
      <c r="G827" s="10">
        <f>Interims!AA54</f>
        <v>0.3958299203216919</v>
      </c>
      <c r="H827" s="10">
        <f>Interims!AB54</f>
        <v>0.40004631170673111</v>
      </c>
      <c r="I827" s="10">
        <f>Interims!AC54</f>
        <v>0.4075952837948999</v>
      </c>
      <c r="J827" s="10">
        <f>Interims!AD54</f>
        <v>0.39769619952180291</v>
      </c>
      <c r="K827" s="10">
        <f>Interims!AF54</f>
        <v>0.41364107543530459</v>
      </c>
      <c r="L827" s="10">
        <f>Interims!AG54</f>
        <v>0.42221965880980755</v>
      </c>
    </row>
    <row r="828" spans="2:12">
      <c r="B828" t="s">
        <v>89</v>
      </c>
      <c r="C828" s="10">
        <v>0.4715273206056616</v>
      </c>
      <c r="D828" s="10">
        <v>0.45944612782749628</v>
      </c>
      <c r="E828" s="10">
        <v>0.44630951447172323</v>
      </c>
      <c r="F828" s="10">
        <v>0.44313251006007859</v>
      </c>
      <c r="G828" s="10">
        <v>0.49024785241515278</v>
      </c>
      <c r="H828" s="10">
        <v>0.45419309372797745</v>
      </c>
      <c r="I828" s="10">
        <v>0.44049146020387497</v>
      </c>
      <c r="J828" s="10">
        <v>0.45618864262941455</v>
      </c>
      <c r="K828" s="10">
        <v>0.49276166544618749</v>
      </c>
      <c r="L828" s="10">
        <v>0.46003460701323834</v>
      </c>
    </row>
    <row r="830" spans="2:12">
      <c r="B830" t="str">
        <f>B827</f>
        <v>Televisa</v>
      </c>
      <c r="F830" s="10">
        <f t="shared" ref="F830:L831" si="75">AVERAGE(C827:F827)</f>
        <v>0.37454021873391091</v>
      </c>
      <c r="G830" s="10">
        <f t="shared" si="75"/>
        <v>0.38507444967291754</v>
      </c>
      <c r="H830" s="10">
        <f t="shared" si="75"/>
        <v>0.39254277968653328</v>
      </c>
      <c r="I830" s="10">
        <f t="shared" si="75"/>
        <v>0.40105976051914366</v>
      </c>
      <c r="J830" s="10">
        <f t="shared" si="75"/>
        <v>0.40029192883628145</v>
      </c>
      <c r="K830" s="10">
        <f t="shared" si="75"/>
        <v>0.40474471761468461</v>
      </c>
      <c r="L830" s="10">
        <f t="shared" si="75"/>
        <v>0.41028805439045374</v>
      </c>
    </row>
    <row r="831" spans="2:12">
      <c r="B831" t="str">
        <f>B828</f>
        <v>Megacable</v>
      </c>
      <c r="F831" s="10">
        <f t="shared" si="75"/>
        <v>0.45510386824123994</v>
      </c>
      <c r="G831" s="10">
        <f t="shared" si="75"/>
        <v>0.45978400119361273</v>
      </c>
      <c r="H831" s="10">
        <f t="shared" si="75"/>
        <v>0.458470742668733</v>
      </c>
      <c r="I831" s="10">
        <f t="shared" si="75"/>
        <v>0.45701622910177092</v>
      </c>
      <c r="J831" s="10">
        <f t="shared" si="75"/>
        <v>0.46028026224410495</v>
      </c>
      <c r="K831" s="10">
        <f t="shared" si="75"/>
        <v>0.46090871550186363</v>
      </c>
      <c r="L831" s="10">
        <f t="shared" si="75"/>
        <v>0.46236909382317887</v>
      </c>
    </row>
    <row r="834" spans="2:5">
      <c r="B834" s="61"/>
      <c r="C834" s="130" t="s">
        <v>2665</v>
      </c>
      <c r="D834" s="130" t="s">
        <v>2666</v>
      </c>
      <c r="E834" s="61"/>
    </row>
    <row r="835" spans="2:5">
      <c r="B835" t="s">
        <v>74</v>
      </c>
      <c r="C835" s="4">
        <v>1100</v>
      </c>
      <c r="D835" s="419">
        <v>12</v>
      </c>
      <c r="E835" s="4">
        <f t="shared" ref="E835:E847" si="76">C835/D835</f>
        <v>91.666666666666671</v>
      </c>
    </row>
    <row r="836" spans="2:5">
      <c r="B836" t="s">
        <v>2335</v>
      </c>
      <c r="C836" s="4">
        <v>250</v>
      </c>
      <c r="D836" s="419">
        <v>7.6</v>
      </c>
      <c r="E836" s="4">
        <f t="shared" si="76"/>
        <v>32.894736842105267</v>
      </c>
    </row>
    <row r="837" spans="2:5">
      <c r="B837" t="s">
        <v>2664</v>
      </c>
      <c r="C837" s="4">
        <v>189</v>
      </c>
      <c r="D837" s="419">
        <v>3.15</v>
      </c>
      <c r="E837" s="4">
        <f t="shared" si="76"/>
        <v>60</v>
      </c>
    </row>
    <row r="838" spans="2:5">
      <c r="B838" t="s">
        <v>2654</v>
      </c>
      <c r="C838" s="4">
        <v>128.150581068821</v>
      </c>
      <c r="D838" s="419">
        <v>1.931</v>
      </c>
      <c r="E838" s="4">
        <f t="shared" si="76"/>
        <v>66.364878854904703</v>
      </c>
    </row>
    <row r="839" spans="2:5">
      <c r="B839" t="s">
        <v>2655</v>
      </c>
      <c r="C839" s="4">
        <v>289.09580000000005</v>
      </c>
      <c r="D839" s="419">
        <v>3.6760000000000002</v>
      </c>
      <c r="E839" s="4">
        <f t="shared" si="76"/>
        <v>78.644124047878137</v>
      </c>
    </row>
    <row r="840" spans="2:5">
      <c r="B840" t="s">
        <v>2656</v>
      </c>
      <c r="C840" s="4">
        <v>444.4511320390838</v>
      </c>
      <c r="D840" s="419">
        <v>2.9631474432</v>
      </c>
      <c r="E840" s="4">
        <f t="shared" si="76"/>
        <v>149.99291819211888</v>
      </c>
    </row>
    <row r="841" spans="2:5">
      <c r="B841" t="s">
        <v>2657</v>
      </c>
      <c r="C841" s="4">
        <v>516.04560537807072</v>
      </c>
      <c r="D841" s="419">
        <v>12.753299999999999</v>
      </c>
      <c r="E841" s="4">
        <f t="shared" si="76"/>
        <v>40.463692172070814</v>
      </c>
    </row>
    <row r="842" spans="2:5">
      <c r="B842" t="s">
        <v>2658</v>
      </c>
      <c r="C842" s="4">
        <v>2206.6408117712194</v>
      </c>
      <c r="D842" s="419">
        <v>13.917399999999999</v>
      </c>
      <c r="E842" s="4">
        <f t="shared" si="76"/>
        <v>158.55266154391046</v>
      </c>
    </row>
    <row r="843" spans="2:5">
      <c r="B843" t="s">
        <v>2659</v>
      </c>
      <c r="C843" s="4">
        <v>388.82234697115393</v>
      </c>
      <c r="D843" s="419">
        <v>4.282</v>
      </c>
      <c r="E843" s="4">
        <f t="shared" si="76"/>
        <v>90.803911016149911</v>
      </c>
    </row>
    <row r="844" spans="2:5">
      <c r="B844" t="s">
        <v>2660</v>
      </c>
      <c r="C844" s="4">
        <v>1823.5127142045544</v>
      </c>
      <c r="D844" s="419">
        <v>12.932572697424845</v>
      </c>
      <c r="E844" s="4">
        <f t="shared" si="76"/>
        <v>141.00154368880177</v>
      </c>
    </row>
    <row r="845" spans="2:5">
      <c r="B845" t="s">
        <v>2661</v>
      </c>
      <c r="C845" s="4">
        <v>6416.2676407130612</v>
      </c>
      <c r="D845" s="419">
        <v>55.934953529955862</v>
      </c>
      <c r="E845" s="4">
        <f t="shared" si="76"/>
        <v>114.70944795327023</v>
      </c>
    </row>
    <row r="846" spans="2:5">
      <c r="B846" t="s">
        <v>2662</v>
      </c>
      <c r="C846" s="4">
        <v>800.24324729824548</v>
      </c>
      <c r="D846" s="419">
        <v>5.1791866805153903</v>
      </c>
      <c r="E846" s="4">
        <f t="shared" si="76"/>
        <v>154.51137343800318</v>
      </c>
    </row>
    <row r="847" spans="2:5">
      <c r="B847" t="s">
        <v>2663</v>
      </c>
      <c r="C847" s="4">
        <v>4107.4196054136482</v>
      </c>
      <c r="D847" s="419">
        <v>30.914537853705845</v>
      </c>
      <c r="E847" s="4">
        <f t="shared" si="76"/>
        <v>132.86369101976649</v>
      </c>
    </row>
    <row r="851" spans="2:8">
      <c r="B851" t="s">
        <v>2680</v>
      </c>
      <c r="C851" s="42"/>
      <c r="D851" s="423" t="s">
        <v>1042</v>
      </c>
      <c r="E851" s="42"/>
      <c r="F851" s="423" t="s">
        <v>2335</v>
      </c>
      <c r="G851" s="42"/>
      <c r="H851" s="423" t="s">
        <v>921</v>
      </c>
    </row>
    <row r="853" spans="2:8">
      <c r="B853" t="s">
        <v>2681</v>
      </c>
      <c r="C853" s="421" t="s">
        <v>2677</v>
      </c>
      <c r="E853" s="421" t="s">
        <v>16</v>
      </c>
      <c r="F853" t="s">
        <v>16</v>
      </c>
      <c r="H853" t="s">
        <v>1931</v>
      </c>
    </row>
    <row r="855" spans="2:8">
      <c r="B855" t="s">
        <v>2682</v>
      </c>
      <c r="C855" t="s">
        <v>2238</v>
      </c>
      <c r="E855" t="s">
        <v>2238</v>
      </c>
      <c r="F855" t="s">
        <v>2238</v>
      </c>
      <c r="H855" t="s">
        <v>2238</v>
      </c>
    </row>
    <row r="858" spans="2:8">
      <c r="B858" t="s">
        <v>2680</v>
      </c>
      <c r="D858" s="423" t="s">
        <v>2678</v>
      </c>
      <c r="E858" s="42"/>
      <c r="G858" s="423" t="s">
        <v>2684</v>
      </c>
    </row>
    <row r="860" spans="2:8">
      <c r="B860" t="s">
        <v>2681</v>
      </c>
      <c r="D860" t="s">
        <v>2679</v>
      </c>
      <c r="F860" s="421" t="s">
        <v>731</v>
      </c>
      <c r="H860" s="421" t="s">
        <v>2686</v>
      </c>
    </row>
    <row r="862" spans="2:8">
      <c r="B862" t="s">
        <v>2682</v>
      </c>
      <c r="D862" t="s">
        <v>2683</v>
      </c>
      <c r="F862" t="s">
        <v>2685</v>
      </c>
      <c r="H862" t="s">
        <v>2687</v>
      </c>
    </row>
    <row r="865" spans="2:10">
      <c r="B865" s="61"/>
      <c r="C865" s="130" t="s">
        <v>2694</v>
      </c>
      <c r="D865" s="130" t="s">
        <v>74</v>
      </c>
      <c r="E865" s="130" t="s">
        <v>2693</v>
      </c>
    </row>
    <row r="866" spans="2:10">
      <c r="B866" t="s">
        <v>610</v>
      </c>
      <c r="C866" s="419">
        <f>D836</f>
        <v>7.6</v>
      </c>
      <c r="D866" s="419">
        <v>12.5</v>
      </c>
      <c r="E866" s="8">
        <f t="shared" ref="E866:E872" si="77">D866/C866-1</f>
        <v>0.64473684210526327</v>
      </c>
    </row>
    <row r="867" spans="2:10">
      <c r="B867" t="s">
        <v>1512</v>
      </c>
      <c r="C867">
        <v>5.9130000000000003</v>
      </c>
      <c r="D867" s="419">
        <f>Interims!AG239/1000</f>
        <v>9.529399999999999</v>
      </c>
      <c r="E867" s="8">
        <f t="shared" si="77"/>
        <v>0.61160155589379306</v>
      </c>
    </row>
    <row r="868" spans="2:10">
      <c r="B868" t="s">
        <v>2688</v>
      </c>
      <c r="C868" s="419">
        <v>3.2570000000000001</v>
      </c>
      <c r="D868" s="419">
        <f>D867/D869</f>
        <v>5.2489862675460843</v>
      </c>
      <c r="E868" s="8">
        <f t="shared" si="77"/>
        <v>0.61160155589379306</v>
      </c>
    </row>
    <row r="869" spans="2:10">
      <c r="B869" t="s">
        <v>2689</v>
      </c>
      <c r="C869" s="151">
        <f>C867/C868</f>
        <v>1.815474362910654</v>
      </c>
      <c r="D869" s="151">
        <f>C869</f>
        <v>1.815474362910654</v>
      </c>
      <c r="E869" s="8">
        <f t="shared" si="77"/>
        <v>0</v>
      </c>
    </row>
    <row r="870" spans="2:10">
      <c r="B870" t="s">
        <v>2690</v>
      </c>
      <c r="C870" s="122">
        <v>3435</v>
      </c>
      <c r="D870" s="122">
        <f>Interims!AG14</f>
        <v>7802.1</v>
      </c>
      <c r="E870" s="8">
        <f t="shared" si="77"/>
        <v>1.2713537117903932</v>
      </c>
    </row>
    <row r="871" spans="2:10">
      <c r="B871" t="s">
        <v>2691</v>
      </c>
      <c r="C871" s="4">
        <f>C870/3/C867</f>
        <v>193.64112971418908</v>
      </c>
      <c r="D871" s="4">
        <f>D870/3/D867</f>
        <v>272.91329989296287</v>
      </c>
      <c r="E871" s="8">
        <f t="shared" si="77"/>
        <v>0.40937671813719589</v>
      </c>
    </row>
    <row r="872" spans="2:10">
      <c r="B872" t="s">
        <v>2692</v>
      </c>
      <c r="C872" s="122">
        <v>1596</v>
      </c>
      <c r="D872" s="122">
        <f>Interims!AG26</f>
        <v>3294.2</v>
      </c>
      <c r="E872" s="8">
        <f t="shared" si="77"/>
        <v>1.0640350877192981</v>
      </c>
    </row>
    <row r="873" spans="2:10">
      <c r="B873" t="s">
        <v>158</v>
      </c>
      <c r="C873" s="10">
        <f>C872/C870</f>
        <v>0.46462882096069869</v>
      </c>
      <c r="D873" s="10">
        <f>D872/D870</f>
        <v>0.42221965880980755</v>
      </c>
    </row>
    <row r="875" spans="2:10">
      <c r="B875" t="s">
        <v>2695</v>
      </c>
    </row>
    <row r="877" spans="2:10">
      <c r="C877">
        <v>2013</v>
      </c>
      <c r="D877">
        <f t="shared" ref="D877:J877" si="78">C877+1</f>
        <v>2014</v>
      </c>
      <c r="E877">
        <f t="shared" si="78"/>
        <v>2015</v>
      </c>
      <c r="F877">
        <f t="shared" si="78"/>
        <v>2016</v>
      </c>
      <c r="G877">
        <f t="shared" si="78"/>
        <v>2017</v>
      </c>
      <c r="H877">
        <f t="shared" si="78"/>
        <v>2018</v>
      </c>
      <c r="I877">
        <f t="shared" si="78"/>
        <v>2019</v>
      </c>
      <c r="J877">
        <f t="shared" si="78"/>
        <v>2020</v>
      </c>
    </row>
    <row r="878" spans="2:10">
      <c r="C878" s="8">
        <f>AVERAGE(Interims!CF14:CI14)</f>
        <v>9.9988408040843024E-2</v>
      </c>
      <c r="D878" s="8">
        <f>AVERAGE(Interims!CK14:CN14)</f>
        <v>0.14228670095750418</v>
      </c>
      <c r="E878" s="8">
        <f>AVERAGE(Interims!CP14:CS14)</f>
        <v>0.12324170529420775</v>
      </c>
      <c r="F878" s="8">
        <f>'Cable cos'!K186</f>
        <v>0.11946307782493171</v>
      </c>
      <c r="G878" s="8">
        <f>'Cable cos'!L186</f>
        <v>3.6260331874224061E-2</v>
      </c>
      <c r="H878" s="8">
        <f>'Cable cos'!M186</f>
        <v>9.6374969740982808E-2</v>
      </c>
      <c r="I878" s="8">
        <f>'Cable cos'!N186</f>
        <v>0.15093975105566759</v>
      </c>
      <c r="J878" s="8">
        <f>'Cable cos'!O186</f>
        <v>8.7887871085319702E-2</v>
      </c>
    </row>
    <row r="897" spans="2:7">
      <c r="B897" s="424" t="s">
        <v>2702</v>
      </c>
      <c r="C897" s="424"/>
    </row>
    <row r="898" spans="2:7">
      <c r="B898" s="2" t="s">
        <v>2699</v>
      </c>
    </row>
    <row r="899" spans="2:7">
      <c r="B899" t="s">
        <v>5181</v>
      </c>
    </row>
    <row r="901" spans="2:7">
      <c r="B901" t="s">
        <v>2700</v>
      </c>
    </row>
    <row r="902" spans="2:7">
      <c r="B902" t="s">
        <v>2701</v>
      </c>
    </row>
    <row r="904" spans="2:7">
      <c r="B904" t="s">
        <v>2696</v>
      </c>
      <c r="C904">
        <v>3.85</v>
      </c>
      <c r="D904" t="s">
        <v>2435</v>
      </c>
    </row>
    <row r="905" spans="2:7">
      <c r="C905" s="61">
        <v>8.4499999999999993</v>
      </c>
      <c r="D905" s="61" t="s">
        <v>2427</v>
      </c>
      <c r="F905">
        <v>11.5</v>
      </c>
      <c r="G905" s="419">
        <f>C905*100/F905</f>
        <v>73.478260869565204</v>
      </c>
    </row>
    <row r="906" spans="2:7">
      <c r="C906" s="151">
        <f>C904+C905</f>
        <v>12.299999999999999</v>
      </c>
      <c r="D906" t="s">
        <v>2697</v>
      </c>
    </row>
    <row r="908" spans="2:7">
      <c r="B908" t="s">
        <v>2698</v>
      </c>
      <c r="C908" s="151">
        <f ca="1">Univision!C109/1000</f>
        <v>3.2792192442634351</v>
      </c>
    </row>
    <row r="910" spans="2:7">
      <c r="B910" s="2" t="s">
        <v>2703</v>
      </c>
    </row>
    <row r="911" spans="2:7">
      <c r="B911" t="s">
        <v>2704</v>
      </c>
    </row>
    <row r="913" spans="2:7">
      <c r="B913" s="425">
        <v>40878</v>
      </c>
    </row>
    <row r="914" spans="2:7">
      <c r="B914" t="s">
        <v>2705</v>
      </c>
    </row>
    <row r="915" spans="2:7">
      <c r="B915" s="425">
        <v>41122</v>
      </c>
    </row>
    <row r="916" spans="2:7">
      <c r="B916" t="s">
        <v>2706</v>
      </c>
    </row>
    <row r="917" spans="2:7">
      <c r="B917" s="425">
        <v>41640</v>
      </c>
    </row>
    <row r="918" spans="2:7">
      <c r="B918" t="s">
        <v>2707</v>
      </c>
      <c r="D918" t="s">
        <v>2708</v>
      </c>
      <c r="G918">
        <f>125/0.05</f>
        <v>2500</v>
      </c>
    </row>
    <row r="919" spans="2:7">
      <c r="B919" s="426" t="s">
        <v>2709</v>
      </c>
    </row>
    <row r="920" spans="2:7">
      <c r="B920" s="425">
        <v>42186</v>
      </c>
    </row>
    <row r="921" spans="2:7">
      <c r="B921" t="s">
        <v>2710</v>
      </c>
    </row>
    <row r="922" spans="2:7">
      <c r="B922" t="s">
        <v>2711</v>
      </c>
    </row>
    <row r="924" spans="2:7">
      <c r="B924" t="s">
        <v>2696</v>
      </c>
    </row>
    <row r="925" spans="2:7">
      <c r="C925">
        <v>1255</v>
      </c>
    </row>
    <row r="926" spans="2:7">
      <c r="C926">
        <v>49.1</v>
      </c>
    </row>
    <row r="927" spans="2:7">
      <c r="C927">
        <v>22.5</v>
      </c>
    </row>
    <row r="928" spans="2:7">
      <c r="C928">
        <v>125</v>
      </c>
    </row>
    <row r="929" spans="2:3">
      <c r="B929" s="61"/>
      <c r="C929" s="61">
        <v>135.1</v>
      </c>
    </row>
    <row r="930" spans="2:3">
      <c r="B930" t="s">
        <v>2712</v>
      </c>
      <c r="C930">
        <f>SUM(C925:C929)</f>
        <v>1586.6999999999998</v>
      </c>
    </row>
    <row r="932" spans="2:3">
      <c r="B932" t="s">
        <v>2713</v>
      </c>
      <c r="C932" s="10">
        <f>100%-40%-1.5%</f>
        <v>0.58499999999999996</v>
      </c>
    </row>
    <row r="934" spans="2:3">
      <c r="B934" s="2" t="s">
        <v>2717</v>
      </c>
    </row>
    <row r="935" spans="2:3">
      <c r="B935" t="s">
        <v>2724</v>
      </c>
      <c r="C935">
        <f>C904</f>
        <v>3.85</v>
      </c>
    </row>
    <row r="936" spans="2:3">
      <c r="C936" s="8"/>
    </row>
    <row r="937" spans="2:3">
      <c r="B937" t="s">
        <v>2718</v>
      </c>
      <c r="C937" s="549">
        <f>SOP!AE9</f>
        <v>0</v>
      </c>
    </row>
    <row r="938" spans="2:3">
      <c r="B938" t="s">
        <v>2725</v>
      </c>
      <c r="C938" s="427">
        <f>SOP!AE10/1000</f>
        <v>0</v>
      </c>
    </row>
    <row r="939" spans="2:3">
      <c r="B939" t="s">
        <v>2716</v>
      </c>
      <c r="C939" s="419">
        <f>C937*C938</f>
        <v>0</v>
      </c>
    </row>
    <row r="940" spans="2:3">
      <c r="B940" t="s">
        <v>5180</v>
      </c>
      <c r="C940" s="419">
        <f>Univision!AO254/1000</f>
        <v>7.2692999999999994</v>
      </c>
    </row>
    <row r="941" spans="2:3">
      <c r="B941" t="s">
        <v>530</v>
      </c>
      <c r="C941" s="419">
        <f>C939-C940</f>
        <v>-7.2692999999999994</v>
      </c>
    </row>
    <row r="942" spans="2:3">
      <c r="B942" t="s">
        <v>2722</v>
      </c>
      <c r="C942" s="428">
        <v>0.625</v>
      </c>
    </row>
    <row r="943" spans="2:3">
      <c r="B943" t="s">
        <v>2721</v>
      </c>
      <c r="C943" s="419">
        <f>C941*C942</f>
        <v>-4.5433124999999999</v>
      </c>
    </row>
    <row r="946" spans="2:16">
      <c r="B946" t="s">
        <v>2719</v>
      </c>
      <c r="D946">
        <v>2007</v>
      </c>
      <c r="E946">
        <v>2008</v>
      </c>
      <c r="F946">
        <v>2009</v>
      </c>
      <c r="G946">
        <v>2010</v>
      </c>
      <c r="H946">
        <f t="shared" ref="H946:M946" si="79">G946+1</f>
        <v>2011</v>
      </c>
      <c r="I946">
        <f t="shared" si="79"/>
        <v>2012</v>
      </c>
      <c r="J946">
        <f t="shared" si="79"/>
        <v>2013</v>
      </c>
      <c r="K946">
        <f t="shared" si="79"/>
        <v>2014</v>
      </c>
      <c r="L946">
        <f t="shared" si="79"/>
        <v>2015</v>
      </c>
      <c r="M946">
        <f t="shared" si="79"/>
        <v>2016</v>
      </c>
      <c r="N946">
        <v>2017</v>
      </c>
      <c r="O946">
        <v>2018</v>
      </c>
    </row>
    <row r="947" spans="2:16">
      <c r="B947" t="s">
        <v>224</v>
      </c>
      <c r="D947">
        <f>C905*1000</f>
        <v>8450</v>
      </c>
      <c r="E947" s="397">
        <f>D947+200</f>
        <v>8650</v>
      </c>
      <c r="F947" s="397">
        <f>E947+200</f>
        <v>8850</v>
      </c>
      <c r="G947" s="4">
        <v>8935</v>
      </c>
      <c r="H947" s="4">
        <v>9193.1999999999989</v>
      </c>
      <c r="I947" s="4">
        <v>9160.4000000000015</v>
      </c>
      <c r="J947" s="4">
        <v>9509.2000000000007</v>
      </c>
      <c r="K947" s="4">
        <v>9265.1999999999989</v>
      </c>
      <c r="L947" s="4">
        <v>9311.9000000000015</v>
      </c>
      <c r="M947" s="4">
        <f>Univision!I93</f>
        <v>8854</v>
      </c>
      <c r="N947" s="4">
        <f>Univision!J93</f>
        <v>7977.2999999999993</v>
      </c>
      <c r="O947" s="4">
        <f>Univision!K93</f>
        <v>7430.2999999999993</v>
      </c>
    </row>
    <row r="948" spans="2:16">
      <c r="B948" t="s">
        <v>2723</v>
      </c>
      <c r="E948">
        <f t="shared" ref="E948:O948" si="80">D947-E947</f>
        <v>-200</v>
      </c>
      <c r="F948">
        <f t="shared" si="80"/>
        <v>-200</v>
      </c>
      <c r="G948">
        <f t="shared" si="80"/>
        <v>-85</v>
      </c>
      <c r="H948">
        <f t="shared" si="80"/>
        <v>-258.19999999999891</v>
      </c>
      <c r="I948">
        <f t="shared" si="80"/>
        <v>32.799999999997453</v>
      </c>
      <c r="J948">
        <f t="shared" si="80"/>
        <v>-348.79999999999927</v>
      </c>
      <c r="K948">
        <f t="shared" si="80"/>
        <v>244.00000000000182</v>
      </c>
      <c r="L948">
        <f t="shared" si="80"/>
        <v>-46.700000000002547</v>
      </c>
      <c r="M948">
        <f t="shared" si="80"/>
        <v>457.90000000000146</v>
      </c>
      <c r="N948">
        <f t="shared" si="80"/>
        <v>876.70000000000073</v>
      </c>
      <c r="O948">
        <f t="shared" si="80"/>
        <v>547</v>
      </c>
      <c r="P948" s="4">
        <f>SUM(D948:O948)</f>
        <v>1019.7000000000007</v>
      </c>
    </row>
    <row r="949" spans="2:16">
      <c r="B949" t="s">
        <v>2720</v>
      </c>
      <c r="D949">
        <v>0</v>
      </c>
      <c r="E949">
        <v>0</v>
      </c>
      <c r="F949">
        <v>0</v>
      </c>
      <c r="G949">
        <f>C925</f>
        <v>1255</v>
      </c>
      <c r="H949">
        <f>C926</f>
        <v>49.1</v>
      </c>
      <c r="I949">
        <f>C927</f>
        <v>22.5</v>
      </c>
      <c r="J949">
        <v>0</v>
      </c>
      <c r="K949">
        <f>C928</f>
        <v>125</v>
      </c>
      <c r="L949">
        <f>C929</f>
        <v>135.1</v>
      </c>
      <c r="M949" s="4"/>
      <c r="P949" s="4">
        <f>SUM(D949:M949)</f>
        <v>1586.6999999999998</v>
      </c>
    </row>
    <row r="950" spans="2:16">
      <c r="G950" s="4"/>
      <c r="P950" s="6">
        <f>P948+P949</f>
        <v>2606.4000000000005</v>
      </c>
    </row>
    <row r="951" spans="2:16">
      <c r="G951" s="4"/>
      <c r="P951" s="4"/>
    </row>
    <row r="952" spans="2:16" ht="15.75">
      <c r="B952" s="217"/>
      <c r="C952" s="217"/>
      <c r="D952" s="217">
        <f t="shared" ref="D952:O952" si="81">D946</f>
        <v>2007</v>
      </c>
      <c r="E952" s="217">
        <f t="shared" si="81"/>
        <v>2008</v>
      </c>
      <c r="F952" s="217">
        <f t="shared" si="81"/>
        <v>2009</v>
      </c>
      <c r="G952" s="217">
        <f t="shared" si="81"/>
        <v>2010</v>
      </c>
      <c r="H952" s="217">
        <f t="shared" si="81"/>
        <v>2011</v>
      </c>
      <c r="I952" s="217">
        <f t="shared" si="81"/>
        <v>2012</v>
      </c>
      <c r="J952" s="217">
        <f t="shared" si="81"/>
        <v>2013</v>
      </c>
      <c r="K952" s="217">
        <f t="shared" si="81"/>
        <v>2014</v>
      </c>
      <c r="L952" s="217">
        <f t="shared" si="81"/>
        <v>2015</v>
      </c>
      <c r="M952" s="217">
        <f t="shared" si="81"/>
        <v>2016</v>
      </c>
      <c r="N952" s="217">
        <f t="shared" si="81"/>
        <v>2017</v>
      </c>
      <c r="O952" s="217">
        <f t="shared" si="81"/>
        <v>2018</v>
      </c>
      <c r="P952" s="388" t="s">
        <v>2698</v>
      </c>
    </row>
    <row r="953" spans="2:16" ht="15.75">
      <c r="B953" s="66" t="s">
        <v>4756</v>
      </c>
      <c r="C953" s="571" t="e">
        <f>(IRR(D953:P953))</f>
        <v>#VALUE!</v>
      </c>
      <c r="D953" s="125">
        <f>-C904*1000</f>
        <v>-3850</v>
      </c>
      <c r="E953" s="125">
        <f t="shared" ref="E953:O953" si="82">E949</f>
        <v>0</v>
      </c>
      <c r="F953" s="125">
        <f t="shared" si="82"/>
        <v>0</v>
      </c>
      <c r="G953" s="125">
        <f t="shared" si="82"/>
        <v>1255</v>
      </c>
      <c r="H953" s="125">
        <f t="shared" si="82"/>
        <v>49.1</v>
      </c>
      <c r="I953" s="125">
        <f t="shared" si="82"/>
        <v>22.5</v>
      </c>
      <c r="J953" s="125">
        <f t="shared" si="82"/>
        <v>0</v>
      </c>
      <c r="K953" s="125">
        <f t="shared" si="82"/>
        <v>125</v>
      </c>
      <c r="L953" s="125">
        <f t="shared" si="82"/>
        <v>135.1</v>
      </c>
      <c r="M953" s="125">
        <f t="shared" si="82"/>
        <v>0</v>
      </c>
      <c r="N953" s="125">
        <f t="shared" si="82"/>
        <v>0</v>
      </c>
      <c r="O953" s="125">
        <f t="shared" si="82"/>
        <v>0</v>
      </c>
      <c r="P953" s="125" t="e">
        <f>SOP!#REF!</f>
        <v>#REF!</v>
      </c>
    </row>
    <row r="954" spans="2:16">
      <c r="D954" s="4"/>
    </row>
    <row r="955" spans="2:16">
      <c r="D955" s="4"/>
    </row>
    <row r="956" spans="2:16">
      <c r="D956" s="4"/>
    </row>
    <row r="957" spans="2:16">
      <c r="B957" t="s">
        <v>307</v>
      </c>
      <c r="C957" t="s">
        <v>2715</v>
      </c>
      <c r="D957" s="4">
        <f>P950/(1+B958)^9</f>
        <v>1912.3964059150107</v>
      </c>
    </row>
    <row r="958" spans="2:16">
      <c r="B958" s="429">
        <v>3.5000000000000003E-2</v>
      </c>
      <c r="C958" t="s">
        <v>2714</v>
      </c>
      <c r="D958" s="4">
        <f>C935*1000</f>
        <v>3850</v>
      </c>
    </row>
    <row r="959" spans="2:16">
      <c r="D959" s="4">
        <f>D957-D958</f>
        <v>-1937.6035940849893</v>
      </c>
    </row>
    <row r="961" spans="2:12">
      <c r="B961" t="s">
        <v>472</v>
      </c>
    </row>
    <row r="964" spans="2:12">
      <c r="B964" s="1711" t="s">
        <v>2854</v>
      </c>
      <c r="C964" s="1708"/>
      <c r="D964" s="1709" t="s">
        <v>2855</v>
      </c>
      <c r="E964" s="1709"/>
      <c r="F964" s="1708"/>
      <c r="G964" s="1709" t="s">
        <v>2857</v>
      </c>
      <c r="H964" s="1708"/>
      <c r="I964" s="1709" t="s">
        <v>2858</v>
      </c>
      <c r="J964" s="1708"/>
      <c r="K964" s="1709" t="s">
        <v>2859</v>
      </c>
      <c r="L964" s="1708"/>
    </row>
    <row r="965" spans="2:12" ht="15.75" thickBot="1">
      <c r="B965" s="1712"/>
      <c r="C965" s="1708"/>
      <c r="D965" s="1710" t="s">
        <v>2856</v>
      </c>
      <c r="E965" s="1710"/>
      <c r="F965" s="1708"/>
      <c r="G965" s="1710"/>
      <c r="H965" s="1708"/>
      <c r="I965" s="1710"/>
      <c r="J965" s="1708"/>
      <c r="K965" s="1710"/>
      <c r="L965" s="1708"/>
    </row>
    <row r="966" spans="2:12">
      <c r="B966" s="432" t="s">
        <v>2860</v>
      </c>
      <c r="C966" s="433"/>
      <c r="D966" s="434" t="s">
        <v>2861</v>
      </c>
      <c r="E966" s="436">
        <v>8652</v>
      </c>
      <c r="F966" s="433"/>
      <c r="G966" s="437">
        <v>6</v>
      </c>
      <c r="H966" s="434" t="s">
        <v>355</v>
      </c>
      <c r="I966" s="437" t="s">
        <v>2862</v>
      </c>
      <c r="J966" s="433"/>
      <c r="K966" s="437">
        <v>2018</v>
      </c>
      <c r="L966" s="433"/>
    </row>
    <row r="967" spans="2:12">
      <c r="B967" s="438" t="s">
        <v>2863</v>
      </c>
      <c r="C967" s="439"/>
      <c r="D967" s="1706">
        <v>5270.2</v>
      </c>
      <c r="E967" s="1706"/>
      <c r="F967" s="439"/>
      <c r="G967" s="441">
        <v>8.5</v>
      </c>
      <c r="H967" s="442" t="s">
        <v>355</v>
      </c>
      <c r="I967" s="441" t="s">
        <v>2862</v>
      </c>
      <c r="J967" s="439"/>
      <c r="K967" s="441">
        <v>2032</v>
      </c>
      <c r="L967" s="439"/>
    </row>
    <row r="968" spans="2:12">
      <c r="B968" s="432" t="s">
        <v>2864</v>
      </c>
      <c r="C968" s="433"/>
      <c r="D968" s="1705">
        <v>10169.1</v>
      </c>
      <c r="E968" s="1705"/>
      <c r="F968" s="433"/>
      <c r="G968" s="437">
        <v>6.625</v>
      </c>
      <c r="H968" s="434" t="s">
        <v>355</v>
      </c>
      <c r="I968" s="437" t="s">
        <v>2862</v>
      </c>
      <c r="J968" s="433"/>
      <c r="K968" s="437">
        <v>2025</v>
      </c>
      <c r="L968" s="433"/>
    </row>
    <row r="969" spans="2:12">
      <c r="B969" s="438" t="s">
        <v>2865</v>
      </c>
      <c r="C969" s="439"/>
      <c r="D969" s="1706">
        <v>4517.3999999999996</v>
      </c>
      <c r="E969" s="1706"/>
      <c r="F969" s="439"/>
      <c r="G969" s="441">
        <v>8.49</v>
      </c>
      <c r="H969" s="442" t="s">
        <v>355</v>
      </c>
      <c r="I969" s="441" t="s">
        <v>2866</v>
      </c>
      <c r="J969" s="439"/>
      <c r="K969" s="441">
        <v>2037</v>
      </c>
      <c r="L969" s="439"/>
    </row>
    <row r="970" spans="2:12">
      <c r="B970" s="432" t="s">
        <v>2864</v>
      </c>
      <c r="C970" s="433"/>
      <c r="D970" s="1705">
        <v>10492.8</v>
      </c>
      <c r="E970" s="1705"/>
      <c r="F970" s="433"/>
      <c r="G970" s="437">
        <v>6.625</v>
      </c>
      <c r="H970" s="434" t="s">
        <v>355</v>
      </c>
      <c r="I970" s="437" t="s">
        <v>2862</v>
      </c>
      <c r="J970" s="433"/>
      <c r="K970" s="437">
        <v>2040</v>
      </c>
      <c r="L970" s="433"/>
    </row>
    <row r="971" spans="2:12">
      <c r="B971" s="438" t="s">
        <v>2867</v>
      </c>
      <c r="C971" s="439"/>
      <c r="D971" s="1706">
        <v>6490.1</v>
      </c>
      <c r="E971" s="1706"/>
      <c r="F971" s="439"/>
      <c r="G971" s="441">
        <v>7.25</v>
      </c>
      <c r="H971" s="442" t="s">
        <v>355</v>
      </c>
      <c r="I971" s="441" t="s">
        <v>2866</v>
      </c>
      <c r="J971" s="439"/>
      <c r="K971" s="441">
        <v>2043</v>
      </c>
      <c r="L971" s="439"/>
    </row>
    <row r="972" spans="2:12">
      <c r="B972" s="432" t="s">
        <v>2868</v>
      </c>
      <c r="C972" s="433"/>
      <c r="D972" s="1705">
        <v>16842.8</v>
      </c>
      <c r="E972" s="1705"/>
      <c r="F972" s="433"/>
      <c r="G972" s="437">
        <v>5</v>
      </c>
      <c r="H972" s="434" t="s">
        <v>355</v>
      </c>
      <c r="I972" s="437" t="s">
        <v>2862</v>
      </c>
      <c r="J972" s="433"/>
      <c r="K972" s="437">
        <v>2045</v>
      </c>
      <c r="L972" s="433"/>
    </row>
    <row r="973" spans="2:12">
      <c r="B973" s="438" t="s">
        <v>2869</v>
      </c>
      <c r="C973" s="439"/>
      <c r="D973" s="1706">
        <v>5077.3</v>
      </c>
      <c r="E973" s="1706"/>
      <c r="F973" s="439"/>
      <c r="G973" s="441">
        <v>4.625</v>
      </c>
      <c r="H973" s="442" t="s">
        <v>355</v>
      </c>
      <c r="I973" s="441" t="s">
        <v>2862</v>
      </c>
      <c r="J973" s="439"/>
      <c r="K973" s="441">
        <v>2026</v>
      </c>
      <c r="L973" s="439"/>
    </row>
    <row r="974" spans="2:12">
      <c r="B974" s="432" t="s">
        <v>2870</v>
      </c>
      <c r="C974" s="433"/>
      <c r="D974" s="1705">
        <v>15508.2</v>
      </c>
      <c r="E974" s="1705"/>
      <c r="F974" s="433"/>
      <c r="G974" s="437">
        <v>6.125</v>
      </c>
      <c r="H974" s="434" t="s">
        <v>355</v>
      </c>
      <c r="I974" s="437" t="s">
        <v>2862</v>
      </c>
      <c r="J974" s="433"/>
      <c r="K974" s="437">
        <v>2046</v>
      </c>
      <c r="L974" s="433"/>
    </row>
    <row r="975" spans="2:12">
      <c r="B975" s="438" t="s">
        <v>2871</v>
      </c>
      <c r="C975" s="439"/>
      <c r="D975" s="1706">
        <v>10099.200000000001</v>
      </c>
      <c r="E975" s="1706"/>
      <c r="F975" s="439"/>
      <c r="G975" s="441">
        <v>7.38</v>
      </c>
      <c r="H975" s="442" t="s">
        <v>355</v>
      </c>
      <c r="I975" s="441" t="s">
        <v>2866</v>
      </c>
      <c r="J975" s="439"/>
      <c r="K975" s="441">
        <v>2020</v>
      </c>
      <c r="L975" s="439"/>
    </row>
    <row r="976" spans="2:12">
      <c r="B976" s="432" t="s">
        <v>2872</v>
      </c>
      <c r="C976" s="433"/>
      <c r="D976" s="1705">
        <v>5997.6</v>
      </c>
      <c r="E976" s="1705"/>
      <c r="F976" s="433"/>
      <c r="G976" s="437">
        <v>3.71</v>
      </c>
      <c r="H976" s="434" t="s">
        <v>355</v>
      </c>
      <c r="I976" s="437" t="s">
        <v>2866</v>
      </c>
      <c r="J976" s="433"/>
      <c r="K976" s="437">
        <v>2021</v>
      </c>
      <c r="L976" s="433"/>
    </row>
    <row r="977" spans="2:12">
      <c r="B977" s="438" t="s">
        <v>2872</v>
      </c>
      <c r="C977" s="439"/>
      <c r="D977" s="1706">
        <v>4994.2</v>
      </c>
      <c r="E977" s="1706"/>
      <c r="F977" s="439"/>
      <c r="G977" s="441">
        <v>3.78</v>
      </c>
      <c r="H977" s="442" t="s">
        <v>355</v>
      </c>
      <c r="I977" s="441" t="s">
        <v>2866</v>
      </c>
      <c r="J977" s="439"/>
      <c r="K977" s="441">
        <v>2022</v>
      </c>
      <c r="L977" s="439"/>
    </row>
    <row r="978" spans="2:12">
      <c r="B978" s="432" t="s">
        <v>2873</v>
      </c>
      <c r="C978" s="433"/>
      <c r="D978" s="1705">
        <v>1781.2</v>
      </c>
      <c r="E978" s="1705"/>
      <c r="F978" s="433"/>
      <c r="G978" s="437">
        <v>4.2510000000000003</v>
      </c>
      <c r="H978" s="434" t="s">
        <v>355</v>
      </c>
      <c r="I978" s="437" t="s">
        <v>2866</v>
      </c>
      <c r="J978" s="433"/>
      <c r="K978" s="437">
        <v>2016</v>
      </c>
      <c r="L978" s="433"/>
    </row>
    <row r="979" spans="2:12">
      <c r="B979" s="438" t="s">
        <v>2874</v>
      </c>
      <c r="C979" s="439"/>
      <c r="D979" s="1706">
        <v>2497.9</v>
      </c>
      <c r="E979" s="1706"/>
      <c r="F979" s="439"/>
      <c r="G979" s="441">
        <v>4.7279999999999998</v>
      </c>
      <c r="H979" s="442" t="s">
        <v>355</v>
      </c>
      <c r="I979" s="441" t="s">
        <v>2866</v>
      </c>
      <c r="J979" s="439"/>
      <c r="K979" s="441">
        <v>2018</v>
      </c>
      <c r="L979" s="439"/>
    </row>
    <row r="980" spans="2:12">
      <c r="B980" s="432" t="s">
        <v>2873</v>
      </c>
      <c r="C980" s="433"/>
      <c r="D980" s="1707">
        <v>499.8</v>
      </c>
      <c r="E980" s="1707"/>
      <c r="F980" s="433"/>
      <c r="G980" s="437">
        <v>3.8504999999999998</v>
      </c>
      <c r="H980" s="434" t="s">
        <v>355</v>
      </c>
      <c r="I980" s="437" t="s">
        <v>2866</v>
      </c>
      <c r="J980" s="433"/>
      <c r="K980" s="437">
        <v>2016</v>
      </c>
      <c r="L980" s="433"/>
    </row>
    <row r="981" spans="2:12">
      <c r="B981" s="438" t="s">
        <v>2875</v>
      </c>
      <c r="C981" s="439"/>
      <c r="D981" s="1704">
        <v>250.6</v>
      </c>
      <c r="E981" s="1704"/>
      <c r="F981" s="439"/>
      <c r="G981" s="441">
        <v>4.8475000000000001</v>
      </c>
      <c r="H981" s="442" t="s">
        <v>355</v>
      </c>
      <c r="I981" s="441" t="s">
        <v>2866</v>
      </c>
      <c r="J981" s="439"/>
      <c r="K981" s="441">
        <v>2020</v>
      </c>
      <c r="L981" s="439"/>
    </row>
    <row r="982" spans="2:12">
      <c r="B982" s="432" t="s">
        <v>2875</v>
      </c>
      <c r="C982" s="433"/>
      <c r="D982" s="1707">
        <v>249.5</v>
      </c>
      <c r="E982" s="1707"/>
      <c r="F982" s="433"/>
      <c r="G982" s="437">
        <v>4.7525000000000004</v>
      </c>
      <c r="H982" s="434" t="s">
        <v>355</v>
      </c>
      <c r="I982" s="437" t="s">
        <v>2866</v>
      </c>
      <c r="J982" s="433"/>
      <c r="K982" s="437">
        <v>2019</v>
      </c>
      <c r="L982" s="433"/>
    </row>
    <row r="983" spans="2:12">
      <c r="B983" s="438" t="s">
        <v>2876</v>
      </c>
      <c r="C983" s="439"/>
      <c r="D983" s="1706">
        <v>1489.2</v>
      </c>
      <c r="E983" s="1706"/>
      <c r="F983" s="439"/>
      <c r="G983" s="441">
        <v>4.6154000000000002</v>
      </c>
      <c r="H983" s="442" t="s">
        <v>355</v>
      </c>
      <c r="I983" s="441" t="s">
        <v>2866</v>
      </c>
      <c r="J983" s="439"/>
      <c r="K983" s="441">
        <v>2022</v>
      </c>
      <c r="L983" s="439"/>
    </row>
    <row r="984" spans="2:12">
      <c r="B984" s="432" t="s">
        <v>2877</v>
      </c>
      <c r="C984" s="433"/>
      <c r="D984" s="1707">
        <v>390.3</v>
      </c>
      <c r="E984" s="1707"/>
      <c r="F984" s="433"/>
      <c r="G984" s="437">
        <v>5.2525000000000004</v>
      </c>
      <c r="H984" s="434" t="s">
        <v>355</v>
      </c>
      <c r="I984" s="437" t="s">
        <v>2866</v>
      </c>
      <c r="J984" s="433"/>
      <c r="K984" s="437">
        <v>2019</v>
      </c>
      <c r="L984" s="433"/>
    </row>
    <row r="985" spans="2:12">
      <c r="B985" s="438" t="s">
        <v>2877</v>
      </c>
      <c r="C985" s="439"/>
      <c r="D985" s="1704">
        <v>299.8</v>
      </c>
      <c r="E985" s="1704"/>
      <c r="F985" s="439"/>
      <c r="G985" s="441">
        <v>4.75</v>
      </c>
      <c r="H985" s="442" t="s">
        <v>355</v>
      </c>
      <c r="I985" s="441" t="s">
        <v>2866</v>
      </c>
      <c r="J985" s="439"/>
      <c r="K985" s="441">
        <v>2019</v>
      </c>
      <c r="L985" s="439"/>
    </row>
    <row r="986" spans="2:12" ht="15.75" thickBot="1">
      <c r="B986" s="432" t="s">
        <v>2878</v>
      </c>
      <c r="C986" s="433"/>
      <c r="D986" s="1700">
        <v>25.6</v>
      </c>
      <c r="E986" s="1700"/>
      <c r="F986" s="433"/>
      <c r="G986" s="437">
        <v>5.91</v>
      </c>
      <c r="H986" s="434" t="s">
        <v>355</v>
      </c>
      <c r="I986" s="437" t="s">
        <v>2866</v>
      </c>
      <c r="J986" s="433"/>
      <c r="K986" s="437">
        <v>2017</v>
      </c>
      <c r="L986" s="433"/>
    </row>
    <row r="987" spans="2:12">
      <c r="B987" s="438" t="s">
        <v>2879</v>
      </c>
      <c r="C987" s="439"/>
      <c r="D987" s="1701">
        <v>111594.8</v>
      </c>
      <c r="E987" s="1701"/>
      <c r="F987" s="439"/>
      <c r="G987" s="443"/>
      <c r="H987" s="439"/>
      <c r="I987" s="443"/>
      <c r="J987" s="439"/>
      <c r="K987" s="441" t="s">
        <v>2880</v>
      </c>
      <c r="L987" s="442">
        <v>-6</v>
      </c>
    </row>
    <row r="988" spans="2:12" ht="15.75" thickBot="1">
      <c r="B988" s="432" t="s">
        <v>2881</v>
      </c>
      <c r="C988" s="433"/>
      <c r="D988" s="1702">
        <v>4164.1000000000004</v>
      </c>
      <c r="E988" s="1702"/>
      <c r="F988" s="433"/>
      <c r="G988" s="444"/>
      <c r="H988" s="433"/>
      <c r="I988" s="444"/>
      <c r="J988" s="433"/>
      <c r="K988" s="437">
        <v>2016</v>
      </c>
      <c r="L988" s="433"/>
    </row>
    <row r="989" spans="2:12" ht="15.75" thickBot="1">
      <c r="B989" s="438" t="s">
        <v>2882</v>
      </c>
      <c r="C989" s="439"/>
      <c r="D989" s="445" t="s">
        <v>2861</v>
      </c>
      <c r="E989" s="446">
        <v>107430.7</v>
      </c>
      <c r="F989" s="439"/>
      <c r="G989" s="443"/>
      <c r="H989" s="439"/>
      <c r="I989" s="443"/>
      <c r="J989" s="439"/>
      <c r="K989" s="443"/>
      <c r="L989" s="439"/>
    </row>
    <row r="990" spans="2:12" ht="15.75" thickTop="1">
      <c r="B990" s="447" t="s">
        <v>2883</v>
      </c>
      <c r="C990" s="433"/>
      <c r="D990" s="1703"/>
      <c r="E990" s="1703"/>
      <c r="F990" s="433"/>
      <c r="G990" s="444"/>
      <c r="H990" s="433"/>
      <c r="I990" s="444"/>
      <c r="J990" s="433"/>
      <c r="K990" s="444"/>
      <c r="L990" s="433"/>
    </row>
    <row r="991" spans="2:12">
      <c r="B991" s="438" t="s">
        <v>2884</v>
      </c>
      <c r="C991" s="439"/>
      <c r="D991" s="442" t="s">
        <v>2861</v>
      </c>
      <c r="E991" s="440">
        <v>4879.8999999999996</v>
      </c>
      <c r="F991" s="439"/>
      <c r="G991" s="441">
        <v>7.3</v>
      </c>
      <c r="H991" s="442" t="s">
        <v>355</v>
      </c>
      <c r="I991" s="441" t="s">
        <v>2862</v>
      </c>
      <c r="J991" s="439"/>
      <c r="K991" s="441">
        <v>2027</v>
      </c>
      <c r="L991" s="439"/>
    </row>
    <row r="992" spans="2:12" ht="26.25" thickBot="1">
      <c r="B992" s="432" t="s">
        <v>2885</v>
      </c>
      <c r="C992" s="433"/>
      <c r="D992" s="1700">
        <v>925.2</v>
      </c>
      <c r="E992" s="1700"/>
      <c r="F992" s="433"/>
      <c r="G992" s="437">
        <v>7.1040000000000001</v>
      </c>
      <c r="H992" s="434" t="s">
        <v>355</v>
      </c>
      <c r="I992" s="437" t="s">
        <v>2886</v>
      </c>
      <c r="J992" s="433"/>
      <c r="K992" s="437" t="s">
        <v>2887</v>
      </c>
      <c r="L992" s="433"/>
    </row>
    <row r="993" spans="2:15">
      <c r="B993" s="438" t="s">
        <v>2888</v>
      </c>
      <c r="C993" s="439"/>
      <c r="D993" s="1701">
        <v>5805.1</v>
      </c>
      <c r="E993" s="1701"/>
      <c r="F993" s="439"/>
      <c r="G993" s="443"/>
      <c r="H993" s="439"/>
      <c r="I993" s="443"/>
      <c r="J993" s="439"/>
      <c r="K993" s="443"/>
      <c r="L993" s="439"/>
    </row>
    <row r="994" spans="2:15" ht="15.75" thickBot="1">
      <c r="B994" s="432" t="s">
        <v>2889</v>
      </c>
      <c r="C994" s="433"/>
      <c r="D994" s="1700">
        <v>511.6</v>
      </c>
      <c r="E994" s="1700"/>
      <c r="F994" s="433"/>
      <c r="G994" s="444"/>
      <c r="H994" s="433"/>
      <c r="I994" s="444"/>
      <c r="J994" s="433"/>
      <c r="K994" s="437">
        <v>2016</v>
      </c>
      <c r="L994" s="433"/>
    </row>
    <row r="995" spans="2:15" ht="15.75" thickBot="1">
      <c r="B995" s="438" t="s">
        <v>2890</v>
      </c>
      <c r="C995" s="439"/>
      <c r="D995" s="445" t="s">
        <v>2861</v>
      </c>
      <c r="E995" s="446">
        <v>5293.6</v>
      </c>
      <c r="F995" s="439"/>
      <c r="G995" s="443"/>
      <c r="H995" s="439"/>
      <c r="I995" s="443"/>
      <c r="J995" s="439"/>
      <c r="K995" s="448"/>
    </row>
    <row r="996" spans="2:15" ht="15.75" thickTop="1"/>
    <row r="997" spans="2:15">
      <c r="B997" s="438" t="s">
        <v>2891</v>
      </c>
      <c r="E997" s="435">
        <f>E966+D967+D968+D970+D972+D973+D974</f>
        <v>72012.400000000009</v>
      </c>
      <c r="F997">
        <f>E997/19</f>
        <v>3790.1263157894741</v>
      </c>
    </row>
    <row r="998" spans="2:15">
      <c r="E998" s="8">
        <f>E997/D987</f>
        <v>0.64530246929068391</v>
      </c>
    </row>
    <row r="999" spans="2:15">
      <c r="B999" s="438" t="s">
        <v>417</v>
      </c>
      <c r="F999">
        <f ca="1">SOP!G12+SOP!G11</f>
        <v>1180.5189279348367</v>
      </c>
    </row>
    <row r="1001" spans="2:15">
      <c r="B1001" s="424" t="s">
        <v>2898</v>
      </c>
      <c r="C1001" s="424"/>
    </row>
    <row r="1003" spans="2:15" ht="16.5">
      <c r="B1003" s="450" t="s">
        <v>2902</v>
      </c>
      <c r="C1003" s="115"/>
      <c r="D1003" s="115"/>
      <c r="E1003" s="115"/>
      <c r="F1003" s="115"/>
      <c r="G1003" s="450" t="s">
        <v>2901</v>
      </c>
      <c r="H1003" s="115"/>
      <c r="I1003" s="115"/>
      <c r="J1003" s="115"/>
      <c r="L1003" s="42" t="s">
        <v>1248</v>
      </c>
    </row>
    <row r="1004" spans="2:15" ht="16.5">
      <c r="B1004" s="408" t="s">
        <v>653</v>
      </c>
      <c r="C1004" s="408">
        <v>2016</v>
      </c>
      <c r="D1004" s="408">
        <f>C1004+1</f>
        <v>2017</v>
      </c>
      <c r="E1004" s="408">
        <f>D1004+1</f>
        <v>2018</v>
      </c>
      <c r="F1004" s="115"/>
      <c r="G1004" s="408" t="str">
        <f>B1004</f>
        <v>Revs</v>
      </c>
      <c r="H1004" s="408">
        <f>C1004</f>
        <v>2016</v>
      </c>
      <c r="I1004" s="408">
        <f>D1004</f>
        <v>2017</v>
      </c>
      <c r="J1004" s="408">
        <f>E1004</f>
        <v>2018</v>
      </c>
      <c r="L1004" s="61" t="s">
        <v>653</v>
      </c>
      <c r="M1004" s="61">
        <v>2016</v>
      </c>
      <c r="N1004" s="61">
        <f>M1004+1</f>
        <v>2017</v>
      </c>
      <c r="O1004" s="61">
        <f>N1004+1</f>
        <v>2018</v>
      </c>
    </row>
    <row r="1005" spans="2:15" ht="16.5">
      <c r="B1005" s="115" t="s">
        <v>2899</v>
      </c>
      <c r="C1005" s="454">
        <f>Master!O43</f>
        <v>23223.200000000001</v>
      </c>
      <c r="D1005" s="454">
        <f>Master!P43</f>
        <v>20719</v>
      </c>
      <c r="E1005" s="454">
        <f>Master!Q43</f>
        <v>21155</v>
      </c>
      <c r="F1005" s="115"/>
      <c r="G1005" s="115" t="str">
        <f t="shared" ref="G1005:G1010" si="83">B1005</f>
        <v>Dom Ad</v>
      </c>
      <c r="H1005" s="451">
        <f t="shared" ref="H1005:J1010" si="84">C1005/M1005-1</f>
        <v>1.3487144528380623E-2</v>
      </c>
      <c r="I1005" s="451">
        <f t="shared" si="84"/>
        <v>-0.11785270459214792</v>
      </c>
      <c r="J1005" s="451">
        <f t="shared" si="84"/>
        <v>-0.12125780463775515</v>
      </c>
      <c r="L1005" t="s">
        <v>2899</v>
      </c>
      <c r="M1005" s="122">
        <v>22914.1535</v>
      </c>
      <c r="N1005" s="122">
        <v>23487.007337499999</v>
      </c>
      <c r="O1005" s="122">
        <v>24074.182520937498</v>
      </c>
    </row>
    <row r="1006" spans="2:15" ht="16.5">
      <c r="B1006" s="115" t="s">
        <v>2900</v>
      </c>
      <c r="C1006" s="454">
        <f>Master!O44+Master!O45</f>
        <v>13463.5</v>
      </c>
      <c r="D1006" s="454">
        <f>Master!P44+Master!P45</f>
        <v>13278</v>
      </c>
      <c r="E1006" s="454">
        <f>Master!Q44+Master!Q45</f>
        <v>15362</v>
      </c>
      <c r="F1006" s="115"/>
      <c r="G1006" s="115" t="str">
        <f t="shared" si="83"/>
        <v>Other Content</v>
      </c>
      <c r="H1006" s="451">
        <f t="shared" si="84"/>
        <v>2.0532579703692377E-2</v>
      </c>
      <c r="I1006" s="451">
        <f t="shared" si="84"/>
        <v>3.2168074939337599E-2</v>
      </c>
      <c r="J1006" s="451">
        <f t="shared" si="84"/>
        <v>-5.831013654730488E-3</v>
      </c>
      <c r="L1006" t="s">
        <v>2900</v>
      </c>
      <c r="M1006" s="122">
        <v>13192.621448605858</v>
      </c>
      <c r="N1006" s="122">
        <v>12864.183966143666</v>
      </c>
      <c r="O1006" s="122">
        <v>15452.101414341305</v>
      </c>
    </row>
    <row r="1007" spans="2:15" ht="16.5">
      <c r="B1007" s="115" t="s">
        <v>731</v>
      </c>
      <c r="C1007" s="454">
        <f>Master!O52</f>
        <v>31891.599999999999</v>
      </c>
      <c r="D1007" s="454">
        <f>Master!P52</f>
        <v>33048</v>
      </c>
      <c r="E1007" s="454">
        <f>Master!Q52</f>
        <v>36233</v>
      </c>
      <c r="F1007" s="115"/>
      <c r="G1007" s="115" t="str">
        <f t="shared" si="83"/>
        <v xml:space="preserve">Cable </v>
      </c>
      <c r="H1007" s="451">
        <f t="shared" si="84"/>
        <v>-9.3247098894408964E-3</v>
      </c>
      <c r="I1007" s="451">
        <f t="shared" si="84"/>
        <v>-0.11500215094003352</v>
      </c>
      <c r="J1007" s="451">
        <f t="shared" si="84"/>
        <v>-0.15627000870960372</v>
      </c>
      <c r="L1007" t="s">
        <v>731</v>
      </c>
      <c r="M1007" s="122">
        <v>32191.778999999995</v>
      </c>
      <c r="N1007" s="122">
        <v>37342.463639999994</v>
      </c>
      <c r="O1007" s="122">
        <v>42943.833185999989</v>
      </c>
    </row>
    <row r="1008" spans="2:15" ht="16.5">
      <c r="B1008" s="115" t="s">
        <v>87</v>
      </c>
      <c r="C1008" s="454">
        <f>Master!O51</f>
        <v>21941.200000000001</v>
      </c>
      <c r="D1008" s="454">
        <f>Master!P51</f>
        <v>22197</v>
      </c>
      <c r="E1008" s="454">
        <f>Master!Q51</f>
        <v>22002</v>
      </c>
      <c r="F1008" s="115"/>
      <c r="G1008" s="115" t="str">
        <f t="shared" si="83"/>
        <v>SKY</v>
      </c>
      <c r="H1008" s="451">
        <f t="shared" si="84"/>
        <v>-7.2104244877837509E-3</v>
      </c>
      <c r="I1008" s="451">
        <f t="shared" si="84"/>
        <v>-6.9988301164083944E-2</v>
      </c>
      <c r="J1008" s="451">
        <f t="shared" si="84"/>
        <v>-0.13008235659779677</v>
      </c>
      <c r="L1008" t="s">
        <v>87</v>
      </c>
      <c r="M1008" s="122">
        <v>22100.554378484219</v>
      </c>
      <c r="N1008" s="122">
        <v>23867.44169754392</v>
      </c>
      <c r="O1008" s="122">
        <v>25292.049387515934</v>
      </c>
    </row>
    <row r="1009" spans="2:15" ht="16.5">
      <c r="B1009" s="408" t="s">
        <v>1808</v>
      </c>
      <c r="C1009" s="455">
        <f>Master!O53+Master!O55</f>
        <v>5763.9</v>
      </c>
      <c r="D1009" s="455">
        <f>Master!P53+Master!P55</f>
        <v>5033</v>
      </c>
      <c r="E1009" s="455">
        <f>Master!Q53+Master!Q55</f>
        <v>3824</v>
      </c>
      <c r="F1009" s="115"/>
      <c r="G1009" s="408" t="str">
        <f t="shared" si="83"/>
        <v xml:space="preserve">Other </v>
      </c>
      <c r="H1009" s="452">
        <f t="shared" si="84"/>
        <v>2.0650006680877908E-4</v>
      </c>
      <c r="I1009" s="452">
        <f t="shared" si="84"/>
        <v>-0.11239795342886738</v>
      </c>
      <c r="J1009" s="452">
        <f t="shared" si="84"/>
        <v>-0.30547288239318426</v>
      </c>
      <c r="L1009" s="61" t="s">
        <v>1808</v>
      </c>
      <c r="M1009" s="449">
        <v>5762.71</v>
      </c>
      <c r="N1009" s="449">
        <v>5670.3339288624029</v>
      </c>
      <c r="O1009" s="449">
        <v>5505.9045256240588</v>
      </c>
    </row>
    <row r="1010" spans="2:15" ht="16.5">
      <c r="B1010" s="115" t="s">
        <v>98</v>
      </c>
      <c r="C1010" s="454">
        <f>Master!O56</f>
        <v>96287.4</v>
      </c>
      <c r="D1010" s="454">
        <f>Master!P56</f>
        <v>94275</v>
      </c>
      <c r="E1010" s="454">
        <f>Master!Q56</f>
        <v>101310</v>
      </c>
      <c r="F1010" s="115"/>
      <c r="G1010" s="115" t="str">
        <f t="shared" si="83"/>
        <v>Total</v>
      </c>
      <c r="H1010" s="451">
        <f t="shared" si="84"/>
        <v>1.305941121898968E-3</v>
      </c>
      <c r="I1010" s="451">
        <f t="shared" si="84"/>
        <v>-8.6760694108296899E-2</v>
      </c>
      <c r="J1010" s="451">
        <f t="shared" si="84"/>
        <v>-0.10557318514575109</v>
      </c>
      <c r="L1010" t="s">
        <v>98</v>
      </c>
      <c r="M1010" s="122">
        <v>96161.818327090077</v>
      </c>
      <c r="N1010" s="122">
        <v>103231.43057005</v>
      </c>
      <c r="O1010" s="122">
        <v>113268.07103441878</v>
      </c>
    </row>
    <row r="1011" spans="2:15" ht="16.5">
      <c r="B1011" s="115"/>
      <c r="C1011" s="115"/>
      <c r="D1011" s="115"/>
      <c r="E1011" s="115"/>
      <c r="F1011" s="115"/>
      <c r="G1011" s="115"/>
      <c r="H1011" s="451"/>
      <c r="I1011" s="451"/>
      <c r="J1011" s="451"/>
    </row>
    <row r="1012" spans="2:15" ht="16.5">
      <c r="B1012" s="115" t="s">
        <v>57</v>
      </c>
      <c r="C1012" s="115"/>
      <c r="D1012" s="115"/>
      <c r="E1012" s="115"/>
      <c r="F1012" s="115"/>
      <c r="G1012" s="115" t="str">
        <f t="shared" ref="G1012:G1017" si="85">B1012</f>
        <v>EBITDA</v>
      </c>
      <c r="H1012" s="451"/>
      <c r="I1012" s="451"/>
      <c r="J1012" s="451"/>
      <c r="L1012" t="s">
        <v>57</v>
      </c>
    </row>
    <row r="1013" spans="2:15" ht="16.5">
      <c r="B1013" s="115" t="s">
        <v>145</v>
      </c>
      <c r="C1013" s="454">
        <f>Master!O65</f>
        <v>14748</v>
      </c>
      <c r="D1013" s="454">
        <f>Master!P65</f>
        <v>12825</v>
      </c>
      <c r="E1013" s="454">
        <f>Master!Q65</f>
        <v>14855</v>
      </c>
      <c r="F1013" s="115"/>
      <c r="G1013" s="115" t="str">
        <f t="shared" si="85"/>
        <v>Content</v>
      </c>
      <c r="H1013" s="451">
        <f t="shared" ref="H1013:J1017" si="86">C1013/M1013-1</f>
        <v>4.7321026849137748E-2</v>
      </c>
      <c r="I1013" s="451">
        <f t="shared" si="86"/>
        <v>-8.3614948587687477E-2</v>
      </c>
      <c r="J1013" s="451">
        <f t="shared" si="86"/>
        <v>-0.1051765028819388</v>
      </c>
      <c r="L1013" t="s">
        <v>145</v>
      </c>
      <c r="M1013" s="122">
        <v>14081.642229956286</v>
      </c>
      <c r="N1013" s="122">
        <v>13995.208651902813</v>
      </c>
      <c r="O1013" s="122">
        <v>16601.039252817096</v>
      </c>
    </row>
    <row r="1014" spans="2:15" ht="16.5">
      <c r="B1014" s="115" t="str">
        <f>B1007</f>
        <v xml:space="preserve">Cable </v>
      </c>
      <c r="C1014" s="454">
        <f>Master!O68</f>
        <v>13236.1</v>
      </c>
      <c r="D1014" s="454">
        <f>Master!P68</f>
        <v>14035</v>
      </c>
      <c r="E1014" s="454">
        <f>Master!Q68</f>
        <v>15303</v>
      </c>
      <c r="F1014" s="115"/>
      <c r="G1014" s="115" t="str">
        <f t="shared" si="85"/>
        <v xml:space="preserve">Cable </v>
      </c>
      <c r="H1014" s="451">
        <f t="shared" si="86"/>
        <v>-2.1038141150142242E-2</v>
      </c>
      <c r="I1014" s="451">
        <f t="shared" si="86"/>
        <v>-0.12594050573678395</v>
      </c>
      <c r="J1014" s="451">
        <f t="shared" si="86"/>
        <v>-0.19011548633986763</v>
      </c>
      <c r="L1014" t="str">
        <f>L1007</f>
        <v xml:space="preserve">Cable </v>
      </c>
      <c r="M1014" s="122">
        <v>13520.547179999998</v>
      </c>
      <c r="N1014" s="122">
        <v>16057.259365199998</v>
      </c>
      <c r="O1014" s="122">
        <v>18895.286601839995</v>
      </c>
    </row>
    <row r="1015" spans="2:15" ht="16.5">
      <c r="B1015" s="115" t="str">
        <f>B1008</f>
        <v>SKY</v>
      </c>
      <c r="C1015" s="454">
        <f>Master!O67</f>
        <v>9898.5</v>
      </c>
      <c r="D1015" s="454">
        <f>Master!P67</f>
        <v>10107</v>
      </c>
      <c r="E1015" s="454">
        <f>Master!Q67</f>
        <v>9767</v>
      </c>
      <c r="F1015" s="115"/>
      <c r="G1015" s="115" t="str">
        <f t="shared" si="85"/>
        <v>SKY</v>
      </c>
      <c r="H1015" s="451">
        <f t="shared" si="86"/>
        <v>-1.0199574774319209E-2</v>
      </c>
      <c r="I1015" s="451">
        <f t="shared" si="86"/>
        <v>-6.2095454407070649E-2</v>
      </c>
      <c r="J1015" s="451">
        <f t="shared" si="86"/>
        <v>-0.14279958777742841</v>
      </c>
      <c r="L1015" t="str">
        <f>L1008</f>
        <v>SKY</v>
      </c>
      <c r="M1015" s="122">
        <v>10000.500856264109</v>
      </c>
      <c r="N1015" s="122">
        <v>10776.14992644108</v>
      </c>
      <c r="O1015" s="122">
        <v>11394.068249075928</v>
      </c>
    </row>
    <row r="1016" spans="2:15" ht="16.5">
      <c r="B1016" s="408" t="str">
        <f>B1009</f>
        <v xml:space="preserve">Other </v>
      </c>
      <c r="C1016" s="455">
        <f>C1017-SUM(C1013:C1015)</f>
        <v>-4304.7000000000044</v>
      </c>
      <c r="D1016" s="455">
        <f>D1017-SUM(D1013:D1015)</f>
        <v>-4187</v>
      </c>
      <c r="E1016" s="455">
        <f>E1017-SUM(E1013:E1015)</f>
        <v>-3352.5</v>
      </c>
      <c r="F1016" s="115"/>
      <c r="G1016" s="408" t="str">
        <f t="shared" si="85"/>
        <v xml:space="preserve">Other </v>
      </c>
      <c r="H1016" s="452">
        <f t="shared" si="86"/>
        <v>0.79912733108757528</v>
      </c>
      <c r="I1016" s="452">
        <f t="shared" si="86"/>
        <v>1.0603242469113812</v>
      </c>
      <c r="J1016" s="452">
        <f t="shared" si="86"/>
        <v>0.79074540754286637</v>
      </c>
      <c r="L1016" s="61" t="str">
        <f>L1009</f>
        <v xml:space="preserve">Other </v>
      </c>
      <c r="M1016" s="449">
        <v>-2392.6600000000035</v>
      </c>
      <c r="N1016" s="449">
        <v>-2032.2044000000024</v>
      </c>
      <c r="O1016" s="449">
        <v>-1872.125420999997</v>
      </c>
    </row>
    <row r="1017" spans="2:15" ht="16.5">
      <c r="B1017" s="115" t="str">
        <f>B1010</f>
        <v>Total</v>
      </c>
      <c r="C1017" s="454">
        <f>Master!O73</f>
        <v>33577.899999999994</v>
      </c>
      <c r="D1017" s="454">
        <f>Master!P73</f>
        <v>32780</v>
      </c>
      <c r="E1017" s="454">
        <f>Master!Q73</f>
        <v>36572.5</v>
      </c>
      <c r="F1017" s="115"/>
      <c r="G1017" s="115" t="str">
        <f t="shared" si="85"/>
        <v>Total</v>
      </c>
      <c r="H1017" s="451">
        <f t="shared" si="86"/>
        <v>-4.6354128465098787E-2</v>
      </c>
      <c r="I1017" s="451">
        <f t="shared" si="86"/>
        <v>-0.15507653914430142</v>
      </c>
      <c r="J1017" s="451">
        <f t="shared" si="86"/>
        <v>-0.18760758531730104</v>
      </c>
      <c r="L1017" t="str">
        <f>L1010</f>
        <v>Total</v>
      </c>
      <c r="M1017" s="122">
        <v>35210.03026622039</v>
      </c>
      <c r="N1017" s="122">
        <v>38796.413543543887</v>
      </c>
      <c r="O1017" s="122">
        <v>45018.268682733018</v>
      </c>
    </row>
    <row r="1018" spans="2:15" ht="16.5">
      <c r="B1018" s="115"/>
      <c r="C1018" s="115"/>
      <c r="D1018" s="115"/>
      <c r="E1018" s="115"/>
      <c r="F1018" s="115"/>
      <c r="G1018" s="115"/>
      <c r="H1018" s="451"/>
      <c r="I1018" s="451"/>
      <c r="J1018" s="451"/>
    </row>
    <row r="1019" spans="2:15" ht="16.5">
      <c r="B1019" s="115" t="s">
        <v>201</v>
      </c>
      <c r="C1019" s="115"/>
      <c r="D1019" s="115"/>
      <c r="E1019" s="115"/>
      <c r="F1019" s="115"/>
      <c r="G1019" s="115" t="str">
        <f>B1019</f>
        <v>Capex</v>
      </c>
      <c r="H1019" s="451"/>
      <c r="I1019" s="451"/>
      <c r="J1019" s="451"/>
      <c r="L1019" t="s">
        <v>201</v>
      </c>
    </row>
    <row r="1020" spans="2:15" ht="16.5">
      <c r="B1020" s="115" t="s">
        <v>145</v>
      </c>
      <c r="C1020" s="454">
        <f>Master!O87</f>
        <v>2827.5</v>
      </c>
      <c r="D1020" s="454">
        <f>Master!P87</f>
        <v>2147.0399999999995</v>
      </c>
      <c r="E1020" s="454">
        <f>Master!Q87</f>
        <v>1824.8999999999999</v>
      </c>
      <c r="F1020" s="115"/>
      <c r="G1020" s="115" t="str">
        <f>B1020</f>
        <v>Content</v>
      </c>
      <c r="H1020" s="451">
        <f t="shared" ref="H1020:J1023" si="87">C1020/M1020-1</f>
        <v>3.8942801742021915E-2</v>
      </c>
      <c r="I1020" s="451">
        <f t="shared" si="87"/>
        <v>-0.18249897380149738</v>
      </c>
      <c r="J1020" s="451">
        <f t="shared" si="87"/>
        <v>-0.32459422827281803</v>
      </c>
      <c r="L1020" t="s">
        <v>145</v>
      </c>
      <c r="M1020" s="454">
        <v>2721.5165216593814</v>
      </c>
      <c r="N1020" s="454">
        <v>2626.3453270316299</v>
      </c>
      <c r="O1020" s="454">
        <v>2701.9313076541716</v>
      </c>
    </row>
    <row r="1021" spans="2:15" ht="16.5">
      <c r="B1021" s="115" t="str">
        <f>B1014</f>
        <v xml:space="preserve">Cable </v>
      </c>
      <c r="C1021" s="454">
        <f>Master!O89</f>
        <v>18552.170000000002</v>
      </c>
      <c r="D1021" s="454">
        <f>Master!P89</f>
        <v>10578.33</v>
      </c>
      <c r="E1021" s="454">
        <f>Master!Q89</f>
        <v>12801.25</v>
      </c>
      <c r="F1021" s="115"/>
      <c r="G1021" s="115" t="str">
        <f>B1021</f>
        <v xml:space="preserve">Cable </v>
      </c>
      <c r="H1021" s="451">
        <f t="shared" si="87"/>
        <v>-5.5243469376980991E-2</v>
      </c>
      <c r="I1021" s="451">
        <f t="shared" si="87"/>
        <v>-0.30907598580582607</v>
      </c>
      <c r="J1021" s="451">
        <f t="shared" si="87"/>
        <v>-9.6688306825087111E-2</v>
      </c>
      <c r="L1021" t="str">
        <f>L1014</f>
        <v xml:space="preserve">Cable </v>
      </c>
      <c r="M1021" s="454">
        <v>19636.985189999996</v>
      </c>
      <c r="N1021" s="454">
        <v>15310.410092399998</v>
      </c>
      <c r="O1021" s="454">
        <v>14171.464951379998</v>
      </c>
    </row>
    <row r="1022" spans="2:15" ht="16.5">
      <c r="B1022" s="408" t="str">
        <f>B1015</f>
        <v>SKY</v>
      </c>
      <c r="C1022" s="455">
        <f>Master!O88</f>
        <v>6533.4100000000008</v>
      </c>
      <c r="D1022" s="455">
        <f>Master!P88</f>
        <v>3995.4599999999996</v>
      </c>
      <c r="E1022" s="455">
        <f>Master!Q88</f>
        <v>4034.7999999999997</v>
      </c>
      <c r="F1022" s="115"/>
      <c r="G1022" s="408" t="str">
        <f>B1022</f>
        <v>SKY</v>
      </c>
      <c r="H1022" s="452">
        <f t="shared" si="87"/>
        <v>-1.4593346376182703E-2</v>
      </c>
      <c r="I1022" s="452">
        <f t="shared" si="87"/>
        <v>-0.37999220077605611</v>
      </c>
      <c r="J1022" s="452">
        <f t="shared" si="87"/>
        <v>-0.27487093991471645</v>
      </c>
      <c r="L1022" s="61" t="str">
        <f>L1015</f>
        <v>SKY</v>
      </c>
      <c r="M1022" s="455">
        <v>6630.1663135452654</v>
      </c>
      <c r="N1022" s="455">
        <v>6444.2092583368585</v>
      </c>
      <c r="O1022" s="455">
        <v>5564.2508652535053</v>
      </c>
    </row>
    <row r="1023" spans="2:15" ht="16.5">
      <c r="B1023" s="115" t="s">
        <v>1084</v>
      </c>
      <c r="C1023" s="454">
        <f>Master!O90</f>
        <v>27913.08</v>
      </c>
      <c r="D1023" s="454">
        <f>Master!P90</f>
        <v>16720.829999999998</v>
      </c>
      <c r="E1023" s="454">
        <f>Master!Q90</f>
        <v>18660.95</v>
      </c>
      <c r="F1023" s="115"/>
      <c r="G1023" s="115" t="str">
        <f>B1023</f>
        <v>Group</v>
      </c>
      <c r="H1023" s="451">
        <f t="shared" si="87"/>
        <v>-3.7103740822774456E-2</v>
      </c>
      <c r="I1023" s="451">
        <f t="shared" si="87"/>
        <v>-0.31418505292997279</v>
      </c>
      <c r="J1023" s="451">
        <f t="shared" si="87"/>
        <v>-0.16831965951543904</v>
      </c>
      <c r="L1023" t="s">
        <v>1084</v>
      </c>
      <c r="M1023" s="454">
        <v>28988.668025204643</v>
      </c>
      <c r="N1023" s="454">
        <v>24380.964677768487</v>
      </c>
      <c r="O1023" s="454">
        <v>22437.647124287672</v>
      </c>
    </row>
    <row r="1024" spans="2:15" ht="16.5">
      <c r="B1024" s="115"/>
      <c r="C1024" s="115"/>
      <c r="D1024" s="115"/>
      <c r="E1024" s="115"/>
      <c r="F1024" s="115"/>
      <c r="G1024" s="115"/>
      <c r="H1024" s="451"/>
      <c r="I1024" s="451"/>
      <c r="J1024" s="451"/>
    </row>
    <row r="1025" spans="2:16" ht="16.5">
      <c r="B1025" s="115" t="s">
        <v>203</v>
      </c>
      <c r="C1025" s="115"/>
      <c r="D1025" s="115"/>
      <c r="E1025" s="115"/>
      <c r="F1025" s="115"/>
      <c r="G1025" s="115" t="s">
        <v>203</v>
      </c>
      <c r="H1025" s="451"/>
      <c r="I1025" s="451"/>
      <c r="J1025" s="451"/>
      <c r="L1025" t="s">
        <v>3053</v>
      </c>
    </row>
    <row r="1026" spans="2:16" ht="16.5">
      <c r="B1026" s="115" t="str">
        <f>B1013</f>
        <v>Content</v>
      </c>
      <c r="C1026" s="454">
        <f t="shared" ref="C1026:E1028" si="88">C1013-C1020</f>
        <v>11920.5</v>
      </c>
      <c r="D1026" s="454">
        <f t="shared" si="88"/>
        <v>10677.960000000001</v>
      </c>
      <c r="E1026" s="454">
        <f t="shared" si="88"/>
        <v>13030.1</v>
      </c>
      <c r="F1026" s="115"/>
      <c r="G1026" s="115" t="str">
        <f>B1026</f>
        <v>Content</v>
      </c>
      <c r="H1026" s="451">
        <f t="shared" ref="H1026:J1030" si="89">C1026/M1026-1</f>
        <v>4.9328177001934481E-2</v>
      </c>
      <c r="I1026" s="451">
        <f t="shared" si="89"/>
        <v>-6.0771539346393788E-2</v>
      </c>
      <c r="J1026" s="451">
        <f t="shared" si="89"/>
        <v>-6.2522569692348595E-2</v>
      </c>
      <c r="L1026" t="str">
        <f>L1013</f>
        <v>Content</v>
      </c>
      <c r="M1026" s="122">
        <f t="shared" ref="M1026:O1028" si="90">M1013-M1020</f>
        <v>11360.125708296904</v>
      </c>
      <c r="N1026" s="122">
        <f t="shared" si="90"/>
        <v>11368.863324871183</v>
      </c>
      <c r="O1026" s="122">
        <f t="shared" si="90"/>
        <v>13899.107945162925</v>
      </c>
    </row>
    <row r="1027" spans="2:16" ht="16.5">
      <c r="B1027" s="115" t="str">
        <f>B1014</f>
        <v xml:space="preserve">Cable </v>
      </c>
      <c r="C1027" s="454">
        <f t="shared" si="88"/>
        <v>-5316.0700000000015</v>
      </c>
      <c r="D1027" s="454">
        <f t="shared" si="88"/>
        <v>3456.67</v>
      </c>
      <c r="E1027" s="454">
        <f t="shared" si="88"/>
        <v>2501.75</v>
      </c>
      <c r="F1027" s="115"/>
      <c r="G1027" s="115" t="str">
        <f>B1027</f>
        <v xml:space="preserve">Cable </v>
      </c>
      <c r="H1027" s="451">
        <f t="shared" si="89"/>
        <v>-0.13085524756262457</v>
      </c>
      <c r="I1027" s="453">
        <f t="shared" si="89"/>
        <v>3.6283368356785788</v>
      </c>
      <c r="J1027" s="451">
        <f t="shared" si="89"/>
        <v>-0.47039702488420909</v>
      </c>
      <c r="L1027" t="str">
        <f>L1014</f>
        <v xml:space="preserve">Cable </v>
      </c>
      <c r="M1027" s="122">
        <f t="shared" si="90"/>
        <v>-6116.438009999998</v>
      </c>
      <c r="N1027" s="122">
        <f t="shared" si="90"/>
        <v>746.84927280000011</v>
      </c>
      <c r="O1027" s="122">
        <f t="shared" si="90"/>
        <v>4723.8216504599968</v>
      </c>
    </row>
    <row r="1028" spans="2:16" ht="16.5">
      <c r="B1028" s="115" t="str">
        <f>B1015</f>
        <v>SKY</v>
      </c>
      <c r="C1028" s="454">
        <f t="shared" si="88"/>
        <v>3365.0899999999992</v>
      </c>
      <c r="D1028" s="454">
        <f t="shared" si="88"/>
        <v>6111.5400000000009</v>
      </c>
      <c r="E1028" s="454">
        <f t="shared" si="88"/>
        <v>5732.2000000000007</v>
      </c>
      <c r="F1028" s="115"/>
      <c r="G1028" s="115" t="str">
        <f>B1028</f>
        <v>SKY</v>
      </c>
      <c r="H1028" s="451">
        <f t="shared" si="89"/>
        <v>-1.55608965589904E-3</v>
      </c>
      <c r="I1028" s="451">
        <f t="shared" si="89"/>
        <v>0.41080879638976731</v>
      </c>
      <c r="J1028" s="451">
        <f t="shared" si="89"/>
        <v>-1.6744501138801993E-2</v>
      </c>
      <c r="L1028" t="str">
        <f>L1015</f>
        <v>SKY</v>
      </c>
      <c r="M1028" s="122">
        <f t="shared" si="90"/>
        <v>3370.3345427188433</v>
      </c>
      <c r="N1028" s="122">
        <f t="shared" si="90"/>
        <v>4331.940668104221</v>
      </c>
      <c r="O1028" s="122">
        <f t="shared" si="90"/>
        <v>5829.8173838224229</v>
      </c>
    </row>
    <row r="1029" spans="2:16" ht="16.5">
      <c r="B1029" s="408" t="str">
        <f>B1016</f>
        <v xml:space="preserve">Other </v>
      </c>
      <c r="C1029" s="455">
        <f>C1016</f>
        <v>-4304.7000000000044</v>
      </c>
      <c r="D1029" s="455">
        <f>D1016</f>
        <v>-4187</v>
      </c>
      <c r="E1029" s="455">
        <f>E1016</f>
        <v>-3352.5</v>
      </c>
      <c r="F1029" s="115"/>
      <c r="G1029" s="408" t="str">
        <f>B1029</f>
        <v xml:space="preserve">Other </v>
      </c>
      <c r="H1029" s="452">
        <f t="shared" si="89"/>
        <v>0.79912733108757528</v>
      </c>
      <c r="I1029" s="452">
        <f t="shared" si="89"/>
        <v>1.0603242469113812</v>
      </c>
      <c r="J1029" s="452">
        <f t="shared" si="89"/>
        <v>0.79074540754286637</v>
      </c>
      <c r="L1029" s="61" t="str">
        <f>L1016</f>
        <v xml:space="preserve">Other </v>
      </c>
      <c r="M1029" s="449">
        <f>M1016</f>
        <v>-2392.6600000000035</v>
      </c>
      <c r="N1029" s="449">
        <f>N1016</f>
        <v>-2032.2044000000024</v>
      </c>
      <c r="O1029" s="449">
        <f>O1016</f>
        <v>-1872.125420999997</v>
      </c>
    </row>
    <row r="1030" spans="2:16" ht="16.5">
      <c r="B1030" s="115" t="s">
        <v>1084</v>
      </c>
      <c r="C1030" s="454">
        <f>C1017-C1023</f>
        <v>5664.8199999999924</v>
      </c>
      <c r="D1030" s="454">
        <f>D1017-D1023</f>
        <v>16059.170000000002</v>
      </c>
      <c r="E1030" s="454">
        <f>E1017-E1023</f>
        <v>17911.55</v>
      </c>
      <c r="F1030" s="115"/>
      <c r="G1030" s="115" t="str">
        <f>B1030</f>
        <v>Group</v>
      </c>
      <c r="H1030" s="451">
        <f t="shared" si="89"/>
        <v>-8.9456652651829782E-2</v>
      </c>
      <c r="I1030" s="451">
        <f t="shared" si="89"/>
        <v>0.1140249706776082</v>
      </c>
      <c r="J1030" s="451">
        <f t="shared" si="89"/>
        <v>-0.20677338515064358</v>
      </c>
      <c r="L1030" t="s">
        <v>1084</v>
      </c>
      <c r="M1030" s="122">
        <f>M1017-M1023</f>
        <v>6221.3622410157477</v>
      </c>
      <c r="N1030" s="122">
        <f>N1017-N1023</f>
        <v>14415.448865775401</v>
      </c>
      <c r="O1030" s="122">
        <f>O1017-O1023</f>
        <v>22580.621558445346</v>
      </c>
    </row>
    <row r="1032" spans="2:16">
      <c r="B1032" s="424" t="s">
        <v>2993</v>
      </c>
    </row>
    <row r="1034" spans="2:16">
      <c r="C1034" s="456">
        <v>0.1</v>
      </c>
      <c r="D1034" s="8">
        <f>C1034</f>
        <v>0.1</v>
      </c>
      <c r="E1034" s="8">
        <f>D1034</f>
        <v>0.1</v>
      </c>
    </row>
    <row r="1035" spans="2:16">
      <c r="B1035" t="s">
        <v>200</v>
      </c>
      <c r="C1035" s="4">
        <f>Master!O5</f>
        <v>96287.4</v>
      </c>
      <c r="D1035" s="4">
        <f>Master!P5</f>
        <v>94275</v>
      </c>
      <c r="E1035" s="4">
        <f>Master!Q5</f>
        <v>101310</v>
      </c>
      <c r="H1035" s="4">
        <f>H1036+H1037</f>
        <v>96899.270999999993</v>
      </c>
      <c r="I1035" s="4">
        <f>I1036+I1037</f>
        <v>94868.271000000008</v>
      </c>
      <c r="J1035" s="4">
        <f>J1036+J1037</f>
        <v>102048.43</v>
      </c>
      <c r="N1035" s="10">
        <f t="shared" ref="N1035:P1037" si="91">H1035/C1035-1</f>
        <v>6.3546320702396741E-3</v>
      </c>
      <c r="O1035" s="10">
        <f t="shared" si="91"/>
        <v>6.2929832935560981E-3</v>
      </c>
      <c r="P1035" s="10">
        <f t="shared" si="91"/>
        <v>7.2888165038000885E-3</v>
      </c>
    </row>
    <row r="1036" spans="2:16">
      <c r="B1036" s="264" t="s">
        <v>2918</v>
      </c>
      <c r="C1036" s="4">
        <f>Content!J58*Content!J45</f>
        <v>6118.7100000000009</v>
      </c>
      <c r="D1036" s="4">
        <f>Content!K58*Content!K45</f>
        <v>5932.7099999999991</v>
      </c>
      <c r="E1036" s="4">
        <f>Content!L58*Content!L45</f>
        <v>7384.3</v>
      </c>
      <c r="H1036" s="4">
        <f>C1036*(1+$C$1034)</f>
        <v>6730.5810000000019</v>
      </c>
      <c r="I1036" s="4">
        <f>D1036*(1+$C$1034)</f>
        <v>6525.9809999999998</v>
      </c>
      <c r="J1036" s="4">
        <f>E1036*(1+$C$1034)</f>
        <v>8122.7300000000005</v>
      </c>
      <c r="N1036" s="10">
        <f t="shared" si="91"/>
        <v>0.10000000000000009</v>
      </c>
      <c r="O1036" s="10">
        <f t="shared" si="91"/>
        <v>0.10000000000000009</v>
      </c>
      <c r="P1036" s="10">
        <f t="shared" si="91"/>
        <v>0.10000000000000009</v>
      </c>
    </row>
    <row r="1037" spans="2:16">
      <c r="B1037" s="264" t="s">
        <v>2920</v>
      </c>
      <c r="C1037" s="4">
        <f>C1035-C1036</f>
        <v>90168.689999999988</v>
      </c>
      <c r="D1037" s="4">
        <f>D1035-D1036</f>
        <v>88342.290000000008</v>
      </c>
      <c r="E1037" s="4">
        <f>E1035-E1036</f>
        <v>93925.7</v>
      </c>
      <c r="H1037" s="4">
        <f>C1037</f>
        <v>90168.689999999988</v>
      </c>
      <c r="I1037" s="4">
        <f>D1037</f>
        <v>88342.290000000008</v>
      </c>
      <c r="J1037" s="4">
        <f>E1037</f>
        <v>93925.7</v>
      </c>
      <c r="N1037" s="10">
        <f t="shared" si="91"/>
        <v>0</v>
      </c>
      <c r="O1037" s="10">
        <f t="shared" si="91"/>
        <v>0</v>
      </c>
      <c r="P1037" s="10">
        <f t="shared" si="91"/>
        <v>0</v>
      </c>
    </row>
    <row r="1038" spans="2:16">
      <c r="C1038" s="4"/>
      <c r="D1038" s="4"/>
      <c r="E1038" s="4"/>
      <c r="N1038" s="10"/>
      <c r="O1038" s="10"/>
      <c r="P1038" s="10"/>
    </row>
    <row r="1039" spans="2:16">
      <c r="B1039" t="s">
        <v>1654</v>
      </c>
      <c r="C1039" s="4">
        <f>C1035-C1043</f>
        <v>62709.5</v>
      </c>
      <c r="D1039" s="4">
        <f>D1035-D1043</f>
        <v>61495</v>
      </c>
      <c r="E1039" s="4">
        <f>E1035-E1043</f>
        <v>64737.5</v>
      </c>
      <c r="H1039" s="4">
        <f>H1040+H1041</f>
        <v>63336.595000000001</v>
      </c>
      <c r="I1039" s="4">
        <f>I1040+I1041</f>
        <v>62109.95</v>
      </c>
      <c r="J1039" s="4">
        <f>J1040+J1041</f>
        <v>65384.875</v>
      </c>
      <c r="N1039" s="10">
        <f t="shared" ref="N1039:P1041" si="92">H1039/C1039-1</f>
        <v>1.0000000000000009E-2</v>
      </c>
      <c r="O1039" s="10">
        <f t="shared" si="92"/>
        <v>1.0000000000000009E-2</v>
      </c>
      <c r="P1039" s="10">
        <f t="shared" si="92"/>
        <v>1.0000000000000009E-2</v>
      </c>
    </row>
    <row r="1040" spans="2:16">
      <c r="B1040" s="264" t="s">
        <v>2919</v>
      </c>
      <c r="C1040" s="4">
        <f>0.1*C1039</f>
        <v>6270.9500000000007</v>
      </c>
      <c r="D1040" s="4">
        <f>0.1*D1039</f>
        <v>6149.5</v>
      </c>
      <c r="E1040" s="4">
        <f>0.1*E1039</f>
        <v>6473.75</v>
      </c>
      <c r="H1040" s="4">
        <f>C1040*(1+$C$1034)</f>
        <v>6898.045000000001</v>
      </c>
      <c r="I1040" s="4">
        <f>D1040*(1+$C$1034)</f>
        <v>6764.4500000000007</v>
      </c>
      <c r="J1040" s="4">
        <f>E1040*(1+$C$1034)</f>
        <v>7121.1250000000009</v>
      </c>
      <c r="N1040" s="10">
        <f t="shared" si="92"/>
        <v>0.10000000000000009</v>
      </c>
      <c r="O1040" s="10">
        <f t="shared" si="92"/>
        <v>0.10000000000000009</v>
      </c>
      <c r="P1040" s="10">
        <f t="shared" si="92"/>
        <v>0.10000000000000009</v>
      </c>
    </row>
    <row r="1041" spans="2:16">
      <c r="B1041" s="264" t="s">
        <v>2920</v>
      </c>
      <c r="C1041" s="4">
        <f>C1039-C1040</f>
        <v>56438.55</v>
      </c>
      <c r="D1041" s="4">
        <f>D1039-D1040</f>
        <v>55345.5</v>
      </c>
      <c r="E1041" s="4">
        <f>E1039-E1040</f>
        <v>58263.75</v>
      </c>
      <c r="H1041">
        <f>C1041</f>
        <v>56438.55</v>
      </c>
      <c r="I1041">
        <f>D1041</f>
        <v>55345.5</v>
      </c>
      <c r="J1041">
        <f>E1041</f>
        <v>58263.75</v>
      </c>
      <c r="N1041" s="10">
        <f t="shared" si="92"/>
        <v>0</v>
      </c>
      <c r="O1041" s="10">
        <f t="shared" si="92"/>
        <v>0</v>
      </c>
      <c r="P1041" s="10">
        <f t="shared" si="92"/>
        <v>0</v>
      </c>
    </row>
    <row r="1042" spans="2:16">
      <c r="C1042" s="4"/>
      <c r="D1042" s="4"/>
      <c r="E1042" s="4"/>
      <c r="N1042" s="10"/>
      <c r="O1042" s="10"/>
      <c r="P1042" s="10"/>
    </row>
    <row r="1043" spans="2:16">
      <c r="B1043" t="s">
        <v>57</v>
      </c>
      <c r="C1043" s="4">
        <f>Master!O13</f>
        <v>33577.899999999994</v>
      </c>
      <c r="D1043" s="4">
        <f>Master!P13</f>
        <v>32780</v>
      </c>
      <c r="E1043" s="4">
        <f>Master!Q13</f>
        <v>36572.5</v>
      </c>
      <c r="H1043" s="4">
        <f>H1035-H1039</f>
        <v>33562.675999999992</v>
      </c>
      <c r="I1043" s="4">
        <f>I1035-I1039</f>
        <v>32758.321000000011</v>
      </c>
      <c r="J1043" s="4">
        <f>J1035-J1039</f>
        <v>36663.554999999993</v>
      </c>
      <c r="N1043" s="10">
        <f>H1043/C1043-1</f>
        <v>-4.5339345224093552E-4</v>
      </c>
      <c r="O1043" s="10">
        <f>I1043/D1043-1</f>
        <v>-6.6134838316012079E-4</v>
      </c>
      <c r="P1043" s="10">
        <f>J1043/E1043-1</f>
        <v>2.4897122154623474E-3</v>
      </c>
    </row>
    <row r="1044" spans="2:16">
      <c r="C1044" s="4"/>
      <c r="D1044" s="4"/>
      <c r="E1044" s="4"/>
      <c r="N1044" s="10"/>
      <c r="O1044" s="10"/>
      <c r="P1044" s="10"/>
    </row>
    <row r="1045" spans="2:16">
      <c r="B1045" t="s">
        <v>201</v>
      </c>
      <c r="C1045" s="4">
        <f>Master!O90</f>
        <v>27913.08</v>
      </c>
      <c r="D1045" s="4">
        <f>Master!P90</f>
        <v>16720.829999999998</v>
      </c>
      <c r="E1045" s="4">
        <f>Master!Q90</f>
        <v>18660.95</v>
      </c>
      <c r="H1045" s="4">
        <f>H1046+H1047</f>
        <v>30006.561000000005</v>
      </c>
      <c r="I1045" s="4">
        <f>I1046+I1047</f>
        <v>17974.892249999997</v>
      </c>
      <c r="J1045" s="4">
        <f>J1046+J1047</f>
        <v>20060.521250000002</v>
      </c>
      <c r="N1045" s="10">
        <f t="shared" ref="N1045:P1047" si="93">H1045/C1045-1</f>
        <v>7.5000000000000178E-2</v>
      </c>
      <c r="O1045" s="10">
        <f t="shared" si="93"/>
        <v>7.4999999999999956E-2</v>
      </c>
      <c r="P1045" s="10">
        <f t="shared" si="93"/>
        <v>7.4999999999999956E-2</v>
      </c>
    </row>
    <row r="1046" spans="2:16">
      <c r="B1046" s="264" t="s">
        <v>2921</v>
      </c>
      <c r="C1046" s="4">
        <f>0.75*C1045</f>
        <v>20934.810000000001</v>
      </c>
      <c r="D1046" s="4">
        <f>0.75*D1045</f>
        <v>12540.622499999998</v>
      </c>
      <c r="E1046" s="4">
        <f>0.75*E1045</f>
        <v>13995.712500000001</v>
      </c>
      <c r="H1046" s="4">
        <f>C1046*(1+$C$1034)</f>
        <v>23028.291000000005</v>
      </c>
      <c r="I1046" s="4">
        <f>D1046*(1+$C$1034)</f>
        <v>13794.684749999999</v>
      </c>
      <c r="J1046" s="4">
        <f>E1046*(1+$C$1034)</f>
        <v>15395.283750000002</v>
      </c>
      <c r="N1046" s="10">
        <f t="shared" si="93"/>
        <v>0.10000000000000009</v>
      </c>
      <c r="O1046" s="10">
        <f t="shared" si="93"/>
        <v>0.10000000000000009</v>
      </c>
      <c r="P1046" s="10">
        <f t="shared" si="93"/>
        <v>0.10000000000000009</v>
      </c>
    </row>
    <row r="1047" spans="2:16">
      <c r="B1047" s="264" t="s">
        <v>2920</v>
      </c>
      <c r="C1047" s="4">
        <f>C1045-C1046</f>
        <v>6978.27</v>
      </c>
      <c r="D1047" s="4">
        <f>D1045-D1046</f>
        <v>4180.2075000000004</v>
      </c>
      <c r="E1047" s="4">
        <f>E1045-E1046</f>
        <v>4665.2374999999993</v>
      </c>
      <c r="H1047" s="4">
        <f>C1047</f>
        <v>6978.27</v>
      </c>
      <c r="I1047" s="4">
        <f>D1047</f>
        <v>4180.2075000000004</v>
      </c>
      <c r="J1047" s="4">
        <f>E1047</f>
        <v>4665.2374999999993</v>
      </c>
      <c r="N1047" s="10">
        <f t="shared" si="93"/>
        <v>0</v>
      </c>
      <c r="O1047" s="10">
        <f t="shared" si="93"/>
        <v>0</v>
      </c>
      <c r="P1047" s="10">
        <f t="shared" si="93"/>
        <v>0</v>
      </c>
    </row>
    <row r="1048" spans="2:16">
      <c r="C1048" s="4"/>
      <c r="D1048" s="4"/>
      <c r="E1048" s="4"/>
      <c r="N1048" s="10"/>
      <c r="O1048" s="10"/>
      <c r="P1048" s="10"/>
    </row>
    <row r="1049" spans="2:16">
      <c r="B1049" t="s">
        <v>203</v>
      </c>
      <c r="C1049" s="4">
        <f>C1043-C1045</f>
        <v>5664.8199999999924</v>
      </c>
      <c r="D1049" s="4">
        <f>D1043-D1045</f>
        <v>16059.170000000002</v>
      </c>
      <c r="E1049" s="4">
        <f>E1043-E1045</f>
        <v>17911.55</v>
      </c>
      <c r="H1049" s="4">
        <f>H1043-H1045</f>
        <v>3556.114999999987</v>
      </c>
      <c r="I1049" s="4">
        <f>I1043-I1045</f>
        <v>14783.428750000014</v>
      </c>
      <c r="J1049" s="4">
        <f>J1043-J1045</f>
        <v>16603.033749999991</v>
      </c>
      <c r="N1049" s="10">
        <f>H1049/C1049-1</f>
        <v>-0.37224572007583789</v>
      </c>
      <c r="O1049" s="10">
        <f>I1049/D1049-1</f>
        <v>-7.9440048894182436E-2</v>
      </c>
      <c r="P1049" s="10">
        <f>J1049/E1049-1</f>
        <v>-7.3054328073226982E-2</v>
      </c>
    </row>
    <row r="1051" spans="2:16">
      <c r="B1051" s="430" t="s">
        <v>3032</v>
      </c>
      <c r="C1051">
        <f>1/C1054</f>
        <v>5.5555555555555552E-2</v>
      </c>
      <c r="D1051">
        <f>1/D1054</f>
        <v>5.0505050505050504E-2</v>
      </c>
    </row>
    <row r="1052" spans="2:16">
      <c r="B1052" s="61"/>
      <c r="C1052" s="61"/>
      <c r="D1052" s="457">
        <f>D1051/C1051-1</f>
        <v>-9.0909090909090828E-2</v>
      </c>
      <c r="E1052" s="61"/>
    </row>
    <row r="1053" spans="2:16" ht="15.75">
      <c r="B1053" s="66"/>
      <c r="C1053" s="111" t="s">
        <v>2641</v>
      </c>
      <c r="D1053" s="111" t="s">
        <v>3044</v>
      </c>
      <c r="E1053" s="66"/>
    </row>
    <row r="1054" spans="2:16" ht="15.75">
      <c r="B1054" s="66" t="s">
        <v>3031</v>
      </c>
      <c r="C1054" s="112">
        <v>18</v>
      </c>
      <c r="D1054" s="112">
        <f>(1+D1055)*C1054</f>
        <v>19.8</v>
      </c>
      <c r="E1054" s="66"/>
    </row>
    <row r="1055" spans="2:16" ht="15.75">
      <c r="B1055" s="67" t="s">
        <v>3045</v>
      </c>
      <c r="C1055" s="68"/>
      <c r="D1055" s="553">
        <v>0.1</v>
      </c>
      <c r="E1055" s="68" t="s">
        <v>1378</v>
      </c>
    </row>
    <row r="1056" spans="2:16" ht="15.75">
      <c r="B1056" s="66" t="s">
        <v>3026</v>
      </c>
      <c r="C1056" s="125">
        <f>Master!Q13</f>
        <v>36572.5</v>
      </c>
      <c r="D1056" s="125">
        <f>C1056</f>
        <v>36572.5</v>
      </c>
      <c r="E1056" s="458" t="s">
        <v>3035</v>
      </c>
      <c r="H1056" s="122"/>
    </row>
    <row r="1057" spans="2:10" ht="15.75">
      <c r="B1057" s="66" t="s">
        <v>3027</v>
      </c>
      <c r="C1057" s="125">
        <f>Master!Q90</f>
        <v>18660.95</v>
      </c>
      <c r="D1057" s="125">
        <f>I1057+J1057</f>
        <v>19127.473750000001</v>
      </c>
      <c r="E1057" s="458" t="s">
        <v>3052</v>
      </c>
      <c r="I1057">
        <f>C1058*C1057*(1+$D$1055)</f>
        <v>5131.7612500000005</v>
      </c>
      <c r="J1057">
        <f>(1-C1058)*C1057</f>
        <v>13995.712500000001</v>
      </c>
    </row>
    <row r="1058" spans="2:10" ht="15.75">
      <c r="B1058" s="407" t="s">
        <v>3030</v>
      </c>
      <c r="C1058" s="459">
        <v>0.25</v>
      </c>
      <c r="D1058" s="71"/>
      <c r="E1058" s="458" t="s">
        <v>3036</v>
      </c>
      <c r="H1058" s="456"/>
    </row>
    <row r="1059" spans="2:10" ht="15.75">
      <c r="B1059" s="66" t="s">
        <v>3025</v>
      </c>
      <c r="C1059" s="125">
        <f>C1056-C1057</f>
        <v>17911.55</v>
      </c>
      <c r="D1059" s="125">
        <f>D1056-D1057</f>
        <v>17445.026249999999</v>
      </c>
      <c r="E1059" s="458" t="s">
        <v>3037</v>
      </c>
    </row>
    <row r="1060" spans="2:10" ht="15.75">
      <c r="B1060" s="66"/>
      <c r="C1060" s="125"/>
      <c r="D1060" s="66"/>
      <c r="E1060" s="66"/>
    </row>
    <row r="1061" spans="2:10" ht="15.75">
      <c r="B1061" s="66" t="s">
        <v>3046</v>
      </c>
      <c r="C1061" s="460">
        <v>16</v>
      </c>
      <c r="D1061" s="156">
        <f>C1061</f>
        <v>16</v>
      </c>
      <c r="E1061" s="458" t="s">
        <v>3038</v>
      </c>
    </row>
    <row r="1062" spans="2:10" ht="15.75">
      <c r="B1062" s="66" t="s">
        <v>3047</v>
      </c>
      <c r="C1062" s="125">
        <f>C1059*C1061</f>
        <v>286584.8</v>
      </c>
      <c r="D1062" s="125">
        <f>D1061*D1059</f>
        <v>279120.42</v>
      </c>
      <c r="E1062" s="66"/>
    </row>
    <row r="1063" spans="2:10" ht="15.75">
      <c r="B1063" s="66" t="s">
        <v>3048</v>
      </c>
      <c r="C1063" s="125">
        <f ca="1">(SOP!G11+SOP!G12)*C1054</f>
        <v>21249.340702827059</v>
      </c>
      <c r="D1063" s="125">
        <f ca="1">C1063*(1+$D$1055)</f>
        <v>23374.274773109766</v>
      </c>
      <c r="E1063" s="458" t="s">
        <v>3039</v>
      </c>
      <c r="H1063" s="4">
        <f ca="1">C1063/C1054</f>
        <v>1180.5189279348367</v>
      </c>
    </row>
    <row r="1064" spans="2:10" ht="15.75">
      <c r="B1064" s="66" t="s">
        <v>3028</v>
      </c>
      <c r="C1064" s="125">
        <f ca="1">C1062+C1063</f>
        <v>307834.14070282702</v>
      </c>
      <c r="D1064" s="125">
        <f ca="1">D1062+D1063</f>
        <v>302494.69477310975</v>
      </c>
      <c r="E1064" s="458" t="s">
        <v>3040</v>
      </c>
    </row>
    <row r="1065" spans="2:10" ht="15.75">
      <c r="B1065" s="66"/>
      <c r="C1065" s="125"/>
      <c r="D1065" s="125"/>
      <c r="E1065" s="66"/>
    </row>
    <row r="1066" spans="2:10" ht="15.75">
      <c r="B1066" s="66" t="s">
        <v>3049</v>
      </c>
      <c r="C1066" s="125">
        <f>Master!O176</f>
        <v>78405.899999999994</v>
      </c>
      <c r="D1066" s="125">
        <f>D1067+D1068</f>
        <v>83502.28349999999</v>
      </c>
      <c r="E1066" s="66"/>
      <c r="H1066" s="4">
        <f>C1066/19</f>
        <v>4126.6263157894737</v>
      </c>
    </row>
    <row r="1067" spans="2:10" ht="15.75">
      <c r="B1067" s="141" t="s">
        <v>3050</v>
      </c>
      <c r="C1067" s="125">
        <f>C1066*0.65</f>
        <v>50963.834999999999</v>
      </c>
      <c r="D1067" s="125">
        <f>C1067*(1+$D$1055)</f>
        <v>56060.218500000003</v>
      </c>
      <c r="E1067" s="458" t="s">
        <v>3041</v>
      </c>
      <c r="H1067" s="4">
        <f>C1067/19</f>
        <v>2682.3071052631581</v>
      </c>
    </row>
    <row r="1068" spans="2:10" ht="15.75">
      <c r="B1068" s="141" t="s">
        <v>3051</v>
      </c>
      <c r="C1068" s="125">
        <f>C1066-C1067</f>
        <v>27442.064999999995</v>
      </c>
      <c r="D1068" s="125">
        <f>C1068</f>
        <v>27442.064999999995</v>
      </c>
      <c r="E1068" s="66"/>
      <c r="H1068" s="4">
        <f>C1068/19</f>
        <v>1444.3192105263156</v>
      </c>
    </row>
    <row r="1069" spans="2:10" ht="15.75">
      <c r="B1069" s="66"/>
      <c r="C1069" s="125"/>
      <c r="D1069" s="125"/>
      <c r="E1069" s="66"/>
    </row>
    <row r="1070" spans="2:10" ht="15.75">
      <c r="B1070" s="66" t="s">
        <v>3029</v>
      </c>
      <c r="C1070" s="125">
        <f ca="1">C1064-C1066</f>
        <v>229428.24070282702</v>
      </c>
      <c r="D1070" s="125">
        <f ca="1">D1064-D1066</f>
        <v>218992.41127310976</v>
      </c>
      <c r="E1070" s="458" t="s">
        <v>3042</v>
      </c>
      <c r="H1070" s="4">
        <f ca="1">H1067-H1063</f>
        <v>1501.7881773283214</v>
      </c>
    </row>
    <row r="1071" spans="2:10" ht="15.75">
      <c r="B1071" s="66" t="s">
        <v>181</v>
      </c>
      <c r="C1071" s="66"/>
      <c r="D1071" s="69">
        <f ca="1">D1070/C1070-1</f>
        <v>-4.5486246147153908E-2</v>
      </c>
      <c r="E1071" s="66"/>
    </row>
    <row r="1072" spans="2:10" ht="15.75">
      <c r="B1072" s="66" t="s">
        <v>3034</v>
      </c>
      <c r="C1072" s="125">
        <f ca="1">C1070/C1054</f>
        <v>12746.013372379279</v>
      </c>
      <c r="D1072" s="125">
        <f ca="1">D1070/D1054</f>
        <v>11060.222791571199</v>
      </c>
      <c r="E1072" s="66"/>
    </row>
    <row r="1073" spans="2:6" ht="15.75">
      <c r="B1073" s="414" t="s">
        <v>3033</v>
      </c>
      <c r="C1073" s="461">
        <f ca="1">C1072/SOP!$G$29</f>
        <v>22.229489996073323</v>
      </c>
      <c r="D1073" s="462">
        <f ca="1">D1072/SOP!$G$29</f>
        <v>19.289412674896578</v>
      </c>
      <c r="E1073" s="458" t="s">
        <v>3043</v>
      </c>
    </row>
    <row r="1074" spans="2:6" ht="15.75">
      <c r="B1074" s="415" t="s">
        <v>181</v>
      </c>
      <c r="C1074" s="67"/>
      <c r="D1074" s="463">
        <f ca="1">D1072/C1072-1</f>
        <v>-0.13226022377013991</v>
      </c>
      <c r="E1074" s="415"/>
    </row>
    <row r="1076" spans="2:6" ht="15.75">
      <c r="B1076" s="409" t="s">
        <v>3064</v>
      </c>
    </row>
    <row r="1078" spans="2:6" ht="15.75">
      <c r="B1078" s="67" t="s">
        <v>1889</v>
      </c>
      <c r="C1078" s="68" t="s">
        <v>3074</v>
      </c>
      <c r="D1078" s="68" t="s">
        <v>3072</v>
      </c>
      <c r="E1078" s="68" t="s">
        <v>3075</v>
      </c>
      <c r="F1078" s="68" t="s">
        <v>2223</v>
      </c>
    </row>
    <row r="1079" spans="2:6" ht="15.75">
      <c r="B1079" s="141" t="s">
        <v>3070</v>
      </c>
      <c r="C1079" s="125">
        <f>C1081*0.66</f>
        <v>4920.9081900000001</v>
      </c>
      <c r="D1079" s="71">
        <f>199*0.7</f>
        <v>139.29999999999998</v>
      </c>
      <c r="E1079" s="125">
        <f>D1079*12*C1079/1000</f>
        <v>8225.7901304040006</v>
      </c>
      <c r="F1079" s="69">
        <f>E1079/E$1081</f>
        <v>0.37490156100869598</v>
      </c>
    </row>
    <row r="1080" spans="2:6" ht="15.75">
      <c r="B1080" s="464" t="s">
        <v>3071</v>
      </c>
      <c r="C1080" s="154">
        <f>C1081-C1079</f>
        <v>2535.0133100000003</v>
      </c>
      <c r="D1080" s="76">
        <f>E1080/C1080*1000/12</f>
        <v>450.86580727512364</v>
      </c>
      <c r="E1080" s="154">
        <f>E1081-E1079</f>
        <v>13715.409869596</v>
      </c>
      <c r="F1080" s="73">
        <f>E1080/E$1081</f>
        <v>0.62509843899130402</v>
      </c>
    </row>
    <row r="1081" spans="2:6" ht="15.75">
      <c r="B1081" s="66" t="s">
        <v>3073</v>
      </c>
      <c r="C1081" s="125">
        <f>AVERAGE('SKY Mex'!L58:M58)</f>
        <v>7455.9215000000004</v>
      </c>
      <c r="D1081" s="71">
        <f>E1081/C1081*1000/12</f>
        <v>245.23237447354202</v>
      </c>
      <c r="E1081" s="125">
        <f>'SKY Mex'!M61</f>
        <v>21941.200000000001</v>
      </c>
      <c r="F1081" s="66"/>
    </row>
    <row r="1083" spans="2:6">
      <c r="E1083" t="s">
        <v>3069</v>
      </c>
    </row>
    <row r="1084" spans="2:6">
      <c r="B1084" t="s">
        <v>3067</v>
      </c>
      <c r="C1084" s="419">
        <f>D1084*C1087</f>
        <v>0.31063829787234049</v>
      </c>
      <c r="D1084" s="8">
        <v>0.01</v>
      </c>
    </row>
    <row r="1085" spans="2:6">
      <c r="B1085" t="s">
        <v>3065</v>
      </c>
      <c r="C1085">
        <v>14.6</v>
      </c>
      <c r="D1085" s="8">
        <f>C1085/C$1087</f>
        <v>0.47</v>
      </c>
      <c r="E1085">
        <v>20000</v>
      </c>
    </row>
    <row r="1086" spans="2:6">
      <c r="B1086" s="61" t="s">
        <v>3068</v>
      </c>
      <c r="C1086" s="465">
        <f>C1087-C1084-C1085</f>
        <v>16.153191489361703</v>
      </c>
      <c r="D1086" s="457">
        <f>C1086/C$1087</f>
        <v>0.52</v>
      </c>
    </row>
    <row r="1087" spans="2:6">
      <c r="B1087" t="s">
        <v>3066</v>
      </c>
      <c r="C1087" s="419">
        <f>C1085/0.47</f>
        <v>31.063829787234045</v>
      </c>
      <c r="D1087" s="8">
        <f>SUM(D1084:D1086)</f>
        <v>1</v>
      </c>
    </row>
    <row r="1089" spans="1:9" ht="15.75">
      <c r="B1089" s="409" t="s">
        <v>3076</v>
      </c>
    </row>
    <row r="1091" spans="1:9" ht="105">
      <c r="A1091" s="466" t="s">
        <v>4080</v>
      </c>
      <c r="B1091" s="466"/>
      <c r="C1091" s="466" t="s">
        <v>3077</v>
      </c>
      <c r="D1091" s="466" t="s">
        <v>3078</v>
      </c>
      <c r="E1091" s="466" t="s">
        <v>3079</v>
      </c>
      <c r="F1091" s="466" t="s">
        <v>3324</v>
      </c>
      <c r="G1091" s="466" t="s">
        <v>2384</v>
      </c>
      <c r="H1091" s="466" t="s">
        <v>4079</v>
      </c>
    </row>
    <row r="1092" spans="1:9">
      <c r="B1092" s="466"/>
      <c r="C1092" s="466"/>
      <c r="D1092" s="466"/>
      <c r="E1092" s="466"/>
      <c r="F1092">
        <v>80</v>
      </c>
    </row>
    <row r="1093" spans="1:9">
      <c r="B1093" s="467">
        <v>2002</v>
      </c>
      <c r="C1093" s="468">
        <v>4.3999999999999997E-2</v>
      </c>
      <c r="D1093" s="468">
        <v>3.3000000000000002E-2</v>
      </c>
      <c r="E1093" s="469" t="s">
        <v>3080</v>
      </c>
      <c r="F1093" s="4">
        <f>(1+C1093)*F1092</f>
        <v>83.52000000000001</v>
      </c>
    </row>
    <row r="1094" spans="1:9">
      <c r="B1094" s="467">
        <v>2003</v>
      </c>
      <c r="C1094" s="468">
        <v>5.3999999999999999E-2</v>
      </c>
      <c r="D1094" s="468">
        <v>2.4E-2</v>
      </c>
      <c r="E1094" s="469" t="s">
        <v>3081</v>
      </c>
    </row>
    <row r="1095" spans="1:9">
      <c r="B1095" s="467">
        <v>2004</v>
      </c>
      <c r="C1095" s="468">
        <v>5.7000000000000002E-2</v>
      </c>
      <c r="D1095" s="468">
        <v>5.0999999999999997E-2</v>
      </c>
      <c r="E1095" s="469" t="s">
        <v>3082</v>
      </c>
    </row>
    <row r="1096" spans="1:9">
      <c r="B1096" s="467">
        <v>2005</v>
      </c>
      <c r="C1096" s="468">
        <v>5.0999999999999997E-2</v>
      </c>
      <c r="D1096" s="468">
        <v>4.2999999999999997E-2</v>
      </c>
      <c r="E1096" s="469" t="s">
        <v>3083</v>
      </c>
    </row>
    <row r="1097" spans="1:9">
      <c r="B1097" s="467">
        <v>2006</v>
      </c>
      <c r="C1097" s="468">
        <v>8.5000000000000006E-2</v>
      </c>
      <c r="D1097" s="468">
        <v>0.02</v>
      </c>
      <c r="E1097" s="469" t="s">
        <v>3084</v>
      </c>
    </row>
    <row r="1098" spans="1:9">
      <c r="B1098" s="467">
        <v>2007</v>
      </c>
      <c r="C1098" s="468">
        <v>-2.5000000000000001E-2</v>
      </c>
      <c r="D1098" s="468">
        <v>8.3000000000000004E-2</v>
      </c>
      <c r="E1098" s="469" t="s">
        <v>3085</v>
      </c>
    </row>
    <row r="1099" spans="1:9">
      <c r="B1099" s="467">
        <v>2008</v>
      </c>
      <c r="C1099" s="468">
        <v>4.7E-2</v>
      </c>
      <c r="D1099" s="468">
        <v>-3.2000000000000001E-2</v>
      </c>
      <c r="E1099" s="469" t="s">
        <v>3086</v>
      </c>
    </row>
    <row r="1100" spans="1:9">
      <c r="B1100" s="467">
        <v>2009</v>
      </c>
      <c r="C1100" s="468">
        <v>5.0000000000000001E-3</v>
      </c>
      <c r="D1100" s="468">
        <v>0.04</v>
      </c>
      <c r="E1100" s="469" t="s">
        <v>3087</v>
      </c>
      <c r="F1100" s="427">
        <f>Content!C3/1000</f>
        <v>21.396999999999998</v>
      </c>
      <c r="G1100" s="419">
        <f>F1100*0.8</f>
        <v>17.117599999999999</v>
      </c>
      <c r="H1100" s="427">
        <f t="shared" ref="H1100:H1108" si="94">F1100-G1100</f>
        <v>4.279399999999999</v>
      </c>
      <c r="I1100" s="8">
        <f t="shared" ref="I1100:I1108" si="95">G1100/F1100</f>
        <v>0.8</v>
      </c>
    </row>
    <row r="1101" spans="1:9">
      <c r="B1101" s="467">
        <v>2010</v>
      </c>
      <c r="C1101" s="468">
        <v>5.5E-2</v>
      </c>
      <c r="D1101" s="468">
        <v>5.5E-2</v>
      </c>
      <c r="E1101" s="469" t="s">
        <v>3088</v>
      </c>
      <c r="F1101" s="419">
        <f>(1+C1101)*F1100</f>
        <v>22.573834999999995</v>
      </c>
      <c r="G1101" s="419">
        <f>(1+D1101)*G1100</f>
        <v>18.059068</v>
      </c>
      <c r="H1101" s="427">
        <f t="shared" si="94"/>
        <v>4.5147669999999955</v>
      </c>
      <c r="I1101" s="8">
        <f t="shared" si="95"/>
        <v>0.80000000000000016</v>
      </c>
    </row>
    <row r="1102" spans="1:9">
      <c r="B1102" s="467">
        <v>2011</v>
      </c>
      <c r="C1102" s="468">
        <v>3.0000000000000001E-3</v>
      </c>
      <c r="D1102" s="468">
        <v>-7.0000000000000007E-2</v>
      </c>
      <c r="E1102" s="469" t="s">
        <v>3089</v>
      </c>
      <c r="F1102" s="419">
        <f>(1+C1102)*F1101</f>
        <v>22.641556504999993</v>
      </c>
      <c r="G1102" s="419">
        <f>(1+D1102)*G1101</f>
        <v>16.794933239999999</v>
      </c>
      <c r="H1102" s="427">
        <f t="shared" si="94"/>
        <v>5.8466232649999945</v>
      </c>
      <c r="I1102" s="8">
        <f t="shared" si="95"/>
        <v>0.74177467597208391</v>
      </c>
    </row>
    <row r="1103" spans="1:9">
      <c r="B1103" s="467">
        <v>2012</v>
      </c>
      <c r="C1103" s="468">
        <v>3.1E-2</v>
      </c>
      <c r="D1103" s="468">
        <v>8.8999999999999996E-2</v>
      </c>
      <c r="E1103" s="469" t="s">
        <v>3090</v>
      </c>
      <c r="F1103" s="419">
        <f>Master!L43/1000</f>
        <v>24.865500000000001</v>
      </c>
      <c r="G1103" s="419">
        <f t="shared" ref="G1103:G1108" si="96">(1+D1103)*G1102</f>
        <v>18.289682298359999</v>
      </c>
      <c r="H1103" s="427">
        <f t="shared" si="94"/>
        <v>6.5758177016400019</v>
      </c>
      <c r="I1103" s="8">
        <f t="shared" si="95"/>
        <v>0.73554452145985394</v>
      </c>
    </row>
    <row r="1104" spans="1:9">
      <c r="B1104" s="467">
        <v>2013</v>
      </c>
      <c r="C1104" s="468">
        <v>3.9E-2</v>
      </c>
      <c r="D1104" s="468">
        <v>7.0000000000000001E-3</v>
      </c>
      <c r="E1104" s="469" t="s">
        <v>3091</v>
      </c>
      <c r="F1104" s="419">
        <f>Master!M43/1000</f>
        <v>25.465699999999998</v>
      </c>
      <c r="G1104" s="419">
        <f t="shared" si="96"/>
        <v>18.417710074448518</v>
      </c>
      <c r="H1104" s="427">
        <f t="shared" si="94"/>
        <v>7.0479899255514802</v>
      </c>
      <c r="I1104" s="8">
        <f t="shared" si="95"/>
        <v>0.72323596345077967</v>
      </c>
    </row>
    <row r="1105" spans="1:10">
      <c r="B1105" s="467">
        <v>2014</v>
      </c>
      <c r="C1105" s="468">
        <v>2.4E-2</v>
      </c>
      <c r="D1105" s="468">
        <v>0.04</v>
      </c>
      <c r="E1105" s="469" t="s">
        <v>3092</v>
      </c>
      <c r="F1105" s="419">
        <f>Master!M43/1000</f>
        <v>25.465699999999998</v>
      </c>
      <c r="G1105" s="419">
        <f t="shared" si="96"/>
        <v>19.154418477426461</v>
      </c>
      <c r="H1105" s="427">
        <f t="shared" si="94"/>
        <v>6.3112815225735375</v>
      </c>
      <c r="I1105" s="8">
        <f t="shared" si="95"/>
        <v>0.75216540198881088</v>
      </c>
      <c r="J1105" s="419"/>
    </row>
    <row r="1106" spans="1:10">
      <c r="A1106" s="419">
        <f>Interims!Y171/1000</f>
        <v>20.150700000000001</v>
      </c>
      <c r="B1106" s="467">
        <v>2015</v>
      </c>
      <c r="C1106" s="468">
        <v>-9.6000000000000002E-2</v>
      </c>
      <c r="D1106" s="468">
        <v>-0.115</v>
      </c>
      <c r="E1106" s="469" t="s">
        <v>3093</v>
      </c>
      <c r="F1106" s="419">
        <f>Master!N43/1000</f>
        <v>23.029299999999999</v>
      </c>
      <c r="G1106" s="419">
        <f t="shared" si="96"/>
        <v>16.951660352522417</v>
      </c>
      <c r="H1106" s="427">
        <f t="shared" si="94"/>
        <v>6.0776396474775822</v>
      </c>
      <c r="I1106" s="8">
        <f t="shared" si="95"/>
        <v>0.73609099505944242</v>
      </c>
      <c r="J1106" s="419"/>
    </row>
    <row r="1107" spans="1:10">
      <c r="A1107" s="419">
        <f>Interims!AD171/1000</f>
        <v>20.470400000000001</v>
      </c>
      <c r="B1107" s="467">
        <v>2016</v>
      </c>
      <c r="C1107" s="468">
        <f>Content!J4</f>
        <v>8.4197088057389458E-3</v>
      </c>
      <c r="D1107" s="468">
        <v>0</v>
      </c>
      <c r="E1107" s="469" t="s">
        <v>3094</v>
      </c>
      <c r="F1107" s="419">
        <f>Master!O43/1000</f>
        <v>23.223200000000002</v>
      </c>
      <c r="G1107" s="419">
        <f t="shared" si="96"/>
        <v>16.951660352522417</v>
      </c>
      <c r="H1107" s="427">
        <f t="shared" si="94"/>
        <v>6.2715396474775851</v>
      </c>
      <c r="I1107" s="8">
        <f t="shared" si="95"/>
        <v>0.72994507012480692</v>
      </c>
      <c r="J1107" s="419"/>
    </row>
    <row r="1108" spans="1:10">
      <c r="A1108" s="419">
        <f>Interims!AI171/1000</f>
        <v>21.709400000000002</v>
      </c>
      <c r="B1108" s="467">
        <v>2017</v>
      </c>
      <c r="C1108" s="468">
        <f>Content!K4</f>
        <v>-0.10783182334906471</v>
      </c>
      <c r="D1108" s="468">
        <v>9.8000000000000004E-2</v>
      </c>
      <c r="E1108" s="469"/>
      <c r="F1108" s="419">
        <f>Content!K3/1000</f>
        <v>20.719000000000001</v>
      </c>
      <c r="G1108" s="419">
        <f t="shared" si="96"/>
        <v>18.612923067069616</v>
      </c>
      <c r="H1108" s="427">
        <f t="shared" si="94"/>
        <v>2.1060769329303852</v>
      </c>
      <c r="I1108" s="8">
        <f t="shared" si="95"/>
        <v>0.89835045451371276</v>
      </c>
      <c r="J1108" s="419"/>
    </row>
    <row r="1109" spans="1:10">
      <c r="A1109" s="419">
        <f>Interims!AN171/1000</f>
        <v>18.798299999999998</v>
      </c>
    </row>
    <row r="1110" spans="1:10">
      <c r="I1110" s="8"/>
    </row>
    <row r="1111" spans="1:10">
      <c r="B1111" s="61"/>
      <c r="C1111" s="61">
        <v>2016</v>
      </c>
      <c r="D1111" s="61" t="s">
        <v>3097</v>
      </c>
    </row>
    <row r="1112" spans="1:10">
      <c r="B1112" t="s">
        <v>16</v>
      </c>
      <c r="C1112" s="4">
        <f>Master!O97</f>
        <v>984.2</v>
      </c>
      <c r="D1112">
        <v>550</v>
      </c>
    </row>
    <row r="1113" spans="1:10">
      <c r="B1113" t="s">
        <v>87</v>
      </c>
      <c r="C1113" s="4">
        <f>Master!O96</f>
        <v>346.6</v>
      </c>
      <c r="D1113">
        <v>300</v>
      </c>
    </row>
    <row r="1114" spans="1:10">
      <c r="B1114" s="61" t="s">
        <v>145</v>
      </c>
      <c r="C1114" s="420">
        <f>Master!O95</f>
        <v>150</v>
      </c>
      <c r="D1114" s="61">
        <v>150</v>
      </c>
    </row>
    <row r="1115" spans="1:10">
      <c r="B1115" t="s">
        <v>98</v>
      </c>
      <c r="C1115" s="4">
        <f>SUM(C1112:C1114)</f>
        <v>1480.8000000000002</v>
      </c>
      <c r="D1115" s="4">
        <f>SUM(D1112:D1114)</f>
        <v>1000</v>
      </c>
    </row>
    <row r="1119" spans="1:10" ht="15.75">
      <c r="B1119" s="517" t="s">
        <v>3260</v>
      </c>
      <c r="C1119" s="74"/>
      <c r="D1119" s="74"/>
      <c r="E1119" s="74"/>
      <c r="F1119" s="74"/>
      <c r="H1119" s="74"/>
      <c r="I1119" s="74"/>
    </row>
    <row r="1120" spans="1:10" ht="15.75">
      <c r="C1120" s="74"/>
      <c r="D1120" s="74"/>
      <c r="E1120" s="74"/>
      <c r="F1120" s="74"/>
      <c r="G1120" s="74" t="s">
        <v>264</v>
      </c>
      <c r="H1120" s="74"/>
      <c r="I1120" s="74"/>
    </row>
    <row r="1121" spans="2:9" ht="15.75">
      <c r="B1121" s="217" t="s">
        <v>3101</v>
      </c>
      <c r="C1121" s="217">
        <v>2017</v>
      </c>
      <c r="D1121" s="217">
        <f>C1121+1</f>
        <v>2018</v>
      </c>
      <c r="E1121" s="217">
        <f>D1121+1</f>
        <v>2019</v>
      </c>
      <c r="F1121" s="74"/>
      <c r="G1121" s="217">
        <f>C1121</f>
        <v>2017</v>
      </c>
      <c r="H1121" s="217">
        <f>D1121</f>
        <v>2018</v>
      </c>
      <c r="I1121" s="217">
        <f>E1121</f>
        <v>2019</v>
      </c>
    </row>
    <row r="1122" spans="2:9" ht="15.75">
      <c r="B1122" s="66" t="s">
        <v>146</v>
      </c>
      <c r="C1122" s="125">
        <f>Master!P43</f>
        <v>20719</v>
      </c>
      <c r="D1122" s="125">
        <f>Master!Q43</f>
        <v>21155</v>
      </c>
      <c r="E1122" s="125">
        <f>Master!R43</f>
        <v>19420.400000000001</v>
      </c>
      <c r="F1122" s="66"/>
      <c r="G1122" s="69">
        <f t="shared" ref="G1122:I1124" si="97">C1122/C1149-1</f>
        <v>-0.13381730422239302</v>
      </c>
      <c r="H1122" s="69">
        <f t="shared" si="97"/>
        <v>-0.11558980022321175</v>
      </c>
      <c r="I1122" s="69">
        <f t="shared" si="97"/>
        <v>-0.18810683792270666</v>
      </c>
    </row>
    <row r="1123" spans="2:9" ht="15.75">
      <c r="B1123" s="67" t="s">
        <v>2900</v>
      </c>
      <c r="C1123" s="154">
        <f>C1124-C1122</f>
        <v>13278</v>
      </c>
      <c r="D1123" s="154">
        <f>D1124-D1122</f>
        <v>18096</v>
      </c>
      <c r="E1123" s="154">
        <f>E1124-E1122</f>
        <v>15375</v>
      </c>
      <c r="F1123" s="66"/>
      <c r="G1123" s="73">
        <f t="shared" si="97"/>
        <v>2.2482595983986942E-2</v>
      </c>
      <c r="H1123" s="73">
        <f t="shared" si="97"/>
        <v>0.18915636711926198</v>
      </c>
      <c r="I1123" s="73">
        <f t="shared" si="97"/>
        <v>-4.226958336600839E-2</v>
      </c>
    </row>
    <row r="1124" spans="2:9" ht="15.75">
      <c r="B1124" s="66" t="s">
        <v>3098</v>
      </c>
      <c r="C1124" s="125">
        <f>Master!P47</f>
        <v>33997</v>
      </c>
      <c r="D1124" s="125">
        <f>Master!Q47</f>
        <v>39251</v>
      </c>
      <c r="E1124" s="125">
        <f>Master!R47</f>
        <v>34795.4</v>
      </c>
      <c r="F1124" s="66"/>
      <c r="G1124" s="69">
        <f t="shared" si="97"/>
        <v>-7.8820276998917138E-2</v>
      </c>
      <c r="H1124" s="69">
        <f t="shared" si="97"/>
        <v>2.9024171710867464E-3</v>
      </c>
      <c r="I1124" s="69">
        <f t="shared" si="97"/>
        <v>-0.12953775417944091</v>
      </c>
    </row>
    <row r="1125" spans="2:9" ht="15.75">
      <c r="B1125" s="66"/>
      <c r="C1125" s="125"/>
      <c r="D1125" s="125"/>
      <c r="E1125" s="125"/>
      <c r="F1125" s="66"/>
      <c r="G1125" s="69"/>
      <c r="H1125" s="69"/>
      <c r="I1125" s="69"/>
    </row>
    <row r="1126" spans="2:9" ht="15.75">
      <c r="B1126" s="66" t="s">
        <v>731</v>
      </c>
      <c r="C1126" s="125">
        <f>Master!P52</f>
        <v>33048</v>
      </c>
      <c r="D1126" s="125">
        <f>Master!Q52</f>
        <v>36233</v>
      </c>
      <c r="E1126" s="125">
        <f>Master!R52</f>
        <v>41702</v>
      </c>
      <c r="F1126" s="66"/>
      <c r="G1126" s="69">
        <f t="shared" ref="G1126:I1129" si="98">C1126/C1153-1</f>
        <v>-4.4921353111314288E-2</v>
      </c>
      <c r="H1126" s="69">
        <f t="shared" si="98"/>
        <v>-6.5067569122463031E-2</v>
      </c>
      <c r="I1126" s="69">
        <f t="shared" si="98"/>
        <v>-2.1771909774488729E-2</v>
      </c>
    </row>
    <row r="1127" spans="2:9" ht="15.75">
      <c r="B1127" s="66" t="s">
        <v>87</v>
      </c>
      <c r="C1127" s="125">
        <f>Master!P51</f>
        <v>22197</v>
      </c>
      <c r="D1127" s="125">
        <f>Master!Q51</f>
        <v>22002</v>
      </c>
      <c r="E1127" s="125">
        <f>Master!R51</f>
        <v>21347</v>
      </c>
      <c r="F1127" s="66"/>
      <c r="G1127" s="69">
        <f t="shared" si="98"/>
        <v>-3.9144738872005203E-2</v>
      </c>
      <c r="H1127" s="69">
        <f t="shared" si="98"/>
        <v>-0.12829411654199252</v>
      </c>
      <c r="I1127" s="69">
        <f t="shared" si="98"/>
        <v>-0.21697303643853383</v>
      </c>
    </row>
    <row r="1128" spans="2:9" ht="15.75">
      <c r="B1128" s="67" t="s">
        <v>44</v>
      </c>
      <c r="C1128" s="154">
        <f>C1129-C1127-C1126-C1124</f>
        <v>5033</v>
      </c>
      <c r="D1128" s="154">
        <f>D1129-D1127-D1126-D1124</f>
        <v>3824</v>
      </c>
      <c r="E1128" s="154">
        <f>E1129-E1127-E1126-E1124</f>
        <v>2806.2000000000044</v>
      </c>
      <c r="F1128" s="66"/>
      <c r="G1128" s="73">
        <f t="shared" si="98"/>
        <v>-5.3220020718925842E-2</v>
      </c>
      <c r="H1128" s="73">
        <f t="shared" si="98"/>
        <v>-0.25101236607547106</v>
      </c>
      <c r="I1128" s="73">
        <f t="shared" si="98"/>
        <v>-0.4340387247723333</v>
      </c>
    </row>
    <row r="1129" spans="2:9" ht="15.75">
      <c r="B1129" s="74" t="s">
        <v>3005</v>
      </c>
      <c r="C1129" s="470">
        <f>Master!P56</f>
        <v>94275</v>
      </c>
      <c r="D1129" s="470">
        <f>Master!Q56</f>
        <v>101310</v>
      </c>
      <c r="E1129" s="470">
        <f>Master!R56</f>
        <v>100650.6</v>
      </c>
      <c r="F1129" s="74"/>
      <c r="G1129" s="152">
        <f t="shared" si="98"/>
        <v>-5.6547403615383685E-2</v>
      </c>
      <c r="H1129" s="152">
        <f t="shared" si="98"/>
        <v>-6.4005384280483968E-2</v>
      </c>
      <c r="I1129" s="152">
        <f t="shared" si="98"/>
        <v>-0.12343628882240643</v>
      </c>
    </row>
    <row r="1130" spans="2:9" ht="15.75">
      <c r="B1130" s="66"/>
      <c r="C1130" s="125"/>
      <c r="D1130" s="125"/>
      <c r="E1130" s="125"/>
      <c r="F1130" s="66"/>
      <c r="G1130" s="69"/>
      <c r="H1130" s="69"/>
      <c r="I1130" s="69"/>
    </row>
    <row r="1131" spans="2:9" ht="15.75">
      <c r="B1131" s="66" t="s">
        <v>145</v>
      </c>
      <c r="C1131" s="125">
        <f>Master!P65</f>
        <v>12825</v>
      </c>
      <c r="D1131" s="125">
        <f>Master!Q65</f>
        <v>14855</v>
      </c>
      <c r="E1131" s="125">
        <f>Master!R65</f>
        <v>12632</v>
      </c>
      <c r="F1131" s="66"/>
      <c r="G1131" s="69">
        <f t="shared" ref="G1131:I1135" si="99">C1131/C1159-1</f>
        <v>-0.14196278411719787</v>
      </c>
      <c r="H1131" s="69">
        <f t="shared" si="99"/>
        <v>-0.11730197914812457</v>
      </c>
      <c r="I1131" s="69">
        <f t="shared" si="99"/>
        <v>-0.26509404349189558</v>
      </c>
    </row>
    <row r="1132" spans="2:9" ht="15.75">
      <c r="B1132" s="66" t="s">
        <v>16</v>
      </c>
      <c r="C1132" s="125">
        <f>Master!P68</f>
        <v>14035</v>
      </c>
      <c r="D1132" s="125">
        <f>Master!Q68</f>
        <v>15303</v>
      </c>
      <c r="E1132" s="125">
        <f>Master!R68</f>
        <v>17798</v>
      </c>
      <c r="F1132" s="66"/>
      <c r="G1132" s="69">
        <f t="shared" si="99"/>
        <v>-4.5628546778112122E-2</v>
      </c>
      <c r="H1132" s="69">
        <f t="shared" si="99"/>
        <v>-9.225628191745272E-2</v>
      </c>
      <c r="I1132" s="69">
        <f t="shared" si="99"/>
        <v>-5.1140802608461766E-2</v>
      </c>
    </row>
    <row r="1133" spans="2:9" ht="15.75">
      <c r="B1133" s="66" t="str">
        <f>B1127</f>
        <v>SKY</v>
      </c>
      <c r="C1133" s="125">
        <f>Master!P67</f>
        <v>10107</v>
      </c>
      <c r="D1133" s="125">
        <f>Master!Q67</f>
        <v>9767</v>
      </c>
      <c r="E1133" s="125">
        <f>Master!R67</f>
        <v>9121</v>
      </c>
      <c r="F1133" s="66"/>
      <c r="G1133" s="69">
        <f t="shared" si="99"/>
        <v>-2.6390011585093132E-2</v>
      </c>
      <c r="H1133" s="69">
        <f t="shared" si="99"/>
        <v>-0.12929893305341467</v>
      </c>
      <c r="I1133" s="69">
        <f t="shared" si="99"/>
        <v>-0.2364902773033003</v>
      </c>
    </row>
    <row r="1134" spans="2:9" ht="15.75">
      <c r="B1134" s="67" t="str">
        <f>B1128</f>
        <v>Other</v>
      </c>
      <c r="C1134" s="154">
        <f>C1135-C1133-C1132-C1131</f>
        <v>-4187</v>
      </c>
      <c r="D1134" s="154">
        <f>D1135-D1133-D1132-D1131</f>
        <v>-3352.5</v>
      </c>
      <c r="E1134" s="154">
        <f>E1135-E1133-E1132-E1131</f>
        <v>-1332.9000000000015</v>
      </c>
      <c r="F1134" s="66"/>
      <c r="G1134" s="73">
        <f t="shared" si="99"/>
        <v>1.4800998200195115</v>
      </c>
      <c r="H1134" s="73">
        <f t="shared" si="99"/>
        <v>1.1834963041947892</v>
      </c>
      <c r="I1134" s="73">
        <f t="shared" si="99"/>
        <v>-0.15793456059790068</v>
      </c>
    </row>
    <row r="1135" spans="2:9" ht="15.75">
      <c r="B1135" s="74" t="s">
        <v>3001</v>
      </c>
      <c r="C1135" s="470">
        <f>Master!P73</f>
        <v>32780</v>
      </c>
      <c r="D1135" s="470">
        <f>Master!Q73</f>
        <v>36572.5</v>
      </c>
      <c r="E1135" s="470">
        <f>Master!R73</f>
        <v>38218.1</v>
      </c>
      <c r="F1135" s="74"/>
      <c r="G1135" s="152">
        <f t="shared" si="99"/>
        <v>-0.14514385857993861</v>
      </c>
      <c r="H1135" s="152">
        <f t="shared" si="99"/>
        <v>-0.15672077530172113</v>
      </c>
      <c r="I1135" s="152">
        <f t="shared" si="99"/>
        <v>-0.17471744857314819</v>
      </c>
    </row>
    <row r="1136" spans="2:9" ht="15.75">
      <c r="B1136" s="66"/>
      <c r="C1136" s="125"/>
      <c r="D1136" s="125"/>
      <c r="E1136" s="125"/>
      <c r="F1136" s="66"/>
      <c r="G1136" s="69"/>
      <c r="H1136" s="69"/>
      <c r="I1136" s="69"/>
    </row>
    <row r="1137" spans="2:9" ht="15.75">
      <c r="B1137" s="66" t="s">
        <v>359</v>
      </c>
      <c r="C1137" s="125">
        <f>Master!P87</f>
        <v>2147.0399999999995</v>
      </c>
      <c r="D1137" s="125">
        <f>Master!Q87</f>
        <v>1824.8999999999999</v>
      </c>
      <c r="E1137" s="125">
        <f>Master!R87</f>
        <v>2075.15</v>
      </c>
      <c r="F1137" s="66"/>
      <c r="G1137" s="69">
        <f t="shared" ref="G1137:I1140" si="100">C1137/C1166-1</f>
        <v>-0.27355147515254685</v>
      </c>
      <c r="H1137" s="69">
        <f t="shared" si="100"/>
        <v>-0.41075377981919658</v>
      </c>
      <c r="I1137" s="69">
        <f t="shared" si="100"/>
        <v>-0.34022176124220083</v>
      </c>
    </row>
    <row r="1138" spans="2:9" ht="15.75">
      <c r="B1138" s="66" t="str">
        <f>B1132</f>
        <v>Cable</v>
      </c>
      <c r="C1138" s="125">
        <f>Master!P89</f>
        <v>10578.33</v>
      </c>
      <c r="D1138" s="125">
        <f>Master!Q89</f>
        <v>12801.25</v>
      </c>
      <c r="E1138" s="125">
        <f>Master!R89</f>
        <v>12966.800000000001</v>
      </c>
      <c r="F1138" s="66"/>
      <c r="G1138" s="69">
        <f t="shared" si="100"/>
        <v>9.1824997270419262E-2</v>
      </c>
      <c r="H1138" s="69">
        <f t="shared" si="100"/>
        <v>0.32126004258781449</v>
      </c>
      <c r="I1138" s="69">
        <f t="shared" si="100"/>
        <v>0.26737406682494846</v>
      </c>
    </row>
    <row r="1139" spans="2:9" ht="15.75">
      <c r="B1139" s="67" t="str">
        <f>B1133</f>
        <v>SKY</v>
      </c>
      <c r="C1139" s="154">
        <f>Master!P88</f>
        <v>3995.4599999999996</v>
      </c>
      <c r="D1139" s="154">
        <f>Master!Q88</f>
        <v>4034.7999999999997</v>
      </c>
      <c r="E1139" s="154">
        <f>Master!R88</f>
        <v>4025.1749999999997</v>
      </c>
      <c r="F1139" s="66"/>
      <c r="G1139" s="73">
        <f t="shared" si="100"/>
        <v>-0.31070838636673126</v>
      </c>
      <c r="H1139" s="73">
        <f t="shared" si="100"/>
        <v>-0.34713965869987007</v>
      </c>
      <c r="I1139" s="73">
        <f t="shared" si="100"/>
        <v>-0.22150167077668015</v>
      </c>
    </row>
    <row r="1140" spans="2:9" ht="15.75">
      <c r="B1140" s="74" t="s">
        <v>358</v>
      </c>
      <c r="C1140" s="470">
        <f>SUM(C1137:C1139)</f>
        <v>16720.829999999998</v>
      </c>
      <c r="D1140" s="470">
        <f>SUM(D1137:D1139)</f>
        <v>18660.95</v>
      </c>
      <c r="E1140" s="470">
        <f>SUM(E1137:E1139)</f>
        <v>19067.125</v>
      </c>
      <c r="F1140" s="74"/>
      <c r="G1140" s="152">
        <f t="shared" si="100"/>
        <v>-9.3263431853716106E-2</v>
      </c>
      <c r="H1140" s="152">
        <f t="shared" si="100"/>
        <v>-1.6076999189682084E-2</v>
      </c>
      <c r="I1140" s="152">
        <f t="shared" si="100"/>
        <v>2.8049608131831993E-2</v>
      </c>
    </row>
    <row r="1141" spans="2:9" ht="15.75">
      <c r="B1141" s="66"/>
      <c r="C1141" s="125"/>
      <c r="D1141" s="125"/>
      <c r="E1141" s="125"/>
      <c r="F1141" s="66"/>
      <c r="G1141" s="69"/>
      <c r="H1141" s="69"/>
      <c r="I1141" s="69"/>
    </row>
    <row r="1142" spans="2:9" ht="15.75">
      <c r="B1142" s="66" t="str">
        <f>B1137</f>
        <v>Content/other</v>
      </c>
      <c r="C1142" s="125">
        <f>C1131+C1134-C1137</f>
        <v>6490.9600000000009</v>
      </c>
      <c r="D1142" s="125">
        <f>D1131+D1134-D1137</f>
        <v>9677.6</v>
      </c>
      <c r="E1142" s="125">
        <f>E1131+E1134-E1137</f>
        <v>9223.9499999999989</v>
      </c>
      <c r="F1142" s="66"/>
      <c r="G1142" s="69">
        <f t="shared" ref="G1142:I1145" si="101">C1142/C1172-1</f>
        <v>-0.37000153322731555</v>
      </c>
      <c r="H1142" s="69">
        <f t="shared" si="101"/>
        <v>-0.2065392028314057</v>
      </c>
      <c r="I1142" s="69">
        <f t="shared" si="101"/>
        <v>-0.2597434135073694</v>
      </c>
    </row>
    <row r="1143" spans="2:9" ht="15.75">
      <c r="B1143" s="66" t="str">
        <f>B1138</f>
        <v>Cable</v>
      </c>
      <c r="C1143" s="125">
        <f t="shared" ref="C1143:E1144" si="102">C1132-C1138</f>
        <v>3456.67</v>
      </c>
      <c r="D1143" s="125">
        <f t="shared" si="102"/>
        <v>2501.75</v>
      </c>
      <c r="E1143" s="125">
        <f t="shared" si="102"/>
        <v>4831.1999999999989</v>
      </c>
      <c r="F1143" s="66"/>
      <c r="G1143" s="69">
        <f t="shared" si="101"/>
        <v>-0.31105608011320751</v>
      </c>
      <c r="H1143" s="69">
        <f t="shared" si="101"/>
        <v>-0.65106212584348921</v>
      </c>
      <c r="I1143" s="69">
        <f t="shared" si="101"/>
        <v>-0.43335864592855411</v>
      </c>
    </row>
    <row r="1144" spans="2:9" ht="15.75">
      <c r="B1144" s="67" t="str">
        <f>B1139</f>
        <v>SKY</v>
      </c>
      <c r="C1144" s="154">
        <f t="shared" si="102"/>
        <v>6111.5400000000009</v>
      </c>
      <c r="D1144" s="154">
        <f t="shared" si="102"/>
        <v>5732.2000000000007</v>
      </c>
      <c r="E1144" s="154">
        <f t="shared" si="102"/>
        <v>5095.8250000000007</v>
      </c>
      <c r="F1144" s="66"/>
      <c r="G1144" s="73">
        <f t="shared" si="101"/>
        <v>0.33309315701393283</v>
      </c>
      <c r="H1144" s="73">
        <f t="shared" si="101"/>
        <v>0.13797144594355992</v>
      </c>
      <c r="I1144" s="73">
        <f t="shared" si="101"/>
        <v>-0.24792783637413063</v>
      </c>
    </row>
    <row r="1145" spans="2:9" ht="15.75">
      <c r="B1145" s="74" t="s">
        <v>362</v>
      </c>
      <c r="C1145" s="470">
        <f>C1135-C1140</f>
        <v>16059.170000000002</v>
      </c>
      <c r="D1145" s="470">
        <f>D1135-D1140</f>
        <v>17911.55</v>
      </c>
      <c r="E1145" s="470">
        <f>E1135-E1140</f>
        <v>19150.974999999999</v>
      </c>
      <c r="F1145" s="74"/>
      <c r="G1145" s="152">
        <f t="shared" si="101"/>
        <v>-0.19320774294622645</v>
      </c>
      <c r="H1145" s="152">
        <f t="shared" si="101"/>
        <v>-0.26602594286479198</v>
      </c>
      <c r="I1145" s="152">
        <f t="shared" si="101"/>
        <v>-0.31017848267494963</v>
      </c>
    </row>
    <row r="1147" spans="2:9" ht="15.75">
      <c r="B1147" s="74" t="s">
        <v>1248</v>
      </c>
      <c r="C1147" s="74"/>
      <c r="D1147" s="74"/>
      <c r="E1147" s="74"/>
    </row>
    <row r="1148" spans="2:9" ht="15.75">
      <c r="B1148" s="217" t="s">
        <v>3101</v>
      </c>
      <c r="C1148" s="217">
        <v>2017</v>
      </c>
      <c r="D1148" s="217">
        <f>C1148+1</f>
        <v>2018</v>
      </c>
      <c r="E1148" s="217">
        <f>D1148+1</f>
        <v>2019</v>
      </c>
    </row>
    <row r="1149" spans="2:9" ht="15.75">
      <c r="B1149" s="66" t="s">
        <v>146</v>
      </c>
      <c r="C1149" s="125">
        <v>23919.896000000001</v>
      </c>
      <c r="D1149" s="125">
        <v>23919.896000000001</v>
      </c>
      <c r="E1149" s="125">
        <v>23919.896000000001</v>
      </c>
    </row>
    <row r="1150" spans="2:9" ht="15.75">
      <c r="B1150" s="66" t="s">
        <v>2900</v>
      </c>
      <c r="C1150" s="125">
        <v>12986.040106845932</v>
      </c>
      <c r="D1150" s="125">
        <v>15217.51091812901</v>
      </c>
      <c r="E1150" s="125">
        <v>16053.578055959086</v>
      </c>
    </row>
    <row r="1151" spans="2:9" ht="15.75">
      <c r="B1151" s="66" t="s">
        <v>3098</v>
      </c>
      <c r="C1151" s="125">
        <v>36905.936106845933</v>
      </c>
      <c r="D1151" s="125">
        <v>39137.406918129011</v>
      </c>
      <c r="E1151" s="125">
        <v>39973.474055959086</v>
      </c>
    </row>
    <row r="1152" spans="2:9" ht="15.75">
      <c r="B1152" s="66"/>
      <c r="C1152" s="125"/>
      <c r="D1152" s="125"/>
      <c r="E1152" s="125"/>
    </row>
    <row r="1153" spans="2:5" ht="15.75">
      <c r="B1153" s="66" t="s">
        <v>731</v>
      </c>
      <c r="C1153" s="125">
        <v>34602.385999999999</v>
      </c>
      <c r="D1153" s="125">
        <v>38754.672320000005</v>
      </c>
      <c r="E1153" s="125">
        <v>42630.139552000008</v>
      </c>
    </row>
    <row r="1154" spans="2:5" ht="15.75">
      <c r="B1154" s="66" t="s">
        <v>87</v>
      </c>
      <c r="C1154" s="125">
        <v>23101.294126174489</v>
      </c>
      <c r="D1154" s="125">
        <v>25240.164621488297</v>
      </c>
      <c r="E1154" s="125">
        <v>27262.15187138227</v>
      </c>
    </row>
    <row r="1155" spans="2:5" ht="15.75">
      <c r="B1155" s="67" t="s">
        <v>44</v>
      </c>
      <c r="C1155" s="154">
        <v>5315.9130000000077</v>
      </c>
      <c r="D1155" s="154">
        <v>5105.5582586365126</v>
      </c>
      <c r="E1155" s="154">
        <v>4958.2897679194866</v>
      </c>
    </row>
    <row r="1156" spans="2:5" ht="15.75">
      <c r="B1156" s="66" t="s">
        <v>1084</v>
      </c>
      <c r="C1156" s="125">
        <v>99925.529233020425</v>
      </c>
      <c r="D1156" s="125">
        <v>108237.80211825382</v>
      </c>
      <c r="E1156" s="125">
        <v>114824.05524726085</v>
      </c>
    </row>
    <row r="1157" spans="2:5" ht="15.75">
      <c r="B1157" s="66"/>
      <c r="C1157" s="125"/>
      <c r="D1157" s="125"/>
      <c r="E1157" s="125"/>
    </row>
    <row r="1158" spans="2:5" ht="15.75">
      <c r="B1158" s="66" t="s">
        <v>913</v>
      </c>
      <c r="C1158" s="125"/>
      <c r="D1158" s="125"/>
      <c r="E1158" s="125"/>
    </row>
    <row r="1159" spans="2:5" ht="15.75">
      <c r="B1159" s="66" t="s">
        <v>145</v>
      </c>
      <c r="C1159" s="125">
        <v>14946.904123272603</v>
      </c>
      <c r="D1159" s="125">
        <v>16829.084974795474</v>
      </c>
      <c r="E1159" s="125">
        <v>17188.593844062409</v>
      </c>
    </row>
    <row r="1160" spans="2:5" ht="15.75">
      <c r="B1160" s="66" t="s">
        <v>16</v>
      </c>
      <c r="C1160" s="125">
        <v>14706.01405</v>
      </c>
      <c r="D1160" s="125">
        <v>16858.282459200003</v>
      </c>
      <c r="E1160" s="125">
        <v>18757.261402880005</v>
      </c>
    </row>
    <row r="1161" spans="2:5" ht="15.75">
      <c r="B1161" s="66" t="str">
        <f>B1154</f>
        <v>SKY</v>
      </c>
      <c r="C1161" s="125">
        <v>10380.953482672028</v>
      </c>
      <c r="D1161" s="125">
        <v>11217.397532601362</v>
      </c>
      <c r="E1161" s="125">
        <v>11946.147807764421</v>
      </c>
    </row>
    <row r="1162" spans="2:5" ht="15.75">
      <c r="B1162" s="67" t="str">
        <f>B1155</f>
        <v>Other</v>
      </c>
      <c r="C1162" s="154">
        <v>-1688.2384999999958</v>
      </c>
      <c r="D1162" s="154">
        <v>-1535.381577499993</v>
      </c>
      <c r="E1162" s="154">
        <v>-1582.8936061625027</v>
      </c>
    </row>
    <row r="1163" spans="2:5" ht="15.75">
      <c r="B1163" s="66" t="str">
        <f>B1156</f>
        <v>Group</v>
      </c>
      <c r="C1163" s="125">
        <v>38345.633155944633</v>
      </c>
      <c r="D1163" s="125">
        <v>43369.383389096845</v>
      </c>
      <c r="E1163" s="125">
        <v>46309.109448544332</v>
      </c>
    </row>
    <row r="1164" spans="2:5" ht="15.75">
      <c r="B1164" s="66"/>
      <c r="C1164" s="125"/>
      <c r="D1164" s="125"/>
      <c r="E1164" s="125"/>
    </row>
    <row r="1165" spans="2:5" ht="15.75">
      <c r="B1165" s="66" t="s">
        <v>3099</v>
      </c>
      <c r="C1165" s="125"/>
      <c r="D1165" s="125"/>
      <c r="E1165" s="125"/>
    </row>
    <row r="1166" spans="2:5" ht="15.75">
      <c r="B1166" s="66" t="s">
        <v>359</v>
      </c>
      <c r="C1166" s="125">
        <v>2955.5294374792161</v>
      </c>
      <c r="D1166" s="125">
        <v>3097.007562373587</v>
      </c>
      <c r="E1166" s="125">
        <v>3145.2234676715002</v>
      </c>
    </row>
    <row r="1167" spans="2:5" ht="15.75">
      <c r="B1167" s="66" t="str">
        <f>B1160</f>
        <v>Cable</v>
      </c>
      <c r="C1167" s="125">
        <v>9688.6680800000013</v>
      </c>
      <c r="D1167" s="125">
        <v>9688.6680800000013</v>
      </c>
      <c r="E1167" s="125">
        <v>10231.233492480002</v>
      </c>
    </row>
    <row r="1168" spans="2:5" ht="15.75">
      <c r="B1168" s="67" t="str">
        <f>B1161</f>
        <v>SKY</v>
      </c>
      <c r="C1168" s="154">
        <v>5796.4726698760433</v>
      </c>
      <c r="D1168" s="154">
        <v>6180.188540729785</v>
      </c>
      <c r="E1168" s="154">
        <v>5170.4349886219716</v>
      </c>
    </row>
    <row r="1169" spans="2:5" ht="15.75">
      <c r="B1169" s="66" t="str">
        <f>B1163</f>
        <v>Group</v>
      </c>
      <c r="C1169" s="125">
        <v>18440.670187355259</v>
      </c>
      <c r="D1169" s="125">
        <v>18965.864183103375</v>
      </c>
      <c r="E1169" s="125">
        <v>18546.891948773475</v>
      </c>
    </row>
    <row r="1170" spans="2:5" ht="15.75">
      <c r="B1170" s="66"/>
      <c r="C1170" s="125"/>
      <c r="D1170" s="125"/>
      <c r="E1170" s="125"/>
    </row>
    <row r="1171" spans="2:5" ht="15.75">
      <c r="B1171" s="66" t="s">
        <v>3100</v>
      </c>
      <c r="C1171" s="125"/>
      <c r="D1171" s="125"/>
      <c r="E1171" s="125"/>
    </row>
    <row r="1172" spans="2:5" ht="15.75">
      <c r="B1172" s="66" t="str">
        <f>B1166</f>
        <v>Content/other</v>
      </c>
      <c r="C1172" s="125">
        <v>10303.136185793392</v>
      </c>
      <c r="D1172" s="125">
        <v>12196.695834921895</v>
      </c>
      <c r="E1172" s="125">
        <v>12460.476770228406</v>
      </c>
    </row>
    <row r="1173" spans="2:5" ht="15.75">
      <c r="B1173" s="66" t="str">
        <f>B1167</f>
        <v>Cable</v>
      </c>
      <c r="C1173" s="125">
        <v>5017.3459699999985</v>
      </c>
      <c r="D1173" s="125">
        <v>7169.6143792000021</v>
      </c>
      <c r="E1173" s="125">
        <v>8526.0279104000037</v>
      </c>
    </row>
    <row r="1174" spans="2:5" ht="15.75">
      <c r="B1174" s="67" t="str">
        <f>B1168</f>
        <v>SKY</v>
      </c>
      <c r="C1174" s="154">
        <v>4584.480812795985</v>
      </c>
      <c r="D1174" s="154">
        <v>5037.2089918715774</v>
      </c>
      <c r="E1174" s="154">
        <v>6775.712819142449</v>
      </c>
    </row>
    <row r="1175" spans="2:5" ht="15.75">
      <c r="B1175" s="66" t="str">
        <f>B1169</f>
        <v>Group</v>
      </c>
      <c r="C1175" s="125">
        <v>19904.962968589374</v>
      </c>
      <c r="D1175" s="125">
        <v>24403.519205993471</v>
      </c>
      <c r="E1175" s="125">
        <v>27762.217499770857</v>
      </c>
    </row>
    <row r="1181" spans="2:5">
      <c r="B1181" s="121" t="s">
        <v>3111</v>
      </c>
    </row>
    <row r="1182" spans="2:5">
      <c r="B1182" s="42" t="s">
        <v>3108</v>
      </c>
      <c r="C1182" s="42"/>
      <c r="D1182" s="42" t="s">
        <v>3109</v>
      </c>
    </row>
    <row r="1183" spans="2:5">
      <c r="B1183" s="61" t="s">
        <v>3106</v>
      </c>
      <c r="C1183" t="s">
        <v>3110</v>
      </c>
      <c r="D1183" s="61" t="s">
        <v>1326</v>
      </c>
      <c r="E1183" t="s">
        <v>3110</v>
      </c>
    </row>
    <row r="1185" spans="2:5">
      <c r="B1185" s="42" t="s">
        <v>1861</v>
      </c>
      <c r="C1185" s="8">
        <v>0.3</v>
      </c>
    </row>
    <row r="1186" spans="2:5">
      <c r="B1186" s="136">
        <f>E1186*B1189</f>
        <v>360</v>
      </c>
      <c r="D1186" t="s">
        <v>1042</v>
      </c>
      <c r="E1186" s="8">
        <f>E1192</f>
        <v>0.6</v>
      </c>
    </row>
    <row r="1188" spans="2:5">
      <c r="B1188" s="137">
        <f>B1189-B1186</f>
        <v>240</v>
      </c>
      <c r="C1188" s="61"/>
      <c r="D1188" s="61" t="s">
        <v>3107</v>
      </c>
      <c r="E1188" s="457">
        <f>E1194</f>
        <v>0.4</v>
      </c>
    </row>
    <row r="1189" spans="2:5" ht="15.75" thickBot="1">
      <c r="B1189" s="473">
        <f>C1185/C1191*B1195</f>
        <v>600</v>
      </c>
      <c r="C1189" s="474"/>
      <c r="D1189" s="474"/>
      <c r="E1189" s="474"/>
    </row>
    <row r="1190" spans="2:5" ht="15.75" thickTop="1">
      <c r="B1190" s="136"/>
    </row>
    <row r="1191" spans="2:5">
      <c r="B1191" s="42" t="s">
        <v>74</v>
      </c>
      <c r="C1191" s="8">
        <v>0.7</v>
      </c>
    </row>
    <row r="1192" spans="2:5">
      <c r="B1192" s="136">
        <f>E1192*B1195</f>
        <v>840</v>
      </c>
      <c r="D1192" t="s">
        <v>1042</v>
      </c>
      <c r="E1192" s="8">
        <v>0.6</v>
      </c>
    </row>
    <row r="1194" spans="2:5">
      <c r="B1194" s="136">
        <f>B1195-B1192</f>
        <v>560</v>
      </c>
      <c r="D1194" t="s">
        <v>3107</v>
      </c>
      <c r="E1194" s="8">
        <v>0.4</v>
      </c>
    </row>
    <row r="1195" spans="2:5" ht="15.75" thickBot="1">
      <c r="B1195" s="473">
        <v>1400</v>
      </c>
      <c r="C1195" s="474"/>
      <c r="D1195" s="474"/>
      <c r="E1195" s="474"/>
    </row>
    <row r="1196" spans="2:5" ht="15.75" thickTop="1"/>
    <row r="1197" spans="2:5">
      <c r="B1197" t="s">
        <v>3113</v>
      </c>
      <c r="C1197">
        <f>B1195</f>
        <v>1400</v>
      </c>
    </row>
    <row r="1198" spans="2:5">
      <c r="B1198" s="61" t="s">
        <v>3114</v>
      </c>
      <c r="C1198" s="61">
        <f>B1186+B1192</f>
        <v>1200</v>
      </c>
    </row>
    <row r="1199" spans="2:5">
      <c r="B1199" t="s">
        <v>3115</v>
      </c>
      <c r="C1199">
        <f>C1197-C1198</f>
        <v>200</v>
      </c>
    </row>
    <row r="1201" spans="1:5">
      <c r="A1201" s="136"/>
      <c r="B1201" s="121" t="s">
        <v>3112</v>
      </c>
    </row>
    <row r="1202" spans="1:5">
      <c r="B1202" s="42" t="s">
        <v>3108</v>
      </c>
      <c r="C1202" s="42"/>
      <c r="D1202" s="42" t="s">
        <v>3109</v>
      </c>
    </row>
    <row r="1203" spans="1:5">
      <c r="B1203" s="61" t="s">
        <v>3106</v>
      </c>
      <c r="C1203" t="s">
        <v>3110</v>
      </c>
      <c r="D1203" s="61" t="s">
        <v>1326</v>
      </c>
      <c r="E1203" t="s">
        <v>3110</v>
      </c>
    </row>
    <row r="1204" spans="1:5">
      <c r="A1204" s="136"/>
    </row>
    <row r="1205" spans="1:5">
      <c r="B1205" s="42" t="s">
        <v>1861</v>
      </c>
      <c r="C1205" s="8">
        <v>0.3</v>
      </c>
    </row>
    <row r="1206" spans="1:5">
      <c r="B1206" s="136">
        <f>B1186</f>
        <v>360</v>
      </c>
      <c r="D1206" t="s">
        <v>1042</v>
      </c>
      <c r="E1206" s="8">
        <f>E1212</f>
        <v>0.6</v>
      </c>
    </row>
    <row r="1208" spans="1:5">
      <c r="B1208" s="137">
        <f>B1188</f>
        <v>240</v>
      </c>
      <c r="C1208" s="61"/>
      <c r="D1208" s="61" t="s">
        <v>3107</v>
      </c>
      <c r="E1208" s="457">
        <f>E1214</f>
        <v>0.4</v>
      </c>
    </row>
    <row r="1209" spans="1:5" ht="15.75" thickBot="1">
      <c r="B1209" s="473">
        <f>B1206+B1208</f>
        <v>600</v>
      </c>
      <c r="C1209" s="474"/>
      <c r="D1209" s="474"/>
      <c r="E1209" s="474"/>
    </row>
    <row r="1210" spans="1:5" ht="15.75" thickTop="1">
      <c r="B1210" s="136"/>
    </row>
    <row r="1211" spans="1:5">
      <c r="B1211" s="42" t="s">
        <v>74</v>
      </c>
      <c r="C1211" s="8">
        <v>0.7</v>
      </c>
    </row>
    <row r="1212" spans="1:5">
      <c r="B1212" s="136"/>
      <c r="D1212" t="s">
        <v>1042</v>
      </c>
      <c r="E1212" s="8">
        <v>0.6</v>
      </c>
    </row>
    <row r="1214" spans="1:5">
      <c r="B1214" s="136"/>
      <c r="D1214" t="s">
        <v>3107</v>
      </c>
      <c r="E1214" s="8">
        <v>0.4</v>
      </c>
    </row>
    <row r="1215" spans="1:5" ht="15.75" thickBot="1">
      <c r="B1215" s="473"/>
      <c r="C1215" s="474"/>
      <c r="D1215" s="474"/>
      <c r="E1215" s="474"/>
    </row>
    <row r="1216" spans="1:5" ht="15.75" thickTop="1"/>
    <row r="1217" spans="2:5">
      <c r="B1217" t="s">
        <v>3113</v>
      </c>
      <c r="C1217">
        <f>B1215</f>
        <v>0</v>
      </c>
    </row>
    <row r="1218" spans="2:5">
      <c r="B1218" s="61" t="s">
        <v>3114</v>
      </c>
      <c r="C1218" s="61">
        <f>B1206+B1212</f>
        <v>360</v>
      </c>
    </row>
    <row r="1219" spans="2:5">
      <c r="B1219" t="s">
        <v>3115</v>
      </c>
      <c r="C1219">
        <f>C1217-C1218</f>
        <v>-360</v>
      </c>
    </row>
    <row r="1221" spans="2:5">
      <c r="B1221" s="121" t="s">
        <v>3116</v>
      </c>
    </row>
    <row r="1222" spans="2:5">
      <c r="B1222" s="42" t="s">
        <v>3108</v>
      </c>
      <c r="C1222" s="42"/>
      <c r="D1222" s="42" t="s">
        <v>3109</v>
      </c>
    </row>
    <row r="1223" spans="2:5">
      <c r="B1223" s="61" t="s">
        <v>3106</v>
      </c>
      <c r="C1223" t="s">
        <v>3110</v>
      </c>
      <c r="D1223" s="61" t="s">
        <v>1326</v>
      </c>
      <c r="E1223" t="s">
        <v>3110</v>
      </c>
    </row>
    <row r="1225" spans="2:5">
      <c r="B1225" s="42" t="s">
        <v>1861</v>
      </c>
      <c r="C1225" s="8">
        <v>0.3</v>
      </c>
    </row>
    <row r="1226" spans="2:5">
      <c r="B1226" s="136">
        <f>B1206</f>
        <v>360</v>
      </c>
      <c r="D1226" t="s">
        <v>1042</v>
      </c>
      <c r="E1226" s="8">
        <f>E1232</f>
        <v>0.6</v>
      </c>
    </row>
    <row r="1228" spans="2:5">
      <c r="B1228" s="137">
        <f>B1208</f>
        <v>240</v>
      </c>
      <c r="C1228" s="61"/>
      <c r="D1228" s="61" t="s">
        <v>3107</v>
      </c>
      <c r="E1228" s="457">
        <f>E1234</f>
        <v>0.4</v>
      </c>
    </row>
    <row r="1229" spans="2:5" ht="15.75" thickBot="1">
      <c r="B1229" s="473">
        <f>B1226+B1228</f>
        <v>600</v>
      </c>
      <c r="C1229" s="474"/>
      <c r="D1229" s="474"/>
      <c r="E1229" s="474"/>
    </row>
    <row r="1230" spans="2:5" ht="15.75" thickTop="1">
      <c r="B1230" s="136"/>
    </row>
    <row r="1231" spans="2:5">
      <c r="B1231" s="42" t="s">
        <v>74</v>
      </c>
      <c r="C1231" s="8">
        <v>0.7</v>
      </c>
    </row>
    <row r="1232" spans="2:5">
      <c r="B1232" s="136"/>
      <c r="D1232" t="s">
        <v>1042</v>
      </c>
      <c r="E1232" s="8">
        <v>0.6</v>
      </c>
    </row>
    <row r="1234" spans="2:5">
      <c r="B1234" s="136"/>
      <c r="D1234" t="s">
        <v>3107</v>
      </c>
      <c r="E1234" s="8">
        <v>0.4</v>
      </c>
    </row>
    <row r="1235" spans="2:5" ht="15.75" thickBot="1">
      <c r="B1235" s="473"/>
      <c r="C1235" s="474"/>
      <c r="D1235" s="474"/>
      <c r="E1235" s="474"/>
    </row>
    <row r="1236" spans="2:5" ht="15.75" thickTop="1"/>
    <row r="1237" spans="2:5">
      <c r="B1237" t="s">
        <v>3113</v>
      </c>
      <c r="C1237">
        <f>B1235</f>
        <v>0</v>
      </c>
    </row>
    <row r="1238" spans="2:5">
      <c r="B1238" s="61" t="s">
        <v>3114</v>
      </c>
      <c r="C1238" s="61">
        <f>B1226+B1232</f>
        <v>360</v>
      </c>
    </row>
    <row r="1239" spans="2:5">
      <c r="B1239" t="s">
        <v>3115</v>
      </c>
      <c r="C1239">
        <f>C1237-C1238</f>
        <v>-360</v>
      </c>
    </row>
    <row r="1241" spans="2:5">
      <c r="B1241" s="42" t="s">
        <v>3161</v>
      </c>
    </row>
    <row r="1242" spans="2:5">
      <c r="B1242" t="s">
        <v>3162</v>
      </c>
    </row>
    <row r="1244" spans="2:5">
      <c r="B1244" t="s">
        <v>3213</v>
      </c>
      <c r="C1244" t="s">
        <v>3214</v>
      </c>
    </row>
    <row r="1245" spans="2:5">
      <c r="C1245" t="s">
        <v>3215</v>
      </c>
    </row>
    <row r="1246" spans="2:5">
      <c r="C1246" t="s">
        <v>3216</v>
      </c>
    </row>
    <row r="1247" spans="2:5">
      <c r="C1247" t="s">
        <v>3217</v>
      </c>
    </row>
    <row r="1249" spans="2:5" ht="15.75">
      <c r="B1249" s="217" t="s">
        <v>3229</v>
      </c>
      <c r="C1249" s="388" t="s">
        <v>3227</v>
      </c>
      <c r="D1249" s="388" t="s">
        <v>3228</v>
      </c>
      <c r="E1249" s="388" t="s">
        <v>3232</v>
      </c>
    </row>
    <row r="1250" spans="2:5" ht="15.75">
      <c r="B1250" s="66" t="s">
        <v>3226</v>
      </c>
      <c r="C1250" s="66">
        <v>8.5</v>
      </c>
      <c r="D1250" s="66">
        <v>46.3</v>
      </c>
      <c r="E1250" s="69">
        <f t="shared" ref="E1250:E1260" si="103">(D1250-C1250)/D1250</f>
        <v>0.81641468682505403</v>
      </c>
    </row>
    <row r="1251" spans="2:5" ht="15.75">
      <c r="B1251" s="66" t="s">
        <v>3224</v>
      </c>
      <c r="C1251" s="66">
        <v>5.8</v>
      </c>
      <c r="D1251" s="66">
        <v>32.9</v>
      </c>
      <c r="E1251" s="69">
        <f t="shared" si="103"/>
        <v>0.82370820668693001</v>
      </c>
    </row>
    <row r="1252" spans="2:5" ht="15.75">
      <c r="B1252" s="66" t="s">
        <v>3230</v>
      </c>
      <c r="C1252" s="112">
        <f>C1253/20.5</f>
        <v>3.2195121951219514</v>
      </c>
      <c r="D1252" s="112">
        <f>D1253/20.5</f>
        <v>15.180487804878052</v>
      </c>
      <c r="E1252" s="69">
        <f t="shared" si="103"/>
        <v>0.78791773778920315</v>
      </c>
    </row>
    <row r="1253" spans="2:5" ht="15.75">
      <c r="B1253" s="66" t="s">
        <v>3231</v>
      </c>
      <c r="C1253" s="66">
        <v>66</v>
      </c>
      <c r="D1253" s="66">
        <f>389*0.8</f>
        <v>311.20000000000005</v>
      </c>
      <c r="E1253" s="69">
        <f t="shared" si="103"/>
        <v>0.78791773778920315</v>
      </c>
    </row>
    <row r="1254" spans="2:5" ht="15.75">
      <c r="B1254" s="66" t="s">
        <v>3225</v>
      </c>
      <c r="C1254" s="66">
        <v>7.4</v>
      </c>
      <c r="D1254" s="66">
        <v>34.5</v>
      </c>
      <c r="E1254" s="69">
        <f t="shared" si="103"/>
        <v>0.78550724637681169</v>
      </c>
    </row>
    <row r="1255" spans="2:5" ht="15.75">
      <c r="B1255" s="66" t="s">
        <v>3222</v>
      </c>
      <c r="C1255" s="66">
        <v>8.6</v>
      </c>
      <c r="D1255" s="66">
        <v>35.700000000000003</v>
      </c>
      <c r="E1255" s="69">
        <f t="shared" si="103"/>
        <v>0.7591036414565826</v>
      </c>
    </row>
    <row r="1256" spans="2:5" ht="15.75">
      <c r="B1256" s="66" t="s">
        <v>3219</v>
      </c>
      <c r="C1256" s="66">
        <v>9.8000000000000007</v>
      </c>
      <c r="D1256" s="66">
        <v>39.799999999999997</v>
      </c>
      <c r="E1256" s="69">
        <f t="shared" si="103"/>
        <v>0.75376884422110546</v>
      </c>
    </row>
    <row r="1257" spans="2:5" ht="15.75">
      <c r="B1257" s="66" t="s">
        <v>3223</v>
      </c>
      <c r="C1257" s="66">
        <v>5.8</v>
      </c>
      <c r="D1257" s="66">
        <v>23</v>
      </c>
      <c r="E1257" s="69">
        <f t="shared" si="103"/>
        <v>0.74782608695652175</v>
      </c>
    </row>
    <row r="1258" spans="2:5" ht="15.75">
      <c r="B1258" s="66" t="s">
        <v>3221</v>
      </c>
      <c r="C1258" s="66">
        <v>9.6</v>
      </c>
      <c r="D1258" s="66">
        <v>33.299999999999997</v>
      </c>
      <c r="E1258" s="69">
        <f t="shared" si="103"/>
        <v>0.71171171171171166</v>
      </c>
    </row>
    <row r="1259" spans="2:5" ht="15.75">
      <c r="B1259" s="66" t="s">
        <v>3218</v>
      </c>
      <c r="C1259" s="66">
        <v>11</v>
      </c>
      <c r="D1259" s="66">
        <v>33.700000000000003</v>
      </c>
      <c r="E1259" s="69">
        <f t="shared" si="103"/>
        <v>0.67359050445103863</v>
      </c>
    </row>
    <row r="1260" spans="2:5" ht="15.75">
      <c r="B1260" s="66" t="s">
        <v>3220</v>
      </c>
      <c r="C1260" s="66">
        <v>11.5</v>
      </c>
      <c r="D1260" s="66">
        <v>25.9</v>
      </c>
      <c r="E1260" s="69">
        <f t="shared" si="103"/>
        <v>0.55598455598455598</v>
      </c>
    </row>
    <row r="1262" spans="2:5" ht="15.75">
      <c r="B1262" s="66" t="s">
        <v>3236</v>
      </c>
      <c r="C1262" s="111" t="s">
        <v>1950</v>
      </c>
    </row>
    <row r="1263" spans="2:5" ht="15.75">
      <c r="B1263" s="219">
        <v>0.4</v>
      </c>
      <c r="C1263" s="111" t="s">
        <v>3233</v>
      </c>
    </row>
    <row r="1264" spans="2:5" ht="15.75">
      <c r="B1264" s="219">
        <v>0.3</v>
      </c>
      <c r="C1264" s="111" t="s">
        <v>3235</v>
      </c>
    </row>
    <row r="1265" spans="2:3" ht="15.75">
      <c r="B1265" s="219">
        <v>0.3</v>
      </c>
      <c r="C1265" s="111" t="s">
        <v>3234</v>
      </c>
    </row>
    <row r="1266" spans="2:3" ht="15.75">
      <c r="B1266" s="219"/>
      <c r="C1266" s="111"/>
    </row>
    <row r="1267" spans="2:3" ht="15.75">
      <c r="B1267" s="219" t="s">
        <v>89</v>
      </c>
      <c r="C1267" s="111"/>
    </row>
    <row r="1268" spans="2:3" ht="15.75">
      <c r="B1268" s="219" t="s">
        <v>3251</v>
      </c>
      <c r="C1268" s="515">
        <v>0.61799999999999999</v>
      </c>
    </row>
    <row r="1269" spans="2:3" ht="15.75">
      <c r="B1269" s="219" t="s">
        <v>3250</v>
      </c>
      <c r="C1269" s="515">
        <v>0.157</v>
      </c>
    </row>
    <row r="1270" spans="2:3" ht="15.75">
      <c r="B1270" s="219" t="s">
        <v>3252</v>
      </c>
      <c r="C1270" s="515">
        <v>0.20499999999999999</v>
      </c>
    </row>
    <row r="1271" spans="2:3" ht="15.75">
      <c r="B1271" s="219" t="s">
        <v>3253</v>
      </c>
      <c r="C1271" s="515">
        <v>1.2E-2</v>
      </c>
    </row>
    <row r="1272" spans="2:3" ht="15.75">
      <c r="B1272" s="219" t="s">
        <v>3254</v>
      </c>
      <c r="C1272" s="515">
        <v>7.0000000000000001E-3</v>
      </c>
    </row>
    <row r="1273" spans="2:3" ht="15.75">
      <c r="B1273" s="219"/>
      <c r="C1273" s="111"/>
    </row>
    <row r="1274" spans="2:3" ht="15.75">
      <c r="B1274" s="219" t="s">
        <v>1042</v>
      </c>
      <c r="C1274" s="111"/>
    </row>
    <row r="1275" spans="2:3" ht="15.75">
      <c r="B1275" s="219" t="str">
        <f>B1268</f>
        <v>1 GHz</v>
      </c>
      <c r="C1275" s="516">
        <v>0.57999999999999996</v>
      </c>
    </row>
    <row r="1276" spans="2:3" ht="15.75">
      <c r="B1276" s="219" t="str">
        <f>B1269</f>
        <v>870 MHz</v>
      </c>
      <c r="C1276" s="516">
        <v>0.26</v>
      </c>
    </row>
    <row r="1277" spans="2:3" ht="15.75">
      <c r="B1277" s="219" t="s">
        <v>3255</v>
      </c>
      <c r="C1277" s="516">
        <f>100%-C1275-C1276</f>
        <v>0.16000000000000003</v>
      </c>
    </row>
    <row r="1278" spans="2:3" ht="15.75">
      <c r="B1278" s="219"/>
      <c r="C1278" s="111"/>
    </row>
    <row r="1279" spans="2:3" ht="15.75">
      <c r="B1279" s="219"/>
      <c r="C1279" s="111"/>
    </row>
    <row r="1280" spans="2:3" ht="15.75">
      <c r="B1280" s="219"/>
      <c r="C1280" s="111"/>
    </row>
    <row r="1281" spans="2:16" ht="15.75">
      <c r="B1281" s="219"/>
      <c r="C1281" s="111"/>
    </row>
    <row r="1282" spans="2:16" ht="15.75">
      <c r="B1282" s="219"/>
      <c r="C1282" s="111"/>
    </row>
    <row r="1283" spans="2:16" ht="15.75">
      <c r="B1283" s="219"/>
      <c r="C1283" s="111"/>
    </row>
    <row r="1284" spans="2:16" ht="15.75">
      <c r="B1284" s="219"/>
      <c r="C1284" s="111"/>
    </row>
    <row r="1285" spans="2:16" ht="15.75">
      <c r="B1285" s="219"/>
      <c r="C1285" s="111"/>
    </row>
    <row r="1286" spans="2:16" ht="15.75">
      <c r="B1286" s="219"/>
      <c r="C1286" s="111"/>
    </row>
    <row r="1287" spans="2:16" ht="15.75">
      <c r="B1287" s="219"/>
      <c r="C1287" s="111"/>
    </row>
    <row r="1288" spans="2:16" ht="15.75">
      <c r="B1288" s="219"/>
      <c r="C1288" s="111"/>
    </row>
    <row r="1289" spans="2:16" ht="15.75">
      <c r="B1289" s="66"/>
      <c r="C1289" s="66"/>
      <c r="D1289" s="66"/>
      <c r="E1289" s="66"/>
      <c r="F1289" s="66"/>
      <c r="G1289" s="66"/>
      <c r="H1289" s="66" t="s">
        <v>3173</v>
      </c>
      <c r="I1289" s="66" t="s">
        <v>3173</v>
      </c>
      <c r="J1289" s="66"/>
      <c r="K1289" s="66"/>
      <c r="L1289" s="66"/>
      <c r="M1289" s="66"/>
      <c r="N1289" s="66"/>
      <c r="O1289" s="66"/>
      <c r="P1289" s="66"/>
    </row>
    <row r="1290" spans="2:16" ht="15.75">
      <c r="B1290" s="475" t="s">
        <v>3163</v>
      </c>
      <c r="C1290" s="476">
        <v>2003</v>
      </c>
      <c r="D1290" s="476">
        <v>2004</v>
      </c>
      <c r="E1290" s="476">
        <v>2005</v>
      </c>
      <c r="F1290" s="476">
        <v>2006</v>
      </c>
      <c r="G1290" s="476">
        <v>2007</v>
      </c>
      <c r="H1290" s="476">
        <v>2008</v>
      </c>
      <c r="I1290" s="476">
        <v>2009</v>
      </c>
      <c r="J1290" s="476">
        <v>2010</v>
      </c>
      <c r="K1290" s="476">
        <v>2011</v>
      </c>
      <c r="L1290" s="476">
        <v>2012</v>
      </c>
      <c r="M1290" s="476">
        <v>2013</v>
      </c>
      <c r="N1290" s="476">
        <v>2014</v>
      </c>
      <c r="O1290" s="476">
        <v>2015</v>
      </c>
      <c r="P1290" s="476">
        <v>2016</v>
      </c>
    </row>
    <row r="1291" spans="2:16" ht="15.75">
      <c r="B1291" s="478"/>
      <c r="C1291" s="478"/>
      <c r="D1291" s="478"/>
      <c r="E1291" s="478"/>
      <c r="F1291" s="478"/>
      <c r="G1291" s="478"/>
      <c r="H1291" s="478"/>
      <c r="I1291" s="478"/>
      <c r="J1291" s="478"/>
      <c r="K1291" s="478"/>
      <c r="L1291" s="478"/>
      <c r="M1291" s="478"/>
      <c r="N1291" s="478"/>
      <c r="O1291" s="478"/>
      <c r="P1291" s="478"/>
    </row>
    <row r="1292" spans="2:16" ht="15.75">
      <c r="B1292" s="478" t="s">
        <v>731</v>
      </c>
      <c r="C1292" s="478">
        <v>960</v>
      </c>
      <c r="D1292" s="478">
        <v>1363.8</v>
      </c>
      <c r="E1292" s="478">
        <v>1943.5</v>
      </c>
      <c r="F1292" s="478">
        <v>2630.3</v>
      </c>
      <c r="G1292" s="478">
        <v>3058.5</v>
      </c>
      <c r="H1292" s="478">
        <v>3413.9</v>
      </c>
      <c r="I1292" s="478">
        <v>3729.8</v>
      </c>
      <c r="J1292" s="478">
        <v>3912.8</v>
      </c>
      <c r="K1292" s="478">
        <v>4111.9335605756696</v>
      </c>
      <c r="L1292" s="478">
        <v>4366.9758352522313</v>
      </c>
      <c r="M1292" s="478">
        <v>4533.8432349284922</v>
      </c>
      <c r="N1292" s="478">
        <v>4702.2720092056343</v>
      </c>
      <c r="O1292" s="478">
        <v>4872.2736001446738</v>
      </c>
      <c r="P1292" s="478">
        <v>5030.441383643104</v>
      </c>
    </row>
    <row r="1293" spans="2:16" ht="15.75">
      <c r="B1293" s="478" t="s">
        <v>3200</v>
      </c>
      <c r="C1293" s="478">
        <v>3</v>
      </c>
      <c r="D1293" s="478">
        <v>11</v>
      </c>
      <c r="E1293" s="478">
        <v>40</v>
      </c>
      <c r="F1293" s="478">
        <v>40</v>
      </c>
      <c r="G1293" s="478">
        <v>1375</v>
      </c>
      <c r="H1293" s="478">
        <v>3200</v>
      </c>
      <c r="I1293" s="478">
        <v>4036</v>
      </c>
      <c r="J1293" s="478">
        <v>3654</v>
      </c>
      <c r="K1293" s="478">
        <v>2994.8879999999999</v>
      </c>
      <c r="L1293" s="478">
        <v>2156.3193600000004</v>
      </c>
      <c r="M1293" s="478">
        <v>1777.8066934941289</v>
      </c>
      <c r="N1293" s="478">
        <v>1400.022771126627</v>
      </c>
      <c r="O1293" s="478">
        <v>1012.5716920151717</v>
      </c>
      <c r="P1293" s="478">
        <v>950.47239248590085</v>
      </c>
    </row>
    <row r="1294" spans="2:16" ht="15.75">
      <c r="B1294" s="478" t="s">
        <v>3201</v>
      </c>
      <c r="C1294" s="478">
        <v>0</v>
      </c>
      <c r="D1294" s="478">
        <v>0.01</v>
      </c>
      <c r="E1294" s="478">
        <v>1</v>
      </c>
      <c r="F1294" s="478">
        <v>316</v>
      </c>
      <c r="G1294" s="478">
        <v>535</v>
      </c>
      <c r="H1294" s="478">
        <v>1100</v>
      </c>
      <c r="I1294" s="478">
        <v>1714</v>
      </c>
      <c r="J1294" s="478">
        <v>2966</v>
      </c>
      <c r="K1294" s="478">
        <v>4684.3119999999999</v>
      </c>
      <c r="L1294" s="478">
        <v>6137.2166399999996</v>
      </c>
      <c r="M1294" s="478">
        <v>7111.2267739765157</v>
      </c>
      <c r="N1294" s="478">
        <v>7933.4623697175502</v>
      </c>
      <c r="O1294" s="478">
        <v>8600.9180030543303</v>
      </c>
      <c r="P1294" s="478">
        <v>8855.2870964849917</v>
      </c>
    </row>
    <row r="1295" spans="2:16" ht="15.75">
      <c r="B1295" s="478" t="s">
        <v>3164</v>
      </c>
      <c r="C1295" s="478">
        <v>361</v>
      </c>
      <c r="D1295" s="478">
        <v>1248.0000000000002</v>
      </c>
      <c r="E1295" s="478">
        <v>3152</v>
      </c>
      <c r="F1295" s="478">
        <v>5092</v>
      </c>
      <c r="G1295" s="478">
        <v>5168</v>
      </c>
      <c r="H1295" s="478">
        <v>3984</v>
      </c>
      <c r="I1295" s="478">
        <v>3305</v>
      </c>
      <c r="J1295" s="478">
        <v>2925</v>
      </c>
      <c r="K1295" s="478">
        <v>2438.6174999999976</v>
      </c>
      <c r="L1295" s="478">
        <v>2090.621224999999</v>
      </c>
      <c r="M1295" s="478">
        <v>1702.8069020293533</v>
      </c>
      <c r="N1295" s="478">
        <v>1519.3567214858213</v>
      </c>
      <c r="O1295" s="478">
        <v>1422.1168735346455</v>
      </c>
      <c r="P1295" s="478">
        <v>1380.4496218083223</v>
      </c>
    </row>
    <row r="1296" spans="2:16" ht="15.75">
      <c r="B1296" s="478" t="s">
        <v>3165</v>
      </c>
      <c r="C1296" s="479">
        <v>439</v>
      </c>
      <c r="D1296" s="479">
        <v>967</v>
      </c>
      <c r="E1296" s="479">
        <v>1780</v>
      </c>
      <c r="F1296" s="479">
        <v>2668</v>
      </c>
      <c r="G1296" s="479">
        <v>3659</v>
      </c>
      <c r="H1296" s="479">
        <v>4401</v>
      </c>
      <c r="I1296" s="479">
        <v>4757</v>
      </c>
      <c r="J1296" s="479">
        <v>5132</v>
      </c>
      <c r="K1296" s="479">
        <v>5549.88</v>
      </c>
      <c r="L1296" s="479">
        <v>5753.5712000000003</v>
      </c>
      <c r="M1296" s="479">
        <v>5868.6426240000001</v>
      </c>
      <c r="N1296" s="479">
        <v>5936.8507910400003</v>
      </c>
      <c r="O1296" s="479">
        <v>6005.9314745664005</v>
      </c>
      <c r="P1296" s="479">
        <v>6025.7443128230407</v>
      </c>
    </row>
    <row r="1297" spans="2:16" ht="15.75">
      <c r="B1297" s="51" t="s">
        <v>3166</v>
      </c>
      <c r="C1297" s="51">
        <v>1763</v>
      </c>
      <c r="D1297" s="51">
        <v>3589.8100000000004</v>
      </c>
      <c r="E1297" s="51">
        <v>6916.5</v>
      </c>
      <c r="F1297" s="51">
        <v>10746.3</v>
      </c>
      <c r="G1297" s="51">
        <v>13795.5</v>
      </c>
      <c r="H1297" s="51">
        <v>16098.9</v>
      </c>
      <c r="I1297" s="51">
        <v>17541.8</v>
      </c>
      <c r="J1297" s="51">
        <v>18589.8</v>
      </c>
      <c r="K1297" s="51">
        <v>19779.631060575666</v>
      </c>
      <c r="L1297" s="51">
        <v>20504.704260252231</v>
      </c>
      <c r="M1297" s="51">
        <v>20994.32622842849</v>
      </c>
      <c r="N1297" s="51">
        <v>21491.964662575636</v>
      </c>
      <c r="O1297" s="51">
        <v>21913.811643315221</v>
      </c>
      <c r="P1297" s="51">
        <v>22242.39480724536</v>
      </c>
    </row>
    <row r="1298" spans="2:16" ht="15.75">
      <c r="B1298" s="50" t="s">
        <v>316</v>
      </c>
      <c r="C1298" s="478"/>
      <c r="D1298" s="46">
        <v>1.0361939875212709</v>
      </c>
      <c r="E1298" s="46">
        <v>0.9267036416969141</v>
      </c>
      <c r="F1298" s="46">
        <v>0.55371936673172839</v>
      </c>
      <c r="G1298" s="46">
        <v>0.28374417241283045</v>
      </c>
      <c r="H1298" s="46">
        <v>0.16696748939871697</v>
      </c>
      <c r="I1298" s="46">
        <v>8.9627241612781017E-2</v>
      </c>
      <c r="J1298" s="46">
        <v>5.974301382982361E-2</v>
      </c>
      <c r="K1298" s="46">
        <v>6.4004511106933171E-2</v>
      </c>
      <c r="L1298" s="46">
        <v>3.6657569469117357E-2</v>
      </c>
      <c r="M1298" s="46">
        <v>2.3878518897996415E-2</v>
      </c>
      <c r="N1298" s="46">
        <v>2.3703472487404342E-2</v>
      </c>
      <c r="O1298" s="46">
        <v>1.9628125551227837E-2</v>
      </c>
      <c r="P1298" s="46">
        <v>1.4994340979031628E-2</v>
      </c>
    </row>
    <row r="1299" spans="2:16" ht="15.75">
      <c r="B1299" s="478"/>
      <c r="C1299" s="478"/>
      <c r="D1299" s="478"/>
      <c r="E1299" s="478"/>
      <c r="F1299" s="478"/>
      <c r="G1299" s="480"/>
      <c r="H1299" s="480"/>
      <c r="I1299" s="480"/>
      <c r="J1299" s="480"/>
      <c r="K1299" s="480"/>
      <c r="L1299" s="480"/>
      <c r="M1299" s="480"/>
      <c r="N1299" s="480"/>
      <c r="O1299" s="480"/>
      <c r="P1299" s="480"/>
    </row>
    <row r="1300" spans="2:16" ht="15.75">
      <c r="B1300" s="478" t="s">
        <v>520</v>
      </c>
      <c r="C1300" s="478"/>
      <c r="D1300" s="478"/>
      <c r="E1300" s="478"/>
      <c r="F1300" s="478"/>
      <c r="G1300" s="478"/>
      <c r="H1300" s="478"/>
      <c r="I1300" s="478"/>
      <c r="J1300" s="478"/>
      <c r="K1300" s="478"/>
      <c r="L1300" s="478"/>
      <c r="M1300" s="478"/>
      <c r="N1300" s="478"/>
      <c r="O1300" s="478"/>
      <c r="P1300" s="478"/>
    </row>
    <row r="1301" spans="2:16" ht="15.75">
      <c r="B1301" s="478" t="s">
        <v>731</v>
      </c>
      <c r="C1301" s="480">
        <v>0.54452637549631311</v>
      </c>
      <c r="D1301" s="480">
        <v>0.3799086859750237</v>
      </c>
      <c r="E1301" s="480">
        <v>0.28099472276440396</v>
      </c>
      <c r="F1301" s="480">
        <v>0.24476331388477898</v>
      </c>
      <c r="G1301" s="480">
        <v>0.22170272915081005</v>
      </c>
      <c r="H1301" s="480">
        <v>0.21205796669337657</v>
      </c>
      <c r="I1301" s="480">
        <v>0.21262356200617955</v>
      </c>
      <c r="J1301" s="480">
        <v>0.2104810164713983</v>
      </c>
      <c r="K1301" s="480">
        <v>0.20788727292145942</v>
      </c>
      <c r="L1301" s="480">
        <v>0.21297433895291462</v>
      </c>
      <c r="M1301" s="480">
        <v>0.21595564371049925</v>
      </c>
      <c r="N1301" s="480">
        <v>0.21879209662920157</v>
      </c>
      <c r="O1301" s="480">
        <v>0.22233802496111874</v>
      </c>
      <c r="P1301" s="480">
        <v>0.22616455769432078</v>
      </c>
    </row>
    <row r="1302" spans="2:16" ht="15.75">
      <c r="B1302" s="478" t="str">
        <f>B1293</f>
        <v>Partial ULL (SMPF)</v>
      </c>
      <c r="C1302" s="480">
        <v>1.7016449234259785E-3</v>
      </c>
      <c r="D1302" s="480">
        <v>3.0642290260487321E-3</v>
      </c>
      <c r="E1302" s="480">
        <v>5.7832718860695437E-3</v>
      </c>
      <c r="F1302" s="480">
        <v>3.7222113657724054E-3</v>
      </c>
      <c r="G1302" s="480">
        <v>9.9670182305824362E-2</v>
      </c>
      <c r="H1302" s="480">
        <v>0.19877134462603036</v>
      </c>
      <c r="I1302" s="480">
        <v>0.23007901127592381</v>
      </c>
      <c r="J1302" s="480">
        <v>0.19655940354387891</v>
      </c>
      <c r="K1302" s="480">
        <v>0.15141273317121401</v>
      </c>
      <c r="L1302" s="480">
        <v>0.10516217803638175</v>
      </c>
      <c r="M1302" s="480">
        <v>8.4680340495366532E-2</v>
      </c>
      <c r="N1302" s="480">
        <v>6.5141684025030677E-2</v>
      </c>
      <c r="O1302" s="480">
        <v>4.6207009008588214E-2</v>
      </c>
      <c r="P1302" s="480">
        <v>4.2732466567686707E-2</v>
      </c>
    </row>
    <row r="1303" spans="2:16" ht="15.75">
      <c r="B1303" s="478" t="str">
        <f>B1294</f>
        <v>Full ULL (MPF)</v>
      </c>
      <c r="C1303" s="480">
        <v>0</v>
      </c>
      <c r="D1303" s="480">
        <v>2.7856627509533928E-6</v>
      </c>
      <c r="E1303" s="480">
        <v>1.445817971517386E-4</v>
      </c>
      <c r="F1303" s="480">
        <v>2.9405469789602005E-2</v>
      </c>
      <c r="G1303" s="480">
        <v>3.8780761842629845E-2</v>
      </c>
      <c r="H1303" s="480">
        <v>6.8327649715197933E-2</v>
      </c>
      <c r="I1303" s="480">
        <v>9.7709471091906197E-2</v>
      </c>
      <c r="J1303" s="480">
        <v>0.15954986067628485</v>
      </c>
      <c r="K1303" s="480">
        <v>0.23682504419087319</v>
      </c>
      <c r="L1303" s="480">
        <v>0.29930773748816336</v>
      </c>
      <c r="M1303" s="480">
        <v>0.33872136198146613</v>
      </c>
      <c r="N1303" s="480">
        <v>0.36913620947517367</v>
      </c>
      <c r="O1303" s="480">
        <v>0.39248845171479008</v>
      </c>
      <c r="P1303" s="480">
        <v>0.39812651349936573</v>
      </c>
    </row>
    <row r="1304" spans="2:16" ht="15.75">
      <c r="B1304" s="478" t="s">
        <v>3164</v>
      </c>
      <c r="C1304" s="480">
        <v>0.20476460578559275</v>
      </c>
      <c r="D1304" s="480">
        <v>0.34765071131898351</v>
      </c>
      <c r="E1304" s="480">
        <v>0.45572182462228006</v>
      </c>
      <c r="F1304" s="480">
        <v>0.47383750686282722</v>
      </c>
      <c r="G1304" s="480">
        <v>0.37461491065927294</v>
      </c>
      <c r="H1304" s="480">
        <v>0.2474703240594078</v>
      </c>
      <c r="I1304" s="480">
        <v>0.18840711899577012</v>
      </c>
      <c r="J1304" s="480">
        <v>0.15734435012748926</v>
      </c>
      <c r="K1304" s="480">
        <v>0.12328933196638826</v>
      </c>
      <c r="L1304" s="480">
        <v>0.10195812621655836</v>
      </c>
      <c r="M1304" s="480">
        <v>8.1107956668958328E-2</v>
      </c>
      <c r="N1304" s="480">
        <v>7.0694175490224304E-2</v>
      </c>
      <c r="O1304" s="480">
        <v>6.4895915721191313E-2</v>
      </c>
      <c r="P1304" s="480">
        <v>6.2063893468820498E-2</v>
      </c>
    </row>
    <row r="1305" spans="2:16" ht="15.75">
      <c r="B1305" s="478" t="s">
        <v>3165</v>
      </c>
      <c r="C1305" s="481">
        <v>0.24900737379466817</v>
      </c>
      <c r="D1305" s="481">
        <v>0.26937358801719308</v>
      </c>
      <c r="E1305" s="481">
        <v>0.25735559893009469</v>
      </c>
      <c r="F1305" s="481">
        <v>0.24827149809701946</v>
      </c>
      <c r="G1305" s="481">
        <v>0.26523141604146278</v>
      </c>
      <c r="H1305" s="481">
        <v>0.27337271490598736</v>
      </c>
      <c r="I1305" s="481">
        <v>0.27118083663022041</v>
      </c>
      <c r="J1305" s="481">
        <v>0.27606536918094871</v>
      </c>
      <c r="K1305" s="481">
        <v>0.28058561775006519</v>
      </c>
      <c r="L1305" s="481">
        <v>0.28059761930598187</v>
      </c>
      <c r="M1305" s="481">
        <v>0.27953469714370976</v>
      </c>
      <c r="N1305" s="481">
        <v>0.27623583438036964</v>
      </c>
      <c r="O1305" s="481">
        <v>0.27407059859431171</v>
      </c>
      <c r="P1305" s="481">
        <v>0.27091256876980629</v>
      </c>
    </row>
    <row r="1306" spans="2:16" ht="15.75">
      <c r="B1306" s="51" t="s">
        <v>3166</v>
      </c>
      <c r="C1306" s="480">
        <v>1</v>
      </c>
      <c r="D1306" s="480">
        <v>1</v>
      </c>
      <c r="E1306" s="480">
        <v>1</v>
      </c>
      <c r="F1306" s="480">
        <v>1</v>
      </c>
      <c r="G1306" s="480">
        <v>1</v>
      </c>
      <c r="H1306" s="480">
        <v>1</v>
      </c>
      <c r="I1306" s="480">
        <v>1</v>
      </c>
      <c r="J1306" s="480">
        <v>1</v>
      </c>
      <c r="K1306" s="480">
        <v>1</v>
      </c>
      <c r="L1306" s="480">
        <v>1</v>
      </c>
      <c r="M1306" s="480">
        <v>1</v>
      </c>
      <c r="N1306" s="480">
        <v>1</v>
      </c>
      <c r="O1306" s="480">
        <v>1</v>
      </c>
      <c r="P1306" s="480">
        <v>1</v>
      </c>
    </row>
    <row r="1307" spans="2:16" ht="15.75">
      <c r="B1307" s="478"/>
      <c r="C1307" s="478"/>
      <c r="D1307" s="478"/>
      <c r="E1307" s="478"/>
      <c r="F1307" s="478"/>
      <c r="G1307" s="478"/>
      <c r="H1307" s="478"/>
      <c r="I1307" s="478"/>
      <c r="J1307" s="478"/>
      <c r="K1307" s="478"/>
      <c r="L1307" s="478"/>
      <c r="M1307" s="478"/>
      <c r="N1307" s="478"/>
      <c r="O1307" s="478"/>
      <c r="P1307" s="478"/>
    </row>
    <row r="1308" spans="2:16" ht="15.75">
      <c r="B1308" s="478"/>
      <c r="C1308" s="478"/>
      <c r="D1308" s="478"/>
      <c r="E1308" s="478"/>
      <c r="F1308" s="478"/>
      <c r="G1308" s="478"/>
      <c r="H1308" s="478"/>
      <c r="I1308" s="478"/>
      <c r="J1308" s="478"/>
      <c r="K1308" s="478"/>
      <c r="L1308" s="478"/>
      <c r="M1308" s="478"/>
      <c r="N1308" s="478"/>
      <c r="O1308" s="478"/>
      <c r="P1308" s="478"/>
    </row>
    <row r="1309" spans="2:16" ht="15.75">
      <c r="B1309" s="478"/>
      <c r="C1309" s="478"/>
      <c r="D1309" s="478"/>
      <c r="E1309" s="478"/>
      <c r="F1309" s="478"/>
      <c r="G1309" s="478"/>
      <c r="H1309" s="478"/>
      <c r="I1309" s="478"/>
      <c r="J1309" s="478"/>
      <c r="K1309" s="478"/>
      <c r="L1309" s="478"/>
      <c r="M1309" s="478"/>
      <c r="N1309" s="478"/>
      <c r="O1309" s="478"/>
      <c r="P1309" s="478"/>
    </row>
    <row r="1310" spans="2:16" ht="15.75">
      <c r="B1310" s="478" t="s">
        <v>3167</v>
      </c>
      <c r="C1310" s="482">
        <v>24745.612499999992</v>
      </c>
      <c r="D1310" s="482">
        <v>24869.34056249999</v>
      </c>
      <c r="E1310" s="482">
        <v>24993.687265312488</v>
      </c>
      <c r="F1310" s="482">
        <v>25118.655701639047</v>
      </c>
      <c r="G1310" s="482">
        <v>25244.24898014724</v>
      </c>
      <c r="H1310" s="482">
        <v>25370.470225047975</v>
      </c>
      <c r="I1310" s="482">
        <v>25497.322576173214</v>
      </c>
      <c r="J1310" s="482">
        <v>25624.809189054078</v>
      </c>
      <c r="K1310" s="482">
        <v>25752.933234999346</v>
      </c>
      <c r="L1310" s="482">
        <v>25881.697901174339</v>
      </c>
      <c r="M1310" s="482">
        <v>26011.106390680208</v>
      </c>
      <c r="N1310" s="482">
        <v>26141.161922633608</v>
      </c>
      <c r="O1310" s="482">
        <v>26271.867732246774</v>
      </c>
      <c r="P1310" s="482">
        <v>26403.227070908004</v>
      </c>
    </row>
    <row r="1311" spans="2:16" ht="15.75">
      <c r="B1311" s="478" t="s">
        <v>3168</v>
      </c>
      <c r="C1311" s="483">
        <v>3000</v>
      </c>
      <c r="D1311" s="483">
        <v>3000</v>
      </c>
      <c r="E1311" s="483">
        <v>3000</v>
      </c>
      <c r="F1311" s="483">
        <v>3000</v>
      </c>
      <c r="G1311" s="483">
        <v>3000</v>
      </c>
      <c r="H1311" s="483">
        <v>3000</v>
      </c>
      <c r="I1311" s="483">
        <v>3000</v>
      </c>
      <c r="J1311" s="483">
        <v>3000</v>
      </c>
      <c r="K1311" s="483">
        <v>3000</v>
      </c>
      <c r="L1311" s="483">
        <v>3000</v>
      </c>
      <c r="M1311" s="483">
        <v>3000</v>
      </c>
      <c r="N1311" s="483">
        <v>3000</v>
      </c>
      <c r="O1311" s="483">
        <v>3000</v>
      </c>
      <c r="P1311" s="483">
        <v>3000</v>
      </c>
    </row>
    <row r="1312" spans="2:16" ht="15.75">
      <c r="B1312" s="50" t="s">
        <v>3169</v>
      </c>
      <c r="C1312" s="50">
        <v>27745.612499999992</v>
      </c>
      <c r="D1312" s="50">
        <v>27869.34056249999</v>
      </c>
      <c r="E1312" s="50">
        <v>27993.687265312488</v>
      </c>
      <c r="F1312" s="50">
        <v>28118.655701639047</v>
      </c>
      <c r="G1312" s="50">
        <v>28244.24898014724</v>
      </c>
      <c r="H1312" s="50">
        <v>28370.470225047975</v>
      </c>
      <c r="I1312" s="50">
        <v>28497.322576173214</v>
      </c>
      <c r="J1312" s="50">
        <v>28624.809189054078</v>
      </c>
      <c r="K1312" s="50">
        <v>28752.933234999346</v>
      </c>
      <c r="L1312" s="50">
        <v>28881.697901174339</v>
      </c>
      <c r="M1312" s="50">
        <v>29011.106390680208</v>
      </c>
      <c r="N1312" s="50">
        <v>29141.161922633608</v>
      </c>
      <c r="O1312" s="50">
        <v>29271.867732246774</v>
      </c>
      <c r="P1312" s="50">
        <v>29403.227070908004</v>
      </c>
    </row>
    <row r="1313" spans="2:16" ht="15.75">
      <c r="B1313" s="478"/>
      <c r="C1313" s="478"/>
      <c r="D1313" s="478"/>
      <c r="E1313" s="478"/>
      <c r="F1313" s="478"/>
      <c r="G1313" s="478"/>
      <c r="H1313" s="478"/>
      <c r="I1313" s="478"/>
      <c r="J1313" s="478"/>
      <c r="K1313" s="480"/>
      <c r="L1313" s="478"/>
      <c r="M1313" s="478"/>
      <c r="N1313" s="478"/>
      <c r="O1313" s="478"/>
      <c r="P1313" s="478"/>
    </row>
    <row r="1314" spans="2:16" ht="15.75">
      <c r="B1314" s="478" t="s">
        <v>3170</v>
      </c>
      <c r="C1314" s="477">
        <v>803</v>
      </c>
      <c r="D1314" s="477">
        <v>2226.0100000000002</v>
      </c>
      <c r="E1314" s="477">
        <v>4973</v>
      </c>
      <c r="F1314" s="477">
        <v>8116</v>
      </c>
      <c r="G1314" s="477">
        <v>10737</v>
      </c>
      <c r="H1314" s="477">
        <v>12685</v>
      </c>
      <c r="I1314" s="477">
        <v>13812</v>
      </c>
      <c r="J1314" s="477">
        <v>14677</v>
      </c>
      <c r="K1314" s="478">
        <v>15667.697499999998</v>
      </c>
      <c r="L1314" s="478">
        <v>16137.728424999999</v>
      </c>
      <c r="M1314" s="478">
        <v>16460.482993499998</v>
      </c>
      <c r="N1314" s="478">
        <v>16789.692653369999</v>
      </c>
      <c r="O1314" s="478">
        <v>17041.538043170549</v>
      </c>
      <c r="P1314" s="478">
        <v>17211.953423602255</v>
      </c>
    </row>
    <row r="1315" spans="2:16" ht="15.75">
      <c r="B1315" s="478" t="s">
        <v>316</v>
      </c>
      <c r="C1315" s="478"/>
      <c r="D1315" s="480">
        <v>1.7721170610211709</v>
      </c>
      <c r="E1315" s="480">
        <v>1.2340420752826806</v>
      </c>
      <c r="F1315" s="480">
        <v>0.63201286949527447</v>
      </c>
      <c r="G1315" s="480">
        <v>0.32294233612617051</v>
      </c>
      <c r="H1315" s="480">
        <v>0.18142870447983617</v>
      </c>
      <c r="I1315" s="480">
        <v>8.8845092629089573E-2</v>
      </c>
      <c r="J1315" s="480">
        <v>6.2626701419055797E-2</v>
      </c>
      <c r="K1315" s="484">
        <v>6.7500000000000004E-2</v>
      </c>
      <c r="L1315" s="484">
        <v>0.03</v>
      </c>
      <c r="M1315" s="484">
        <v>0.02</v>
      </c>
      <c r="N1315" s="484">
        <v>0.02</v>
      </c>
      <c r="O1315" s="484">
        <v>1.4999999999999999E-2</v>
      </c>
      <c r="P1315" s="484">
        <v>0.01</v>
      </c>
    </row>
    <row r="1316" spans="2:16" ht="15.75">
      <c r="B1316" s="478" t="s">
        <v>3171</v>
      </c>
      <c r="C1316" s="483">
        <v>960</v>
      </c>
      <c r="D1316" s="483">
        <v>1363.8</v>
      </c>
      <c r="E1316" s="483">
        <v>1943.5</v>
      </c>
      <c r="F1316" s="483">
        <v>2630.3</v>
      </c>
      <c r="G1316" s="483">
        <v>3058.5</v>
      </c>
      <c r="H1316" s="483">
        <v>3413.9</v>
      </c>
      <c r="I1316" s="483">
        <v>3729.8</v>
      </c>
      <c r="J1316" s="483">
        <v>3912.8</v>
      </c>
      <c r="K1316" s="483">
        <v>4111.9335605756696</v>
      </c>
      <c r="L1316" s="483">
        <v>4366.9758352522313</v>
      </c>
      <c r="M1316" s="483">
        <v>4533.8432349284922</v>
      </c>
      <c r="N1316" s="483">
        <v>4702.2720092056343</v>
      </c>
      <c r="O1316" s="483">
        <v>4872.2736001446738</v>
      </c>
      <c r="P1316" s="483">
        <v>5030.441383643104</v>
      </c>
    </row>
    <row r="1317" spans="2:16" ht="15.75">
      <c r="B1317" s="50" t="s">
        <v>3172</v>
      </c>
      <c r="C1317" s="50">
        <v>1763</v>
      </c>
      <c r="D1317" s="50">
        <v>3589.8100000000004</v>
      </c>
      <c r="E1317" s="50">
        <v>6916.5</v>
      </c>
      <c r="F1317" s="50">
        <v>10746.3</v>
      </c>
      <c r="G1317" s="50">
        <v>13795.5</v>
      </c>
      <c r="H1317" s="50">
        <v>16098.9</v>
      </c>
      <c r="I1317" s="50">
        <v>17541.8</v>
      </c>
      <c r="J1317" s="50">
        <v>18589.8</v>
      </c>
      <c r="K1317" s="50">
        <v>19779.631060575666</v>
      </c>
      <c r="L1317" s="50">
        <v>20504.704260252231</v>
      </c>
      <c r="M1317" s="50">
        <v>20994.32622842849</v>
      </c>
      <c r="N1317" s="50">
        <v>21491.964662575632</v>
      </c>
      <c r="O1317" s="50">
        <v>21913.811643315225</v>
      </c>
      <c r="P1317" s="50">
        <v>22242.39480724536</v>
      </c>
    </row>
    <row r="1318" spans="2:16" ht="15.75">
      <c r="B1318" s="66"/>
      <c r="C1318" s="66"/>
      <c r="D1318" s="66"/>
      <c r="E1318" s="66"/>
      <c r="F1318" s="66"/>
      <c r="G1318" s="66"/>
      <c r="H1318" s="66"/>
      <c r="I1318" s="66"/>
      <c r="J1318" s="66"/>
      <c r="K1318" s="66"/>
      <c r="L1318" s="66"/>
      <c r="M1318" s="66"/>
      <c r="N1318" s="66"/>
      <c r="O1318" s="66"/>
      <c r="P1318" s="66"/>
    </row>
    <row r="1319" spans="2:16" ht="15.75">
      <c r="B1319" s="478" t="s">
        <v>3174</v>
      </c>
      <c r="C1319" s="485">
        <v>0.3</v>
      </c>
      <c r="D1319" s="485">
        <v>0.4</v>
      </c>
      <c r="E1319" s="485">
        <v>0.6</v>
      </c>
      <c r="F1319" s="485">
        <v>0.7</v>
      </c>
      <c r="G1319" s="485">
        <v>0.7</v>
      </c>
      <c r="H1319" s="485">
        <v>0.8</v>
      </c>
      <c r="I1319" s="485">
        <v>0.8</v>
      </c>
      <c r="J1319" s="485">
        <v>0.9</v>
      </c>
      <c r="K1319" s="485">
        <v>0.9</v>
      </c>
      <c r="L1319" s="485">
        <v>0.9</v>
      </c>
      <c r="M1319" s="485">
        <v>0.9</v>
      </c>
      <c r="N1319" s="485">
        <v>0.9</v>
      </c>
      <c r="O1319" s="485">
        <v>0.9</v>
      </c>
      <c r="P1319" s="485">
        <v>0.9</v>
      </c>
    </row>
    <row r="1320" spans="2:16" ht="15.75">
      <c r="B1320" s="478" t="s">
        <v>3175</v>
      </c>
      <c r="C1320" s="478">
        <v>900</v>
      </c>
      <c r="D1320" s="478">
        <v>1200</v>
      </c>
      <c r="E1320" s="478">
        <v>1800</v>
      </c>
      <c r="F1320" s="478">
        <v>2100</v>
      </c>
      <c r="G1320" s="478">
        <v>2100</v>
      </c>
      <c r="H1320" s="478">
        <v>2400</v>
      </c>
      <c r="I1320" s="478">
        <v>2400</v>
      </c>
      <c r="J1320" s="478">
        <v>2700</v>
      </c>
      <c r="K1320" s="478">
        <v>2700</v>
      </c>
      <c r="L1320" s="478">
        <v>2700</v>
      </c>
      <c r="M1320" s="478">
        <v>2700</v>
      </c>
      <c r="N1320" s="478">
        <v>2700</v>
      </c>
      <c r="O1320" s="478">
        <v>2700</v>
      </c>
      <c r="P1320" s="478">
        <v>2700</v>
      </c>
    </row>
    <row r="1321" spans="2:16" ht="15.75">
      <c r="B1321" s="478" t="s">
        <v>3176</v>
      </c>
      <c r="C1321" s="478">
        <v>863</v>
      </c>
      <c r="D1321" s="478">
        <v>2389.8100000000004</v>
      </c>
      <c r="E1321" s="478">
        <v>5116.5</v>
      </c>
      <c r="F1321" s="478">
        <v>8646.2999999999993</v>
      </c>
      <c r="G1321" s="478">
        <v>11695.5</v>
      </c>
      <c r="H1321" s="478">
        <v>13698.9</v>
      </c>
      <c r="I1321" s="478">
        <v>15141.8</v>
      </c>
      <c r="J1321" s="478">
        <v>15889.8</v>
      </c>
      <c r="K1321" s="478">
        <v>17079.631060575666</v>
      </c>
      <c r="L1321" s="478">
        <v>17804.704260252231</v>
      </c>
      <c r="M1321" s="478">
        <v>18294.32622842849</v>
      </c>
      <c r="N1321" s="478">
        <v>18791.964662575632</v>
      </c>
      <c r="O1321" s="478">
        <v>19213.811643315225</v>
      </c>
      <c r="P1321" s="478">
        <v>19542.39480724536</v>
      </c>
    </row>
    <row r="1322" spans="2:16" ht="15.75">
      <c r="B1322" s="50" t="s">
        <v>687</v>
      </c>
      <c r="C1322" s="46">
        <v>3.4874869231868895E-2</v>
      </c>
      <c r="D1322" s="46">
        <v>9.6094626795354188E-2</v>
      </c>
      <c r="E1322" s="46">
        <v>0.20471169162386613</v>
      </c>
      <c r="F1322" s="46">
        <v>0.34421826162599178</v>
      </c>
      <c r="G1322" s="46">
        <v>0.46329364003649531</v>
      </c>
      <c r="H1322" s="46">
        <v>0.53995451714076759</v>
      </c>
      <c r="I1322" s="46">
        <v>0.59385843179274589</v>
      </c>
      <c r="J1322" s="46">
        <v>0.62009437349439867</v>
      </c>
      <c r="K1322" s="46">
        <v>0.66321109540111389</v>
      </c>
      <c r="L1322" s="46">
        <v>0.68792643852953606</v>
      </c>
      <c r="M1322" s="46">
        <v>0.70332749225090074</v>
      </c>
      <c r="N1322" s="46">
        <v>0.71886493485605651</v>
      </c>
      <c r="O1322" s="46">
        <v>0.73134547719010068</v>
      </c>
      <c r="P1322" s="46">
        <v>0.74015175322178151</v>
      </c>
    </row>
    <row r="1323" spans="2:16" ht="15.75">
      <c r="B1323" s="478" t="s">
        <v>3177</v>
      </c>
      <c r="C1323" s="480">
        <v>0.45547362450368689</v>
      </c>
      <c r="D1323" s="480">
        <v>0.62009131402497619</v>
      </c>
      <c r="E1323" s="480">
        <v>0.71900527723559604</v>
      </c>
      <c r="F1323" s="480">
        <v>0.7552366861152211</v>
      </c>
      <c r="G1323" s="480">
        <v>0.77829727084918998</v>
      </c>
      <c r="H1323" s="480">
        <v>0.78794203330662349</v>
      </c>
      <c r="I1323" s="480">
        <v>0.78737643799382051</v>
      </c>
      <c r="J1323" s="480">
        <v>0.78951898352860173</v>
      </c>
      <c r="K1323" s="480">
        <v>0.79211272707854063</v>
      </c>
      <c r="L1323" s="480">
        <v>0.78702566104708538</v>
      </c>
      <c r="M1323" s="480">
        <v>0.78404435628950075</v>
      </c>
      <c r="N1323" s="480">
        <v>0.78120790337079837</v>
      </c>
      <c r="O1323" s="480">
        <v>0.77766197503888124</v>
      </c>
      <c r="P1323" s="480">
        <v>0.77383544230567924</v>
      </c>
    </row>
    <row r="1324" spans="2:16" ht="15.75">
      <c r="B1324" s="478"/>
      <c r="C1324" s="478"/>
      <c r="D1324" s="478"/>
      <c r="E1324" s="478"/>
      <c r="F1324" s="478"/>
      <c r="G1324" s="478"/>
      <c r="H1324" s="478"/>
      <c r="I1324" s="478"/>
      <c r="J1324" s="478"/>
      <c r="K1324" s="478"/>
      <c r="L1324" s="478"/>
      <c r="M1324" s="478"/>
      <c r="N1324" s="478"/>
      <c r="O1324" s="478"/>
      <c r="P1324" s="478"/>
    </row>
    <row r="1325" spans="2:16" ht="15.75">
      <c r="B1325" s="478" t="s">
        <v>3178</v>
      </c>
      <c r="C1325" s="478">
        <v>439</v>
      </c>
      <c r="D1325" s="478">
        <v>967</v>
      </c>
      <c r="E1325" s="478">
        <v>1780</v>
      </c>
      <c r="F1325" s="478">
        <v>2668</v>
      </c>
      <c r="G1325" s="478">
        <v>3659</v>
      </c>
      <c r="H1325" s="478">
        <v>4401</v>
      </c>
      <c r="I1325" s="478">
        <v>4757</v>
      </c>
      <c r="J1325" s="478">
        <v>5132</v>
      </c>
      <c r="K1325" s="478">
        <v>5549.88</v>
      </c>
      <c r="L1325" s="478">
        <v>5753.5712000000003</v>
      </c>
      <c r="M1325" s="478">
        <v>5868.6426240000001</v>
      </c>
      <c r="N1325" s="478">
        <v>5936.8507910400003</v>
      </c>
      <c r="O1325" s="478">
        <v>6005.9314745664005</v>
      </c>
      <c r="P1325" s="478">
        <v>6025.7443128230407</v>
      </c>
    </row>
    <row r="1326" spans="2:16" ht="15.75">
      <c r="B1326" s="478" t="s">
        <v>3179</v>
      </c>
      <c r="C1326" s="479">
        <v>361</v>
      </c>
      <c r="D1326" s="479">
        <v>1248.0000000000002</v>
      </c>
      <c r="E1326" s="479">
        <v>3152</v>
      </c>
      <c r="F1326" s="479">
        <v>5092</v>
      </c>
      <c r="G1326" s="479">
        <v>5168</v>
      </c>
      <c r="H1326" s="479">
        <v>3984</v>
      </c>
      <c r="I1326" s="479">
        <v>3305</v>
      </c>
      <c r="J1326" s="479">
        <v>2925</v>
      </c>
      <c r="K1326" s="479">
        <v>2438.6174999999976</v>
      </c>
      <c r="L1326" s="479">
        <v>2090.621224999999</v>
      </c>
      <c r="M1326" s="479">
        <v>1702.8069020293533</v>
      </c>
      <c r="N1326" s="479">
        <v>1519.3567214858213</v>
      </c>
      <c r="O1326" s="479">
        <v>1422.1168735346455</v>
      </c>
      <c r="P1326" s="479">
        <v>1380.4496218083223</v>
      </c>
    </row>
    <row r="1327" spans="2:16" ht="15.75">
      <c r="B1327" s="478" t="s">
        <v>98</v>
      </c>
      <c r="C1327" s="478">
        <v>800</v>
      </c>
      <c r="D1327" s="478">
        <v>2215</v>
      </c>
      <c r="E1327" s="478">
        <v>4932</v>
      </c>
      <c r="F1327" s="478">
        <v>7760</v>
      </c>
      <c r="G1327" s="478">
        <v>8827</v>
      </c>
      <c r="H1327" s="478">
        <v>8385</v>
      </c>
      <c r="I1327" s="478">
        <v>8062</v>
      </c>
      <c r="J1327" s="478">
        <v>8057</v>
      </c>
      <c r="K1327" s="478">
        <v>7988.4974999999977</v>
      </c>
      <c r="L1327" s="478">
        <v>7844.1924249999993</v>
      </c>
      <c r="M1327" s="478">
        <v>7571.4495260293534</v>
      </c>
      <c r="N1327" s="478">
        <v>7456.2075125258216</v>
      </c>
      <c r="O1327" s="478">
        <v>7428.048348101046</v>
      </c>
      <c r="P1327" s="478">
        <v>7406.1939346313629</v>
      </c>
    </row>
    <row r="1329" spans="2:24" ht="15.75">
      <c r="B1329" s="486" t="s">
        <v>3180</v>
      </c>
      <c r="C1329" s="486">
        <v>2003</v>
      </c>
      <c r="D1329" s="486">
        <v>2004</v>
      </c>
      <c r="E1329" s="486">
        <v>2005</v>
      </c>
      <c r="F1329" s="486">
        <v>2006</v>
      </c>
      <c r="G1329" s="486">
        <v>2007</v>
      </c>
      <c r="H1329" s="486">
        <v>2008</v>
      </c>
      <c r="I1329" s="486">
        <v>2009</v>
      </c>
      <c r="J1329" s="486">
        <v>2010</v>
      </c>
      <c r="K1329" s="487">
        <v>2011</v>
      </c>
      <c r="L1329" s="486">
        <v>2012</v>
      </c>
      <c r="M1329" s="486">
        <v>2013</v>
      </c>
      <c r="N1329" s="486">
        <v>2014</v>
      </c>
      <c r="O1329" s="486">
        <v>2015</v>
      </c>
      <c r="P1329" s="486">
        <v>2016</v>
      </c>
      <c r="Q1329" s="486">
        <v>2017</v>
      </c>
      <c r="R1329" s="486">
        <v>2018</v>
      </c>
      <c r="S1329" s="486">
        <v>2019</v>
      </c>
      <c r="T1329" s="486">
        <v>2020</v>
      </c>
      <c r="U1329" s="486">
        <v>2021</v>
      </c>
      <c r="V1329" s="486">
        <v>2022</v>
      </c>
      <c r="W1329" s="486">
        <v>2023</v>
      </c>
      <c r="X1329" s="486">
        <v>2026</v>
      </c>
    </row>
    <row r="1330" spans="2:24" ht="15.75">
      <c r="B1330" s="62" t="s">
        <v>3181</v>
      </c>
      <c r="C1330" s="488">
        <v>439</v>
      </c>
      <c r="D1330" s="488">
        <v>967</v>
      </c>
      <c r="E1330" s="488">
        <v>1780</v>
      </c>
      <c r="F1330" s="488">
        <v>2668</v>
      </c>
      <c r="G1330" s="488">
        <v>3659</v>
      </c>
      <c r="H1330" s="488">
        <v>4401</v>
      </c>
      <c r="I1330" s="488">
        <v>4757</v>
      </c>
      <c r="J1330" s="488">
        <v>5132</v>
      </c>
      <c r="K1330" s="489">
        <v>5691</v>
      </c>
      <c r="L1330" s="488">
        <v>6280</v>
      </c>
      <c r="M1330" s="488">
        <v>6704</v>
      </c>
      <c r="N1330" s="488">
        <v>7281</v>
      </c>
      <c r="O1330" s="488">
        <v>7713</v>
      </c>
      <c r="P1330" s="488">
        <v>8101</v>
      </c>
      <c r="Q1330" s="250">
        <v>8407.2235068996015</v>
      </c>
      <c r="R1330" s="250">
        <v>8624.0615762807247</v>
      </c>
      <c r="S1330" s="250">
        <v>8799.1244836483347</v>
      </c>
      <c r="T1330" s="250">
        <v>8977.1461015238983</v>
      </c>
      <c r="U1330" s="250">
        <v>9073.4715638672969</v>
      </c>
      <c r="V1330" s="250">
        <v>9221.4520351552765</v>
      </c>
      <c r="W1330" s="250">
        <v>9303.0859289675227</v>
      </c>
      <c r="X1330" s="250">
        <v>9554.0038320640742</v>
      </c>
    </row>
    <row r="1331" spans="2:24" ht="15.75">
      <c r="B1331" s="55"/>
      <c r="C1331" s="55"/>
      <c r="D1331" s="55"/>
      <c r="E1331" s="55"/>
      <c r="F1331" s="55"/>
      <c r="G1331" s="55"/>
      <c r="H1331" s="55"/>
      <c r="I1331" s="55"/>
      <c r="J1331" s="55"/>
      <c r="K1331" s="490"/>
      <c r="L1331" s="65"/>
      <c r="M1331" s="56"/>
      <c r="N1331" s="65"/>
      <c r="O1331" s="65"/>
      <c r="P1331" s="65"/>
      <c r="Q1331" s="65"/>
      <c r="R1331" s="65"/>
      <c r="S1331" s="65"/>
      <c r="T1331" s="55"/>
      <c r="U1331" s="55"/>
      <c r="V1331" s="55"/>
      <c r="W1331" s="55"/>
      <c r="X1331" s="55"/>
    </row>
    <row r="1332" spans="2:24" ht="15.75">
      <c r="B1332" s="55" t="s">
        <v>3182</v>
      </c>
      <c r="C1332" s="85">
        <v>0</v>
      </c>
      <c r="D1332" s="85">
        <v>0.01</v>
      </c>
      <c r="E1332" s="85">
        <v>1</v>
      </c>
      <c r="F1332" s="85">
        <v>316</v>
      </c>
      <c r="G1332" s="85">
        <v>535</v>
      </c>
      <c r="H1332" s="85">
        <v>1100</v>
      </c>
      <c r="I1332" s="85">
        <v>1714</v>
      </c>
      <c r="J1332" s="85">
        <v>2966</v>
      </c>
      <c r="K1332" s="491">
        <v>4266</v>
      </c>
      <c r="L1332" s="85">
        <v>5631</v>
      </c>
      <c r="M1332" s="85">
        <v>6702</v>
      </c>
      <c r="N1332" s="85">
        <v>7846</v>
      </c>
      <c r="O1332" s="85">
        <v>8586</v>
      </c>
      <c r="P1332" s="159">
        <v>8921</v>
      </c>
      <c r="Q1332" s="64">
        <v>9044.5638712051023</v>
      </c>
      <c r="R1332" s="64">
        <v>9359.9646993958268</v>
      </c>
      <c r="S1332" s="64">
        <v>9640.0653511840028</v>
      </c>
      <c r="T1332" s="64">
        <v>9924.8999397849038</v>
      </c>
      <c r="U1332" s="64">
        <v>10079.020679534342</v>
      </c>
      <c r="V1332" s="64">
        <v>10315.78943359511</v>
      </c>
      <c r="W1332" s="64">
        <v>10446.403663694704</v>
      </c>
      <c r="X1332" s="64">
        <v>10847.872308649185</v>
      </c>
    </row>
    <row r="1333" spans="2:24" ht="15.75">
      <c r="B1333" s="55" t="s">
        <v>3183</v>
      </c>
      <c r="C1333" s="93">
        <v>3</v>
      </c>
      <c r="D1333" s="93">
        <v>11</v>
      </c>
      <c r="E1333" s="93">
        <v>40</v>
      </c>
      <c r="F1333" s="93">
        <v>40</v>
      </c>
      <c r="G1333" s="93">
        <v>1375</v>
      </c>
      <c r="H1333" s="93">
        <v>3200</v>
      </c>
      <c r="I1333" s="93">
        <v>4036</v>
      </c>
      <c r="J1333" s="93">
        <v>3654</v>
      </c>
      <c r="K1333" s="492">
        <v>3342</v>
      </c>
      <c r="L1333" s="93">
        <v>2622</v>
      </c>
      <c r="M1333" s="93">
        <v>2158</v>
      </c>
      <c r="N1333" s="93">
        <v>1455</v>
      </c>
      <c r="O1333" s="93">
        <v>1175</v>
      </c>
      <c r="P1333" s="400">
        <v>1059</v>
      </c>
      <c r="Q1333" s="110">
        <v>1193.3085556577198</v>
      </c>
      <c r="R1333" s="110">
        <v>1134.1709003719591</v>
      </c>
      <c r="S1333" s="110">
        <v>1081.6520281616761</v>
      </c>
      <c r="T1333" s="110">
        <v>1028.2455427990069</v>
      </c>
      <c r="U1333" s="110">
        <v>999.34790409598736</v>
      </c>
      <c r="V1333" s="110">
        <v>954.95376270959355</v>
      </c>
      <c r="W1333" s="110">
        <v>930.46359456591972</v>
      </c>
      <c r="X1333" s="110">
        <v>855.18822363695426</v>
      </c>
    </row>
    <row r="1334" spans="2:24" ht="15.75">
      <c r="B1334" s="62" t="s">
        <v>3184</v>
      </c>
      <c r="C1334" s="493">
        <v>3</v>
      </c>
      <c r="D1334" s="493">
        <v>11.01</v>
      </c>
      <c r="E1334" s="493">
        <v>41</v>
      </c>
      <c r="F1334" s="493">
        <v>356</v>
      </c>
      <c r="G1334" s="493">
        <v>1910</v>
      </c>
      <c r="H1334" s="493">
        <v>4300</v>
      </c>
      <c r="I1334" s="493">
        <v>5750</v>
      </c>
      <c r="J1334" s="493">
        <v>6620</v>
      </c>
      <c r="K1334" s="494">
        <v>7608</v>
      </c>
      <c r="L1334" s="493">
        <v>8253</v>
      </c>
      <c r="M1334" s="493">
        <v>8860</v>
      </c>
      <c r="N1334" s="493">
        <v>9301</v>
      </c>
      <c r="O1334" s="493">
        <v>9761</v>
      </c>
      <c r="P1334" s="493">
        <v>9980</v>
      </c>
      <c r="Q1334" s="493">
        <v>10237.872426862821</v>
      </c>
      <c r="R1334" s="493">
        <v>10494.135599767786</v>
      </c>
      <c r="S1334" s="493">
        <v>10721.717379345679</v>
      </c>
      <c r="T1334" s="493">
        <v>10953.14548258391</v>
      </c>
      <c r="U1334" s="493">
        <v>11078.36858363033</v>
      </c>
      <c r="V1334" s="493">
        <v>11270.743196304704</v>
      </c>
      <c r="W1334" s="493">
        <v>11376.867258260623</v>
      </c>
      <c r="X1334" s="493">
        <v>11703.060532286139</v>
      </c>
    </row>
    <row r="1335" spans="2:24" ht="15.75">
      <c r="B1335" s="55"/>
      <c r="C1335" s="55"/>
      <c r="D1335" s="55"/>
      <c r="E1335" s="55"/>
      <c r="F1335" s="55"/>
      <c r="G1335" s="55"/>
      <c r="H1335" s="55"/>
      <c r="I1335" s="55"/>
      <c r="J1335" s="55"/>
      <c r="K1335" s="490"/>
      <c r="L1335" s="55"/>
      <c r="M1335" s="55"/>
      <c r="N1335" s="55"/>
      <c r="O1335" s="55"/>
      <c r="P1335" s="55"/>
      <c r="Q1335" s="55"/>
      <c r="R1335" s="55"/>
      <c r="S1335" s="55"/>
      <c r="T1335" s="55"/>
      <c r="U1335" s="55"/>
      <c r="V1335" s="55"/>
      <c r="W1335" s="55"/>
      <c r="X1335" s="55"/>
    </row>
    <row r="1336" spans="2:24" ht="15.75">
      <c r="B1336" s="55" t="s">
        <v>3185</v>
      </c>
      <c r="C1336" s="65">
        <v>361</v>
      </c>
      <c r="D1336" s="65">
        <v>1248.0000000000002</v>
      </c>
      <c r="E1336" s="65">
        <v>3152</v>
      </c>
      <c r="F1336" s="65">
        <v>5092</v>
      </c>
      <c r="G1336" s="65">
        <v>5168</v>
      </c>
      <c r="H1336" s="65">
        <v>3984</v>
      </c>
      <c r="I1336" s="65">
        <v>3305</v>
      </c>
      <c r="J1336" s="65">
        <v>2925</v>
      </c>
      <c r="K1336" s="495">
        <v>2421</v>
      </c>
      <c r="L1336" s="65">
        <v>2263</v>
      </c>
      <c r="M1336" s="65">
        <v>2065</v>
      </c>
      <c r="N1336" s="65">
        <v>1872</v>
      </c>
      <c r="O1336" s="65">
        <v>1832</v>
      </c>
      <c r="P1336" s="65">
        <v>1846</v>
      </c>
      <c r="Q1336" s="64">
        <v>1819.1382888684561</v>
      </c>
      <c r="R1336" s="64">
        <v>1740.288081820775</v>
      </c>
      <c r="S1336" s="64">
        <v>1687.769209610492</v>
      </c>
      <c r="T1336" s="64">
        <v>1634.3627242478228</v>
      </c>
      <c r="U1336" s="64">
        <v>1605.4650855448033</v>
      </c>
      <c r="V1336" s="64">
        <v>1561.0709441584095</v>
      </c>
      <c r="W1336" s="64">
        <v>1536.5807760147356</v>
      </c>
      <c r="X1336" s="64">
        <v>1461.30540508577</v>
      </c>
    </row>
    <row r="1337" spans="2:24" ht="15.75">
      <c r="B1337" s="55"/>
      <c r="C1337" s="55"/>
      <c r="D1337" s="55"/>
      <c r="E1337" s="55"/>
      <c r="F1337" s="55"/>
      <c r="G1337" s="55"/>
      <c r="H1337" s="55"/>
      <c r="I1337" s="55"/>
      <c r="J1337" s="55"/>
      <c r="K1337" s="490"/>
      <c r="L1337" s="55"/>
      <c r="M1337" s="55"/>
      <c r="N1337" s="55"/>
      <c r="O1337" s="65"/>
      <c r="P1337" s="65"/>
      <c r="Q1337" s="55"/>
      <c r="R1337" s="55"/>
      <c r="S1337" s="55"/>
      <c r="T1337" s="55"/>
      <c r="U1337" s="55"/>
      <c r="V1337" s="55"/>
      <c r="W1337" s="55"/>
      <c r="X1337" s="55"/>
    </row>
    <row r="1338" spans="2:24" ht="15.75">
      <c r="B1338" s="62" t="s">
        <v>3186</v>
      </c>
      <c r="C1338" s="488">
        <v>803</v>
      </c>
      <c r="D1338" s="488">
        <v>2226.0100000000002</v>
      </c>
      <c r="E1338" s="488">
        <v>4973</v>
      </c>
      <c r="F1338" s="488">
        <v>8116</v>
      </c>
      <c r="G1338" s="488">
        <v>10737</v>
      </c>
      <c r="H1338" s="488">
        <v>12685</v>
      </c>
      <c r="I1338" s="488">
        <v>13812</v>
      </c>
      <c r="J1338" s="488">
        <v>14677</v>
      </c>
      <c r="K1338" s="489">
        <v>15720</v>
      </c>
      <c r="L1338" s="488">
        <v>16796</v>
      </c>
      <c r="M1338" s="488">
        <v>17629</v>
      </c>
      <c r="N1338" s="488">
        <v>18454</v>
      </c>
      <c r="O1338" s="488">
        <v>19306</v>
      </c>
      <c r="P1338" s="496">
        <v>19927</v>
      </c>
      <c r="Q1338" s="493">
        <v>20464.234222630879</v>
      </c>
      <c r="R1338" s="493">
        <v>20858.485257869284</v>
      </c>
      <c r="S1338" s="493">
        <v>21208.611072604504</v>
      </c>
      <c r="T1338" s="493">
        <v>21564.654308355632</v>
      </c>
      <c r="U1338" s="493">
        <v>21757.305233042429</v>
      </c>
      <c r="V1338" s="493">
        <v>22053.266175618388</v>
      </c>
      <c r="W1338" s="493">
        <v>22216.53396324288</v>
      </c>
      <c r="X1338" s="493">
        <v>22718.369769435983</v>
      </c>
    </row>
    <row r="1339" spans="2:24" ht="15.75">
      <c r="B1339" s="55" t="s">
        <v>181</v>
      </c>
      <c r="C1339" s="55"/>
      <c r="D1339" s="497">
        <v>1.7721170610211709</v>
      </c>
      <c r="E1339" s="497">
        <v>1.2340420752826806</v>
      </c>
      <c r="F1339" s="497">
        <v>0.63201286949527447</v>
      </c>
      <c r="G1339" s="497">
        <v>0.32294233612617051</v>
      </c>
      <c r="H1339" s="497">
        <v>0.18142870447983617</v>
      </c>
      <c r="I1339" s="497">
        <v>8.8845092629089573E-2</v>
      </c>
      <c r="J1339" s="497">
        <v>6.2626701419055797E-2</v>
      </c>
      <c r="K1339" s="498">
        <v>7.1063568849219827E-2</v>
      </c>
      <c r="L1339" s="497">
        <v>6.8447837150127144E-2</v>
      </c>
      <c r="M1339" s="497">
        <v>4.9595141700404799E-2</v>
      </c>
      <c r="N1339" s="497">
        <v>4.6797889840603624E-2</v>
      </c>
      <c r="O1339" s="497">
        <v>4.6168852281348149E-2</v>
      </c>
      <c r="P1339" s="497">
        <v>3.2166165958769311E-2</v>
      </c>
      <c r="Q1339" s="497">
        <v>2.6960115553313457E-2</v>
      </c>
      <c r="R1339" s="497">
        <v>1.9265369568650215E-2</v>
      </c>
      <c r="S1339" s="497">
        <v>1.6785773770563228E-2</v>
      </c>
      <c r="T1339" s="497">
        <v>1.6787673390410429E-2</v>
      </c>
      <c r="U1339" s="497">
        <v>8.933643077791098E-3</v>
      </c>
      <c r="V1339" s="497">
        <v>1.3602830838006952E-2</v>
      </c>
      <c r="W1339" s="497">
        <v>7.4033381869302861E-3</v>
      </c>
      <c r="X1339" s="497">
        <v>7.5079556154042937E-3</v>
      </c>
    </row>
    <row r="1340" spans="2:24" ht="15.75">
      <c r="B1340" s="55"/>
      <c r="C1340" s="55"/>
      <c r="D1340" s="55"/>
      <c r="E1340" s="55"/>
      <c r="F1340" s="55"/>
      <c r="G1340" s="55"/>
      <c r="H1340" s="55"/>
      <c r="I1340" s="55"/>
      <c r="J1340" s="55"/>
      <c r="K1340" s="490"/>
      <c r="L1340" s="55"/>
      <c r="M1340" s="55"/>
      <c r="N1340" s="65"/>
      <c r="O1340" s="65"/>
      <c r="P1340" s="65"/>
      <c r="Q1340" s="65"/>
      <c r="R1340" s="65"/>
      <c r="S1340" s="55"/>
      <c r="T1340" s="55"/>
      <c r="U1340" s="55"/>
      <c r="V1340" s="55"/>
      <c r="W1340" s="55"/>
      <c r="X1340" s="55"/>
    </row>
    <row r="1341" spans="2:24" ht="15.75">
      <c r="B1341" s="55" t="s">
        <v>3187</v>
      </c>
      <c r="C1341" s="85">
        <v>960</v>
      </c>
      <c r="D1341" s="85">
        <v>1393.8</v>
      </c>
      <c r="E1341" s="85">
        <v>1973.5</v>
      </c>
      <c r="F1341" s="85">
        <v>2660.3</v>
      </c>
      <c r="G1341" s="85">
        <v>3088.5</v>
      </c>
      <c r="H1341" s="85">
        <v>3443.9</v>
      </c>
      <c r="I1341" s="85">
        <v>3730</v>
      </c>
      <c r="J1341" s="85">
        <v>3901</v>
      </c>
      <c r="K1341" s="491">
        <v>4061</v>
      </c>
      <c r="L1341" s="85">
        <v>4149</v>
      </c>
      <c r="M1341" s="85">
        <v>4310</v>
      </c>
      <c r="N1341" s="85">
        <v>4416</v>
      </c>
      <c r="O1341" s="85">
        <v>4564</v>
      </c>
      <c r="P1341" s="159">
        <v>4765</v>
      </c>
      <c r="Q1341" s="508">
        <v>4945</v>
      </c>
      <c r="R1341" s="508">
        <v>5195</v>
      </c>
      <c r="S1341" s="508">
        <v>5495</v>
      </c>
      <c r="T1341" s="508">
        <v>5795</v>
      </c>
      <c r="U1341" s="508">
        <v>5995</v>
      </c>
      <c r="V1341" s="508">
        <v>6095</v>
      </c>
      <c r="W1341" s="508">
        <v>6195</v>
      </c>
      <c r="X1341" s="508">
        <v>6495</v>
      </c>
    </row>
    <row r="1342" spans="2:24" ht="15.75">
      <c r="B1342" s="55"/>
      <c r="C1342" s="55"/>
      <c r="D1342" s="55"/>
      <c r="E1342" s="55"/>
      <c r="F1342" s="55"/>
      <c r="G1342" s="55"/>
      <c r="H1342" s="55"/>
      <c r="I1342" s="55"/>
      <c r="J1342" s="55"/>
      <c r="K1342" s="490"/>
      <c r="L1342" s="55"/>
      <c r="M1342" s="55"/>
      <c r="N1342" s="65"/>
      <c r="O1342" s="55"/>
      <c r="P1342" s="55"/>
      <c r="Q1342" s="55"/>
      <c r="R1342" s="55"/>
      <c r="S1342" s="55"/>
      <c r="T1342" s="55"/>
      <c r="U1342" s="55"/>
      <c r="V1342" s="55"/>
      <c r="W1342" s="55"/>
      <c r="X1342" s="55"/>
    </row>
    <row r="1343" spans="2:24" ht="15.75">
      <c r="B1343" s="62" t="s">
        <v>3188</v>
      </c>
      <c r="C1343" s="493">
        <v>1763</v>
      </c>
      <c r="D1343" s="493">
        <v>3619.8100000000004</v>
      </c>
      <c r="E1343" s="493">
        <v>6946.5</v>
      </c>
      <c r="F1343" s="493">
        <v>10776.3</v>
      </c>
      <c r="G1343" s="493">
        <v>13825.5</v>
      </c>
      <c r="H1343" s="493">
        <v>16128.9</v>
      </c>
      <c r="I1343" s="493">
        <v>17542</v>
      </c>
      <c r="J1343" s="493">
        <v>18578</v>
      </c>
      <c r="K1343" s="494">
        <v>19781</v>
      </c>
      <c r="L1343" s="493">
        <v>20945</v>
      </c>
      <c r="M1343" s="493">
        <v>21939</v>
      </c>
      <c r="N1343" s="493">
        <v>22870</v>
      </c>
      <c r="O1343" s="493">
        <v>23870</v>
      </c>
      <c r="P1343" s="493">
        <v>24692</v>
      </c>
      <c r="Q1343" s="493">
        <v>25409.234222630879</v>
      </c>
      <c r="R1343" s="493">
        <v>26053.485257869284</v>
      </c>
      <c r="S1343" s="493">
        <v>26703.611072604504</v>
      </c>
      <c r="T1343" s="493">
        <v>27359.654308355632</v>
      </c>
      <c r="U1343" s="493">
        <v>27752.305233042429</v>
      </c>
      <c r="V1343" s="493">
        <v>28148.266175618388</v>
      </c>
      <c r="W1343" s="493">
        <v>28411.53396324288</v>
      </c>
      <c r="X1343" s="493">
        <v>29213.369769435983</v>
      </c>
    </row>
    <row r="1344" spans="2:24" ht="15.75">
      <c r="B1344" s="62" t="s">
        <v>181</v>
      </c>
      <c r="C1344" s="55"/>
      <c r="D1344" s="497">
        <v>1.0532104367555304</v>
      </c>
      <c r="E1344" s="497">
        <v>0.91902337415499691</v>
      </c>
      <c r="F1344" s="497">
        <v>0.55132800690995465</v>
      </c>
      <c r="G1344" s="497">
        <v>0.28295426073884355</v>
      </c>
      <c r="H1344" s="497">
        <v>0.16660518606921992</v>
      </c>
      <c r="I1344" s="497">
        <v>8.7612918425931108E-2</v>
      </c>
      <c r="J1344" s="497">
        <v>5.9058260175578692E-2</v>
      </c>
      <c r="K1344" s="498">
        <v>6.4754010119496108E-2</v>
      </c>
      <c r="L1344" s="497">
        <v>5.8844345584146307E-2</v>
      </c>
      <c r="M1344" s="497">
        <v>4.7457627118643986E-2</v>
      </c>
      <c r="N1344" s="497">
        <v>4.2435844842517945E-2</v>
      </c>
      <c r="O1344" s="497">
        <v>4.3725404459991291E-2</v>
      </c>
      <c r="P1344" s="497">
        <v>3.4436531210724652E-2</v>
      </c>
      <c r="Q1344" s="497">
        <v>2.9047230788550094E-2</v>
      </c>
      <c r="R1344" s="497">
        <v>2.5354996124385298E-2</v>
      </c>
      <c r="S1344" s="497">
        <v>2.4953506538586856E-2</v>
      </c>
      <c r="T1344" s="497">
        <v>2.4567585034376505E-2</v>
      </c>
      <c r="U1344" s="497">
        <v>1.4351457816734303E-2</v>
      </c>
      <c r="V1344" s="497">
        <v>1.4267677558710279E-2</v>
      </c>
      <c r="W1344" s="497">
        <v>9.3528953428942962E-3</v>
      </c>
      <c r="X1344" s="497">
        <v>9.3040616794535236E-3</v>
      </c>
    </row>
    <row r="1345" spans="2:24" ht="15.75">
      <c r="B1345" s="62" t="s">
        <v>3189</v>
      </c>
      <c r="C1345" s="499">
        <v>5.300645518203493E-2</v>
      </c>
      <c r="D1345" s="499">
        <v>0.10894507044330631</v>
      </c>
      <c r="E1345" s="499">
        <v>0.20901913112554085</v>
      </c>
      <c r="F1345" s="499">
        <v>0.3246949290427551</v>
      </c>
      <c r="G1345" s="499">
        <v>0.42143205511186976</v>
      </c>
      <c r="H1345" s="499">
        <v>0.49826075674072606</v>
      </c>
      <c r="I1345" s="499">
        <v>0.54825603200400053</v>
      </c>
      <c r="J1345" s="499">
        <v>0.58708278821663096</v>
      </c>
      <c r="K1345" s="500">
        <v>0.63105340394308684</v>
      </c>
      <c r="L1345" s="499">
        <v>0.66388792037782496</v>
      </c>
      <c r="M1345" s="499">
        <v>0.6974947542442933</v>
      </c>
      <c r="N1345" s="499">
        <v>0.72822798917369846</v>
      </c>
      <c r="O1345" s="499">
        <v>0.7571528262386602</v>
      </c>
      <c r="P1345" s="499">
        <v>0.80590097588041387</v>
      </c>
      <c r="Q1345" s="499">
        <v>0.83347755529600998</v>
      </c>
      <c r="R1345" s="499">
        <v>0.85890489998020358</v>
      </c>
      <c r="S1345" s="499">
        <v>0.88476139599787329</v>
      </c>
      <c r="T1345" s="499">
        <v>0.9110531123911404</v>
      </c>
      <c r="U1345" s="499">
        <v>0.928771912263745</v>
      </c>
      <c r="V1345" s="499">
        <v>0.94675711601357881</v>
      </c>
      <c r="W1345" s="499">
        <v>0.96041410676863759</v>
      </c>
      <c r="X1345" s="499">
        <v>1.002481257508768</v>
      </c>
    </row>
    <row r="1346" spans="2:24" ht="15.75">
      <c r="B1346" s="55"/>
      <c r="C1346" s="55"/>
      <c r="D1346" s="55"/>
      <c r="E1346" s="55"/>
      <c r="F1346" s="55"/>
      <c r="G1346" s="55"/>
      <c r="H1346" s="55"/>
      <c r="I1346" s="55"/>
      <c r="J1346" s="55"/>
      <c r="K1346" s="490"/>
      <c r="L1346" s="55"/>
      <c r="M1346" s="55"/>
      <c r="N1346" s="55"/>
      <c r="O1346" s="56"/>
      <c r="P1346" s="56"/>
      <c r="Q1346" s="56"/>
      <c r="R1346" s="56"/>
      <c r="S1346" s="56"/>
      <c r="T1346" s="56"/>
      <c r="U1346" s="56"/>
      <c r="V1346" s="56"/>
      <c r="W1346" s="56"/>
      <c r="X1346" s="56"/>
    </row>
    <row r="1347" spans="2:24" ht="15.75">
      <c r="B1347" s="55" t="s">
        <v>3190</v>
      </c>
      <c r="C1347" s="55"/>
      <c r="D1347" s="56">
        <v>0.23362648843985107</v>
      </c>
      <c r="E1347" s="56">
        <v>0.17425729478851354</v>
      </c>
      <c r="F1347" s="56">
        <v>0.17933051334273339</v>
      </c>
      <c r="G1347" s="56">
        <v>0.14043027679391307</v>
      </c>
      <c r="H1347" s="56">
        <v>0.15429365286098817</v>
      </c>
      <c r="I1347" s="56">
        <v>0.20246267072394017</v>
      </c>
      <c r="J1347" s="56">
        <v>0.16505791505791506</v>
      </c>
      <c r="K1347" s="501">
        <v>0.13300083125519535</v>
      </c>
      <c r="L1347" s="56">
        <v>7.560137457044673E-2</v>
      </c>
      <c r="M1347" s="56">
        <v>0.1619718309859155</v>
      </c>
      <c r="N1347" s="56">
        <v>0.11385606874328678</v>
      </c>
      <c r="O1347" s="56">
        <v>0.14799999999999999</v>
      </c>
      <c r="P1347" s="56">
        <v>0.24452554744525548</v>
      </c>
      <c r="Q1347" s="56">
        <v>0.25096404259649507</v>
      </c>
      <c r="R1347" s="56">
        <v>0.38804749441727709</v>
      </c>
      <c r="S1347" s="56">
        <v>0.46144914292040917</v>
      </c>
      <c r="T1347" s="56">
        <v>0.45728693423158207</v>
      </c>
      <c r="U1347" s="56">
        <v>0.50935828091970603</v>
      </c>
      <c r="V1347" s="56">
        <v>0.25255016151199439</v>
      </c>
      <c r="W1347" s="56">
        <v>0.37984138090845088</v>
      </c>
      <c r="X1347" s="56">
        <v>0.37133662366448372</v>
      </c>
    </row>
    <row r="1348" spans="2:24" ht="15.75">
      <c r="B1348" s="62" t="s">
        <v>3191</v>
      </c>
      <c r="C1348" s="55"/>
      <c r="D1348" s="56"/>
      <c r="E1348" s="56"/>
      <c r="F1348" s="56"/>
      <c r="G1348" s="56"/>
      <c r="H1348" s="56"/>
      <c r="I1348" s="56"/>
      <c r="J1348" s="56"/>
      <c r="K1348" s="501"/>
      <c r="L1348" s="56"/>
      <c r="M1348" s="56"/>
      <c r="N1348" s="56"/>
      <c r="O1348" s="55"/>
      <c r="P1348" s="55"/>
      <c r="Q1348" s="55"/>
      <c r="R1348" s="55"/>
      <c r="S1348" s="55"/>
      <c r="T1348" s="55"/>
      <c r="U1348" s="55"/>
      <c r="V1348" s="55"/>
      <c r="W1348" s="55"/>
      <c r="X1348" s="55"/>
    </row>
    <row r="1349" spans="2:24" ht="15.75">
      <c r="B1349" s="55" t="s">
        <v>3165</v>
      </c>
      <c r="C1349" s="55"/>
      <c r="D1349" s="56">
        <v>0.3710444761456349</v>
      </c>
      <c r="E1349" s="56">
        <v>0.29596030564363179</v>
      </c>
      <c r="F1349" s="56">
        <v>0.282532612153993</v>
      </c>
      <c r="G1349" s="56">
        <v>0.37809996184662342</v>
      </c>
      <c r="H1349" s="56">
        <v>0.3809034907597536</v>
      </c>
      <c r="I1349" s="56">
        <v>0.31588287488908606</v>
      </c>
      <c r="J1349" s="56">
        <v>0.43352601156069365</v>
      </c>
      <c r="K1349" s="501">
        <v>0.53595397890699903</v>
      </c>
      <c r="L1349" s="56">
        <v>0.54739776951672858</v>
      </c>
      <c r="M1349" s="56">
        <v>0.50900360144057621</v>
      </c>
      <c r="N1349" s="56">
        <v>0.69939393939393935</v>
      </c>
      <c r="O1349" s="56">
        <v>0.50704225352112675</v>
      </c>
      <c r="P1349" s="56">
        <v>0.62479871175523349</v>
      </c>
      <c r="Q1349" s="509">
        <v>0.56999999999999995</v>
      </c>
      <c r="R1349" s="509">
        <v>0.55000000000000004</v>
      </c>
      <c r="S1349" s="509">
        <v>0.5</v>
      </c>
      <c r="T1349" s="509">
        <v>0.5</v>
      </c>
      <c r="U1349" s="509">
        <v>0.5</v>
      </c>
      <c r="V1349" s="509">
        <v>0.5</v>
      </c>
      <c r="W1349" s="509">
        <v>0.5</v>
      </c>
      <c r="X1349" s="509">
        <v>0.5</v>
      </c>
    </row>
    <row r="1350" spans="2:24" ht="15.75">
      <c r="B1350" s="55" t="s">
        <v>3192</v>
      </c>
      <c r="C1350" s="55"/>
      <c r="D1350" s="56">
        <v>7.0273575027582368E-6</v>
      </c>
      <c r="E1350" s="56">
        <v>3.6039446812693169E-4</v>
      </c>
      <c r="F1350" s="56">
        <v>0.10022271714922049</v>
      </c>
      <c r="G1350" s="56">
        <v>8.3555894696680663E-2</v>
      </c>
      <c r="H1350" s="56">
        <v>0.29004106776180699</v>
      </c>
      <c r="I1350" s="56">
        <v>0.54480922803904175</v>
      </c>
      <c r="J1350" s="56">
        <v>1.4473988439306358</v>
      </c>
      <c r="K1350" s="501">
        <v>1.2464046021093</v>
      </c>
      <c r="L1350" s="56">
        <v>1.2685873605947955</v>
      </c>
      <c r="M1350" s="56">
        <v>1.2857142857142858</v>
      </c>
      <c r="N1350" s="56">
        <v>1.3866666666666667</v>
      </c>
      <c r="O1350" s="56">
        <v>0.86854460093896713</v>
      </c>
      <c r="P1350" s="56">
        <v>0.53945249597423506</v>
      </c>
      <c r="Q1350" s="509">
        <v>0.23</v>
      </c>
      <c r="R1350" s="509">
        <v>0.8</v>
      </c>
      <c r="S1350" s="509">
        <v>0.8</v>
      </c>
      <c r="T1350" s="509">
        <v>0.8</v>
      </c>
      <c r="U1350" s="509">
        <v>0.8</v>
      </c>
      <c r="V1350" s="509">
        <v>0.8</v>
      </c>
      <c r="W1350" s="509">
        <v>0.8</v>
      </c>
      <c r="X1350" s="509">
        <v>0.8</v>
      </c>
    </row>
    <row r="1351" spans="2:24" ht="15.75">
      <c r="B1351" s="55" t="s">
        <v>3193</v>
      </c>
      <c r="C1351" s="55"/>
      <c r="D1351" s="56">
        <v>5.6218860022065895E-3</v>
      </c>
      <c r="E1351" s="56">
        <v>1.055700967240507E-2</v>
      </c>
      <c r="F1351" s="56">
        <v>0</v>
      </c>
      <c r="G1351" s="56">
        <v>0.50934757726058755</v>
      </c>
      <c r="H1351" s="56">
        <v>0.93685831622176596</v>
      </c>
      <c r="I1351" s="56">
        <v>0.74179236912156166</v>
      </c>
      <c r="J1351" s="56">
        <v>-0.44161849710982659</v>
      </c>
      <c r="K1351" s="501">
        <v>-0.29913710450623204</v>
      </c>
      <c r="L1351" s="56">
        <v>-0.66914498141263945</v>
      </c>
      <c r="M1351" s="56">
        <v>-0.55702280912364943</v>
      </c>
      <c r="N1351" s="56">
        <v>-0.85212121212121217</v>
      </c>
      <c r="O1351" s="56">
        <v>-0.32863849765258218</v>
      </c>
      <c r="P1351" s="56">
        <v>-0.18679549114331723</v>
      </c>
      <c r="Q1351" s="509">
        <v>0.25</v>
      </c>
      <c r="R1351" s="509">
        <v>-0.15</v>
      </c>
      <c r="S1351" s="509">
        <v>-0.15</v>
      </c>
      <c r="T1351" s="509">
        <v>-0.15</v>
      </c>
      <c r="U1351" s="509">
        <v>-0.15</v>
      </c>
      <c r="V1351" s="509">
        <v>-0.15</v>
      </c>
      <c r="W1351" s="509">
        <v>-0.15</v>
      </c>
      <c r="X1351" s="509">
        <v>-0.15</v>
      </c>
    </row>
    <row r="1352" spans="2:24" ht="15.75">
      <c r="B1352" s="55" t="s">
        <v>3164</v>
      </c>
      <c r="C1352" s="55"/>
      <c r="D1352" s="56">
        <v>0.62332661049465576</v>
      </c>
      <c r="E1352" s="56">
        <v>0.69312229021583627</v>
      </c>
      <c r="F1352" s="56">
        <v>0.61724467069678646</v>
      </c>
      <c r="G1352" s="56">
        <v>2.8996566196108357E-2</v>
      </c>
      <c r="H1352" s="56">
        <v>-0.6078028747433265</v>
      </c>
      <c r="I1352" s="56">
        <v>-0.60248447204968947</v>
      </c>
      <c r="J1352" s="56">
        <v>-0.43930635838150289</v>
      </c>
      <c r="K1352" s="501">
        <v>-0.48322147651006714</v>
      </c>
      <c r="L1352" s="56">
        <v>-0.14684014869888476</v>
      </c>
      <c r="M1352" s="56">
        <v>-0.23769507803121248</v>
      </c>
      <c r="N1352" s="56">
        <v>-0.23393939393939395</v>
      </c>
      <c r="O1352" s="56">
        <v>-4.6948356807511735E-2</v>
      </c>
      <c r="P1352" s="56">
        <v>2.2544283413848676E-2</v>
      </c>
      <c r="Q1352" s="56">
        <v>-4.9999999999999961E-2</v>
      </c>
      <c r="R1352" s="56">
        <v>-0.20000000000000009</v>
      </c>
      <c r="S1352" s="56">
        <v>-0.15000000000000005</v>
      </c>
      <c r="T1352" s="56">
        <v>-0.15000000000000005</v>
      </c>
      <c r="U1352" s="56">
        <v>-0.15000000000000005</v>
      </c>
      <c r="V1352" s="56">
        <v>-0.15000000000000005</v>
      </c>
      <c r="W1352" s="56">
        <v>-0.15000000000000005</v>
      </c>
      <c r="X1352" s="56">
        <v>-0.15000000000000005</v>
      </c>
    </row>
    <row r="1353" spans="2:24" ht="15.75">
      <c r="B1353" s="55"/>
      <c r="C1353" s="55"/>
      <c r="D1353" s="55"/>
      <c r="E1353" s="55"/>
      <c r="F1353" s="55"/>
      <c r="G1353" s="55"/>
      <c r="H1353" s="55"/>
      <c r="I1353" s="55"/>
      <c r="J1353" s="55"/>
      <c r="K1353" s="490"/>
      <c r="L1353" s="55"/>
      <c r="M1353" s="55"/>
      <c r="N1353" s="55"/>
      <c r="O1353" s="55"/>
      <c r="P1353" s="55"/>
      <c r="Q1353" s="55"/>
      <c r="R1353" s="55"/>
      <c r="S1353" s="55"/>
      <c r="T1353" s="55"/>
      <c r="U1353" s="55"/>
      <c r="V1353" s="55"/>
      <c r="W1353" s="55"/>
      <c r="X1353" s="55"/>
    </row>
    <row r="1354" spans="2:24" ht="15.75">
      <c r="B1354" s="62" t="s">
        <v>3194</v>
      </c>
      <c r="C1354" s="55"/>
      <c r="D1354" s="55"/>
      <c r="E1354" s="55"/>
      <c r="F1354" s="55"/>
      <c r="G1354" s="55"/>
      <c r="H1354" s="55"/>
      <c r="I1354" s="55"/>
      <c r="J1354" s="59"/>
      <c r="K1354" s="502"/>
      <c r="L1354" s="59"/>
      <c r="M1354" s="59"/>
      <c r="N1354" s="59"/>
      <c r="O1354" s="59"/>
      <c r="P1354" s="59"/>
      <c r="Q1354" s="59"/>
      <c r="R1354" s="59"/>
      <c r="S1354" s="59"/>
      <c r="T1354" s="55"/>
      <c r="U1354" s="55"/>
      <c r="V1354" s="55"/>
      <c r="W1354" s="55"/>
      <c r="X1354" s="55"/>
    </row>
    <row r="1355" spans="2:24" ht="15.75">
      <c r="B1355" s="62" t="s">
        <v>3165</v>
      </c>
      <c r="C1355" s="499">
        <v>0.24900737379466817</v>
      </c>
      <c r="D1355" s="499">
        <v>0.26714109304079492</v>
      </c>
      <c r="E1355" s="499">
        <v>0.25624415173108761</v>
      </c>
      <c r="F1355" s="499">
        <v>0.24758033833505008</v>
      </c>
      <c r="G1355" s="499">
        <v>0.26465588947958485</v>
      </c>
      <c r="H1355" s="499">
        <v>0.27286423748674737</v>
      </c>
      <c r="I1355" s="499">
        <v>0.27117774484095314</v>
      </c>
      <c r="J1355" s="499">
        <v>0.27624071482398538</v>
      </c>
      <c r="K1355" s="500">
        <v>0.28770031848743743</v>
      </c>
      <c r="L1355" s="499">
        <v>0.29983289567915972</v>
      </c>
      <c r="M1355" s="499">
        <v>0.30557454760928027</v>
      </c>
      <c r="N1355" s="499">
        <v>0.31836466987319634</v>
      </c>
      <c r="O1355" s="499">
        <v>0.32312526183493928</v>
      </c>
      <c r="P1355" s="499">
        <v>0.32808196986878302</v>
      </c>
      <c r="Q1355" s="499">
        <v>0.33087276197452892</v>
      </c>
      <c r="R1355" s="499">
        <v>0.33101373927221056</v>
      </c>
      <c r="S1355" s="499">
        <v>0.32951065905372784</v>
      </c>
      <c r="T1355" s="499">
        <v>0.32811621083904852</v>
      </c>
      <c r="U1355" s="499">
        <v>0.32694478846622971</v>
      </c>
      <c r="V1355" s="499">
        <v>0.3276028433730942</v>
      </c>
      <c r="W1355" s="499">
        <v>0.3274404662910243</v>
      </c>
      <c r="X1355" s="499">
        <v>0.32704216964589261</v>
      </c>
    </row>
    <row r="1356" spans="2:24" ht="15.75">
      <c r="B1356" s="55" t="s">
        <v>3192</v>
      </c>
      <c r="C1356" s="56">
        <v>0</v>
      </c>
      <c r="D1356" s="56">
        <v>2.7625759363060491E-6</v>
      </c>
      <c r="E1356" s="56">
        <v>1.4395738861297056E-4</v>
      </c>
      <c r="F1356" s="56">
        <v>2.9323608288559153E-2</v>
      </c>
      <c r="G1356" s="56">
        <v>3.8696611334128966E-2</v>
      </c>
      <c r="H1356" s="56">
        <v>6.8200559244585804E-2</v>
      </c>
      <c r="I1356" s="56">
        <v>9.77083570858511E-2</v>
      </c>
      <c r="J1356" s="56">
        <v>0.15965120034449348</v>
      </c>
      <c r="K1356" s="501">
        <v>0.21566149335220666</v>
      </c>
      <c r="L1356" s="56">
        <v>0.26884698018620196</v>
      </c>
      <c r="M1356" s="56">
        <v>0.3054833857514016</v>
      </c>
      <c r="N1356" s="56">
        <v>0.34306952339309138</v>
      </c>
      <c r="O1356" s="59">
        <v>0.35969836614997908</v>
      </c>
      <c r="P1356" s="59">
        <v>0.36129110643123302</v>
      </c>
      <c r="Q1356" s="59">
        <v>0.35595578331713396</v>
      </c>
      <c r="R1356" s="59">
        <v>0.35925960027051318</v>
      </c>
      <c r="S1356" s="59">
        <v>0.36100231257014676</v>
      </c>
      <c r="T1356" s="59">
        <v>0.36275677418752478</v>
      </c>
      <c r="U1356" s="59">
        <v>0.36317778270664397</v>
      </c>
      <c r="V1356" s="59">
        <v>0.3664804563533115</v>
      </c>
      <c r="W1356" s="59">
        <v>0.36768178998042228</v>
      </c>
      <c r="X1356" s="59">
        <v>0.37133245477208165</v>
      </c>
    </row>
    <row r="1357" spans="2:24" ht="15.75">
      <c r="B1357" s="55" t="s">
        <v>3193</v>
      </c>
      <c r="C1357" s="56">
        <v>1.7016449234259785E-3</v>
      </c>
      <c r="D1357" s="56">
        <v>3.0388335299366539E-3</v>
      </c>
      <c r="E1357" s="56">
        <v>5.7582955445188225E-3</v>
      </c>
      <c r="F1357" s="56">
        <v>3.7118491504505259E-3</v>
      </c>
      <c r="G1357" s="56">
        <v>9.9453907634443603E-2</v>
      </c>
      <c r="H1357" s="56">
        <v>0.19840162689334054</v>
      </c>
      <c r="I1357" s="56">
        <v>0.23007638809713829</v>
      </c>
      <c r="J1357" s="56">
        <v>0.19668425018839489</v>
      </c>
      <c r="K1357" s="501">
        <v>0.16895000252767808</v>
      </c>
      <c r="L1357" s="56">
        <v>0.12518500835521604</v>
      </c>
      <c r="M1357" s="56">
        <v>9.8363644651077983E-2</v>
      </c>
      <c r="N1357" s="56">
        <v>6.3620463489287279E-2</v>
      </c>
      <c r="O1357" s="59">
        <v>4.9224968579807286E-2</v>
      </c>
      <c r="P1357" s="59">
        <v>4.2888384901992503E-2</v>
      </c>
      <c r="Q1357" s="59">
        <v>4.6963578091420509E-2</v>
      </c>
      <c r="R1357" s="59">
        <v>4.3532406092554939E-2</v>
      </c>
      <c r="S1357" s="59">
        <v>4.0505833657506846E-2</v>
      </c>
      <c r="T1357" s="59">
        <v>3.7582548785529829E-2</v>
      </c>
      <c r="U1357" s="59">
        <v>3.6009545718967681E-2</v>
      </c>
      <c r="V1357" s="59">
        <v>3.3925846684537908E-2</v>
      </c>
      <c r="W1357" s="59">
        <v>3.2749502218700939E-2</v>
      </c>
      <c r="X1357" s="59">
        <v>2.9273864343157055E-2</v>
      </c>
    </row>
    <row r="1358" spans="2:24" ht="15.75">
      <c r="B1358" s="55" t="s">
        <v>3164</v>
      </c>
      <c r="C1358" s="56">
        <v>0.20476460578559275</v>
      </c>
      <c r="D1358" s="56">
        <v>0.34476947685099496</v>
      </c>
      <c r="E1358" s="56">
        <v>0.45375368890808321</v>
      </c>
      <c r="F1358" s="56">
        <v>0.47251839685235197</v>
      </c>
      <c r="G1358" s="56">
        <v>0.37380203247622146</v>
      </c>
      <c r="H1358" s="56">
        <v>0.24701002548220896</v>
      </c>
      <c r="I1358" s="56">
        <v>0.18840497092691824</v>
      </c>
      <c r="J1358" s="56">
        <v>0.15744428894391216</v>
      </c>
      <c r="K1358" s="501">
        <v>0.12239017238764471</v>
      </c>
      <c r="L1358" s="56">
        <v>0.10804487944616854</v>
      </c>
      <c r="M1358" s="56">
        <v>9.4124618259720128E-2</v>
      </c>
      <c r="N1358" s="56">
        <v>8.1853957149103623E-2</v>
      </c>
      <c r="O1358" s="59">
        <v>7.6749057394218681E-2</v>
      </c>
      <c r="P1358" s="59">
        <v>7.4761056212538493E-2</v>
      </c>
      <c r="Q1358" s="59">
        <v>7.1593589674112654E-2</v>
      </c>
      <c r="R1358" s="59">
        <v>6.6796747713250088E-2</v>
      </c>
      <c r="S1358" s="59">
        <v>6.3203781878848245E-2</v>
      </c>
      <c r="T1358" s="59">
        <v>5.9736234450472894E-2</v>
      </c>
      <c r="U1358" s="59">
        <v>5.7849792010550016E-2</v>
      </c>
      <c r="V1358" s="59">
        <v>5.5458866788412921E-2</v>
      </c>
      <c r="W1358" s="59">
        <v>5.408299242141134E-2</v>
      </c>
      <c r="X1358" s="59">
        <v>5.0021802230245861E-2</v>
      </c>
    </row>
    <row r="1359" spans="2:24" ht="15.75">
      <c r="B1359" s="55" t="s">
        <v>16</v>
      </c>
      <c r="C1359" s="56">
        <v>0.54452637549631311</v>
      </c>
      <c r="D1359" s="56">
        <v>0.38504783400233711</v>
      </c>
      <c r="E1359" s="56">
        <v>0.28409990642769739</v>
      </c>
      <c r="F1359" s="56">
        <v>0.24686580737358838</v>
      </c>
      <c r="G1359" s="56">
        <v>0.22339155907562114</v>
      </c>
      <c r="H1359" s="56">
        <v>0.21352355089311734</v>
      </c>
      <c r="I1359" s="56">
        <v>0.2126325390491392</v>
      </c>
      <c r="J1359" s="56">
        <v>0.20997954569921412</v>
      </c>
      <c r="K1359" s="501">
        <v>0.20529801324503311</v>
      </c>
      <c r="L1359" s="56">
        <v>0.19809023633325376</v>
      </c>
      <c r="M1359" s="56">
        <v>0.19645380372851998</v>
      </c>
      <c r="N1359" s="56">
        <v>0.19309138609532139</v>
      </c>
      <c r="O1359" s="59">
        <v>0.19120234604105571</v>
      </c>
      <c r="P1359" s="59">
        <v>0.192977482585453</v>
      </c>
      <c r="Q1359" s="59">
        <v>0.19461428694280394</v>
      </c>
      <c r="R1359" s="59">
        <v>0.1993975066514713</v>
      </c>
      <c r="S1359" s="59">
        <v>0.20577741283977036</v>
      </c>
      <c r="T1359" s="59">
        <v>0.21180823173742397</v>
      </c>
      <c r="U1359" s="59">
        <v>0.21601809109760864</v>
      </c>
      <c r="V1359" s="59">
        <v>0.21653198680064348</v>
      </c>
      <c r="W1359" s="59">
        <v>0.21804524908844117</v>
      </c>
      <c r="X1359" s="59">
        <v>0.22232970900862278</v>
      </c>
    </row>
    <row r="1360" spans="2:24" ht="15.75">
      <c r="B1360" s="55"/>
      <c r="C1360" s="56"/>
      <c r="D1360" s="56"/>
      <c r="E1360" s="56"/>
      <c r="F1360" s="56"/>
      <c r="G1360" s="56"/>
      <c r="H1360" s="56"/>
      <c r="I1360" s="56"/>
      <c r="J1360" s="56"/>
      <c r="K1360" s="501"/>
      <c r="L1360" s="56"/>
      <c r="M1360" s="56"/>
      <c r="N1360" s="56"/>
      <c r="O1360" s="56"/>
      <c r="P1360" s="56"/>
      <c r="Q1360" s="56"/>
      <c r="R1360" s="56"/>
      <c r="S1360" s="56"/>
      <c r="T1360" s="56"/>
      <c r="U1360" s="56"/>
      <c r="V1360" s="56"/>
      <c r="W1360" s="56"/>
      <c r="X1360" s="56"/>
    </row>
    <row r="1361" spans="2:24" ht="15.75">
      <c r="B1361" s="55" t="s">
        <v>3195</v>
      </c>
      <c r="C1361" s="56">
        <v>1.5071926391320767E-2</v>
      </c>
      <c r="D1361" s="56">
        <v>3.3700425175994982E-2</v>
      </c>
      <c r="E1361" s="56">
        <v>6.38496305330368E-2</v>
      </c>
      <c r="F1361" s="56">
        <v>0.10377688747131354</v>
      </c>
      <c r="G1361" s="56">
        <v>0.15309623430962344</v>
      </c>
      <c r="H1361" s="56">
        <v>0.19522689970279022</v>
      </c>
      <c r="I1361" s="56">
        <v>0.23198088364381156</v>
      </c>
      <c r="J1361" s="56">
        <v>0.27779582115405432</v>
      </c>
      <c r="K1361" s="501">
        <v>0.34039117172079669</v>
      </c>
      <c r="L1361" s="56">
        <v>0.4059469941822883</v>
      </c>
      <c r="M1361" s="56">
        <v>0.46646256610075149</v>
      </c>
      <c r="N1361" s="56">
        <v>0.53177037686240136</v>
      </c>
      <c r="O1361" s="56">
        <v>0.58716504263093783</v>
      </c>
      <c r="P1361" s="56">
        <v>0.63532271978668342</v>
      </c>
      <c r="Q1361" s="56">
        <v>0.6778192125073712</v>
      </c>
      <c r="R1361" s="56">
        <v>0.71816901029318436</v>
      </c>
      <c r="S1361" s="56">
        <v>0.75294502678127417</v>
      </c>
      <c r="T1361" s="56">
        <v>0.78922088898363174</v>
      </c>
      <c r="U1361" s="56">
        <v>0.81758527805962022</v>
      </c>
      <c r="V1361" s="56">
        <v>0.84972614602763108</v>
      </c>
      <c r="W1361" s="56">
        <v>0.8766357383105019</v>
      </c>
      <c r="X1361" s="56">
        <v>0.96265281889442844</v>
      </c>
    </row>
    <row r="1362" spans="2:24" ht="15.75">
      <c r="B1362" s="62" t="s">
        <v>3196</v>
      </c>
      <c r="C1362" s="497"/>
      <c r="D1362" s="499">
        <v>1.813371924612675E-2</v>
      </c>
      <c r="E1362" s="499">
        <v>-1.0896941309707309E-2</v>
      </c>
      <c r="F1362" s="499">
        <v>-8.6638133960375285E-3</v>
      </c>
      <c r="G1362" s="499">
        <v>1.7075551144534767E-2</v>
      </c>
      <c r="H1362" s="499">
        <v>8.2083480071625248E-3</v>
      </c>
      <c r="I1362" s="499">
        <v>-1.6864926457942353E-3</v>
      </c>
      <c r="J1362" s="499">
        <v>5.0629699830322394E-3</v>
      </c>
      <c r="K1362" s="500">
        <v>1.1459603663452056E-2</v>
      </c>
      <c r="L1362" s="499">
        <v>1.2132577191722282E-2</v>
      </c>
      <c r="M1362" s="499">
        <v>5.7416519301205504E-3</v>
      </c>
      <c r="N1362" s="499">
        <v>1.2790122263916071E-2</v>
      </c>
      <c r="O1362" s="499">
        <v>4.7605919617429437E-3</v>
      </c>
      <c r="P1362" s="499">
        <v>4.9567080338441261E-3</v>
      </c>
      <c r="Q1362" s="499">
        <v>2.7907921057455098E-3</v>
      </c>
      <c r="R1362" s="499">
        <v>1.4097729768164369E-4</v>
      </c>
      <c r="S1362" s="499">
        <v>-1.5030802184827219E-3</v>
      </c>
      <c r="T1362" s="499">
        <v>-1.3944482146793225E-3</v>
      </c>
      <c r="U1362" s="499">
        <v>-1.1714223728188089E-3</v>
      </c>
      <c r="V1362" s="499">
        <v>6.5805490686449142E-4</v>
      </c>
      <c r="W1362" s="499">
        <v>-1.6237708206989776E-4</v>
      </c>
      <c r="X1362" s="499">
        <v>-1.1825910364815506E-4</v>
      </c>
    </row>
    <row r="1363" spans="2:24" ht="15.75">
      <c r="B1363" s="55"/>
      <c r="C1363" s="55"/>
      <c r="D1363" s="55"/>
      <c r="E1363" s="55"/>
      <c r="F1363" s="55"/>
      <c r="G1363" s="55"/>
      <c r="H1363" s="55"/>
      <c r="I1363" s="55"/>
      <c r="J1363" s="55"/>
      <c r="K1363" s="490"/>
      <c r="L1363" s="55"/>
      <c r="M1363" s="55"/>
      <c r="N1363" s="55"/>
      <c r="O1363" s="55"/>
      <c r="P1363" s="55"/>
      <c r="Q1363" s="55"/>
      <c r="R1363" s="55"/>
      <c r="S1363" s="55"/>
      <c r="T1363" s="55"/>
      <c r="U1363" s="55"/>
      <c r="V1363" s="55"/>
      <c r="W1363" s="55"/>
      <c r="X1363" s="55"/>
    </row>
    <row r="1364" spans="2:24" ht="15.75">
      <c r="B1364" s="55" t="s">
        <v>3197</v>
      </c>
      <c r="C1364" s="503">
        <v>24745.612499999992</v>
      </c>
      <c r="D1364" s="503">
        <v>24869.34056249999</v>
      </c>
      <c r="E1364" s="503">
        <v>24993.687265312488</v>
      </c>
      <c r="F1364" s="503">
        <v>25118.655701639047</v>
      </c>
      <c r="G1364" s="503">
        <v>25244.24898014724</v>
      </c>
      <c r="H1364" s="503">
        <v>25370.470225047975</v>
      </c>
      <c r="I1364" s="503">
        <v>25497.322576173214</v>
      </c>
      <c r="J1364" s="503">
        <v>25624.809189054078</v>
      </c>
      <c r="K1364" s="504">
        <v>25752.933234999346</v>
      </c>
      <c r="L1364" s="503">
        <v>25881.697901174339</v>
      </c>
      <c r="M1364" s="503">
        <v>26011.106390680208</v>
      </c>
      <c r="N1364" s="503">
        <v>26141.161922633608</v>
      </c>
      <c r="O1364" s="503">
        <v>26271.867732246774</v>
      </c>
      <c r="P1364" s="503">
        <v>26271.867732246774</v>
      </c>
      <c r="Q1364" s="503">
        <v>26403.227070908004</v>
      </c>
      <c r="R1364" s="503">
        <v>26535.243206262541</v>
      </c>
      <c r="S1364" s="503">
        <v>26667.919422293849</v>
      </c>
      <c r="T1364" s="503">
        <v>26801.259019405315</v>
      </c>
      <c r="U1364" s="503">
        <v>26935.26531450234</v>
      </c>
      <c r="V1364" s="503">
        <v>27069.941641074849</v>
      </c>
      <c r="W1364" s="503">
        <v>27205.291349280222</v>
      </c>
      <c r="X1364" s="503">
        <v>27615.41451703203</v>
      </c>
    </row>
    <row r="1365" spans="2:24" ht="15.75">
      <c r="B1365" s="55" t="s">
        <v>3198</v>
      </c>
      <c r="C1365" s="505">
        <v>3000</v>
      </c>
      <c r="D1365" s="505">
        <v>3000</v>
      </c>
      <c r="E1365" s="505">
        <v>3000</v>
      </c>
      <c r="F1365" s="505">
        <v>3000</v>
      </c>
      <c r="G1365" s="505">
        <v>3000</v>
      </c>
      <c r="H1365" s="505">
        <v>3000</v>
      </c>
      <c r="I1365" s="505">
        <v>3000</v>
      </c>
      <c r="J1365" s="505">
        <v>3000</v>
      </c>
      <c r="K1365" s="506">
        <v>3000</v>
      </c>
      <c r="L1365" s="505">
        <v>3000</v>
      </c>
      <c r="M1365" s="505">
        <v>3000</v>
      </c>
      <c r="N1365" s="505">
        <v>3000</v>
      </c>
      <c r="O1365" s="505">
        <v>3000</v>
      </c>
      <c r="P1365" s="505">
        <v>3000</v>
      </c>
      <c r="Q1365" s="505">
        <v>3000</v>
      </c>
      <c r="R1365" s="505">
        <v>3000</v>
      </c>
      <c r="S1365" s="505">
        <v>3000</v>
      </c>
      <c r="T1365" s="505">
        <v>3000</v>
      </c>
      <c r="U1365" s="505">
        <v>3000</v>
      </c>
      <c r="V1365" s="505">
        <v>3000</v>
      </c>
      <c r="W1365" s="505">
        <v>3000</v>
      </c>
      <c r="X1365" s="505">
        <v>3000</v>
      </c>
    </row>
    <row r="1366" spans="2:24" ht="15.75">
      <c r="B1366" s="62" t="s">
        <v>3199</v>
      </c>
      <c r="C1366" s="250">
        <v>27745.612499999992</v>
      </c>
      <c r="D1366" s="250">
        <v>27869.34056249999</v>
      </c>
      <c r="E1366" s="250">
        <v>27993.687265312488</v>
      </c>
      <c r="F1366" s="250">
        <v>28118.655701639047</v>
      </c>
      <c r="G1366" s="250">
        <v>28244.24898014724</v>
      </c>
      <c r="H1366" s="250">
        <v>28370.470225047975</v>
      </c>
      <c r="I1366" s="250">
        <v>28497.322576173214</v>
      </c>
      <c r="J1366" s="250">
        <v>28624.809189054078</v>
      </c>
      <c r="K1366" s="507">
        <v>28752.933234999346</v>
      </c>
      <c r="L1366" s="250">
        <v>28881.697901174339</v>
      </c>
      <c r="M1366" s="250">
        <v>29011.106390680208</v>
      </c>
      <c r="N1366" s="250">
        <v>29141.161922633608</v>
      </c>
      <c r="O1366" s="250">
        <v>29271.867732246774</v>
      </c>
      <c r="P1366" s="250">
        <v>29271.867732246774</v>
      </c>
      <c r="Q1366" s="250">
        <v>29403.227070908004</v>
      </c>
      <c r="R1366" s="250">
        <v>29535.243206262541</v>
      </c>
      <c r="S1366" s="250">
        <v>29667.919422293849</v>
      </c>
      <c r="T1366" s="250">
        <v>29801.259019405315</v>
      </c>
      <c r="U1366" s="250">
        <v>29935.26531450234</v>
      </c>
      <c r="V1366" s="250">
        <v>30069.941641074849</v>
      </c>
      <c r="W1366" s="250">
        <v>30205.291349280222</v>
      </c>
      <c r="X1366" s="250">
        <v>30615.41451703203</v>
      </c>
    </row>
    <row r="1367" spans="2:24" ht="15.75">
      <c r="B1367" s="55"/>
      <c r="C1367" s="55"/>
      <c r="D1367" s="55"/>
      <c r="E1367" s="55"/>
      <c r="F1367" s="55"/>
      <c r="G1367" s="55"/>
      <c r="H1367" s="55"/>
      <c r="I1367" s="55"/>
      <c r="J1367" s="55"/>
      <c r="K1367" s="490"/>
      <c r="L1367" s="55"/>
      <c r="M1367" s="55"/>
      <c r="N1367" s="55"/>
      <c r="O1367" s="55"/>
      <c r="P1367" s="55"/>
      <c r="Q1367" s="55"/>
      <c r="R1367" s="55"/>
      <c r="S1367" s="55"/>
      <c r="T1367" s="55"/>
      <c r="U1367" s="55"/>
      <c r="V1367" s="55"/>
      <c r="W1367" s="55"/>
      <c r="X1367" s="55"/>
    </row>
    <row r="1368" spans="2:24">
      <c r="B1368" s="510" t="s">
        <v>3174</v>
      </c>
      <c r="C1368" s="509">
        <v>0.3</v>
      </c>
      <c r="D1368" s="509">
        <v>0.4</v>
      </c>
      <c r="E1368" s="509">
        <v>0.6</v>
      </c>
      <c r="F1368" s="509">
        <v>0.7</v>
      </c>
      <c r="G1368" s="509">
        <v>0.7</v>
      </c>
      <c r="H1368" s="509">
        <v>0.8</v>
      </c>
      <c r="I1368" s="509">
        <v>0.8</v>
      </c>
      <c r="J1368" s="509">
        <v>0.9</v>
      </c>
      <c r="K1368" s="511">
        <v>0.9</v>
      </c>
      <c r="L1368" s="509">
        <v>0.9</v>
      </c>
      <c r="M1368" s="509">
        <v>0.9</v>
      </c>
      <c r="N1368" s="509">
        <v>0.9</v>
      </c>
      <c r="O1368" s="509">
        <v>0.9</v>
      </c>
      <c r="P1368" s="509">
        <v>0.9</v>
      </c>
      <c r="Q1368" s="509">
        <v>0.9</v>
      </c>
      <c r="R1368" s="509">
        <v>0.9</v>
      </c>
      <c r="S1368" s="509">
        <v>0.9</v>
      </c>
      <c r="T1368" s="509">
        <v>0.9</v>
      </c>
      <c r="U1368" s="509">
        <v>0.9</v>
      </c>
      <c r="V1368" s="509">
        <v>0.9</v>
      </c>
      <c r="W1368" s="509">
        <v>0.9</v>
      </c>
      <c r="X1368" s="509">
        <v>0.9</v>
      </c>
    </row>
    <row r="1369" spans="2:24">
      <c r="B1369" s="510" t="s">
        <v>3175</v>
      </c>
      <c r="C1369" s="512">
        <v>900</v>
      </c>
      <c r="D1369" s="512">
        <v>1200</v>
      </c>
      <c r="E1369" s="512">
        <v>1800</v>
      </c>
      <c r="F1369" s="512">
        <v>2100</v>
      </c>
      <c r="G1369" s="512">
        <v>2100</v>
      </c>
      <c r="H1369" s="512">
        <v>2400</v>
      </c>
      <c r="I1369" s="512">
        <v>2400</v>
      </c>
      <c r="J1369" s="512">
        <v>2700</v>
      </c>
      <c r="K1369" s="513">
        <v>2700</v>
      </c>
      <c r="L1369" s="512">
        <v>2700</v>
      </c>
      <c r="M1369" s="512">
        <v>2700</v>
      </c>
      <c r="N1369" s="512">
        <v>2700</v>
      </c>
      <c r="O1369" s="512">
        <v>2700</v>
      </c>
      <c r="P1369" s="512">
        <v>2700</v>
      </c>
      <c r="Q1369" s="512">
        <v>2700</v>
      </c>
      <c r="R1369" s="512">
        <v>2700</v>
      </c>
      <c r="S1369" s="512">
        <v>2700</v>
      </c>
      <c r="T1369" s="512">
        <v>2700</v>
      </c>
      <c r="U1369" s="512">
        <v>2700</v>
      </c>
      <c r="V1369" s="512">
        <v>2700</v>
      </c>
      <c r="W1369" s="512">
        <v>2700</v>
      </c>
      <c r="X1369" s="512">
        <v>2700</v>
      </c>
    </row>
    <row r="1370" spans="2:24">
      <c r="B1370" s="510" t="s">
        <v>3176</v>
      </c>
      <c r="C1370" s="512">
        <v>863</v>
      </c>
      <c r="D1370" s="512">
        <v>2419.8100000000004</v>
      </c>
      <c r="E1370" s="512">
        <v>5146.5</v>
      </c>
      <c r="F1370" s="512">
        <v>8676.2999999999993</v>
      </c>
      <c r="G1370" s="512">
        <v>11725.5</v>
      </c>
      <c r="H1370" s="512">
        <v>13728.9</v>
      </c>
      <c r="I1370" s="512">
        <v>15142</v>
      </c>
      <c r="J1370" s="512">
        <v>15878</v>
      </c>
      <c r="K1370" s="513">
        <v>17081</v>
      </c>
      <c r="L1370" s="512">
        <v>18245</v>
      </c>
      <c r="M1370" s="512">
        <v>19239</v>
      </c>
      <c r="N1370" s="512">
        <v>20170</v>
      </c>
      <c r="O1370" s="512">
        <v>21170</v>
      </c>
      <c r="P1370" s="512">
        <v>21992</v>
      </c>
      <c r="Q1370" s="512">
        <v>22709.234222630879</v>
      </c>
      <c r="R1370" s="512">
        <v>23353.485257869284</v>
      </c>
      <c r="S1370" s="512">
        <v>24003.611072604504</v>
      </c>
      <c r="T1370" s="512">
        <v>24659.654308355632</v>
      </c>
      <c r="U1370" s="514">
        <v>25052.305233042429</v>
      </c>
      <c r="V1370" s="514">
        <v>25448.266175618388</v>
      </c>
      <c r="W1370" s="514">
        <v>25711.53396324288</v>
      </c>
      <c r="X1370" s="514">
        <v>26513.369769435983</v>
      </c>
    </row>
    <row r="1371" spans="2:24" ht="15.75">
      <c r="B1371" s="57" t="s">
        <v>687</v>
      </c>
      <c r="C1371" s="497">
        <v>3.4874869231868895E-2</v>
      </c>
      <c r="D1371" s="497">
        <v>9.7300931398590695E-2</v>
      </c>
      <c r="E1371" s="497">
        <v>0.20591199471166363</v>
      </c>
      <c r="F1371" s="497">
        <v>0.34541259305663607</v>
      </c>
      <c r="G1371" s="497">
        <v>0.4644820295197235</v>
      </c>
      <c r="H1371" s="497">
        <v>0.54113699423850703</v>
      </c>
      <c r="I1371" s="497">
        <v>0.59386627575359319</v>
      </c>
      <c r="J1371" s="497">
        <v>0.61963388226057359</v>
      </c>
      <c r="K1371" s="498">
        <v>0.66326425204202311</v>
      </c>
      <c r="L1371" s="497">
        <v>0.70493829538023334</v>
      </c>
      <c r="M1371" s="497">
        <v>0.73964558489112719</v>
      </c>
      <c r="N1371" s="497">
        <v>0.77158008736162409</v>
      </c>
      <c r="O1371" s="497">
        <v>0.80580490948557082</v>
      </c>
      <c r="P1371" s="497">
        <v>0.83709313034514277</v>
      </c>
      <c r="Q1371" s="497">
        <v>0.86009313034514279</v>
      </c>
      <c r="R1371" s="497">
        <v>0.8800931303451428</v>
      </c>
      <c r="S1371" s="497">
        <v>0.90009313034514282</v>
      </c>
      <c r="T1371" s="497">
        <v>0.92009313034514284</v>
      </c>
      <c r="U1371" s="497">
        <v>0.93009313034514285</v>
      </c>
      <c r="V1371" s="497">
        <v>0.94009313034514286</v>
      </c>
      <c r="W1371" s="497">
        <v>0.94509313034514286</v>
      </c>
      <c r="X1371" s="497">
        <v>0.96009313034514288</v>
      </c>
    </row>
    <row r="1372" spans="2:24" ht="15.75">
      <c r="B1372" s="55" t="s">
        <v>514</v>
      </c>
      <c r="C1372" s="55"/>
      <c r="D1372" s="56">
        <v>6.24260621667218E-2</v>
      </c>
      <c r="E1372" s="56">
        <v>0.10861106331307294</v>
      </c>
      <c r="F1372" s="56">
        <v>0.13950059834497244</v>
      </c>
      <c r="G1372" s="56">
        <v>0.11906943646308743</v>
      </c>
      <c r="H1372" s="56">
        <v>7.6654964718783525E-2</v>
      </c>
      <c r="I1372" s="59">
        <v>5.2729281515086157E-2</v>
      </c>
      <c r="J1372" s="59">
        <v>2.5767606506980401E-2</v>
      </c>
      <c r="K1372" s="502">
        <v>4.3630369781449518E-2</v>
      </c>
      <c r="L1372" s="59">
        <v>4.1674043338210232E-2</v>
      </c>
      <c r="M1372" s="59">
        <v>3.4707289510893857E-2</v>
      </c>
      <c r="N1372" s="59">
        <v>3.1934502470496895E-2</v>
      </c>
      <c r="O1372" s="59">
        <v>3.422482212394673E-2</v>
      </c>
      <c r="P1372" s="59">
        <v>3.1288220859571947E-2</v>
      </c>
      <c r="Q1372" s="63">
        <v>2.3E-2</v>
      </c>
      <c r="R1372" s="63">
        <v>0.02</v>
      </c>
      <c r="S1372" s="63">
        <v>0.02</v>
      </c>
      <c r="T1372" s="63">
        <v>0.02</v>
      </c>
      <c r="U1372" s="63">
        <v>0.01</v>
      </c>
      <c r="V1372" s="63">
        <v>0.01</v>
      </c>
      <c r="W1372" s="63">
        <v>5.0000000000000001E-3</v>
      </c>
      <c r="X1372" s="63">
        <v>5.0000000000000001E-3</v>
      </c>
    </row>
    <row r="1375" spans="2:24">
      <c r="C1375">
        <v>2001</v>
      </c>
      <c r="D1375">
        <v>2002</v>
      </c>
      <c r="E1375">
        <f t="shared" ref="E1375:Q1375" si="104">D1375+1</f>
        <v>2003</v>
      </c>
      <c r="F1375">
        <f t="shared" si="104"/>
        <v>2004</v>
      </c>
      <c r="G1375">
        <f t="shared" si="104"/>
        <v>2005</v>
      </c>
      <c r="H1375">
        <f t="shared" si="104"/>
        <v>2006</v>
      </c>
      <c r="I1375">
        <f t="shared" si="104"/>
        <v>2007</v>
      </c>
      <c r="J1375">
        <f t="shared" si="104"/>
        <v>2008</v>
      </c>
      <c r="K1375">
        <f t="shared" si="104"/>
        <v>2009</v>
      </c>
      <c r="L1375">
        <f t="shared" si="104"/>
        <v>2010</v>
      </c>
      <c r="M1375">
        <f t="shared" si="104"/>
        <v>2011</v>
      </c>
      <c r="N1375">
        <f t="shared" si="104"/>
        <v>2012</v>
      </c>
      <c r="O1375">
        <f t="shared" si="104"/>
        <v>2013</v>
      </c>
      <c r="P1375">
        <f t="shared" si="104"/>
        <v>2014</v>
      </c>
      <c r="Q1375">
        <f t="shared" si="104"/>
        <v>2015</v>
      </c>
    </row>
    <row r="1376" spans="2:24">
      <c r="B1376" t="s">
        <v>3261</v>
      </c>
      <c r="C1376" s="8">
        <v>0.86046511627906974</v>
      </c>
      <c r="D1376" s="8">
        <v>0.70049680624556421</v>
      </c>
      <c r="E1376" s="8">
        <v>0.54791929382093318</v>
      </c>
      <c r="F1376" s="8">
        <v>0.47686481146056314</v>
      </c>
      <c r="G1376" s="8">
        <v>0.47014767932489454</v>
      </c>
      <c r="H1376" s="8">
        <v>0.46670874092773745</v>
      </c>
      <c r="I1376" s="8">
        <v>0.4685685221032671</v>
      </c>
      <c r="J1376" s="8">
        <v>0.46693785039534108</v>
      </c>
      <c r="K1376" s="8">
        <v>0.45130100232864229</v>
      </c>
      <c r="L1376" s="8">
        <v>0.43352418013123206</v>
      </c>
      <c r="M1376" s="8">
        <v>0.42182991069587322</v>
      </c>
      <c r="N1376" s="8">
        <v>0.41234533343073554</v>
      </c>
      <c r="O1376" s="8">
        <v>0.40383521121757304</v>
      </c>
      <c r="P1376" s="8">
        <v>0.40154614718388248</v>
      </c>
      <c r="Q1376" s="8">
        <v>0.40077270227540451</v>
      </c>
    </row>
    <row r="1377" spans="2:17">
      <c r="B1377" t="s">
        <v>3262</v>
      </c>
      <c r="C1377" s="8">
        <v>4.6511627906976744E-2</v>
      </c>
      <c r="D1377" s="8">
        <v>7.0333569907735982E-2</v>
      </c>
      <c r="E1377" s="8">
        <v>0.15290037831021439</v>
      </c>
      <c r="F1377" s="8">
        <v>0.1752017124979417</v>
      </c>
      <c r="G1377" s="8">
        <v>0.16824894514767932</v>
      </c>
      <c r="H1377" s="8">
        <v>0.17970968759861156</v>
      </c>
      <c r="I1377" s="8">
        <v>0.18642594714178484</v>
      </c>
      <c r="J1377" s="8">
        <v>0.18953795364592296</v>
      </c>
      <c r="K1377" s="8">
        <v>0.19125240457628834</v>
      </c>
      <c r="L1377" s="8">
        <v>0.21407085958560296</v>
      </c>
      <c r="M1377" s="8">
        <v>0.21373597042469061</v>
      </c>
      <c r="N1377" s="8">
        <v>0.22355168471017439</v>
      </c>
      <c r="O1377" s="8">
        <v>0.2253295005210835</v>
      </c>
      <c r="P1377" s="8">
        <v>0.22757125668099501</v>
      </c>
      <c r="Q1377" s="8">
        <v>0.22917298738274949</v>
      </c>
    </row>
    <row r="1378" spans="2:17">
      <c r="B1378" s="61" t="s">
        <v>3263</v>
      </c>
      <c r="C1378" s="457">
        <v>9.3023255813953543E-2</v>
      </c>
      <c r="D1378" s="457">
        <v>0.22916962384669981</v>
      </c>
      <c r="E1378" s="457">
        <v>0.2991803278688524</v>
      </c>
      <c r="F1378" s="457">
        <v>0.34793347604149516</v>
      </c>
      <c r="G1378" s="457">
        <v>0.36160337552742616</v>
      </c>
      <c r="H1378" s="457">
        <v>0.35358157147365105</v>
      </c>
      <c r="I1378" s="457">
        <v>0.34500553075494805</v>
      </c>
      <c r="J1378" s="457">
        <v>0.34352419595873596</v>
      </c>
      <c r="K1378" s="457">
        <v>0.35744659309506938</v>
      </c>
      <c r="L1378" s="457">
        <v>0.35240496028316504</v>
      </c>
      <c r="M1378" s="457">
        <v>0.36443411887943616</v>
      </c>
      <c r="N1378" s="457">
        <v>0.36410298185909007</v>
      </c>
      <c r="O1378" s="457">
        <v>0.37083528826134349</v>
      </c>
      <c r="P1378" s="457">
        <v>0.37088259613512253</v>
      </c>
      <c r="Q1378" s="457">
        <v>0.37005431034184599</v>
      </c>
    </row>
    <row r="1379" spans="2:17">
      <c r="C1379" s="8">
        <v>1</v>
      </c>
      <c r="D1379" s="8">
        <v>1</v>
      </c>
      <c r="E1379" s="8">
        <v>1</v>
      </c>
      <c r="F1379" s="8">
        <v>1</v>
      </c>
      <c r="G1379" s="8">
        <v>1</v>
      </c>
      <c r="H1379" s="8">
        <v>1</v>
      </c>
      <c r="I1379" s="8">
        <v>1</v>
      </c>
      <c r="J1379" s="8">
        <v>1</v>
      </c>
      <c r="K1379" s="8">
        <v>1</v>
      </c>
      <c r="L1379" s="8">
        <v>1</v>
      </c>
      <c r="M1379" s="8">
        <v>1</v>
      </c>
      <c r="N1379" s="8">
        <v>1</v>
      </c>
      <c r="O1379" s="8">
        <v>1</v>
      </c>
      <c r="P1379" s="8">
        <v>1</v>
      </c>
      <c r="Q1379" s="8">
        <v>1</v>
      </c>
    </row>
    <row r="1381" spans="2:17">
      <c r="B1381" t="s">
        <v>3262</v>
      </c>
      <c r="C1381">
        <f t="shared" ref="C1381:Q1381" si="105">C1375</f>
        <v>2001</v>
      </c>
      <c r="D1381">
        <f t="shared" si="105"/>
        <v>2002</v>
      </c>
      <c r="E1381">
        <f t="shared" si="105"/>
        <v>2003</v>
      </c>
      <c r="F1381">
        <f t="shared" si="105"/>
        <v>2004</v>
      </c>
      <c r="G1381">
        <f t="shared" si="105"/>
        <v>2005</v>
      </c>
      <c r="H1381">
        <f t="shared" si="105"/>
        <v>2006</v>
      </c>
      <c r="I1381">
        <f t="shared" si="105"/>
        <v>2007</v>
      </c>
      <c r="J1381">
        <f t="shared" si="105"/>
        <v>2008</v>
      </c>
      <c r="K1381">
        <f t="shared" si="105"/>
        <v>2009</v>
      </c>
      <c r="L1381">
        <f t="shared" si="105"/>
        <v>2010</v>
      </c>
      <c r="M1381">
        <f t="shared" si="105"/>
        <v>2011</v>
      </c>
      <c r="N1381">
        <f t="shared" si="105"/>
        <v>2012</v>
      </c>
      <c r="O1381">
        <f t="shared" si="105"/>
        <v>2013</v>
      </c>
      <c r="P1381">
        <f t="shared" si="105"/>
        <v>2014</v>
      </c>
      <c r="Q1381">
        <f t="shared" si="105"/>
        <v>2015</v>
      </c>
    </row>
    <row r="1382" spans="2:17">
      <c r="B1382" t="s">
        <v>1482</v>
      </c>
      <c r="C1382">
        <v>0</v>
      </c>
      <c r="D1382">
        <v>3.3</v>
      </c>
      <c r="E1382">
        <v>163</v>
      </c>
      <c r="F1382">
        <v>566</v>
      </c>
      <c r="G1382">
        <v>1120</v>
      </c>
      <c r="H1382">
        <v>1730</v>
      </c>
      <c r="I1382">
        <v>2366</v>
      </c>
      <c r="J1382">
        <v>2900.9839999999999</v>
      </c>
      <c r="K1382">
        <v>3226.4119999999998</v>
      </c>
      <c r="L1382">
        <v>4044.328</v>
      </c>
      <c r="M1382">
        <v>4470.7780000000002</v>
      </c>
      <c r="N1382">
        <v>5047.5239999999994</v>
      </c>
      <c r="O1382">
        <v>5346.7199999999993</v>
      </c>
      <c r="P1382">
        <v>5656.7519999999995</v>
      </c>
      <c r="Q1382">
        <v>5966.1359999999995</v>
      </c>
    </row>
    <row r="1383" spans="2:17">
      <c r="B1383" s="61" t="s">
        <v>3264</v>
      </c>
      <c r="C1383" s="61">
        <f t="shared" ref="C1383:Q1383" si="106">C1384-C1382</f>
        <v>20</v>
      </c>
      <c r="D1383" s="61">
        <f t="shared" si="106"/>
        <v>95.8</v>
      </c>
      <c r="E1383" s="61">
        <f t="shared" si="106"/>
        <v>322</v>
      </c>
      <c r="F1383" s="61">
        <f t="shared" si="106"/>
        <v>498</v>
      </c>
      <c r="G1383" s="61">
        <f t="shared" si="106"/>
        <v>475</v>
      </c>
      <c r="H1383" s="61">
        <f t="shared" si="106"/>
        <v>548</v>
      </c>
      <c r="I1383" s="61">
        <f t="shared" si="106"/>
        <v>538</v>
      </c>
      <c r="J1383" s="61">
        <f t="shared" si="106"/>
        <v>488.01600000000008</v>
      </c>
      <c r="K1383" s="61">
        <f t="shared" si="106"/>
        <v>551.58800000000019</v>
      </c>
      <c r="L1383" s="61">
        <f t="shared" si="106"/>
        <v>489.67200000000003</v>
      </c>
      <c r="M1383" s="61">
        <f t="shared" si="106"/>
        <v>378.22199999999975</v>
      </c>
      <c r="N1383" s="61">
        <f t="shared" si="106"/>
        <v>316.47600000000057</v>
      </c>
      <c r="O1383" s="61">
        <f t="shared" si="106"/>
        <v>293.28000000000065</v>
      </c>
      <c r="P1383" s="61">
        <f t="shared" si="106"/>
        <v>211.2480000000005</v>
      </c>
      <c r="Q1383" s="61">
        <f t="shared" si="106"/>
        <v>171.86400000000049</v>
      </c>
    </row>
    <row r="1384" spans="2:17">
      <c r="B1384" t="s">
        <v>98</v>
      </c>
      <c r="C1384">
        <v>20</v>
      </c>
      <c r="D1384">
        <v>99.1</v>
      </c>
      <c r="E1384">
        <v>485</v>
      </c>
      <c r="F1384">
        <v>1064</v>
      </c>
      <c r="G1384">
        <v>1595</v>
      </c>
      <c r="H1384">
        <v>2278</v>
      </c>
      <c r="I1384">
        <v>2904</v>
      </c>
      <c r="J1384">
        <v>3389</v>
      </c>
      <c r="K1384">
        <v>3778</v>
      </c>
      <c r="L1384">
        <v>4534</v>
      </c>
      <c r="M1384">
        <v>4849</v>
      </c>
      <c r="N1384">
        <v>5364</v>
      </c>
      <c r="O1384">
        <v>5640</v>
      </c>
      <c r="P1384">
        <v>5868</v>
      </c>
      <c r="Q1384">
        <v>6138</v>
      </c>
    </row>
    <row r="1404" spans="2:28">
      <c r="B1404" s="61" t="s">
        <v>1889</v>
      </c>
      <c r="C1404" s="130" t="e">
        <f>Interims!#REF!</f>
        <v>#REF!</v>
      </c>
      <c r="D1404" s="130" t="e">
        <f>Interims!#REF!</f>
        <v>#REF!</v>
      </c>
      <c r="E1404" s="130" t="e">
        <f>Interims!#REF!</f>
        <v>#REF!</v>
      </c>
      <c r="F1404" s="130" t="e">
        <f>Interims!#REF!</f>
        <v>#REF!</v>
      </c>
      <c r="G1404" s="130" t="e">
        <f>Interims!#REF!</f>
        <v>#REF!</v>
      </c>
      <c r="H1404" s="130" t="e">
        <f>Interims!#REF!</f>
        <v>#REF!</v>
      </c>
      <c r="I1404" s="130" t="e">
        <f>Interims!#REF!</f>
        <v>#REF!</v>
      </c>
      <c r="J1404" s="130" t="e">
        <f>Interims!#REF!</f>
        <v>#REF!</v>
      </c>
      <c r="K1404" s="130" t="e">
        <f>Interims!#REF!</f>
        <v>#REF!</v>
      </c>
      <c r="L1404" s="130" t="e">
        <f>Interims!#REF!</f>
        <v>#REF!</v>
      </c>
      <c r="M1404" s="130" t="e">
        <f>Interims!#REF!</f>
        <v>#REF!</v>
      </c>
      <c r="N1404" s="130" t="e">
        <f>Interims!#REF!</f>
        <v>#REF!</v>
      </c>
      <c r="O1404" s="130" t="e">
        <f>Interims!#REF!</f>
        <v>#REF!</v>
      </c>
      <c r="P1404" s="130" t="e">
        <f>Interims!#REF!</f>
        <v>#REF!</v>
      </c>
      <c r="Q1404" s="130" t="e">
        <f>Interims!#REF!</f>
        <v>#REF!</v>
      </c>
      <c r="R1404" s="130" t="e">
        <f>Interims!#REF!</f>
        <v>#REF!</v>
      </c>
      <c r="S1404" s="130" t="e">
        <f>Interims!#REF!</f>
        <v>#REF!</v>
      </c>
      <c r="T1404" s="130" t="e">
        <f>Interims!#REF!</f>
        <v>#REF!</v>
      </c>
      <c r="U1404" s="130" t="e">
        <f>Interims!#REF!</f>
        <v>#REF!</v>
      </c>
      <c r="V1404" s="130" t="e">
        <f>Interims!#REF!</f>
        <v>#REF!</v>
      </c>
      <c r="W1404" s="130" t="e">
        <f>Interims!#REF!</f>
        <v>#REF!</v>
      </c>
      <c r="X1404" s="130" t="e">
        <f>Interims!#REF!</f>
        <v>#REF!</v>
      </c>
      <c r="Y1404" s="130" t="e">
        <f>Interims!#REF!</f>
        <v>#REF!</v>
      </c>
      <c r="Z1404" s="130" t="e">
        <f>Interims!#REF!</f>
        <v>#REF!</v>
      </c>
      <c r="AA1404" s="130" t="e">
        <f>Interims!#REF!</f>
        <v>#REF!</v>
      </c>
      <c r="AB1404" s="130" t="e">
        <f>Interims!#REF!</f>
        <v>#REF!</v>
      </c>
    </row>
    <row r="1405" spans="2:28">
      <c r="B1405" t="s">
        <v>3664</v>
      </c>
      <c r="C1405" t="e">
        <f>Interims!#REF!/0.8</f>
        <v>#REF!</v>
      </c>
      <c r="D1405" t="e">
        <f>Interims!#REF!/0.8</f>
        <v>#REF!</v>
      </c>
      <c r="E1405" t="e">
        <f>Interims!#REF!/0.8</f>
        <v>#REF!</v>
      </c>
      <c r="F1405" t="e">
        <f>Interims!#REF!/0.8</f>
        <v>#REF!</v>
      </c>
      <c r="G1405" t="e">
        <f>Interims!#REF!/0.8</f>
        <v>#REF!</v>
      </c>
      <c r="H1405" t="e">
        <f>Interims!#REF!/0.8</f>
        <v>#REF!</v>
      </c>
      <c r="I1405" t="e">
        <f>Interims!#REF!/0.8</f>
        <v>#REF!</v>
      </c>
      <c r="J1405" t="e">
        <f>Interims!#REF!/0.8</f>
        <v>#REF!</v>
      </c>
      <c r="K1405" t="e">
        <f>Interims!#REF!/0.8</f>
        <v>#REF!</v>
      </c>
      <c r="L1405" t="e">
        <f>Interims!#REF!/0.8</f>
        <v>#REF!</v>
      </c>
      <c r="M1405" t="e">
        <f>Interims!#REF!/0.8</f>
        <v>#REF!</v>
      </c>
      <c r="N1405" t="e">
        <f>Interims!#REF!/0.8</f>
        <v>#REF!</v>
      </c>
      <c r="O1405" t="e">
        <f>Interims!#REF!/0.8</f>
        <v>#REF!</v>
      </c>
      <c r="P1405" t="e">
        <f>Interims!#REF!/0.8</f>
        <v>#REF!</v>
      </c>
      <c r="Q1405" t="e">
        <f>Interims!#REF!/0.8</f>
        <v>#REF!</v>
      </c>
      <c r="R1405" t="e">
        <f>Interims!#REF!/0.8</f>
        <v>#REF!</v>
      </c>
      <c r="S1405" t="e">
        <f>Interims!#REF!/0.8</f>
        <v>#REF!</v>
      </c>
      <c r="T1405" t="e">
        <f>Interims!#REF!/0.8</f>
        <v>#REF!</v>
      </c>
      <c r="U1405" t="e">
        <f>Interims!#REF!/0.8</f>
        <v>#REF!</v>
      </c>
      <c r="V1405" t="e">
        <f>Interims!#REF!/0.8</f>
        <v>#REF!</v>
      </c>
      <c r="W1405" t="e">
        <f>Interims!#REF!/0.8</f>
        <v>#REF!</v>
      </c>
      <c r="X1405" t="e">
        <f>Interims!#REF!/0.8</f>
        <v>#REF!</v>
      </c>
      <c r="Y1405" t="e">
        <f>Interims!#REF!/0.8</f>
        <v>#REF!</v>
      </c>
      <c r="Z1405" t="e">
        <f>Interims!#REF!/0.8</f>
        <v>#REF!</v>
      </c>
      <c r="AA1405" t="e">
        <f>Interims!#REF!/0.8</f>
        <v>#REF!</v>
      </c>
      <c r="AB1405" t="e">
        <f>Interims!#REF!/0.8</f>
        <v>#REF!</v>
      </c>
    </row>
    <row r="1406" spans="2:28">
      <c r="B1406" t="s">
        <v>3665</v>
      </c>
      <c r="C1406">
        <v>13339727</v>
      </c>
      <c r="D1406">
        <v>13339727</v>
      </c>
      <c r="E1406">
        <v>13738420</v>
      </c>
      <c r="F1406">
        <v>14069347</v>
      </c>
      <c r="G1406">
        <v>15028242</v>
      </c>
      <c r="H1406">
        <v>14832712</v>
      </c>
      <c r="I1406">
        <v>15022933</v>
      </c>
      <c r="J1406">
        <v>15037866</v>
      </c>
      <c r="K1406">
        <v>15685024</v>
      </c>
      <c r="L1406">
        <v>15017237</v>
      </c>
      <c r="M1406">
        <v>15369004</v>
      </c>
      <c r="N1406">
        <v>15421084</v>
      </c>
      <c r="O1406">
        <v>16128069</v>
      </c>
      <c r="P1406">
        <v>15755479</v>
      </c>
      <c r="Q1406">
        <v>16168283</v>
      </c>
      <c r="R1406">
        <v>16398059</v>
      </c>
      <c r="S1406">
        <v>17106515</v>
      </c>
      <c r="T1406">
        <v>16507017</v>
      </c>
      <c r="U1406">
        <v>16987198</v>
      </c>
      <c r="V1406">
        <v>17242039</v>
      </c>
      <c r="W1406">
        <v>18024300</v>
      </c>
      <c r="X1406">
        <v>18309013</v>
      </c>
      <c r="Y1406">
        <v>19517591</v>
      </c>
      <c r="Z1406">
        <v>19431619</v>
      </c>
      <c r="AA1406">
        <v>19592861</v>
      </c>
      <c r="AB1406">
        <f>AA1406*1</f>
        <v>19592861</v>
      </c>
    </row>
    <row r="1407" spans="2:28">
      <c r="B1407" t="s">
        <v>3666</v>
      </c>
      <c r="C1407" s="9" t="e">
        <f t="shared" ref="C1407:AB1407" si="107">C1405/C1406</f>
        <v>#REF!</v>
      </c>
      <c r="D1407" s="9" t="e">
        <f t="shared" si="107"/>
        <v>#REF!</v>
      </c>
      <c r="E1407" s="9" t="e">
        <f t="shared" si="107"/>
        <v>#REF!</v>
      </c>
      <c r="F1407" s="9" t="e">
        <f t="shared" si="107"/>
        <v>#REF!</v>
      </c>
      <c r="G1407" s="9" t="e">
        <f t="shared" si="107"/>
        <v>#REF!</v>
      </c>
      <c r="H1407" s="9" t="e">
        <f t="shared" si="107"/>
        <v>#REF!</v>
      </c>
      <c r="I1407" s="9" t="e">
        <f t="shared" si="107"/>
        <v>#REF!</v>
      </c>
      <c r="J1407" s="9" t="e">
        <f t="shared" si="107"/>
        <v>#REF!</v>
      </c>
      <c r="K1407" s="9" t="e">
        <f t="shared" si="107"/>
        <v>#REF!</v>
      </c>
      <c r="L1407" s="9" t="e">
        <f t="shared" si="107"/>
        <v>#REF!</v>
      </c>
      <c r="M1407" s="9" t="e">
        <f t="shared" si="107"/>
        <v>#REF!</v>
      </c>
      <c r="N1407" s="9" t="e">
        <f t="shared" si="107"/>
        <v>#REF!</v>
      </c>
      <c r="O1407" s="9" t="e">
        <f t="shared" si="107"/>
        <v>#REF!</v>
      </c>
      <c r="P1407" s="9" t="e">
        <f t="shared" si="107"/>
        <v>#REF!</v>
      </c>
      <c r="Q1407" s="9" t="e">
        <f t="shared" si="107"/>
        <v>#REF!</v>
      </c>
      <c r="R1407" s="9" t="e">
        <f t="shared" si="107"/>
        <v>#REF!</v>
      </c>
      <c r="S1407" s="9" t="e">
        <f t="shared" si="107"/>
        <v>#REF!</v>
      </c>
      <c r="T1407" s="9" t="e">
        <f t="shared" si="107"/>
        <v>#REF!</v>
      </c>
      <c r="U1407" s="9" t="e">
        <f t="shared" si="107"/>
        <v>#REF!</v>
      </c>
      <c r="V1407" s="9" t="e">
        <f t="shared" si="107"/>
        <v>#REF!</v>
      </c>
      <c r="W1407" s="9" t="e">
        <f t="shared" si="107"/>
        <v>#REF!</v>
      </c>
      <c r="X1407" s="9" t="e">
        <f t="shared" si="107"/>
        <v>#REF!</v>
      </c>
      <c r="Y1407" s="9" t="e">
        <f t="shared" si="107"/>
        <v>#REF!</v>
      </c>
      <c r="Z1407" s="9" t="e">
        <f t="shared" si="107"/>
        <v>#REF!</v>
      </c>
      <c r="AA1407" s="9" t="e">
        <f t="shared" si="107"/>
        <v>#REF!</v>
      </c>
      <c r="AB1407" s="9" t="e">
        <f t="shared" si="107"/>
        <v>#REF!</v>
      </c>
    </row>
    <row r="1409" spans="2:28">
      <c r="B1409" t="s">
        <v>3682</v>
      </c>
      <c r="C1409">
        <v>2.4900000000000002</v>
      </c>
      <c r="D1409" t="s">
        <v>3684</v>
      </c>
      <c r="AB1409">
        <f>SUM(Y1406:AB1406)/19</f>
        <v>4112364.8421052634</v>
      </c>
    </row>
    <row r="1410" spans="2:28">
      <c r="B1410" t="s">
        <v>3680</v>
      </c>
      <c r="C1410">
        <f>C1409*13*1000</f>
        <v>32370.000000000004</v>
      </c>
      <c r="AB1410">
        <v>93504</v>
      </c>
    </row>
    <row r="1411" spans="2:28">
      <c r="B1411" t="s">
        <v>1494</v>
      </c>
      <c r="C1411" s="4" t="e">
        <f>SUM(K1405:N1405)</f>
        <v>#REF!</v>
      </c>
      <c r="AB1411" s="10">
        <f>AB1410/AB1409</f>
        <v>2.2737282218406485E-2</v>
      </c>
    </row>
    <row r="1412" spans="2:28">
      <c r="B1412" t="s">
        <v>3685</v>
      </c>
      <c r="C1412" s="4"/>
    </row>
    <row r="1414" spans="2:28">
      <c r="B1414" t="s">
        <v>3683</v>
      </c>
      <c r="C1414">
        <v>5.31</v>
      </c>
      <c r="D1414" t="s">
        <v>3679</v>
      </c>
    </row>
    <row r="1415" spans="2:28">
      <c r="B1415" t="s">
        <v>3680</v>
      </c>
      <c r="C1415">
        <f>C1414*13*1000</f>
        <v>69030</v>
      </c>
    </row>
    <row r="1416" spans="2:28">
      <c r="B1416" t="s">
        <v>3681</v>
      </c>
      <c r="C1416">
        <f>SUM(W1406:X1406)*1.02</f>
        <v>37059979.259999998</v>
      </c>
      <c r="D1416" s="10">
        <f>C1415/C1416</f>
        <v>1.8626561962085675E-3</v>
      </c>
      <c r="I1416" s="42" t="s">
        <v>3686</v>
      </c>
    </row>
    <row r="1418" spans="2:28">
      <c r="C1418" t="s">
        <v>3219</v>
      </c>
      <c r="D1418" s="9">
        <v>1.0200000000000001E-2</v>
      </c>
      <c r="P1418" s="42" t="s">
        <v>3687</v>
      </c>
    </row>
    <row r="1419" spans="2:28">
      <c r="C1419" t="s">
        <v>35</v>
      </c>
      <c r="D1419" s="9">
        <v>9.7999999999999997E-3</v>
      </c>
    </row>
    <row r="1420" spans="2:28">
      <c r="C1420" t="s">
        <v>3667</v>
      </c>
      <c r="D1420" s="9">
        <v>9.4999999999999998E-3</v>
      </c>
    </row>
    <row r="1421" spans="2:28">
      <c r="C1421" t="s">
        <v>3668</v>
      </c>
      <c r="D1421" s="9">
        <v>7.7999999999999996E-3</v>
      </c>
    </row>
    <row r="1422" spans="2:28">
      <c r="C1422" t="s">
        <v>3669</v>
      </c>
      <c r="D1422" s="9">
        <v>7.1999999999999998E-3</v>
      </c>
    </row>
    <row r="1423" spans="2:28">
      <c r="C1423" t="s">
        <v>3670</v>
      </c>
      <c r="D1423" s="9">
        <v>6.8999999999999999E-3</v>
      </c>
    </row>
    <row r="1424" spans="2:28">
      <c r="C1424" t="s">
        <v>3218</v>
      </c>
      <c r="D1424" s="9">
        <v>6.1999999999999998E-3</v>
      </c>
    </row>
    <row r="1425" spans="2:6">
      <c r="C1425" t="s">
        <v>3220</v>
      </c>
      <c r="D1425" s="9">
        <v>5.7000000000000002E-3</v>
      </c>
    </row>
    <row r="1426" spans="2:6">
      <c r="C1426" t="s">
        <v>3671</v>
      </c>
      <c r="D1426" s="9">
        <v>5.5999999999999999E-3</v>
      </c>
    </row>
    <row r="1427" spans="2:6">
      <c r="C1427" t="s">
        <v>3221</v>
      </c>
      <c r="D1427" s="9">
        <v>4.4999999999999997E-3</v>
      </c>
    </row>
    <row r="1428" spans="2:6">
      <c r="C1428" t="s">
        <v>2238</v>
      </c>
      <c r="D1428" s="9">
        <v>4.0000000000000001E-3</v>
      </c>
    </row>
    <row r="1429" spans="2:6">
      <c r="C1429" t="s">
        <v>3672</v>
      </c>
      <c r="D1429" s="9">
        <v>3.0000000000000001E-3</v>
      </c>
    </row>
    <row r="1431" spans="2:6">
      <c r="C1431" t="s">
        <v>3678</v>
      </c>
      <c r="E1431" s="61" t="s">
        <v>3677</v>
      </c>
    </row>
    <row r="1432" spans="2:6">
      <c r="D1432" s="8">
        <f>E1432/E$1435</f>
        <v>0.32928860337853916</v>
      </c>
      <c r="E1432" s="4">
        <v>138.4</v>
      </c>
      <c r="F1432" s="136" t="s">
        <v>3674</v>
      </c>
    </row>
    <row r="1433" spans="2:6">
      <c r="D1433" s="8">
        <f>E1433/E$1435</f>
        <v>0.10659053057339991</v>
      </c>
      <c r="E1433" s="4">
        <f>183.2-E1432</f>
        <v>44.799999999999983</v>
      </c>
      <c r="F1433" s="136" t="s">
        <v>3675</v>
      </c>
    </row>
    <row r="1434" spans="2:6">
      <c r="D1434" s="8">
        <f>E1434/E$1435</f>
        <v>0.56388294075660239</v>
      </c>
      <c r="E1434" s="420">
        <v>237</v>
      </c>
      <c r="F1434" s="137" t="s">
        <v>3673</v>
      </c>
    </row>
    <row r="1435" spans="2:6">
      <c r="E1435" s="4">
        <v>420.3</v>
      </c>
      <c r="F1435" s="136" t="s">
        <v>3676</v>
      </c>
    </row>
    <row r="1437" spans="2:6" ht="15.75">
      <c r="B1437" s="66" t="s">
        <v>3812</v>
      </c>
      <c r="C1437" s="66"/>
      <c r="D1437" s="66"/>
      <c r="E1437" s="66"/>
    </row>
    <row r="1438" spans="2:6" ht="15.75">
      <c r="B1438" s="66"/>
      <c r="C1438" s="66"/>
      <c r="D1438" s="66"/>
      <c r="E1438" s="66"/>
    </row>
    <row r="1439" spans="2:6" ht="15.75">
      <c r="B1439" s="67"/>
      <c r="C1439" s="67">
        <v>2017</v>
      </c>
      <c r="D1439" s="67">
        <f>C1439+1</f>
        <v>2018</v>
      </c>
      <c r="E1439" s="67">
        <f>D1439+1</f>
        <v>2019</v>
      </c>
    </row>
    <row r="1440" spans="2:6" ht="15.75">
      <c r="B1440" s="66" t="s">
        <v>1042</v>
      </c>
      <c r="C1440" s="116">
        <f>Valuation!M48</f>
        <v>-3.009195641022765E-2</v>
      </c>
      <c r="D1440" s="116">
        <f>Valuation!N48</f>
        <v>-0.18011285419617293</v>
      </c>
      <c r="E1440" s="116">
        <f>Valuation!O48</f>
        <v>4.484386342408074E-2</v>
      </c>
    </row>
    <row r="1441" spans="2:23" ht="15.75">
      <c r="B1441" s="66" t="s">
        <v>89</v>
      </c>
      <c r="C1441" s="116">
        <v>2.7916146631617279E-2</v>
      </c>
      <c r="D1441" s="116">
        <v>3.528553844304378E-2</v>
      </c>
      <c r="E1441" s="116">
        <v>4.1057577475923743E-2</v>
      </c>
    </row>
    <row r="1442" spans="2:23" ht="15.75">
      <c r="B1442" s="66" t="s">
        <v>3813</v>
      </c>
      <c r="C1442" s="116">
        <v>2.7284596581975198E-2</v>
      </c>
      <c r="D1442" s="116">
        <v>3.5003852907719665E-2</v>
      </c>
      <c r="E1442" s="116">
        <v>5.587310932136498E-2</v>
      </c>
    </row>
    <row r="1443" spans="2:23" ht="15.75">
      <c r="B1443" s="66" t="s">
        <v>3814</v>
      </c>
      <c r="C1443" s="116">
        <v>5.7964703098050255E-2</v>
      </c>
      <c r="D1443" s="116">
        <v>6.6913925765360066E-2</v>
      </c>
      <c r="E1443" s="116">
        <v>7.8116790983610074E-2</v>
      </c>
    </row>
    <row r="1444" spans="2:23" ht="15.75">
      <c r="B1444" s="66" t="s">
        <v>3815</v>
      </c>
      <c r="C1444" s="116">
        <v>7.5272798129384255E-2</v>
      </c>
      <c r="D1444" s="116">
        <v>8.3690568978955576E-2</v>
      </c>
      <c r="E1444" s="116">
        <v>9.8616523772408413E-2</v>
      </c>
    </row>
    <row r="1445" spans="2:23" ht="15.75">
      <c r="B1445" s="66" t="s">
        <v>3816</v>
      </c>
      <c r="C1445" s="116">
        <v>7.2858549392845431E-2</v>
      </c>
      <c r="D1445" s="116">
        <v>7.5877912701017389E-2</v>
      </c>
      <c r="E1445" s="116">
        <v>8.401706596652446E-2</v>
      </c>
    </row>
    <row r="1446" spans="2:23" ht="15.75">
      <c r="B1446" s="66" t="s">
        <v>1600</v>
      </c>
      <c r="C1446" s="116">
        <v>9.5153873363990102E-2</v>
      </c>
      <c r="D1446" s="116">
        <v>0.10120268836222145</v>
      </c>
      <c r="E1446" s="116">
        <v>0.11071807569862044</v>
      </c>
    </row>
    <row r="1448" spans="2:23" ht="15.75">
      <c r="B1448" s="74" t="s">
        <v>4752</v>
      </c>
      <c r="C1448" s="66"/>
      <c r="D1448" s="66"/>
      <c r="E1448" s="66"/>
      <c r="F1448" s="66"/>
      <c r="G1448" s="66"/>
      <c r="H1448" s="66"/>
      <c r="I1448" s="66"/>
      <c r="J1448" s="66"/>
      <c r="K1448" s="66"/>
      <c r="L1448" s="66"/>
      <c r="M1448" s="66"/>
      <c r="N1448" s="66"/>
      <c r="O1448" s="66"/>
      <c r="P1448" s="66"/>
      <c r="Q1448" s="66"/>
      <c r="R1448" s="66"/>
      <c r="S1448" s="66"/>
      <c r="T1448" s="66"/>
      <c r="U1448" s="66"/>
      <c r="V1448" s="66"/>
      <c r="W1448" s="66"/>
    </row>
    <row r="1449" spans="2:23" ht="15.75">
      <c r="B1449" s="74" t="s">
        <v>1084</v>
      </c>
      <c r="C1449" s="69"/>
      <c r="D1449" s="66"/>
      <c r="E1449" s="66"/>
      <c r="F1449" s="74" t="s">
        <v>145</v>
      </c>
      <c r="G1449" s="66"/>
      <c r="H1449" s="66"/>
      <c r="I1449" s="66"/>
      <c r="J1449" s="74" t="s">
        <v>87</v>
      </c>
      <c r="K1449" s="66"/>
      <c r="L1449" s="66"/>
      <c r="M1449" s="66"/>
      <c r="N1449" s="74" t="s">
        <v>16</v>
      </c>
      <c r="O1449" s="66"/>
      <c r="P1449" s="66"/>
    </row>
    <row r="1450" spans="2:23" ht="15.75">
      <c r="B1450" s="67" t="s">
        <v>2902</v>
      </c>
      <c r="C1450" s="67">
        <v>2019</v>
      </c>
      <c r="D1450" s="67">
        <f>C1450+1</f>
        <v>2020</v>
      </c>
      <c r="E1450" s="66"/>
      <c r="F1450" s="67" t="s">
        <v>2902</v>
      </c>
      <c r="G1450" s="67">
        <f>C1450</f>
        <v>2019</v>
      </c>
      <c r="H1450" s="67">
        <f>D1450</f>
        <v>2020</v>
      </c>
      <c r="I1450" s="66"/>
      <c r="J1450" s="67" t="s">
        <v>2902</v>
      </c>
      <c r="K1450" s="67">
        <f>G1450</f>
        <v>2019</v>
      </c>
      <c r="L1450" s="67">
        <f>H1450</f>
        <v>2020</v>
      </c>
      <c r="M1450" s="66"/>
      <c r="N1450" s="67" t="s">
        <v>2902</v>
      </c>
      <c r="O1450" s="67">
        <f>K1450</f>
        <v>2019</v>
      </c>
      <c r="P1450" s="67">
        <f>L1450</f>
        <v>2020</v>
      </c>
    </row>
    <row r="1451" spans="2:23" ht="15.75">
      <c r="B1451" s="125" t="s">
        <v>200</v>
      </c>
      <c r="C1451" s="125">
        <f>Master!R5</f>
        <v>100650.6</v>
      </c>
      <c r="D1451" s="125">
        <f>Master!S5</f>
        <v>97138.3</v>
      </c>
      <c r="E1451" s="125"/>
      <c r="F1451" s="125" t="s">
        <v>200</v>
      </c>
      <c r="G1451" s="125">
        <f>Content!M22</f>
        <v>34795.4</v>
      </c>
      <c r="H1451" s="125">
        <f>Content!N22</f>
        <v>32613</v>
      </c>
      <c r="I1451" s="125"/>
      <c r="J1451" s="125" t="s">
        <v>200</v>
      </c>
      <c r="K1451" s="125">
        <f>Master!R51</f>
        <v>21347</v>
      </c>
      <c r="L1451" s="125">
        <f>Master!S51</f>
        <v>22134.7</v>
      </c>
      <c r="M1451" s="125"/>
      <c r="N1451" s="125" t="s">
        <v>200</v>
      </c>
      <c r="O1451" s="125">
        <f>Master!R52</f>
        <v>41702</v>
      </c>
      <c r="P1451" s="125">
        <f>Master!S52</f>
        <v>45367.1</v>
      </c>
    </row>
    <row r="1452" spans="2:23" ht="15.75">
      <c r="B1452" s="125" t="s">
        <v>57</v>
      </c>
      <c r="C1452" s="125">
        <f>Master!R13</f>
        <v>38218.1</v>
      </c>
      <c r="D1452" s="125">
        <f>Master!S13</f>
        <v>38810.299999999996</v>
      </c>
      <c r="E1452" s="125"/>
      <c r="F1452" s="125" t="s">
        <v>57</v>
      </c>
      <c r="G1452" s="125">
        <f>Content!M27</f>
        <v>12632</v>
      </c>
      <c r="H1452" s="125">
        <f>Content!N27</f>
        <v>12360.8</v>
      </c>
      <c r="I1452" s="125"/>
      <c r="J1452" s="125" t="s">
        <v>57</v>
      </c>
      <c r="K1452" s="125">
        <f>Master!R67</f>
        <v>9121</v>
      </c>
      <c r="L1452" s="125">
        <f>Master!S67</f>
        <v>9135.7999999999993</v>
      </c>
      <c r="M1452" s="125"/>
      <c r="N1452" s="125" t="s">
        <v>57</v>
      </c>
      <c r="O1452" s="125">
        <f>Master!R68</f>
        <v>17798</v>
      </c>
      <c r="P1452" s="125">
        <f>Master!S68</f>
        <v>18898.3</v>
      </c>
    </row>
    <row r="1453" spans="2:23" ht="15.75">
      <c r="B1453" s="125" t="s">
        <v>158</v>
      </c>
      <c r="C1453" s="528">
        <f>C1452/C1451</f>
        <v>0.37971060281806562</v>
      </c>
      <c r="D1453" s="528">
        <f>D1452/D1451</f>
        <v>0.39953653708166598</v>
      </c>
      <c r="E1453" s="125"/>
      <c r="F1453" s="125" t="s">
        <v>158</v>
      </c>
      <c r="G1453" s="528">
        <f>G1452/G1451</f>
        <v>0.36303649332957805</v>
      </c>
      <c r="H1453" s="528">
        <f>H1452/H1451</f>
        <v>0.37901450341888204</v>
      </c>
      <c r="I1453" s="125"/>
      <c r="J1453" s="125" t="s">
        <v>158</v>
      </c>
      <c r="K1453" s="528">
        <f>K1452/K1451</f>
        <v>0.42727315313627207</v>
      </c>
      <c r="L1453" s="528">
        <f>L1452/L1451</f>
        <v>0.41273656295319111</v>
      </c>
      <c r="M1453" s="125"/>
      <c r="N1453" s="125" t="s">
        <v>158</v>
      </c>
      <c r="O1453" s="528">
        <f>O1452/O1451</f>
        <v>0.42679008201045515</v>
      </c>
      <c r="P1453" s="528">
        <f>P1452/P1451</f>
        <v>0.41656398579587411</v>
      </c>
    </row>
    <row r="1454" spans="2:23" ht="15.75">
      <c r="B1454" s="125" t="s">
        <v>201</v>
      </c>
      <c r="C1454" s="125">
        <f>Master!R90</f>
        <v>19067.125</v>
      </c>
      <c r="D1454" s="125">
        <f>Master!S90</f>
        <v>20178.311999999998</v>
      </c>
      <c r="E1454" s="125"/>
      <c r="F1454" s="125" t="s">
        <v>201</v>
      </c>
      <c r="G1454" s="125">
        <f>Master!R87</f>
        <v>2075.15</v>
      </c>
      <c r="H1454" s="125">
        <f>Master!S87</f>
        <v>573.51599999999996</v>
      </c>
      <c r="I1454" s="125"/>
      <c r="J1454" s="125" t="s">
        <v>201</v>
      </c>
      <c r="K1454" s="125">
        <f>Master!R88</f>
        <v>4025.1749999999997</v>
      </c>
      <c r="L1454" s="125">
        <f>Master!S88</f>
        <v>5374.2960000000003</v>
      </c>
      <c r="M1454" s="125"/>
      <c r="N1454" s="125" t="s">
        <v>201</v>
      </c>
      <c r="O1454" s="125">
        <f>Master!R89</f>
        <v>12966.800000000001</v>
      </c>
      <c r="P1454" s="125">
        <f>Master!S89</f>
        <v>14230.5</v>
      </c>
    </row>
    <row r="1455" spans="2:23" ht="15.75">
      <c r="B1455" s="125" t="s">
        <v>203</v>
      </c>
      <c r="C1455" s="125">
        <f>C1452-C1454</f>
        <v>19150.974999999999</v>
      </c>
      <c r="D1455" s="125">
        <f>D1452-D1454</f>
        <v>18631.987999999998</v>
      </c>
      <c r="E1455" s="125"/>
      <c r="F1455" s="125" t="s">
        <v>203</v>
      </c>
      <c r="G1455" s="125">
        <f>G1452-G1454</f>
        <v>10556.85</v>
      </c>
      <c r="H1455" s="125">
        <f>H1452-H1454</f>
        <v>11787.284</v>
      </c>
      <c r="I1455" s="125"/>
      <c r="J1455" s="125" t="s">
        <v>203</v>
      </c>
      <c r="K1455" s="125">
        <f>K1452-K1454</f>
        <v>5095.8250000000007</v>
      </c>
      <c r="L1455" s="125">
        <f>L1452-L1454</f>
        <v>3761.503999999999</v>
      </c>
      <c r="M1455" s="125"/>
      <c r="N1455" s="125" t="s">
        <v>203</v>
      </c>
      <c r="O1455" s="125">
        <f>O1452-O1454</f>
        <v>4831.1999999999989</v>
      </c>
      <c r="P1455" s="125">
        <f>P1452-P1454</f>
        <v>4667.7999999999993</v>
      </c>
    </row>
    <row r="1456" spans="2:23" ht="15.75">
      <c r="B1456" s="66" t="s">
        <v>372</v>
      </c>
      <c r="C1456" s="125">
        <f>Valuation!O32*Master!R92</f>
        <v>1558.974999999999</v>
      </c>
      <c r="D1456" s="125">
        <f>Valuation!P32*Master!S92</f>
        <v>1357.487999999998</v>
      </c>
      <c r="E1456" s="66"/>
      <c r="F1456" s="66"/>
      <c r="G1456" s="66"/>
      <c r="H1456" s="66"/>
      <c r="I1456" s="66"/>
      <c r="J1456" s="66"/>
      <c r="K1456" s="66"/>
      <c r="L1456" s="66"/>
      <c r="M1456" s="66"/>
      <c r="N1456" s="66"/>
      <c r="O1456" s="66"/>
      <c r="P1456" s="66"/>
    </row>
    <row r="1457" spans="2:16" ht="15.75">
      <c r="B1457" s="66"/>
      <c r="C1457" s="66"/>
      <c r="D1457" s="66"/>
      <c r="E1457" s="66"/>
      <c r="F1457" s="74"/>
      <c r="G1457" s="66"/>
      <c r="H1457" s="66"/>
      <c r="I1457" s="66"/>
      <c r="J1457" s="74" t="str">
        <f>J1449</f>
        <v>SKY</v>
      </c>
      <c r="K1457" s="66"/>
      <c r="L1457" s="66"/>
      <c r="M1457" s="66"/>
      <c r="N1457" s="66"/>
      <c r="O1457" s="66"/>
      <c r="P1457" s="66"/>
    </row>
    <row r="1458" spans="2:16" ht="15.75" outlineLevel="1">
      <c r="B1458" s="67" t="s">
        <v>3769</v>
      </c>
      <c r="C1458" s="67">
        <v>2019</v>
      </c>
      <c r="D1458" s="67">
        <f>C1458+1</f>
        <v>2020</v>
      </c>
      <c r="E1458" s="66"/>
      <c r="F1458" s="67" t="s">
        <v>3769</v>
      </c>
      <c r="G1458" s="67">
        <f>C1458</f>
        <v>2019</v>
      </c>
      <c r="H1458" s="67">
        <f>D1458</f>
        <v>2020</v>
      </c>
      <c r="I1458" s="66"/>
      <c r="J1458" s="67" t="s">
        <v>3769</v>
      </c>
      <c r="K1458" s="67">
        <f>G1458</f>
        <v>2019</v>
      </c>
      <c r="L1458" s="67">
        <f>H1458</f>
        <v>2020</v>
      </c>
      <c r="M1458" s="66"/>
      <c r="N1458" s="67" t="s">
        <v>3769</v>
      </c>
      <c r="O1458" s="67">
        <f>K1458</f>
        <v>2019</v>
      </c>
      <c r="P1458" s="67">
        <f>L1458</f>
        <v>2020</v>
      </c>
    </row>
    <row r="1459" spans="2:16" ht="15.75" outlineLevel="1">
      <c r="B1459" s="66" t="s">
        <v>200</v>
      </c>
      <c r="C1459" s="125">
        <v>102179.66726928616</v>
      </c>
      <c r="D1459" s="125">
        <v>106936.73523159933</v>
      </c>
      <c r="E1459" s="66"/>
      <c r="F1459" s="125" t="s">
        <v>200</v>
      </c>
      <c r="G1459" s="125">
        <v>35478.260309764526</v>
      </c>
      <c r="H1459" s="125">
        <v>35787.996015959819</v>
      </c>
      <c r="I1459" s="125"/>
      <c r="J1459" s="125" t="s">
        <v>200</v>
      </c>
      <c r="K1459" s="125">
        <v>21647.829223363362</v>
      </c>
      <c r="L1459" s="125">
        <v>22503.099992689695</v>
      </c>
      <c r="M1459" s="125"/>
      <c r="N1459" s="125" t="s">
        <v>200</v>
      </c>
      <c r="O1459" s="125">
        <v>41486.785000000003</v>
      </c>
      <c r="P1459" s="125">
        <v>45220.59565000001</v>
      </c>
    </row>
    <row r="1460" spans="2:16" ht="15.75" outlineLevel="1">
      <c r="B1460" s="66" t="s">
        <v>57</v>
      </c>
      <c r="C1460" s="125">
        <v>37243.775943506727</v>
      </c>
      <c r="D1460" s="125">
        <v>39133.140867289621</v>
      </c>
      <c r="E1460" s="125"/>
      <c r="F1460" s="125" t="s">
        <v>57</v>
      </c>
      <c r="G1460" s="125">
        <v>13126.956314612875</v>
      </c>
      <c r="H1460" s="125">
        <v>13152.088535865234</v>
      </c>
      <c r="I1460" s="125"/>
      <c r="J1460" s="125" t="s">
        <v>57</v>
      </c>
      <c r="K1460" s="125">
        <v>9229.5179663938507</v>
      </c>
      <c r="L1460" s="125">
        <v>9493.4386551743919</v>
      </c>
      <c r="M1460" s="125"/>
      <c r="N1460" s="125" t="s">
        <v>57</v>
      </c>
      <c r="O1460" s="125">
        <v>17528.1666625</v>
      </c>
      <c r="P1460" s="125">
        <v>19218.753151250003</v>
      </c>
    </row>
    <row r="1461" spans="2:16" ht="15.75" outlineLevel="1">
      <c r="B1461" s="66" t="s">
        <v>158</v>
      </c>
      <c r="C1461" s="528">
        <v>0.36449302428587677</v>
      </c>
      <c r="D1461" s="528">
        <v>0.36594665792383335</v>
      </c>
      <c r="E1461" s="66"/>
      <c r="F1461" s="125" t="s">
        <v>158</v>
      </c>
      <c r="G1461" s="528">
        <v>0.37</v>
      </c>
      <c r="H1461" s="528">
        <v>0.36749999999999999</v>
      </c>
      <c r="I1461" s="125"/>
      <c r="J1461" s="125" t="s">
        <v>158</v>
      </c>
      <c r="K1461" s="528">
        <v>0.4263484283418551</v>
      </c>
      <c r="L1461" s="528">
        <v>0.42187248238057906</v>
      </c>
      <c r="M1461" s="125"/>
      <c r="N1461" s="125" t="s">
        <v>158</v>
      </c>
      <c r="O1461" s="528">
        <v>0.42249999999999999</v>
      </c>
      <c r="P1461" s="528">
        <v>0.42499999999999999</v>
      </c>
    </row>
    <row r="1462" spans="2:16" ht="15.75" outlineLevel="1">
      <c r="B1462" s="66" t="s">
        <v>201</v>
      </c>
      <c r="C1462" s="125">
        <v>19656.19376964464</v>
      </c>
      <c r="D1462" s="125">
        <v>19869.515966523439</v>
      </c>
      <c r="E1462" s="125"/>
      <c r="F1462" s="125" t="s">
        <v>201</v>
      </c>
      <c r="G1462" s="125">
        <v>1654.1687127917473</v>
      </c>
      <c r="H1462" s="125">
        <v>1661.285570419064</v>
      </c>
      <c r="I1462" s="125"/>
      <c r="J1462" s="125" t="s">
        <v>201</v>
      </c>
      <c r="K1462" s="125">
        <v>4311.3860068528893</v>
      </c>
      <c r="L1462" s="125">
        <v>4642.0517011043703</v>
      </c>
      <c r="M1462" s="125"/>
      <c r="N1462" s="125" t="s">
        <v>201</v>
      </c>
      <c r="O1462" s="125">
        <v>13690.639050000002</v>
      </c>
      <c r="P1462" s="125">
        <v>13566.178695000002</v>
      </c>
    </row>
    <row r="1463" spans="2:16" ht="15.75" outlineLevel="1">
      <c r="B1463" s="66" t="s">
        <v>203</v>
      </c>
      <c r="C1463" s="125">
        <v>17587.582173862087</v>
      </c>
      <c r="D1463" s="125">
        <v>19263.624900766183</v>
      </c>
      <c r="E1463" s="125"/>
      <c r="F1463" s="125" t="s">
        <v>203</v>
      </c>
      <c r="G1463" s="125">
        <v>11472.787601821128</v>
      </c>
      <c r="H1463" s="125">
        <v>11490.80296544617</v>
      </c>
      <c r="I1463" s="125"/>
      <c r="J1463" s="125" t="s">
        <v>203</v>
      </c>
      <c r="K1463" s="125">
        <v>4918.1319595409614</v>
      </c>
      <c r="L1463" s="125">
        <v>4851.3869540700216</v>
      </c>
      <c r="M1463" s="125"/>
      <c r="N1463" s="125" t="s">
        <v>203</v>
      </c>
      <c r="O1463" s="125">
        <v>3837.5276124999982</v>
      </c>
      <c r="P1463" s="125">
        <v>5652.5744562500004</v>
      </c>
    </row>
    <row r="1464" spans="2:16" ht="15.75" outlineLevel="1">
      <c r="B1464" s="66" t="s">
        <v>372</v>
      </c>
      <c r="C1464" s="125">
        <v>3349.2954818908838</v>
      </c>
      <c r="D1464" s="125">
        <v>4821.4860396542681</v>
      </c>
      <c r="E1464" s="125"/>
      <c r="F1464" s="66"/>
      <c r="G1464" s="66"/>
      <c r="H1464" s="66"/>
      <c r="I1464" s="66"/>
      <c r="J1464" s="66"/>
      <c r="K1464" s="66"/>
      <c r="L1464" s="66"/>
      <c r="M1464" s="66"/>
      <c r="N1464" s="66"/>
      <c r="O1464" s="66"/>
      <c r="P1464" s="66"/>
    </row>
    <row r="1465" spans="2:16" ht="15.75" outlineLevel="1">
      <c r="B1465" s="66"/>
      <c r="C1465" s="66"/>
      <c r="D1465" s="66"/>
      <c r="E1465" s="125"/>
      <c r="F1465" s="66"/>
      <c r="G1465" s="66"/>
      <c r="H1465" s="66"/>
      <c r="I1465" s="66"/>
      <c r="J1465" s="66"/>
      <c r="K1465" s="66"/>
      <c r="L1465" s="66"/>
      <c r="M1465" s="66"/>
      <c r="N1465" s="66"/>
      <c r="O1465" s="66"/>
      <c r="P1465" s="66"/>
    </row>
    <row r="1466" spans="2:16" ht="15.75">
      <c r="B1466" s="217" t="s">
        <v>264</v>
      </c>
      <c r="C1466" s="217">
        <v>2019</v>
      </c>
      <c r="D1466" s="217">
        <v>2020</v>
      </c>
      <c r="E1466" s="66"/>
      <c r="F1466" s="67" t="s">
        <v>181</v>
      </c>
      <c r="G1466" s="67">
        <f>G1458</f>
        <v>2019</v>
      </c>
      <c r="H1466" s="67">
        <f>H1458</f>
        <v>2020</v>
      </c>
      <c r="I1466" s="66"/>
      <c r="J1466" s="67" t="s">
        <v>181</v>
      </c>
      <c r="K1466" s="67">
        <f>K1458</f>
        <v>2019</v>
      </c>
      <c r="L1466" s="67">
        <f>L1458</f>
        <v>2020</v>
      </c>
      <c r="M1466" s="66"/>
      <c r="N1466" s="67" t="s">
        <v>181</v>
      </c>
      <c r="O1466" s="67">
        <f>O1458</f>
        <v>2019</v>
      </c>
      <c r="P1466" s="67">
        <f>P1458</f>
        <v>2020</v>
      </c>
    </row>
    <row r="1467" spans="2:16" ht="15.75">
      <c r="B1467" s="66" t="s">
        <v>200</v>
      </c>
      <c r="C1467" s="116">
        <f>C1451/C1459-1</f>
        <v>-1.4964496461477239E-2</v>
      </c>
      <c r="D1467" s="116">
        <f>D1451/D1459-1</f>
        <v>-9.1628337169432639E-2</v>
      </c>
      <c r="E1467" s="66"/>
      <c r="F1467" s="66" t="s">
        <v>200</v>
      </c>
      <c r="G1467" s="116">
        <f>G1451/G1459-1</f>
        <v>-1.9247288446569755E-2</v>
      </c>
      <c r="H1467" s="116">
        <f>H1451/H1459-1</f>
        <v>-8.871678689535778E-2</v>
      </c>
      <c r="I1467" s="66"/>
      <c r="J1467" s="66" t="s">
        <v>200</v>
      </c>
      <c r="K1467" s="116">
        <f>K1451/K1459-1</f>
        <v>-1.3896507601727226E-2</v>
      </c>
      <c r="L1467" s="116">
        <f>L1451/L1459-1</f>
        <v>-1.6371077443079862E-2</v>
      </c>
      <c r="M1467" s="66"/>
      <c r="N1467" s="66" t="s">
        <v>200</v>
      </c>
      <c r="O1467" s="116">
        <f>O1451/O1459-1</f>
        <v>5.1875555071330126E-3</v>
      </c>
      <c r="P1467" s="116">
        <f>P1451/P1459-1</f>
        <v>3.2397704606526023E-3</v>
      </c>
    </row>
    <row r="1468" spans="2:16" ht="15.75">
      <c r="B1468" s="66" t="s">
        <v>57</v>
      </c>
      <c r="C1468" s="116">
        <f>C1452/C1460-1</f>
        <v>2.6160721672560117E-2</v>
      </c>
      <c r="D1468" s="116">
        <f>D1452/D1460-1</f>
        <v>-8.2498072001033762E-3</v>
      </c>
      <c r="E1468" s="66"/>
      <c r="F1468" s="66" t="s">
        <v>57</v>
      </c>
      <c r="G1468" s="116">
        <f>G1452/G1460-1</f>
        <v>-3.7705337227479929E-2</v>
      </c>
      <c r="H1468" s="116">
        <f>H1452/H1460-1</f>
        <v>-6.0164477581444276E-2</v>
      </c>
      <c r="I1468" s="66"/>
      <c r="J1468" s="66" t="s">
        <v>57</v>
      </c>
      <c r="K1468" s="116">
        <f>K1452/K1460-1</f>
        <v>-1.1757706825966663E-2</v>
      </c>
      <c r="L1468" s="116">
        <f>L1452/L1460-1</f>
        <v>-3.7672193202561211E-2</v>
      </c>
      <c r="M1468" s="66"/>
      <c r="N1468" s="66" t="s">
        <v>57</v>
      </c>
      <c r="O1468" s="116">
        <f>O1452/O1460-1</f>
        <v>1.5394270416043243E-2</v>
      </c>
      <c r="P1468" s="116">
        <f>P1452/P1460-1</f>
        <v>-1.6673982371700369E-2</v>
      </c>
    </row>
    <row r="1469" spans="2:16" ht="15.75">
      <c r="B1469" s="66" t="s">
        <v>201</v>
      </c>
      <c r="C1469" s="116">
        <f t="shared" ref="C1469:D1471" si="108">C1454/C1462-1</f>
        <v>-2.9968608192820545E-2</v>
      </c>
      <c r="D1469" s="116">
        <f t="shared" si="108"/>
        <v>1.5541195567965849E-2</v>
      </c>
      <c r="E1469" s="66"/>
      <c r="F1469" s="66" t="s">
        <v>201</v>
      </c>
      <c r="G1469" s="116">
        <f>G1454/G1462-1</f>
        <v>0.25449718880111138</v>
      </c>
      <c r="H1469" s="116">
        <f>H1454/H1462-1</f>
        <v>-0.6547757891767344</v>
      </c>
      <c r="I1469" s="66"/>
      <c r="J1469" s="66" t="s">
        <v>201</v>
      </c>
      <c r="K1469" s="116">
        <f>K1454/K1462-1</f>
        <v>-6.6384918074596233E-2</v>
      </c>
      <c r="L1469" s="116">
        <f>L1454/L1462-1</f>
        <v>0.15774152164686672</v>
      </c>
      <c r="M1469" s="66"/>
      <c r="N1469" s="66" t="s">
        <v>201</v>
      </c>
      <c r="O1469" s="116">
        <f>O1454/O1462-1</f>
        <v>-5.2871092967716526E-2</v>
      </c>
      <c r="P1469" s="116">
        <f>P1454/P1462-1</f>
        <v>4.8968933694264472E-2</v>
      </c>
    </row>
    <row r="1470" spans="2:16" ht="15.75">
      <c r="B1470" s="66" t="s">
        <v>203</v>
      </c>
      <c r="C1470" s="116">
        <f t="shared" si="108"/>
        <v>8.8891856236007261E-2</v>
      </c>
      <c r="D1470" s="116">
        <f t="shared" si="108"/>
        <v>-3.2789098833681196E-2</v>
      </c>
      <c r="E1470" s="66"/>
      <c r="F1470" s="66" t="s">
        <v>203</v>
      </c>
      <c r="G1470" s="116">
        <f>G1455/G1463-1</f>
        <v>-7.9835662753465098E-2</v>
      </c>
      <c r="H1470" s="116">
        <f>H1455/H1463-1</f>
        <v>2.5801594148413542E-2</v>
      </c>
      <c r="I1470" s="66"/>
      <c r="J1470" s="66" t="s">
        <v>203</v>
      </c>
      <c r="K1470" s="116">
        <f>K1455/K1463-1</f>
        <v>3.6130189657543221E-2</v>
      </c>
      <c r="L1470" s="116">
        <f>L1455/L1463-1</f>
        <v>-0.22465389060661844</v>
      </c>
      <c r="M1470" s="66"/>
      <c r="N1470" s="66" t="s">
        <v>203</v>
      </c>
      <c r="O1470" s="116">
        <f>O1455/O1463-1</f>
        <v>0.25893556681215957</v>
      </c>
      <c r="P1470" s="116">
        <f>P1455/P1463-1</f>
        <v>-0.17421698093001581</v>
      </c>
    </row>
    <row r="1471" spans="2:16" ht="15.75">
      <c r="B1471" s="66" t="s">
        <v>372</v>
      </c>
      <c r="C1471" s="116">
        <f t="shared" si="108"/>
        <v>-0.53453643955000907</v>
      </c>
      <c r="D1471" s="116">
        <f t="shared" si="108"/>
        <v>-0.71845028921885279</v>
      </c>
      <c r="E1471" s="66"/>
      <c r="F1471" s="66"/>
      <c r="G1471" s="66"/>
      <c r="H1471" s="66"/>
      <c r="I1471" s="66"/>
      <c r="J1471" s="66"/>
      <c r="K1471" s="66"/>
      <c r="L1471" s="66"/>
      <c r="M1471" s="66"/>
      <c r="N1471" s="66"/>
      <c r="O1471" s="66"/>
      <c r="P1471" s="66"/>
    </row>
    <row r="1472" spans="2:16" ht="15.75">
      <c r="B1472" s="66"/>
      <c r="C1472" s="66"/>
      <c r="D1472" s="66"/>
      <c r="E1472" s="66"/>
      <c r="F1472" s="217" t="s">
        <v>3817</v>
      </c>
      <c r="G1472" s="67">
        <f>G1466</f>
        <v>2019</v>
      </c>
      <c r="H1472" s="67">
        <f>H1466</f>
        <v>2020</v>
      </c>
      <c r="I1472" s="66"/>
      <c r="J1472" s="217" t="s">
        <v>3817</v>
      </c>
      <c r="K1472" s="67">
        <f>K1466</f>
        <v>2019</v>
      </c>
      <c r="L1472" s="67">
        <f>L1466</f>
        <v>2020</v>
      </c>
      <c r="M1472" s="66"/>
      <c r="N1472" s="217" t="s">
        <v>3811</v>
      </c>
      <c r="O1472" s="67">
        <f>O1466</f>
        <v>2019</v>
      </c>
      <c r="P1472" s="67">
        <f>P1466</f>
        <v>2020</v>
      </c>
    </row>
    <row r="1473" spans="2:16" ht="15.75">
      <c r="B1473" s="66"/>
      <c r="C1473" s="66"/>
      <c r="D1473" s="66"/>
      <c r="E1473" s="66"/>
      <c r="F1473" s="66" t="str">
        <f>F1451</f>
        <v>Revenue</v>
      </c>
      <c r="G1473" s="69">
        <f>(G1451-G1459)/(C1451-C1459)</f>
        <v>0.44658617935319334</v>
      </c>
      <c r="H1473" s="69">
        <f>(H1451-H1459)/(D1451-D1459)</f>
        <v>0.32403092339893813</v>
      </c>
      <c r="I1473" s="66"/>
      <c r="J1473" s="66" t="str">
        <f>J1451</f>
        <v>Revenue</v>
      </c>
      <c r="K1473" s="69">
        <f>(K1451-K1459)/(C1451-C1459)</f>
        <v>0.19674034583436215</v>
      </c>
      <c r="L1473" s="69">
        <f>(L1451-L1459)/(D1451-D1459)</f>
        <v>3.7597839244946731E-2</v>
      </c>
      <c r="M1473" s="66"/>
      <c r="N1473" s="66" t="str">
        <f>N1451</f>
        <v>Revenue</v>
      </c>
      <c r="O1473" s="69">
        <f>(O1451-O1459)/(G1451-G1459)</f>
        <v>-0.31516694838247455</v>
      </c>
      <c r="P1473" s="69">
        <f>(P1451-P1459)/(H1451-H1459)</f>
        <v>-4.6143160263367837E-2</v>
      </c>
    </row>
    <row r="1474" spans="2:16" ht="15.75">
      <c r="B1474" s="66"/>
      <c r="C1474" s="66"/>
      <c r="D1474" s="66"/>
      <c r="E1474" s="66"/>
      <c r="F1474" s="66" t="str">
        <f>F1452</f>
        <v>EBITDA</v>
      </c>
      <c r="G1474" s="69">
        <f>(G1452-G1460)/(C1452-C1460)</f>
        <v>-0.50799968584814792</v>
      </c>
      <c r="H1474" s="69">
        <f>(H1452-H1460)/(D1452-D1460)</f>
        <v>2.4510172535107118</v>
      </c>
      <c r="I1474" s="66"/>
      <c r="J1474" s="66" t="str">
        <f>J1452</f>
        <v>EBITDA</v>
      </c>
      <c r="K1474" s="69">
        <f>(K1452-K1460)/(C1452-C1460)</f>
        <v>-0.11137769376691983</v>
      </c>
      <c r="L1474" s="69">
        <f>(L1452-L1460)/(D1452-D1460)</f>
        <v>1.1077861925502426</v>
      </c>
      <c r="M1474" s="66"/>
      <c r="N1474" s="66" t="str">
        <f>N1452</f>
        <v>EBITDA</v>
      </c>
      <c r="O1474" s="69">
        <f>(O1452-O1460)/(G1452-G1460)</f>
        <v>-0.54516596623491442</v>
      </c>
      <c r="P1474" s="69">
        <f>(P1452-P1460)/(H1452-H1460)</f>
        <v>0.40497636036089391</v>
      </c>
    </row>
    <row r="1477" spans="2:16">
      <c r="B1477" s="61" t="s">
        <v>200</v>
      </c>
      <c r="C1477" s="61">
        <f>Master!P41</f>
        <v>2017</v>
      </c>
      <c r="D1477" s="61">
        <f>Master!Q41</f>
        <v>2018</v>
      </c>
      <c r="E1477" s="61">
        <f>Master!R41</f>
        <v>2019</v>
      </c>
      <c r="F1477" s="61">
        <f>Master!S41</f>
        <v>2020</v>
      </c>
      <c r="G1477" s="61">
        <f>Master!T41</f>
        <v>2021</v>
      </c>
    </row>
    <row r="1478" spans="2:16">
      <c r="B1478" t="s">
        <v>3324</v>
      </c>
      <c r="C1478" s="10">
        <f>Content!K4</f>
        <v>-0.10783182334906471</v>
      </c>
      <c r="D1478" s="10">
        <f>Content!L4</f>
        <v>2.1043486654761301E-2</v>
      </c>
      <c r="E1478" s="10">
        <f>Content!M4</f>
        <v>-8.1994800283620828E-2</v>
      </c>
      <c r="F1478" s="10">
        <f>Content!N4</f>
        <v>-0.15811208831949919</v>
      </c>
      <c r="G1478" s="10">
        <f>Content!O4</f>
        <v>0.17200210400127225</v>
      </c>
    </row>
    <row r="1479" spans="2:16">
      <c r="B1479" t="s">
        <v>3098</v>
      </c>
      <c r="C1479" s="10">
        <f>Master!P48</f>
        <v>-7.331539767817763E-2</v>
      </c>
      <c r="D1479" s="428">
        <f>Master!Q49</f>
        <v>7.4124187428302513E-2</v>
      </c>
      <c r="E1479" s="428">
        <f>Master!R49</f>
        <v>-4.7145165265492728E-2</v>
      </c>
      <c r="F1479" s="10">
        <f>Master!S48</f>
        <v>-6.2720934376383153E-2</v>
      </c>
      <c r="G1479" s="10">
        <f>Master!T48</f>
        <v>0.102072793057983</v>
      </c>
    </row>
    <row r="1480" spans="2:16">
      <c r="B1480" t="s">
        <v>87</v>
      </c>
      <c r="C1480" s="10">
        <f>Master!P51/Master!O51-1</f>
        <v>1.1658432537873908E-2</v>
      </c>
      <c r="D1480" s="10">
        <f>Master!Q51/Master!P51-1</f>
        <v>-8.7849709420192434E-3</v>
      </c>
      <c r="E1480" s="10">
        <f>Master!R51/Master!Q51-1</f>
        <v>-2.9770020907190275E-2</v>
      </c>
      <c r="F1480" s="10">
        <f>Master!S51/Master!R51-1</f>
        <v>3.6899798566543351E-2</v>
      </c>
      <c r="G1480" s="10">
        <f>Master!T51/Master!S51-1</f>
        <v>-4.8837345886776351E-3</v>
      </c>
    </row>
    <row r="1481" spans="2:16">
      <c r="B1481" t="s">
        <v>16</v>
      </c>
      <c r="C1481" s="10">
        <f>Master!P52/Master!O52-1</f>
        <v>3.6260331874224061E-2</v>
      </c>
      <c r="D1481" s="10">
        <f>Master!Q52/Master!P52-1</f>
        <v>9.6374969740982808E-2</v>
      </c>
      <c r="E1481" s="10">
        <f>Master!R52/Master!Q52-1</f>
        <v>0.15093975105566759</v>
      </c>
      <c r="F1481" s="10">
        <f>Master!S52/Master!R52-1</f>
        <v>8.7887871085319702E-2</v>
      </c>
      <c r="G1481" s="10">
        <f>Master!T52/Master!S52-1</f>
        <v>5.849613486425187E-2</v>
      </c>
    </row>
    <row r="1482" spans="2:16">
      <c r="B1482" t="s">
        <v>1084</v>
      </c>
      <c r="C1482" s="10">
        <f>Master!P57</f>
        <v>-2.0899930832071423E-2</v>
      </c>
      <c r="D1482" s="10">
        <f>Master!Q57</f>
        <v>7.4622116149562379E-2</v>
      </c>
      <c r="E1482" s="10">
        <f>Master!R57</f>
        <v>-6.5087355641101352E-3</v>
      </c>
      <c r="F1482" s="10">
        <f>Master!S57</f>
        <v>-3.4895966839740722E-2</v>
      </c>
      <c r="G1482" s="10">
        <f>Master!T57</f>
        <v>6.5715582833959507E-2</v>
      </c>
    </row>
    <row r="1484" spans="2:16">
      <c r="B1484" s="61" t="s">
        <v>57</v>
      </c>
      <c r="C1484" s="61">
        <f>C1477</f>
        <v>2017</v>
      </c>
      <c r="D1484" s="61">
        <f>D1477</f>
        <v>2018</v>
      </c>
      <c r="E1484" s="61">
        <f>E1477</f>
        <v>2019</v>
      </c>
      <c r="F1484" s="61">
        <f>F1477</f>
        <v>2020</v>
      </c>
      <c r="G1484" s="61">
        <f>G1477</f>
        <v>2021</v>
      </c>
    </row>
    <row r="1485" spans="2:16">
      <c r="B1485" t="s">
        <v>145</v>
      </c>
      <c r="C1485" s="10">
        <f>Master!P65/Master!O65-1</f>
        <v>-0.13039056143205863</v>
      </c>
      <c r="D1485" s="428">
        <f>(Master!Q65-Interims!AQ40-Interims!AR40)/Master!P65-1</f>
        <v>4.8304093567251405E-2</v>
      </c>
      <c r="E1485" s="428">
        <f>Master!R65/(Master!Q65-Interims!AQ40-Interims!AR40)-1</f>
        <v>-6.0433634571757988E-2</v>
      </c>
      <c r="F1485" s="10">
        <f>Master!S65/Master!R65-1</f>
        <v>-2.1469284357188201E-2</v>
      </c>
      <c r="G1485" s="10">
        <f>Master!T65/Master!S65-1</f>
        <v>0.1147336741958449</v>
      </c>
    </row>
    <row r="1486" spans="2:16">
      <c r="B1486" t="s">
        <v>87</v>
      </c>
      <c r="C1486" s="10">
        <f>Master!P67/Master!O67-1</f>
        <v>2.1063797545082696E-2</v>
      </c>
      <c r="D1486" s="10">
        <f>Master!Q67/Master!P67-1</f>
        <v>-3.3640051449490449E-2</v>
      </c>
      <c r="E1486" s="10">
        <f>Master!R67/Master!Q67-1</f>
        <v>-6.6141087334903204E-2</v>
      </c>
      <c r="F1486" s="10">
        <f>Master!S67/Master!R67-1</f>
        <v>1.6226290976866231E-3</v>
      </c>
      <c r="G1486" s="10">
        <f>Master!T67/Master!S67-1</f>
        <v>-6.9134613279625112E-2</v>
      </c>
    </row>
    <row r="1487" spans="2:16">
      <c r="B1487" t="s">
        <v>16</v>
      </c>
      <c r="C1487" s="10">
        <f>Master!P68/Master!O68-1</f>
        <v>6.0357658222588206E-2</v>
      </c>
      <c r="D1487" s="10">
        <f>Master!Q68/Master!P68-1</f>
        <v>9.0345564659779054E-2</v>
      </c>
      <c r="E1487" s="10">
        <f>Master!R68/Master!Q68-1</f>
        <v>0.16303992681173618</v>
      </c>
      <c r="F1487" s="10">
        <f>Master!S68/Master!R68-1</f>
        <v>6.1821552983481354E-2</v>
      </c>
      <c r="G1487" s="10">
        <f>Master!T68/Master!S68-1</f>
        <v>7.3376970415328424E-2</v>
      </c>
    </row>
    <row r="1488" spans="2:16">
      <c r="B1488" t="s">
        <v>1084</v>
      </c>
      <c r="C1488" s="10">
        <f>Master!P74</f>
        <v>-2.3762653411916634E-2</v>
      </c>
      <c r="D1488" s="10">
        <f>Master!Q74</f>
        <v>0.11569554606467358</v>
      </c>
      <c r="E1488" s="10">
        <f>Master!R74</f>
        <v>4.4995556770797585E-2</v>
      </c>
      <c r="F1488" s="10">
        <f>Master!S74</f>
        <v>1.549527579863974E-2</v>
      </c>
      <c r="G1488" s="10">
        <f>Master!T74</f>
        <v>0.12345434072913641</v>
      </c>
    </row>
    <row r="1490" spans="2:3">
      <c r="B1490" t="s">
        <v>3880</v>
      </c>
      <c r="C1490">
        <v>33.200000000000003</v>
      </c>
    </row>
    <row r="1491" spans="2:3">
      <c r="B1491" t="s">
        <v>1326</v>
      </c>
      <c r="C1491">
        <v>12.6</v>
      </c>
    </row>
    <row r="1492" spans="2:3">
      <c r="B1492" t="s">
        <v>560</v>
      </c>
      <c r="C1492">
        <v>5.8</v>
      </c>
    </row>
    <row r="1493" spans="2:3">
      <c r="B1493" t="s">
        <v>3881</v>
      </c>
      <c r="C1493">
        <v>4.0999999999999996</v>
      </c>
    </row>
    <row r="1494" spans="2:3">
      <c r="B1494" t="s">
        <v>3882</v>
      </c>
      <c r="C1494">
        <v>1.6</v>
      </c>
    </row>
    <row r="1495" spans="2:3">
      <c r="B1495" t="s">
        <v>3883</v>
      </c>
      <c r="C1495">
        <v>10</v>
      </c>
    </row>
    <row r="1496" spans="2:3">
      <c r="B1496" t="s">
        <v>3884</v>
      </c>
      <c r="C1496">
        <v>1.6</v>
      </c>
    </row>
    <row r="1497" spans="2:3">
      <c r="B1497" t="s">
        <v>611</v>
      </c>
      <c r="C1497">
        <v>23.8</v>
      </c>
    </row>
    <row r="1498" spans="2:3">
      <c r="B1498" s="61" t="s">
        <v>44</v>
      </c>
      <c r="C1498" s="61">
        <v>0.7</v>
      </c>
    </row>
    <row r="1499" spans="2:3">
      <c r="C1499">
        <f>SUM(C1490:C1498)</f>
        <v>93.4</v>
      </c>
    </row>
    <row r="1513" spans="2:6">
      <c r="C1513" s="61">
        <v>2017</v>
      </c>
      <c r="D1513" s="61">
        <f>C1513+1</f>
        <v>2018</v>
      </c>
      <c r="E1513" s="61">
        <f>D1513+1</f>
        <v>2019</v>
      </c>
      <c r="F1513" s="61">
        <f>E1513+1</f>
        <v>2020</v>
      </c>
    </row>
    <row r="1514" spans="2:6">
      <c r="B1514" t="s">
        <v>3820</v>
      </c>
      <c r="C1514" s="122">
        <f>Content!K38</f>
        <v>-43.645123714088868</v>
      </c>
      <c r="D1514" s="122">
        <f>Content!L38</f>
        <v>135.08706108706087</v>
      </c>
      <c r="E1514" s="122">
        <f>Content!M38</f>
        <v>-103.9532467532465</v>
      </c>
      <c r="F1514" s="122">
        <f>Content!N38</f>
        <v>-208.50560352124614</v>
      </c>
    </row>
    <row r="1515" spans="2:6">
      <c r="B1515" t="s">
        <v>3821</v>
      </c>
      <c r="C1515" s="4">
        <v>-48.891678016273772</v>
      </c>
      <c r="D1515" s="4">
        <v>16.039953971715931</v>
      </c>
      <c r="E1515" s="4">
        <v>-6.242016782188557</v>
      </c>
      <c r="F1515" s="4">
        <v>-5.5717121435363879</v>
      </c>
    </row>
    <row r="1529" spans="2:10" ht="15.75">
      <c r="B1529" s="66"/>
      <c r="C1529" s="66"/>
      <c r="D1529" s="66"/>
      <c r="E1529" s="66"/>
      <c r="F1529" s="66"/>
      <c r="G1529" s="66"/>
      <c r="H1529" s="66"/>
      <c r="I1529" s="66"/>
      <c r="J1529" s="66"/>
    </row>
    <row r="1530" spans="2:10" ht="15.75">
      <c r="B1530" s="67" t="s">
        <v>1889</v>
      </c>
      <c r="C1530" s="68" t="s">
        <v>3805</v>
      </c>
      <c r="D1530" s="68" t="s">
        <v>3806</v>
      </c>
      <c r="E1530" s="68" t="s">
        <v>3807</v>
      </c>
      <c r="F1530" s="68" t="s">
        <v>3836</v>
      </c>
      <c r="G1530" s="68">
        <v>2019</v>
      </c>
      <c r="H1530" s="68">
        <v>2020</v>
      </c>
      <c r="I1530" s="68" t="s">
        <v>1378</v>
      </c>
    </row>
    <row r="1531" spans="2:10" ht="15.75">
      <c r="B1531" s="66" t="str">
        <f>Interims!A8</f>
        <v>Advertising</v>
      </c>
      <c r="C1531" s="125">
        <f>Interims!AP8</f>
        <v>4272.7</v>
      </c>
      <c r="D1531" s="125">
        <f>Interims!AQ8</f>
        <v>5265.8</v>
      </c>
      <c r="E1531" s="125">
        <f>Interims!AR8</f>
        <v>5051.2</v>
      </c>
      <c r="F1531" s="125" t="e">
        <f>Interims!#REF!</f>
        <v>#REF!</v>
      </c>
      <c r="G1531" s="125">
        <f>Content!M3</f>
        <v>19420.400000000001</v>
      </c>
      <c r="H1531" s="125">
        <f>Content!N3</f>
        <v>16349.8</v>
      </c>
      <c r="I1531" s="66"/>
    </row>
    <row r="1532" spans="2:10" ht="15.75">
      <c r="B1532" s="66" t="s">
        <v>4431</v>
      </c>
      <c r="C1532" s="125">
        <f>Interims!AP9</f>
        <v>1179.0999999999999</v>
      </c>
      <c r="D1532" s="125">
        <f>Interims!AQ9</f>
        <v>1200.8</v>
      </c>
      <c r="E1532" s="125">
        <f>Interims!AR9</f>
        <v>1182.8</v>
      </c>
      <c r="F1532" s="125" t="e">
        <f>Interims!#REF!</f>
        <v>#REF!</v>
      </c>
      <c r="G1532" s="125">
        <f>Content!M11</f>
        <v>4939</v>
      </c>
      <c r="H1532" s="125">
        <f>Content!N11</f>
        <v>5466.2</v>
      </c>
      <c r="I1532" s="66"/>
    </row>
    <row r="1533" spans="2:10" ht="15.75">
      <c r="B1533" s="66" t="s">
        <v>4432</v>
      </c>
      <c r="C1533" s="125">
        <f>Interims!AP10</f>
        <v>2447.6</v>
      </c>
      <c r="D1533" s="125">
        <f>Interims!AQ10</f>
        <v>2781.3</v>
      </c>
      <c r="E1533" s="125">
        <f>Interims!AR10</f>
        <v>2466</v>
      </c>
      <c r="F1533" s="125" t="e">
        <f>Interims!#REF!</f>
        <v>#REF!</v>
      </c>
      <c r="G1533" s="125">
        <f>Content!M17</f>
        <v>10436</v>
      </c>
      <c r="H1533" s="125">
        <f>Content!N17</f>
        <v>10797</v>
      </c>
      <c r="I1533" s="66"/>
    </row>
    <row r="1534" spans="2:10" ht="15.75">
      <c r="B1534" s="67" t="str">
        <f>Interims!A11</f>
        <v>World Cup digital</v>
      </c>
      <c r="C1534" s="154"/>
      <c r="D1534" s="154">
        <f>Interims!AQ11</f>
        <v>1723.5</v>
      </c>
      <c r="E1534" s="154">
        <f>Interims!AR11</f>
        <v>1010.1</v>
      </c>
      <c r="F1534" s="154"/>
      <c r="G1534" s="154"/>
      <c r="H1534" s="154"/>
      <c r="I1534" s="66"/>
    </row>
    <row r="1535" spans="2:10" ht="15.75">
      <c r="B1535" s="66" t="str">
        <f>Interims!A7</f>
        <v>Content</v>
      </c>
      <c r="C1535" s="125">
        <f>Interims!AP7</f>
        <v>7899.4</v>
      </c>
      <c r="D1535" s="125">
        <f>Interims!AQ7</f>
        <v>10971.400000000001</v>
      </c>
      <c r="E1535" s="125">
        <f>Interims!AR7</f>
        <v>9710.1</v>
      </c>
      <c r="F1535" s="125" t="e">
        <f>Interims!#REF!</f>
        <v>#REF!</v>
      </c>
      <c r="G1535" s="125">
        <f>Content!M22</f>
        <v>34795.4</v>
      </c>
      <c r="H1535" s="125">
        <f>Content!N22</f>
        <v>32613</v>
      </c>
      <c r="I1535" s="66"/>
    </row>
    <row r="1536" spans="2:10" ht="15.75">
      <c r="B1536" s="66"/>
      <c r="C1536" s="66"/>
      <c r="D1536" s="66"/>
      <c r="E1536" s="66"/>
      <c r="F1536" s="66"/>
      <c r="I1536" s="66"/>
    </row>
    <row r="1537" spans="2:9" ht="15.75">
      <c r="B1537" s="66" t="s">
        <v>57</v>
      </c>
      <c r="C1537" s="125">
        <f>Interims!AP23</f>
        <v>2820.1</v>
      </c>
      <c r="D1537" s="125">
        <f>Interims!AQ23</f>
        <v>4294.3</v>
      </c>
      <c r="E1537" s="125">
        <f>Interims!AR23</f>
        <v>3704</v>
      </c>
      <c r="F1537" s="125" t="e">
        <f>Interims!#REF!</f>
        <v>#REF!</v>
      </c>
      <c r="G1537" s="125">
        <f>Master!R65</f>
        <v>12632</v>
      </c>
      <c r="H1537" s="125">
        <f>Master!S65</f>
        <v>12360.8</v>
      </c>
      <c r="I1537" s="66"/>
    </row>
    <row r="1538" spans="2:9" ht="15.75">
      <c r="B1538" s="66" t="s">
        <v>158</v>
      </c>
      <c r="C1538" s="116">
        <f t="shared" ref="C1538:H1538" si="109">C1537/C1535</f>
        <v>0.35700179760488138</v>
      </c>
      <c r="D1538" s="116">
        <f t="shared" si="109"/>
        <v>0.39140857137648793</v>
      </c>
      <c r="E1538" s="116">
        <f t="shared" si="109"/>
        <v>0.38145848137506305</v>
      </c>
      <c r="F1538" s="116" t="e">
        <f t="shared" si="109"/>
        <v>#REF!</v>
      </c>
      <c r="G1538" s="116">
        <f t="shared" si="109"/>
        <v>0.36303649332957805</v>
      </c>
      <c r="H1538" s="116">
        <f t="shared" si="109"/>
        <v>0.37901450341888204</v>
      </c>
      <c r="I1538" s="66"/>
    </row>
    <row r="1539" spans="2:9" ht="15.75">
      <c r="B1539" s="66"/>
      <c r="C1539" s="66"/>
      <c r="D1539" s="66"/>
      <c r="E1539" s="66"/>
      <c r="F1539" s="66"/>
      <c r="I1539" s="66"/>
    </row>
    <row r="1540" spans="2:9" ht="15.75">
      <c r="B1540" s="66" t="s">
        <v>4426</v>
      </c>
      <c r="C1540" s="66"/>
      <c r="D1540" s="66"/>
      <c r="E1540" s="66"/>
      <c r="F1540" s="66"/>
      <c r="I1540" s="66"/>
    </row>
    <row r="1541" spans="2:9" ht="15.75">
      <c r="B1541" s="70" t="s">
        <v>200</v>
      </c>
      <c r="C1541" s="66"/>
      <c r="D1541" s="66"/>
      <c r="E1541" s="66"/>
      <c r="F1541" s="66"/>
      <c r="I1541" s="66"/>
    </row>
    <row r="1542" spans="2:9" ht="15.75">
      <c r="B1542" s="66" t="str">
        <f>B1531</f>
        <v>Advertising</v>
      </c>
      <c r="C1542" s="116">
        <f>Interims!DE8</f>
        <v>3.5003149072234896E-2</v>
      </c>
      <c r="D1542" s="116">
        <f>Interims!DF8</f>
        <v>9.0995731985248351E-2</v>
      </c>
      <c r="E1542" s="116">
        <f>Interims!DG8</f>
        <v>2.1724179780735486E-2</v>
      </c>
      <c r="F1542" s="116" t="e">
        <f>Interims!#REF!</f>
        <v>#REF!</v>
      </c>
      <c r="G1542" s="116">
        <f>Content!M4</f>
        <v>-8.1994800283620828E-2</v>
      </c>
      <c r="H1542" s="116">
        <f>Content!N4</f>
        <v>-0.15811208831949919</v>
      </c>
      <c r="I1542" s="111" t="s">
        <v>4427</v>
      </c>
    </row>
    <row r="1543" spans="2:9" ht="15.75">
      <c r="B1543" s="66" t="str">
        <f>B1532</f>
        <v>Net Subsc</v>
      </c>
      <c r="C1543" s="116">
        <f>Interims!DE9</f>
        <v>0.13124820109373503</v>
      </c>
      <c r="D1543" s="116">
        <f>Interims!DF9</f>
        <v>0.27595367123578773</v>
      </c>
      <c r="E1543" s="116">
        <f>Interims!DG9</f>
        <v>0.27223835645907268</v>
      </c>
      <c r="F1543" s="116" t="e">
        <f>Interims!#REF!</f>
        <v>#REF!</v>
      </c>
      <c r="G1543" s="116">
        <f>Content!M12</f>
        <v>2.0243751291055601E-2</v>
      </c>
      <c r="H1543" s="116">
        <f>Content!N12</f>
        <v>0.1067422555173112</v>
      </c>
      <c r="I1543" s="111" t="s">
        <v>4428</v>
      </c>
    </row>
    <row r="1544" spans="2:9" ht="15.75">
      <c r="B1544" s="67" t="str">
        <f>B1533</f>
        <v>Lic, syndication</v>
      </c>
      <c r="C1544" s="123">
        <f>Interims!DE10</f>
        <v>0.15441939439675512</v>
      </c>
      <c r="D1544" s="123">
        <f>Interims!DF10</f>
        <v>0.20496490772030174</v>
      </c>
      <c r="E1544" s="123">
        <f>Interims!DG10</f>
        <v>0.14617708575412514</v>
      </c>
      <c r="F1544" s="123" t="e">
        <f>Interims!#REF!</f>
        <v>#REF!</v>
      </c>
      <c r="G1544" s="123">
        <f>Content!M18</f>
        <v>-8.0790799353673837E-3</v>
      </c>
      <c r="H1544" s="123">
        <f>Content!N18</f>
        <v>3.4591797623610532E-2</v>
      </c>
      <c r="I1544" s="111" t="s">
        <v>4429</v>
      </c>
    </row>
    <row r="1545" spans="2:9" ht="15.75">
      <c r="B1545" s="66" t="str">
        <f>B1535</f>
        <v>Content</v>
      </c>
      <c r="C1545" s="116">
        <f>Interims!DE7</f>
        <v>8.3489925521554875E-2</v>
      </c>
      <c r="D1545" s="116">
        <f>(Interims!AQ7-Interims!AQ11)/Interims!AL7-1</f>
        <v>0.14512314416969008</v>
      </c>
      <c r="E1545" s="116">
        <f>(Interims!AR7-Interims!AR11)/Interims!AM7-1</f>
        <v>8.4112149532710179E-2</v>
      </c>
      <c r="F1545" s="116" t="e">
        <f>Interims!#REF!</f>
        <v>#REF!</v>
      </c>
      <c r="G1545" s="116">
        <f>Content!M23</f>
        <v>-0.10825612834608334</v>
      </c>
      <c r="H1545" s="116">
        <f>Content!N23</f>
        <v>-6.2720934376383153E-2</v>
      </c>
      <c r="I1545" s="66"/>
    </row>
    <row r="1546" spans="2:9" ht="15.75">
      <c r="B1546" s="66"/>
      <c r="C1546" s="66"/>
      <c r="D1546" s="66"/>
      <c r="E1546" s="66"/>
      <c r="F1546" s="66"/>
      <c r="I1546" s="66"/>
    </row>
    <row r="1547" spans="2:9" ht="15.75">
      <c r="B1547" s="66" t="str">
        <f>B1537</f>
        <v>EBITDA</v>
      </c>
      <c r="C1547" s="116">
        <f>Interims!DE23</f>
        <v>7.6949515008019498E-2</v>
      </c>
      <c r="D1547" s="116">
        <f>(Interims!AQ23-Interims!AQ40)/Interims!AL23-1</f>
        <v>9.1676870427930268E-2</v>
      </c>
      <c r="E1547" s="116">
        <f>(Interims!AR23-Interims!AR40)/Interims!AM23-1</f>
        <v>2.772315528190461E-3</v>
      </c>
      <c r="F1547" s="116" t="e">
        <f>Interims!#REF!</f>
        <v>#REF!</v>
      </c>
      <c r="G1547" s="116">
        <f>Content!M27/(Content!L27-Interims!AQ40-Interims!AR40)-1</f>
        <v>-6.0433634571757988E-2</v>
      </c>
      <c r="H1547" s="116">
        <f>Content!N28</f>
        <v>-2.1469284357188201E-2</v>
      </c>
      <c r="I1547" s="111" t="s">
        <v>4430</v>
      </c>
    </row>
    <row r="1550" spans="2:9" ht="15.75" thickBot="1">
      <c r="B1550" s="563" t="s">
        <v>3837</v>
      </c>
      <c r="C1550" s="563">
        <v>2018</v>
      </c>
      <c r="D1550" s="563">
        <v>2019</v>
      </c>
      <c r="E1550" s="563">
        <v>2020</v>
      </c>
    </row>
    <row r="1551" spans="2:9">
      <c r="B1551" s="530" t="s">
        <v>200</v>
      </c>
      <c r="C1551" s="531">
        <f>Master!Q5/Master!Q$92</f>
        <v>5262.8571428571431</v>
      </c>
      <c r="D1551" s="531">
        <f>Master!R5/Master!R$92</f>
        <v>5228.6025974025979</v>
      </c>
      <c r="E1551" s="531">
        <f>Master!S5/Master!S$92</f>
        <v>4522.2672253258843</v>
      </c>
    </row>
    <row r="1552" spans="2:9">
      <c r="B1552" s="530" t="s">
        <v>57</v>
      </c>
      <c r="C1552" s="531">
        <f>Master!Q13/Master!Q$92</f>
        <v>1899.8701298701299</v>
      </c>
      <c r="D1552" s="531">
        <f>Master!R13/Master!R$92</f>
        <v>1985.3558441558441</v>
      </c>
      <c r="E1552" s="531">
        <f>Master!S13/Master!S$92</f>
        <v>1806.810986964618</v>
      </c>
    </row>
    <row r="1553" spans="2:5">
      <c r="B1553" s="530" t="s">
        <v>203</v>
      </c>
      <c r="C1553" s="531">
        <f>Master!Q116/Master!Q$92</f>
        <v>930.47012987012999</v>
      </c>
      <c r="D1553" s="531">
        <f>Master!R116/Master!R$92</f>
        <v>994.85584415584412</v>
      </c>
      <c r="E1553" s="531">
        <f>Master!S116/Master!S$92</f>
        <v>867.41098696461813</v>
      </c>
    </row>
    <row r="1554" spans="2:5">
      <c r="B1554" s="530" t="s">
        <v>372</v>
      </c>
      <c r="C1554" s="531">
        <f>Valuation!N32</f>
        <v>-329.16623376623386</v>
      </c>
      <c r="D1554" s="531">
        <f>Valuation!O32</f>
        <v>80.985714285714238</v>
      </c>
      <c r="E1554" s="531">
        <f>Valuation!P32</f>
        <v>63.197765363128397</v>
      </c>
    </row>
    <row r="1555" spans="2:5">
      <c r="B1555" s="530" t="s">
        <v>3838</v>
      </c>
      <c r="C1555" s="535">
        <f>Valuation!N32/Valuation!N7</f>
        <v>-0.56915661925990646</v>
      </c>
      <c r="D1555" s="535">
        <f>Valuation!O32/Valuation!O7</f>
        <v>0.14170660842009514</v>
      </c>
      <c r="E1555" s="535">
        <f>Valuation!P32/Valuation!P7</f>
        <v>0.11021909767945033</v>
      </c>
    </row>
    <row r="1556" spans="2:5">
      <c r="B1556" s="530" t="s">
        <v>197</v>
      </c>
      <c r="C1556" s="535">
        <f>Valuation!N41</f>
        <v>9.0909090909090912E-2</v>
      </c>
      <c r="D1556" s="535">
        <f>Valuation!O41</f>
        <v>0</v>
      </c>
      <c r="E1556" s="535">
        <f>Valuation!P41</f>
        <v>8.1471135940409681E-2</v>
      </c>
    </row>
    <row r="1557" spans="2:5" ht="15.75" thickBot="1">
      <c r="B1557" s="529" t="s">
        <v>3839</v>
      </c>
      <c r="C1557" s="529"/>
      <c r="D1557" s="529"/>
      <c r="E1557" s="529"/>
    </row>
    <row r="1558" spans="2:5">
      <c r="B1558" s="530" t="s">
        <v>380</v>
      </c>
      <c r="C1558" s="532">
        <f ca="1">Valuation!N43</f>
        <v>2.1056423350160069</v>
      </c>
      <c r="D1558" s="532">
        <f ca="1">Valuation!O43</f>
        <v>2.276619525131844</v>
      </c>
      <c r="E1558" s="532">
        <f ca="1">Valuation!P43</f>
        <v>2.2871904919444281</v>
      </c>
    </row>
    <row r="1559" spans="2:5">
      <c r="B1559" s="530" t="s">
        <v>382</v>
      </c>
      <c r="C1559" s="532">
        <f ca="1">Valuation!N45</f>
        <v>6.4333037967962028</v>
      </c>
      <c r="D1559" s="532">
        <f ca="1">Valuation!O45</f>
        <v>5.944745755793635</v>
      </c>
      <c r="E1559" s="532">
        <f ca="1">Valuation!P45</f>
        <v>27.568168027141528</v>
      </c>
    </row>
    <row r="1560" spans="2:5">
      <c r="B1560" s="530" t="s">
        <v>3840</v>
      </c>
      <c r="C1560" s="532">
        <f>Valuation!N51</f>
        <v>11.223980026984814</v>
      </c>
      <c r="D1560" s="532">
        <f>Valuation!O51</f>
        <v>7.360372495903114</v>
      </c>
      <c r="E1560" s="532">
        <f>Valuation!P51</f>
        <v>7.6609992590237308</v>
      </c>
    </row>
    <row r="1561" spans="2:5" ht="15.75" thickBot="1">
      <c r="B1561" s="533" t="s">
        <v>3841</v>
      </c>
      <c r="C1561" s="534">
        <f>Valuation!N49</f>
        <v>2.8768699654775604E-2</v>
      </c>
      <c r="D1561" s="534">
        <f>Valuation!O49</f>
        <v>0</v>
      </c>
      <c r="E1561" s="534">
        <f>Valuation!P49</f>
        <v>2.5782005044433443E-2</v>
      </c>
    </row>
    <row r="1563" spans="2:5">
      <c r="E1563" s="264" t="s">
        <v>3844</v>
      </c>
    </row>
    <row r="1564" spans="2:5">
      <c r="B1564" s="61" t="s">
        <v>3843</v>
      </c>
      <c r="C1564" s="61">
        <v>2016</v>
      </c>
      <c r="D1564" s="61">
        <f>C1564+1</f>
        <v>2017</v>
      </c>
      <c r="E1564" s="61">
        <f>D1564+1</f>
        <v>2018</v>
      </c>
    </row>
    <row r="1565" spans="2:5">
      <c r="B1565" t="s">
        <v>2384</v>
      </c>
      <c r="C1565">
        <f>C1567*C1571</f>
        <v>80</v>
      </c>
      <c r="D1565" s="4">
        <f>(1+D1566)*C1565</f>
        <v>87.12</v>
      </c>
      <c r="E1565" s="4">
        <f>E1571-E1568</f>
        <v>74.942126838678561</v>
      </c>
    </row>
    <row r="1566" spans="2:5">
      <c r="B1566" t="s">
        <v>316</v>
      </c>
      <c r="D1566" s="10">
        <v>8.8999999999999996E-2</v>
      </c>
      <c r="E1566" s="10">
        <f>E1565/D1565-1</f>
        <v>-0.13978274978559968</v>
      </c>
    </row>
    <row r="1567" spans="2:5">
      <c r="B1567" t="s">
        <v>1613</v>
      </c>
      <c r="C1567" s="8">
        <v>0.8</v>
      </c>
      <c r="D1567" s="8">
        <f>D1565/D1571</f>
        <v>0.97649750663642065</v>
      </c>
      <c r="E1567" s="8">
        <f>E1565/E1571</f>
        <v>0.79999999999999993</v>
      </c>
    </row>
    <row r="1568" spans="2:5">
      <c r="B1568" t="s">
        <v>3842</v>
      </c>
      <c r="C1568">
        <f>C1571-C1565</f>
        <v>20</v>
      </c>
      <c r="D1568" s="4">
        <f>D1571-D1565</f>
        <v>2.0968176650935249</v>
      </c>
      <c r="E1568" s="4">
        <f>E1570*E1571</f>
        <v>18.73553170966964</v>
      </c>
    </row>
    <row r="1569" spans="2:12">
      <c r="B1569" t="s">
        <v>316</v>
      </c>
      <c r="D1569" s="8">
        <f>D1568/C1568-1</f>
        <v>-0.89515911674532378</v>
      </c>
      <c r="E1569" s="8">
        <f>E1568/D1568-1</f>
        <v>7.9352221805294523</v>
      </c>
    </row>
    <row r="1570" spans="2:12">
      <c r="B1570" t="s">
        <v>1613</v>
      </c>
      <c r="C1570" s="8">
        <f>100%-C1567</f>
        <v>0.19999999999999996</v>
      </c>
      <c r="D1570" s="8">
        <f>100%-D1567</f>
        <v>2.3502493363579346E-2</v>
      </c>
      <c r="E1570" s="8">
        <v>0.2</v>
      </c>
    </row>
    <row r="1571" spans="2:12">
      <c r="B1571" t="s">
        <v>98</v>
      </c>
      <c r="C1571">
        <v>100</v>
      </c>
      <c r="D1571">
        <f>(1+D1572)*C1571</f>
        <v>89.216817665093529</v>
      </c>
      <c r="E1571">
        <f>(1+E1572)*D1571</f>
        <v>93.677658548348205</v>
      </c>
    </row>
    <row r="1572" spans="2:12">
      <c r="B1572" t="s">
        <v>181</v>
      </c>
      <c r="D1572" s="10">
        <f>Content!K4</f>
        <v>-0.10783182334906471</v>
      </c>
      <c r="E1572" s="10">
        <v>0.05</v>
      </c>
    </row>
    <row r="1575" spans="2:12" ht="15.75">
      <c r="B1575" s="67" t="s">
        <v>3850</v>
      </c>
      <c r="C1575" s="123">
        <v>0</v>
      </c>
      <c r="D1575" s="123">
        <v>2.5000000000000001E-2</v>
      </c>
      <c r="E1575" s="123">
        <v>0.05</v>
      </c>
      <c r="F1575" s="123">
        <v>7.4999999999999997E-2</v>
      </c>
      <c r="G1575" s="123">
        <v>0.1</v>
      </c>
    </row>
    <row r="1576" spans="2:12" ht="15.75">
      <c r="B1576" s="66" t="s">
        <v>3851</v>
      </c>
      <c r="C1576" s="125">
        <f>(C1575)*Content!$K$3</f>
        <v>0</v>
      </c>
      <c r="D1576" s="125">
        <f>(D1575)*Content!$K$3</f>
        <v>517.97500000000002</v>
      </c>
      <c r="E1576" s="125">
        <f>(E1575)*Content!$K$3</f>
        <v>1035.95</v>
      </c>
      <c r="F1576" s="125">
        <f>(F1575)*Content!$K$3</f>
        <v>1553.925</v>
      </c>
      <c r="G1576" s="125">
        <f>(G1575)*Content!$K$3</f>
        <v>2071.9</v>
      </c>
    </row>
    <row r="1577" spans="2:12" ht="15.75">
      <c r="B1577" s="66" t="s">
        <v>3849</v>
      </c>
      <c r="C1577" s="125">
        <f>C1576-$E$1576</f>
        <v>-1035.95</v>
      </c>
      <c r="D1577" s="125">
        <f>D1576-$E$1576</f>
        <v>-517.97500000000002</v>
      </c>
      <c r="E1577" s="125">
        <f>E1576-$E$1576</f>
        <v>0</v>
      </c>
      <c r="F1577" s="125">
        <f>F1576-$E$1576</f>
        <v>517.97499999999991</v>
      </c>
      <c r="G1577" s="125">
        <f>G1576-$E$1576</f>
        <v>1035.95</v>
      </c>
    </row>
    <row r="1578" spans="2:12" ht="15.75">
      <c r="B1578" s="66" t="s">
        <v>3847</v>
      </c>
      <c r="C1578" s="116">
        <f>C1577/Content!$L$27</f>
        <v>-6.9737462133961634E-2</v>
      </c>
      <c r="D1578" s="116">
        <f>D1577/Content!$L$27</f>
        <v>-3.4868731066980817E-2</v>
      </c>
      <c r="E1578" s="116">
        <f>E1577/Content!$L$27</f>
        <v>0</v>
      </c>
      <c r="F1578" s="116">
        <f>F1577/Content!$L$27</f>
        <v>3.486873106698081E-2</v>
      </c>
      <c r="G1578" s="116">
        <f>G1577/Content!$L$27</f>
        <v>6.9737462133961634E-2</v>
      </c>
    </row>
    <row r="1579" spans="2:12" ht="15.75">
      <c r="B1579" s="66" t="s">
        <v>3848</v>
      </c>
      <c r="C1579" s="116">
        <f>C1577/Master!$Q$13</f>
        <v>-2.8325927951329551E-2</v>
      </c>
      <c r="D1579" s="116">
        <f>D1577/Master!$Q$13</f>
        <v>-1.4162963975664775E-2</v>
      </c>
      <c r="E1579" s="116">
        <f>E1577/Master!$Q$13</f>
        <v>0</v>
      </c>
      <c r="F1579" s="116">
        <f>F1577/Master!$Q$13</f>
        <v>1.4162963975664774E-2</v>
      </c>
      <c r="G1579" s="116">
        <f>G1577/Master!$Q$13</f>
        <v>2.8325927951329551E-2</v>
      </c>
    </row>
    <row r="1581" spans="2:12" ht="15.75">
      <c r="B1581" s="67" t="s">
        <v>3852</v>
      </c>
      <c r="C1581" s="68" t="s">
        <v>2759</v>
      </c>
      <c r="D1581" s="68" t="s">
        <v>3096</v>
      </c>
      <c r="E1581" s="68" t="e">
        <f>#REF!</f>
        <v>#REF!</v>
      </c>
      <c r="F1581" s="68" t="e">
        <f>#REF!</f>
        <v>#REF!</v>
      </c>
      <c r="G1581" s="68" t="e">
        <f>#REF!</f>
        <v>#REF!</v>
      </c>
      <c r="H1581" s="536" t="e">
        <f>#REF!</f>
        <v>#REF!</v>
      </c>
      <c r="I1581" s="537" t="str">
        <f>C1530</f>
        <v>Q1 18</v>
      </c>
      <c r="J1581" s="537" t="str">
        <f>D1530</f>
        <v>Q2 18</v>
      </c>
      <c r="K1581" s="537" t="str">
        <f>E1530</f>
        <v>Q3 18</v>
      </c>
      <c r="L1581" s="538" t="str">
        <f>F1530</f>
        <v>Q4 18e</v>
      </c>
    </row>
    <row r="1582" spans="2:12" ht="15.75">
      <c r="B1582" s="66" t="s">
        <v>74</v>
      </c>
      <c r="C1582" s="71">
        <f>Interims!AH245</f>
        <v>20.4950000000008</v>
      </c>
      <c r="D1582" s="71">
        <f>Interims!AI245</f>
        <v>-34.4950000000008</v>
      </c>
      <c r="E1582" s="71">
        <f>Interims!AK245</f>
        <v>-67.623999999999995</v>
      </c>
      <c r="F1582" s="71">
        <f>Interims!AL245</f>
        <v>25.465000000000146</v>
      </c>
      <c r="G1582" s="71">
        <f>Interims!AM245</f>
        <v>30.972999999999502</v>
      </c>
      <c r="H1582" s="539" t="e">
        <f>Interims!#REF!</f>
        <v>#REF!</v>
      </c>
      <c r="I1582" s="71" t="e">
        <f>Interims!#REF!</f>
        <v>#REF!</v>
      </c>
      <c r="J1582" s="71" t="e">
        <f>Interims!#REF!</f>
        <v>#REF!</v>
      </c>
      <c r="K1582" s="71" t="e">
        <f>Interims!#REF!</f>
        <v>#REF!</v>
      </c>
      <c r="L1582" s="540" t="e">
        <f>Interims!#REF!</f>
        <v>#REF!</v>
      </c>
    </row>
    <row r="1583" spans="2:12" ht="15.75">
      <c r="B1583" s="66" t="s">
        <v>3308</v>
      </c>
      <c r="C1583" s="71">
        <f>Interims!AH246</f>
        <v>87.960000000000036</v>
      </c>
      <c r="D1583" s="71">
        <f>Interims!AI246</f>
        <v>65.740000000000236</v>
      </c>
      <c r="E1583" s="71">
        <f>Interims!AK246</f>
        <v>45.057000000000002</v>
      </c>
      <c r="F1583" s="71">
        <f>Interims!AL246</f>
        <v>119.03099999999995</v>
      </c>
      <c r="G1583" s="71">
        <f>Interims!AM246</f>
        <v>144.53200000000015</v>
      </c>
      <c r="H1583" s="539" t="e">
        <f>Interims!#REF!</f>
        <v>#REF!</v>
      </c>
      <c r="I1583" s="71" t="e">
        <f>Interims!#REF!</f>
        <v>#REF!</v>
      </c>
      <c r="J1583" s="71" t="e">
        <f>Interims!#REF!</f>
        <v>#REF!</v>
      </c>
      <c r="K1583" s="71" t="e">
        <f>Interims!#REF!</f>
        <v>#REF!</v>
      </c>
      <c r="L1583" s="540" t="e">
        <f>Interims!#REF!</f>
        <v>#REF!</v>
      </c>
    </row>
    <row r="1584" spans="2:12" ht="15.75">
      <c r="B1584" s="67" t="s">
        <v>612</v>
      </c>
      <c r="C1584" s="76">
        <f>Interims!AH248</f>
        <v>40.893000000000029</v>
      </c>
      <c r="D1584" s="76">
        <f>Interims!AI248</f>
        <v>20.906999999999698</v>
      </c>
      <c r="E1584" s="76">
        <f>Interims!AK248</f>
        <v>2.8479999999999999</v>
      </c>
      <c r="F1584" s="76">
        <f>Interims!AL248</f>
        <v>14.82300000000032</v>
      </c>
      <c r="G1584" s="76">
        <f>Interims!AM248</f>
        <v>23.264999999999873</v>
      </c>
      <c r="H1584" s="541" t="e">
        <f>Interims!#REF!</f>
        <v>#REF!</v>
      </c>
      <c r="I1584" s="76" t="e">
        <f>Interims!#REF!</f>
        <v>#REF!</v>
      </c>
      <c r="J1584" s="76" t="e">
        <f>Interims!#REF!</f>
        <v>#REF!</v>
      </c>
      <c r="K1584" s="76" t="e">
        <f>Interims!#REF!</f>
        <v>#REF!</v>
      </c>
      <c r="L1584" s="542" t="e">
        <f>Interims!#REF!</f>
        <v>#REF!</v>
      </c>
    </row>
    <row r="1585" spans="2:12" ht="15.75">
      <c r="B1585" s="66" t="s">
        <v>1084</v>
      </c>
      <c r="C1585" s="71">
        <f>Interims!AH249</f>
        <v>149.34799999999996</v>
      </c>
      <c r="D1585" s="71">
        <f>Interims!AI249</f>
        <v>52.152000000000044</v>
      </c>
      <c r="E1585" s="71">
        <f>Interims!AK249</f>
        <v>-19.718999999999994</v>
      </c>
      <c r="F1585" s="71">
        <f>Interims!AL249</f>
        <v>159.31899999999951</v>
      </c>
      <c r="G1585" s="71">
        <f>Interims!AM249</f>
        <v>198.77000000000044</v>
      </c>
      <c r="H1585" s="539" t="e">
        <f>Interims!#REF!</f>
        <v>#REF!</v>
      </c>
      <c r="I1585" s="71" t="e">
        <f>Interims!#REF!</f>
        <v>#REF!</v>
      </c>
      <c r="J1585" s="71" t="e">
        <f>Interims!#REF!</f>
        <v>#REF!</v>
      </c>
      <c r="K1585" s="71" t="e">
        <f>Interims!#REF!</f>
        <v>#REF!</v>
      </c>
      <c r="L1585" s="540" t="e">
        <f>Interims!#REF!</f>
        <v>#REF!</v>
      </c>
    </row>
    <row r="1586" spans="2:12" ht="15.75">
      <c r="B1586" s="66"/>
      <c r="E1586" s="66"/>
      <c r="F1586" s="66"/>
      <c r="G1586" s="66"/>
      <c r="H1586" s="543"/>
      <c r="I1586" s="66"/>
      <c r="J1586" s="66"/>
      <c r="K1586" s="66"/>
      <c r="L1586" s="544"/>
    </row>
    <row r="1587" spans="2:12" ht="15.75">
      <c r="B1587" s="66" t="s">
        <v>3853</v>
      </c>
      <c r="C1587" s="125">
        <f>Interims!AH14</f>
        <v>8155.2</v>
      </c>
      <c r="D1587" s="125">
        <f>Interims!AI14</f>
        <v>8313.2000000000007</v>
      </c>
      <c r="E1587" s="125">
        <f>Interims!AK14</f>
        <v>8096.3</v>
      </c>
      <c r="F1587" s="125">
        <f>Interims!AL14</f>
        <v>8036.7</v>
      </c>
      <c r="G1587" s="125">
        <f>Interims!AM14</f>
        <v>8322.5</v>
      </c>
      <c r="H1587" s="545" t="e">
        <f>Interims!#REF!</f>
        <v>#REF!</v>
      </c>
      <c r="I1587" s="125" t="e">
        <f>Interims!#REF!</f>
        <v>#REF!</v>
      </c>
      <c r="J1587" s="125" t="e">
        <f>Interims!#REF!</f>
        <v>#REF!</v>
      </c>
      <c r="K1587" s="125" t="e">
        <f>Interims!#REF!</f>
        <v>#REF!</v>
      </c>
      <c r="L1587" s="546" t="e">
        <f>Interims!#REF!</f>
        <v>#REF!</v>
      </c>
    </row>
    <row r="1588" spans="2:12" ht="15.75">
      <c r="B1588" s="66" t="s">
        <v>564</v>
      </c>
      <c r="C1588" s="116">
        <f>Interims!CW14</f>
        <v>0.11806964628461758</v>
      </c>
      <c r="D1588" s="116">
        <f>Interims!CX14</f>
        <v>9.8162507760796158E-2</v>
      </c>
      <c r="E1588" s="116">
        <f>Interims!CZ14</f>
        <v>6.2353203605778562E-2</v>
      </c>
      <c r="F1588" s="116">
        <f>Interims!DA14</f>
        <v>3.0068827623332073E-2</v>
      </c>
      <c r="G1588" s="116">
        <f>Interims!DB14</f>
        <v>2.0514518344123989E-2</v>
      </c>
      <c r="H1588" s="547" t="e">
        <f>Interims!#REF!</f>
        <v>#REF!</v>
      </c>
      <c r="I1588" s="123" t="e">
        <f>Interims!#REF!</f>
        <v>#REF!</v>
      </c>
      <c r="J1588" s="123" t="e">
        <f>Interims!#REF!</f>
        <v>#REF!</v>
      </c>
      <c r="K1588" s="123" t="e">
        <f>Interims!#REF!</f>
        <v>#REF!</v>
      </c>
      <c r="L1588" s="548" t="e">
        <f>Interims!#REF!</f>
        <v>#REF!</v>
      </c>
    </row>
    <row r="1589" spans="2:12" ht="15.75">
      <c r="B1589" s="66"/>
      <c r="C1589" s="66"/>
      <c r="D1589" s="66"/>
      <c r="E1589" s="66"/>
      <c r="F1589" s="66"/>
      <c r="G1589" s="66"/>
      <c r="H1589" s="66"/>
      <c r="I1589" s="66"/>
      <c r="J1589" s="66"/>
    </row>
    <row r="1590" spans="2:12" ht="15.75">
      <c r="B1590" s="66" t="s">
        <v>4035</v>
      </c>
      <c r="C1590" s="66"/>
      <c r="D1590" s="66"/>
      <c r="E1590" s="66"/>
      <c r="F1590" s="66"/>
      <c r="G1590" s="66"/>
      <c r="H1590" s="66"/>
      <c r="I1590" s="66"/>
      <c r="J1590" s="66"/>
    </row>
    <row r="1592" spans="2:12" ht="15.75" thickBot="1">
      <c r="B1592" s="529" t="s">
        <v>3837</v>
      </c>
      <c r="C1592" s="529"/>
      <c r="D1592" s="529"/>
      <c r="E1592" s="529"/>
    </row>
    <row r="1593" spans="2:12">
      <c r="B1593" s="530" t="s">
        <v>200</v>
      </c>
      <c r="C1593" s="531">
        <f>Master!Q56/Master!Q$92</f>
        <v>5262.8571428571431</v>
      </c>
      <c r="D1593" s="531">
        <f>Master!R56/Master!R$92</f>
        <v>5228.6025974025979</v>
      </c>
      <c r="E1593" s="531">
        <f>Master!S56/Master!S$92</f>
        <v>4522.2672253258843</v>
      </c>
    </row>
    <row r="1594" spans="2:12">
      <c r="B1594" s="530" t="s">
        <v>57</v>
      </c>
      <c r="C1594" s="531">
        <f>Master!Q73/Master!Q$92</f>
        <v>1899.8701298701299</v>
      </c>
      <c r="D1594" s="531">
        <f>Master!R73/Master!R$92</f>
        <v>1985.3558441558441</v>
      </c>
      <c r="E1594" s="531">
        <f>Master!S73/Master!S$92</f>
        <v>1806.810986964618</v>
      </c>
    </row>
    <row r="1595" spans="2:12">
      <c r="B1595" s="530" t="s">
        <v>203</v>
      </c>
      <c r="C1595" s="531">
        <f>Master!Q116/Master!Q$92</f>
        <v>930.47012987012999</v>
      </c>
      <c r="D1595" s="531">
        <f>Master!R116/Master!R$92</f>
        <v>994.85584415584412</v>
      </c>
      <c r="E1595" s="531">
        <f>Master!S116/Master!S$92</f>
        <v>867.41098696461813</v>
      </c>
    </row>
    <row r="1596" spans="2:12">
      <c r="B1596" s="530" t="s">
        <v>372</v>
      </c>
      <c r="C1596" s="531">
        <f>Valuation!N32</f>
        <v>-329.16623376623386</v>
      </c>
      <c r="D1596" s="531">
        <f>Valuation!O32</f>
        <v>80.985714285714238</v>
      </c>
      <c r="E1596" s="531">
        <f>Valuation!P32</f>
        <v>63.197765363128397</v>
      </c>
    </row>
    <row r="1597" spans="2:12">
      <c r="B1597" s="530" t="s">
        <v>3838</v>
      </c>
      <c r="C1597" s="552">
        <f>C1596/Valuation!N7</f>
        <v>-0.56915661925990646</v>
      </c>
      <c r="D1597" s="552">
        <f>D1596/Valuation!O7</f>
        <v>0.14170660842009514</v>
      </c>
      <c r="E1597" s="552">
        <f>E1596/Valuation!P7</f>
        <v>0.11021909767945033</v>
      </c>
    </row>
    <row r="1598" spans="2:12">
      <c r="B1598" s="530" t="s">
        <v>197</v>
      </c>
      <c r="C1598" s="552">
        <f>Valuation!N41</f>
        <v>9.0909090909090912E-2</v>
      </c>
      <c r="D1598" s="552">
        <f>Valuation!O41</f>
        <v>0</v>
      </c>
      <c r="E1598" s="552">
        <f>Valuation!P41</f>
        <v>8.1471135940409681E-2</v>
      </c>
    </row>
    <row r="1599" spans="2:12" ht="15.75" thickBot="1">
      <c r="B1599" s="529" t="s">
        <v>3839</v>
      </c>
      <c r="C1599" s="529"/>
      <c r="D1599" s="529"/>
      <c r="E1599" s="529"/>
    </row>
    <row r="1600" spans="2:12">
      <c r="B1600" s="530" t="s">
        <v>380</v>
      </c>
      <c r="C1600" s="532">
        <f ca="1">Valuation!N43</f>
        <v>2.1056423350160069</v>
      </c>
      <c r="D1600" s="532">
        <f ca="1">Valuation!O43</f>
        <v>2.276619525131844</v>
      </c>
      <c r="E1600" s="532">
        <f ca="1">Valuation!P43</f>
        <v>2.2871904919444281</v>
      </c>
    </row>
    <row r="1601" spans="2:11">
      <c r="B1601" s="530" t="s">
        <v>382</v>
      </c>
      <c r="C1601" s="532">
        <f ca="1">Valuation!N45</f>
        <v>6.4333037967962028</v>
      </c>
      <c r="D1601" s="532">
        <f ca="1">Valuation!O45</f>
        <v>5.944745755793635</v>
      </c>
      <c r="E1601" s="532">
        <f ca="1">Valuation!P45</f>
        <v>27.568168027141528</v>
      </c>
    </row>
    <row r="1602" spans="2:11">
      <c r="B1602" s="530" t="s">
        <v>3840</v>
      </c>
      <c r="C1602" s="532">
        <f>Valuation!N51</f>
        <v>11.223980026984814</v>
      </c>
      <c r="D1602" s="532">
        <f>Valuation!O51</f>
        <v>7.360372495903114</v>
      </c>
      <c r="E1602" s="532">
        <f>Valuation!P51</f>
        <v>7.6609992590237308</v>
      </c>
    </row>
    <row r="1603" spans="2:11" ht="15.75" thickBot="1">
      <c r="B1603" s="533" t="s">
        <v>3841</v>
      </c>
      <c r="C1603" s="534">
        <f>Valuation!N49</f>
        <v>2.8768699654775604E-2</v>
      </c>
      <c r="D1603" s="534">
        <f>Valuation!O49</f>
        <v>0</v>
      </c>
      <c r="E1603" s="534">
        <f>Valuation!P49</f>
        <v>2.5782005044433443E-2</v>
      </c>
    </row>
    <row r="1605" spans="2:11" ht="15.75">
      <c r="B1605" s="66"/>
    </row>
    <row r="1606" spans="2:11">
      <c r="B1606" s="61"/>
      <c r="C1606" s="61">
        <v>2016</v>
      </c>
      <c r="D1606" s="61">
        <f t="shared" ref="D1606:J1606" si="110">C1606+1</f>
        <v>2017</v>
      </c>
      <c r="E1606" s="61">
        <f t="shared" si="110"/>
        <v>2018</v>
      </c>
      <c r="F1606" s="61">
        <f t="shared" si="110"/>
        <v>2019</v>
      </c>
      <c r="G1606" s="61">
        <f t="shared" si="110"/>
        <v>2020</v>
      </c>
      <c r="H1606" s="61">
        <f t="shared" si="110"/>
        <v>2021</v>
      </c>
      <c r="I1606" s="61">
        <f t="shared" si="110"/>
        <v>2022</v>
      </c>
      <c r="J1606" s="61">
        <f t="shared" si="110"/>
        <v>2023</v>
      </c>
    </row>
    <row r="1607" spans="2:11">
      <c r="B1607" t="s">
        <v>4231</v>
      </c>
      <c r="C1607" s="8">
        <f>'Cable cos'!K186</f>
        <v>0.11946307782493171</v>
      </c>
      <c r="D1607" s="8">
        <f>'Cable cos'!L186</f>
        <v>3.6260331874224061E-2</v>
      </c>
      <c r="E1607" s="8">
        <f>'Cable cos'!M186</f>
        <v>9.6374969740982808E-2</v>
      </c>
      <c r="F1607" s="8">
        <f>'Cable cos'!N186</f>
        <v>0.15093975105566759</v>
      </c>
      <c r="G1607" s="8">
        <f>'Cable cos'!O186</f>
        <v>8.7887871085319702E-2</v>
      </c>
      <c r="H1607" s="8">
        <f>'Cable cos'!P186</f>
        <v>5.849613486425187E-2</v>
      </c>
      <c r="I1607" s="8">
        <f>'Cable cos'!Q186</f>
        <v>8.1402056188035754E-3</v>
      </c>
      <c r="J1607" s="8">
        <f>'Cable cos'!R186</f>
        <v>8.0703464857740936E-3</v>
      </c>
    </row>
    <row r="1608" spans="2:11">
      <c r="B1608" t="s">
        <v>2335</v>
      </c>
      <c r="C1608" s="8">
        <v>0.18306039996252865</v>
      </c>
      <c r="D1608" s="8">
        <v>2.841687019413297E-2</v>
      </c>
      <c r="E1608" s="8">
        <v>0.1169965557024355</v>
      </c>
      <c r="F1608" s="8">
        <v>0.10164037679249538</v>
      </c>
      <c r="G1608" s="8">
        <v>8.0131243509477867E-2</v>
      </c>
      <c r="H1608" s="8">
        <v>6.8463495887985726E-2</v>
      </c>
      <c r="I1608" s="8">
        <v>5.9127286528392498E-2</v>
      </c>
      <c r="J1608" s="8">
        <v>6.1316912096065046E-2</v>
      </c>
      <c r="K1608" s="8"/>
    </row>
    <row r="1611" spans="2:11">
      <c r="B1611" t="s">
        <v>4248</v>
      </c>
      <c r="C1611" s="3" t="s">
        <v>1619</v>
      </c>
      <c r="D1611" s="3" t="s">
        <v>1719</v>
      </c>
      <c r="E1611" s="3" t="s">
        <v>3805</v>
      </c>
      <c r="F1611" s="3" t="s">
        <v>3806</v>
      </c>
    </row>
    <row r="1612" spans="2:11">
      <c r="B1612" t="s">
        <v>1576</v>
      </c>
      <c r="C1612" s="8">
        <f>C1614-C1613</f>
        <v>8.1968771537894947E-2</v>
      </c>
      <c r="D1612" s="8">
        <f>D1614-D1613</f>
        <v>5.9765876103799576E-2</v>
      </c>
      <c r="E1612" s="8">
        <f>E1614-E1613</f>
        <v>3.5003149072234896E-2</v>
      </c>
      <c r="F1612" s="8">
        <f>F1614-F1613</f>
        <v>0.14099573198524834</v>
      </c>
    </row>
    <row r="1613" spans="2:11">
      <c r="B1613" s="61" t="s">
        <v>4249</v>
      </c>
      <c r="C1613" s="457">
        <v>0</v>
      </c>
      <c r="D1613" s="457">
        <v>0</v>
      </c>
      <c r="E1613" s="457">
        <v>0</v>
      </c>
      <c r="F1613" s="457">
        <v>-0.05</v>
      </c>
    </row>
    <row r="1614" spans="2:11">
      <c r="B1614" t="s">
        <v>98</v>
      </c>
      <c r="C1614" s="8">
        <f>Interims!CK8</f>
        <v>8.1968771537894947E-2</v>
      </c>
      <c r="D1614" s="8">
        <f>Interims!CL8</f>
        <v>5.9765876103799576E-2</v>
      </c>
      <c r="E1614" s="8">
        <f>Interims!DE8</f>
        <v>3.5003149072234896E-2</v>
      </c>
      <c r="F1614" s="8">
        <f>Interims!DF8</f>
        <v>9.0995731985248351E-2</v>
      </c>
    </row>
    <row r="1628" spans="2:14" ht="15.75">
      <c r="B1628" s="66"/>
      <c r="C1628" s="66"/>
      <c r="D1628" s="66"/>
      <c r="E1628" s="66"/>
      <c r="F1628" s="66"/>
      <c r="G1628" s="66"/>
      <c r="H1628" s="66"/>
      <c r="I1628" s="66"/>
      <c r="J1628" s="66"/>
      <c r="K1628" s="66"/>
      <c r="L1628" s="66"/>
      <c r="M1628" s="66"/>
      <c r="N1628" s="66"/>
    </row>
    <row r="1629" spans="2:14" ht="15.75">
      <c r="B1629" s="66"/>
      <c r="C1629" s="66"/>
      <c r="D1629" s="66"/>
      <c r="E1629" s="66"/>
      <c r="F1629" s="66"/>
      <c r="G1629" s="66"/>
      <c r="H1629" s="391" t="s">
        <v>564</v>
      </c>
      <c r="I1629" s="391" t="s">
        <v>564</v>
      </c>
      <c r="J1629" s="391" t="s">
        <v>564</v>
      </c>
      <c r="K1629" s="391" t="s">
        <v>564</v>
      </c>
      <c r="L1629" s="66"/>
      <c r="M1629" s="66"/>
      <c r="N1629" s="66"/>
    </row>
    <row r="1630" spans="2:14" ht="15.75">
      <c r="B1630" s="217" t="s">
        <v>3101</v>
      </c>
      <c r="C1630" s="388" t="s">
        <v>3805</v>
      </c>
      <c r="D1630" s="388" t="s">
        <v>3806</v>
      </c>
      <c r="E1630" s="388" t="s">
        <v>3835</v>
      </c>
      <c r="F1630" s="388" t="s">
        <v>3836</v>
      </c>
      <c r="H1630" s="388" t="s">
        <v>3805</v>
      </c>
      <c r="I1630" s="388" t="s">
        <v>3806</v>
      </c>
      <c r="J1630" s="388" t="s">
        <v>3835</v>
      </c>
      <c r="K1630" s="388" t="s">
        <v>3836</v>
      </c>
      <c r="L1630" s="66"/>
      <c r="M1630" s="66"/>
      <c r="N1630" s="66"/>
    </row>
    <row r="1631" spans="2:14" ht="15.75">
      <c r="B1631" s="66" t="str">
        <f>Interims!A7</f>
        <v>Content</v>
      </c>
      <c r="C1631" s="125">
        <f>Interims!AP7</f>
        <v>7899.4</v>
      </c>
      <c r="D1631" s="125">
        <f>Interims!AQ7</f>
        <v>10971.400000000001</v>
      </c>
      <c r="E1631" s="125" t="e">
        <f>Interims!#REF!</f>
        <v>#REF!</v>
      </c>
      <c r="F1631" s="125" t="e">
        <f>Interims!#REF!</f>
        <v>#REF!</v>
      </c>
      <c r="H1631" s="116">
        <f>Interims!DE7</f>
        <v>8.3489925521554875E-2</v>
      </c>
      <c r="I1631" s="116">
        <f>Interims!DF7</f>
        <v>0.35853589073663628</v>
      </c>
      <c r="J1631" s="116" t="e">
        <f>Interims!#REF!</f>
        <v>#REF!</v>
      </c>
      <c r="K1631" s="116" t="e">
        <f>Interims!#REF!</f>
        <v>#REF!</v>
      </c>
      <c r="L1631" s="66"/>
      <c r="M1631" s="66"/>
      <c r="N1631" s="66"/>
    </row>
    <row r="1632" spans="2:14" ht="15.75">
      <c r="B1632" s="66" t="str">
        <f>Interims!A8</f>
        <v>Advertising</v>
      </c>
      <c r="C1632" s="125">
        <f>Interims!AP8</f>
        <v>4272.7</v>
      </c>
      <c r="D1632" s="125">
        <f>Interims!AQ8</f>
        <v>5265.8</v>
      </c>
      <c r="E1632" s="125" t="e">
        <f>Interims!#REF!</f>
        <v>#REF!</v>
      </c>
      <c r="F1632" s="125" t="e">
        <f>Interims!#REF!</f>
        <v>#REF!</v>
      </c>
      <c r="H1632" s="116">
        <f>Interims!DE8</f>
        <v>3.5003149072234896E-2</v>
      </c>
      <c r="I1632" s="116">
        <f>Interims!DF8</f>
        <v>9.0995731985248351E-2</v>
      </c>
      <c r="J1632" s="116" t="e">
        <f>Interims!#REF!</f>
        <v>#REF!</v>
      </c>
      <c r="K1632" s="116" t="e">
        <f>Interims!#REF!</f>
        <v>#REF!</v>
      </c>
      <c r="L1632" s="66"/>
      <c r="M1632" s="66"/>
      <c r="N1632" s="66"/>
    </row>
    <row r="1633" spans="2:14" ht="15.75">
      <c r="B1633" s="66" t="str">
        <f>Interims!A9</f>
        <v>Network Subscription Revenue</v>
      </c>
      <c r="C1633" s="125">
        <f>Interims!AP9</f>
        <v>1179.0999999999999</v>
      </c>
      <c r="D1633" s="125">
        <f>Interims!AQ9</f>
        <v>1200.8</v>
      </c>
      <c r="E1633" s="125" t="e">
        <f>Interims!#REF!</f>
        <v>#REF!</v>
      </c>
      <c r="F1633" s="125" t="e">
        <f>Interims!#REF!</f>
        <v>#REF!</v>
      </c>
      <c r="H1633" s="116">
        <f>Interims!DE9</f>
        <v>0.13124820109373503</v>
      </c>
      <c r="I1633" s="116">
        <f>Interims!DF9</f>
        <v>0.27595367123578773</v>
      </c>
      <c r="J1633" s="116" t="e">
        <f>Interims!#REF!</f>
        <v>#REF!</v>
      </c>
      <c r="K1633" s="116" t="e">
        <f>Interims!#REF!</f>
        <v>#REF!</v>
      </c>
      <c r="L1633" s="66"/>
      <c r="M1633" s="66"/>
      <c r="N1633" s="66"/>
    </row>
    <row r="1634" spans="2:14" ht="15.75">
      <c r="B1634" s="66" t="str">
        <f>Interims!A10</f>
        <v>Licensing and Syndication</v>
      </c>
      <c r="C1634" s="125">
        <f>Interims!AP10</f>
        <v>2447.6</v>
      </c>
      <c r="D1634" s="125">
        <f>Interims!AQ10</f>
        <v>2781.3</v>
      </c>
      <c r="E1634" s="125" t="e">
        <f>Interims!#REF!</f>
        <v>#REF!</v>
      </c>
      <c r="F1634" s="125" t="e">
        <f>Interims!#REF!</f>
        <v>#REF!</v>
      </c>
      <c r="H1634" s="116">
        <f>Interims!DE10</f>
        <v>0.15441939439675512</v>
      </c>
      <c r="I1634" s="116">
        <f>Interims!DF10</f>
        <v>0.20496490772030174</v>
      </c>
      <c r="J1634" s="116" t="e">
        <f>Interims!#REF!</f>
        <v>#REF!</v>
      </c>
      <c r="K1634" s="116" t="e">
        <f>Interims!#REF!</f>
        <v>#REF!</v>
      </c>
      <c r="L1634" s="66"/>
      <c r="M1634" s="66"/>
      <c r="N1634" s="66"/>
    </row>
    <row r="1635" spans="2:14" ht="15.75">
      <c r="B1635" s="66" t="str">
        <f>Interims!A11</f>
        <v>World Cup digital</v>
      </c>
      <c r="C1635" s="125">
        <f>Interims!AP11</f>
        <v>0</v>
      </c>
      <c r="D1635" s="125">
        <f>Interims!AQ11</f>
        <v>1723.5</v>
      </c>
      <c r="E1635" s="125" t="e">
        <f>Interims!#REF!</f>
        <v>#REF!</v>
      </c>
      <c r="F1635" s="125" t="e">
        <f>Interims!#REF!</f>
        <v>#REF!</v>
      </c>
      <c r="H1635" s="116"/>
      <c r="I1635" s="116"/>
      <c r="J1635" s="116"/>
      <c r="K1635" s="116"/>
      <c r="L1635" s="66"/>
      <c r="M1635" s="66"/>
      <c r="N1635" s="66"/>
    </row>
    <row r="1636" spans="2:14" ht="15.75">
      <c r="B1636" s="66"/>
      <c r="C1636" s="125"/>
      <c r="D1636" s="125"/>
      <c r="E1636" s="125"/>
      <c r="F1636" s="125"/>
      <c r="H1636" s="116"/>
      <c r="I1636" s="116"/>
      <c r="J1636" s="116"/>
      <c r="K1636" s="116"/>
      <c r="L1636" s="66"/>
      <c r="M1636" s="66"/>
      <c r="N1636" s="66"/>
    </row>
    <row r="1637" spans="2:14" ht="15.75">
      <c r="B1637" s="66" t="str">
        <f>Interims!A13</f>
        <v>Sky</v>
      </c>
      <c r="C1637" s="125">
        <f>Interims!AP13</f>
        <v>5474.2</v>
      </c>
      <c r="D1637" s="125">
        <f>Interims!AQ13</f>
        <v>5658.8</v>
      </c>
      <c r="E1637" s="125" t="e">
        <f>Interims!#REF!</f>
        <v>#REF!</v>
      </c>
      <c r="F1637" s="125" t="e">
        <f>Interims!#REF!</f>
        <v>#REF!</v>
      </c>
      <c r="H1637" s="116">
        <f>Interims!DE13</f>
        <v>-1.1984261632314253E-2</v>
      </c>
      <c r="I1637" s="116">
        <f>Interims!DF13</f>
        <v>2.9954447969655629E-3</v>
      </c>
      <c r="J1637" s="116" t="e">
        <f>Interims!#REF!</f>
        <v>#REF!</v>
      </c>
      <c r="K1637" s="116" t="e">
        <f>Interims!#REF!</f>
        <v>#REF!</v>
      </c>
      <c r="L1637" s="66"/>
      <c r="M1637" s="66"/>
      <c r="N1637" s="66"/>
    </row>
    <row r="1638" spans="2:14" ht="15.75">
      <c r="B1638" s="66" t="str">
        <f>Interims!A14</f>
        <v>Cable and Telecom</v>
      </c>
      <c r="C1638" s="125">
        <f>Interims!AP14</f>
        <v>8669.7000000000007</v>
      </c>
      <c r="D1638" s="125">
        <f>Interims!AQ14</f>
        <v>8825.7000000000007</v>
      </c>
      <c r="E1638" s="125" t="e">
        <f>Interims!#REF!</f>
        <v>#REF!</v>
      </c>
      <c r="F1638" s="125" t="e">
        <f>Interims!#REF!</f>
        <v>#REF!</v>
      </c>
      <c r="H1638" s="116">
        <f>Interims!DE14</f>
        <v>7.082247446364387E-2</v>
      </c>
      <c r="I1638" s="116">
        <f>Interims!DF14</f>
        <v>9.8174623912800074E-2</v>
      </c>
      <c r="J1638" s="116" t="e">
        <f>Interims!#REF!</f>
        <v>#REF!</v>
      </c>
      <c r="K1638" s="116" t="e">
        <f>Interims!#REF!</f>
        <v>#REF!</v>
      </c>
      <c r="L1638" s="66"/>
      <c r="M1638" s="66"/>
      <c r="N1638" s="66"/>
    </row>
    <row r="1639" spans="2:14" ht="15.75">
      <c r="B1639" s="67" t="str">
        <f>Interims!A15</f>
        <v>Other Businesses</v>
      </c>
      <c r="C1639" s="154">
        <f>Interims!AP15</f>
        <v>1778.4</v>
      </c>
      <c r="D1639" s="154">
        <f>Interims!AQ15</f>
        <v>2312.6</v>
      </c>
      <c r="E1639" s="154" t="e">
        <f>Interims!#REF!</f>
        <v>#REF!</v>
      </c>
      <c r="F1639" s="154" t="e">
        <f>Interims!#REF!</f>
        <v>#REF!</v>
      </c>
      <c r="H1639" s="123">
        <f>Interims!DE15</f>
        <v>-0.1024528111436358</v>
      </c>
      <c r="I1639" s="123">
        <f>Interims!DF15</f>
        <v>5.376834047206791E-2</v>
      </c>
      <c r="J1639" s="123" t="e">
        <f>Interims!#REF!</f>
        <v>#REF!</v>
      </c>
      <c r="K1639" s="123" t="e">
        <f>Interims!#REF!</f>
        <v>#REF!</v>
      </c>
      <c r="L1639" s="66"/>
      <c r="M1639" s="66"/>
      <c r="N1639" s="66"/>
    </row>
    <row r="1640" spans="2:14" ht="15.75">
      <c r="B1640" s="66" t="str">
        <f>Interims!A16</f>
        <v>Segment Net Sales</v>
      </c>
      <c r="C1640" s="125">
        <f>Interims!AP16</f>
        <v>23821.7</v>
      </c>
      <c r="D1640" s="125">
        <f>Interims!AQ16</f>
        <v>27768.5</v>
      </c>
      <c r="E1640" s="125" t="e">
        <f>Interims!#REF!</f>
        <v>#REF!</v>
      </c>
      <c r="F1640" s="125" t="e">
        <f>Interims!#REF!</f>
        <v>#REF!</v>
      </c>
      <c r="H1640" s="116">
        <f>Interims!DE16</f>
        <v>3.9840237461259864E-2</v>
      </c>
      <c r="I1640" s="116">
        <f>Interims!DF16</f>
        <v>0.15947989694811082</v>
      </c>
      <c r="J1640" s="116" t="e">
        <f>Interims!#REF!</f>
        <v>#REF!</v>
      </c>
      <c r="K1640" s="116" t="e">
        <f>Interims!#REF!</f>
        <v>#REF!</v>
      </c>
      <c r="L1640" s="66"/>
      <c r="M1640" s="66"/>
      <c r="N1640" s="66"/>
    </row>
    <row r="1641" spans="2:14" ht="15.75">
      <c r="B1641" s="67" t="str">
        <f>Interims!A17</f>
        <v>Intersegment Operations</v>
      </c>
      <c r="C1641" s="154">
        <f>Interims!AP17</f>
        <v>-1009.7</v>
      </c>
      <c r="D1641" s="154">
        <f>Interims!AQ17</f>
        <v>-1066.7</v>
      </c>
      <c r="E1641" s="154" t="e">
        <f>Interims!#REF!</f>
        <v>#REF!</v>
      </c>
      <c r="F1641" s="154" t="e">
        <f>Interims!#REF!</f>
        <v>#REF!</v>
      </c>
      <c r="H1641" s="67"/>
      <c r="I1641" s="67"/>
      <c r="J1641" s="67"/>
      <c r="K1641" s="67"/>
      <c r="L1641" s="66"/>
      <c r="M1641" s="66"/>
      <c r="N1641" s="66"/>
    </row>
    <row r="1642" spans="2:14" ht="15.75">
      <c r="B1642" s="74" t="str">
        <f>Interims!A18</f>
        <v>Consolidated Net Sales</v>
      </c>
      <c r="C1642" s="470">
        <f>Interims!AP18</f>
        <v>22812</v>
      </c>
      <c r="D1642" s="470">
        <f>Interims!AQ18</f>
        <v>26701.8</v>
      </c>
      <c r="E1642" s="470" t="e">
        <f>Interims!#REF!</f>
        <v>#REF!</v>
      </c>
      <c r="F1642" s="470" t="e">
        <f>Interims!#REF!</f>
        <v>#REF!</v>
      </c>
      <c r="G1642" s="42"/>
      <c r="H1642" s="127">
        <f>Interims!DE18</f>
        <v>2.862863043409658E-2</v>
      </c>
      <c r="I1642" s="127">
        <f>Interims!DF18</f>
        <v>0.15283786234230501</v>
      </c>
      <c r="J1642" s="127" t="e">
        <f>Interims!#REF!</f>
        <v>#REF!</v>
      </c>
      <c r="K1642" s="127" t="e">
        <f>Interims!#REF!</f>
        <v>#REF!</v>
      </c>
      <c r="L1642" s="66"/>
      <c r="M1642" s="66"/>
      <c r="N1642" s="66"/>
    </row>
    <row r="1643" spans="2:14" ht="15.75">
      <c r="B1643" s="66"/>
      <c r="C1643" s="125"/>
      <c r="D1643" s="125"/>
      <c r="E1643" s="125"/>
      <c r="F1643" s="125"/>
      <c r="H1643" s="66"/>
      <c r="I1643" s="66"/>
      <c r="J1643" s="66"/>
      <c r="K1643" s="66"/>
      <c r="L1643" s="66"/>
      <c r="M1643" s="66"/>
      <c r="N1643" s="66"/>
    </row>
    <row r="1644" spans="2:14" ht="15.75">
      <c r="B1644" s="217" t="s">
        <v>4327</v>
      </c>
      <c r="C1644" s="388" t="str">
        <f>C1630</f>
        <v>Q1 18</v>
      </c>
      <c r="D1644" s="388" t="str">
        <f>D1630</f>
        <v>Q2 18</v>
      </c>
      <c r="E1644" s="388" t="str">
        <f>E1630</f>
        <v>Q3 18e</v>
      </c>
      <c r="F1644" s="388" t="str">
        <f>F1630</f>
        <v>Q4 18e</v>
      </c>
      <c r="G1644" s="66"/>
      <c r="H1644" s="388" t="str">
        <f>H1630</f>
        <v>Q1 18</v>
      </c>
      <c r="I1644" s="388" t="str">
        <f>I1630</f>
        <v>Q2 18</v>
      </c>
      <c r="J1644" s="388" t="str">
        <f>J1630</f>
        <v>Q3 18e</v>
      </c>
      <c r="K1644" s="388" t="str">
        <f>K1630</f>
        <v>Q4 18e</v>
      </c>
      <c r="L1644" s="66"/>
      <c r="M1644" s="66"/>
      <c r="N1644" s="66"/>
    </row>
    <row r="1645" spans="2:14" ht="15.75">
      <c r="B1645" s="66" t="str">
        <f>Interims!A23</f>
        <v>Content</v>
      </c>
      <c r="C1645" s="125">
        <f>Interims!AP23</f>
        <v>2820.1</v>
      </c>
      <c r="D1645" s="125">
        <f>Interims!AQ23</f>
        <v>4294.3</v>
      </c>
      <c r="E1645" s="125" t="e">
        <f>Interims!#REF!</f>
        <v>#REF!</v>
      </c>
      <c r="F1645" s="125" t="e">
        <f>Interims!#REF!</f>
        <v>#REF!</v>
      </c>
      <c r="G1645" s="66"/>
      <c r="H1645" s="69">
        <f>Interims!DE23</f>
        <v>7.6949515008019498E-2</v>
      </c>
      <c r="I1645" s="69">
        <f>Interims!DF23</f>
        <v>0.34824652287212343</v>
      </c>
      <c r="J1645" s="69" t="e">
        <f>Interims!#REF!</f>
        <v>#REF!</v>
      </c>
      <c r="K1645" s="69" t="e">
        <f>Interims!#REF!</f>
        <v>#REF!</v>
      </c>
      <c r="L1645" s="66"/>
      <c r="M1645" s="66"/>
      <c r="N1645" s="66"/>
    </row>
    <row r="1646" spans="2:14" ht="15.75">
      <c r="B1646" s="66" t="str">
        <f>Interims!A25</f>
        <v>Sky</v>
      </c>
      <c r="C1646" s="125">
        <f>Interims!AP25</f>
        <v>2441.9</v>
      </c>
      <c r="D1646" s="125">
        <f>Interims!AQ25</f>
        <v>2540.9</v>
      </c>
      <c r="E1646" s="125" t="e">
        <f>Interims!#REF!</f>
        <v>#REF!</v>
      </c>
      <c r="F1646" s="125" t="e">
        <f>Interims!#REF!</f>
        <v>#REF!</v>
      </c>
      <c r="H1646" s="69">
        <f>Interims!DE25</f>
        <v>-9.8933625268621261E-3</v>
      </c>
      <c r="I1646" s="69">
        <f>Interims!DF25</f>
        <v>-4.3299823035505836E-2</v>
      </c>
      <c r="J1646" s="69" t="e">
        <f>Interims!#REF!</f>
        <v>#REF!</v>
      </c>
      <c r="K1646" s="69" t="e">
        <f>Interims!#REF!</f>
        <v>#REF!</v>
      </c>
    </row>
    <row r="1647" spans="2:14" ht="15.75">
      <c r="B1647" s="66" t="str">
        <f>Interims!A26</f>
        <v>Cable and Telecom</v>
      </c>
      <c r="C1647" s="125">
        <f>Interims!AP26</f>
        <v>3664.9</v>
      </c>
      <c r="D1647" s="125">
        <f>Interims!AQ26</f>
        <v>3724.4</v>
      </c>
      <c r="E1647" s="125" t="e">
        <f>Interims!#REF!</f>
        <v>#REF!</v>
      </c>
      <c r="F1647" s="125" t="e">
        <f>Interims!#REF!</f>
        <v>#REF!</v>
      </c>
      <c r="H1647" s="69">
        <f>Interims!DE26</f>
        <v>7.8768433756218226E-2</v>
      </c>
      <c r="I1647" s="69">
        <f>Interims!DF26</f>
        <v>8.1951021119600176E-2</v>
      </c>
      <c r="J1647" s="69" t="e">
        <f>Interims!#REF!</f>
        <v>#REF!</v>
      </c>
      <c r="K1647" s="69" t="e">
        <f>Interims!#REF!</f>
        <v>#REF!</v>
      </c>
    </row>
    <row r="1648" spans="2:14" ht="15.75">
      <c r="B1648" s="67" t="str">
        <f>Interims!A27</f>
        <v>Other Businesses</v>
      </c>
      <c r="C1648" s="154">
        <f>Interims!AP27</f>
        <v>203.9</v>
      </c>
      <c r="D1648" s="154">
        <f>Interims!AQ27</f>
        <v>193.2</v>
      </c>
      <c r="E1648" s="154" t="e">
        <f>Interims!#REF!</f>
        <v>#REF!</v>
      </c>
      <c r="F1648" s="154" t="e">
        <f>Interims!#REF!</f>
        <v>#REF!</v>
      </c>
      <c r="H1648" s="73">
        <f>Interims!DE27</f>
        <v>1.6514954486345901</v>
      </c>
      <c r="I1648" s="73">
        <f>Interims!DF27</f>
        <v>0.41954445260837625</v>
      </c>
      <c r="J1648" s="73" t="e">
        <f>Interims!#REF!</f>
        <v>#REF!</v>
      </c>
      <c r="K1648" s="73" t="e">
        <f>Interims!#REF!</f>
        <v>#REF!</v>
      </c>
    </row>
    <row r="1649" spans="2:11" ht="15.75">
      <c r="B1649" s="66" t="str">
        <f>Interims!A28</f>
        <v>Operating Segment Income</v>
      </c>
      <c r="C1649" s="125">
        <f>Interims!AP28</f>
        <v>9130.7999999999993</v>
      </c>
      <c r="D1649" s="125">
        <f>Interims!AQ28</f>
        <v>10752.800000000001</v>
      </c>
      <c r="E1649" s="125" t="e">
        <f>Interims!#REF!</f>
        <v>#REF!</v>
      </c>
      <c r="F1649" s="125" t="e">
        <f>Interims!#REF!</f>
        <v>#REF!</v>
      </c>
      <c r="H1649" s="69">
        <f>Interims!DE28</f>
        <v>6.6794405953896963E-2</v>
      </c>
      <c r="I1649" s="69">
        <f>Interims!DF28</f>
        <v>0.14155891033399182</v>
      </c>
      <c r="J1649" s="69" t="e">
        <f>Interims!#REF!</f>
        <v>#REF!</v>
      </c>
      <c r="K1649" s="69" t="e">
        <f>Interims!#REF!</f>
        <v>#REF!</v>
      </c>
    </row>
    <row r="1650" spans="2:11" ht="15.75">
      <c r="B1650" s="67" t="str">
        <f>Interims!A29</f>
        <v>Corporate Expenses</v>
      </c>
      <c r="C1650" s="154">
        <f>Interims!AP29</f>
        <v>-551.70000000000005</v>
      </c>
      <c r="D1650" s="154">
        <f>Interims!AQ29</f>
        <v>-520.29999999999995</v>
      </c>
      <c r="E1650" s="154" t="e">
        <f>Interims!#REF!</f>
        <v>#REF!</v>
      </c>
      <c r="F1650" s="154" t="e">
        <f>Interims!#REF!</f>
        <v>#REF!</v>
      </c>
      <c r="H1650" s="73">
        <f>Interims!DE29</f>
        <v>-4.9939727914585785E-2</v>
      </c>
      <c r="I1650" s="73">
        <f>Interims!DF29</f>
        <v>-6.0660769091893885E-2</v>
      </c>
      <c r="J1650" s="73" t="e">
        <f>Interims!#REF!</f>
        <v>#REF!</v>
      </c>
      <c r="K1650" s="73" t="e">
        <f>Interims!#REF!</f>
        <v>#REF!</v>
      </c>
    </row>
    <row r="1651" spans="2:11" ht="15.75">
      <c r="B1651" s="66" t="str">
        <f>Interims!A30</f>
        <v>OIBDA post corp expenses</v>
      </c>
      <c r="C1651" s="125">
        <f>Interims!AP30</f>
        <v>8579.0999999999985</v>
      </c>
      <c r="D1651" s="125">
        <f>Interims!AQ30</f>
        <v>10232.500000000002</v>
      </c>
      <c r="E1651" s="125" t="e">
        <f>Interims!#REF!</f>
        <v>#REF!</v>
      </c>
      <c r="F1651" s="125" t="e">
        <f>Interims!#REF!</f>
        <v>#REF!</v>
      </c>
      <c r="H1651" s="69">
        <f>Interims!DE30</f>
        <v>7.5290785119823234E-2</v>
      </c>
      <c r="I1651" s="69">
        <f>Interims!DF30</f>
        <v>0.1541932209125263</v>
      </c>
      <c r="J1651" s="69" t="e">
        <f>Interims!#REF!</f>
        <v>#REF!</v>
      </c>
      <c r="K1651" s="69" t="e">
        <f>Interims!#REF!</f>
        <v>#REF!</v>
      </c>
    </row>
    <row r="1652" spans="2:11" ht="15.75">
      <c r="B1652" s="67" t="str">
        <f>Interims!A31</f>
        <v>Other Expense, net</v>
      </c>
      <c r="C1652" s="154">
        <f>Interims!AP31</f>
        <v>-154.1</v>
      </c>
      <c r="D1652" s="154">
        <f>Interims!AQ31</f>
        <v>-275.90000000000009</v>
      </c>
      <c r="E1652" s="154" t="e">
        <f>Interims!#REF!</f>
        <v>#REF!</v>
      </c>
      <c r="F1652" s="154" t="e">
        <f>Interims!#REF!</f>
        <v>#REF!</v>
      </c>
      <c r="H1652" s="73">
        <f>Interims!DE31</f>
        <v>-0.60858521717043434</v>
      </c>
      <c r="I1652" s="73">
        <f>Interims!DF31</f>
        <v>-0.25613372876786167</v>
      </c>
      <c r="J1652" s="73" t="e">
        <f>Interims!#REF!</f>
        <v>#REF!</v>
      </c>
      <c r="K1652" s="73" t="e">
        <f>Interims!#REF!</f>
        <v>#REF!</v>
      </c>
    </row>
    <row r="1653" spans="2:11" ht="15.75">
      <c r="B1653" s="74" t="str">
        <f>Interims!A32</f>
        <v>Clean OIBDA</v>
      </c>
      <c r="C1653" s="470">
        <f>Interims!AP32</f>
        <v>8424.9999999999982</v>
      </c>
      <c r="D1653" s="470">
        <f>Interims!AQ32</f>
        <v>9956.6000000000022</v>
      </c>
      <c r="E1653" s="470" t="e">
        <f>Interims!#REF!</f>
        <v>#REF!</v>
      </c>
      <c r="F1653" s="470" t="e">
        <f>Interims!#REF!</f>
        <v>#REF!</v>
      </c>
      <c r="H1653" s="152">
        <f>Interims!DE32</f>
        <v>0.11078882487112174</v>
      </c>
      <c r="I1653" s="152">
        <f>Interims!DF32</f>
        <v>0.17210934005132694</v>
      </c>
      <c r="J1653" s="152" t="e">
        <f>Interims!#REF!</f>
        <v>#REF!</v>
      </c>
      <c r="K1653" s="152" t="e">
        <f>Interims!#REF!</f>
        <v>#REF!</v>
      </c>
    </row>
    <row r="1656" spans="2:11" ht="15.75">
      <c r="B1656" s="67" t="s">
        <v>4339</v>
      </c>
      <c r="C1656" s="68" t="s">
        <v>2688</v>
      </c>
      <c r="D1656" s="68" t="s">
        <v>1931</v>
      </c>
      <c r="E1656" s="68" t="s">
        <v>4337</v>
      </c>
    </row>
    <row r="1657" spans="2:11" ht="15.75">
      <c r="B1657" s="66" t="s">
        <v>3219</v>
      </c>
      <c r="C1657" s="125">
        <v>5473.2</v>
      </c>
      <c r="D1657" s="125">
        <v>3034</v>
      </c>
      <c r="E1657" s="69">
        <f t="shared" ref="E1657:E1663" si="111">D1657/C1657</f>
        <v>0.55433749908645769</v>
      </c>
    </row>
    <row r="1658" spans="2:11" ht="15.75">
      <c r="B1658" s="66" t="s">
        <v>3226</v>
      </c>
      <c r="C1658" s="125">
        <v>2159</v>
      </c>
      <c r="D1658" s="125">
        <v>2724.9</v>
      </c>
      <c r="E1658" s="69">
        <f t="shared" si="111"/>
        <v>1.2621120889300603</v>
      </c>
    </row>
    <row r="1659" spans="2:11" ht="15.75">
      <c r="B1659" s="66" t="s">
        <v>4335</v>
      </c>
      <c r="C1659" s="125">
        <v>1168.5</v>
      </c>
      <c r="D1659" s="125">
        <v>129.4</v>
      </c>
      <c r="E1659" s="69">
        <f t="shared" si="111"/>
        <v>0.11074026529738983</v>
      </c>
    </row>
    <row r="1660" spans="2:11" ht="15.75">
      <c r="B1660" s="66" t="s">
        <v>4336</v>
      </c>
      <c r="C1660" s="125">
        <v>435.1</v>
      </c>
      <c r="D1660" s="125">
        <v>64.2</v>
      </c>
      <c r="E1660" s="69">
        <f t="shared" si="111"/>
        <v>0.14755228683061364</v>
      </c>
    </row>
    <row r="1661" spans="2:11" ht="15.75">
      <c r="B1661" s="66" t="s">
        <v>3218</v>
      </c>
      <c r="C1661" s="125">
        <v>7164.6</v>
      </c>
      <c r="D1661" s="125">
        <v>292.89999999999998</v>
      </c>
      <c r="E1661" s="69">
        <f t="shared" si="111"/>
        <v>4.0881556541886493E-2</v>
      </c>
    </row>
    <row r="1662" spans="2:11" ht="15.75">
      <c r="B1662" s="66" t="s">
        <v>3223</v>
      </c>
      <c r="C1662" s="125">
        <v>657.4</v>
      </c>
      <c r="D1662" s="125">
        <v>81.2</v>
      </c>
      <c r="E1662" s="69">
        <f t="shared" si="111"/>
        <v>0.12351688469729237</v>
      </c>
    </row>
    <row r="1663" spans="2:11" ht="15.75">
      <c r="B1663" s="67" t="s">
        <v>4338</v>
      </c>
      <c r="C1663" s="154">
        <v>853.2</v>
      </c>
      <c r="D1663" s="154">
        <v>99</v>
      </c>
      <c r="E1663" s="73">
        <f t="shared" si="111"/>
        <v>0.1160337552742616</v>
      </c>
    </row>
    <row r="1665" spans="2:10" ht="15.75">
      <c r="B1665" s="66"/>
      <c r="C1665" s="125"/>
      <c r="D1665" s="125"/>
      <c r="E1665" s="69"/>
    </row>
    <row r="1666" spans="2:10" ht="15.75">
      <c r="B1666" s="67"/>
      <c r="C1666" s="67">
        <f>'SKY Mex'!P54</f>
        <v>2019</v>
      </c>
      <c r="D1666" s="67">
        <f>'SKY Mex'!Q54</f>
        <v>2020</v>
      </c>
      <c r="E1666" s="67">
        <f>'SKY Mex'!R54</f>
        <v>2021</v>
      </c>
      <c r="F1666" s="67">
        <f>'SKY Mex'!S54</f>
        <v>2022</v>
      </c>
      <c r="G1666" s="67">
        <f>'SKY Mex'!T54</f>
        <v>2023</v>
      </c>
      <c r="H1666" s="67">
        <f>'SKY Mex'!U54</f>
        <v>2024</v>
      </c>
      <c r="I1666" s="67">
        <f>'SKY Mex'!V54</f>
        <v>2025</v>
      </c>
    </row>
    <row r="1667" spans="2:10" ht="15.75">
      <c r="B1667" s="66" t="s">
        <v>508</v>
      </c>
      <c r="C1667" s="71">
        <f>'SKY Mex'!O72</f>
        <v>0</v>
      </c>
      <c r="D1667" s="71">
        <f>'SKY Mex'!P72</f>
        <v>386</v>
      </c>
      <c r="E1667" s="71">
        <f>'SKY Mex'!Q72</f>
        <v>666</v>
      </c>
      <c r="F1667" s="71">
        <f>'SKY Mex'!R72</f>
        <v>727.226</v>
      </c>
      <c r="G1667" s="71">
        <f>'SKY Mex'!S72</f>
        <v>640.29399999999998</v>
      </c>
      <c r="H1667" s="71">
        <f>'SKY Mex'!T72</f>
        <v>515.08900000000006</v>
      </c>
      <c r="I1667" s="71">
        <f>'SKY Mex'!U72</f>
        <v>490.08900000000006</v>
      </c>
    </row>
    <row r="1668" spans="2:10" ht="15.75">
      <c r="B1668" s="66" t="s">
        <v>4433</v>
      </c>
      <c r="C1668" s="125">
        <f>'SKY Mex'!O86</f>
        <v>0</v>
      </c>
      <c r="D1668" s="125">
        <f>'SKY Mex'!P86</f>
        <v>576.59136000000012</v>
      </c>
      <c r="E1668" s="125">
        <f>'SKY Mex'!Q86</f>
        <v>1571.4355200000002</v>
      </c>
      <c r="F1668" s="125">
        <f>'SKY Mex'!R86</f>
        <v>2081.1452697600007</v>
      </c>
      <c r="G1668" s="125">
        <f>'SKY Mex'!S86</f>
        <v>2042.7466752000005</v>
      </c>
      <c r="H1668" s="125">
        <f>'SKY Mex'!T86</f>
        <v>1725.8649100800003</v>
      </c>
      <c r="I1668" s="125">
        <f>'SKY Mex'!U86</f>
        <v>1501.4946892800006</v>
      </c>
    </row>
    <row r="1671" spans="2:10" ht="15.75">
      <c r="D1671" s="67">
        <f>'Cable cos'!K1</f>
        <v>2016</v>
      </c>
      <c r="E1671" s="67">
        <f>'Cable cos'!L1</f>
        <v>2017</v>
      </c>
      <c r="F1671" s="67">
        <f>'Cable cos'!M1</f>
        <v>2018</v>
      </c>
      <c r="G1671" s="67">
        <f>'Cable cos'!N1</f>
        <v>2019</v>
      </c>
      <c r="H1671" s="67">
        <f>'Cable cos'!O1</f>
        <v>2020</v>
      </c>
      <c r="I1671" s="67">
        <f>'Cable cos'!P1</f>
        <v>2021</v>
      </c>
      <c r="J1671" s="67">
        <f>'Cable cos'!Q1</f>
        <v>2022</v>
      </c>
    </row>
    <row r="1672" spans="2:10" ht="15.75">
      <c r="C1672" t="s">
        <v>2695</v>
      </c>
      <c r="D1672" s="69">
        <f>'Cable cos'!K186</f>
        <v>0.11946307782493171</v>
      </c>
      <c r="E1672" s="69">
        <f>'Cable cos'!L186</f>
        <v>3.6260331874224061E-2</v>
      </c>
      <c r="F1672" s="69">
        <f>'Cable cos'!M186</f>
        <v>9.6374969740982808E-2</v>
      </c>
      <c r="G1672" s="69">
        <f>'Cable cos'!N186-G1673</f>
        <v>0.10093975105566759</v>
      </c>
      <c r="H1672" s="69">
        <f>'Cable cos'!O186</f>
        <v>8.7887871085319702E-2</v>
      </c>
      <c r="I1672" s="69">
        <f>'Cable cos'!P186</f>
        <v>5.849613486425187E-2</v>
      </c>
      <c r="J1672" s="69">
        <f>'Cable cos'!Q186</f>
        <v>8.1402056188035754E-3</v>
      </c>
    </row>
    <row r="1673" spans="2:10" ht="15.75">
      <c r="C1673" t="s">
        <v>4598</v>
      </c>
      <c r="D1673" s="69">
        <v>0</v>
      </c>
      <c r="E1673" s="69">
        <v>0</v>
      </c>
      <c r="F1673" s="69">
        <v>0</v>
      </c>
      <c r="G1673" s="69">
        <v>0.05</v>
      </c>
      <c r="H1673" s="69">
        <v>0</v>
      </c>
      <c r="I1673" s="69">
        <v>0</v>
      </c>
      <c r="J1673" s="69">
        <v>0</v>
      </c>
    </row>
    <row r="1691" spans="3:12">
      <c r="C1691" t="s">
        <v>16</v>
      </c>
    </row>
    <row r="1692" spans="3:12" ht="15.75">
      <c r="C1692" s="67"/>
      <c r="D1692" s="67">
        <v>2015</v>
      </c>
      <c r="E1692" s="67">
        <f t="shared" ref="E1692:L1692" si="112">D1692+1</f>
        <v>2016</v>
      </c>
      <c r="F1692" s="67">
        <f t="shared" si="112"/>
        <v>2017</v>
      </c>
      <c r="G1692" s="67">
        <f t="shared" si="112"/>
        <v>2018</v>
      </c>
      <c r="H1692" s="67">
        <f t="shared" si="112"/>
        <v>2019</v>
      </c>
      <c r="I1692" s="67">
        <f t="shared" si="112"/>
        <v>2020</v>
      </c>
      <c r="J1692" s="67">
        <f t="shared" si="112"/>
        <v>2021</v>
      </c>
      <c r="K1692" s="67">
        <f t="shared" si="112"/>
        <v>2022</v>
      </c>
      <c r="L1692" s="67">
        <f t="shared" si="112"/>
        <v>2023</v>
      </c>
    </row>
    <row r="1693" spans="3:12" ht="15.75">
      <c r="C1693" s="66" t="s">
        <v>506</v>
      </c>
      <c r="D1693" s="69">
        <f>'Cable cos'!J219</f>
        <v>0.40036084989276299</v>
      </c>
      <c r="E1693" s="69">
        <f>'Cable cos'!K219</f>
        <v>0.4150340528540431</v>
      </c>
      <c r="F1693" s="69">
        <f>'Cable cos'!L219</f>
        <v>0.42468530622125394</v>
      </c>
      <c r="G1693" s="69">
        <f>'Cable cos'!M219</f>
        <v>0.42234979162641789</v>
      </c>
      <c r="H1693" s="69">
        <f>'Cable cos'!N219</f>
        <v>0.42679008201045515</v>
      </c>
      <c r="I1693" s="69">
        <f>'Cable cos'!O219</f>
        <v>0.41656398579587411</v>
      </c>
      <c r="J1693" s="69">
        <f>'Cable cos'!P219</f>
        <v>0.4224202378547674</v>
      </c>
      <c r="K1693" s="69">
        <f>'Cable cos'!Q219</f>
        <v>0.41111464560293148</v>
      </c>
      <c r="L1693" s="69">
        <f>'Cable cos'!R219</f>
        <v>0.38565647251677682</v>
      </c>
    </row>
    <row r="1694" spans="3:12" ht="15.75">
      <c r="C1694" s="66" t="s">
        <v>360</v>
      </c>
      <c r="D1694" s="69">
        <f>'Cable cos'!J238</f>
        <v>0.60007666305114737</v>
      </c>
      <c r="E1694" s="69">
        <f>'Cable cos'!K238</f>
        <v>0.58172590901679444</v>
      </c>
      <c r="F1694" s="69">
        <f>'Cable cos'!L238</f>
        <v>0.32008986928104577</v>
      </c>
      <c r="G1694" s="69">
        <f>'Cable cos'!M238</f>
        <v>0.35330361824855794</v>
      </c>
      <c r="H1694" s="69">
        <f>'Cable cos'!N238</f>
        <v>0.310939523284255</v>
      </c>
      <c r="I1694" s="69">
        <f>'Cable cos'!O238</f>
        <v>0.31367444690094803</v>
      </c>
      <c r="J1694" s="69">
        <f>'Cable cos'!P238</f>
        <v>0.36096736547868669</v>
      </c>
      <c r="K1694" s="69">
        <f>'Cable cos'!Q238</f>
        <v>0.26830336818709483</v>
      </c>
      <c r="L1694" s="69">
        <f>'Cable cos'!R238</f>
        <v>0.22958045182111572</v>
      </c>
    </row>
    <row r="1695" spans="3:12" ht="15.75">
      <c r="C1695" s="66" t="s">
        <v>643</v>
      </c>
      <c r="D1695" s="69">
        <f>'Cable cos'!J241</f>
        <v>-0.19971581315838433</v>
      </c>
      <c r="E1695" s="69">
        <f>'Cable cos'!K241</f>
        <v>-0.16669185616275137</v>
      </c>
      <c r="F1695" s="69">
        <f>'Cable cos'!L241</f>
        <v>0.10459543694020819</v>
      </c>
      <c r="G1695" s="69">
        <f>'Cable cos'!M241</f>
        <v>6.9046173377859968E-2</v>
      </c>
      <c r="H1695" s="69">
        <f>'Cable cos'!N241</f>
        <v>0.11585055872620016</v>
      </c>
      <c r="I1695" s="69">
        <f>'Cable cos'!O241</f>
        <v>0.10288953889492605</v>
      </c>
      <c r="J1695" s="69">
        <f>'Cable cos'!P241</f>
        <v>6.14528723760807E-2</v>
      </c>
      <c r="K1695" s="69">
        <f>'Cable cos'!Q241</f>
        <v>0.14281127741583663</v>
      </c>
      <c r="L1695" s="69">
        <f>'Cable cos'!R241</f>
        <v>0.15607602069566107</v>
      </c>
    </row>
    <row r="1698" spans="1:6">
      <c r="B1698" t="s">
        <v>4599</v>
      </c>
      <c r="E1698" s="3"/>
    </row>
    <row r="1700" spans="1:6" ht="15.75">
      <c r="B1700" s="217"/>
      <c r="C1700" s="388" t="s">
        <v>4605</v>
      </c>
      <c r="D1700" s="388" t="s">
        <v>4602</v>
      </c>
      <c r="E1700" s="388" t="s">
        <v>4603</v>
      </c>
      <c r="F1700" s="388" t="s">
        <v>4604</v>
      </c>
    </row>
    <row r="1701" spans="1:6" ht="15.75">
      <c r="B1701" s="66" t="s">
        <v>666</v>
      </c>
      <c r="C1701" s="112">
        <v>36.880000000000003</v>
      </c>
      <c r="D1701" s="112">
        <v>95.47</v>
      </c>
      <c r="E1701" s="112">
        <v>24.09</v>
      </c>
      <c r="F1701" s="112">
        <v>3.89</v>
      </c>
    </row>
    <row r="1702" spans="1:6" ht="15.75">
      <c r="B1702" s="66" t="s">
        <v>4600</v>
      </c>
      <c r="C1702" s="112">
        <v>32.07</v>
      </c>
      <c r="D1702" s="112">
        <v>78.510000000000005</v>
      </c>
      <c r="E1702" s="112">
        <v>23.3</v>
      </c>
      <c r="F1702" s="112">
        <v>3.18</v>
      </c>
    </row>
    <row r="1703" spans="1:6" ht="15.75">
      <c r="B1703" s="66" t="s">
        <v>89</v>
      </c>
      <c r="C1703" s="112">
        <v>20.12</v>
      </c>
      <c r="D1703" s="112">
        <v>43.53</v>
      </c>
      <c r="E1703" s="112">
        <v>16.89</v>
      </c>
      <c r="F1703" s="112">
        <v>3.16</v>
      </c>
    </row>
    <row r="1704" spans="1:6" ht="15.75">
      <c r="B1704" s="66" t="s">
        <v>4601</v>
      </c>
      <c r="C1704" s="112">
        <v>17.89</v>
      </c>
      <c r="D1704" s="112">
        <v>40.1</v>
      </c>
      <c r="E1704" s="112">
        <v>13.53</v>
      </c>
      <c r="F1704" s="112">
        <v>4.3899999999999997</v>
      </c>
    </row>
    <row r="1705" spans="1:6" ht="15.75">
      <c r="B1705" s="67" t="s">
        <v>665</v>
      </c>
      <c r="C1705" s="405">
        <v>14.04</v>
      </c>
      <c r="D1705" s="405">
        <v>36.24</v>
      </c>
      <c r="E1705" s="405">
        <v>9.0500000000000007</v>
      </c>
      <c r="F1705" s="405">
        <v>1.84</v>
      </c>
    </row>
    <row r="1708" spans="1:6" ht="15.75">
      <c r="A1708" s="66" t="s">
        <v>145</v>
      </c>
      <c r="B1708" s="125">
        <f>Interims!AU7</f>
        <v>7184.9</v>
      </c>
    </row>
    <row r="1709" spans="1:6" ht="15.75">
      <c r="A1709" s="66" t="s">
        <v>87</v>
      </c>
      <c r="B1709" s="125">
        <f>Interims!AU13</f>
        <v>5281.6</v>
      </c>
    </row>
    <row r="1710" spans="1:6" ht="15.75">
      <c r="A1710" s="66" t="s">
        <v>4713</v>
      </c>
      <c r="B1710" s="125">
        <f>Interims!AU111</f>
        <v>8874.2000000000007</v>
      </c>
    </row>
    <row r="1711" spans="1:6" ht="15.75">
      <c r="A1711" s="66" t="s">
        <v>4714</v>
      </c>
      <c r="B1711" s="125">
        <f>Interims!AU112-Interims!AU114</f>
        <v>1023.8999999999992</v>
      </c>
    </row>
    <row r="1712" spans="1:6" ht="15.75">
      <c r="A1712" s="66" t="s">
        <v>44</v>
      </c>
      <c r="B1712" s="125">
        <f>Interims!AU15</f>
        <v>2260.3000000000002</v>
      </c>
    </row>
    <row r="1713" spans="1:14" ht="15.75">
      <c r="A1713" s="67" t="s">
        <v>1887</v>
      </c>
      <c r="B1713" s="154">
        <f>Interims!AU17</f>
        <v>-1229.7</v>
      </c>
    </row>
    <row r="1714" spans="1:14" ht="15.75">
      <c r="A1714" s="66"/>
      <c r="B1714" s="125">
        <f>SUM(B1708:B1713)</f>
        <v>23395.199999999997</v>
      </c>
    </row>
    <row r="1723" spans="1:14">
      <c r="B1723" t="s">
        <v>3757</v>
      </c>
    </row>
    <row r="1724" spans="1:14" ht="15.75">
      <c r="B1724" s="66"/>
      <c r="C1724" s="68" t="s">
        <v>3256</v>
      </c>
      <c r="D1724" s="68" t="s">
        <v>3257</v>
      </c>
      <c r="E1724" s="68" t="s">
        <v>3258</v>
      </c>
      <c r="F1724" s="68" t="s">
        <v>3259</v>
      </c>
      <c r="G1724" s="68" t="s">
        <v>3805</v>
      </c>
      <c r="H1724" s="68" t="s">
        <v>3806</v>
      </c>
      <c r="I1724" s="68" t="s">
        <v>3807</v>
      </c>
      <c r="J1724" s="68" t="s">
        <v>3808</v>
      </c>
      <c r="K1724" s="68" t="s">
        <v>4551</v>
      </c>
      <c r="L1724" s="68" t="s">
        <v>4594</v>
      </c>
      <c r="M1724" s="68" t="s">
        <v>4595</v>
      </c>
      <c r="N1724" s="68" t="s">
        <v>4596</v>
      </c>
    </row>
    <row r="1725" spans="1:14" ht="15.75">
      <c r="B1725" s="66" t="s">
        <v>4163</v>
      </c>
      <c r="C1725" s="112">
        <f>Interims!AK186</f>
        <v>72.599999999999994</v>
      </c>
      <c r="D1725" s="112">
        <f>Interims!AL186</f>
        <v>81.900000000000006</v>
      </c>
      <c r="E1725" s="112">
        <f>Interims!AM186</f>
        <v>80.599999999999994</v>
      </c>
      <c r="F1725" s="112">
        <f>Interims!AN186</f>
        <v>78.8</v>
      </c>
      <c r="G1725" s="112">
        <f>Interims!AP186</f>
        <v>95.5</v>
      </c>
      <c r="H1725" s="112">
        <f>Interims!AQ186</f>
        <v>102.6</v>
      </c>
      <c r="I1725" s="112">
        <f>Interims!AR186</f>
        <v>97.6</v>
      </c>
      <c r="J1725" s="112">
        <f>Interims!AS186</f>
        <v>88</v>
      </c>
      <c r="K1725" s="112">
        <f>Interims!AU186</f>
        <v>88</v>
      </c>
      <c r="L1725" s="112" t="e">
        <f>Interims!#REF!</f>
        <v>#REF!</v>
      </c>
      <c r="M1725" s="112" t="e">
        <f>Interims!#REF!</f>
        <v>#REF!</v>
      </c>
      <c r="N1725" s="112" t="e">
        <f>Interims!#REF!</f>
        <v>#REF!</v>
      </c>
    </row>
    <row r="1726" spans="1:14" ht="15.75">
      <c r="B1726" s="66" t="s">
        <v>4753</v>
      </c>
      <c r="C1726" s="112">
        <f>C1725</f>
        <v>72.599999999999994</v>
      </c>
      <c r="D1726" s="112">
        <f>D1725</f>
        <v>81.900000000000006</v>
      </c>
      <c r="E1726" s="112">
        <f>E1725</f>
        <v>80.599999999999994</v>
      </c>
      <c r="F1726" s="112">
        <f>F1725</f>
        <v>78.8</v>
      </c>
      <c r="G1726" s="569">
        <f>G1725-0.36*C1725</f>
        <v>69.364000000000004</v>
      </c>
      <c r="H1726" s="569">
        <f>H1725-0.36*D1725</f>
        <v>73.115999999999985</v>
      </c>
      <c r="I1726" s="569">
        <f>I1725-0.36*E1725</f>
        <v>68.584000000000003</v>
      </c>
      <c r="J1726" s="258">
        <f>J1725-0.36*F1725+10</f>
        <v>69.632000000000005</v>
      </c>
      <c r="K1726" s="112">
        <f>K1725</f>
        <v>88</v>
      </c>
      <c r="L1726" s="112" t="e">
        <f>L1725</f>
        <v>#REF!</v>
      </c>
      <c r="M1726" s="112" t="e">
        <f>M1725</f>
        <v>#REF!</v>
      </c>
      <c r="N1726" s="112" t="e">
        <f>N1725</f>
        <v>#REF!</v>
      </c>
    </row>
    <row r="1727" spans="1:14" ht="15.75">
      <c r="B1727" s="66" t="s">
        <v>564</v>
      </c>
      <c r="G1727" s="69">
        <f t="shared" ref="G1727:N1727" si="113">G1726/C1725-1</f>
        <v>-4.457300275482079E-2</v>
      </c>
      <c r="H1727" s="69">
        <f t="shared" si="113"/>
        <v>-0.10725274725274747</v>
      </c>
      <c r="I1727" s="69">
        <f t="shared" si="113"/>
        <v>-0.14908188585607929</v>
      </c>
      <c r="J1727" s="69">
        <f t="shared" si="113"/>
        <v>-0.11634517766497454</v>
      </c>
      <c r="K1727" s="69">
        <f t="shared" si="113"/>
        <v>-7.8534031413612593E-2</v>
      </c>
      <c r="L1727" s="69" t="e">
        <f t="shared" si="113"/>
        <v>#REF!</v>
      </c>
      <c r="M1727" s="69" t="e">
        <f t="shared" si="113"/>
        <v>#REF!</v>
      </c>
      <c r="N1727" s="69" t="e">
        <f t="shared" si="113"/>
        <v>#REF!</v>
      </c>
    </row>
    <row r="1748" spans="2:3" ht="15.75">
      <c r="B1748" s="74" t="s">
        <v>4761</v>
      </c>
      <c r="C1748" s="66"/>
    </row>
    <row r="1749" spans="2:3" ht="15.75">
      <c r="B1749" s="66"/>
      <c r="C1749" s="66"/>
    </row>
    <row r="1750" spans="2:3" ht="15.75">
      <c r="B1750" s="66" t="s">
        <v>2718</v>
      </c>
      <c r="C1750" s="572">
        <v>10</v>
      </c>
    </row>
    <row r="1751" spans="2:3" ht="15.75">
      <c r="B1751" s="66" t="s">
        <v>57</v>
      </c>
      <c r="C1751" s="125">
        <f>Univision!L17</f>
        <v>977.79849999999999</v>
      </c>
    </row>
    <row r="1752" spans="2:3" ht="15.75">
      <c r="B1752" s="66" t="s">
        <v>456</v>
      </c>
      <c r="C1752" s="125">
        <f>C1751*C1750</f>
        <v>9777.9850000000006</v>
      </c>
    </row>
    <row r="1753" spans="2:3" ht="15.75">
      <c r="B1753" s="66" t="s">
        <v>472</v>
      </c>
      <c r="C1753" s="125">
        <f>Univision!AM254</f>
        <v>7446.4000000000005</v>
      </c>
    </row>
    <row r="1754" spans="2:3" ht="15.75">
      <c r="B1754" s="66" t="s">
        <v>530</v>
      </c>
      <c r="C1754" s="125">
        <f>C1752-C1753</f>
        <v>2331.585</v>
      </c>
    </row>
    <row r="1755" spans="2:3" ht="15.75">
      <c r="B1755" s="66" t="s">
        <v>4762</v>
      </c>
      <c r="C1755" s="69">
        <v>0.74</v>
      </c>
    </row>
    <row r="1756" spans="2:3" ht="15.75">
      <c r="B1756" s="66" t="s">
        <v>4767</v>
      </c>
      <c r="C1756" s="125">
        <f>C1754*C1755</f>
        <v>1725.3729000000001</v>
      </c>
    </row>
    <row r="1757" spans="2:3" ht="15.75">
      <c r="B1757" s="66" t="s">
        <v>357</v>
      </c>
      <c r="C1757" s="460">
        <v>19.5</v>
      </c>
    </row>
    <row r="1758" spans="2:3" ht="15.75">
      <c r="B1758" s="66" t="s">
        <v>4768</v>
      </c>
      <c r="C1758" s="125">
        <f>C1756*C1757</f>
        <v>33644.771550000005</v>
      </c>
    </row>
    <row r="1759" spans="2:3" ht="15.75">
      <c r="B1759" s="66"/>
      <c r="C1759" s="66"/>
    </row>
    <row r="1760" spans="2:3" ht="15.75">
      <c r="B1760" s="66" t="s">
        <v>562</v>
      </c>
      <c r="C1760" s="125">
        <f>C1758</f>
        <v>33644.771550000005</v>
      </c>
    </row>
    <row r="1761" spans="2:12" ht="15.75">
      <c r="B1761" s="66" t="s">
        <v>531</v>
      </c>
      <c r="C1761" s="117">
        <v>6.5000000000000002E-2</v>
      </c>
    </row>
    <row r="1762" spans="2:12" ht="15.75">
      <c r="B1762" s="66" t="s">
        <v>531</v>
      </c>
      <c r="C1762" s="125">
        <f>C1761*C1760</f>
        <v>2186.9101507500004</v>
      </c>
      <c r="D1762" s="125">
        <f>C1762</f>
        <v>2186.9101507500004</v>
      </c>
      <c r="E1762" s="125">
        <f>D1762</f>
        <v>2186.9101507500004</v>
      </c>
      <c r="F1762" s="125">
        <f>E1762</f>
        <v>2186.9101507500004</v>
      </c>
    </row>
    <row r="1763" spans="2:12" ht="15.75">
      <c r="B1763" s="66" t="s">
        <v>4763</v>
      </c>
      <c r="C1763" s="125">
        <f>C1762</f>
        <v>2186.9101507500004</v>
      </c>
      <c r="D1763" s="125">
        <f>C1763+D1762</f>
        <v>4373.8203015000008</v>
      </c>
      <c r="E1763" s="125">
        <f>D1763+E1762</f>
        <v>6560.7304522500017</v>
      </c>
      <c r="F1763" s="125">
        <f>E1763+F1762</f>
        <v>8747.6406030000016</v>
      </c>
    </row>
    <row r="1764" spans="2:12" ht="15.75">
      <c r="B1764" s="66"/>
      <c r="C1764" s="125"/>
      <c r="D1764" s="125"/>
      <c r="E1764" s="125"/>
      <c r="F1764" s="125"/>
    </row>
    <row r="1765" spans="2:12" ht="15.75">
      <c r="B1765" s="217" t="s">
        <v>4764</v>
      </c>
      <c r="C1765" s="217">
        <v>2019</v>
      </c>
      <c r="D1765" s="217">
        <f>C1765+1</f>
        <v>2020</v>
      </c>
      <c r="E1765" s="217">
        <f>D1765+1</f>
        <v>2021</v>
      </c>
      <c r="F1765" s="217">
        <f>E1765+1</f>
        <v>2022</v>
      </c>
    </row>
    <row r="1766" spans="2:12" ht="15.75">
      <c r="B1766" s="66" t="s">
        <v>200</v>
      </c>
      <c r="C1766" s="125">
        <f>Master!R5</f>
        <v>100650.6</v>
      </c>
      <c r="D1766" s="125">
        <f>Master!S5</f>
        <v>97138.3</v>
      </c>
      <c r="E1766" s="125">
        <f>Master!T5</f>
        <v>103521.8</v>
      </c>
      <c r="F1766" s="125">
        <f>Master!U5</f>
        <v>75526.600000000006</v>
      </c>
    </row>
    <row r="1767" spans="2:12" ht="15.75">
      <c r="B1767" s="66" t="s">
        <v>57</v>
      </c>
      <c r="C1767" s="125">
        <f>Master!R13</f>
        <v>38218.1</v>
      </c>
      <c r="D1767" s="125">
        <f>Master!S13</f>
        <v>38810.299999999996</v>
      </c>
      <c r="E1767" s="125">
        <f>Master!T13</f>
        <v>43601.599999999999</v>
      </c>
      <c r="F1767" s="125">
        <f>Master!U13</f>
        <v>25536.03</v>
      </c>
    </row>
    <row r="1768" spans="2:12" ht="15.75">
      <c r="B1768" s="66" t="s">
        <v>201</v>
      </c>
      <c r="C1768" s="125">
        <f>Master!R90</f>
        <v>19067.125</v>
      </c>
      <c r="D1768" s="125">
        <f>Master!S90</f>
        <v>20178.311999999998</v>
      </c>
      <c r="E1768" s="125">
        <f>Master!T90</f>
        <v>23310.092270413064</v>
      </c>
      <c r="F1768" s="125">
        <f>Master!U90</f>
        <v>17214.16</v>
      </c>
    </row>
    <row r="1769" spans="2:12" ht="15.75">
      <c r="B1769" s="66" t="s">
        <v>203</v>
      </c>
      <c r="C1769" s="125">
        <f>C1767-C1768</f>
        <v>19150.974999999999</v>
      </c>
      <c r="D1769" s="125">
        <f>D1767-D1768</f>
        <v>18631.987999999998</v>
      </c>
      <c r="E1769" s="125">
        <f>E1767-E1768</f>
        <v>20291.507729586934</v>
      </c>
      <c r="F1769" s="125">
        <f>F1767-F1768</f>
        <v>8321.869999999999</v>
      </c>
    </row>
    <row r="1770" spans="2:12" ht="15.75">
      <c r="B1770" s="66" t="s">
        <v>372</v>
      </c>
      <c r="C1770" s="125">
        <f>Valuation!O32*Valuation!O19</f>
        <v>1558.974999999999</v>
      </c>
      <c r="D1770" s="125">
        <f>Valuation!P32*Valuation!P19</f>
        <v>1357.487999999998</v>
      </c>
      <c r="E1770" s="125">
        <f>Valuation!Q32*Valuation!Q19</f>
        <v>-3236.8922704130696</v>
      </c>
      <c r="F1770" s="125">
        <f>Valuation!R32*Valuation!R19</f>
        <v>-13936.812500000005</v>
      </c>
    </row>
    <row r="1771" spans="2:12" ht="15.75">
      <c r="B1771" s="66" t="s">
        <v>224</v>
      </c>
      <c r="C1771" s="125">
        <f>Master!R176</f>
        <v>93733.1</v>
      </c>
      <c r="D1771" s="125">
        <f>Master!S176</f>
        <v>96143</v>
      </c>
      <c r="E1771" s="125">
        <f>Master!T176</f>
        <v>105219.9</v>
      </c>
      <c r="F1771" s="125">
        <f>Master!U176</f>
        <v>54109.7</v>
      </c>
      <c r="I1771">
        <f>C1765</f>
        <v>2019</v>
      </c>
      <c r="J1771">
        <f>D1765</f>
        <v>2020</v>
      </c>
      <c r="K1771">
        <f>E1765</f>
        <v>2021</v>
      </c>
      <c r="L1771">
        <f>F1765</f>
        <v>2022</v>
      </c>
    </row>
    <row r="1772" spans="2:12" ht="15.75">
      <c r="B1772" s="66" t="s">
        <v>2595</v>
      </c>
      <c r="C1772" s="570">
        <f>C1771/C1767</f>
        <v>2.452583985075135</v>
      </c>
      <c r="D1772" s="570">
        <f>D1771/D1767</f>
        <v>2.4772547493835404</v>
      </c>
      <c r="E1772" s="570">
        <f>E1771/E1767</f>
        <v>2.4132119004807162</v>
      </c>
      <c r="F1772" s="570">
        <f>F1771/F1767</f>
        <v>2.1189550607514165</v>
      </c>
      <c r="H1772" t="s">
        <v>4770</v>
      </c>
      <c r="I1772" s="573">
        <f>C1772</f>
        <v>2.452583985075135</v>
      </c>
      <c r="J1772" s="573">
        <f>D1772</f>
        <v>2.4772547493835404</v>
      </c>
      <c r="K1772" s="573">
        <f>E1772</f>
        <v>2.4132119004807162</v>
      </c>
      <c r="L1772" s="573">
        <f>F1772</f>
        <v>2.1189550607514165</v>
      </c>
    </row>
    <row r="1773" spans="2:12" ht="15.75">
      <c r="B1773" s="66"/>
      <c r="C1773" s="66"/>
      <c r="D1773" s="66"/>
      <c r="E1773" s="66"/>
      <c r="F1773" s="66"/>
      <c r="H1773" t="s">
        <v>4766</v>
      </c>
      <c r="I1773" s="573">
        <f ca="1">C1793</f>
        <v>5.4086271985826553</v>
      </c>
      <c r="J1773" s="573">
        <f ca="1">D1793</f>
        <v>5.8525726640568205</v>
      </c>
      <c r="K1773" s="573">
        <f ca="1">E1793</f>
        <v>5.0246612966843847</v>
      </c>
      <c r="L1773" s="573">
        <f ca="1">F1793</f>
        <v>5.6315929652298005</v>
      </c>
    </row>
    <row r="1774" spans="2:12" ht="15.75">
      <c r="B1774" s="74" t="s">
        <v>4765</v>
      </c>
      <c r="C1774" s="66"/>
      <c r="D1774" s="66"/>
      <c r="E1774" s="66"/>
      <c r="F1774" s="66"/>
    </row>
    <row r="1775" spans="2:12" ht="15.75">
      <c r="B1775" s="66" t="str">
        <f>B1766</f>
        <v>Revenue</v>
      </c>
      <c r="C1775" s="125">
        <f>Univision!L5*Master!R92</f>
        <v>51568.825000000004</v>
      </c>
      <c r="D1775" s="125">
        <f>Univision!M5*Master!S92</f>
        <v>54600.012000000002</v>
      </c>
      <c r="E1775" s="125">
        <f>Univision!N5*Master!T92</f>
        <v>58009.236780901003</v>
      </c>
      <c r="F1775" s="125">
        <f>Univision!O5*Master!U92</f>
        <v>66133.406643750001</v>
      </c>
    </row>
    <row r="1776" spans="2:12" ht="15.75">
      <c r="B1776" s="66" t="str">
        <f>B1767</f>
        <v>EBITDA</v>
      </c>
      <c r="C1776" s="125">
        <f>Univision!L17*Master!R92</f>
        <v>18822.621125000001</v>
      </c>
      <c r="D1776" s="125">
        <f>Univision!M17*Master!S92</f>
        <v>18018.003960000002</v>
      </c>
      <c r="E1776" s="125">
        <f>Univision!N17*Master!T92</f>
        <v>20883.325241124363</v>
      </c>
      <c r="F1776" s="125">
        <f>Univision!O17*Master!U92</f>
        <v>23477.359358531248</v>
      </c>
    </row>
    <row r="1777" spans="2:6" ht="15.75">
      <c r="B1777" s="66" t="str">
        <f>B1768</f>
        <v>Capex</v>
      </c>
      <c r="C1777" s="125">
        <f>Univision!L49*Master!R92</f>
        <v>1686.7515080539122</v>
      </c>
      <c r="D1777" s="125">
        <f>Univision!M49*Master!S92</f>
        <v>1785.8978284023672</v>
      </c>
      <c r="E1777" s="125">
        <f>Univision!N49*Master!T92</f>
        <v>1897.409289842094</v>
      </c>
      <c r="F1777" s="125">
        <f>Univision!O49*Master!U92</f>
        <v>2163.1406841068788</v>
      </c>
    </row>
    <row r="1778" spans="2:6" ht="15.75">
      <c r="B1778" s="66" t="str">
        <f>B1769</f>
        <v>OpFCF</v>
      </c>
      <c r="C1778" s="125">
        <f>C1776-C1777</f>
        <v>17135.869616946089</v>
      </c>
      <c r="D1778" s="125">
        <f>D1776-D1777</f>
        <v>16232.106131597635</v>
      </c>
      <c r="E1778" s="125">
        <f>E1776-E1777</f>
        <v>18985.91595128227</v>
      </c>
      <c r="F1778" s="125">
        <f>F1776-F1777</f>
        <v>21314.21867442437</v>
      </c>
    </row>
    <row r="1779" spans="2:6" ht="15.75">
      <c r="B1779" s="66" t="s">
        <v>531</v>
      </c>
      <c r="C1779" s="125">
        <f ca="1">-(Univision!L35+Univision!L37)*Master!R92</f>
        <v>9939.4547488777462</v>
      </c>
      <c r="D1779" s="125">
        <f ca="1">-(Univision!M35+Univision!M37)*Master!S92</f>
        <v>10289.308293646789</v>
      </c>
      <c r="E1779" s="125">
        <f ca="1">-(Univision!N35+Univision!N37)*Master!T92</f>
        <v>9151.5989718406872</v>
      </c>
      <c r="F1779" s="125">
        <f ca="1">-(Univision!O35+Univision!O37)*Master!U92</f>
        <v>7870.9711388963879</v>
      </c>
    </row>
    <row r="1780" spans="2:6" ht="15.75">
      <c r="B1780" s="66" t="s">
        <v>192</v>
      </c>
      <c r="C1780" s="125">
        <f ca="1">-Univision!L43*Master!R92</f>
        <v>2117.539643617717</v>
      </c>
      <c r="D1780" s="125">
        <f ca="1">-Univision!M43*Master!S92</f>
        <v>1655.1910422383592</v>
      </c>
      <c r="E1780" s="125">
        <f ca="1">-Univision!N43*Master!T92</f>
        <v>2990.6989662408905</v>
      </c>
      <c r="F1780" s="125">
        <f ca="1">-Univision!O43*Master!U92</f>
        <v>4190.6186033153363</v>
      </c>
    </row>
    <row r="1781" spans="2:6" ht="15.75">
      <c r="B1781" s="66" t="s">
        <v>372</v>
      </c>
      <c r="C1781" s="125">
        <f ca="1">C1778-C1779-C1780</f>
        <v>5078.8752244506259</v>
      </c>
      <c r="D1781" s="125">
        <f ca="1">D1778-D1779-D1780</f>
        <v>4287.6067957124869</v>
      </c>
      <c r="E1781" s="125">
        <f ca="1">E1778-E1779-E1780</f>
        <v>6843.6180132006921</v>
      </c>
      <c r="F1781" s="125">
        <f ca="1">F1778-F1779-F1780</f>
        <v>9252.6289322126468</v>
      </c>
    </row>
    <row r="1782" spans="2:6" ht="15.75">
      <c r="B1782" s="66" t="s">
        <v>224</v>
      </c>
      <c r="C1782" s="125">
        <f ca="1">Univision!L93*Master!R92</f>
        <v>138435.64977554936</v>
      </c>
      <c r="D1782" s="125">
        <f ca="1">Univision!M93*Master!S92</f>
        <v>150722.00396682261</v>
      </c>
      <c r="E1782" s="125">
        <f ca="1">Univision!N93*Master!T92</f>
        <v>136004.04088645353</v>
      </c>
      <c r="F1782" s="125">
        <f ca="1">Univision!O93*Master!U92</f>
        <v>126077.38292353252</v>
      </c>
    </row>
    <row r="1783" spans="2:6" ht="15.75">
      <c r="B1783" s="66"/>
      <c r="C1783" s="125"/>
      <c r="D1783" s="125"/>
      <c r="E1783" s="125"/>
      <c r="F1783" s="125"/>
    </row>
    <row r="1784" spans="2:6" ht="15.75">
      <c r="B1784" s="66" t="s">
        <v>3757</v>
      </c>
      <c r="C1784" s="125">
        <f>Content!M58*Master!R92</f>
        <v>7490.1750000000002</v>
      </c>
      <c r="D1784" s="125">
        <f>Content!N58*Master!S92</f>
        <v>8151.66</v>
      </c>
      <c r="E1784" s="125">
        <f>Content!O58*Master!T92</f>
        <v>8475.2907062732393</v>
      </c>
      <c r="F1784" s="125">
        <f>Content!P58*Master!U92</f>
        <v>9490.0259956661102</v>
      </c>
    </row>
    <row r="1785" spans="2:6" ht="15.75">
      <c r="B1785" s="66"/>
      <c r="C1785" s="125"/>
      <c r="D1785" s="125"/>
      <c r="E1785" s="125"/>
      <c r="F1785" s="125"/>
    </row>
    <row r="1786" spans="2:6" ht="15.75">
      <c r="B1786" s="74" t="s">
        <v>4766</v>
      </c>
      <c r="C1786" s="125"/>
      <c r="D1786" s="125"/>
      <c r="E1786" s="125"/>
      <c r="F1786" s="125"/>
    </row>
    <row r="1787" spans="2:6" ht="15.75">
      <c r="B1787" s="66" t="str">
        <f>B1775</f>
        <v>Revenue</v>
      </c>
      <c r="C1787" s="125">
        <f>C1766+C1775-C1784</f>
        <v>144729.25000000003</v>
      </c>
      <c r="D1787" s="125">
        <f>D1766+D1775-D1784</f>
        <v>143586.652</v>
      </c>
      <c r="E1787" s="125">
        <f>E1766+E1775-E1784</f>
        <v>153055.74607462779</v>
      </c>
      <c r="F1787" s="125">
        <f>F1766+F1775-F1784</f>
        <v>132169.9806480839</v>
      </c>
    </row>
    <row r="1788" spans="2:6" ht="15.75">
      <c r="B1788" s="66" t="str">
        <f>B1776</f>
        <v>EBITDA</v>
      </c>
      <c r="C1788" s="125">
        <f>C1767+C1776-C1784</f>
        <v>49550.546124999993</v>
      </c>
      <c r="D1788" s="125">
        <f>D1767+D1776-D1784</f>
        <v>48676.643960000001</v>
      </c>
      <c r="E1788" s="125">
        <f>E1767+E1776-E1784</f>
        <v>56009.634534851124</v>
      </c>
      <c r="F1788" s="125">
        <f>F1767+F1776-F1784</f>
        <v>39523.363362865137</v>
      </c>
    </row>
    <row r="1789" spans="2:6" ht="15.75">
      <c r="B1789" s="66" t="str">
        <f>B1777</f>
        <v>Capex</v>
      </c>
      <c r="C1789" s="125">
        <f>C1768+C1777</f>
        <v>20753.876508053912</v>
      </c>
      <c r="D1789" s="125">
        <f>D1768+D1777</f>
        <v>21964.209828402367</v>
      </c>
      <c r="E1789" s="125">
        <f>E1768+E1777</f>
        <v>25207.501560255158</v>
      </c>
      <c r="F1789" s="125">
        <f>F1768+F1777</f>
        <v>19377.300684106878</v>
      </c>
    </row>
    <row r="1790" spans="2:6" ht="15.75">
      <c r="B1790" s="66" t="str">
        <f>B1778</f>
        <v>OpFCF</v>
      </c>
      <c r="C1790" s="125">
        <f>C1788-C1789</f>
        <v>28796.669616946081</v>
      </c>
      <c r="D1790" s="125">
        <f>D1788-D1789</f>
        <v>26712.434131597634</v>
      </c>
      <c r="E1790" s="125">
        <f>E1788-E1789</f>
        <v>30802.132974595967</v>
      </c>
      <c r="F1790" s="125">
        <f>F1788-F1789</f>
        <v>20146.062678758259</v>
      </c>
    </row>
    <row r="1791" spans="2:6" ht="15.75">
      <c r="B1791" s="66" t="str">
        <f>B1770</f>
        <v>EFCF</v>
      </c>
      <c r="C1791" s="125">
        <f ca="1">C1770+C1781-C1784*(1-0.21)-C1762</f>
        <v>-1466.2981762993754</v>
      </c>
      <c r="D1791" s="125">
        <f ca="1">D1770+D1781-D1784*(1-0.21)-D1762</f>
        <v>-2981.6267550375164</v>
      </c>
      <c r="E1791" s="125">
        <f ca="1">E1770+E1781-E1784*(1-0.21)-E1762</f>
        <v>-5275.6640659182376</v>
      </c>
      <c r="F1791" s="125">
        <f ca="1">F1770+F1781-F1784*(1-0.21)-F1762</f>
        <v>-14368.214255113586</v>
      </c>
    </row>
    <row r="1792" spans="2:6" ht="15.75">
      <c r="B1792" s="66" t="str">
        <f>B1771</f>
        <v>Net debt</v>
      </c>
      <c r="C1792" s="125">
        <f ca="1">C1771+C1782+$C$1760+C1763</f>
        <v>268000.43147629936</v>
      </c>
      <c r="D1792" s="125">
        <f ca="1">D1771+D1782+$C$1760+D1763</f>
        <v>284883.59581832256</v>
      </c>
      <c r="E1792" s="125">
        <f ca="1">E1771+E1782+$C$1760+E1763</f>
        <v>281429.44288870355</v>
      </c>
      <c r="F1792" s="125">
        <f ca="1">F1771+F1782+$C$1760+F1763</f>
        <v>222579.49507653253</v>
      </c>
    </row>
    <row r="1793" spans="2:13" ht="15.75">
      <c r="B1793" s="66" t="s">
        <v>2595</v>
      </c>
      <c r="C1793" s="570">
        <f ca="1">C1792/C1788</f>
        <v>5.4086271985826553</v>
      </c>
      <c r="D1793" s="570">
        <f ca="1">D1792/D1788</f>
        <v>5.8525726640568205</v>
      </c>
      <c r="E1793" s="570">
        <f ca="1">E1792/E1788</f>
        <v>5.0246612966843847</v>
      </c>
      <c r="F1793" s="570">
        <f ca="1">F1792/F1788</f>
        <v>5.6315929652298005</v>
      </c>
    </row>
    <row r="1794" spans="2:13" ht="15.75">
      <c r="B1794" s="66"/>
      <c r="C1794" s="125"/>
      <c r="D1794" s="125"/>
      <c r="E1794" s="125"/>
      <c r="F1794" s="125"/>
      <c r="I1794" s="8"/>
    </row>
    <row r="1795" spans="2:13" ht="15.75">
      <c r="B1795" s="74"/>
      <c r="C1795" s="470"/>
      <c r="D1795" s="470"/>
      <c r="E1795" s="470"/>
      <c r="F1795" s="470"/>
      <c r="G1795" s="42"/>
      <c r="H1795" s="391" t="s">
        <v>4865</v>
      </c>
      <c r="I1795" s="391" t="s">
        <v>4865</v>
      </c>
      <c r="J1795" s="391" t="s">
        <v>4865</v>
      </c>
      <c r="K1795" s="391" t="s">
        <v>4865</v>
      </c>
    </row>
    <row r="1796" spans="2:13" ht="15.75">
      <c r="B1796" s="217" t="s">
        <v>4867</v>
      </c>
      <c r="C1796" s="217">
        <v>2018</v>
      </c>
      <c r="D1796" s="217">
        <f>C1796+1</f>
        <v>2019</v>
      </c>
      <c r="E1796" s="217">
        <f>D1796+1</f>
        <v>2020</v>
      </c>
      <c r="F1796" s="217">
        <f>E1796+1</f>
        <v>2021</v>
      </c>
      <c r="G1796" s="42"/>
      <c r="H1796" s="217">
        <v>2018</v>
      </c>
      <c r="I1796" s="217">
        <f>H1796+1</f>
        <v>2019</v>
      </c>
      <c r="J1796" s="217">
        <f>I1796+1</f>
        <v>2020</v>
      </c>
      <c r="K1796" s="217">
        <f>J1796+1</f>
        <v>2021</v>
      </c>
    </row>
    <row r="1797" spans="2:13" ht="15.75">
      <c r="B1797" s="66" t="s">
        <v>146</v>
      </c>
      <c r="C1797" s="125">
        <f>Master!Q43/Master!Q$92</f>
        <v>1098.9610389610389</v>
      </c>
      <c r="D1797" s="125">
        <f>Master!R43/Master!R$92</f>
        <v>1008.8519480519482</v>
      </c>
      <c r="E1797" s="125">
        <f>Master!S43/Master!S$92</f>
        <v>761.16387337057722</v>
      </c>
      <c r="F1797" s="125">
        <f>Master!T43/Master!T$92</f>
        <v>944.61463063139627</v>
      </c>
      <c r="H1797" s="116">
        <f t="shared" ref="H1797:H1806" si="114">C1797/C$1806</f>
        <v>0.24477617784318206</v>
      </c>
      <c r="I1797" s="116">
        <f t="shared" ref="I1797:I1806" si="115">D1797/D$1806</f>
        <v>0.22804075842821345</v>
      </c>
      <c r="J1797" s="116">
        <f t="shared" ref="J1797:J1806" si="116">E1797/E$1806</f>
        <v>0.20250456523639829</v>
      </c>
      <c r="K1797" s="116">
        <f t="shared" ref="K1797:K1806" si="117">F1797/F$1806</f>
        <v>0.22090932924952891</v>
      </c>
      <c r="M1797" s="8">
        <f>I1797/I$1800</f>
        <v>0.55813124723382979</v>
      </c>
    </row>
    <row r="1798" spans="2:13" ht="15.75">
      <c r="B1798" s="66" t="s">
        <v>4862</v>
      </c>
      <c r="C1798" s="125">
        <f>Content!L58</f>
        <v>383.6</v>
      </c>
      <c r="D1798" s="125">
        <f>Content!M58</f>
        <v>389.1</v>
      </c>
      <c r="E1798" s="125">
        <f>Content!N58</f>
        <v>379.5</v>
      </c>
      <c r="F1798" s="125">
        <f>Content!O58</f>
        <v>417.8</v>
      </c>
      <c r="H1798" s="116">
        <f t="shared" si="114"/>
        <v>8.5440828647951286E-2</v>
      </c>
      <c r="I1798" s="116">
        <f t="shared" si="115"/>
        <v>8.7952111581638057E-2</v>
      </c>
      <c r="J1798" s="116">
        <f t="shared" si="116"/>
        <v>0.10096443774571791</v>
      </c>
      <c r="K1798" s="116">
        <f t="shared" si="117"/>
        <v>9.7707482784552088E-2</v>
      </c>
      <c r="M1798" s="8">
        <f>I1798/I$1800</f>
        <v>0.21526336814636418</v>
      </c>
    </row>
    <row r="1799" spans="2:13" ht="15.75">
      <c r="B1799" s="67" t="s">
        <v>2900</v>
      </c>
      <c r="C1799" s="154">
        <f>C1800-C1797-C1798</f>
        <v>556.45194805194808</v>
      </c>
      <c r="D1799" s="154">
        <f>D1800-D1797-D1798</f>
        <v>409.60129870129867</v>
      </c>
      <c r="E1799" s="154">
        <f>E1800-E1797-E1798</f>
        <v>377.63221601489772</v>
      </c>
      <c r="F1799" s="154">
        <f>F1800-F1797-F1798</f>
        <v>409.38604741320131</v>
      </c>
      <c r="H1799" s="123">
        <f t="shared" si="114"/>
        <v>0.12394086429698953</v>
      </c>
      <c r="I1799" s="123">
        <f t="shared" si="115"/>
        <v>9.2586222378207336E-2</v>
      </c>
      <c r="J1799" s="123">
        <f t="shared" si="116"/>
        <v>0.10046752138238113</v>
      </c>
      <c r="K1799" s="123">
        <f t="shared" si="117"/>
        <v>9.5739780229442781E-2</v>
      </c>
      <c r="M1799" s="8">
        <f>I1799/I$1800</f>
        <v>0.22660538461980603</v>
      </c>
    </row>
    <row r="1800" spans="2:13" ht="15.75">
      <c r="B1800" s="66" t="s">
        <v>3098</v>
      </c>
      <c r="C1800" s="125">
        <f>Master!Q47/Master!Q$92</f>
        <v>2039.012987012987</v>
      </c>
      <c r="D1800" s="125">
        <f>Master!R47/Master!R$92</f>
        <v>1807.5532467532469</v>
      </c>
      <c r="E1800" s="125">
        <f>Master!S47/Master!S$92</f>
        <v>1518.2960893854749</v>
      </c>
      <c r="F1800" s="125">
        <f>Master!T47/Master!T$92</f>
        <v>1771.8006780445976</v>
      </c>
      <c r="H1800" s="116">
        <f t="shared" si="114"/>
        <v>0.45415787078812286</v>
      </c>
      <c r="I1800" s="116">
        <f t="shared" si="115"/>
        <v>0.40857909238805884</v>
      </c>
      <c r="J1800" s="116">
        <f t="shared" si="116"/>
        <v>0.40393652436449734</v>
      </c>
      <c r="K1800" s="116">
        <f t="shared" si="117"/>
        <v>0.41435659226352378</v>
      </c>
    </row>
    <row r="1801" spans="2:13" ht="15.75">
      <c r="B1801" s="66" t="s">
        <v>4863</v>
      </c>
      <c r="C1801" s="125">
        <f>Master!Q51*0.587/Master!Q$92</f>
        <v>670.91812987012986</v>
      </c>
      <c r="D1801" s="125">
        <f>Master!R51*0.587/Master!R$92</f>
        <v>650.94488311688303</v>
      </c>
      <c r="E1801" s="125">
        <f>Master!S51*0.587/Master!S$92</f>
        <v>604.89147579143389</v>
      </c>
      <c r="F1801" s="125">
        <f>Master!T51*0.587/Master!T$92</f>
        <v>637.38141852309013</v>
      </c>
      <c r="H1801" s="116">
        <f t="shared" si="114"/>
        <v>0.14943639460645905</v>
      </c>
      <c r="I1801" s="116">
        <f t="shared" si="115"/>
        <v>0.14713949368643647</v>
      </c>
      <c r="J1801" s="116">
        <f t="shared" si="116"/>
        <v>0.16092892687868157</v>
      </c>
      <c r="K1801" s="116">
        <f t="shared" si="117"/>
        <v>0.14905920052067548</v>
      </c>
    </row>
    <row r="1802" spans="2:13" ht="15.75">
      <c r="B1802" s="66" t="s">
        <v>4864</v>
      </c>
      <c r="C1802" s="125">
        <f>Master!Q52*0.84/Master!Q$92</f>
        <v>1581.0763636363636</v>
      </c>
      <c r="D1802" s="125">
        <f>Master!R52*0.84/Master!R$92</f>
        <v>1819.7236363636364</v>
      </c>
      <c r="E1802" s="125">
        <f>Master!S52*0.84/Master!S$92</f>
        <v>1774.1324022346366</v>
      </c>
      <c r="F1802" s="125">
        <f>Master!T52*0.84/Master!T$92</f>
        <v>1988.4900094725633</v>
      </c>
      <c r="H1802" s="116">
        <f t="shared" si="114"/>
        <v>0.35215973583102306</v>
      </c>
      <c r="I1802" s="116">
        <f t="shared" si="115"/>
        <v>0.41133008561603362</v>
      </c>
      <c r="J1802" s="116">
        <f t="shared" si="116"/>
        <v>0.47200073907267442</v>
      </c>
      <c r="K1802" s="116">
        <f t="shared" si="117"/>
        <v>0.46503196114838269</v>
      </c>
    </row>
    <row r="1803" spans="2:13" ht="15.75">
      <c r="B1803" s="67" t="s">
        <v>130</v>
      </c>
      <c r="C1803" s="154">
        <f>Master!Q53/Master!Q$92</f>
        <v>448.6233766233766</v>
      </c>
      <c r="D1803" s="154">
        <f>Master!R53/Master!R$92</f>
        <v>425.98441558441561</v>
      </c>
      <c r="E1803" s="154">
        <f>Master!S53/Master!S$92</f>
        <v>199.06890130353818</v>
      </c>
      <c r="F1803" s="154">
        <f>Master!T53/Master!T$92</f>
        <v>247.91574151489172</v>
      </c>
      <c r="H1803" s="123">
        <f t="shared" si="114"/>
        <v>9.9923756646358788E-2</v>
      </c>
      <c r="I1803" s="123">
        <f t="shared" si="115"/>
        <v>9.6289459911383699E-2</v>
      </c>
      <c r="J1803" s="123">
        <f t="shared" si="116"/>
        <v>5.2961474816257036E-2</v>
      </c>
      <c r="K1803" s="123">
        <f t="shared" si="117"/>
        <v>5.7978035055255499E-2</v>
      </c>
    </row>
    <row r="1804" spans="2:13" ht="15.75">
      <c r="B1804" s="66" t="s">
        <v>131</v>
      </c>
      <c r="C1804" s="125">
        <f>C1800+C1801+C1802+C1803</f>
        <v>4739.6308571428563</v>
      </c>
      <c r="D1804" s="125">
        <f>D1800+D1801+D1802+D1803</f>
        <v>4704.2061818181819</v>
      </c>
      <c r="E1804" s="125">
        <f>E1800+E1801+E1802+E1803</f>
        <v>4096.3888687150838</v>
      </c>
      <c r="F1804" s="125">
        <f>F1800+F1801+F1802+F1803</f>
        <v>4645.5878475551435</v>
      </c>
      <c r="H1804" s="116">
        <f t="shared" si="114"/>
        <v>1.0556777578719636</v>
      </c>
      <c r="I1804" s="116">
        <f t="shared" si="115"/>
        <v>1.0633381316019126</v>
      </c>
      <c r="J1804" s="116">
        <f t="shared" si="116"/>
        <v>1.0898276651321104</v>
      </c>
      <c r="K1804" s="116">
        <f t="shared" si="117"/>
        <v>1.0864257889878377</v>
      </c>
    </row>
    <row r="1805" spans="2:13" ht="15.75">
      <c r="B1805" s="67" t="s">
        <v>132</v>
      </c>
      <c r="C1805" s="154">
        <f>Master!Q55/Master!Q$92</f>
        <v>-249.97402597402598</v>
      </c>
      <c r="D1805" s="154">
        <f>Master!R55/Master!R$92</f>
        <v>-280.20779220779218</v>
      </c>
      <c r="E1805" s="154">
        <f>Master!S55/Master!S$92</f>
        <v>-337.63966480446925</v>
      </c>
      <c r="F1805" s="154">
        <f>Master!T55/Master!T$92</f>
        <v>-369.55915360893374</v>
      </c>
      <c r="H1805" s="123">
        <f t="shared" si="114"/>
        <v>-5.5677757871963704E-2</v>
      </c>
      <c r="I1805" s="123">
        <f t="shared" si="115"/>
        <v>-6.3338131601912581E-2</v>
      </c>
      <c r="J1805" s="123">
        <f t="shared" si="116"/>
        <v>-8.9827665132110407E-2</v>
      </c>
      <c r="K1805" s="123">
        <f t="shared" si="117"/>
        <v>-8.6425788987837565E-2</v>
      </c>
    </row>
    <row r="1806" spans="2:13" ht="15.75">
      <c r="B1806" s="66" t="s">
        <v>134</v>
      </c>
      <c r="C1806" s="125">
        <f>C1804+C1805</f>
        <v>4489.6568311688306</v>
      </c>
      <c r="D1806" s="125">
        <f>D1804+D1805</f>
        <v>4423.9983896103895</v>
      </c>
      <c r="E1806" s="125">
        <f>E1804+E1805</f>
        <v>3758.7492039106146</v>
      </c>
      <c r="F1806" s="125">
        <f>F1804+F1805</f>
        <v>4276.0286939462094</v>
      </c>
      <c r="H1806" s="116">
        <f t="shared" si="114"/>
        <v>1</v>
      </c>
      <c r="I1806" s="116">
        <f t="shared" si="115"/>
        <v>1</v>
      </c>
      <c r="J1806" s="116">
        <f t="shared" si="116"/>
        <v>1</v>
      </c>
      <c r="K1806" s="116">
        <f t="shared" si="117"/>
        <v>1</v>
      </c>
    </row>
    <row r="1807" spans="2:13" ht="15.75">
      <c r="B1807" s="66"/>
      <c r="C1807" s="66"/>
      <c r="D1807" s="66"/>
      <c r="E1807" s="66"/>
      <c r="F1807" s="66"/>
    </row>
    <row r="1808" spans="2:13" ht="15.75">
      <c r="B1808" s="74"/>
      <c r="C1808" s="470"/>
      <c r="D1808" s="470"/>
      <c r="E1808" s="470"/>
      <c r="F1808" s="470"/>
      <c r="G1808" s="42"/>
      <c r="H1808" s="391" t="s">
        <v>4865</v>
      </c>
      <c r="I1808" s="391" t="s">
        <v>4865</v>
      </c>
      <c r="J1808" s="391" t="s">
        <v>4865</v>
      </c>
      <c r="K1808" s="391" t="s">
        <v>4865</v>
      </c>
    </row>
    <row r="1809" spans="2:11" ht="15.75">
      <c r="B1809" s="217" t="s">
        <v>4868</v>
      </c>
      <c r="C1809" s="217">
        <v>2018</v>
      </c>
      <c r="D1809" s="217">
        <f>C1809+1</f>
        <v>2019</v>
      </c>
      <c r="E1809" s="217">
        <f>D1809+1</f>
        <v>2020</v>
      </c>
      <c r="F1809" s="217">
        <f>E1809+1</f>
        <v>2021</v>
      </c>
      <c r="G1809" s="42"/>
      <c r="H1809" s="217">
        <v>2018</v>
      </c>
      <c r="I1809" s="217">
        <f>H1809+1</f>
        <v>2019</v>
      </c>
      <c r="J1809" s="217">
        <f>I1809+1</f>
        <v>2020</v>
      </c>
      <c r="K1809" s="217">
        <f>J1809+1</f>
        <v>2021</v>
      </c>
    </row>
    <row r="1810" spans="2:11" ht="15.75">
      <c r="B1810" s="66" t="s">
        <v>145</v>
      </c>
      <c r="C1810" s="125">
        <f>Master!Q65/Master!Q$92</f>
        <v>771.68831168831173</v>
      </c>
      <c r="D1810" s="125">
        <f>Master!R65/Master!R$92</f>
        <v>656.20779220779218</v>
      </c>
      <c r="E1810" s="125">
        <f>Master!S65/Master!S$92</f>
        <v>575.45623836126629</v>
      </c>
      <c r="F1810" s="125">
        <f>Master!T65/Master!T$92</f>
        <v>679.25294830758833</v>
      </c>
      <c r="H1810" s="116">
        <f t="shared" ref="H1810:K1816" si="118">C1810/C$1816</f>
        <v>0.49368152453640385</v>
      </c>
      <c r="I1810" s="116">
        <f t="shared" si="118"/>
        <v>0.39970323490345844</v>
      </c>
      <c r="J1810" s="116">
        <f t="shared" si="118"/>
        <v>0.3861122705703664</v>
      </c>
      <c r="K1810" s="116">
        <f t="shared" si="118"/>
        <v>0.37398457650585298</v>
      </c>
    </row>
    <row r="1811" spans="2:11" ht="15.75">
      <c r="B1811" s="66" t="str">
        <f>B1801</f>
        <v>Sky (58.7%)</v>
      </c>
      <c r="C1811" s="125">
        <f>Master!Q67*0.587/Master!Q$92</f>
        <v>297.83007792207786</v>
      </c>
      <c r="D1811" s="125">
        <f>Master!R67*0.587/Master!R$92</f>
        <v>278.13127272727274</v>
      </c>
      <c r="E1811" s="125">
        <f>Master!S67*0.587/Master!S$92</f>
        <v>249.66082867783982</v>
      </c>
      <c r="F1811" s="125">
        <f>Master!T67*0.587/Master!T$92</f>
        <v>246.08514520643513</v>
      </c>
      <c r="H1811" s="116">
        <f t="shared" si="118"/>
        <v>0.19053444855175505</v>
      </c>
      <c r="I1811" s="116">
        <f t="shared" si="118"/>
        <v>0.16941275424797808</v>
      </c>
      <c r="J1811" s="116">
        <f t="shared" si="118"/>
        <v>0.1675142313302419</v>
      </c>
      <c r="K1811" s="116">
        <f t="shared" si="118"/>
        <v>0.13549009841431681</v>
      </c>
    </row>
    <row r="1812" spans="2:11" ht="15.75">
      <c r="B1812" s="66" t="str">
        <f>B1802</f>
        <v>Cable and Telecom (blended 84%)</v>
      </c>
      <c r="C1812" s="125">
        <f>Master!Q68*0.84/Master!Q$92</f>
        <v>667.76727272727271</v>
      </c>
      <c r="D1812" s="125">
        <f>Master!R68*0.84/Master!R$92</f>
        <v>776.64</v>
      </c>
      <c r="E1812" s="125">
        <f>Master!S68*0.84/Master!S$92</f>
        <v>739.03966480446923</v>
      </c>
      <c r="F1812" s="125">
        <f>Master!T68*0.84/Master!T$92</f>
        <v>839.97842277322877</v>
      </c>
      <c r="H1812" s="116">
        <f t="shared" si="118"/>
        <v>0.42719885767645194</v>
      </c>
      <c r="I1812" s="116">
        <f t="shared" si="118"/>
        <v>0.47305978996531611</v>
      </c>
      <c r="J1812" s="116">
        <f t="shared" si="118"/>
        <v>0.49587138690479277</v>
      </c>
      <c r="K1812" s="116">
        <f t="shared" si="118"/>
        <v>0.46247716038274406</v>
      </c>
    </row>
    <row r="1813" spans="2:11" ht="15.75">
      <c r="B1813" s="66" t="str">
        <f>B1803</f>
        <v>Other Businesses</v>
      </c>
      <c r="C1813" s="125">
        <f>Master!Q69/Master!Q$92</f>
        <v>39.168831168831169</v>
      </c>
      <c r="D1813" s="125">
        <f>Master!R69/Master!R$92</f>
        <v>76.051948051948045</v>
      </c>
      <c r="E1813" s="125">
        <f>Master!S69/Master!S$92</f>
        <v>5.4236499068901303</v>
      </c>
      <c r="F1813" s="125">
        <f>Master!T69/Master!T$92</f>
        <v>44.726482328142453</v>
      </c>
      <c r="H1813" s="116">
        <f t="shared" si="118"/>
        <v>2.5057951497842373E-2</v>
      </c>
      <c r="I1813" s="116">
        <f t="shared" si="118"/>
        <v>4.6324060789951167E-2</v>
      </c>
      <c r="J1813" s="116">
        <f t="shared" si="118"/>
        <v>3.6390912822347812E-3</v>
      </c>
      <c r="K1813" s="116">
        <f t="shared" si="118"/>
        <v>2.4625604634861777E-2</v>
      </c>
    </row>
    <row r="1814" spans="2:11" ht="15.75">
      <c r="B1814" s="66" t="str">
        <f>Master!B71</f>
        <v>Corporate Expenses</v>
      </c>
      <c r="C1814" s="125">
        <f>Master!Q71/Master!Q$92</f>
        <v>-111.94805194805195</v>
      </c>
      <c r="D1814" s="125">
        <f>Master!R71/Master!R$92</f>
        <v>-98.077922077922082</v>
      </c>
      <c r="E1814" s="125">
        <f>Master!S71/Master!S$92</f>
        <v>-87.658286778398519</v>
      </c>
      <c r="F1814" s="125">
        <f>Master!T71/Master!T$92</f>
        <v>-108.62427401086951</v>
      </c>
      <c r="H1814" s="116">
        <f t="shared" si="118"/>
        <v>-7.1617885249138355E-2</v>
      </c>
      <c r="I1814" s="116">
        <f t="shared" si="118"/>
        <v>-5.9740318832942493E-2</v>
      </c>
      <c r="J1814" s="116">
        <f t="shared" si="118"/>
        <v>-5.8815836698024641E-2</v>
      </c>
      <c r="K1814" s="116">
        <f t="shared" si="118"/>
        <v>-5.9806590778042464E-2</v>
      </c>
    </row>
    <row r="1815" spans="2:11" ht="15.75">
      <c r="B1815" s="67" t="str">
        <f>Master!B72</f>
        <v>Other expenses</v>
      </c>
      <c r="C1815" s="154">
        <f>Master!Q72/Master!Q$92</f>
        <v>-101.37662337662339</v>
      </c>
      <c r="D1815" s="154">
        <f>Master!R72/Master!R$92</f>
        <v>-47.215584415584416</v>
      </c>
      <c r="E1815" s="154">
        <f>Master!S72/Master!S$92</f>
        <v>8.4636871508379894</v>
      </c>
      <c r="F1815" s="154">
        <f>Master!T72/Master!T$92</f>
        <v>114.84053039969213</v>
      </c>
      <c r="H1815" s="123">
        <f t="shared" si="118"/>
        <v>-6.4854897013314858E-2</v>
      </c>
      <c r="I1815" s="123">
        <f t="shared" si="118"/>
        <v>-2.8759521073761351E-2</v>
      </c>
      <c r="J1815" s="123">
        <f t="shared" si="118"/>
        <v>5.6788566103886983E-3</v>
      </c>
      <c r="K1815" s="123">
        <f t="shared" si="118"/>
        <v>6.3229150840266715E-2</v>
      </c>
    </row>
    <row r="1816" spans="2:11" ht="15.75">
      <c r="B1816" s="66" t="str">
        <f>Master!B73</f>
        <v>Clean EBITDA</v>
      </c>
      <c r="C1816" s="125">
        <f>C1810+C1811+C1812+C1813+C1814+C1815</f>
        <v>1563.1298181818181</v>
      </c>
      <c r="D1816" s="125">
        <f>D1810+D1811+D1812+D1813+D1814+D1815</f>
        <v>1641.7375064935065</v>
      </c>
      <c r="E1816" s="125">
        <f>E1810+E1811+E1812+E1813+E1814+E1815</f>
        <v>1490.3857821229051</v>
      </c>
      <c r="F1816" s="125">
        <f>F1810+F1811+F1812+F1813+F1814+F1815</f>
        <v>1816.2592550042175</v>
      </c>
      <c r="H1816" s="116">
        <f t="shared" si="118"/>
        <v>1</v>
      </c>
      <c r="I1816" s="116">
        <f t="shared" si="118"/>
        <v>1</v>
      </c>
      <c r="J1816" s="116">
        <f t="shared" si="118"/>
        <v>1</v>
      </c>
      <c r="K1816" s="116">
        <f t="shared" si="118"/>
        <v>1</v>
      </c>
    </row>
    <row r="1817" spans="2:11" ht="15.75">
      <c r="B1817" s="66"/>
      <c r="C1817" s="125"/>
      <c r="D1817" s="125"/>
      <c r="E1817" s="125"/>
      <c r="F1817" s="125"/>
      <c r="H1817" s="116"/>
      <c r="I1817" s="116"/>
      <c r="J1817" s="116"/>
      <c r="K1817" s="116"/>
    </row>
    <row r="1818" spans="2:11" ht="15.75">
      <c r="B1818" s="66"/>
      <c r="C1818" s="470"/>
      <c r="D1818" s="470"/>
      <c r="E1818" s="470"/>
      <c r="F1818" s="470"/>
      <c r="G1818" s="42"/>
      <c r="H1818" s="391" t="s">
        <v>4865</v>
      </c>
      <c r="I1818" s="391" t="s">
        <v>4865</v>
      </c>
      <c r="J1818" s="391" t="s">
        <v>4865</v>
      </c>
      <c r="K1818" s="391" t="s">
        <v>4865</v>
      </c>
    </row>
    <row r="1819" spans="2:11" ht="15.75">
      <c r="B1819" s="217" t="s">
        <v>4869</v>
      </c>
      <c r="C1819" s="217">
        <v>2018</v>
      </c>
      <c r="D1819" s="217">
        <f>C1819+1</f>
        <v>2019</v>
      </c>
      <c r="E1819" s="217">
        <f>D1819+1</f>
        <v>2020</v>
      </c>
      <c r="F1819" s="217">
        <f>E1819+1</f>
        <v>2021</v>
      </c>
      <c r="G1819" s="42"/>
      <c r="H1819" s="217">
        <v>2018</v>
      </c>
      <c r="I1819" s="217">
        <f>H1819+1</f>
        <v>2019</v>
      </c>
      <c r="J1819" s="217">
        <f>I1819+1</f>
        <v>2020</v>
      </c>
      <c r="K1819" s="217">
        <f>J1819+1</f>
        <v>2021</v>
      </c>
    </row>
    <row r="1820" spans="2:11" ht="15.75">
      <c r="B1820" s="66" t="s">
        <v>4866</v>
      </c>
      <c r="C1820" s="125">
        <f>Master!Q87/Master!Q$92</f>
        <v>94.8</v>
      </c>
      <c r="D1820" s="125">
        <f>Master!R87/Master!R$92</f>
        <v>107.80000000000001</v>
      </c>
      <c r="E1820" s="125">
        <f>Master!S87/Master!S$92</f>
        <v>26.7</v>
      </c>
      <c r="F1820" s="125">
        <f>Master!T87/Master!T$92</f>
        <v>50.5</v>
      </c>
      <c r="H1820" s="116">
        <f t="shared" ref="H1820:K1823" si="119">C1820/C$1823</f>
        <v>0.12209647373019669</v>
      </c>
      <c r="I1820" s="116">
        <f t="shared" si="119"/>
        <v>0.17221963147235486</v>
      </c>
      <c r="J1820" s="116">
        <f t="shared" si="119"/>
        <v>3.6571965821237881E-2</v>
      </c>
      <c r="K1820" s="116">
        <f t="shared" si="119"/>
        <v>5.53991276776565E-2</v>
      </c>
    </row>
    <row r="1821" spans="2:11" ht="15.75">
      <c r="B1821" s="66" t="str">
        <f>B1811</f>
        <v>Sky (58.7%)</v>
      </c>
      <c r="C1821" s="125">
        <f>Master!Q88*0.587/Master!Q$92</f>
        <v>123.03519999999997</v>
      </c>
      <c r="D1821" s="125">
        <f>Master!R88*0.587/Master!R$92</f>
        <v>122.74169999999999</v>
      </c>
      <c r="E1821" s="125">
        <f>Master!S88*0.587/Master!S$92</f>
        <v>146.8674</v>
      </c>
      <c r="F1821" s="125">
        <f>Master!T88*0.587/Master!T$92</f>
        <v>143.28669999999997</v>
      </c>
      <c r="H1821" s="116">
        <f t="shared" si="119"/>
        <v>0.15846164625199888</v>
      </c>
      <c r="I1821" s="116">
        <f t="shared" si="119"/>
        <v>0.1960902628969419</v>
      </c>
      <c r="J1821" s="116">
        <f t="shared" si="119"/>
        <v>0.2011696454327368</v>
      </c>
      <c r="K1821" s="116">
        <f t="shared" si="119"/>
        <v>0.15718729084772401</v>
      </c>
    </row>
    <row r="1822" spans="2:11" ht="15.75">
      <c r="B1822" s="67" t="str">
        <f>B1812</f>
        <v>Cable and Telecom (blended 84%)</v>
      </c>
      <c r="C1822" s="154">
        <f>Master!Q89*0.84/Master!Q$92</f>
        <v>558.59999999999991</v>
      </c>
      <c r="D1822" s="125">
        <f>Master!R89*0.587/Master!R$92</f>
        <v>395.40319999999997</v>
      </c>
      <c r="E1822" s="154">
        <f>Master!S89*0.84/Master!S$92</f>
        <v>556.49999999999989</v>
      </c>
      <c r="F1822" s="154">
        <f>Master!T89*0.84/Master!T$92</f>
        <v>717.78</v>
      </c>
      <c r="H1822" s="123">
        <f t="shared" si="119"/>
        <v>0.7194418800178044</v>
      </c>
      <c r="I1822" s="123">
        <f t="shared" si="119"/>
        <v>0.63169010563070327</v>
      </c>
      <c r="J1822" s="123">
        <f t="shared" si="119"/>
        <v>0.76225838874602536</v>
      </c>
      <c r="K1822" s="123">
        <f t="shared" si="119"/>
        <v>0.78741358147461948</v>
      </c>
    </row>
    <row r="1823" spans="2:11" ht="15.75">
      <c r="B1823" s="66" t="s">
        <v>201</v>
      </c>
      <c r="C1823" s="125">
        <f>C1820+C1821+C1822</f>
        <v>776.4351999999999</v>
      </c>
      <c r="D1823" s="125">
        <f>D1820+D1821+D1822</f>
        <v>625.94489999999996</v>
      </c>
      <c r="E1823" s="125">
        <f>E1820+E1821+E1822</f>
        <v>730.06739999999991</v>
      </c>
      <c r="F1823" s="125">
        <f>F1820+F1821+F1822</f>
        <v>911.56669999999997</v>
      </c>
      <c r="H1823" s="116">
        <f t="shared" si="119"/>
        <v>1</v>
      </c>
      <c r="I1823" s="116">
        <f t="shared" si="119"/>
        <v>1</v>
      </c>
      <c r="J1823" s="116">
        <f t="shared" si="119"/>
        <v>1</v>
      </c>
      <c r="K1823" s="116">
        <f t="shared" si="119"/>
        <v>1</v>
      </c>
    </row>
    <row r="1824" spans="2:11" ht="15.75">
      <c r="B1824" s="66"/>
      <c r="C1824" s="470"/>
      <c r="D1824" s="470"/>
      <c r="E1824" s="470"/>
      <c r="F1824" s="470"/>
      <c r="G1824" s="42"/>
    </row>
    <row r="1825" spans="2:15" ht="15.75">
      <c r="B1825" s="66"/>
      <c r="C1825" s="470"/>
      <c r="D1825" s="470"/>
      <c r="E1825" s="470"/>
      <c r="F1825" s="470"/>
      <c r="G1825" s="42"/>
      <c r="H1825" s="391" t="s">
        <v>4865</v>
      </c>
      <c r="I1825" s="391" t="s">
        <v>4865</v>
      </c>
      <c r="J1825" s="391" t="s">
        <v>4865</v>
      </c>
      <c r="K1825" s="391" t="s">
        <v>4865</v>
      </c>
    </row>
    <row r="1826" spans="2:15" ht="15.75">
      <c r="B1826" s="217" t="s">
        <v>4870</v>
      </c>
      <c r="C1826" s="217">
        <v>2018</v>
      </c>
      <c r="D1826" s="217">
        <f>C1826+1</f>
        <v>2019</v>
      </c>
      <c r="E1826" s="217">
        <f>D1826+1</f>
        <v>2020</v>
      </c>
      <c r="F1826" s="217">
        <f>E1826+1</f>
        <v>2021</v>
      </c>
      <c r="G1826" s="42"/>
      <c r="H1826" s="217">
        <v>2018</v>
      </c>
      <c r="I1826" s="217">
        <f>H1826+1</f>
        <v>2019</v>
      </c>
      <c r="J1826" s="217">
        <f>I1826+1</f>
        <v>2020</v>
      </c>
      <c r="K1826" s="217">
        <f>J1826+1</f>
        <v>2021</v>
      </c>
    </row>
    <row r="1827" spans="2:15" ht="15.75">
      <c r="B1827" s="66" t="str">
        <f>B1820</f>
        <v>Content / other</v>
      </c>
      <c r="C1827" s="125">
        <f>(C1810+C1813+C1814+C1815)-C1820</f>
        <v>502.73246753246764</v>
      </c>
      <c r="D1827" s="125">
        <f>(D1810+D1813+D1814+D1815)-D1820</f>
        <v>479.1662337662338</v>
      </c>
      <c r="E1827" s="125">
        <f>(E1810+E1813+E1814+E1815)-E1820</f>
        <v>474.98528864059585</v>
      </c>
      <c r="F1827" s="125">
        <f>(F1810+F1813+F1814+F1815)-F1820</f>
        <v>679.69568702455342</v>
      </c>
      <c r="H1827" s="116">
        <f t="shared" ref="H1827:K1830" si="120">C1827/C$1830</f>
        <v>0.63904398976869281</v>
      </c>
      <c r="I1827" s="116">
        <f t="shared" si="120"/>
        <v>0.47171659913956743</v>
      </c>
      <c r="J1827" s="116">
        <f t="shared" si="120"/>
        <v>0.62471893328999484</v>
      </c>
      <c r="K1827" s="116">
        <f t="shared" si="120"/>
        <v>0.75130018840641932</v>
      </c>
    </row>
    <row r="1828" spans="2:15" ht="15.75">
      <c r="B1828" s="66" t="str">
        <f>B1821</f>
        <v>Sky (58.7%)</v>
      </c>
      <c r="C1828" s="125">
        <f t="shared" ref="C1828:F1829" si="121">C1811-C1821</f>
        <v>174.79487792207789</v>
      </c>
      <c r="D1828" s="125">
        <f t="shared" si="121"/>
        <v>155.38957272727276</v>
      </c>
      <c r="E1828" s="125">
        <f t="shared" si="121"/>
        <v>102.79342867783981</v>
      </c>
      <c r="F1828" s="125">
        <f t="shared" si="121"/>
        <v>102.79844520643516</v>
      </c>
      <c r="H1828" s="116">
        <f t="shared" si="120"/>
        <v>0.2221889839872781</v>
      </c>
      <c r="I1828" s="116">
        <f t="shared" si="120"/>
        <v>0.15297371897958001</v>
      </c>
      <c r="J1828" s="116">
        <f t="shared" si="120"/>
        <v>0.13519787380495468</v>
      </c>
      <c r="K1828" s="116">
        <f t="shared" si="120"/>
        <v>0.11362804373465409</v>
      </c>
    </row>
    <row r="1829" spans="2:15" ht="15.75">
      <c r="B1829" s="67" t="str">
        <f>B1822</f>
        <v>Cable and Telecom (blended 84%)</v>
      </c>
      <c r="C1829" s="154">
        <f t="shared" si="121"/>
        <v>109.1672727272728</v>
      </c>
      <c r="D1829" s="154">
        <f t="shared" si="121"/>
        <v>381.23680000000002</v>
      </c>
      <c r="E1829" s="154">
        <f t="shared" si="121"/>
        <v>182.53966480446934</v>
      </c>
      <c r="F1829" s="154">
        <f t="shared" si="121"/>
        <v>122.1984227732288</v>
      </c>
      <c r="H1829" s="123">
        <f t="shared" si="120"/>
        <v>0.13876702624402906</v>
      </c>
      <c r="I1829" s="123">
        <f t="shared" si="120"/>
        <v>0.37530968188085256</v>
      </c>
      <c r="J1829" s="123">
        <f t="shared" si="120"/>
        <v>0.24008319290505056</v>
      </c>
      <c r="K1829" s="123">
        <f t="shared" si="120"/>
        <v>0.13507176785892655</v>
      </c>
    </row>
    <row r="1830" spans="2:15" ht="15.75">
      <c r="B1830" s="66" t="s">
        <v>203</v>
      </c>
      <c r="C1830" s="125">
        <f>C1827+C1828+C1829</f>
        <v>786.69461818181833</v>
      </c>
      <c r="D1830" s="125">
        <f>D1827+D1828+D1829</f>
        <v>1015.7926064935066</v>
      </c>
      <c r="E1830" s="125">
        <f>E1827+E1828+E1829</f>
        <v>760.31838212290495</v>
      </c>
      <c r="F1830" s="125">
        <f>F1827+F1828+F1829</f>
        <v>904.69255500421741</v>
      </c>
      <c r="H1830" s="116">
        <f t="shared" si="120"/>
        <v>1</v>
      </c>
      <c r="I1830" s="116">
        <f t="shared" si="120"/>
        <v>1</v>
      </c>
      <c r="J1830" s="116">
        <f t="shared" si="120"/>
        <v>1</v>
      </c>
      <c r="K1830" s="116">
        <f t="shared" si="120"/>
        <v>1</v>
      </c>
    </row>
    <row r="1832" spans="2:15">
      <c r="B1832" s="577"/>
      <c r="C1832" s="578"/>
      <c r="D1832" s="579" t="s">
        <v>651</v>
      </c>
      <c r="E1832" s="579" t="s">
        <v>651</v>
      </c>
      <c r="F1832" s="579" t="s">
        <v>651</v>
      </c>
      <c r="G1832" s="145"/>
      <c r="L1832" s="578"/>
      <c r="M1832" s="579" t="s">
        <v>651</v>
      </c>
      <c r="N1832" s="579" t="s">
        <v>651</v>
      </c>
      <c r="O1832" s="579" t="s">
        <v>651</v>
      </c>
    </row>
    <row r="1833" spans="2:15">
      <c r="B1833" s="580" t="s">
        <v>4871</v>
      </c>
      <c r="C1833" s="574" t="s">
        <v>871</v>
      </c>
      <c r="D1833" s="574" t="s">
        <v>4872</v>
      </c>
      <c r="E1833" s="574" t="s">
        <v>4873</v>
      </c>
      <c r="F1833" s="574" t="s">
        <v>4874</v>
      </c>
      <c r="G1833" s="581" t="s">
        <v>612</v>
      </c>
      <c r="H1833" s="574" t="s">
        <v>74</v>
      </c>
      <c r="I1833" s="574" t="s">
        <v>4089</v>
      </c>
      <c r="L1833" s="574" t="s">
        <v>871</v>
      </c>
      <c r="M1833" s="574" t="s">
        <v>4872</v>
      </c>
      <c r="N1833" s="574" t="s">
        <v>4873</v>
      </c>
      <c r="O1833" s="574" t="s">
        <v>4874</v>
      </c>
    </row>
    <row r="1834" spans="2:15">
      <c r="B1834" s="582"/>
      <c r="G1834" s="132"/>
    </row>
    <row r="1835" spans="2:15">
      <c r="B1835" s="583" t="s">
        <v>4900</v>
      </c>
      <c r="G1835" s="132"/>
    </row>
    <row r="1836" spans="2:15">
      <c r="B1836" s="582" t="s">
        <v>665</v>
      </c>
      <c r="C1836">
        <v>20</v>
      </c>
      <c r="D1836">
        <v>349</v>
      </c>
      <c r="F1836">
        <f>D1836</f>
        <v>349</v>
      </c>
      <c r="G1836" s="132"/>
      <c r="L1836">
        <v>20</v>
      </c>
      <c r="M1836">
        <v>349</v>
      </c>
      <c r="O1836">
        <f>M1836</f>
        <v>349</v>
      </c>
    </row>
    <row r="1837" spans="2:15">
      <c r="B1837" s="582" t="s">
        <v>665</v>
      </c>
      <c r="C1837">
        <v>30</v>
      </c>
      <c r="D1837">
        <v>399</v>
      </c>
      <c r="F1837">
        <f>D1837</f>
        <v>399</v>
      </c>
      <c r="G1837" s="132"/>
    </row>
    <row r="1838" spans="2:15">
      <c r="B1838" s="582" t="s">
        <v>665</v>
      </c>
      <c r="C1838">
        <v>100</v>
      </c>
      <c r="D1838">
        <v>549</v>
      </c>
      <c r="F1838">
        <f>D1838</f>
        <v>549</v>
      </c>
      <c r="G1838" s="132"/>
      <c r="L1838">
        <v>100</v>
      </c>
      <c r="M1838">
        <v>549</v>
      </c>
      <c r="O1838">
        <f>M1838</f>
        <v>549</v>
      </c>
    </row>
    <row r="1839" spans="2:15">
      <c r="B1839" s="582" t="s">
        <v>665</v>
      </c>
      <c r="C1839">
        <v>200</v>
      </c>
      <c r="D1839">
        <v>899</v>
      </c>
      <c r="F1839">
        <f>D1839</f>
        <v>899</v>
      </c>
      <c r="G1839" s="132"/>
    </row>
    <row r="1840" spans="2:15">
      <c r="B1840" s="582"/>
      <c r="D1840" t="s">
        <v>84</v>
      </c>
      <c r="G1840" s="132"/>
    </row>
    <row r="1841" spans="2:15">
      <c r="B1841" s="583" t="s">
        <v>4878</v>
      </c>
      <c r="G1841" s="132"/>
      <c r="H1841" s="3"/>
      <c r="I1841" s="3"/>
    </row>
    <row r="1842" spans="2:15">
      <c r="B1842" s="582" t="s">
        <v>665</v>
      </c>
      <c r="C1842">
        <v>20</v>
      </c>
      <c r="D1842">
        <v>389</v>
      </c>
      <c r="E1842">
        <v>389</v>
      </c>
      <c r="F1842" s="4">
        <f>((E1842*3)+(D1842*9))/12</f>
        <v>389</v>
      </c>
      <c r="G1842" s="133" t="s">
        <v>747</v>
      </c>
      <c r="I1842" s="136" t="s">
        <v>5459</v>
      </c>
      <c r="J1842" s="3"/>
      <c r="L1842">
        <v>10</v>
      </c>
      <c r="M1842">
        <v>389</v>
      </c>
      <c r="O1842" s="4">
        <f>M1842</f>
        <v>389</v>
      </c>
    </row>
    <row r="1843" spans="2:15">
      <c r="B1843" s="582" t="s">
        <v>665</v>
      </c>
      <c r="C1843">
        <v>30</v>
      </c>
      <c r="D1843">
        <v>435</v>
      </c>
      <c r="E1843">
        <v>389</v>
      </c>
      <c r="F1843" s="4">
        <f>((E1843*3)+(D1843*9))/12</f>
        <v>423.5</v>
      </c>
      <c r="G1843" s="133" t="s">
        <v>747</v>
      </c>
      <c r="I1843" s="136" t="s">
        <v>5459</v>
      </c>
      <c r="J1843" s="3"/>
      <c r="L1843">
        <v>20</v>
      </c>
      <c r="M1843">
        <v>435</v>
      </c>
      <c r="N1843">
        <v>389</v>
      </c>
      <c r="O1843" s="4">
        <f>(9*M1843+3*N1843)/12</f>
        <v>423.5</v>
      </c>
    </row>
    <row r="1844" spans="2:15">
      <c r="B1844" s="582" t="s">
        <v>665</v>
      </c>
      <c r="C1844">
        <v>40</v>
      </c>
      <c r="D1844">
        <v>499</v>
      </c>
      <c r="E1844">
        <v>435</v>
      </c>
      <c r="F1844" s="4">
        <f>((E1844*3)+(D1844*9))/12</f>
        <v>483</v>
      </c>
      <c r="G1844" s="133" t="s">
        <v>747</v>
      </c>
      <c r="I1844" s="136" t="s">
        <v>5459</v>
      </c>
      <c r="J1844" s="3"/>
      <c r="O1844" s="4"/>
    </row>
    <row r="1845" spans="2:15">
      <c r="B1845" s="582" t="s">
        <v>665</v>
      </c>
      <c r="C1845">
        <v>150</v>
      </c>
      <c r="D1845">
        <v>599</v>
      </c>
      <c r="E1845">
        <v>499</v>
      </c>
      <c r="F1845" s="4">
        <f>((E1845*3)+(D1845*9))/12</f>
        <v>574</v>
      </c>
      <c r="G1845" s="133" t="s">
        <v>747</v>
      </c>
      <c r="I1845" s="136" t="s">
        <v>5459</v>
      </c>
      <c r="J1845" s="3"/>
      <c r="L1845">
        <v>50</v>
      </c>
      <c r="M1845">
        <v>599</v>
      </c>
      <c r="N1845">
        <v>499</v>
      </c>
      <c r="O1845" s="4">
        <f>(9*M1845+3*N1845)/12</f>
        <v>574</v>
      </c>
    </row>
    <row r="1846" spans="2:15">
      <c r="B1846" s="582" t="s">
        <v>665</v>
      </c>
      <c r="C1846">
        <v>200</v>
      </c>
      <c r="D1846">
        <v>999</v>
      </c>
      <c r="E1846">
        <v>999</v>
      </c>
      <c r="F1846" s="4">
        <f>((E1846*3)+(D1846*9))/12</f>
        <v>999</v>
      </c>
      <c r="G1846" s="133" t="s">
        <v>747</v>
      </c>
      <c r="I1846" s="136" t="s">
        <v>5459</v>
      </c>
      <c r="J1846" s="3"/>
      <c r="L1846">
        <v>200</v>
      </c>
      <c r="M1846">
        <v>999</v>
      </c>
      <c r="O1846" s="4">
        <f>M1846</f>
        <v>999</v>
      </c>
    </row>
    <row r="1847" spans="2:15">
      <c r="B1847" s="582"/>
      <c r="F1847" s="4"/>
      <c r="G1847" s="133"/>
      <c r="H1847" s="3"/>
      <c r="I1847" s="3"/>
      <c r="O1847" s="4"/>
    </row>
    <row r="1848" spans="2:15">
      <c r="B1848" s="582" t="s">
        <v>2335</v>
      </c>
      <c r="C1848">
        <v>30</v>
      </c>
      <c r="D1848">
        <v>399</v>
      </c>
      <c r="E1848">
        <v>349</v>
      </c>
      <c r="F1848">
        <f>E1848</f>
        <v>349</v>
      </c>
      <c r="G1848" s="133" t="s">
        <v>747</v>
      </c>
      <c r="H1848" s="3"/>
      <c r="I1848" s="136" t="s">
        <v>5457</v>
      </c>
      <c r="L1848">
        <v>30</v>
      </c>
      <c r="M1848">
        <v>449</v>
      </c>
      <c r="O1848">
        <f>M1848</f>
        <v>449</v>
      </c>
    </row>
    <row r="1849" spans="2:15">
      <c r="B1849" s="582" t="s">
        <v>2335</v>
      </c>
      <c r="C1849">
        <v>50</v>
      </c>
      <c r="D1849">
        <v>449</v>
      </c>
      <c r="E1849">
        <v>399</v>
      </c>
      <c r="F1849">
        <f>E1849</f>
        <v>399</v>
      </c>
      <c r="G1849" s="133" t="s">
        <v>747</v>
      </c>
      <c r="H1849" s="3"/>
      <c r="I1849" s="136" t="s">
        <v>5457</v>
      </c>
      <c r="L1849">
        <v>50</v>
      </c>
      <c r="M1849">
        <v>549</v>
      </c>
      <c r="O1849">
        <f>M1849</f>
        <v>549</v>
      </c>
    </row>
    <row r="1850" spans="2:15">
      <c r="B1850" s="582" t="s">
        <v>2335</v>
      </c>
      <c r="C1850">
        <v>100</v>
      </c>
      <c r="D1850">
        <v>549</v>
      </c>
      <c r="E1850">
        <v>499</v>
      </c>
      <c r="F1850">
        <f>E1850</f>
        <v>499</v>
      </c>
      <c r="G1850" s="133" t="s">
        <v>747</v>
      </c>
      <c r="H1850" s="3"/>
      <c r="I1850" s="136" t="s">
        <v>5457</v>
      </c>
    </row>
    <row r="1851" spans="2:15">
      <c r="B1851" s="582" t="s">
        <v>2335</v>
      </c>
      <c r="C1851">
        <v>200</v>
      </c>
      <c r="D1851">
        <v>749</v>
      </c>
      <c r="E1851">
        <v>699</v>
      </c>
      <c r="F1851">
        <f>E1851</f>
        <v>699</v>
      </c>
      <c r="G1851" s="133" t="s">
        <v>747</v>
      </c>
      <c r="H1851" s="3"/>
      <c r="I1851" s="136" t="s">
        <v>5457</v>
      </c>
    </row>
    <row r="1852" spans="2:15">
      <c r="B1852" s="582" t="s">
        <v>2335</v>
      </c>
      <c r="C1852">
        <v>500</v>
      </c>
      <c r="D1852">
        <v>1149</v>
      </c>
      <c r="E1852">
        <v>1099</v>
      </c>
      <c r="F1852">
        <f>E1852</f>
        <v>1099</v>
      </c>
      <c r="G1852" s="133" t="s">
        <v>747</v>
      </c>
      <c r="H1852" s="3"/>
      <c r="I1852" s="136" t="s">
        <v>5457</v>
      </c>
    </row>
    <row r="1853" spans="2:15">
      <c r="B1853" s="582"/>
      <c r="G1853" s="133"/>
      <c r="H1853" s="3"/>
      <c r="I1853" s="3"/>
    </row>
    <row r="1854" spans="2:15">
      <c r="B1854" s="582" t="s">
        <v>1909</v>
      </c>
      <c r="C1854">
        <v>5</v>
      </c>
      <c r="D1854">
        <v>230</v>
      </c>
      <c r="F1854">
        <f>D1854</f>
        <v>230</v>
      </c>
      <c r="G1854" s="133" t="s">
        <v>747</v>
      </c>
      <c r="H1854" s="3"/>
      <c r="I1854" s="3"/>
    </row>
    <row r="1855" spans="2:15">
      <c r="B1855" s="582" t="s">
        <v>1909</v>
      </c>
      <c r="C1855">
        <v>30</v>
      </c>
      <c r="D1855">
        <v>370</v>
      </c>
      <c r="F1855">
        <f>D1855</f>
        <v>370</v>
      </c>
      <c r="G1855" s="133" t="s">
        <v>747</v>
      </c>
      <c r="H1855" s="3"/>
      <c r="I1855" s="3"/>
      <c r="L1855">
        <v>15</v>
      </c>
      <c r="M1855">
        <v>400</v>
      </c>
      <c r="O1855">
        <f>M1855</f>
        <v>400</v>
      </c>
    </row>
    <row r="1856" spans="2:15">
      <c r="B1856" s="582" t="s">
        <v>1909</v>
      </c>
      <c r="C1856">
        <v>60</v>
      </c>
      <c r="D1856">
        <v>470</v>
      </c>
      <c r="F1856">
        <f>D1856</f>
        <v>470</v>
      </c>
      <c r="G1856" s="133" t="s">
        <v>747</v>
      </c>
      <c r="H1856" s="3"/>
      <c r="I1856" s="3"/>
      <c r="L1856">
        <v>25</v>
      </c>
      <c r="M1856">
        <v>440</v>
      </c>
      <c r="O1856">
        <f>M1856</f>
        <v>440</v>
      </c>
    </row>
    <row r="1857" spans="2:15">
      <c r="B1857" s="582" t="s">
        <v>1909</v>
      </c>
      <c r="C1857">
        <v>125</v>
      </c>
      <c r="D1857">
        <v>550</v>
      </c>
      <c r="F1857">
        <f>D1857</f>
        <v>550</v>
      </c>
      <c r="G1857" s="133" t="s">
        <v>747</v>
      </c>
      <c r="H1857" s="3"/>
      <c r="I1857" s="3"/>
      <c r="L1857">
        <v>55</v>
      </c>
      <c r="M1857">
        <v>550</v>
      </c>
      <c r="O1857">
        <f>M1857</f>
        <v>550</v>
      </c>
    </row>
    <row r="1858" spans="2:15">
      <c r="B1858" s="582"/>
      <c r="G1858" s="133"/>
      <c r="H1858" s="3"/>
      <c r="I1858" s="3"/>
    </row>
    <row r="1859" spans="2:15">
      <c r="B1859" s="582" t="s">
        <v>866</v>
      </c>
      <c r="C1859">
        <v>40</v>
      </c>
      <c r="D1859">
        <v>549</v>
      </c>
      <c r="E1859">
        <v>479</v>
      </c>
      <c r="F1859">
        <f t="shared" ref="F1859:F1864" si="122">((D1859*6)+(E1859*6))/12</f>
        <v>514</v>
      </c>
      <c r="G1859" s="133" t="s">
        <v>747</v>
      </c>
      <c r="H1859" s="3"/>
      <c r="I1859" s="136" t="s">
        <v>5458</v>
      </c>
      <c r="L1859">
        <v>40</v>
      </c>
      <c r="M1859">
        <v>549</v>
      </c>
      <c r="N1859">
        <v>499</v>
      </c>
      <c r="O1859">
        <f t="shared" ref="O1859:O1864" si="123">N1859</f>
        <v>499</v>
      </c>
    </row>
    <row r="1860" spans="2:15">
      <c r="B1860" s="582" t="s">
        <v>866</v>
      </c>
      <c r="C1860">
        <v>80</v>
      </c>
      <c r="D1860">
        <v>649</v>
      </c>
      <c r="E1860">
        <v>579</v>
      </c>
      <c r="F1860">
        <f t="shared" si="122"/>
        <v>614</v>
      </c>
      <c r="G1860" s="133" t="s">
        <v>747</v>
      </c>
      <c r="H1860" s="3"/>
      <c r="I1860" s="136" t="s">
        <v>5458</v>
      </c>
      <c r="L1860">
        <v>80</v>
      </c>
      <c r="M1860">
        <v>649</v>
      </c>
      <c r="N1860">
        <v>599</v>
      </c>
      <c r="O1860">
        <f t="shared" si="123"/>
        <v>599</v>
      </c>
    </row>
    <row r="1861" spans="2:15">
      <c r="B1861" s="582" t="s">
        <v>866</v>
      </c>
      <c r="C1861">
        <v>150</v>
      </c>
      <c r="D1861">
        <v>929</v>
      </c>
      <c r="E1861">
        <v>809</v>
      </c>
      <c r="F1861">
        <f t="shared" si="122"/>
        <v>869</v>
      </c>
      <c r="G1861" s="133" t="s">
        <v>747</v>
      </c>
      <c r="H1861" s="3"/>
      <c r="I1861" s="136" t="s">
        <v>5458</v>
      </c>
      <c r="L1861">
        <v>150</v>
      </c>
      <c r="M1861">
        <v>889</v>
      </c>
      <c r="N1861">
        <v>809</v>
      </c>
      <c r="O1861">
        <f t="shared" si="123"/>
        <v>809</v>
      </c>
    </row>
    <row r="1862" spans="2:15">
      <c r="B1862" s="582" t="s">
        <v>866</v>
      </c>
      <c r="C1862">
        <v>250</v>
      </c>
      <c r="D1862">
        <v>1179</v>
      </c>
      <c r="E1862">
        <v>1039</v>
      </c>
      <c r="F1862">
        <f t="shared" si="122"/>
        <v>1109</v>
      </c>
      <c r="G1862" s="133" t="s">
        <v>747</v>
      </c>
      <c r="H1862" s="3"/>
      <c r="I1862" s="136" t="s">
        <v>5458</v>
      </c>
      <c r="L1862">
        <v>250</v>
      </c>
      <c r="M1862">
        <v>1119</v>
      </c>
      <c r="N1862">
        <v>1039</v>
      </c>
      <c r="O1862">
        <f t="shared" si="123"/>
        <v>1039</v>
      </c>
    </row>
    <row r="1863" spans="2:15">
      <c r="B1863" s="582" t="s">
        <v>866</v>
      </c>
      <c r="C1863">
        <v>350</v>
      </c>
      <c r="D1863">
        <v>1429</v>
      </c>
      <c r="E1863">
        <v>1279</v>
      </c>
      <c r="F1863">
        <f t="shared" si="122"/>
        <v>1354</v>
      </c>
      <c r="G1863" s="133" t="s">
        <v>747</v>
      </c>
      <c r="H1863" s="3"/>
      <c r="I1863" s="136" t="s">
        <v>5458</v>
      </c>
      <c r="L1863">
        <v>350</v>
      </c>
      <c r="M1863">
        <v>1359</v>
      </c>
      <c r="N1863">
        <v>1279</v>
      </c>
      <c r="O1863">
        <f t="shared" si="123"/>
        <v>1279</v>
      </c>
    </row>
    <row r="1864" spans="2:15">
      <c r="B1864" s="150" t="s">
        <v>866</v>
      </c>
      <c r="C1864" s="61">
        <v>500</v>
      </c>
      <c r="D1864" s="61">
        <v>1629</v>
      </c>
      <c r="E1864" s="61">
        <v>1469</v>
      </c>
      <c r="F1864" s="61">
        <f t="shared" si="122"/>
        <v>1549</v>
      </c>
      <c r="G1864" s="134" t="s">
        <v>747</v>
      </c>
      <c r="H1864" s="3"/>
      <c r="I1864" s="136" t="s">
        <v>5458</v>
      </c>
      <c r="L1864" s="61">
        <v>500</v>
      </c>
      <c r="M1864" s="61">
        <v>1549</v>
      </c>
      <c r="N1864" s="61">
        <v>1469</v>
      </c>
      <c r="O1864" s="61">
        <f t="shared" si="123"/>
        <v>1469</v>
      </c>
    </row>
    <row r="1865" spans="2:15">
      <c r="G1865" s="3"/>
      <c r="H1865" s="3"/>
      <c r="I1865" s="3"/>
    </row>
    <row r="1866" spans="2:15">
      <c r="B1866" s="577"/>
      <c r="C1866" s="578"/>
      <c r="D1866" s="579" t="s">
        <v>651</v>
      </c>
      <c r="E1866" s="579" t="s">
        <v>651</v>
      </c>
      <c r="F1866" s="579" t="s">
        <v>651</v>
      </c>
      <c r="G1866" s="578"/>
      <c r="H1866" s="135"/>
      <c r="I1866" s="3"/>
    </row>
    <row r="1867" spans="2:15">
      <c r="B1867" s="580" t="s">
        <v>4871</v>
      </c>
      <c r="C1867" s="574" t="s">
        <v>871</v>
      </c>
      <c r="D1867" s="574" t="s">
        <v>4872</v>
      </c>
      <c r="E1867" s="574" t="s">
        <v>4873</v>
      </c>
      <c r="F1867" s="574" t="s">
        <v>4874</v>
      </c>
      <c r="G1867" s="574" t="s">
        <v>612</v>
      </c>
      <c r="H1867" s="581" t="s">
        <v>4907</v>
      </c>
      <c r="I1867" s="3"/>
    </row>
    <row r="1868" spans="2:15">
      <c r="B1868" s="584"/>
      <c r="C1868" s="576"/>
      <c r="D1868" s="576"/>
      <c r="E1868" s="576"/>
      <c r="F1868" s="576"/>
      <c r="G1868" s="576"/>
      <c r="H1868" s="133"/>
      <c r="I1868" s="3"/>
    </row>
    <row r="1869" spans="2:15">
      <c r="B1869" s="583" t="s">
        <v>4879</v>
      </c>
      <c r="G1869" s="3"/>
      <c r="H1869" s="133"/>
      <c r="I1869" s="3"/>
    </row>
    <row r="1870" spans="2:15">
      <c r="B1870" s="582" t="s">
        <v>4905</v>
      </c>
      <c r="C1870">
        <f>C1842</f>
        <v>20</v>
      </c>
      <c r="D1870">
        <f>D1842+$D$1916</f>
        <v>605</v>
      </c>
      <c r="F1870" s="4">
        <f>D1870</f>
        <v>605</v>
      </c>
      <c r="G1870" s="3"/>
      <c r="H1870" s="133" t="str">
        <f>H1916</f>
        <v>57 channels</v>
      </c>
      <c r="I1870" s="3"/>
    </row>
    <row r="1871" spans="2:15">
      <c r="B1871" s="582" t="s">
        <v>4905</v>
      </c>
      <c r="C1871">
        <v>50</v>
      </c>
      <c r="D1871">
        <f>D1845+$D$1916</f>
        <v>815</v>
      </c>
      <c r="E1871">
        <f>E1845+$D$1917</f>
        <v>780</v>
      </c>
      <c r="F1871" s="4">
        <f>(9*D1871+3*E1871)/12</f>
        <v>806.25</v>
      </c>
      <c r="G1871" s="3"/>
      <c r="H1871" s="133" t="str">
        <f>H1916</f>
        <v>57 channels</v>
      </c>
      <c r="I1871" s="3"/>
    </row>
    <row r="1872" spans="2:15">
      <c r="B1872" s="582" t="s">
        <v>4906</v>
      </c>
      <c r="C1872">
        <f>C1871</f>
        <v>50</v>
      </c>
      <c r="D1872">
        <f>D1845+$D$1917</f>
        <v>880</v>
      </c>
      <c r="E1872">
        <f>E1845+$D$1917</f>
        <v>780</v>
      </c>
      <c r="F1872" s="4">
        <f>(9*D1872+3*E1872)/12</f>
        <v>855</v>
      </c>
      <c r="G1872" s="3"/>
      <c r="H1872" s="133" t="str">
        <f>H1917</f>
        <v>74 channels</v>
      </c>
      <c r="I1872" s="3"/>
    </row>
    <row r="1873" spans="2:9">
      <c r="B1873" s="583"/>
      <c r="G1873" s="3"/>
      <c r="H1873" s="133"/>
      <c r="I1873" s="3"/>
    </row>
    <row r="1874" spans="2:9">
      <c r="B1874" s="582" t="s">
        <v>2335</v>
      </c>
      <c r="C1874">
        <v>20</v>
      </c>
      <c r="D1874">
        <v>549</v>
      </c>
      <c r="F1874">
        <f>D1874</f>
        <v>549</v>
      </c>
      <c r="G1874" s="3" t="s">
        <v>747</v>
      </c>
      <c r="H1874" s="133" t="s">
        <v>4875</v>
      </c>
      <c r="I1874" s="3"/>
    </row>
    <row r="1875" spans="2:9">
      <c r="B1875" s="582" t="s">
        <v>2335</v>
      </c>
      <c r="C1875">
        <v>50</v>
      </c>
      <c r="D1875">
        <v>649</v>
      </c>
      <c r="F1875">
        <f>D1875</f>
        <v>649</v>
      </c>
      <c r="G1875" s="3" t="s">
        <v>747</v>
      </c>
      <c r="H1875" s="133" t="s">
        <v>4875</v>
      </c>
      <c r="I1875" s="3"/>
    </row>
    <row r="1876" spans="2:9">
      <c r="B1876" s="582" t="s">
        <v>2335</v>
      </c>
      <c r="C1876">
        <v>80</v>
      </c>
      <c r="D1876">
        <v>749</v>
      </c>
      <c r="F1876">
        <f>D1876</f>
        <v>749</v>
      </c>
      <c r="G1876" s="3" t="s">
        <v>747</v>
      </c>
      <c r="H1876" s="133" t="s">
        <v>4876</v>
      </c>
      <c r="I1876" s="3"/>
    </row>
    <row r="1877" spans="2:9">
      <c r="B1877" s="582" t="s">
        <v>2335</v>
      </c>
      <c r="C1877">
        <v>100</v>
      </c>
      <c r="D1877">
        <v>999</v>
      </c>
      <c r="F1877">
        <f>D1877</f>
        <v>999</v>
      </c>
      <c r="G1877" s="3" t="s">
        <v>747</v>
      </c>
      <c r="H1877" s="133" t="s">
        <v>4877</v>
      </c>
      <c r="I1877" s="3"/>
    </row>
    <row r="1878" spans="2:9">
      <c r="B1878" s="582" t="s">
        <v>2335</v>
      </c>
      <c r="C1878">
        <v>100</v>
      </c>
      <c r="D1878">
        <v>999</v>
      </c>
      <c r="F1878">
        <f>D1878</f>
        <v>999</v>
      </c>
      <c r="G1878" s="3" t="s">
        <v>747</v>
      </c>
      <c r="H1878" s="133" t="s">
        <v>4877</v>
      </c>
      <c r="I1878" s="3"/>
    </row>
    <row r="1879" spans="2:9">
      <c r="B1879" s="582"/>
      <c r="G1879" s="3"/>
      <c r="H1879" s="133"/>
      <c r="I1879" s="3"/>
    </row>
    <row r="1880" spans="2:9">
      <c r="B1880" s="582" t="s">
        <v>1909</v>
      </c>
      <c r="C1880">
        <v>25</v>
      </c>
      <c r="D1880">
        <v>560</v>
      </c>
      <c r="F1880">
        <f>D1880</f>
        <v>560</v>
      </c>
      <c r="G1880" s="3" t="s">
        <v>747</v>
      </c>
      <c r="H1880" s="133" t="s">
        <v>4085</v>
      </c>
      <c r="I1880" s="3" t="s">
        <v>4891</v>
      </c>
    </row>
    <row r="1881" spans="2:9">
      <c r="B1881" s="582" t="s">
        <v>1909</v>
      </c>
      <c r="C1881">
        <v>55</v>
      </c>
      <c r="D1881">
        <v>790</v>
      </c>
      <c r="F1881">
        <f>D1881</f>
        <v>790</v>
      </c>
      <c r="G1881" s="3" t="s">
        <v>747</v>
      </c>
      <c r="H1881" s="133" t="s">
        <v>4092</v>
      </c>
      <c r="I1881" s="3" t="s">
        <v>4891</v>
      </c>
    </row>
    <row r="1882" spans="2:9">
      <c r="B1882" s="582"/>
      <c r="G1882" s="3"/>
      <c r="H1882" s="133"/>
      <c r="I1882" s="3"/>
    </row>
    <row r="1883" spans="2:9">
      <c r="B1883" s="582" t="s">
        <v>4890</v>
      </c>
      <c r="C1883">
        <v>20</v>
      </c>
      <c r="D1883">
        <v>670</v>
      </c>
      <c r="F1883">
        <f>D1883</f>
        <v>670</v>
      </c>
      <c r="G1883" s="3" t="s">
        <v>747</v>
      </c>
      <c r="H1883" s="133" t="s">
        <v>4886</v>
      </c>
      <c r="I1883" s="3"/>
    </row>
    <row r="1884" spans="2:9">
      <c r="B1884" s="582" t="s">
        <v>4883</v>
      </c>
      <c r="C1884">
        <v>35</v>
      </c>
      <c r="D1884">
        <v>760</v>
      </c>
      <c r="F1884">
        <f>D1884</f>
        <v>760</v>
      </c>
      <c r="G1884" s="3" t="s">
        <v>747</v>
      </c>
      <c r="H1884" s="133" t="s">
        <v>4887</v>
      </c>
      <c r="I1884" s="3"/>
    </row>
    <row r="1885" spans="2:9">
      <c r="B1885" s="582" t="s">
        <v>4884</v>
      </c>
      <c r="C1885">
        <v>65</v>
      </c>
      <c r="D1885">
        <v>990</v>
      </c>
      <c r="F1885">
        <f>D1885</f>
        <v>990</v>
      </c>
      <c r="G1885" s="3" t="s">
        <v>747</v>
      </c>
      <c r="H1885" s="133" t="s">
        <v>4888</v>
      </c>
      <c r="I1885" s="3"/>
    </row>
    <row r="1886" spans="2:9">
      <c r="B1886" s="582" t="s">
        <v>4885</v>
      </c>
      <c r="C1886">
        <v>100</v>
      </c>
      <c r="D1886">
        <v>1340</v>
      </c>
      <c r="F1886">
        <f>D1886</f>
        <v>1340</v>
      </c>
      <c r="G1886" s="3" t="s">
        <v>747</v>
      </c>
      <c r="H1886" s="133" t="s">
        <v>4889</v>
      </c>
      <c r="I1886" s="3"/>
    </row>
    <row r="1887" spans="2:9">
      <c r="B1887" s="582"/>
      <c r="G1887" s="3"/>
      <c r="H1887" s="133"/>
      <c r="I1887" s="3"/>
    </row>
    <row r="1888" spans="2:9">
      <c r="B1888" s="582" t="s">
        <v>866</v>
      </c>
      <c r="C1888">
        <v>40</v>
      </c>
      <c r="D1888">
        <v>669</v>
      </c>
      <c r="E1888">
        <v>619</v>
      </c>
      <c r="F1888">
        <f t="shared" ref="F1888:F1893" si="124">E1888</f>
        <v>619</v>
      </c>
      <c r="G1888" s="3" t="s">
        <v>747</v>
      </c>
      <c r="H1888" s="133" t="s">
        <v>4881</v>
      </c>
      <c r="I1888" s="3" t="s">
        <v>4882</v>
      </c>
    </row>
    <row r="1889" spans="2:9">
      <c r="B1889" s="582" t="s">
        <v>866</v>
      </c>
      <c r="C1889">
        <v>80</v>
      </c>
      <c r="D1889">
        <v>759</v>
      </c>
      <c r="E1889">
        <v>709</v>
      </c>
      <c r="F1889">
        <f t="shared" si="124"/>
        <v>709</v>
      </c>
      <c r="G1889" s="3" t="s">
        <v>747</v>
      </c>
      <c r="H1889" s="133" t="s">
        <v>4881</v>
      </c>
      <c r="I1889" s="3" t="s">
        <v>4882</v>
      </c>
    </row>
    <row r="1890" spans="2:9">
      <c r="B1890" s="582" t="s">
        <v>866</v>
      </c>
      <c r="C1890">
        <v>150</v>
      </c>
      <c r="D1890">
        <v>1019</v>
      </c>
      <c r="E1890">
        <v>939</v>
      </c>
      <c r="F1890">
        <f t="shared" si="124"/>
        <v>939</v>
      </c>
      <c r="G1890" s="3" t="s">
        <v>747</v>
      </c>
      <c r="H1890" s="133" t="s">
        <v>4881</v>
      </c>
      <c r="I1890" s="3" t="s">
        <v>4882</v>
      </c>
    </row>
    <row r="1891" spans="2:9">
      <c r="B1891" s="582" t="s">
        <v>866</v>
      </c>
      <c r="C1891">
        <v>250</v>
      </c>
      <c r="D1891">
        <v>1329</v>
      </c>
      <c r="E1891">
        <v>1249</v>
      </c>
      <c r="F1891">
        <f t="shared" si="124"/>
        <v>1249</v>
      </c>
      <c r="G1891" s="3" t="s">
        <v>747</v>
      </c>
      <c r="H1891" s="133" t="s">
        <v>4881</v>
      </c>
      <c r="I1891" s="3" t="s">
        <v>4882</v>
      </c>
    </row>
    <row r="1892" spans="2:9">
      <c r="B1892" s="582" t="s">
        <v>866</v>
      </c>
      <c r="C1892">
        <v>350</v>
      </c>
      <c r="D1892">
        <v>1569</v>
      </c>
      <c r="E1892">
        <v>1489</v>
      </c>
      <c r="F1892">
        <f t="shared" si="124"/>
        <v>1489</v>
      </c>
      <c r="G1892" s="3" t="s">
        <v>747</v>
      </c>
      <c r="H1892" s="133" t="s">
        <v>4881</v>
      </c>
      <c r="I1892" s="3" t="s">
        <v>4882</v>
      </c>
    </row>
    <row r="1893" spans="2:9">
      <c r="B1893" s="150" t="s">
        <v>866</v>
      </c>
      <c r="C1893" s="61">
        <v>500</v>
      </c>
      <c r="D1893" s="61">
        <v>1759</v>
      </c>
      <c r="E1893" s="61">
        <v>1679</v>
      </c>
      <c r="F1893" s="61">
        <f t="shared" si="124"/>
        <v>1679</v>
      </c>
      <c r="G1893" s="130" t="s">
        <v>747</v>
      </c>
      <c r="H1893" s="134" t="s">
        <v>4881</v>
      </c>
      <c r="I1893" s="3" t="s">
        <v>4882</v>
      </c>
    </row>
    <row r="1895" spans="2:9">
      <c r="B1895" s="121" t="s">
        <v>4089</v>
      </c>
    </row>
    <row r="1896" spans="2:9">
      <c r="B1896" s="2" t="s">
        <v>4926</v>
      </c>
      <c r="C1896" s="3"/>
    </row>
    <row r="1897" spans="2:9">
      <c r="B1897" t="s">
        <v>2335</v>
      </c>
      <c r="C1897" s="5">
        <v>44774</v>
      </c>
    </row>
    <row r="1898" spans="2:9">
      <c r="B1898" t="s">
        <v>4880</v>
      </c>
      <c r="C1898" s="5">
        <v>44774</v>
      </c>
    </row>
    <row r="1899" spans="2:9">
      <c r="B1899" t="s">
        <v>665</v>
      </c>
      <c r="C1899" s="5">
        <v>44774</v>
      </c>
    </row>
    <row r="1900" spans="2:9">
      <c r="B1900" t="s">
        <v>866</v>
      </c>
      <c r="C1900" s="5">
        <v>44774</v>
      </c>
    </row>
    <row r="1901" spans="2:9">
      <c r="B1901" s="2" t="s">
        <v>4927</v>
      </c>
    </row>
    <row r="1902" spans="2:9">
      <c r="B1902" t="str">
        <f>B1898</f>
        <v>Izzy (TV)</v>
      </c>
      <c r="D1902" s="136" t="s">
        <v>4925</v>
      </c>
    </row>
    <row r="1903" spans="2:9">
      <c r="B1903" t="str">
        <f>B1900</f>
        <v>Total Play</v>
      </c>
      <c r="D1903" t="s">
        <v>4928</v>
      </c>
    </row>
    <row r="1905" spans="1:9">
      <c r="B1905" s="585"/>
      <c r="C1905" s="586"/>
      <c r="D1905" s="586" t="str">
        <f t="shared" ref="D1905:F1906" si="125">D1866</f>
        <v>MXN</v>
      </c>
      <c r="E1905" s="586" t="str">
        <f t="shared" si="125"/>
        <v>MXN</v>
      </c>
      <c r="F1905" s="586" t="str">
        <f t="shared" si="125"/>
        <v>MXN</v>
      </c>
      <c r="G1905" s="586"/>
      <c r="H1905" s="587"/>
    </row>
    <row r="1906" spans="1:9">
      <c r="B1906" s="580" t="s">
        <v>4920</v>
      </c>
      <c r="C1906" s="149" t="str">
        <f>C1867</f>
        <v>Mbps</v>
      </c>
      <c r="D1906" s="149" t="str">
        <f t="shared" si="125"/>
        <v>Headline</v>
      </c>
      <c r="E1906" s="149" t="str">
        <f t="shared" si="125"/>
        <v>Promo</v>
      </c>
      <c r="F1906" s="149" t="str">
        <f t="shared" si="125"/>
        <v>12m</v>
      </c>
      <c r="G1906" s="149" t="str">
        <f>G1867</f>
        <v>Voice</v>
      </c>
      <c r="H1906" s="581" t="str">
        <f>H1867</f>
        <v>TV  offering</v>
      </c>
    </row>
    <row r="1907" spans="1:9">
      <c r="B1907" s="588" t="s">
        <v>4224</v>
      </c>
      <c r="H1907" s="133"/>
    </row>
    <row r="1908" spans="1:9">
      <c r="B1908" s="582" t="s">
        <v>826</v>
      </c>
      <c r="C1908">
        <v>5</v>
      </c>
      <c r="D1908">
        <v>199</v>
      </c>
      <c r="H1908" s="133"/>
    </row>
    <row r="1909" spans="1:9">
      <c r="B1909" s="582" t="s">
        <v>826</v>
      </c>
      <c r="C1909">
        <v>10</v>
      </c>
      <c r="D1909">
        <v>349</v>
      </c>
      <c r="H1909" s="133"/>
    </row>
    <row r="1910" spans="1:9">
      <c r="B1910" s="582" t="s">
        <v>826</v>
      </c>
      <c r="C1910">
        <v>20</v>
      </c>
      <c r="D1910">
        <v>599</v>
      </c>
      <c r="H1910" s="133"/>
    </row>
    <row r="1911" spans="1:9">
      <c r="B1911" s="582"/>
      <c r="H1911" s="133"/>
    </row>
    <row r="1912" spans="1:9">
      <c r="B1912" s="582" t="s">
        <v>4921</v>
      </c>
      <c r="C1912">
        <v>5</v>
      </c>
      <c r="D1912">
        <v>225</v>
      </c>
      <c r="H1912" s="132"/>
      <c r="I1912" s="3" t="s">
        <v>4922</v>
      </c>
    </row>
    <row r="1913" spans="1:9">
      <c r="B1913" s="582" t="s">
        <v>4921</v>
      </c>
      <c r="C1913">
        <v>10</v>
      </c>
      <c r="D1913">
        <v>375</v>
      </c>
      <c r="H1913" s="132"/>
      <c r="I1913" s="3" t="s">
        <v>4922</v>
      </c>
    </row>
    <row r="1914" spans="1:9">
      <c r="A1914" t="s">
        <v>84</v>
      </c>
      <c r="B1914" s="582"/>
      <c r="H1914" s="132"/>
      <c r="I1914" s="3"/>
    </row>
    <row r="1915" spans="1:9">
      <c r="B1915" s="588" t="s">
        <v>4908</v>
      </c>
      <c r="H1915" s="132"/>
    </row>
    <row r="1916" spans="1:9">
      <c r="B1916" s="582" t="s">
        <v>4901</v>
      </c>
      <c r="D1916">
        <v>216</v>
      </c>
      <c r="H1916" s="133" t="s">
        <v>4903</v>
      </c>
    </row>
    <row r="1917" spans="1:9">
      <c r="B1917" s="582" t="s">
        <v>4902</v>
      </c>
      <c r="D1917">
        <v>281</v>
      </c>
      <c r="H1917" s="133" t="s">
        <v>4904</v>
      </c>
    </row>
    <row r="1918" spans="1:9">
      <c r="B1918" s="582" t="s">
        <v>4909</v>
      </c>
      <c r="D1918" s="3" t="s">
        <v>4910</v>
      </c>
      <c r="H1918" s="133" t="s">
        <v>4923</v>
      </c>
    </row>
    <row r="1919" spans="1:9">
      <c r="B1919" s="582" t="s">
        <v>4911</v>
      </c>
      <c r="D1919">
        <v>582</v>
      </c>
      <c r="H1919" s="133" t="s">
        <v>4924</v>
      </c>
    </row>
    <row r="1920" spans="1:9">
      <c r="B1920" s="582"/>
      <c r="H1920" s="133"/>
    </row>
    <row r="1921" spans="2:8">
      <c r="B1921" s="588" t="s">
        <v>4912</v>
      </c>
      <c r="H1921" s="132"/>
    </row>
    <row r="1922" spans="2:8">
      <c r="B1922" s="582" t="s">
        <v>4913</v>
      </c>
      <c r="C1922">
        <v>5</v>
      </c>
      <c r="D1922">
        <v>415</v>
      </c>
      <c r="H1922" s="133" t="s">
        <v>4903</v>
      </c>
    </row>
    <row r="1923" spans="2:8">
      <c r="B1923" s="582" t="s">
        <v>4913</v>
      </c>
      <c r="C1923">
        <v>10</v>
      </c>
      <c r="D1923">
        <v>565</v>
      </c>
      <c r="H1923" s="133" t="s">
        <v>4903</v>
      </c>
    </row>
    <row r="1924" spans="2:8">
      <c r="B1924" s="582" t="s">
        <v>4913</v>
      </c>
      <c r="C1924">
        <v>20</v>
      </c>
      <c r="D1924">
        <v>815</v>
      </c>
      <c r="H1924" s="133" t="s">
        <v>4903</v>
      </c>
    </row>
    <row r="1925" spans="2:8">
      <c r="B1925" s="582"/>
      <c r="H1925" s="133"/>
    </row>
    <row r="1926" spans="2:8">
      <c r="B1926" s="582" t="s">
        <v>4914</v>
      </c>
      <c r="C1926">
        <v>5</v>
      </c>
      <c r="D1926">
        <v>510</v>
      </c>
      <c r="F1926" s="4"/>
      <c r="H1926" s="133" t="s">
        <v>4919</v>
      </c>
    </row>
    <row r="1927" spans="2:8">
      <c r="B1927" s="582" t="s">
        <v>4914</v>
      </c>
      <c r="C1927">
        <v>10</v>
      </c>
      <c r="D1927">
        <v>605</v>
      </c>
      <c r="F1927" s="4"/>
      <c r="H1927" s="133" t="s">
        <v>4919</v>
      </c>
    </row>
    <row r="1928" spans="2:8">
      <c r="B1928" s="582" t="s">
        <v>4915</v>
      </c>
      <c r="C1928">
        <v>5</v>
      </c>
      <c r="D1928">
        <v>600</v>
      </c>
      <c r="H1928" s="133" t="s">
        <v>4918</v>
      </c>
    </row>
    <row r="1929" spans="2:8">
      <c r="B1929" s="582" t="s">
        <v>4915</v>
      </c>
      <c r="C1929">
        <v>10</v>
      </c>
      <c r="D1929">
        <v>695</v>
      </c>
      <c r="H1929" s="133" t="s">
        <v>4918</v>
      </c>
    </row>
    <row r="1930" spans="2:8">
      <c r="B1930" s="582" t="s">
        <v>4916</v>
      </c>
      <c r="C1930">
        <v>5</v>
      </c>
      <c r="D1930">
        <v>995</v>
      </c>
      <c r="H1930" s="133" t="s">
        <v>4917</v>
      </c>
    </row>
    <row r="1931" spans="2:8">
      <c r="B1931" s="150" t="s">
        <v>4916</v>
      </c>
      <c r="C1931" s="61">
        <v>10</v>
      </c>
      <c r="D1931" s="61">
        <v>1090</v>
      </c>
      <c r="E1931" s="61"/>
      <c r="F1931" s="61"/>
      <c r="G1931" s="61"/>
      <c r="H1931" s="134" t="s">
        <v>4917</v>
      </c>
    </row>
    <row r="1933" spans="2:8">
      <c r="B1933" s="121" t="s">
        <v>4089</v>
      </c>
    </row>
    <row r="1934" spans="2:8">
      <c r="B1934" s="121"/>
    </row>
    <row r="1935" spans="2:8">
      <c r="B1935" s="121"/>
    </row>
    <row r="1936" spans="2:8">
      <c r="B1936" s="42" t="s">
        <v>4892</v>
      </c>
    </row>
    <row r="1938" spans="2:10">
      <c r="B1938" t="s">
        <v>4893</v>
      </c>
      <c r="C1938" s="575">
        <v>10</v>
      </c>
    </row>
    <row r="1939" spans="2:10">
      <c r="B1939" t="s">
        <v>4894</v>
      </c>
      <c r="C1939" s="575">
        <v>4000</v>
      </c>
    </row>
    <row r="1940" spans="2:10">
      <c r="B1940" t="s">
        <v>4895</v>
      </c>
      <c r="C1940">
        <f>C1939/C1938</f>
        <v>400</v>
      </c>
    </row>
    <row r="1941" spans="2:10">
      <c r="B1941" t="s">
        <v>4896</v>
      </c>
      <c r="C1941" s="8">
        <f>C1940/SOP!G29</f>
        <v>0.69761389217572356</v>
      </c>
    </row>
    <row r="1943" spans="2:10" ht="15.75" thickBot="1">
      <c r="B1943" s="42" t="s">
        <v>4949</v>
      </c>
    </row>
    <row r="1944" spans="2:10">
      <c r="D1944" s="3" t="s">
        <v>4990</v>
      </c>
      <c r="E1944" s="3"/>
      <c r="F1944" s="3"/>
      <c r="G1944" s="3" t="s">
        <v>4992</v>
      </c>
      <c r="H1944" s="3"/>
      <c r="I1944" s="592" t="s">
        <v>4993</v>
      </c>
      <c r="J1944" s="593" t="s">
        <v>4993</v>
      </c>
    </row>
    <row r="1945" spans="2:10">
      <c r="B1945" s="61" t="s">
        <v>4931</v>
      </c>
      <c r="C1945" s="61" t="s">
        <v>4941</v>
      </c>
      <c r="D1945" s="130" t="s">
        <v>4991</v>
      </c>
      <c r="E1945" s="130" t="s">
        <v>4930</v>
      </c>
      <c r="F1945" s="130" t="s">
        <v>98</v>
      </c>
      <c r="G1945" s="130" t="s">
        <v>4991</v>
      </c>
      <c r="H1945" s="130" t="s">
        <v>4935</v>
      </c>
      <c r="I1945" s="594" t="s">
        <v>4895</v>
      </c>
      <c r="J1945" s="595" t="s">
        <v>2113</v>
      </c>
    </row>
    <row r="1946" spans="2:10">
      <c r="B1946" t="s">
        <v>94</v>
      </c>
      <c r="C1946" t="s">
        <v>4942</v>
      </c>
      <c r="D1946" s="122">
        <f>Master!Q456</f>
        <v>116207.2</v>
      </c>
      <c r="E1946" s="122">
        <f>Master!Q459</f>
        <v>5972.2</v>
      </c>
      <c r="F1946" s="122">
        <f>D1946+E1946</f>
        <v>122179.4</v>
      </c>
      <c r="G1946" s="122"/>
      <c r="H1946" s="122"/>
      <c r="I1946" s="596">
        <v>52991.825705000003</v>
      </c>
      <c r="J1946" s="597">
        <f>I1946/F1946</f>
        <v>0.4337214432629396</v>
      </c>
    </row>
    <row r="1947" spans="2:10">
      <c r="B1947" t="s">
        <v>95</v>
      </c>
      <c r="C1947" t="s">
        <v>4942</v>
      </c>
      <c r="D1947" s="122">
        <f>Master!Q463</f>
        <v>53116.1</v>
      </c>
      <c r="E1947" s="122">
        <f>Master!Q466</f>
        <v>4903.6000000000004</v>
      </c>
      <c r="F1947" s="122">
        <f>D1947+E1947</f>
        <v>58019.7</v>
      </c>
      <c r="G1947" s="122"/>
      <c r="H1947" s="122"/>
      <c r="I1947" s="596">
        <v>67.814604000000003</v>
      </c>
      <c r="J1947" s="597">
        <f>I1947/F1947</f>
        <v>1.1688203144793925E-3</v>
      </c>
    </row>
    <row r="1948" spans="2:10">
      <c r="B1948" t="s">
        <v>4932</v>
      </c>
      <c r="C1948" t="s">
        <v>4943</v>
      </c>
      <c r="D1948" s="122">
        <f>Master!Q470</f>
        <v>84502.9</v>
      </c>
      <c r="E1948" s="122">
        <f>Master!Q473</f>
        <v>4051.2</v>
      </c>
      <c r="F1948" s="122">
        <f>D1948+E1948</f>
        <v>88554.099999999991</v>
      </c>
      <c r="G1948" s="122"/>
      <c r="H1948" s="122"/>
      <c r="I1948" s="596">
        <v>107.88687</v>
      </c>
      <c r="J1948" s="597">
        <f>I1948/F1948</f>
        <v>1.2183159221312171E-3</v>
      </c>
    </row>
    <row r="1949" spans="2:10">
      <c r="B1949" s="61" t="s">
        <v>97</v>
      </c>
      <c r="C1949" s="61" t="s">
        <v>4944</v>
      </c>
      <c r="D1949" s="449">
        <f>Master!Q477</f>
        <v>84502.9</v>
      </c>
      <c r="E1949" s="449">
        <f>Master!Q480</f>
        <v>4051.2</v>
      </c>
      <c r="F1949" s="449">
        <f>D1949+E1949</f>
        <v>88554.099999999991</v>
      </c>
      <c r="G1949" s="449"/>
      <c r="H1949" s="449"/>
      <c r="I1949" s="598">
        <v>107.88687</v>
      </c>
      <c r="J1949" s="599">
        <f>I1949/F1949</f>
        <v>1.2183159221312171E-3</v>
      </c>
    </row>
    <row r="1950" spans="2:10" ht="15.75" thickBot="1">
      <c r="B1950" t="s">
        <v>98</v>
      </c>
      <c r="D1950" s="122">
        <f>SUM(D1946:D1949)</f>
        <v>338329.1</v>
      </c>
      <c r="E1950" s="122">
        <f>SUM(E1946:E1949)</f>
        <v>18978.2</v>
      </c>
      <c r="F1950" s="122">
        <f>SUM(F1946:F1949)</f>
        <v>357307.29999999993</v>
      </c>
      <c r="G1950" s="122">
        <f>D1950/117</f>
        <v>2891.7017094017092</v>
      </c>
      <c r="H1950" s="122">
        <f>G1950/5</f>
        <v>578.34034188034184</v>
      </c>
      <c r="I1950" s="600">
        <f>SUM(I1946:I1949)</f>
        <v>53275.414049000006</v>
      </c>
      <c r="J1950" s="601">
        <f>I1950/F1950</f>
        <v>0.14910250657907079</v>
      </c>
    </row>
    <row r="1952" spans="2:10">
      <c r="D1952" s="3" t="s">
        <v>4994</v>
      </c>
      <c r="E1952" s="3" t="s">
        <v>4994</v>
      </c>
      <c r="F1952" s="3" t="s">
        <v>4998</v>
      </c>
      <c r="G1952" s="3" t="s">
        <v>4930</v>
      </c>
      <c r="H1952" s="3" t="s">
        <v>4996</v>
      </c>
    </row>
    <row r="1953" spans="2:8">
      <c r="B1953" s="61" t="s">
        <v>4931</v>
      </c>
      <c r="C1953" s="137" t="s">
        <v>4934</v>
      </c>
      <c r="D1953" s="130" t="s">
        <v>4991</v>
      </c>
      <c r="E1953" s="130" t="s">
        <v>4930</v>
      </c>
      <c r="F1953" s="130" t="s">
        <v>4995</v>
      </c>
      <c r="G1953" s="130" t="s">
        <v>4995</v>
      </c>
      <c r="H1953" s="130" t="s">
        <v>4997</v>
      </c>
    </row>
    <row r="1954" spans="2:8">
      <c r="B1954" t="str">
        <f>B1946</f>
        <v>A</v>
      </c>
      <c r="C1954" s="136">
        <v>25</v>
      </c>
      <c r="D1954" s="122">
        <f t="shared" ref="D1954:E1957" si="126">D1955</f>
        <v>2414.4</v>
      </c>
      <c r="E1954" s="122">
        <f t="shared" si="126"/>
        <v>115.7</v>
      </c>
      <c r="F1954" s="122">
        <f>C1954*D1954</f>
        <v>60360</v>
      </c>
      <c r="G1954" s="122">
        <f>C1954*E1954</f>
        <v>2892.5</v>
      </c>
      <c r="H1954" s="122">
        <f>F1946-(F1954+G1954)</f>
        <v>58926.899999999994</v>
      </c>
    </row>
    <row r="1955" spans="2:8">
      <c r="B1955" t="str">
        <f>B1947</f>
        <v>B</v>
      </c>
      <c r="C1955" s="136">
        <v>22</v>
      </c>
      <c r="D1955" s="122">
        <f t="shared" si="126"/>
        <v>2414.4</v>
      </c>
      <c r="E1955" s="122">
        <f t="shared" si="126"/>
        <v>115.7</v>
      </c>
      <c r="F1955" s="122">
        <f>C1955*D1955</f>
        <v>53116.800000000003</v>
      </c>
      <c r="G1955" s="122">
        <f>C1955*E1955</f>
        <v>2545.4</v>
      </c>
      <c r="H1955" s="122">
        <f>F1947-(F1955+G1955)</f>
        <v>2357.4999999999927</v>
      </c>
    </row>
    <row r="1956" spans="2:8">
      <c r="B1956" t="str">
        <f>B1948</f>
        <v>D (div pref)</v>
      </c>
      <c r="C1956" s="136">
        <v>35</v>
      </c>
      <c r="D1956" s="122">
        <f t="shared" si="126"/>
        <v>2414.4</v>
      </c>
      <c r="E1956" s="122">
        <f t="shared" si="126"/>
        <v>115.7</v>
      </c>
      <c r="F1956" s="122">
        <f>C1956*D1956</f>
        <v>84504</v>
      </c>
      <c r="G1956" s="122">
        <f>C1956*E1956</f>
        <v>4049.5</v>
      </c>
      <c r="H1956" s="122">
        <f>F1948-(F1956+G1956)</f>
        <v>0.59999999999126885</v>
      </c>
    </row>
    <row r="1957" spans="2:8">
      <c r="B1957" s="61" t="str">
        <f>B1949</f>
        <v>L</v>
      </c>
      <c r="C1957" s="137">
        <v>35</v>
      </c>
      <c r="D1957" s="449">
        <f t="shared" si="126"/>
        <v>2414.4</v>
      </c>
      <c r="E1957" s="449">
        <f t="shared" si="126"/>
        <v>115.7</v>
      </c>
      <c r="F1957" s="449">
        <f>C1957*D1957</f>
        <v>84504</v>
      </c>
      <c r="G1957" s="449">
        <f>C1957*E1957</f>
        <v>4049.5</v>
      </c>
      <c r="H1957" s="449">
        <f>F1949-(F1957+G1957)</f>
        <v>0.59999999999126885</v>
      </c>
    </row>
    <row r="1958" spans="2:8">
      <c r="B1958" t="str">
        <f>B1950</f>
        <v>Total</v>
      </c>
      <c r="C1958" s="136">
        <f>SUM(C1954:C1957)</f>
        <v>117</v>
      </c>
      <c r="D1958" s="122">
        <v>2414.4</v>
      </c>
      <c r="E1958" s="122">
        <v>115.7</v>
      </c>
      <c r="F1958" s="122">
        <f>SUM(F1954:F1957)</f>
        <v>282484.8</v>
      </c>
      <c r="G1958" s="122">
        <f>SUM(G1954:G1957)</f>
        <v>13536.9</v>
      </c>
      <c r="H1958" s="122">
        <f>SUM(H1954:H1957)</f>
        <v>61285.599999999969</v>
      </c>
    </row>
    <row r="1959" spans="2:8">
      <c r="D1959" s="122"/>
      <c r="E1959" s="122"/>
    </row>
    <row r="1960" spans="2:8">
      <c r="B1960" s="2" t="s">
        <v>93</v>
      </c>
    </row>
    <row r="1961" spans="2:8">
      <c r="B1961" t="s">
        <v>4936</v>
      </c>
    </row>
    <row r="1962" spans="2:8">
      <c r="B1962" t="s">
        <v>4937</v>
      </c>
    </row>
    <row r="1963" spans="2:8">
      <c r="B1963" t="s">
        <v>5036</v>
      </c>
    </row>
    <row r="1964" spans="2:8">
      <c r="B1964" t="s">
        <v>4938</v>
      </c>
    </row>
    <row r="1965" spans="2:8">
      <c r="B1965" s="2"/>
    </row>
    <row r="1966" spans="2:8">
      <c r="B1966" s="2" t="s">
        <v>4933</v>
      </c>
    </row>
    <row r="1967" spans="2:8">
      <c r="B1967" t="s">
        <v>4939</v>
      </c>
      <c r="C1967" s="122">
        <f>H1950</f>
        <v>578.34034188034184</v>
      </c>
    </row>
    <row r="1968" spans="2:8">
      <c r="B1968" t="s">
        <v>4950</v>
      </c>
      <c r="C1968" s="4">
        <v>321.10000000000002</v>
      </c>
    </row>
    <row r="1969" spans="2:6">
      <c r="B1969" s="61"/>
      <c r="C1969" s="589" t="s">
        <v>94</v>
      </c>
      <c r="D1969" s="130" t="s">
        <v>95</v>
      </c>
      <c r="E1969" s="130" t="s">
        <v>4929</v>
      </c>
      <c r="F1969" s="130" t="s">
        <v>96</v>
      </c>
    </row>
    <row r="1970" spans="2:6">
      <c r="B1970" t="s">
        <v>4959</v>
      </c>
      <c r="C1970" s="122">
        <f>$C$1968*5</f>
        <v>1605.5</v>
      </c>
      <c r="D1970" s="122">
        <f>$C$1968*5</f>
        <v>1605.5</v>
      </c>
      <c r="E1970" s="122">
        <f>$C$1968*5</f>
        <v>1605.5</v>
      </c>
      <c r="F1970" s="122">
        <f>$C$1968*5</f>
        <v>1605.5</v>
      </c>
    </row>
    <row r="1971" spans="2:6">
      <c r="B1971" t="s">
        <v>4960</v>
      </c>
      <c r="C1971" s="122">
        <f>C1970*C1954</f>
        <v>40137.5</v>
      </c>
      <c r="D1971" s="122">
        <f>D1970*C1955</f>
        <v>35321</v>
      </c>
      <c r="E1971" s="122">
        <f>E1970*C1956</f>
        <v>56192.5</v>
      </c>
      <c r="F1971" s="122">
        <f>F1970*C1957</f>
        <v>56192.5</v>
      </c>
    </row>
    <row r="1972" spans="2:6">
      <c r="B1972" t="s">
        <v>4940</v>
      </c>
      <c r="C1972" s="10">
        <f>C1971/F1946</f>
        <v>0.32851282622111422</v>
      </c>
      <c r="D1972" s="10">
        <f>D1971/F1947</f>
        <v>0.60877598470864214</v>
      </c>
      <c r="E1972" s="10">
        <f>E1971/F1948</f>
        <v>0.63455559934548489</v>
      </c>
      <c r="F1972" s="10">
        <f>F1971/F1949</f>
        <v>0.63455559934548489</v>
      </c>
    </row>
    <row r="1973" spans="2:6">
      <c r="B1973" t="s">
        <v>4961</v>
      </c>
      <c r="C1973" s="122">
        <f>F1946-C1971</f>
        <v>82041.899999999994</v>
      </c>
      <c r="D1973" s="122">
        <f>F1947-D1971</f>
        <v>22698.699999999997</v>
      </c>
      <c r="E1973" s="122">
        <f>F1948-E1971</f>
        <v>32361.599999999991</v>
      </c>
      <c r="F1973" s="122">
        <f>F1949-F1971</f>
        <v>32361.599999999991</v>
      </c>
    </row>
    <row r="1974" spans="2:6" ht="15.75" thickBot="1">
      <c r="B1974" t="s">
        <v>4945</v>
      </c>
      <c r="C1974" s="10">
        <f>I1946/C1973</f>
        <v>0.64591173174926475</v>
      </c>
      <c r="D1974" s="10">
        <f>I1947/D1973</f>
        <v>2.9875985849409882E-3</v>
      </c>
      <c r="E1974" s="10">
        <f>I1948/E1973</f>
        <v>3.3337928285375267E-3</v>
      </c>
      <c r="F1974" s="10">
        <f>I1949/F1973</f>
        <v>3.3337928285375267E-3</v>
      </c>
    </row>
    <row r="1975" spans="2:6" ht="15.75" thickBot="1">
      <c r="B1975" s="590" t="s">
        <v>4947</v>
      </c>
      <c r="C1975" s="591">
        <f>(I1946+I1947)/(C1973+D1973)</f>
        <v>0.50658140500436322</v>
      </c>
      <c r="E1975" s="10"/>
      <c r="F1975" s="10"/>
    </row>
    <row r="1977" spans="2:6">
      <c r="B1977" s="42" t="s">
        <v>4951</v>
      </c>
    </row>
    <row r="1979" spans="2:6">
      <c r="B1979" t="s">
        <v>4946</v>
      </c>
      <c r="C1979" s="456">
        <v>0.3</v>
      </c>
    </row>
    <row r="1980" spans="2:6">
      <c r="B1980" t="s">
        <v>4952</v>
      </c>
      <c r="C1980" s="419">
        <f>C1979*H1950</f>
        <v>173.50210256410256</v>
      </c>
    </row>
    <row r="1981" spans="2:6">
      <c r="B1981" t="s">
        <v>759</v>
      </c>
      <c r="C1981" s="549">
        <v>12.5</v>
      </c>
    </row>
    <row r="1982" spans="2:6">
      <c r="B1982" t="s">
        <v>4958</v>
      </c>
      <c r="C1982" s="122">
        <f>C1980*C1981</f>
        <v>2168.7762820512821</v>
      </c>
    </row>
    <row r="1983" spans="2:6">
      <c r="C1983" s="419"/>
    </row>
    <row r="1984" spans="2:6">
      <c r="B1984" t="s">
        <v>4953</v>
      </c>
      <c r="C1984" s="419">
        <f>C1980*5</f>
        <v>867.51051282051276</v>
      </c>
    </row>
    <row r="1985" spans="2:6">
      <c r="B1985" s="2" t="s">
        <v>4954</v>
      </c>
      <c r="C1985" s="419"/>
    </row>
    <row r="1986" spans="2:6">
      <c r="B1986" t="str">
        <f>B1946</f>
        <v>A</v>
      </c>
      <c r="C1986" s="122">
        <f>$C$1984*C1954</f>
        <v>21687.76282051282</v>
      </c>
    </row>
    <row r="1987" spans="2:6">
      <c r="B1987" t="str">
        <f>B1947</f>
        <v>B</v>
      </c>
      <c r="C1987" s="122">
        <f>$C$1984*C1955</f>
        <v>19085.231282051282</v>
      </c>
    </row>
    <row r="1988" spans="2:6">
      <c r="B1988" t="str">
        <f>B1948</f>
        <v>D (div pref)</v>
      </c>
      <c r="C1988" s="122">
        <f>$C$1984*C1956</f>
        <v>30362.867948717947</v>
      </c>
    </row>
    <row r="1989" spans="2:6">
      <c r="B1989" t="str">
        <f>B1949</f>
        <v>L</v>
      </c>
      <c r="C1989" s="122">
        <f>$C$1984*C1957</f>
        <v>30362.867948717947</v>
      </c>
    </row>
    <row r="1991" spans="2:6">
      <c r="B1991" s="61"/>
      <c r="C1991" s="589" t="str">
        <f>C1969</f>
        <v>A</v>
      </c>
      <c r="D1991" s="589" t="str">
        <f>D1969</f>
        <v>B</v>
      </c>
      <c r="E1991" s="589" t="str">
        <f>E1969</f>
        <v>C</v>
      </c>
      <c r="F1991" s="589" t="str">
        <f>F1969</f>
        <v>D</v>
      </c>
    </row>
    <row r="1992" spans="2:6">
      <c r="B1992" t="s">
        <v>4956</v>
      </c>
      <c r="C1992" s="122">
        <f>F1946+C1986</f>
        <v>143867.16282051281</v>
      </c>
      <c r="D1992" s="122">
        <f>F1947+C1987</f>
        <v>77104.931282051286</v>
      </c>
      <c r="E1992" s="122">
        <f>F1948+C1988</f>
        <v>118916.96794871794</v>
      </c>
      <c r="F1992" s="122">
        <f>F1949+C1989</f>
        <v>118916.96794871794</v>
      </c>
    </row>
    <row r="1993" spans="2:6">
      <c r="B1993" t="s">
        <v>4955</v>
      </c>
      <c r="C1993" s="122">
        <f>C1971+C1986</f>
        <v>61825.26282051282</v>
      </c>
      <c r="D1993" s="122">
        <f>D1971+C1987</f>
        <v>54406.231282051282</v>
      </c>
      <c r="E1993" s="122">
        <f>E1971+C1988</f>
        <v>86555.367948717947</v>
      </c>
      <c r="F1993" s="122">
        <f>F1971+C1989</f>
        <v>86555.367948717947</v>
      </c>
    </row>
    <row r="1994" spans="2:6">
      <c r="B1994" t="s">
        <v>4948</v>
      </c>
      <c r="C1994" s="122">
        <f>C1992-C1993</f>
        <v>82041.899999999994</v>
      </c>
      <c r="D1994" s="122">
        <f>D1992-D1993</f>
        <v>22698.700000000004</v>
      </c>
      <c r="E1994" s="122">
        <f>E1992-E1993</f>
        <v>32361.599999999991</v>
      </c>
      <c r="F1994" s="122">
        <f>F1992-F1993</f>
        <v>32361.599999999991</v>
      </c>
    </row>
    <row r="1995" spans="2:6">
      <c r="B1995" t="s">
        <v>4945</v>
      </c>
      <c r="C1995" s="10">
        <f>I1946/C1994</f>
        <v>0.64591173174926475</v>
      </c>
      <c r="D1995" s="10">
        <f>I1947/D1994</f>
        <v>2.9875985849409873E-3</v>
      </c>
      <c r="E1995" s="10">
        <f>I1948/E1994</f>
        <v>3.3337928285375267E-3</v>
      </c>
      <c r="F1995" s="10">
        <f>I1949/F1994</f>
        <v>3.3337928285375267E-3</v>
      </c>
    </row>
    <row r="1996" spans="2:6">
      <c r="B1996" t="s">
        <v>4947</v>
      </c>
      <c r="C1996" s="10">
        <f>(I1946+I1947)/(C1994+D1994)</f>
        <v>0.50658140500436311</v>
      </c>
      <c r="E1996" s="10"/>
      <c r="F1996" s="10"/>
    </row>
    <row r="1997" spans="2:6">
      <c r="B1997" t="s">
        <v>4957</v>
      </c>
      <c r="C1997" s="122">
        <f>C1986</f>
        <v>21687.76282051282</v>
      </c>
      <c r="D1997" s="122">
        <f>C1987</f>
        <v>19085.231282051282</v>
      </c>
      <c r="E1997" s="122">
        <f>C1988</f>
        <v>30362.867948717947</v>
      </c>
      <c r="F1997" s="122">
        <f>C1989</f>
        <v>30362.867948717947</v>
      </c>
    </row>
    <row r="1998" spans="2:6">
      <c r="B1998" t="s">
        <v>1613</v>
      </c>
      <c r="C1998" s="10">
        <f>C1997/C1992</f>
        <v>0.15074852659442689</v>
      </c>
      <c r="D1998" s="10">
        <f>D1997/D1992</f>
        <v>0.24752283627926661</v>
      </c>
      <c r="E1998" s="10">
        <f>E1997/E1992</f>
        <v>0.25532830572851228</v>
      </c>
      <c r="F1998" s="10">
        <f>F1997/F1992</f>
        <v>0.25532830572851228</v>
      </c>
    </row>
    <row r="2000" spans="2:6">
      <c r="B2000" t="s">
        <v>4962</v>
      </c>
    </row>
    <row r="2002" spans="1:4">
      <c r="B2002" s="42" t="s">
        <v>2335</v>
      </c>
      <c r="D2002" t="s">
        <v>2335</v>
      </c>
    </row>
    <row r="2003" spans="1:4">
      <c r="B2003" t="s">
        <v>4963</v>
      </c>
      <c r="C2003" s="8">
        <v>0.37</v>
      </c>
      <c r="D2003">
        <f t="shared" ref="D2003:D2009" si="127">C2003*D$2010</f>
        <v>2358.0099999999998</v>
      </c>
    </row>
    <row r="2004" spans="1:4">
      <c r="B2004" t="s">
        <v>4964</v>
      </c>
      <c r="C2004" s="8">
        <v>0.26</v>
      </c>
      <c r="D2004">
        <f t="shared" si="127"/>
        <v>1656.98</v>
      </c>
    </row>
    <row r="2005" spans="1:4">
      <c r="B2005" t="s">
        <v>4966</v>
      </c>
      <c r="C2005" s="8">
        <v>0.14000000000000001</v>
      </c>
      <c r="D2005">
        <f t="shared" si="127"/>
        <v>892.22000000000014</v>
      </c>
    </row>
    <row r="2006" spans="1:4">
      <c r="B2006" t="s">
        <v>4969</v>
      </c>
      <c r="C2006" s="8">
        <v>0.1</v>
      </c>
      <c r="D2006">
        <f t="shared" si="127"/>
        <v>637.30000000000007</v>
      </c>
    </row>
    <row r="2007" spans="1:4">
      <c r="B2007" t="s">
        <v>4968</v>
      </c>
      <c r="C2007" s="8">
        <v>7.0000000000000007E-2</v>
      </c>
      <c r="D2007">
        <f t="shared" si="127"/>
        <v>446.11000000000007</v>
      </c>
    </row>
    <row r="2008" spans="1:4">
      <c r="B2008" t="s">
        <v>4967</v>
      </c>
      <c r="C2008" s="8">
        <v>0.04</v>
      </c>
      <c r="D2008">
        <f t="shared" si="127"/>
        <v>254.92000000000002</v>
      </c>
    </row>
    <row r="2009" spans="1:4">
      <c r="B2009" t="s">
        <v>4965</v>
      </c>
      <c r="C2009" s="8">
        <v>0.02</v>
      </c>
      <c r="D2009">
        <f t="shared" si="127"/>
        <v>127.46000000000001</v>
      </c>
    </row>
    <row r="2010" spans="1:4">
      <c r="B2010" t="s">
        <v>4978</v>
      </c>
      <c r="D2010">
        <v>6373</v>
      </c>
    </row>
    <row r="2012" spans="1:4">
      <c r="B2012" t="s">
        <v>508</v>
      </c>
      <c r="D2012">
        <v>3626</v>
      </c>
    </row>
    <row r="2013" spans="1:4">
      <c r="B2013" t="s">
        <v>4979</v>
      </c>
      <c r="D2013">
        <f>D2004*1000/D2012</f>
        <v>456.97186982901269</v>
      </c>
    </row>
    <row r="2014" spans="1:4">
      <c r="A2014">
        <v>19.5</v>
      </c>
      <c r="B2014" t="s">
        <v>4980</v>
      </c>
      <c r="D2014" s="4">
        <f>D2013/A2014</f>
        <v>23.434454863026293</v>
      </c>
    </row>
    <row r="2016" spans="1:4">
      <c r="B2016" s="42" t="s">
        <v>1909</v>
      </c>
    </row>
    <row r="2017" spans="2:35">
      <c r="B2017" t="s">
        <v>4964</v>
      </c>
      <c r="C2017" s="8">
        <v>0.5</v>
      </c>
      <c r="D2017">
        <f>C2017*D2019</f>
        <v>6483.4000000000005</v>
      </c>
    </row>
    <row r="2018" spans="2:35">
      <c r="B2018" t="s">
        <v>44</v>
      </c>
      <c r="C2018" s="8">
        <f>100%-C2017</f>
        <v>0.5</v>
      </c>
      <c r="D2018">
        <f>D2019-D2017</f>
        <v>6483.4000000000005</v>
      </c>
    </row>
    <row r="2019" spans="2:35">
      <c r="C2019" s="8"/>
      <c r="D2019">
        <f>Master!R89</f>
        <v>12966.800000000001</v>
      </c>
    </row>
    <row r="2020" spans="2:35">
      <c r="C2020" s="8"/>
    </row>
    <row r="2021" spans="2:35">
      <c r="B2021" t="s">
        <v>508</v>
      </c>
      <c r="C2021" s="8"/>
      <c r="D2021" s="4">
        <f>Interims!AU241</f>
        <v>5397.1592155889284</v>
      </c>
    </row>
    <row r="2022" spans="2:35">
      <c r="B2022" t="s">
        <v>4979</v>
      </c>
      <c r="D2022">
        <f>D2017*1000/D2021</f>
        <v>1201.2615787345351</v>
      </c>
    </row>
    <row r="2023" spans="2:35">
      <c r="B2023" t="s">
        <v>4980</v>
      </c>
      <c r="D2023" s="4">
        <f>D2022/A2014</f>
        <v>61.603157883822313</v>
      </c>
    </row>
    <row r="2024" spans="2:35">
      <c r="Z2024" s="644" t="s">
        <v>6562</v>
      </c>
    </row>
    <row r="2025" spans="2:35">
      <c r="B2025" s="149" t="s">
        <v>360</v>
      </c>
      <c r="C2025" s="149">
        <f>D2025-1</f>
        <v>2009</v>
      </c>
      <c r="D2025" s="149">
        <f>E2025-1</f>
        <v>2010</v>
      </c>
      <c r="E2025" s="149">
        <v>2011</v>
      </c>
      <c r="F2025" s="149">
        <f t="shared" ref="F2025:T2025" si="128">E2025+1</f>
        <v>2012</v>
      </c>
      <c r="G2025" s="149">
        <f t="shared" si="128"/>
        <v>2013</v>
      </c>
      <c r="H2025" s="149">
        <f t="shared" si="128"/>
        <v>2014</v>
      </c>
      <c r="I2025" s="149">
        <f t="shared" si="128"/>
        <v>2015</v>
      </c>
      <c r="J2025" s="149">
        <f t="shared" si="128"/>
        <v>2016</v>
      </c>
      <c r="K2025" s="149">
        <f t="shared" si="128"/>
        <v>2017</v>
      </c>
      <c r="L2025" s="149">
        <f t="shared" si="128"/>
        <v>2018</v>
      </c>
      <c r="M2025" s="149">
        <f t="shared" si="128"/>
        <v>2019</v>
      </c>
      <c r="N2025" s="149">
        <f t="shared" si="128"/>
        <v>2020</v>
      </c>
      <c r="O2025" s="149">
        <f t="shared" si="128"/>
        <v>2021</v>
      </c>
      <c r="P2025" s="149">
        <f t="shared" si="128"/>
        <v>2022</v>
      </c>
      <c r="Q2025" s="149">
        <f t="shared" si="128"/>
        <v>2023</v>
      </c>
      <c r="R2025" s="149">
        <f t="shared" si="128"/>
        <v>2024</v>
      </c>
      <c r="S2025" s="149">
        <f t="shared" si="128"/>
        <v>2025</v>
      </c>
      <c r="T2025" s="149">
        <f t="shared" si="128"/>
        <v>2026</v>
      </c>
    </row>
    <row r="2026" spans="2:35">
      <c r="B2026" t="s">
        <v>89</v>
      </c>
      <c r="C2026" s="8">
        <v>0.21986947063089196</v>
      </c>
      <c r="D2026" s="8">
        <v>0.20109202290584632</v>
      </c>
      <c r="E2026" s="8">
        <v>0.23930173354345982</v>
      </c>
      <c r="F2026" s="8">
        <v>0.22112064163974601</v>
      </c>
      <c r="G2026" s="8">
        <v>0.1986491855383393</v>
      </c>
      <c r="H2026" s="8">
        <v>0.20357298474945534</v>
      </c>
      <c r="I2026" s="8">
        <v>0.25863845572576766</v>
      </c>
      <c r="J2026" s="8">
        <v>0.28743291855870734</v>
      </c>
      <c r="K2026" s="8">
        <v>0.27141782842598483</v>
      </c>
      <c r="L2026" s="8">
        <v>0.29600344721136035</v>
      </c>
      <c r="M2026" s="8">
        <v>0.30249027957785596</v>
      </c>
      <c r="N2026" s="8">
        <v>0.36103292677478444</v>
      </c>
      <c r="O2026" s="8">
        <v>0.38428890963708695</v>
      </c>
      <c r="P2026" s="8">
        <v>0.4</v>
      </c>
      <c r="Q2026" s="8">
        <v>0.4</v>
      </c>
      <c r="R2026" s="8">
        <v>0.35</v>
      </c>
      <c r="S2026" s="8">
        <v>0.3</v>
      </c>
      <c r="T2026" s="8">
        <v>0.25</v>
      </c>
      <c r="U2026" s="10"/>
      <c r="V2026" s="10"/>
      <c r="W2026" s="10"/>
      <c r="X2026" s="10"/>
      <c r="Y2026" s="10"/>
      <c r="Z2026" s="10"/>
      <c r="AA2026" s="8"/>
      <c r="AB2026" s="8"/>
      <c r="AC2026" s="8"/>
      <c r="AD2026" s="8"/>
      <c r="AE2026" s="8"/>
      <c r="AF2026" s="8"/>
      <c r="AG2026" s="8"/>
      <c r="AH2026" s="8"/>
      <c r="AI2026" s="8"/>
    </row>
    <row r="2027" spans="2:35">
      <c r="B2027" t="s">
        <v>1042</v>
      </c>
      <c r="C2027" s="10"/>
      <c r="D2027" s="10">
        <f>Master!I106</f>
        <v>0.46824499331313169</v>
      </c>
      <c r="E2027" s="10">
        <f>Master!J106</f>
        <v>0.37040644205523848</v>
      </c>
      <c r="F2027" s="10">
        <f>Master!K106</f>
        <v>0.38456301700662798</v>
      </c>
      <c r="G2027" s="10">
        <f>Master!L106</f>
        <v>0.44663126940042475</v>
      </c>
      <c r="H2027" s="10">
        <f>Master!M106</f>
        <v>0.44684098160212443</v>
      </c>
      <c r="I2027" s="10">
        <f>Master!N106</f>
        <v>0.60007666305114737</v>
      </c>
      <c r="J2027" s="10">
        <f>Master!O106</f>
        <v>0.58172590901679444</v>
      </c>
      <c r="K2027" s="10">
        <f>Master!P106</f>
        <v>0.32008986928104577</v>
      </c>
      <c r="L2027" s="10">
        <f>Master!Q106</f>
        <v>0.35330361824855794</v>
      </c>
      <c r="M2027" s="10">
        <f>Master!R106</f>
        <v>0.310939523284255</v>
      </c>
      <c r="N2027" s="10">
        <f>Master!S106</f>
        <v>0.31367444690094803</v>
      </c>
      <c r="O2027" s="10">
        <f>Master!T106</f>
        <v>0.36096736547868669</v>
      </c>
      <c r="P2027" s="10">
        <f>Master!U106</f>
        <v>0.26830336818709483</v>
      </c>
      <c r="Q2027" s="10">
        <f>Master!V106</f>
        <v>0.22958045182111572</v>
      </c>
      <c r="R2027" s="10">
        <f>Master!W106</f>
        <v>0.21750000000000003</v>
      </c>
      <c r="S2027" s="10">
        <f>Master!X106</f>
        <v>0.21</v>
      </c>
      <c r="T2027" s="10">
        <f>Master!Y106</f>
        <v>0.21250000000000002</v>
      </c>
    </row>
    <row r="2029" spans="2:35">
      <c r="B2029" s="42" t="s">
        <v>643</v>
      </c>
    </row>
    <row r="2030" spans="2:35">
      <c r="B2030" t="s">
        <v>4970</v>
      </c>
      <c r="C2030" s="10">
        <v>0.21099999999999999</v>
      </c>
      <c r="D2030" s="10">
        <v>0.20841656678652284</v>
      </c>
      <c r="E2030" s="10">
        <v>0.19238695599466601</v>
      </c>
      <c r="F2030" s="10">
        <v>0.19962125431658684</v>
      </c>
      <c r="G2030" s="10">
        <v>0.23400874056416368</v>
      </c>
      <c r="H2030" s="10">
        <v>0.21882352941176469</v>
      </c>
      <c r="I2030" s="10">
        <v>0.14274919282819262</v>
      </c>
      <c r="J2030" s="10">
        <v>0.12036327180515421</v>
      </c>
      <c r="K2030" s="10">
        <v>0.17487129056516457</v>
      </c>
      <c r="L2030" s="10">
        <v>0.18490826301708171</v>
      </c>
      <c r="M2030" s="10">
        <v>0.17751556391219472</v>
      </c>
      <c r="N2030" s="10">
        <v>0.1717370584131023</v>
      </c>
    </row>
    <row r="2031" spans="2:35">
      <c r="B2031" t="s">
        <v>74</v>
      </c>
      <c r="C2031" s="10">
        <f>(Master!H68-Master!H89)/Master!H52</f>
        <v>-2.7538223487020785E-2</v>
      </c>
      <c r="D2031" s="10">
        <f>(Master!I68-Master!I89)/Master!I52</f>
        <v>-0.13754126390276111</v>
      </c>
      <c r="E2031" s="10">
        <f>('Cable cos'!F208-'Cable cos'!F226)/'Cable cos'!F185</f>
        <v>-1.992167446499548E-2</v>
      </c>
      <c r="F2031" s="10">
        <f>('Cable cos'!G208-'Cable cos'!G226)/'Cable cos'!G185</f>
        <v>-1.1239274520885842E-2</v>
      </c>
      <c r="G2031" s="10">
        <f>('Cable cos'!H208-'Cable cos'!H226)/'Cable cos'!H185</f>
        <v>-8.8858263122272227E-2</v>
      </c>
      <c r="H2031" s="10">
        <f>('Cable cos'!I208-'Cable cos'!I226)/'Cable cos'!I185</f>
        <v>-7.0338870527100111E-2</v>
      </c>
      <c r="I2031" s="10">
        <f>('Cable cos'!J208-'Cable cos'!J226)/'Cable cos'!J185</f>
        <v>-0.19971581315838433</v>
      </c>
      <c r="J2031" s="10">
        <f>('Cable cos'!K208-'Cable cos'!K226)/'Cable cos'!K185</f>
        <v>-0.16669185616275137</v>
      </c>
      <c r="K2031" s="10">
        <f>('Cable cos'!L208-'Cable cos'!L226)/'Cable cos'!L185</f>
        <v>0.10459543694020819</v>
      </c>
      <c r="L2031" s="10">
        <f>('Cable cos'!M208-'Cable cos'!M226)/'Cable cos'!M185</f>
        <v>6.9046173377859968E-2</v>
      </c>
      <c r="M2031" s="10">
        <f>('Cable cos'!N208-'Cable cos'!N226)/'Cable cos'!N185</f>
        <v>0.11585055872620016</v>
      </c>
      <c r="N2031" s="10">
        <f>('Cable cos'!O208-'Cable cos'!O226)/'Cable cos'!O185</f>
        <v>0.10288953889492605</v>
      </c>
    </row>
    <row r="2033" spans="2:4">
      <c r="B2033">
        <v>2019</v>
      </c>
      <c r="C2033" t="s">
        <v>643</v>
      </c>
      <c r="D2033" t="s">
        <v>360</v>
      </c>
    </row>
    <row r="2034" spans="2:4">
      <c r="B2034" t="s">
        <v>4975</v>
      </c>
      <c r="C2034" s="10">
        <v>0.33100000000000002</v>
      </c>
      <c r="D2034" s="10">
        <v>0.20399999999999999</v>
      </c>
    </row>
    <row r="2035" spans="2:4">
      <c r="B2035" t="s">
        <v>4976</v>
      </c>
      <c r="C2035" s="10">
        <v>0.32300000000000001</v>
      </c>
      <c r="D2035" s="10">
        <v>0.215</v>
      </c>
    </row>
    <row r="2036" spans="2:4">
      <c r="B2036" t="s">
        <v>4972</v>
      </c>
      <c r="C2036" s="10">
        <v>0.29799999999999999</v>
      </c>
      <c r="D2036" s="10">
        <v>0.13700000000000001</v>
      </c>
    </row>
    <row r="2037" spans="2:4">
      <c r="B2037" t="s">
        <v>4977</v>
      </c>
      <c r="C2037" s="10">
        <f>(49%-22%)</f>
        <v>0.27</v>
      </c>
      <c r="D2037" s="10">
        <v>0.22</v>
      </c>
    </row>
    <row r="2038" spans="2:4">
      <c r="B2038" t="s">
        <v>4974</v>
      </c>
      <c r="C2038" s="10">
        <v>0.20899999999999999</v>
      </c>
      <c r="D2038" s="10">
        <v>0.155</v>
      </c>
    </row>
    <row r="2039" spans="2:4">
      <c r="B2039" t="s">
        <v>4971</v>
      </c>
      <c r="C2039" s="10">
        <v>0.18</v>
      </c>
      <c r="D2039" s="10">
        <v>0.23</v>
      </c>
    </row>
    <row r="2040" spans="2:4">
      <c r="B2040" t="s">
        <v>2335</v>
      </c>
      <c r="C2040" s="10">
        <f>M2030</f>
        <v>0.17751556391219472</v>
      </c>
      <c r="D2040" s="10">
        <f>M2026</f>
        <v>0.30249027957785596</v>
      </c>
    </row>
    <row r="2041" spans="2:4">
      <c r="B2041" t="s">
        <v>4973</v>
      </c>
      <c r="C2041" s="10">
        <v>0.16131512148268015</v>
      </c>
      <c r="D2041" s="10">
        <v>0.23867089565378335</v>
      </c>
    </row>
    <row r="2042" spans="2:4">
      <c r="B2042" t="s">
        <v>1909</v>
      </c>
      <c r="C2042" s="10">
        <f>M2031</f>
        <v>0.11585055872620016</v>
      </c>
      <c r="D2042" s="10">
        <f>M2027</f>
        <v>0.310939523284255</v>
      </c>
    </row>
    <row r="2068" spans="2:21">
      <c r="B2068" s="149" t="s">
        <v>4981</v>
      </c>
      <c r="C2068" s="149">
        <v>2018</v>
      </c>
      <c r="D2068" s="149">
        <f t="shared" ref="D2068:J2068" si="129">C2068+1</f>
        <v>2019</v>
      </c>
      <c r="E2068" s="149">
        <f t="shared" si="129"/>
        <v>2020</v>
      </c>
      <c r="F2068" s="149">
        <f t="shared" si="129"/>
        <v>2021</v>
      </c>
      <c r="G2068" s="149">
        <f t="shared" si="129"/>
        <v>2022</v>
      </c>
      <c r="H2068" s="149">
        <f t="shared" si="129"/>
        <v>2023</v>
      </c>
      <c r="I2068" s="149">
        <f t="shared" si="129"/>
        <v>2024</v>
      </c>
      <c r="J2068" s="149">
        <f t="shared" si="129"/>
        <v>2025</v>
      </c>
      <c r="L2068" s="149" t="s">
        <v>4983</v>
      </c>
    </row>
    <row r="2069" spans="2:21">
      <c r="B2069" t="s">
        <v>4988</v>
      </c>
      <c r="C2069" s="122">
        <v>2102.1770000000006</v>
      </c>
      <c r="D2069" s="122">
        <v>1947.8409004383952</v>
      </c>
      <c r="E2069" s="122">
        <v>2188.3925210189741</v>
      </c>
      <c r="F2069" s="122">
        <v>2523.6633579052045</v>
      </c>
      <c r="G2069" s="122">
        <v>2926.337628367773</v>
      </c>
      <c r="H2069" s="122">
        <v>3447.5348227139202</v>
      </c>
      <c r="I2069" s="122">
        <v>4304.0946881249329</v>
      </c>
      <c r="J2069" s="122">
        <v>4941.1156643657696</v>
      </c>
      <c r="K2069" s="10"/>
      <c r="L2069" s="122">
        <v>90</v>
      </c>
      <c r="M2069" s="10"/>
      <c r="N2069" s="10"/>
    </row>
    <row r="2070" spans="2:21">
      <c r="B2070" t="s">
        <v>4989</v>
      </c>
      <c r="C2070" s="122">
        <v>2102.1770000000006</v>
      </c>
      <c r="D2070" s="122">
        <v>1947.8409004383952</v>
      </c>
      <c r="E2070" s="122">
        <v>2188.3925210189764</v>
      </c>
      <c r="F2070" s="122">
        <v>2523.6633579052282</v>
      </c>
      <c r="G2070" s="122">
        <v>2666.9892658966473</v>
      </c>
      <c r="H2070" s="122">
        <v>2901.8103627824576</v>
      </c>
      <c r="I2070" s="122">
        <v>3141.0990014069866</v>
      </c>
      <c r="J2070" s="122">
        <v>3403.860517199962</v>
      </c>
      <c r="K2070" s="10"/>
      <c r="L2070" s="122">
        <v>74</v>
      </c>
      <c r="M2070" s="10"/>
      <c r="N2070" s="10"/>
    </row>
    <row r="2071" spans="2:21">
      <c r="B2071" t="s">
        <v>4982</v>
      </c>
      <c r="C2071" s="10">
        <f t="shared" ref="C2071:J2071" si="130">C2070/C2069-1</f>
        <v>0</v>
      </c>
      <c r="D2071" s="10">
        <f t="shared" si="130"/>
        <v>0</v>
      </c>
      <c r="E2071" s="10">
        <f t="shared" si="130"/>
        <v>0</v>
      </c>
      <c r="F2071" s="10">
        <f t="shared" si="130"/>
        <v>9.3258734068513149E-15</v>
      </c>
      <c r="G2071" s="10">
        <f t="shared" si="130"/>
        <v>-8.8625577567337244E-2</v>
      </c>
      <c r="H2071" s="10">
        <f t="shared" si="130"/>
        <v>-0.15829411100824353</v>
      </c>
      <c r="I2071" s="10">
        <f t="shared" si="130"/>
        <v>-0.27020680793261131</v>
      </c>
      <c r="J2071" s="10">
        <f t="shared" si="130"/>
        <v>-0.3111149893235956</v>
      </c>
      <c r="K2071" s="10"/>
      <c r="L2071" s="122"/>
      <c r="M2071" s="10"/>
      <c r="N2071" s="10"/>
    </row>
    <row r="2072" spans="2:21">
      <c r="C2072" s="10"/>
      <c r="D2072" s="10"/>
      <c r="E2072" s="10"/>
      <c r="F2072" s="10"/>
      <c r="G2072" s="10"/>
      <c r="H2072" s="10"/>
      <c r="I2072" s="10"/>
      <c r="J2072" s="10"/>
      <c r="K2072" s="10"/>
      <c r="L2072" s="10"/>
      <c r="M2072" s="10"/>
      <c r="N2072" s="10"/>
    </row>
    <row r="2073" spans="2:21">
      <c r="B2073" s="42" t="s">
        <v>4764</v>
      </c>
      <c r="C2073" s="10"/>
      <c r="D2073" s="10"/>
      <c r="E2073" s="10"/>
      <c r="F2073" s="10"/>
      <c r="G2073" s="10"/>
      <c r="H2073" s="10"/>
      <c r="I2073" s="10"/>
      <c r="J2073" s="10"/>
      <c r="K2073" s="10"/>
      <c r="L2073" s="10"/>
      <c r="M2073" s="10"/>
      <c r="N2073" s="10"/>
    </row>
    <row r="2074" spans="2:21">
      <c r="B2074" s="42" t="s">
        <v>372</v>
      </c>
      <c r="C2074" s="10"/>
      <c r="D2074" s="10"/>
      <c r="E2074" s="10"/>
      <c r="F2074" s="10"/>
      <c r="G2074" s="10"/>
      <c r="H2074" s="10"/>
      <c r="I2074" s="10"/>
      <c r="J2074" s="10"/>
      <c r="K2074" s="10"/>
      <c r="L2074" s="10"/>
      <c r="M2074" s="10"/>
      <c r="N2074" s="10"/>
    </row>
    <row r="2075" spans="2:21">
      <c r="B2075" t="s">
        <v>4984</v>
      </c>
      <c r="C2075" s="122">
        <f>Valuation!N32*Master!Q92</f>
        <v>-6336.4500000000016</v>
      </c>
      <c r="D2075" s="122">
        <f>Valuation!O32*Master!R92</f>
        <v>1558.974999999999</v>
      </c>
      <c r="E2075" s="122">
        <f>Valuation!P32*Master!S92</f>
        <v>1357.487999999998</v>
      </c>
      <c r="F2075" s="122">
        <f>Valuation!Q32*Master!T92</f>
        <v>-3236.8922704130696</v>
      </c>
      <c r="G2075" s="122">
        <f>Valuation!R32*Master!U92</f>
        <v>-13936.812500000005</v>
      </c>
      <c r="H2075" s="122">
        <f>Valuation!S32*Master!V92</f>
        <v>-4241.3849999999975</v>
      </c>
      <c r="I2075" s="122">
        <f ca="1">Valuation!T32*Master!W92</f>
        <v>2337.5805612914396</v>
      </c>
      <c r="J2075" s="122">
        <f ca="1">Valuation!U32*Master!X92</f>
        <v>4060.386282554276</v>
      </c>
      <c r="L2075" s="427">
        <v>14</v>
      </c>
      <c r="N2075" s="122">
        <f>Valuation!AD32*Master!AG92</f>
        <v>0</v>
      </c>
      <c r="O2075" s="122">
        <f>Valuation!AE32*Master!AH92</f>
        <v>0</v>
      </c>
      <c r="P2075" s="122">
        <f>Valuation!AF32*Master!AI92</f>
        <v>0</v>
      </c>
      <c r="Q2075" s="122">
        <f>Valuation!AG32*Master!AJ92</f>
        <v>0</v>
      </c>
      <c r="R2075" s="122">
        <f>Valuation!AH32*Master!AK92</f>
        <v>0</v>
      </c>
      <c r="S2075" s="122">
        <f>Valuation!AI32*Master!AL92</f>
        <v>0</v>
      </c>
      <c r="T2075" s="122">
        <f>Valuation!AJ32*Master!AM92</f>
        <v>0</v>
      </c>
      <c r="U2075" s="122">
        <f>Valuation!AK32*Master!AN92</f>
        <v>0</v>
      </c>
    </row>
    <row r="2076" spans="2:21">
      <c r="B2076" t="s">
        <v>4985</v>
      </c>
      <c r="C2076" s="122">
        <v>-6336.4500000000016</v>
      </c>
      <c r="D2076" s="122">
        <v>-4.6510387079082092</v>
      </c>
      <c r="E2076" s="122">
        <v>1517.0293172625968</v>
      </c>
      <c r="F2076" s="122">
        <v>3951.0360586831716</v>
      </c>
      <c r="G2076" s="122">
        <v>5022.9242943414829</v>
      </c>
      <c r="H2076" s="122">
        <v>6089.4407536125009</v>
      </c>
      <c r="I2076" s="122">
        <v>6415.1246092898173</v>
      </c>
      <c r="J2076" s="122">
        <v>7300.8630329600619</v>
      </c>
      <c r="L2076">
        <v>11.5</v>
      </c>
    </row>
    <row r="2077" spans="2:21">
      <c r="B2077" t="s">
        <v>4982</v>
      </c>
      <c r="C2077" s="10">
        <f t="shared" ref="C2077:J2077" si="131">C2076/C2075-1</f>
        <v>0</v>
      </c>
      <c r="D2077" s="10">
        <f t="shared" si="131"/>
        <v>-1.002983395312887</v>
      </c>
      <c r="E2077" s="10">
        <f t="shared" si="131"/>
        <v>0.11752687114921012</v>
      </c>
      <c r="F2077" s="10">
        <f t="shared" si="131"/>
        <v>-2.2206263689396644</v>
      </c>
      <c r="G2077" s="10">
        <f t="shared" si="131"/>
        <v>-1.3604069649599921</v>
      </c>
      <c r="H2077" s="10">
        <f t="shared" si="131"/>
        <v>-2.4357198777315676</v>
      </c>
      <c r="I2077" s="10">
        <f t="shared" ca="1" si="131"/>
        <v>1.744343752476134</v>
      </c>
      <c r="J2077" s="10">
        <f t="shared" ca="1" si="131"/>
        <v>0.798071051596424</v>
      </c>
    </row>
    <row r="2078" spans="2:21">
      <c r="C2078" s="122"/>
      <c r="D2078" s="122"/>
      <c r="E2078" s="122"/>
      <c r="F2078" s="122"/>
      <c r="G2078" s="122"/>
      <c r="H2078" s="122"/>
      <c r="I2078" s="122"/>
      <c r="J2078" s="122"/>
    </row>
    <row r="2079" spans="2:21">
      <c r="B2079" s="42" t="s">
        <v>203</v>
      </c>
    </row>
    <row r="2080" spans="2:21">
      <c r="B2080" t="s">
        <v>4986</v>
      </c>
      <c r="C2080" s="122">
        <f>Master!Q114</f>
        <v>2501.75</v>
      </c>
      <c r="D2080" s="122">
        <f>Master!R114</f>
        <v>4831.1999999999989</v>
      </c>
      <c r="E2080" s="122">
        <f>Master!S114</f>
        <v>4667.7999999999993</v>
      </c>
      <c r="F2080" s="122">
        <f>Master!T114</f>
        <v>2951.0222390845338</v>
      </c>
      <c r="G2080" s="122">
        <f>Master!U114</f>
        <v>6913.7510000000002</v>
      </c>
      <c r="H2080" s="122">
        <f>Master!V114</f>
        <v>7616.9</v>
      </c>
      <c r="I2080" s="122">
        <f>Master!W114</f>
        <v>7564.3875000000007</v>
      </c>
      <c r="J2080" s="122">
        <f>Master!X114</f>
        <v>7886.4840000000004</v>
      </c>
      <c r="K2080" s="10"/>
      <c r="L2080" s="427"/>
      <c r="N2080" s="10"/>
      <c r="O2080" s="10"/>
      <c r="P2080" s="10"/>
    </row>
    <row r="2081" spans="2:21">
      <c r="B2081" t="s">
        <v>4987</v>
      </c>
      <c r="C2081" s="122">
        <v>2501.75</v>
      </c>
      <c r="D2081" s="122">
        <v>4375.1347499999993</v>
      </c>
      <c r="E2081" s="122">
        <v>6187.6905750000005</v>
      </c>
      <c r="F2081" s="122">
        <v>7672.7363130000012</v>
      </c>
      <c r="G2081" s="122">
        <v>8286.5552180400009</v>
      </c>
      <c r="H2081" s="122">
        <v>8949.4796354831997</v>
      </c>
      <c r="I2081" s="122">
        <v>9665.4380063218559</v>
      </c>
      <c r="J2081" s="122">
        <v>10438.673046827604</v>
      </c>
      <c r="N2081" s="122">
        <f>Master!AE114</f>
        <v>0</v>
      </c>
      <c r="O2081" s="122">
        <f>Master!AF114</f>
        <v>0</v>
      </c>
      <c r="P2081" s="122">
        <f>Master!AG114</f>
        <v>0</v>
      </c>
      <c r="Q2081" s="122">
        <f>Master!AH114</f>
        <v>0</v>
      </c>
      <c r="R2081" s="122">
        <f>Master!AI114</f>
        <v>0</v>
      </c>
      <c r="S2081" s="122">
        <f>Master!AJ114</f>
        <v>0</v>
      </c>
      <c r="T2081" s="122">
        <f>Master!AK114</f>
        <v>0</v>
      </c>
      <c r="U2081" s="122">
        <f>Master!AL114</f>
        <v>0</v>
      </c>
    </row>
    <row r="2082" spans="2:21">
      <c r="B2082" t="s">
        <v>4982</v>
      </c>
      <c r="C2082" s="10">
        <f t="shared" ref="C2082:J2082" si="132">C2081/C2080-1</f>
        <v>0</v>
      </c>
      <c r="D2082" s="10">
        <f t="shared" si="132"/>
        <v>-9.4399993790362569E-2</v>
      </c>
      <c r="E2082" s="10">
        <f t="shared" si="132"/>
        <v>0.32561176035819894</v>
      </c>
      <c r="F2082" s="10">
        <f t="shared" si="132"/>
        <v>1.6000265980307344</v>
      </c>
      <c r="G2082" s="10">
        <f t="shared" si="132"/>
        <v>0.19856142028256452</v>
      </c>
      <c r="H2082" s="10">
        <f t="shared" si="132"/>
        <v>0.17495039129871737</v>
      </c>
      <c r="I2082" s="10">
        <f t="shared" si="132"/>
        <v>0.2777555362310371</v>
      </c>
      <c r="J2082" s="10">
        <f t="shared" si="132"/>
        <v>0.32361557404130958</v>
      </c>
    </row>
    <row r="2087" spans="2:21">
      <c r="B2087" s="61"/>
      <c r="C2087" s="61">
        <v>2019</v>
      </c>
      <c r="D2087" s="61">
        <f>C2087+1</f>
        <v>2020</v>
      </c>
      <c r="E2087" s="61">
        <f>D2087+1</f>
        <v>2021</v>
      </c>
    </row>
    <row r="2088" spans="2:21">
      <c r="B2088" t="s">
        <v>1042</v>
      </c>
      <c r="C2088" s="10">
        <f>Valuation!O48</f>
        <v>4.484386342408074E-2</v>
      </c>
      <c r="D2088" s="10">
        <f>Valuation!P48</f>
        <v>3.4879461290965287E-2</v>
      </c>
      <c r="E2088" s="10">
        <f>Valuation!Q48</f>
        <v>-8.8066375785914766E-2</v>
      </c>
    </row>
    <row r="2089" spans="2:21">
      <c r="B2089" t="s">
        <v>2335</v>
      </c>
      <c r="C2089" s="10">
        <v>2.7311924902426496E-2</v>
      </c>
      <c r="D2089" s="10">
        <v>3.250484201899792E-2</v>
      </c>
      <c r="E2089" s="10">
        <v>3.9391165704192418E-2</v>
      </c>
    </row>
    <row r="2107" spans="2:4">
      <c r="B2107" t="s">
        <v>4999</v>
      </c>
    </row>
    <row r="2110" spans="2:4" ht="16.5" thickBot="1">
      <c r="B2110" s="67"/>
      <c r="C2110" s="111" t="s">
        <v>380</v>
      </c>
      <c r="D2110" s="68" t="s">
        <v>574</v>
      </c>
    </row>
    <row r="2111" spans="2:4" ht="16.5" thickBot="1">
      <c r="B2111" s="66" t="str">
        <f>SOP!B4</f>
        <v xml:space="preserve">Content </v>
      </c>
      <c r="C2111" s="608">
        <f>SOP!D4</f>
        <v>0</v>
      </c>
      <c r="D2111" s="125">
        <f>SOP!G4</f>
        <v>0</v>
      </c>
    </row>
    <row r="2112" spans="2:4" ht="16.5" thickBot="1">
      <c r="B2112" s="66" t="str">
        <f>SOP!B5</f>
        <v>Sky</v>
      </c>
      <c r="C2112" s="156">
        <f>SOP!D5</f>
        <v>2.6973558160751723</v>
      </c>
      <c r="D2112" s="125">
        <f ca="1">SOP!G5-SOP!G18</f>
        <v>779.43221057187702</v>
      </c>
    </row>
    <row r="2113" spans="2:5" ht="16.5" thickBot="1">
      <c r="B2113" s="66" t="str">
        <f>SOP!B6</f>
        <v>Cable cos</v>
      </c>
      <c r="C2113" s="604">
        <f>SOP!D6</f>
        <v>3.3195057813632167</v>
      </c>
      <c r="D2113" s="125">
        <f>SOP!G6-SOP!G19</f>
        <v>3020.1772353097185</v>
      </c>
    </row>
    <row r="2114" spans="2:5" ht="15.75">
      <c r="B2114" s="66" t="str">
        <f>SOP!B8</f>
        <v>HQ/other central</v>
      </c>
      <c r="C2114" s="156">
        <f>SOP!D8</f>
        <v>-15.900308755383659</v>
      </c>
      <c r="D2114" s="125">
        <f>SOP!G8</f>
        <v>-1177.0111155928166</v>
      </c>
    </row>
    <row r="2115" spans="2:5" ht="15.75">
      <c r="B2115" s="66" t="s">
        <v>5004</v>
      </c>
      <c r="C2115" s="156">
        <v>8.5</v>
      </c>
      <c r="D2115" s="125">
        <f ca="1">SOP!G11+SOP!G12</f>
        <v>1180.5189279348367</v>
      </c>
    </row>
    <row r="2116" spans="2:5" ht="15.75">
      <c r="B2116" s="67" t="s">
        <v>44</v>
      </c>
      <c r="C2116" s="67"/>
      <c r="D2116" s="67" t="e">
        <f>SOP!#REF!+SOP!G14</f>
        <v>#REF!</v>
      </c>
    </row>
    <row r="2117" spans="2:5" ht="16.5">
      <c r="B2117" s="66" t="s">
        <v>5007</v>
      </c>
      <c r="C2117" s="115"/>
      <c r="D2117" s="125" t="e">
        <f ca="1">SUM(D2111:D2116)</f>
        <v>#REF!</v>
      </c>
    </row>
    <row r="2118" spans="2:5" ht="16.5">
      <c r="B2118" s="66"/>
      <c r="C2118" s="115"/>
      <c r="D2118" s="125"/>
    </row>
    <row r="2119" spans="2:5" ht="15.75">
      <c r="B2119" s="66" t="s">
        <v>5005</v>
      </c>
      <c r="C2119" s="66"/>
      <c r="D2119" s="125">
        <f ca="1">SOP!G24</f>
        <v>3458.2892069071536</v>
      </c>
    </row>
    <row r="2120" spans="2:5" ht="15.75">
      <c r="B2120" s="66" t="s">
        <v>5006</v>
      </c>
      <c r="C2120" s="66"/>
      <c r="D2120" s="125">
        <f>SOP!G25+SOP!G26</f>
        <v>542.97976047870714</v>
      </c>
    </row>
    <row r="2121" spans="2:5" ht="16.5" thickBot="1">
      <c r="B2121" s="66" t="s">
        <v>530</v>
      </c>
      <c r="C2121" s="66"/>
      <c r="D2121" s="125">
        <f ca="1">SOP!G27</f>
        <v>1298.6615374899388</v>
      </c>
    </row>
    <row r="2122" spans="2:5" ht="16.5" thickBot="1">
      <c r="B2122" s="602" t="s">
        <v>5008</v>
      </c>
      <c r="C2122" s="558"/>
      <c r="D2122" s="603">
        <f ca="1">SOP!G35</f>
        <v>3.2037910886818382</v>
      </c>
    </row>
    <row r="2124" spans="2:5">
      <c r="D2124" t="s">
        <v>1889</v>
      </c>
      <c r="E2124" t="s">
        <v>5049</v>
      </c>
    </row>
    <row r="2125" spans="2:5">
      <c r="C2125" s="264" t="s">
        <v>4480</v>
      </c>
      <c r="D2125">
        <v>18</v>
      </c>
    </row>
    <row r="2126" spans="2:5">
      <c r="C2126" s="264" t="s">
        <v>5039</v>
      </c>
      <c r="D2126">
        <v>623</v>
      </c>
    </row>
    <row r="2127" spans="2:5">
      <c r="C2127" s="264" t="s">
        <v>5040</v>
      </c>
      <c r="D2127">
        <v>105</v>
      </c>
    </row>
    <row r="2128" spans="2:5">
      <c r="C2128" s="264" t="s">
        <v>5041</v>
      </c>
      <c r="D2128">
        <v>361</v>
      </c>
    </row>
    <row r="2129" spans="2:5">
      <c r="C2129" s="264" t="s">
        <v>5042</v>
      </c>
      <c r="D2129">
        <v>184</v>
      </c>
    </row>
    <row r="2130" spans="2:5">
      <c r="C2130" s="264" t="s">
        <v>5043</v>
      </c>
      <c r="D2130">
        <v>527</v>
      </c>
    </row>
    <row r="2131" spans="2:5">
      <c r="C2131" s="264" t="s">
        <v>5044</v>
      </c>
      <c r="D2131">
        <v>0</v>
      </c>
      <c r="E2131">
        <f>D2131</f>
        <v>0</v>
      </c>
    </row>
    <row r="2132" spans="2:5">
      <c r="C2132" s="264" t="s">
        <v>5045</v>
      </c>
      <c r="D2132">
        <v>0</v>
      </c>
      <c r="E2132">
        <f>D2132</f>
        <v>0</v>
      </c>
    </row>
    <row r="2133" spans="2:5">
      <c r="C2133" s="264" t="s">
        <v>5046</v>
      </c>
      <c r="D2133">
        <v>237</v>
      </c>
      <c r="E2133">
        <f>D2133</f>
        <v>237</v>
      </c>
    </row>
    <row r="2134" spans="2:5">
      <c r="C2134" s="264" t="s">
        <v>5047</v>
      </c>
      <c r="D2134">
        <v>0</v>
      </c>
      <c r="E2134">
        <f>D2134</f>
        <v>0</v>
      </c>
    </row>
    <row r="2135" spans="2:5">
      <c r="C2135" s="264" t="s">
        <v>5048</v>
      </c>
      <c r="D2135">
        <v>0</v>
      </c>
      <c r="E2135">
        <v>300</v>
      </c>
    </row>
    <row r="2136" spans="2:5">
      <c r="C2136" s="264" t="s">
        <v>5047</v>
      </c>
      <c r="D2136">
        <v>0</v>
      </c>
      <c r="E2136">
        <f>D2136</f>
        <v>0</v>
      </c>
    </row>
    <row r="2137" spans="2:5">
      <c r="C2137" s="606">
        <v>2037</v>
      </c>
      <c r="D2137">
        <v>237</v>
      </c>
    </row>
    <row r="2138" spans="2:5">
      <c r="C2138" s="606">
        <v>2040</v>
      </c>
      <c r="D2138">
        <v>0</v>
      </c>
      <c r="E2138">
        <v>600</v>
      </c>
    </row>
    <row r="2139" spans="2:5">
      <c r="C2139" s="606">
        <v>2043</v>
      </c>
      <c r="D2139">
        <v>342</v>
      </c>
    </row>
    <row r="2140" spans="2:5">
      <c r="C2140" s="606">
        <v>2045</v>
      </c>
      <c r="E2140">
        <v>1000</v>
      </c>
    </row>
    <row r="2141" spans="2:5">
      <c r="C2141" s="606">
        <v>2046</v>
      </c>
      <c r="E2141">
        <v>900</v>
      </c>
    </row>
    <row r="2142" spans="2:5">
      <c r="C2142" s="136">
        <v>2049</v>
      </c>
      <c r="E2142">
        <v>750</v>
      </c>
    </row>
    <row r="2144" spans="2:5">
      <c r="B2144" t="s">
        <v>5062</v>
      </c>
    </row>
    <row r="2146" spans="1:5">
      <c r="C2146">
        <v>2020</v>
      </c>
      <c r="E2146" t="s">
        <v>5061</v>
      </c>
    </row>
    <row r="2147" spans="1:5">
      <c r="C2147" t="s">
        <v>380</v>
      </c>
      <c r="D2147" t="s">
        <v>5058</v>
      </c>
    </row>
    <row r="2148" spans="1:5">
      <c r="A2148" t="s">
        <v>3222</v>
      </c>
      <c r="B2148" t="s">
        <v>5050</v>
      </c>
      <c r="C2148">
        <v>3.7</v>
      </c>
      <c r="D2148" s="10">
        <v>2E-3</v>
      </c>
      <c r="E2148" s="10">
        <v>0.161</v>
      </c>
    </row>
    <row r="2149" spans="1:5">
      <c r="A2149" t="s">
        <v>3219</v>
      </c>
      <c r="B2149" t="s">
        <v>5051</v>
      </c>
      <c r="C2149">
        <v>7.1</v>
      </c>
      <c r="D2149" s="10">
        <v>0.01</v>
      </c>
      <c r="E2149" s="10">
        <v>0.20399999999999999</v>
      </c>
    </row>
    <row r="2150" spans="1:5">
      <c r="A2150" t="s">
        <v>5053</v>
      </c>
      <c r="B2150" t="s">
        <v>5052</v>
      </c>
      <c r="C2150">
        <v>4.5999999999999996</v>
      </c>
      <c r="D2150" s="10">
        <v>-3.0000000000000001E-3</v>
      </c>
      <c r="E2150" s="10">
        <v>0.18</v>
      </c>
    </row>
    <row r="2151" spans="1:5">
      <c r="A2151" t="s">
        <v>5055</v>
      </c>
      <c r="B2151" t="s">
        <v>5054</v>
      </c>
      <c r="C2151">
        <v>4.3</v>
      </c>
      <c r="D2151" s="10">
        <v>4.7E-2</v>
      </c>
      <c r="E2151" s="10">
        <v>0.19400000000000001</v>
      </c>
    </row>
    <row r="2152" spans="1:5">
      <c r="A2152" t="s">
        <v>1949</v>
      </c>
      <c r="B2152" t="s">
        <v>5056</v>
      </c>
      <c r="C2152">
        <v>3.9</v>
      </c>
      <c r="D2152" s="10">
        <v>3.2000000000000001E-2</v>
      </c>
      <c r="E2152" s="10">
        <v>0.16300000000000001</v>
      </c>
    </row>
    <row r="2153" spans="1:5">
      <c r="A2153" t="s">
        <v>3220</v>
      </c>
      <c r="B2153" t="s">
        <v>5057</v>
      </c>
      <c r="C2153">
        <v>3.1</v>
      </c>
      <c r="D2153" s="10">
        <v>8.0000000000000002E-3</v>
      </c>
      <c r="E2153" s="10">
        <v>0.108</v>
      </c>
    </row>
    <row r="2155" spans="1:5">
      <c r="B2155" t="s">
        <v>5059</v>
      </c>
      <c r="C2155">
        <v>10.7</v>
      </c>
      <c r="D2155" s="10">
        <v>0.223</v>
      </c>
      <c r="E2155" s="10">
        <v>0.20300000000000001</v>
      </c>
    </row>
    <row r="2156" spans="1:5">
      <c r="B2156" t="s">
        <v>5060</v>
      </c>
      <c r="C2156">
        <v>11.2</v>
      </c>
      <c r="D2156" s="10">
        <v>4.2999999999999997E-2</v>
      </c>
      <c r="E2156" s="10">
        <v>0.123</v>
      </c>
    </row>
    <row r="2158" spans="1:5">
      <c r="B2158" t="s">
        <v>2217</v>
      </c>
      <c r="C2158">
        <v>8.5</v>
      </c>
    </row>
    <row r="2159" spans="1:5">
      <c r="B2159" t="s">
        <v>2216</v>
      </c>
      <c r="C2159">
        <v>19.7</v>
      </c>
    </row>
    <row r="2162" spans="2:3">
      <c r="B2162" t="s">
        <v>2216</v>
      </c>
      <c r="C2162">
        <v>18.5</v>
      </c>
    </row>
    <row r="2163" spans="2:3">
      <c r="B2163" t="s">
        <v>5064</v>
      </c>
      <c r="C2163" s="419">
        <v>15</v>
      </c>
    </row>
    <row r="2164" spans="2:3">
      <c r="B2164" t="s">
        <v>2217</v>
      </c>
      <c r="C2164">
        <v>8.5</v>
      </c>
    </row>
    <row r="2165" spans="2:3">
      <c r="B2165" t="s">
        <v>5051</v>
      </c>
      <c r="C2165">
        <v>7.1</v>
      </c>
    </row>
    <row r="2166" spans="2:3">
      <c r="B2166" t="s">
        <v>5056</v>
      </c>
      <c r="C2166" s="419">
        <v>5</v>
      </c>
    </row>
    <row r="2167" spans="2:3">
      <c r="B2167" t="s">
        <v>5063</v>
      </c>
      <c r="C2167">
        <v>4.5</v>
      </c>
    </row>
    <row r="2177" spans="2:7">
      <c r="B2177" s="61" t="s">
        <v>1889</v>
      </c>
      <c r="C2177" s="130">
        <v>2015</v>
      </c>
      <c r="D2177" s="130">
        <v>2016</v>
      </c>
      <c r="E2177" s="130">
        <f>D2177+1</f>
        <v>2017</v>
      </c>
      <c r="F2177" s="130">
        <f>E2177+1</f>
        <v>2018</v>
      </c>
      <c r="G2177" s="130">
        <v>2019</v>
      </c>
    </row>
    <row r="2178" spans="2:7">
      <c r="B2178" t="s">
        <v>319</v>
      </c>
      <c r="C2178">
        <v>922.8</v>
      </c>
      <c r="D2178">
        <v>2112</v>
      </c>
      <c r="E2178">
        <v>1223</v>
      </c>
      <c r="F2178">
        <v>1597</v>
      </c>
    </row>
    <row r="2179" spans="2:7">
      <c r="B2179" t="s">
        <v>5073</v>
      </c>
      <c r="C2179">
        <v>712</v>
      </c>
      <c r="D2179">
        <v>676</v>
      </c>
      <c r="E2179">
        <v>426</v>
      </c>
      <c r="F2179">
        <v>428</v>
      </c>
    </row>
    <row r="2180" spans="2:7">
      <c r="B2180" s="61" t="s">
        <v>44</v>
      </c>
      <c r="C2180" s="61"/>
      <c r="D2180" s="61"/>
      <c r="E2180" s="61"/>
      <c r="F2180" s="61">
        <v>5754</v>
      </c>
      <c r="G2180" s="61"/>
    </row>
    <row r="2181" spans="2:7">
      <c r="B2181" t="s">
        <v>5074</v>
      </c>
      <c r="C2181" s="4">
        <f>C2178+C2179+C2180</f>
        <v>1634.8</v>
      </c>
      <c r="D2181">
        <f>D2178+D2179+D2180</f>
        <v>2788</v>
      </c>
      <c r="E2181">
        <f>E2178+E2179+E2180</f>
        <v>1649</v>
      </c>
      <c r="F2181">
        <f>F2178+F2179+F2180</f>
        <v>7779</v>
      </c>
      <c r="G2181" s="4">
        <v>2093.5</v>
      </c>
    </row>
    <row r="2182" spans="2:7">
      <c r="B2182" t="s">
        <v>202</v>
      </c>
      <c r="C2182" s="10">
        <f>C2181/Master!N5</f>
        <v>1.8566301730795438E-2</v>
      </c>
      <c r="D2182" s="10">
        <f>D2181/Master!O5</f>
        <v>2.8954982687246722E-2</v>
      </c>
      <c r="E2182" s="10">
        <f>E2181/Master!P5</f>
        <v>1.7491381596393529E-2</v>
      </c>
      <c r="F2182" s="10">
        <f>F2181/Master!Q5</f>
        <v>7.6784127924193077E-2</v>
      </c>
      <c r="G2182" s="10">
        <f>G2181/Master!R5</f>
        <v>2.0799677299489519E-2</v>
      </c>
    </row>
    <row r="2183" spans="2:7">
      <c r="B2183" t="s">
        <v>5178</v>
      </c>
      <c r="C2183" s="10">
        <f>Master!N107</f>
        <v>0.28934831690364787</v>
      </c>
      <c r="D2183" s="10">
        <f>Master!O107</f>
        <v>0.28989338168856987</v>
      </c>
      <c r="E2183" s="10">
        <f>Master!P107</f>
        <v>0.17736229116945104</v>
      </c>
      <c r="F2183" s="10">
        <f>Master!Q107</f>
        <v>0.18419652551574375</v>
      </c>
      <c r="G2183" s="10">
        <f>Master!R107</f>
        <v>0.18943876141821309</v>
      </c>
    </row>
    <row r="2185" spans="2:7">
      <c r="B2185" s="607" t="s">
        <v>5075</v>
      </c>
    </row>
    <row r="2189" spans="2:7">
      <c r="B2189" s="42" t="s">
        <v>5174</v>
      </c>
    </row>
    <row r="2190" spans="2:7">
      <c r="B2190" t="s">
        <v>5173</v>
      </c>
      <c r="C2190">
        <f>C2193-C2192-C2191</f>
        <v>1644</v>
      </c>
      <c r="D2190" s="8">
        <f>C2190/C$2193</f>
        <v>8.7196350906969339E-2</v>
      </c>
    </row>
    <row r="2191" spans="2:7">
      <c r="B2191" t="s">
        <v>5172</v>
      </c>
      <c r="C2191">
        <v>16589</v>
      </c>
      <c r="D2191" s="8">
        <f>C2191/C$2193</f>
        <v>0.87986634135992359</v>
      </c>
    </row>
    <row r="2192" spans="2:7">
      <c r="B2192" s="61" t="s">
        <v>5171</v>
      </c>
      <c r="C2192" s="61">
        <v>621</v>
      </c>
      <c r="D2192" s="457">
        <f>C2192/C$2193</f>
        <v>3.2937307733107032E-2</v>
      </c>
    </row>
    <row r="2193" spans="2:4">
      <c r="B2193" t="s">
        <v>508</v>
      </c>
      <c r="C2193">
        <v>18854</v>
      </c>
      <c r="D2193" s="8">
        <f>C2193/C$2193</f>
        <v>1</v>
      </c>
    </row>
    <row r="2195" spans="2:4">
      <c r="B2195" t="s">
        <v>5170</v>
      </c>
      <c r="C2195" s="4">
        <f>C$2193*D2195</f>
        <v>7164.52</v>
      </c>
      <c r="D2195" s="8">
        <v>0.38</v>
      </c>
    </row>
    <row r="2196" spans="2:4">
      <c r="B2196" t="s">
        <v>1819</v>
      </c>
      <c r="C2196" s="4">
        <f>C$2193*D2196</f>
        <v>6975.98</v>
      </c>
      <c r="D2196" s="8">
        <v>0.37</v>
      </c>
    </row>
    <row r="2197" spans="2:4">
      <c r="B2197" t="s">
        <v>5169</v>
      </c>
      <c r="C2197" s="4">
        <f>C$2193*D2197</f>
        <v>4147.88</v>
      </c>
      <c r="D2197" s="8">
        <v>0.22</v>
      </c>
    </row>
    <row r="2198" spans="2:4">
      <c r="B2198" t="s">
        <v>44</v>
      </c>
      <c r="C2198" s="4">
        <f>C$2193*D2198</f>
        <v>565.62000000000046</v>
      </c>
      <c r="D2198" s="8">
        <f>100%-D2197-D2196-D2195</f>
        <v>3.0000000000000027E-2</v>
      </c>
    </row>
    <row r="2200" spans="2:4">
      <c r="B2200" t="s">
        <v>5175</v>
      </c>
      <c r="C2200">
        <v>1386</v>
      </c>
    </row>
    <row r="2201" spans="2:4">
      <c r="B2201" t="s">
        <v>5176</v>
      </c>
      <c r="C2201" s="4">
        <f>C2197-C2200</f>
        <v>2761.88</v>
      </c>
    </row>
    <row r="2203" spans="2:4">
      <c r="B2203" t="s">
        <v>5177</v>
      </c>
      <c r="C2203">
        <v>9722</v>
      </c>
    </row>
    <row r="2204" spans="2:4">
      <c r="B2204" t="s">
        <v>1613</v>
      </c>
      <c r="C2204" s="8">
        <f>C2201/C2203</f>
        <v>0.28408557909895082</v>
      </c>
    </row>
    <row r="2207" spans="2:4" ht="15.75">
      <c r="B2207" s="611" t="s">
        <v>5324</v>
      </c>
    </row>
    <row r="2209" spans="2:11" ht="15.75">
      <c r="B2209" s="217" t="s">
        <v>2902</v>
      </c>
      <c r="C2209" s="217">
        <v>2020</v>
      </c>
      <c r="D2209" s="217">
        <f>C2209+1</f>
        <v>2021</v>
      </c>
      <c r="E2209" s="217">
        <f>D2209+1</f>
        <v>2022</v>
      </c>
      <c r="F2209" s="217">
        <f>E2209+1</f>
        <v>2023</v>
      </c>
      <c r="G2209" s="217">
        <f>F2209+1</f>
        <v>2024</v>
      </c>
      <c r="H2209" s="217">
        <f>G2209+1</f>
        <v>2025</v>
      </c>
      <c r="J2209" t="s">
        <v>84</v>
      </c>
      <c r="K2209" t="s">
        <v>84</v>
      </c>
    </row>
    <row r="2210" spans="2:11" ht="15.75">
      <c r="B2210" s="66" t="s">
        <v>200</v>
      </c>
      <c r="C2210" s="125">
        <f>Master!S5</f>
        <v>97138.3</v>
      </c>
      <c r="D2210" s="125">
        <f>Master!T5</f>
        <v>103521.8</v>
      </c>
      <c r="E2210" s="125">
        <f>Master!U5</f>
        <v>75526.600000000006</v>
      </c>
      <c r="F2210" s="125">
        <f>Master!V5</f>
        <v>73767.900000000009</v>
      </c>
      <c r="G2210" s="125">
        <f>Master!W5</f>
        <v>64302.151064570928</v>
      </c>
      <c r="H2210" s="125">
        <f>Master!X5</f>
        <v>63593.794268350568</v>
      </c>
    </row>
    <row r="2211" spans="2:11" ht="15.75">
      <c r="B2211" s="66" t="s">
        <v>57</v>
      </c>
      <c r="C2211" s="125">
        <f>Master!S13</f>
        <v>38810.299999999996</v>
      </c>
      <c r="D2211" s="125">
        <f>Master!T13</f>
        <v>43601.599999999999</v>
      </c>
      <c r="E2211" s="125">
        <f>Master!U13</f>
        <v>25536.03</v>
      </c>
      <c r="F2211" s="125">
        <f>Master!V13</f>
        <v>24218.100000000002</v>
      </c>
      <c r="G2211" s="125">
        <f>Master!W13</f>
        <v>24362.760803532561</v>
      </c>
      <c r="H2211" s="125">
        <f>Master!X13</f>
        <v>21401.905240149226</v>
      </c>
    </row>
    <row r="2212" spans="2:11" ht="15.75">
      <c r="B2212" s="66" t="s">
        <v>158</v>
      </c>
      <c r="C2212" s="69">
        <f t="shared" ref="C2212:H2212" si="133">C2211/C2210</f>
        <v>0.39953653708166598</v>
      </c>
      <c r="D2212" s="69">
        <f t="shared" si="133"/>
        <v>0.4211827846888288</v>
      </c>
      <c r="E2212" s="69">
        <f t="shared" si="133"/>
        <v>0.33810644196878975</v>
      </c>
      <c r="F2212" s="69">
        <f t="shared" si="133"/>
        <v>0.32830133432021247</v>
      </c>
      <c r="G2212" s="69">
        <f t="shared" si="133"/>
        <v>0.37887940605700682</v>
      </c>
      <c r="H2212" s="69">
        <f t="shared" si="133"/>
        <v>0.33654078179135399</v>
      </c>
    </row>
    <row r="2213" spans="2:11" ht="15.75">
      <c r="B2213" s="66" t="s">
        <v>201</v>
      </c>
      <c r="C2213" s="125">
        <f>Master!S90</f>
        <v>20178.311999999998</v>
      </c>
      <c r="D2213" s="125">
        <f>Master!T90</f>
        <v>23310.092270413064</v>
      </c>
      <c r="E2213" s="125">
        <f>Master!U90</f>
        <v>17214.16</v>
      </c>
      <c r="F2213" s="125">
        <f>Master!V90</f>
        <v>14664.45</v>
      </c>
      <c r="G2213" s="125">
        <f>Master!W90</f>
        <v>12866.448770046549</v>
      </c>
      <c r="H2213" s="125">
        <f>Master!X90</f>
        <v>12292.698727155317</v>
      </c>
    </row>
    <row r="2214" spans="2:11" ht="15.75">
      <c r="B2214" s="66" t="s">
        <v>202</v>
      </c>
      <c r="C2214" s="69">
        <f t="shared" ref="C2214:H2214" si="134">C2213/C2210</f>
        <v>0.20772766251828576</v>
      </c>
      <c r="D2214" s="69">
        <f t="shared" si="134"/>
        <v>0.22517085551461685</v>
      </c>
      <c r="E2214" s="69">
        <f t="shared" si="134"/>
        <v>0.22792181827329708</v>
      </c>
      <c r="F2214" s="69">
        <f t="shared" si="134"/>
        <v>0.19879175088351436</v>
      </c>
      <c r="G2214" s="69">
        <f t="shared" si="134"/>
        <v>0.20009359806838062</v>
      </c>
      <c r="H2214" s="69">
        <f t="shared" si="134"/>
        <v>0.19330028768661098</v>
      </c>
    </row>
    <row r="2215" spans="2:11" ht="15.75">
      <c r="B2215" s="66" t="s">
        <v>203</v>
      </c>
      <c r="C2215" s="125">
        <f t="shared" ref="C2215:H2215" si="135">C2211-C2213</f>
        <v>18631.987999999998</v>
      </c>
      <c r="D2215" s="125">
        <f t="shared" si="135"/>
        <v>20291.507729586934</v>
      </c>
      <c r="E2215" s="125">
        <f t="shared" si="135"/>
        <v>8321.869999999999</v>
      </c>
      <c r="F2215" s="125">
        <f t="shared" si="135"/>
        <v>9553.6500000000015</v>
      </c>
      <c r="G2215" s="125">
        <f t="shared" si="135"/>
        <v>11496.312033486012</v>
      </c>
      <c r="H2215" s="125">
        <f t="shared" si="135"/>
        <v>9109.2065129939092</v>
      </c>
    </row>
    <row r="2216" spans="2:11" ht="15.75">
      <c r="B2216" s="66" t="s">
        <v>372</v>
      </c>
      <c r="C2216" s="125">
        <f>Valuation!P32*Master!S92</f>
        <v>1357.487999999998</v>
      </c>
      <c r="D2216" s="125">
        <f>Valuation!Q32*Master!T92</f>
        <v>-3236.8922704130696</v>
      </c>
      <c r="E2216" s="125">
        <f>Valuation!R32*Master!U92</f>
        <v>-13936.812500000005</v>
      </c>
      <c r="F2216" s="125">
        <f>Valuation!S32*Master!V92</f>
        <v>-4241.3849999999975</v>
      </c>
      <c r="G2216" s="125">
        <f ca="1">Valuation!T32*Master!W92</f>
        <v>2337.5805612914396</v>
      </c>
      <c r="H2216" s="125">
        <f ca="1">Valuation!U32*Master!X92</f>
        <v>4060.386282554276</v>
      </c>
    </row>
    <row r="2218" spans="2:11" ht="15.75" hidden="1" outlineLevel="1">
      <c r="B2218" s="217" t="s">
        <v>3769</v>
      </c>
      <c r="C2218" s="217">
        <v>2020</v>
      </c>
      <c r="D2218" s="217">
        <f>C2218+1</f>
        <v>2021</v>
      </c>
      <c r="E2218" s="217">
        <f>D2218+1</f>
        <v>2022</v>
      </c>
      <c r="F2218" s="217">
        <f>E2218+1</f>
        <v>2023</v>
      </c>
      <c r="G2218" s="217">
        <f>F2218+1</f>
        <v>2024</v>
      </c>
      <c r="H2218" s="217">
        <f>G2218+1</f>
        <v>2025</v>
      </c>
    </row>
    <row r="2219" spans="2:11" ht="15.75" hidden="1" outlineLevel="1">
      <c r="B2219" s="66" t="s">
        <v>200</v>
      </c>
      <c r="C2219" s="125">
        <v>101664.11236501508</v>
      </c>
      <c r="D2219" s="125">
        <v>108349.94564843849</v>
      </c>
      <c r="E2219" s="125">
        <v>113327.80027238613</v>
      </c>
      <c r="F2219" s="125">
        <v>118455.54038206671</v>
      </c>
      <c r="G2219" s="125">
        <v>124134.22314422559</v>
      </c>
      <c r="H2219" s="125">
        <v>130225.19513741269</v>
      </c>
    </row>
    <row r="2220" spans="2:11" ht="15.75" hidden="1" outlineLevel="1">
      <c r="B2220" s="66" t="s">
        <v>57</v>
      </c>
      <c r="C2220" s="125">
        <v>35100.521751586399</v>
      </c>
      <c r="D2220" s="125">
        <v>38804.797323296065</v>
      </c>
      <c r="E2220" s="125">
        <v>41563.970069080598</v>
      </c>
      <c r="F2220" s="125">
        <v>43853.037780901337</v>
      </c>
      <c r="G2220" s="125">
        <v>46467.802662390342</v>
      </c>
      <c r="H2220" s="125">
        <v>49374.441520201268</v>
      </c>
    </row>
    <row r="2221" spans="2:11" ht="15.75" hidden="1" outlineLevel="1">
      <c r="B2221" s="66" t="s">
        <v>158</v>
      </c>
      <c r="C2221" s="69">
        <v>0.33975179484401685</v>
      </c>
      <c r="D2221" s="69">
        <v>0.35791063710199356</v>
      </c>
      <c r="E2221" s="69">
        <v>0.36480068535217497</v>
      </c>
      <c r="F2221" s="69">
        <v>0.36806239576342298</v>
      </c>
      <c r="G2221" s="69">
        <v>0.37202438156976381</v>
      </c>
      <c r="H2221" s="69">
        <v>0.37668949805990409</v>
      </c>
    </row>
    <row r="2222" spans="2:11" ht="15.75" hidden="1" outlineLevel="1">
      <c r="B2222" s="66" t="s">
        <v>201</v>
      </c>
      <c r="C2222" s="125">
        <v>17934.229992162724</v>
      </c>
      <c r="D2222" s="125">
        <v>18711.458637459804</v>
      </c>
      <c r="E2222" s="125">
        <v>18945.198731231532</v>
      </c>
      <c r="F2222" s="125">
        <v>19196.064929590342</v>
      </c>
      <c r="G2222" s="125">
        <v>20009.745084137823</v>
      </c>
      <c r="H2222" s="125">
        <v>21154.453366864549</v>
      </c>
    </row>
    <row r="2223" spans="2:11" ht="15.75" hidden="1" outlineLevel="1">
      <c r="B2223" s="66" t="s">
        <v>202</v>
      </c>
      <c r="C2223" s="69">
        <v>0.16405251358220324</v>
      </c>
      <c r="D2223" s="69">
        <v>0.15299162807636565</v>
      </c>
      <c r="E2223" s="69">
        <v>0.1561818117323811</v>
      </c>
      <c r="F2223" s="69">
        <v>0.15728905949882552</v>
      </c>
      <c r="G2223" s="69">
        <v>0.16124866388313197</v>
      </c>
      <c r="H2223" s="69">
        <v>0.16245995800662236</v>
      </c>
    </row>
    <row r="2224" spans="2:11" ht="15.75" hidden="1" outlineLevel="1">
      <c r="B2224" s="66" t="s">
        <v>203</v>
      </c>
      <c r="C2224" s="125">
        <v>17738.43670354638</v>
      </c>
      <c r="D2224" s="125">
        <v>22207.303785425556</v>
      </c>
      <c r="E2224" s="125">
        <v>23580.840753864053</v>
      </c>
      <c r="F2224" s="125">
        <v>24912.267826549796</v>
      </c>
      <c r="G2224" s="125">
        <v>26117.597645473994</v>
      </c>
      <c r="H2224" s="125">
        <v>27859.447398331948</v>
      </c>
    </row>
    <row r="2225" spans="2:13" ht="15.75" hidden="1" outlineLevel="1">
      <c r="B2225" s="66" t="s">
        <v>372</v>
      </c>
      <c r="C2225" s="125">
        <v>213.67095894076178</v>
      </c>
      <c r="D2225" s="125">
        <v>2270.788439603748</v>
      </c>
      <c r="E2225" s="125">
        <v>4333.769627125881</v>
      </c>
      <c r="F2225" s="125">
        <v>6209.4474458430723</v>
      </c>
      <c r="G2225" s="125">
        <v>7468.905592296097</v>
      </c>
      <c r="H2225" s="125">
        <v>8712.9426312116229</v>
      </c>
    </row>
    <row r="2226" spans="2:13" ht="15.75" hidden="1" outlineLevel="1">
      <c r="B2226" s="66"/>
      <c r="C2226" s="66"/>
      <c r="D2226" s="66"/>
      <c r="E2226" s="66"/>
      <c r="F2226" s="66"/>
      <c r="G2226" s="66"/>
      <c r="H2226" s="66"/>
    </row>
    <row r="2227" spans="2:13" ht="15.75" collapsed="1">
      <c r="B2227" s="217" t="s">
        <v>264</v>
      </c>
      <c r="C2227" s="217">
        <v>2020</v>
      </c>
      <c r="D2227" s="217">
        <f>C2227+1</f>
        <v>2021</v>
      </c>
      <c r="E2227" s="217">
        <f>D2227+1</f>
        <v>2022</v>
      </c>
      <c r="F2227" s="217">
        <f>E2227+1</f>
        <v>2023</v>
      </c>
      <c r="G2227" s="217">
        <f>F2227+1</f>
        <v>2024</v>
      </c>
      <c r="H2227" s="217">
        <f>G2227+1</f>
        <v>2025</v>
      </c>
    </row>
    <row r="2228" spans="2:13" ht="15.75">
      <c r="B2228" s="66" t="s">
        <v>200</v>
      </c>
      <c r="C2228" s="116">
        <f t="shared" ref="C2228:H2229" si="136">C2210/C2219-1</f>
        <v>-4.4517305662056916E-2</v>
      </c>
      <c r="D2228" s="116">
        <f t="shared" si="136"/>
        <v>-4.4560665162715396E-2</v>
      </c>
      <c r="E2228" s="116">
        <f t="shared" si="136"/>
        <v>-0.33355628699692408</v>
      </c>
      <c r="F2228" s="116">
        <f t="shared" si="136"/>
        <v>-0.37725242937503056</v>
      </c>
      <c r="G2228" s="116">
        <f t="shared" si="136"/>
        <v>-0.4819949774055351</v>
      </c>
      <c r="H2228" s="116">
        <f t="shared" si="136"/>
        <v>-0.51166289901699247</v>
      </c>
    </row>
    <row r="2229" spans="2:13" ht="15.75">
      <c r="B2229" s="66" t="s">
        <v>57</v>
      </c>
      <c r="C2229" s="116">
        <f t="shared" si="136"/>
        <v>0.10569011693525421</v>
      </c>
      <c r="D2229" s="116">
        <f t="shared" si="136"/>
        <v>0.12361365108391431</v>
      </c>
      <c r="E2229" s="116">
        <f t="shared" si="136"/>
        <v>-0.3856210088314872</v>
      </c>
      <c r="F2229" s="116">
        <f t="shared" si="136"/>
        <v>-0.44774407371734348</v>
      </c>
      <c r="G2229" s="116">
        <f t="shared" si="136"/>
        <v>-0.47570663109381206</v>
      </c>
      <c r="H2229" s="116">
        <f t="shared" si="136"/>
        <v>-0.56653878846623995</v>
      </c>
    </row>
    <row r="2230" spans="2:13" ht="15.75">
      <c r="B2230" s="66" t="s">
        <v>201</v>
      </c>
      <c r="C2230" s="116">
        <f t="shared" ref="C2230:H2230" si="137">C2213/C2222-1</f>
        <v>0.12512842808517233</v>
      </c>
      <c r="D2230" s="116">
        <f t="shared" si="137"/>
        <v>0.24576564136731327</v>
      </c>
      <c r="E2230" s="116">
        <f t="shared" si="137"/>
        <v>-9.137084048518751E-2</v>
      </c>
      <c r="F2230" s="116">
        <f t="shared" si="137"/>
        <v>-0.23606999383529637</v>
      </c>
      <c r="G2230" s="116">
        <f t="shared" si="137"/>
        <v>-0.35699087040113897</v>
      </c>
      <c r="H2230" s="116">
        <f t="shared" si="137"/>
        <v>-0.4189072856682704</v>
      </c>
    </row>
    <row r="2231" spans="2:13" ht="15.75">
      <c r="B2231" s="66" t="s">
        <v>203</v>
      </c>
      <c r="C2231" s="116">
        <f t="shared" ref="C2231:H2231" si="138">C2215/C2224-1</f>
        <v>5.0373734246545787E-2</v>
      </c>
      <c r="D2231" s="116">
        <f t="shared" si="138"/>
        <v>-8.6268737274443064E-2</v>
      </c>
      <c r="E2231" s="116">
        <f t="shared" si="138"/>
        <v>-0.64709188756824365</v>
      </c>
      <c r="F2231" s="116">
        <f t="shared" si="138"/>
        <v>-0.61650821729612382</v>
      </c>
      <c r="G2231" s="116">
        <f t="shared" si="138"/>
        <v>-0.55982505781965575</v>
      </c>
      <c r="H2231" s="116">
        <f t="shared" si="138"/>
        <v>-0.67302989241849387</v>
      </c>
    </row>
    <row r="2232" spans="2:13" ht="15.75">
      <c r="B2232" s="66"/>
      <c r="C2232" s="116"/>
      <c r="D2232" s="116"/>
      <c r="E2232" s="116"/>
      <c r="F2232" s="116"/>
      <c r="G2232" s="116"/>
      <c r="H2232" s="116"/>
    </row>
    <row r="2234" spans="2:13" ht="15.75">
      <c r="B2234" s="70" t="s">
        <v>5295</v>
      </c>
      <c r="C2234" s="217">
        <v>2020</v>
      </c>
      <c r="D2234" s="217">
        <f t="shared" ref="D2234:K2234" si="139">C2234+1</f>
        <v>2021</v>
      </c>
      <c r="E2234" s="217">
        <f t="shared" si="139"/>
        <v>2022</v>
      </c>
      <c r="F2234" s="217">
        <f t="shared" si="139"/>
        <v>2023</v>
      </c>
      <c r="G2234" s="217">
        <f t="shared" si="139"/>
        <v>2024</v>
      </c>
      <c r="H2234" s="217">
        <f t="shared" si="139"/>
        <v>2025</v>
      </c>
      <c r="I2234" s="217">
        <f t="shared" si="139"/>
        <v>2026</v>
      </c>
      <c r="J2234" s="217">
        <f t="shared" si="139"/>
        <v>2027</v>
      </c>
      <c r="K2234" s="217">
        <f t="shared" si="139"/>
        <v>2028</v>
      </c>
      <c r="L2234" s="388" t="s">
        <v>5297</v>
      </c>
    </row>
    <row r="2235" spans="2:13" ht="15.75">
      <c r="B2235" s="66" t="s">
        <v>5311</v>
      </c>
      <c r="C2235" s="125">
        <f>C2240</f>
        <v>57373</v>
      </c>
    </row>
    <row r="2236" spans="2:13" ht="15.75">
      <c r="B2236" s="66" t="s">
        <v>347</v>
      </c>
      <c r="C2236" s="125">
        <v>10249</v>
      </c>
      <c r="D2236" s="125">
        <v>0</v>
      </c>
      <c r="E2236" s="125">
        <v>4641</v>
      </c>
      <c r="F2236" s="125">
        <v>7990</v>
      </c>
      <c r="G2236" s="125">
        <v>10000</v>
      </c>
      <c r="H2236" s="125">
        <v>11843</v>
      </c>
      <c r="I2236" s="125">
        <v>5921</v>
      </c>
      <c r="J2236" s="125">
        <v>4500</v>
      </c>
      <c r="K2236" s="125">
        <v>0</v>
      </c>
      <c r="L2236" s="125">
        <v>81075</v>
      </c>
      <c r="M2236" s="125">
        <f>SUM(C2236:L2236)</f>
        <v>136219</v>
      </c>
    </row>
    <row r="2237" spans="2:13" ht="15.75">
      <c r="B2237" s="66" t="s">
        <v>1675</v>
      </c>
      <c r="C2237" s="125">
        <f>C2236</f>
        <v>10249</v>
      </c>
      <c r="D2237" s="125">
        <f t="shared" ref="D2237:K2237" si="140">C2237+D2236</f>
        <v>10249</v>
      </c>
      <c r="E2237" s="125">
        <f t="shared" si="140"/>
        <v>14890</v>
      </c>
      <c r="F2237" s="125">
        <f t="shared" si="140"/>
        <v>22880</v>
      </c>
      <c r="G2237" s="125">
        <f t="shared" si="140"/>
        <v>32880</v>
      </c>
      <c r="H2237" s="125">
        <f t="shared" si="140"/>
        <v>44723</v>
      </c>
      <c r="I2237" s="125">
        <f t="shared" si="140"/>
        <v>50644</v>
      </c>
      <c r="J2237" s="125">
        <f t="shared" si="140"/>
        <v>55144</v>
      </c>
      <c r="K2237" s="125">
        <f t="shared" si="140"/>
        <v>55144</v>
      </c>
      <c r="L2237" s="125">
        <f>J2237+L2236</f>
        <v>136219</v>
      </c>
      <c r="M2237" s="125"/>
    </row>
    <row r="2238" spans="2:13" ht="15.75">
      <c r="B2238" s="66" t="s">
        <v>3666</v>
      </c>
      <c r="C2238" s="69">
        <f t="shared" ref="C2238:L2238" si="141">C2237/$M$2236</f>
        <v>7.5239136977954618E-2</v>
      </c>
      <c r="D2238" s="69">
        <f t="shared" si="141"/>
        <v>7.5239136977954618E-2</v>
      </c>
      <c r="E2238" s="69">
        <f t="shared" si="141"/>
        <v>0.10930927403666155</v>
      </c>
      <c r="F2238" s="69">
        <f t="shared" si="141"/>
        <v>0.16796482135384933</v>
      </c>
      <c r="G2238" s="69">
        <f t="shared" si="141"/>
        <v>0.24137601949801424</v>
      </c>
      <c r="H2238" s="69">
        <f t="shared" si="141"/>
        <v>0.32831690146014875</v>
      </c>
      <c r="I2238" s="69">
        <f t="shared" si="141"/>
        <v>0.37178367188130879</v>
      </c>
      <c r="J2238" s="69">
        <f t="shared" si="141"/>
        <v>0.404818711046183</v>
      </c>
      <c r="K2238" s="69">
        <f t="shared" si="141"/>
        <v>0.404818711046183</v>
      </c>
      <c r="L2238" s="69">
        <f t="shared" si="141"/>
        <v>1</v>
      </c>
      <c r="M2238" s="125"/>
    </row>
    <row r="2239" spans="2:13" ht="15.75">
      <c r="B2239" s="66"/>
      <c r="D2239" s="125"/>
      <c r="E2239" s="125"/>
      <c r="F2239" s="125"/>
      <c r="G2239" s="125"/>
      <c r="H2239" s="125"/>
      <c r="I2239" s="125"/>
      <c r="J2239" s="125"/>
      <c r="K2239" s="125"/>
      <c r="L2239" s="125"/>
      <c r="M2239" s="125"/>
    </row>
    <row r="2240" spans="2:13" ht="15.75">
      <c r="B2240" s="66" t="s">
        <v>5296</v>
      </c>
      <c r="C2240" s="124">
        <v>57373</v>
      </c>
    </row>
    <row r="2241" spans="2:12" ht="15.75">
      <c r="B2241" s="66" t="s">
        <v>372</v>
      </c>
    </row>
    <row r="2243" spans="2:12" ht="15.75">
      <c r="B2243" s="61"/>
      <c r="C2243" s="217">
        <f t="shared" ref="C2243:L2243" si="142">C2234</f>
        <v>2020</v>
      </c>
      <c r="D2243" s="217">
        <f t="shared" si="142"/>
        <v>2021</v>
      </c>
      <c r="E2243" s="217">
        <f t="shared" si="142"/>
        <v>2022</v>
      </c>
      <c r="F2243" s="217">
        <f t="shared" si="142"/>
        <v>2023</v>
      </c>
      <c r="G2243" s="217">
        <f t="shared" si="142"/>
        <v>2024</v>
      </c>
      <c r="H2243" s="217">
        <f t="shared" si="142"/>
        <v>2025</v>
      </c>
      <c r="I2243" s="217">
        <f t="shared" si="142"/>
        <v>2026</v>
      </c>
      <c r="J2243" s="217">
        <f t="shared" si="142"/>
        <v>2027</v>
      </c>
      <c r="K2243" s="217">
        <f t="shared" si="142"/>
        <v>2028</v>
      </c>
      <c r="L2243" s="217" t="str">
        <f t="shared" si="142"/>
        <v>&gt;2029</v>
      </c>
    </row>
    <row r="2244" spans="2:12" ht="15.75">
      <c r="B2244" s="66" t="s">
        <v>74</v>
      </c>
      <c r="C2244" s="69">
        <f t="shared" ref="C2244:L2244" si="143">C2238</f>
        <v>7.5239136977954618E-2</v>
      </c>
      <c r="D2244" s="69">
        <f t="shared" si="143"/>
        <v>7.5239136977954618E-2</v>
      </c>
      <c r="E2244" s="69">
        <f t="shared" si="143"/>
        <v>0.10930927403666155</v>
      </c>
      <c r="F2244" s="69">
        <f t="shared" si="143"/>
        <v>0.16796482135384933</v>
      </c>
      <c r="G2244" s="69">
        <f t="shared" si="143"/>
        <v>0.24137601949801424</v>
      </c>
      <c r="H2244" s="69">
        <f t="shared" si="143"/>
        <v>0.32831690146014875</v>
      </c>
      <c r="I2244" s="69">
        <f t="shared" si="143"/>
        <v>0.37178367188130879</v>
      </c>
      <c r="J2244" s="69">
        <f t="shared" si="143"/>
        <v>0.404818711046183</v>
      </c>
      <c r="K2244" s="69">
        <f t="shared" si="143"/>
        <v>0.404818711046183</v>
      </c>
      <c r="L2244" s="69">
        <f t="shared" si="143"/>
        <v>1</v>
      </c>
    </row>
    <row r="2245" spans="2:12" ht="15.75">
      <c r="B2245" s="66" t="s">
        <v>5298</v>
      </c>
      <c r="C2245" s="69">
        <v>0.17100857357816673</v>
      </c>
      <c r="D2245" s="69">
        <v>0.2731358461551181</v>
      </c>
      <c r="E2245" s="69">
        <v>0.4393954676609923</v>
      </c>
      <c r="F2245" s="69">
        <v>0.47676700867279026</v>
      </c>
      <c r="G2245" s="69">
        <v>0.52520896546592477</v>
      </c>
      <c r="H2245" s="69">
        <v>0.53066728398634178</v>
      </c>
      <c r="I2245" s="69">
        <v>0.57747720188833684</v>
      </c>
      <c r="J2245" s="69">
        <v>0.61311253131381616</v>
      </c>
      <c r="K2245" s="69">
        <v>0.63624713731780114</v>
      </c>
      <c r="L2245" s="69">
        <v>1</v>
      </c>
    </row>
    <row r="2250" spans="2:12" ht="15.75">
      <c r="B2250" s="149"/>
      <c r="C2250" s="217">
        <v>2019</v>
      </c>
      <c r="D2250" s="217">
        <f>C2250+1</f>
        <v>2020</v>
      </c>
      <c r="E2250" s="217">
        <v>2021</v>
      </c>
      <c r="G2250" s="217" t="s">
        <v>5313</v>
      </c>
    </row>
    <row r="2251" spans="2:12" ht="15.75">
      <c r="B2251" s="66" t="s">
        <v>35</v>
      </c>
      <c r="C2251" s="116">
        <v>2.3E-2</v>
      </c>
      <c r="D2251" s="116">
        <v>-6.0999999999999999E-2</v>
      </c>
      <c r="E2251" s="116">
        <v>4.4999999999999998E-2</v>
      </c>
      <c r="G2251" s="116">
        <f t="shared" ref="G2251:G2282" si="144">D2251-C2251</f>
        <v>-8.3999999999999991E-2</v>
      </c>
    </row>
    <row r="2252" spans="2:12" ht="15.75">
      <c r="B2252" s="66" t="s">
        <v>3218</v>
      </c>
      <c r="C2252" s="116">
        <v>6.0000000000000001E-3</v>
      </c>
      <c r="D2252" s="116">
        <v>-7.0000000000000007E-2</v>
      </c>
      <c r="E2252" s="116">
        <v>5.1999999999999998E-2</v>
      </c>
      <c r="G2252" s="116">
        <f t="shared" si="144"/>
        <v>-7.6000000000000012E-2</v>
      </c>
    </row>
    <row r="2253" spans="2:12" ht="15.75">
      <c r="B2253" s="66" t="s">
        <v>3220</v>
      </c>
      <c r="C2253" s="116">
        <v>1.2999999999999999E-2</v>
      </c>
      <c r="D2253" s="116">
        <v>-7.1999999999999995E-2</v>
      </c>
      <c r="E2253" s="116">
        <v>4.4999999999999998E-2</v>
      </c>
      <c r="G2253" s="116">
        <f t="shared" si="144"/>
        <v>-8.4999999999999992E-2</v>
      </c>
    </row>
    <row r="2254" spans="2:12" ht="15.75">
      <c r="B2254" s="66" t="s">
        <v>3221</v>
      </c>
      <c r="C2254" s="116">
        <v>3.0000000000000001E-3</v>
      </c>
      <c r="D2254" s="116">
        <v>-9.0999999999999998E-2</v>
      </c>
      <c r="E2254" s="116">
        <v>4.8000000000000001E-2</v>
      </c>
      <c r="G2254" s="116">
        <f t="shared" si="144"/>
        <v>-9.4E-2</v>
      </c>
    </row>
    <row r="2255" spans="2:12" ht="15.75">
      <c r="B2255" s="66" t="s">
        <v>3222</v>
      </c>
      <c r="C2255" s="116">
        <v>0.02</v>
      </c>
      <c r="D2255" s="116">
        <v>-0.08</v>
      </c>
      <c r="E2255" s="116">
        <v>4.2999999999999997E-2</v>
      </c>
      <c r="G2255" s="116">
        <f t="shared" si="144"/>
        <v>-0.1</v>
      </c>
    </row>
    <row r="2256" spans="2:12" ht="15.75">
      <c r="B2256" s="66" t="s">
        <v>3668</v>
      </c>
      <c r="C2256" s="116">
        <v>7.0000000000000001E-3</v>
      </c>
      <c r="D2256" s="116">
        <v>-5.1999999999999998E-2</v>
      </c>
      <c r="E2256" s="116">
        <v>0.03</v>
      </c>
      <c r="G2256" s="116">
        <f t="shared" si="144"/>
        <v>-5.8999999999999997E-2</v>
      </c>
    </row>
    <row r="2257" spans="2:7" ht="15.75">
      <c r="B2257" s="66" t="s">
        <v>3219</v>
      </c>
      <c r="C2257" s="116">
        <v>1.4E-2</v>
      </c>
      <c r="D2257" s="116">
        <v>-6.5000000000000002E-2</v>
      </c>
      <c r="E2257" s="116">
        <v>0.04</v>
      </c>
      <c r="G2257" s="116">
        <f t="shared" si="144"/>
        <v>-7.9000000000000001E-2</v>
      </c>
    </row>
    <row r="2258" spans="2:7" ht="15.75">
      <c r="B2258" s="66" t="s">
        <v>2238</v>
      </c>
      <c r="C2258" s="116">
        <v>-1E-3</v>
      </c>
      <c r="D2258" s="116">
        <v>-6.6000000000000003E-2</v>
      </c>
      <c r="E2258" s="116">
        <v>0.03</v>
      </c>
      <c r="G2258" s="116">
        <f t="shared" si="144"/>
        <v>-6.5000000000000002E-2</v>
      </c>
    </row>
    <row r="2259" spans="2:7" ht="15.75">
      <c r="B2259" s="66" t="s">
        <v>3669</v>
      </c>
      <c r="C2259" s="116">
        <v>1.0999999999999999E-2</v>
      </c>
      <c r="D2259" s="116">
        <v>-5.2999999999999999E-2</v>
      </c>
      <c r="E2259" s="116">
        <v>2.9000000000000001E-2</v>
      </c>
      <c r="G2259" s="116">
        <f t="shared" si="144"/>
        <v>-6.4000000000000001E-2</v>
      </c>
    </row>
    <row r="2260" spans="2:7" ht="15.75">
      <c r="B2260" s="66" t="s">
        <v>5302</v>
      </c>
      <c r="C2260" s="116">
        <v>1.0999999999999999E-2</v>
      </c>
      <c r="D2260" s="116">
        <v>-4.4999999999999998E-2</v>
      </c>
      <c r="E2260" s="116">
        <v>5.2999999999999999E-2</v>
      </c>
      <c r="G2260" s="116">
        <f t="shared" si="144"/>
        <v>-5.5999999999999994E-2</v>
      </c>
    </row>
    <row r="2261" spans="2:7" ht="15.75">
      <c r="B2261" s="66" t="s">
        <v>5304</v>
      </c>
      <c r="C2261" s="116">
        <v>2.1999999999999999E-2</v>
      </c>
      <c r="D2261" s="116">
        <v>-4.4999999999999998E-2</v>
      </c>
      <c r="E2261" s="116">
        <v>5.1999999999999998E-2</v>
      </c>
      <c r="G2261" s="116">
        <f t="shared" si="144"/>
        <v>-6.7000000000000004E-2</v>
      </c>
    </row>
    <row r="2262" spans="2:7" ht="15.75">
      <c r="B2262" s="66" t="s">
        <v>5303</v>
      </c>
      <c r="C2262" s="116">
        <v>3.3000000000000002E-2</v>
      </c>
      <c r="D2262" s="116">
        <v>-2.4E-2</v>
      </c>
      <c r="E2262" s="116">
        <v>3.6999999999999998E-2</v>
      </c>
      <c r="G2262" s="116">
        <f t="shared" si="144"/>
        <v>-5.7000000000000002E-2</v>
      </c>
    </row>
    <row r="2263" spans="2:7" ht="15.75">
      <c r="B2263" s="66" t="s">
        <v>2687</v>
      </c>
      <c r="C2263" s="116">
        <v>3.2000000000000001E-2</v>
      </c>
      <c r="D2263" s="116">
        <v>-2.4E-2</v>
      </c>
      <c r="E2263" s="116">
        <v>0.04</v>
      </c>
      <c r="G2263" s="116">
        <f t="shared" si="144"/>
        <v>-5.6000000000000001E-2</v>
      </c>
    </row>
    <row r="2264" spans="2:7" ht="15.75">
      <c r="B2264" s="66" t="s">
        <v>3671</v>
      </c>
      <c r="C2264" s="116">
        <v>6.0999999999999999E-2</v>
      </c>
      <c r="D2264" s="116">
        <v>1.2E-2</v>
      </c>
      <c r="E2264" s="116">
        <v>9.1999999999999998E-2</v>
      </c>
      <c r="G2264" s="116">
        <f t="shared" si="144"/>
        <v>-4.9000000000000002E-2</v>
      </c>
    </row>
    <row r="2265" spans="2:7" ht="15.75">
      <c r="B2265" s="66" t="s">
        <v>3672</v>
      </c>
      <c r="C2265" s="116">
        <v>4.2000000000000003E-2</v>
      </c>
      <c r="D2265" s="116">
        <v>1.9E-2</v>
      </c>
      <c r="E2265" s="116">
        <v>7.3999999999999996E-2</v>
      </c>
      <c r="G2265" s="116">
        <f t="shared" si="144"/>
        <v>-2.3000000000000003E-2</v>
      </c>
    </row>
    <row r="2266" spans="2:7" ht="15.75">
      <c r="B2266" s="66" t="s">
        <v>5312</v>
      </c>
      <c r="C2266" s="116">
        <v>2.4E-2</v>
      </c>
      <c r="D2266" s="116">
        <v>-6.7000000000000004E-2</v>
      </c>
      <c r="E2266" s="116">
        <v>0.06</v>
      </c>
      <c r="G2266" s="116">
        <f t="shared" si="144"/>
        <v>-9.0999999999999998E-2</v>
      </c>
    </row>
    <row r="2267" spans="2:7" ht="15.75">
      <c r="B2267" s="66" t="s">
        <v>5314</v>
      </c>
      <c r="C2267" s="116">
        <v>2.1999999999999999E-2</v>
      </c>
      <c r="D2267" s="116">
        <v>-3.4000000000000002E-2</v>
      </c>
      <c r="E2267" s="116">
        <v>2.4E-2</v>
      </c>
      <c r="G2267" s="116">
        <f t="shared" si="144"/>
        <v>-5.6000000000000001E-2</v>
      </c>
    </row>
    <row r="2268" spans="2:7" ht="15.75">
      <c r="B2268" s="66" t="s">
        <v>5315</v>
      </c>
      <c r="C2268" s="116">
        <v>3.1E-2</v>
      </c>
      <c r="D2268" s="116">
        <v>-1.6E-2</v>
      </c>
      <c r="E2268" s="116">
        <v>4.1000000000000002E-2</v>
      </c>
      <c r="G2268" s="116">
        <f t="shared" si="144"/>
        <v>-4.7E-2</v>
      </c>
    </row>
    <row r="2269" spans="2:7" ht="15.75">
      <c r="B2269" s="66" t="s">
        <v>5316</v>
      </c>
      <c r="C2269" s="116">
        <v>0.05</v>
      </c>
      <c r="D2269" s="116">
        <v>5.0000000000000001E-3</v>
      </c>
      <c r="E2269" s="116">
        <v>8.2000000000000003E-2</v>
      </c>
      <c r="G2269" s="116">
        <f t="shared" si="144"/>
        <v>-4.5000000000000005E-2</v>
      </c>
    </row>
    <row r="2270" spans="2:7" ht="15.75">
      <c r="B2270" s="66" t="s">
        <v>5317</v>
      </c>
      <c r="C2270" s="116">
        <v>4.2999999999999997E-2</v>
      </c>
      <c r="D2270" s="116">
        <v>-1.7000000000000001E-2</v>
      </c>
      <c r="E2270" s="116">
        <v>0.09</v>
      </c>
      <c r="G2270" s="116">
        <f t="shared" si="144"/>
        <v>-0.06</v>
      </c>
    </row>
    <row r="2271" spans="2:7" ht="15.75">
      <c r="B2271" s="141" t="s">
        <v>5305</v>
      </c>
      <c r="C2271" s="116">
        <v>1.4E-2</v>
      </c>
      <c r="D2271" s="116">
        <v>-7.4999999999999997E-2</v>
      </c>
      <c r="E2271" s="116">
        <v>5.8000000000000003E-2</v>
      </c>
      <c r="G2271" s="116">
        <f t="shared" si="144"/>
        <v>-8.8999999999999996E-2</v>
      </c>
    </row>
    <row r="2272" spans="2:7" ht="15.75">
      <c r="B2272" s="141" t="s">
        <v>5306</v>
      </c>
      <c r="C2272" s="116">
        <v>8.9999999999999993E-3</v>
      </c>
      <c r="D2272" s="116">
        <v>-4.5999999999999999E-2</v>
      </c>
      <c r="E2272" s="116">
        <v>3.5999999999999997E-2</v>
      </c>
      <c r="G2272" s="116">
        <f t="shared" si="144"/>
        <v>-5.5E-2</v>
      </c>
    </row>
    <row r="2273" spans="2:7" ht="15.75">
      <c r="B2273" s="141" t="s">
        <v>5415</v>
      </c>
      <c r="C2273" s="116">
        <v>2.8000000000000001E-2</v>
      </c>
      <c r="D2273" s="116">
        <v>-2.9000000000000001E-2</v>
      </c>
      <c r="E2273" s="116">
        <v>2.9000000000000001E-2</v>
      </c>
      <c r="G2273" s="116">
        <f t="shared" si="144"/>
        <v>-5.7000000000000002E-2</v>
      </c>
    </row>
    <row r="2274" spans="2:7" ht="15.75">
      <c r="B2274" s="141" t="s">
        <v>5416</v>
      </c>
      <c r="C2274" s="116">
        <v>2.1000000000000001E-2</v>
      </c>
      <c r="D2274" s="116">
        <v>-3.3000000000000002E-2</v>
      </c>
      <c r="E2274" s="116">
        <v>0.03</v>
      </c>
      <c r="G2274" s="116">
        <f t="shared" si="144"/>
        <v>-5.4000000000000006E-2</v>
      </c>
    </row>
    <row r="2275" spans="2:7" ht="15.75">
      <c r="B2275" s="141" t="s">
        <v>5417</v>
      </c>
      <c r="C2275" s="116">
        <v>1E-3</v>
      </c>
      <c r="D2275" s="116">
        <v>-6.3E-2</v>
      </c>
      <c r="E2275" s="116">
        <v>3.9E-2</v>
      </c>
      <c r="G2275" s="116">
        <f t="shared" si="144"/>
        <v>-6.4000000000000001E-2</v>
      </c>
    </row>
    <row r="2276" spans="2:7" ht="15.75">
      <c r="B2276" s="141" t="s">
        <v>5418</v>
      </c>
      <c r="C2276" s="116">
        <v>3.5999999999999997E-2</v>
      </c>
      <c r="D2276" s="116">
        <v>-0.02</v>
      </c>
      <c r="E2276" s="116">
        <v>5.5E-2</v>
      </c>
      <c r="G2276" s="116">
        <f t="shared" si="144"/>
        <v>-5.5999999999999994E-2</v>
      </c>
    </row>
    <row r="2277" spans="2:7" ht="15.75">
      <c r="B2277" s="141" t="s">
        <v>5419</v>
      </c>
      <c r="C2277" s="116">
        <v>2.7E-2</v>
      </c>
      <c r="D2277" s="116">
        <v>-2.4E-2</v>
      </c>
      <c r="E2277" s="116">
        <v>4.1000000000000002E-2</v>
      </c>
      <c r="G2277" s="116">
        <f t="shared" si="144"/>
        <v>-5.1000000000000004E-2</v>
      </c>
    </row>
    <row r="2278" spans="2:7" ht="15.75">
      <c r="B2278" s="141" t="s">
        <v>5420</v>
      </c>
      <c r="C2278" s="116">
        <v>0.03</v>
      </c>
      <c r="D2278" s="116">
        <v>-0.02</v>
      </c>
      <c r="E2278" s="116">
        <v>0.04</v>
      </c>
      <c r="G2278" s="116">
        <f t="shared" si="144"/>
        <v>-0.05</v>
      </c>
    </row>
    <row r="2279" spans="2:7" ht="15.75">
      <c r="B2279" s="141" t="s">
        <v>5421</v>
      </c>
      <c r="C2279" s="116">
        <v>2E-3</v>
      </c>
      <c r="D2279" s="116">
        <v>-0.01</v>
      </c>
      <c r="E2279" s="116">
        <v>0.04</v>
      </c>
      <c r="G2279" s="116">
        <f t="shared" si="144"/>
        <v>-1.2E-2</v>
      </c>
    </row>
    <row r="2280" spans="2:7" ht="15.75">
      <c r="B2280" s="66" t="s">
        <v>5422</v>
      </c>
      <c r="C2280" s="116">
        <v>-3.9E-2</v>
      </c>
      <c r="D2280" s="116">
        <v>-0.06</v>
      </c>
      <c r="E2280" s="116">
        <v>0</v>
      </c>
      <c r="G2280" s="116">
        <f t="shared" si="144"/>
        <v>-2.0999999999999998E-2</v>
      </c>
    </row>
    <row r="2281" spans="2:7" ht="15.75">
      <c r="B2281" s="66" t="s">
        <v>5423</v>
      </c>
      <c r="C2281" s="116">
        <v>2.4E-2</v>
      </c>
      <c r="D2281" s="116">
        <v>-5.3999999999999999E-2</v>
      </c>
      <c r="E2281" s="116">
        <v>4.4999999999999998E-2</v>
      </c>
      <c r="G2281" s="116">
        <f t="shared" si="144"/>
        <v>-7.8E-2</v>
      </c>
    </row>
    <row r="2282" spans="2:7" ht="15.75">
      <c r="B2282" s="66" t="s">
        <v>5424</v>
      </c>
      <c r="C2282" s="116">
        <v>5.8999999999999997E-2</v>
      </c>
      <c r="D2282" s="116">
        <v>6.0000000000000001E-3</v>
      </c>
      <c r="E2282" s="116">
        <v>7.5999999999999998E-2</v>
      </c>
      <c r="G2282" s="116">
        <f t="shared" si="144"/>
        <v>-5.2999999999999999E-2</v>
      </c>
    </row>
    <row r="2283" spans="2:7" ht="15.75">
      <c r="B2283" s="66"/>
      <c r="C2283" s="66"/>
      <c r="D2283" s="66"/>
      <c r="E2283" s="66"/>
    </row>
    <row r="2284" spans="2:7" ht="15.75">
      <c r="B2284" s="66"/>
      <c r="C2284" s="66"/>
      <c r="D2284" s="66"/>
      <c r="E2284" s="66"/>
    </row>
    <row r="2285" spans="2:7" ht="15.75">
      <c r="B2285" s="66"/>
      <c r="C2285" s="66"/>
      <c r="D2285" s="66"/>
      <c r="E2285" s="66"/>
    </row>
    <row r="2286" spans="2:7" ht="15.75">
      <c r="B2286" s="66" t="s">
        <v>3222</v>
      </c>
      <c r="C2286" s="116">
        <v>-0.1</v>
      </c>
    </row>
    <row r="2287" spans="2:7" ht="15.75">
      <c r="B2287" s="66" t="s">
        <v>3221</v>
      </c>
      <c r="C2287" s="116">
        <v>-9.4E-2</v>
      </c>
    </row>
    <row r="2288" spans="2:7" ht="15.75">
      <c r="B2288" s="66" t="s">
        <v>5312</v>
      </c>
      <c r="C2288" s="116">
        <f>G2266</f>
        <v>-9.0999999999999998E-2</v>
      </c>
    </row>
    <row r="2289" spans="2:3" ht="15.75">
      <c r="B2289" s="66" t="s">
        <v>3220</v>
      </c>
      <c r="C2289" s="116">
        <v>-8.4999999999999992E-2</v>
      </c>
    </row>
    <row r="2290" spans="2:3" ht="15.75">
      <c r="B2290" s="66" t="s">
        <v>35</v>
      </c>
      <c r="C2290" s="116">
        <v>-8.3999999999999991E-2</v>
      </c>
    </row>
    <row r="2291" spans="2:3" ht="15.75">
      <c r="B2291" s="66" t="s">
        <v>3219</v>
      </c>
      <c r="C2291" s="116">
        <v>-7.9000000000000001E-2</v>
      </c>
    </row>
    <row r="2292" spans="2:3" ht="15.75">
      <c r="B2292" s="66" t="str">
        <f>B2281</f>
        <v>El Salvador</v>
      </c>
      <c r="C2292" s="116">
        <f>G2281</f>
        <v>-7.8E-2</v>
      </c>
    </row>
    <row r="2293" spans="2:3" ht="15.75">
      <c r="B2293" s="66" t="s">
        <v>3218</v>
      </c>
      <c r="C2293" s="116">
        <v>-7.6000000000000012E-2</v>
      </c>
    </row>
    <row r="2294" spans="2:3" ht="15.75">
      <c r="B2294" s="66" t="s">
        <v>5304</v>
      </c>
      <c r="C2294" s="116">
        <v>-6.7000000000000004E-2</v>
      </c>
    </row>
    <row r="2295" spans="2:3" ht="15.75">
      <c r="B2295" s="66" t="s">
        <v>2238</v>
      </c>
      <c r="C2295" s="116">
        <v>-6.5000000000000002E-2</v>
      </c>
    </row>
    <row r="2296" spans="2:3" ht="15.75">
      <c r="B2296" s="66" t="s">
        <v>3669</v>
      </c>
      <c r="C2296" s="116">
        <v>-6.4000000000000001E-2</v>
      </c>
    </row>
    <row r="2297" spans="2:3" ht="15.75">
      <c r="B2297" s="66" t="str">
        <f>B2270</f>
        <v>Malaysia</v>
      </c>
      <c r="C2297" s="116">
        <f>G2270</f>
        <v>-0.06</v>
      </c>
    </row>
    <row r="2298" spans="2:3" ht="15.75">
      <c r="B2298" s="66" t="s">
        <v>3668</v>
      </c>
      <c r="C2298" s="116">
        <v>-5.8999999999999997E-2</v>
      </c>
    </row>
    <row r="2299" spans="2:3" ht="15.75">
      <c r="B2299" s="66" t="s">
        <v>5303</v>
      </c>
      <c r="C2299" s="116">
        <v>-5.7000000000000002E-2</v>
      </c>
    </row>
    <row r="2300" spans="2:3" ht="15.75">
      <c r="B2300" s="66" t="str">
        <f>B2276</f>
        <v>Guatemala</v>
      </c>
      <c r="C2300" s="116">
        <f>G2276</f>
        <v>-5.5999999999999994E-2</v>
      </c>
    </row>
    <row r="2301" spans="2:3" ht="15.75">
      <c r="B2301" s="66" t="s">
        <v>2687</v>
      </c>
      <c r="C2301" s="116">
        <v>-5.6000000000000001E-2</v>
      </c>
    </row>
    <row r="2302" spans="2:3" ht="15.75">
      <c r="B2302" s="66" t="s">
        <v>5302</v>
      </c>
      <c r="C2302" s="116">
        <v>-5.5999999999999994E-2</v>
      </c>
    </row>
    <row r="2303" spans="2:3" ht="15.75">
      <c r="B2303" s="66" t="s">
        <v>5314</v>
      </c>
      <c r="C2303" s="116">
        <v>-5.6000000000000001E-2</v>
      </c>
    </row>
    <row r="2304" spans="2:3" ht="15.75">
      <c r="B2304" s="66" t="str">
        <f>B2282</f>
        <v>Philippines</v>
      </c>
      <c r="C2304" s="116">
        <f>G2282</f>
        <v>-5.2999999999999999E-2</v>
      </c>
    </row>
    <row r="2305" spans="2:3" ht="15.75">
      <c r="B2305" s="66" t="str">
        <f>B2277</f>
        <v>Honduras</v>
      </c>
      <c r="C2305" s="116">
        <f>G2277</f>
        <v>-5.1000000000000004E-2</v>
      </c>
    </row>
    <row r="2306" spans="2:3" ht="15.75">
      <c r="B2306" s="66" t="s">
        <v>3671</v>
      </c>
      <c r="C2306" s="116">
        <v>-4.9000000000000002E-2</v>
      </c>
    </row>
    <row r="2307" spans="2:3" ht="15.75">
      <c r="B2307" s="66" t="s">
        <v>5425</v>
      </c>
      <c r="C2307" s="116">
        <f>G2268</f>
        <v>-4.7E-2</v>
      </c>
    </row>
    <row r="2308" spans="2:3" ht="15.75">
      <c r="B2308" s="66" t="str">
        <f>B2269</f>
        <v>Indonesia</v>
      </c>
      <c r="C2308" s="116">
        <f>G2269</f>
        <v>-4.5000000000000005E-2</v>
      </c>
    </row>
    <row r="2309" spans="2:3" ht="15.75">
      <c r="B2309" s="66" t="s">
        <v>3672</v>
      </c>
      <c r="C2309" s="116">
        <v>-2.3000000000000003E-2</v>
      </c>
    </row>
    <row r="2310" spans="2:3" ht="15.75">
      <c r="B2310" s="66" t="str">
        <f>B2280</f>
        <v>Nicaragua</v>
      </c>
      <c r="C2310" s="116">
        <f>G2280</f>
        <v>-2.0999999999999998E-2</v>
      </c>
    </row>
    <row r="2323" spans="2:4">
      <c r="B2323" t="s">
        <v>145</v>
      </c>
    </row>
    <row r="2325" spans="2:4">
      <c r="B2325" s="61"/>
      <c r="C2325" s="61">
        <v>2020</v>
      </c>
      <c r="D2325" s="61">
        <v>2021</v>
      </c>
    </row>
    <row r="2326" spans="2:4">
      <c r="B2326" t="s">
        <v>2922</v>
      </c>
      <c r="C2326" s="122">
        <f>Content!N3</f>
        <v>16349.8</v>
      </c>
      <c r="D2326" s="122">
        <f>Content!O3</f>
        <v>19162</v>
      </c>
    </row>
    <row r="2327" spans="2:4">
      <c r="B2327" s="61" t="s">
        <v>44</v>
      </c>
      <c r="C2327" s="449">
        <f>C2328-C2326</f>
        <v>16263.2</v>
      </c>
      <c r="D2327" s="449">
        <f>C2327</f>
        <v>16263.2</v>
      </c>
    </row>
    <row r="2328" spans="2:4">
      <c r="B2328" t="s">
        <v>145</v>
      </c>
      <c r="C2328" s="122">
        <f>Master!S47</f>
        <v>32613</v>
      </c>
    </row>
    <row r="2330" spans="2:4">
      <c r="B2330" t="s">
        <v>5761</v>
      </c>
      <c r="C2330" s="122">
        <f>C2328-C2332</f>
        <v>20252.2</v>
      </c>
    </row>
    <row r="2332" spans="2:4">
      <c r="B2332" t="s">
        <v>57</v>
      </c>
      <c r="C2332" s="122">
        <f>Content!N27</f>
        <v>12360.8</v>
      </c>
    </row>
    <row r="2333" spans="2:4">
      <c r="B2333" t="s">
        <v>2617</v>
      </c>
    </row>
    <row r="2335" spans="2:4">
      <c r="B2335" s="121" t="s">
        <v>5942</v>
      </c>
    </row>
    <row r="2337" spans="2:10">
      <c r="B2337" t="s">
        <v>530</v>
      </c>
      <c r="D2337" s="122">
        <f>Valuation!Q10</f>
        <v>1811.8905230769233</v>
      </c>
    </row>
    <row r="2338" spans="2:10">
      <c r="B2338" s="61" t="s">
        <v>224</v>
      </c>
      <c r="C2338" s="61"/>
      <c r="D2338" s="449">
        <f>Valuation!P15</f>
        <v>4475.931098696462</v>
      </c>
    </row>
    <row r="2339" spans="2:10">
      <c r="B2339" t="s">
        <v>456</v>
      </c>
      <c r="D2339" s="122">
        <f>D2337+D2338</f>
        <v>6287.8216217733852</v>
      </c>
    </row>
    <row r="2340" spans="2:10">
      <c r="B2340" s="61" t="s">
        <v>5938</v>
      </c>
      <c r="C2340" s="61"/>
      <c r="D2340" s="449">
        <v>3000</v>
      </c>
    </row>
    <row r="2341" spans="2:10">
      <c r="B2341" t="s">
        <v>456</v>
      </c>
      <c r="D2341" s="122">
        <f>D2339-D2340</f>
        <v>3287.8216217733852</v>
      </c>
      <c r="F2341" t="s">
        <v>5941</v>
      </c>
      <c r="G2341" t="s">
        <v>57</v>
      </c>
      <c r="H2341" t="s">
        <v>456</v>
      </c>
      <c r="I2341" t="s">
        <v>472</v>
      </c>
      <c r="J2341" t="s">
        <v>530</v>
      </c>
    </row>
    <row r="2342" spans="2:10">
      <c r="B2342" t="s">
        <v>1497</v>
      </c>
      <c r="D2342" s="615">
        <f>0.45*6000</f>
        <v>2700</v>
      </c>
      <c r="F2342">
        <v>8.75</v>
      </c>
      <c r="G2342">
        <v>1600</v>
      </c>
      <c r="H2342">
        <f>F2342*G2342</f>
        <v>14000</v>
      </c>
      <c r="I2342">
        <f>5*G2342</f>
        <v>8000</v>
      </c>
      <c r="J2342">
        <f>H2342-I2342</f>
        <v>6000</v>
      </c>
    </row>
    <row r="2343" spans="2:10" ht="15.75" thickBot="1">
      <c r="B2343" s="613" t="s">
        <v>456</v>
      </c>
      <c r="C2343" s="613"/>
      <c r="D2343" s="614">
        <f>D2341-D2342</f>
        <v>587.82162177338523</v>
      </c>
    </row>
    <row r="2344" spans="2:10" ht="15.75" thickTop="1"/>
    <row r="2345" spans="2:10">
      <c r="B2345" t="s">
        <v>57</v>
      </c>
      <c r="D2345" s="122">
        <f>(Master!T73-Master!T65)/20</f>
        <v>1491.1299999999999</v>
      </c>
    </row>
    <row r="2346" spans="2:10">
      <c r="B2346" t="s">
        <v>380</v>
      </c>
      <c r="D2346" s="419">
        <f>D2343/D2345</f>
        <v>0.39421218926142271</v>
      </c>
    </row>
    <row r="2348" spans="2:10">
      <c r="B2348" t="s">
        <v>1684</v>
      </c>
    </row>
    <row r="2349" spans="2:10">
      <c r="B2349" t="s">
        <v>5939</v>
      </c>
    </row>
    <row r="2350" spans="2:10">
      <c r="B2350" t="s">
        <v>5940</v>
      </c>
    </row>
    <row r="2351" spans="2:10">
      <c r="B2351" t="s">
        <v>98</v>
      </c>
      <c r="D2351">
        <f>0.45*1600</f>
        <v>720</v>
      </c>
    </row>
    <row r="2352" spans="2:10">
      <c r="B2352" t="s">
        <v>16</v>
      </c>
      <c r="D2352" s="4">
        <f>Master!T52/20*SOP!C6</f>
        <v>2012.0353300159495</v>
      </c>
    </row>
    <row r="2353" spans="2:15">
      <c r="B2353" s="61" t="s">
        <v>87</v>
      </c>
      <c r="C2353" s="61"/>
      <c r="D2353" s="420">
        <f>Master!T51/20*SOP!C5</f>
        <v>1101.33</v>
      </c>
    </row>
    <row r="2354" spans="2:15">
      <c r="B2354" t="s">
        <v>98</v>
      </c>
      <c r="D2354" s="4">
        <f>SUM(D2351:D2353)</f>
        <v>3833.3653300159494</v>
      </c>
    </row>
    <row r="2356" spans="2:15">
      <c r="B2356" t="s">
        <v>380</v>
      </c>
      <c r="D2356">
        <f>D2341/D2354</f>
        <v>0.85768543791773311</v>
      </c>
    </row>
    <row r="2358" spans="2:15">
      <c r="B2358" t="s">
        <v>4163</v>
      </c>
    </row>
    <row r="2360" spans="2:15">
      <c r="B2360" t="s">
        <v>6009</v>
      </c>
      <c r="C2360" s="8">
        <v>0.36</v>
      </c>
    </row>
    <row r="2361" spans="2:15">
      <c r="B2361" t="s">
        <v>6010</v>
      </c>
      <c r="C2361" s="8">
        <v>0.2</v>
      </c>
    </row>
    <row r="2362" spans="2:15">
      <c r="B2362" t="s">
        <v>6011</v>
      </c>
      <c r="C2362" s="8">
        <f>C2360-C2361</f>
        <v>0.15999999999999998</v>
      </c>
    </row>
    <row r="2363" spans="2:15">
      <c r="C2363" s="419"/>
    </row>
    <row r="2364" spans="2:15">
      <c r="B2364" t="s">
        <v>6012</v>
      </c>
      <c r="C2364" s="8">
        <f>100%-C2360</f>
        <v>0.64</v>
      </c>
    </row>
    <row r="2365" spans="2:15">
      <c r="K2365" s="122" t="e">
        <f>VOD!#REF!-VOD!#REF!</f>
        <v>#REF!</v>
      </c>
    </row>
    <row r="2366" spans="2:15">
      <c r="N2366" s="42">
        <v>2020</v>
      </c>
    </row>
    <row r="2367" spans="2:15">
      <c r="M2367" t="s">
        <v>6069</v>
      </c>
      <c r="N2367">
        <v>0</v>
      </c>
      <c r="O2367" s="4">
        <f>(Master!S47/Master!S92)</f>
        <v>1518.2960893854749</v>
      </c>
    </row>
    <row r="2368" spans="2:15">
      <c r="M2368" t="s">
        <v>6070</v>
      </c>
      <c r="N2368" s="4">
        <f>O2367</f>
        <v>1518.2960893854749</v>
      </c>
      <c r="O2368" s="4">
        <v>2541.9</v>
      </c>
    </row>
    <row r="2369" spans="13:15">
      <c r="M2369" t="s">
        <v>6071</v>
      </c>
      <c r="N2369" s="4">
        <f>N2368+O2368-O2369</f>
        <v>3680.6960893854748</v>
      </c>
      <c r="O2369" s="4">
        <f>Content!N58</f>
        <v>379.5</v>
      </c>
    </row>
    <row r="2370" spans="13:15">
      <c r="M2370" t="s">
        <v>6072</v>
      </c>
      <c r="N2370">
        <v>0</v>
      </c>
      <c r="O2370">
        <v>4000</v>
      </c>
    </row>
    <row r="2371" spans="13:15">
      <c r="O2371" s="8"/>
    </row>
    <row r="2396" hidden="1" outlineLevel="1"/>
    <row r="2397" hidden="1" outlineLevel="1"/>
    <row r="2398" hidden="1" outlineLevel="1"/>
    <row r="2399" hidden="1" outlineLevel="1"/>
    <row r="2400" collapsed="1"/>
    <row r="2409" spans="15:15">
      <c r="O2409" s="644" t="s">
        <v>6563</v>
      </c>
    </row>
    <row r="2424" spans="2:6">
      <c r="B2424" s="61"/>
      <c r="C2424" s="149">
        <v>2022</v>
      </c>
      <c r="D2424" s="149">
        <f>C2424+1</f>
        <v>2023</v>
      </c>
      <c r="E2424" s="149">
        <f>D2424+1</f>
        <v>2024</v>
      </c>
      <c r="F2424" s="149">
        <f>E2424+1</f>
        <v>2025</v>
      </c>
    </row>
    <row r="2425" spans="2:6">
      <c r="B2425" t="s">
        <v>1042</v>
      </c>
      <c r="C2425" s="10" t="e">
        <f>Valuation!#REF!</f>
        <v>#REF!</v>
      </c>
      <c r="D2425" s="10" t="e">
        <f>Valuation!#REF!</f>
        <v>#REF!</v>
      </c>
      <c r="E2425" s="10" t="e">
        <f>Valuation!#REF!</f>
        <v>#REF!</v>
      </c>
      <c r="F2425" s="10" t="e">
        <f>Valuation!#REF!</f>
        <v>#REF!</v>
      </c>
    </row>
    <row r="2426" spans="2:6">
      <c r="B2426" t="s">
        <v>2335</v>
      </c>
      <c r="C2426" s="10">
        <v>6.0013973533836015E-2</v>
      </c>
      <c r="D2426" s="10">
        <v>8.6874233194689301E-2</v>
      </c>
      <c r="E2426" s="10">
        <v>0.10095876668215135</v>
      </c>
      <c r="F2426" s="10">
        <v>0.11652029328818996</v>
      </c>
    </row>
    <row r="2429" spans="2:6">
      <c r="B2429" t="s">
        <v>6479</v>
      </c>
      <c r="C2429" s="8">
        <f>Master!T47/Master!T56</f>
        <v>0.34719160601921528</v>
      </c>
    </row>
    <row r="2431" spans="2:6">
      <c r="B2431" s="149" t="s">
        <v>6482</v>
      </c>
      <c r="C2431" s="149">
        <v>2022</v>
      </c>
      <c r="D2431" s="149">
        <f>C2431+1</f>
        <v>2023</v>
      </c>
      <c r="E2431" s="149">
        <f>D2431+1</f>
        <v>2024</v>
      </c>
      <c r="F2431" s="149">
        <f>E2431+1</f>
        <v>2025</v>
      </c>
    </row>
    <row r="2432" spans="2:6">
      <c r="B2432" t="s">
        <v>200</v>
      </c>
      <c r="C2432" s="122">
        <f>Master!U56-Master!U47</f>
        <v>75526.600000000006</v>
      </c>
      <c r="D2432" s="122">
        <f>Master!V56-Master!V47</f>
        <v>73767.900000000009</v>
      </c>
      <c r="E2432" s="122">
        <f>Master!W56-Master!W47</f>
        <v>64302.151064570928</v>
      </c>
      <c r="F2432" s="122">
        <f>Master!X56-Master!X47</f>
        <v>63593.794268350568</v>
      </c>
    </row>
    <row r="2433" spans="2:6">
      <c r="B2433" t="s">
        <v>57</v>
      </c>
      <c r="C2433" s="122">
        <f>Master!U73-Master!U65</f>
        <v>25536.03</v>
      </c>
      <c r="D2433" s="122">
        <f>Master!V73-Master!V65</f>
        <v>24218.100000000002</v>
      </c>
      <c r="E2433" s="122">
        <f>Master!W73-Master!W65</f>
        <v>24362.760803532561</v>
      </c>
      <c r="F2433" s="122">
        <f>Master!X73-Master!X65</f>
        <v>21401.905240149226</v>
      </c>
    </row>
    <row r="2434" spans="2:6">
      <c r="B2434" t="s">
        <v>201</v>
      </c>
      <c r="C2434" s="122">
        <f>Master!U90-Master!U87</f>
        <v>16872.29</v>
      </c>
      <c r="D2434" s="122">
        <f>Master!V90-Master!V87</f>
        <v>13844.94</v>
      </c>
      <c r="E2434" s="122">
        <f>Master!W90-Master!W87</f>
        <v>12866.448770046549</v>
      </c>
      <c r="F2434" s="122">
        <f>Master!X90-Master!X87</f>
        <v>12292.698727155317</v>
      </c>
    </row>
    <row r="2435" spans="2:6">
      <c r="B2435" t="s">
        <v>203</v>
      </c>
      <c r="C2435" s="122">
        <f>C2433-C2434</f>
        <v>8663.739999999998</v>
      </c>
      <c r="D2435" s="122">
        <f>D2433-D2434</f>
        <v>10373.160000000002</v>
      </c>
      <c r="E2435" s="122">
        <f>E2433-E2434</f>
        <v>11496.312033486012</v>
      </c>
      <c r="F2435" s="122">
        <f>F2433-F2434</f>
        <v>9109.2065129939092</v>
      </c>
    </row>
    <row r="2436" spans="2:6">
      <c r="B2436" t="s">
        <v>6480</v>
      </c>
      <c r="C2436" s="122">
        <f>Master!U20</f>
        <v>9206.2000000000007</v>
      </c>
      <c r="D2436" s="122">
        <f>Master!V20</f>
        <v>4624.2999999999993</v>
      </c>
      <c r="E2436" s="122">
        <f ca="1">Master!W20</f>
        <v>4586.7847606338692</v>
      </c>
      <c r="F2436" s="122">
        <f ca="1">Master!X20</f>
        <v>4942.0396161709232</v>
      </c>
    </row>
    <row r="2437" spans="2:6">
      <c r="B2437" t="s">
        <v>6481</v>
      </c>
      <c r="C2437" s="615" t="e">
        <f>SOP!#REF!*20*5%</f>
        <v>#REF!</v>
      </c>
      <c r="D2437" s="122" t="e">
        <f>C2437</f>
        <v>#REF!</v>
      </c>
      <c r="E2437" s="122" t="e">
        <f>D2437</f>
        <v>#REF!</v>
      </c>
      <c r="F2437" s="122" t="e">
        <f>E2437</f>
        <v>#REF!</v>
      </c>
    </row>
    <row r="2438" spans="2:6">
      <c r="B2438" t="s">
        <v>192</v>
      </c>
      <c r="C2438" s="122">
        <f>-Master!U27*(1-$C$2429)</f>
        <v>-631.52684033701109</v>
      </c>
      <c r="D2438" s="122">
        <f>-Master!V27*(1-$C$2429)</f>
        <v>1593.4400088676975</v>
      </c>
      <c r="E2438" s="122">
        <f ca="1">-Master!W27*(1-$C$2429)</f>
        <v>-487.35703452821673</v>
      </c>
      <c r="F2438" s="122">
        <f ca="1">-Master!X27*(1-$C$2429)</f>
        <v>-297.66461799872371</v>
      </c>
    </row>
    <row r="2439" spans="2:6">
      <c r="B2439" s="61" t="s">
        <v>6478</v>
      </c>
      <c r="C2439" s="449">
        <f>VOD!G189*Master!V92*0.45</f>
        <v>-6708.1229999999987</v>
      </c>
      <c r="D2439" s="449">
        <f>VOD!H189*Master!W92*0.45</f>
        <v>97.498105427646792</v>
      </c>
      <c r="E2439" s="449">
        <f>VOD!I189*Master!X92*0.45</f>
        <v>3302.7699940876782</v>
      </c>
      <c r="F2439" s="449">
        <f>VOD!J189*Master!AD92*0.45</f>
        <v>0</v>
      </c>
    </row>
    <row r="2440" spans="2:6">
      <c r="B2440" t="s">
        <v>372</v>
      </c>
      <c r="C2440" s="122" t="e">
        <f>C2435-C2436+C2437-C2438+C2439</f>
        <v>#REF!</v>
      </c>
      <c r="D2440" s="122" t="e">
        <f>D2435-D2436+D2437-D2438+D2439</f>
        <v>#REF!</v>
      </c>
      <c r="E2440" s="122" t="e">
        <f ca="1">E2435-E2436+E2437-E2438+E2439</f>
        <v>#REF!</v>
      </c>
      <c r="F2440" s="122" t="e">
        <f ca="1">F2435-F2436+F2437-F2438+F2439</f>
        <v>#REF!</v>
      </c>
    </row>
    <row r="2441" spans="2:6">
      <c r="C2441" s="122"/>
    </row>
    <row r="2442" spans="2:6">
      <c r="B2442" t="s">
        <v>6477</v>
      </c>
      <c r="C2442" s="122">
        <f>Master!U156</f>
        <v>54109.7</v>
      </c>
    </row>
    <row r="2443" spans="2:6">
      <c r="B2443" t="s">
        <v>6484</v>
      </c>
      <c r="C2443" s="122">
        <f>3000*20</f>
        <v>60000</v>
      </c>
    </row>
    <row r="2444" spans="2:6">
      <c r="B2444" t="s">
        <v>224</v>
      </c>
      <c r="C2444" s="122">
        <f>C2442-C2443</f>
        <v>-5890.3000000000029</v>
      </c>
    </row>
    <row r="2445" spans="2:6">
      <c r="B2445" t="s">
        <v>852</v>
      </c>
      <c r="C2445" s="151">
        <f>C2444/C2433</f>
        <v>-0.23066623903559022</v>
      </c>
    </row>
    <row r="2447" spans="2:6">
      <c r="B2447" s="42" t="s">
        <v>6483</v>
      </c>
    </row>
    <row r="2448" spans="2:6">
      <c r="B2448" t="s">
        <v>57</v>
      </c>
      <c r="C2448" s="122">
        <f>C2433+(SOP!$C$13*VOD!F142*20)</f>
        <v>40746.03</v>
      </c>
    </row>
    <row r="2449" spans="2:3">
      <c r="B2449" t="s">
        <v>224</v>
      </c>
      <c r="C2449" s="122">
        <f>C2444+(SOP!$C$13*VOD!F191*20)</f>
        <v>79489.099999999991</v>
      </c>
    </row>
    <row r="2450" spans="2:3">
      <c r="B2450" t="str">
        <f>B2445</f>
        <v>Net debt to EBITDA</v>
      </c>
      <c r="C2450" s="435">
        <f>C2449/C2448</f>
        <v>1.9508428183064703</v>
      </c>
    </row>
    <row r="2452" spans="2:3">
      <c r="B2452" s="121" t="s">
        <v>6489</v>
      </c>
    </row>
    <row r="2453" spans="2:3">
      <c r="B2453" s="61"/>
      <c r="C2453" s="574" t="s">
        <v>6499</v>
      </c>
    </row>
    <row r="2454" spans="2:3">
      <c r="B2454" t="s">
        <v>1401</v>
      </c>
      <c r="C2454">
        <v>75</v>
      </c>
    </row>
    <row r="2455" spans="2:3">
      <c r="B2455" t="s">
        <v>6490</v>
      </c>
      <c r="C2455">
        <v>50</v>
      </c>
    </row>
    <row r="2456" spans="2:3">
      <c r="B2456" t="s">
        <v>6491</v>
      </c>
      <c r="C2456">
        <v>45</v>
      </c>
    </row>
    <row r="2457" spans="2:3">
      <c r="B2457" t="s">
        <v>6492</v>
      </c>
      <c r="C2457">
        <v>40</v>
      </c>
    </row>
    <row r="2458" spans="2:3">
      <c r="B2458" t="s">
        <v>5827</v>
      </c>
      <c r="C2458">
        <v>35</v>
      </c>
    </row>
    <row r="2459" spans="2:3">
      <c r="B2459" t="s">
        <v>6493</v>
      </c>
      <c r="C2459">
        <v>15</v>
      </c>
    </row>
    <row r="2460" spans="2:3">
      <c r="B2460" t="s">
        <v>6494</v>
      </c>
      <c r="C2460">
        <v>15</v>
      </c>
    </row>
    <row r="2461" spans="2:3">
      <c r="B2461" t="s">
        <v>2615</v>
      </c>
      <c r="C2461">
        <v>8.5</v>
      </c>
    </row>
    <row r="2462" spans="2:3">
      <c r="B2462" t="s">
        <v>6495</v>
      </c>
      <c r="C2462">
        <v>8.5</v>
      </c>
    </row>
    <row r="2463" spans="2:3">
      <c r="B2463" t="s">
        <v>6496</v>
      </c>
      <c r="C2463">
        <v>4.5</v>
      </c>
    </row>
    <row r="2464" spans="2:3">
      <c r="B2464" s="61" t="s">
        <v>6497</v>
      </c>
      <c r="C2464" s="61">
        <v>1.5</v>
      </c>
    </row>
    <row r="2465" spans="2:3">
      <c r="B2465" s="42" t="s">
        <v>98</v>
      </c>
      <c r="C2465" s="42">
        <f>SUM(C2454:C2464)</f>
        <v>298</v>
      </c>
    </row>
    <row r="2468" spans="2:3">
      <c r="B2468" s="42" t="s">
        <v>610</v>
      </c>
      <c r="C2468" s="576" t="s">
        <v>6697</v>
      </c>
    </row>
    <row r="2469" spans="2:3">
      <c r="B2469" t="str">
        <f>'Cable cos'!B4</f>
        <v>Telmex</v>
      </c>
      <c r="C2469" s="122">
        <f>'Cable cos'!U4-'Cable cos'!P4</f>
        <v>7000</v>
      </c>
    </row>
    <row r="2470" spans="2:3">
      <c r="B2470" t="str">
        <f>'Cable cos'!B5</f>
        <v>Televisa</v>
      </c>
      <c r="C2470" s="122">
        <f>'Cable cos'!U5-'Cable cos'!P5</f>
        <v>3000</v>
      </c>
    </row>
    <row r="2471" spans="2:3">
      <c r="B2471" t="str">
        <f>'Cable cos'!B6</f>
        <v>Megacable</v>
      </c>
      <c r="C2471" s="122">
        <f>'Cable cos'!U6-'Cable cos'!P6</f>
        <v>8619</v>
      </c>
    </row>
    <row r="2472" spans="2:3">
      <c r="B2472" t="str">
        <f>'Cable cos'!B7</f>
        <v>Total Play</v>
      </c>
      <c r="C2472" s="122">
        <f>'Cable cos'!U7-'Cable cos'!P7</f>
        <v>3152.8191999999981</v>
      </c>
    </row>
    <row r="2474" spans="2:3">
      <c r="B2474" s="42" t="s">
        <v>602</v>
      </c>
      <c r="C2474" s="646">
        <f>'Cable cos'!U123-'Cable cos'!P123</f>
        <v>0.1100000000000001</v>
      </c>
    </row>
    <row r="2476" spans="2:3">
      <c r="B2476" s="42" t="s">
        <v>900</v>
      </c>
      <c r="C2476" s="576" t="s">
        <v>6697</v>
      </c>
    </row>
    <row r="2477" spans="2:3">
      <c r="B2477" s="1" t="s">
        <v>6698</v>
      </c>
      <c r="C2477" s="643">
        <f>'Cable cos'!U26-'Cable cos'!P26</f>
        <v>3360</v>
      </c>
    </row>
    <row r="2478" spans="2:3">
      <c r="B2478" s="1" t="s">
        <v>6699</v>
      </c>
      <c r="C2478" s="643">
        <f>'Cable cos'!U32-'Cable cos'!P32</f>
        <v>-3214.5564003785457</v>
      </c>
    </row>
    <row r="2479" spans="2:3">
      <c r="B2479" t="str">
        <f>B2470</f>
        <v>Televisa</v>
      </c>
      <c r="C2479" s="122">
        <f>'Cable cos'!U27-'Cable cos'!P27</f>
        <v>361.18295632765967</v>
      </c>
    </row>
    <row r="2480" spans="2:3">
      <c r="B2480" t="str">
        <f>B2471</f>
        <v>Megacable</v>
      </c>
      <c r="C2480" s="122">
        <f>'Cable cos'!U28-'Cable cos'!P28</f>
        <v>2167.6589999999997</v>
      </c>
    </row>
    <row r="2481" spans="2:13">
      <c r="B2481" t="str">
        <f>B2472</f>
        <v>Total Play</v>
      </c>
      <c r="C2481" s="122">
        <f>'Cable cos'!U29-'Cable cos'!P29</f>
        <v>2311.4799999999996</v>
      </c>
    </row>
    <row r="2483" spans="2:13">
      <c r="B2483" s="42" t="s">
        <v>6700</v>
      </c>
      <c r="C2483" s="576" t="s">
        <v>6697</v>
      </c>
    </row>
    <row r="2484" spans="2:13">
      <c r="B2484" t="str">
        <f>B2470</f>
        <v>Televisa</v>
      </c>
      <c r="C2484" s="8">
        <f>C2479/C2470</f>
        <v>0.12039431877588655</v>
      </c>
    </row>
    <row r="2485" spans="2:13">
      <c r="B2485" t="str">
        <f>B2471</f>
        <v>Megacable</v>
      </c>
      <c r="C2485" s="8">
        <f>C2480/C2471</f>
        <v>0.25149773755656102</v>
      </c>
    </row>
    <row r="2486" spans="2:13">
      <c r="B2486" t="str">
        <f>B2472</f>
        <v>Total Play</v>
      </c>
      <c r="C2486" s="8">
        <f>C2481/C2472</f>
        <v>0.73314701965783546</v>
      </c>
    </row>
    <row r="2487" spans="2:13">
      <c r="C2487" s="122"/>
    </row>
    <row r="2488" spans="2:13">
      <c r="B2488" s="149" t="s">
        <v>6700</v>
      </c>
      <c r="C2488" s="574">
        <v>2020</v>
      </c>
      <c r="D2488" s="574">
        <v>2021</v>
      </c>
      <c r="E2488" s="574">
        <f t="shared" ref="E2488:M2488" si="145">D2488+1</f>
        <v>2022</v>
      </c>
      <c r="F2488" s="574">
        <f t="shared" si="145"/>
        <v>2023</v>
      </c>
      <c r="G2488" s="574">
        <f t="shared" si="145"/>
        <v>2024</v>
      </c>
      <c r="H2488" s="574">
        <f t="shared" si="145"/>
        <v>2025</v>
      </c>
      <c r="I2488" s="574">
        <f t="shared" si="145"/>
        <v>2026</v>
      </c>
      <c r="J2488" s="574">
        <f t="shared" si="145"/>
        <v>2027</v>
      </c>
      <c r="K2488" s="574">
        <f t="shared" si="145"/>
        <v>2028</v>
      </c>
      <c r="L2488" s="574">
        <f t="shared" si="145"/>
        <v>2029</v>
      </c>
      <c r="M2488" s="574">
        <f t="shared" si="145"/>
        <v>2030</v>
      </c>
    </row>
    <row r="2489" spans="2:13">
      <c r="B2489" t="str">
        <f>B2484</f>
        <v>Televisa</v>
      </c>
      <c r="C2489" s="10">
        <f>'Cable cos'!O37</f>
        <v>0.36717017423007425</v>
      </c>
      <c r="D2489" s="10">
        <f>'Cable cos'!P37</f>
        <v>0.36037021223470667</v>
      </c>
      <c r="E2489" s="10">
        <f>'Cable cos'!Q37</f>
        <v>0.37257504456327989</v>
      </c>
      <c r="F2489" s="10">
        <f>'Cable cos'!R37</f>
        <v>0.34215578231292521</v>
      </c>
      <c r="G2489" s="10">
        <f>'Cable cos'!S37</f>
        <v>0.33913954975534599</v>
      </c>
      <c r="H2489" s="10">
        <f>'Cable cos'!T37</f>
        <v>0.33809560451022969</v>
      </c>
      <c r="I2489" s="10">
        <f>'Cable cos'!U37</f>
        <v>0.33243211743743506</v>
      </c>
      <c r="J2489" s="10">
        <f>'Cable cos'!V37</f>
        <v>0.32713178412923588</v>
      </c>
      <c r="K2489" s="10">
        <f>'Cable cos'!W37</f>
        <v>0.32143673076794299</v>
      </c>
      <c r="L2489" s="10">
        <f>'Cable cos'!X37</f>
        <v>0.31943991877061378</v>
      </c>
      <c r="M2489" s="10">
        <f>'Cable cos'!Y37</f>
        <v>0.31713635572077548</v>
      </c>
    </row>
    <row r="2490" spans="2:13">
      <c r="B2490" t="str">
        <f>B2485</f>
        <v>Megacable</v>
      </c>
      <c r="C2490" s="10">
        <f>'Cable cos'!O38</f>
        <v>0.43919597989949749</v>
      </c>
      <c r="D2490" s="10">
        <f>'Cable cos'!P38</f>
        <v>0.4340056432229073</v>
      </c>
      <c r="E2490" s="10">
        <f>'Cable cos'!Q38</f>
        <v>0.38044982698961938</v>
      </c>
      <c r="F2490" s="10">
        <f>'Cable cos'!R38</f>
        <v>0.32037828734292007</v>
      </c>
      <c r="G2490" s="10">
        <f>'Cable cos'!S38</f>
        <v>0.31908843941784232</v>
      </c>
      <c r="H2490" s="10">
        <f>'Cable cos'!T38</f>
        <v>0.32157069558836648</v>
      </c>
      <c r="I2490" s="10">
        <f>'Cable cos'!U38</f>
        <v>0.32869680396050582</v>
      </c>
      <c r="J2490" s="10">
        <f>'Cable cos'!V38</f>
        <v>0.33330955366042542</v>
      </c>
      <c r="K2490" s="10">
        <f>'Cable cos'!W38</f>
        <v>0.33550981257148166</v>
      </c>
      <c r="L2490" s="10">
        <f>'Cable cos'!X38</f>
        <v>0.33744662964350758</v>
      </c>
      <c r="M2490" s="10">
        <f>'Cable cos'!Y38</f>
        <v>0.33913030200904803</v>
      </c>
    </row>
    <row r="2491" spans="2:13">
      <c r="B2491" t="str">
        <f>B2486</f>
        <v>Total Play</v>
      </c>
      <c r="C2491" s="10">
        <f>'Cable cos'!O39</f>
        <v>0.19869918699186992</v>
      </c>
      <c r="D2491" s="10">
        <f>'Cable cos'!P39</f>
        <v>0.23530612244897958</v>
      </c>
      <c r="E2491" s="10">
        <f>'Cable cos'!Q39</f>
        <v>0.24809600738518348</v>
      </c>
      <c r="F2491" s="10">
        <f>'Cable cos'!R39</f>
        <v>0.27219912285698011</v>
      </c>
      <c r="G2491" s="10">
        <f>'Cable cos'!S39</f>
        <v>0.29150843307254287</v>
      </c>
      <c r="H2491" s="10">
        <f>'Cable cos'!T39</f>
        <v>0.3074241215532274</v>
      </c>
      <c r="I2491" s="10">
        <f>'Cable cos'!U39</f>
        <v>0.32316912726030411</v>
      </c>
      <c r="J2491" s="10">
        <f>'Cable cos'!V39</f>
        <v>0.33584024397810536</v>
      </c>
      <c r="K2491" s="10">
        <f>'Cable cos'!W39</f>
        <v>0.34546020396187105</v>
      </c>
      <c r="L2491" s="10">
        <f>'Cable cos'!X39</f>
        <v>0.35403846669292582</v>
      </c>
      <c r="M2491" s="10">
        <f>'Cable cos'!Y39</f>
        <v>0.36229741974167035</v>
      </c>
    </row>
    <row r="2493" spans="2:13">
      <c r="B2493" s="149" t="s">
        <v>519</v>
      </c>
      <c r="C2493" s="574">
        <v>2020</v>
      </c>
      <c r="D2493" s="574">
        <v>2021</v>
      </c>
      <c r="E2493" s="574">
        <f t="shared" ref="E2493:M2493" si="146">D2493+1</f>
        <v>2022</v>
      </c>
      <c r="F2493" s="574">
        <f t="shared" si="146"/>
        <v>2023</v>
      </c>
      <c r="G2493" s="574">
        <f t="shared" si="146"/>
        <v>2024</v>
      </c>
      <c r="H2493" s="574">
        <f t="shared" si="146"/>
        <v>2025</v>
      </c>
      <c r="I2493" s="574">
        <f t="shared" si="146"/>
        <v>2026</v>
      </c>
      <c r="J2493" s="574">
        <f t="shared" si="146"/>
        <v>2027</v>
      </c>
      <c r="K2493" s="574">
        <f t="shared" si="146"/>
        <v>2028</v>
      </c>
      <c r="L2493" s="574">
        <f t="shared" si="146"/>
        <v>2029</v>
      </c>
      <c r="M2493" s="574">
        <f t="shared" si="146"/>
        <v>2030</v>
      </c>
    </row>
    <row r="2494" spans="2:13">
      <c r="B2494" t="s">
        <v>6701</v>
      </c>
      <c r="C2494" s="647">
        <f>'Cable cos'!Q102-'Cable cos'!P102</f>
        <v>-12</v>
      </c>
      <c r="D2494" s="647">
        <f>'Cable cos'!R102-'Cable cos'!Q102</f>
        <v>464</v>
      </c>
      <c r="E2494" s="647">
        <f>'Cable cos'!S102-'Cable cos'!R102</f>
        <v>-67.194583813092322</v>
      </c>
      <c r="F2494" s="647">
        <f>'Cable cos'!T102-'Cable cos'!S102</f>
        <v>-101.57451539193607</v>
      </c>
      <c r="G2494" s="647">
        <f>'Cable cos'!U102-'Cable cos'!T102</f>
        <v>-137.78730117351733</v>
      </c>
      <c r="H2494" s="647">
        <f>'Cable cos'!V102-'Cable cos'!U102</f>
        <v>-175.90429116547602</v>
      </c>
      <c r="I2494" s="647">
        <f>'Cable cos'!W102-'Cable cos'!V102</f>
        <v>-271.09284227954777</v>
      </c>
      <c r="J2494" s="647">
        <f>'Cable cos'!X102-'Cable cos'!W102</f>
        <v>-308.01199352906951</v>
      </c>
      <c r="K2494" s="647">
        <f>'Cable cos'!Y102-'Cable cos'!X102</f>
        <v>-396.4211315186767</v>
      </c>
      <c r="L2494" s="647">
        <f>'Cable cos'!Z102-'Cable cos'!Y102</f>
        <v>-9031.0133411286843</v>
      </c>
      <c r="M2494" s="647">
        <f>'Cable cos'!AA102-'Cable cos'!Z102</f>
        <v>0</v>
      </c>
    </row>
    <row r="2495" spans="2:13">
      <c r="B2495" t="str">
        <f>B2489</f>
        <v>Televisa</v>
      </c>
      <c r="C2495" s="647">
        <f>'Cable cos'!Q27-'Cable cos'!P27</f>
        <v>335.04899999999998</v>
      </c>
      <c r="D2495" s="647">
        <f>'Cable cos'!R27-'Cable cos'!Q27</f>
        <v>-305.72000000000025</v>
      </c>
      <c r="E2495" s="647">
        <f>'Cable cos'!S27-'Cable cos'!R27</f>
        <v>102.19856749056908</v>
      </c>
      <c r="F2495" s="647">
        <f>'Cable cos'!T27-'Cable cos'!S27</f>
        <v>117.1866763489752</v>
      </c>
      <c r="G2495" s="647">
        <f>'Cable cos'!U27-'Cable cos'!T27</f>
        <v>112.46871248811567</v>
      </c>
      <c r="H2495" s="647">
        <f>'Cable cos'!V27-'Cable cos'!U27</f>
        <v>107.39340479732618</v>
      </c>
      <c r="I2495" s="647">
        <f>'Cable cos'!W27-'Cable cos'!V27</f>
        <v>66.946063034276449</v>
      </c>
      <c r="J2495" s="647">
        <f>'Cable cos'!X27-'Cable cos'!W27</f>
        <v>228.48893273787507</v>
      </c>
      <c r="K2495" s="647">
        <f>'Cable cos'!Y27-'Cable cos'!X27</f>
        <v>198.59531467113084</v>
      </c>
      <c r="L2495" s="647">
        <f>'Cable cos'!Z27-'Cable cos'!Y27</f>
        <v>-6611.7086715682681</v>
      </c>
      <c r="M2495" s="647">
        <f>'Cable cos'!AA27-'Cable cos'!Z27</f>
        <v>0</v>
      </c>
    </row>
    <row r="2496" spans="2:13">
      <c r="B2496" t="str">
        <f>B2490</f>
        <v>Megacable</v>
      </c>
      <c r="C2496" s="647">
        <f>'Cable cos'!Q28-'Cable cos'!P28</f>
        <v>304.10699999999997</v>
      </c>
      <c r="D2496" s="647">
        <f>'Cable cos'!R28-'Cable cos'!Q28</f>
        <v>584</v>
      </c>
      <c r="E2496" s="647">
        <f>'Cable cos'!S28-'Cable cos'!R28</f>
        <v>529.55199999999968</v>
      </c>
      <c r="F2496" s="647">
        <f>'Cable cos'!T28-'Cable cos'!S28</f>
        <v>450</v>
      </c>
      <c r="G2496" s="647">
        <f>'Cable cos'!U28-'Cable cos'!T28</f>
        <v>300</v>
      </c>
      <c r="H2496" s="647">
        <f>'Cable cos'!V28-'Cable cos'!U28</f>
        <v>200</v>
      </c>
      <c r="I2496" s="647">
        <f>'Cable cos'!W28-'Cable cos'!V28</f>
        <v>150</v>
      </c>
      <c r="J2496" s="647">
        <f>'Cable cos'!X28-'Cable cos'!W28</f>
        <v>150</v>
      </c>
      <c r="K2496" s="647">
        <f>'Cable cos'!Y28-'Cable cos'!X28</f>
        <v>150</v>
      </c>
      <c r="L2496" s="647">
        <f>'Cable cos'!Z28-'Cable cos'!Y28</f>
        <v>-6651.5519999999997</v>
      </c>
      <c r="M2496" s="647">
        <f>'Cable cos'!AA28-'Cable cos'!Z28</f>
        <v>0</v>
      </c>
    </row>
    <row r="2497" spans="2:13">
      <c r="B2497" s="61" t="str">
        <f>B2491</f>
        <v>Total Play</v>
      </c>
      <c r="C2497" s="648">
        <f>'Cable cos'!Q29-'Cable cos'!P29</f>
        <v>839</v>
      </c>
      <c r="D2497" s="648">
        <f>'Cable cos'!R29-'Cable cos'!Q29</f>
        <v>482</v>
      </c>
      <c r="E2497" s="648">
        <f>'Cable cos'!S29-'Cable cos'!R29</f>
        <v>370.47999999999956</v>
      </c>
      <c r="F2497" s="648">
        <f>'Cable cos'!T29-'Cable cos'!S29</f>
        <v>320</v>
      </c>
      <c r="G2497" s="648">
        <f>'Cable cos'!U29-'Cable cos'!T29</f>
        <v>300</v>
      </c>
      <c r="H2497" s="648">
        <f>'Cable cos'!V29-'Cable cos'!U29</f>
        <v>250</v>
      </c>
      <c r="I2497" s="648">
        <f>'Cable cos'!W29-'Cable cos'!V29</f>
        <v>200</v>
      </c>
      <c r="J2497" s="648">
        <f>'Cable cos'!X29-'Cable cos'!W29</f>
        <v>200</v>
      </c>
      <c r="K2497" s="648">
        <f>'Cable cos'!Y29-'Cable cos'!X29</f>
        <v>200</v>
      </c>
      <c r="L2497" s="648">
        <f>'Cable cos'!Z29-'Cable cos'!Y29</f>
        <v>-6619.48</v>
      </c>
      <c r="M2497" s="648">
        <f>'Cable cos'!AA29-'Cable cos'!Z29</f>
        <v>0</v>
      </c>
    </row>
    <row r="2498" spans="2:13">
      <c r="B2498" t="s">
        <v>6702</v>
      </c>
      <c r="C2498" s="122">
        <f t="shared" ref="C2498:H2498" si="147">SUM(C2494:C2497)</f>
        <v>1466.1559999999999</v>
      </c>
      <c r="D2498" s="122">
        <f t="shared" si="147"/>
        <v>1224.2799999999997</v>
      </c>
      <c r="E2498" s="122">
        <f t="shared" si="147"/>
        <v>935.035983677476</v>
      </c>
      <c r="F2498" s="122">
        <f t="shared" si="147"/>
        <v>785.61216095703912</v>
      </c>
      <c r="G2498" s="122">
        <f t="shared" si="147"/>
        <v>574.68141131459834</v>
      </c>
      <c r="H2498" s="122">
        <f t="shared" si="147"/>
        <v>381.48911363185016</v>
      </c>
      <c r="I2498" s="122">
        <f>SUM(I2494:I2497)</f>
        <v>145.85322075472868</v>
      </c>
      <c r="J2498" s="122">
        <f>SUM(J2494:J2497)</f>
        <v>270.47693920880556</v>
      </c>
      <c r="K2498" s="122">
        <f>SUM(K2494:K2497)</f>
        <v>152.17418315245413</v>
      </c>
      <c r="L2498" s="122">
        <f>SUM(L2494:L2497)</f>
        <v>-28913.754012696951</v>
      </c>
      <c r="M2498" s="122">
        <f>SUM(M2494:M2497)</f>
        <v>0</v>
      </c>
    </row>
    <row r="2500" spans="2:13">
      <c r="B2500" t="s">
        <v>6703</v>
      </c>
      <c r="C2500" s="573">
        <f>'Cable cos'!O8/'Cable cos'!O79</f>
        <v>1.4808681672025723</v>
      </c>
      <c r="D2500" s="573">
        <f>'Cable cos'!P8/'Cable cos'!P79</f>
        <v>1.6414160519513272</v>
      </c>
      <c r="E2500" s="573">
        <f>'Cable cos'!Q8/'Cable cos'!Q79</f>
        <v>1.8262824958493578</v>
      </c>
      <c r="F2500" s="573">
        <f>'Cable cos'!R8/'Cable cos'!R79</f>
        <v>1.9875123323026811</v>
      </c>
      <c r="G2500" s="573">
        <f>'Cable cos'!S8/'Cable cos'!S79</f>
        <v>2.0527472114933643</v>
      </c>
      <c r="H2500" s="573">
        <f>'Cable cos'!T8/'Cable cos'!T79</f>
        <v>2.1006348777777721</v>
      </c>
      <c r="I2500" s="573">
        <f>'Cable cos'!U8/'Cable cos'!U79</f>
        <v>2.1083129995750713</v>
      </c>
      <c r="J2500" s="573">
        <f>'Cable cos'!V8/'Cable cos'!V79</f>
        <v>2.1011471280729745</v>
      </c>
      <c r="K2500" s="573">
        <f>'Cable cos'!W8/'Cable cos'!W79</f>
        <v>2.0936986840677383</v>
      </c>
      <c r="L2500" s="573">
        <f>'Cable cos'!X8/'Cable cos'!X79</f>
        <v>2.0870493515772686</v>
      </c>
      <c r="M2500" s="573">
        <f>'Cable cos'!Y8/'Cable cos'!Y79</f>
        <v>2.0801195956870866</v>
      </c>
    </row>
    <row r="2527" spans="2:7">
      <c r="C2527" s="42">
        <v>2021</v>
      </c>
      <c r="D2527" s="42">
        <f>C2527+1</f>
        <v>2022</v>
      </c>
      <c r="E2527" s="42">
        <f>D2527+1</f>
        <v>2023</v>
      </c>
      <c r="F2527" s="42">
        <f>E2527+1</f>
        <v>2024</v>
      </c>
      <c r="G2527" s="42">
        <f>F2527+1</f>
        <v>2025</v>
      </c>
    </row>
    <row r="2528" spans="2:7">
      <c r="B2528" t="s">
        <v>6704</v>
      </c>
      <c r="C2528" s="8">
        <f>'Cable cos'!P123</f>
        <v>0.65348874598070739</v>
      </c>
      <c r="D2528" s="8">
        <f>'Cable cos'!Q123</f>
        <v>0.67848874598070741</v>
      </c>
      <c r="E2528" s="8">
        <f>'Cable cos'!R123</f>
        <v>0.70348874598070743</v>
      </c>
      <c r="F2528" s="8">
        <f>'Cable cos'!S123</f>
        <v>0.72348874598070745</v>
      </c>
      <c r="G2528" s="8">
        <f>'Cable cos'!T123</f>
        <v>0.74348874598070747</v>
      </c>
    </row>
    <row r="2544" spans="2:12">
      <c r="B2544" s="149" t="s">
        <v>6711</v>
      </c>
      <c r="C2544" s="149">
        <f>C2561</f>
        <v>2021</v>
      </c>
      <c r="D2544" s="149">
        <f t="shared" ref="D2544:L2544" si="148">D2561</f>
        <v>2022</v>
      </c>
      <c r="E2544" s="149">
        <f t="shared" si="148"/>
        <v>2023</v>
      </c>
      <c r="F2544" s="149">
        <f t="shared" si="148"/>
        <v>2024</v>
      </c>
      <c r="G2544" s="149">
        <f t="shared" si="148"/>
        <v>2025</v>
      </c>
      <c r="H2544" s="149">
        <f t="shared" si="148"/>
        <v>2026</v>
      </c>
      <c r="I2544" s="149">
        <f t="shared" si="148"/>
        <v>2027</v>
      </c>
      <c r="J2544" s="149">
        <f t="shared" si="148"/>
        <v>2028</v>
      </c>
      <c r="K2544" s="149">
        <f t="shared" si="148"/>
        <v>2029</v>
      </c>
      <c r="L2544" s="149">
        <f t="shared" si="148"/>
        <v>2030</v>
      </c>
    </row>
    <row r="2545" spans="2:12">
      <c r="B2545" s="190" t="str">
        <f>B2562</f>
        <v>US SVOD</v>
      </c>
      <c r="C2545" s="654">
        <f>VOD!E26</f>
        <v>0</v>
      </c>
      <c r="D2545" s="654">
        <f>VOD!F26</f>
        <v>0.36299999999999999</v>
      </c>
      <c r="E2545" s="654">
        <f>VOD!G26</f>
        <v>2.8725000000000001</v>
      </c>
      <c r="F2545" s="654">
        <f>VOD!H26</f>
        <v>3.4255000000000004</v>
      </c>
      <c r="G2545" s="654">
        <f>VOD!I26</f>
        <v>3.7169999999999996</v>
      </c>
      <c r="H2545" s="654">
        <f>VOD!J26</f>
        <v>3.9710000000000001</v>
      </c>
      <c r="I2545" s="654">
        <f>VOD!K26</f>
        <v>4.2300000000000004</v>
      </c>
      <c r="J2545" s="654">
        <f>VOD!L26</f>
        <v>4.28</v>
      </c>
      <c r="K2545" s="654">
        <f>VOD!M26</f>
        <v>4.33</v>
      </c>
      <c r="L2545" s="654">
        <f>VOD!N26</f>
        <v>4.38</v>
      </c>
    </row>
    <row r="2546" spans="2:12">
      <c r="B2546" t="str">
        <f>B2563</f>
        <v>LatAm SVOD</v>
      </c>
      <c r="C2546" s="419">
        <f>VOD!E92</f>
        <v>0</v>
      </c>
      <c r="D2546" s="419">
        <f>VOD!F92</f>
        <v>0.10319999999999999</v>
      </c>
      <c r="E2546" s="419">
        <f>VOD!G92</f>
        <v>2.5305</v>
      </c>
      <c r="F2546" s="419">
        <f>VOD!H92</f>
        <v>3.1468500000000001</v>
      </c>
      <c r="G2546" s="419">
        <f>VOD!I92</f>
        <v>3.80985</v>
      </c>
      <c r="H2546" s="419">
        <f>VOD!J92</f>
        <v>4.5195000000000007</v>
      </c>
      <c r="I2546" s="419">
        <f>VOD!K92</f>
        <v>5.1480000000000006</v>
      </c>
      <c r="J2546" s="419">
        <f>VOD!L92</f>
        <v>5.7375000000000007</v>
      </c>
      <c r="K2546" s="419">
        <f>VOD!M92</f>
        <v>6.3570000000000011</v>
      </c>
      <c r="L2546" s="419">
        <f>VOD!N92</f>
        <v>7.0065000000000017</v>
      </c>
    </row>
    <row r="2547" spans="2:12">
      <c r="B2547" s="190" t="str">
        <f>B2564</f>
        <v>US AVOD</v>
      </c>
      <c r="C2547" s="654">
        <f>VOD!E38</f>
        <v>5</v>
      </c>
      <c r="D2547" s="654">
        <f>VOD!F38</f>
        <v>7</v>
      </c>
      <c r="E2547" s="654">
        <f>VOD!G38</f>
        <v>10</v>
      </c>
      <c r="F2547" s="654">
        <f>VOD!H38</f>
        <v>13</v>
      </c>
      <c r="G2547" s="654">
        <f>VOD!I38</f>
        <v>14</v>
      </c>
      <c r="H2547" s="654">
        <f>VOD!J38</f>
        <v>15</v>
      </c>
      <c r="I2547" s="654">
        <f>VOD!K38</f>
        <v>16</v>
      </c>
      <c r="J2547" s="654">
        <f>VOD!L38</f>
        <v>17</v>
      </c>
      <c r="K2547" s="654">
        <f>VOD!M38</f>
        <v>18</v>
      </c>
      <c r="L2547" s="654">
        <f>VOD!N38</f>
        <v>19</v>
      </c>
    </row>
    <row r="2548" spans="2:12">
      <c r="B2548" s="61" t="str">
        <f>B2565</f>
        <v>LatAm AVOD</v>
      </c>
      <c r="C2548" s="465">
        <f>VOD!E102</f>
        <v>1</v>
      </c>
      <c r="D2548" s="465">
        <f>VOD!F102</f>
        <v>3</v>
      </c>
      <c r="E2548" s="465">
        <f>VOD!G102</f>
        <v>28</v>
      </c>
      <c r="F2548" s="465">
        <f>VOD!H102</f>
        <v>33</v>
      </c>
      <c r="G2548" s="465">
        <f>VOD!I102</f>
        <v>38</v>
      </c>
      <c r="H2548" s="465">
        <f>VOD!J102</f>
        <v>43</v>
      </c>
      <c r="I2548" s="465">
        <f>VOD!K102</f>
        <v>47</v>
      </c>
      <c r="J2548" s="465">
        <f>VOD!L102</f>
        <v>50</v>
      </c>
      <c r="K2548" s="465">
        <f>VOD!M102</f>
        <v>52</v>
      </c>
      <c r="L2548" s="465">
        <f>VOD!N102</f>
        <v>54</v>
      </c>
    </row>
    <row r="2549" spans="2:12">
      <c r="B2549" s="650" t="s">
        <v>6708</v>
      </c>
      <c r="C2549" s="655">
        <f>C2545+C2546+C2547+C2548</f>
        <v>6</v>
      </c>
      <c r="D2549" s="655">
        <f t="shared" ref="D2549:L2549" si="149">D2545+D2546+D2547+D2548</f>
        <v>10.466200000000001</v>
      </c>
      <c r="E2549" s="655">
        <f t="shared" si="149"/>
        <v>43.402999999999999</v>
      </c>
      <c r="F2549" s="655">
        <f t="shared" si="149"/>
        <v>52.57235</v>
      </c>
      <c r="G2549" s="655">
        <f t="shared" si="149"/>
        <v>59.526849999999996</v>
      </c>
      <c r="H2549" s="655">
        <f t="shared" si="149"/>
        <v>66.490499999999997</v>
      </c>
      <c r="I2549" s="655">
        <f t="shared" si="149"/>
        <v>72.378</v>
      </c>
      <c r="J2549" s="655">
        <f t="shared" si="149"/>
        <v>77.017499999999998</v>
      </c>
      <c r="K2549" s="655">
        <f t="shared" si="149"/>
        <v>80.686999999999998</v>
      </c>
      <c r="L2549" s="655">
        <f t="shared" si="149"/>
        <v>84.386499999999998</v>
      </c>
    </row>
    <row r="2550" spans="2:12">
      <c r="B2550" s="42"/>
      <c r="C2550" s="658"/>
      <c r="D2550" s="658"/>
      <c r="E2550" s="658"/>
      <c r="F2550" s="658"/>
      <c r="G2550" s="658"/>
      <c r="H2550" s="658"/>
      <c r="I2550" s="658"/>
      <c r="J2550" s="658"/>
      <c r="K2550" s="658"/>
      <c r="L2550" s="658"/>
    </row>
    <row r="2551" spans="2:12">
      <c r="B2551" s="650" t="s">
        <v>6709</v>
      </c>
      <c r="C2551" s="656">
        <v>600</v>
      </c>
      <c r="D2551" s="656">
        <v>600</v>
      </c>
      <c r="E2551" s="656">
        <v>600</v>
      </c>
      <c r="F2551" s="656">
        <v>600</v>
      </c>
      <c r="G2551" s="656">
        <v>600</v>
      </c>
      <c r="H2551" s="656">
        <v>600</v>
      </c>
      <c r="I2551" s="656">
        <v>600</v>
      </c>
      <c r="J2551" s="656">
        <v>600</v>
      </c>
      <c r="K2551" s="656">
        <v>600</v>
      </c>
      <c r="L2551" s="656">
        <v>600</v>
      </c>
    </row>
    <row r="2552" spans="2:12">
      <c r="B2552" s="42" t="s">
        <v>6710</v>
      </c>
      <c r="C2552" s="4">
        <f>C2551/3.5</f>
        <v>171.42857142857142</v>
      </c>
      <c r="D2552" s="4">
        <f t="shared" ref="D2552:L2552" si="150">D2551/3.5</f>
        <v>171.42857142857142</v>
      </c>
      <c r="E2552" s="4">
        <f t="shared" si="150"/>
        <v>171.42857142857142</v>
      </c>
      <c r="F2552" s="4">
        <f t="shared" si="150"/>
        <v>171.42857142857142</v>
      </c>
      <c r="G2552" s="4">
        <f t="shared" si="150"/>
        <v>171.42857142857142</v>
      </c>
      <c r="H2552" s="4">
        <f t="shared" si="150"/>
        <v>171.42857142857142</v>
      </c>
      <c r="I2552" s="4">
        <f t="shared" si="150"/>
        <v>171.42857142857142</v>
      </c>
      <c r="J2552" s="4">
        <f t="shared" si="150"/>
        <v>171.42857142857142</v>
      </c>
      <c r="K2552" s="4">
        <f t="shared" si="150"/>
        <v>171.42857142857142</v>
      </c>
      <c r="L2552" s="4">
        <f t="shared" si="150"/>
        <v>171.42857142857142</v>
      </c>
    </row>
    <row r="2553" spans="2:12">
      <c r="B2553" s="650" t="s">
        <v>6712</v>
      </c>
      <c r="C2553" s="653">
        <f>C2549/C2552</f>
        <v>3.5000000000000003E-2</v>
      </c>
      <c r="D2553" s="653">
        <f t="shared" ref="D2553:L2553" si="151">D2549/D2552</f>
        <v>6.1052833333333341E-2</v>
      </c>
      <c r="E2553" s="653">
        <f t="shared" si="151"/>
        <v>0.25318416666666665</v>
      </c>
      <c r="F2553" s="653">
        <f t="shared" si="151"/>
        <v>0.30667204166666667</v>
      </c>
      <c r="G2553" s="653">
        <f t="shared" si="151"/>
        <v>0.34723995833333332</v>
      </c>
      <c r="H2553" s="653">
        <f t="shared" si="151"/>
        <v>0.38786124999999999</v>
      </c>
      <c r="I2553" s="653">
        <f t="shared" si="151"/>
        <v>0.42220500000000005</v>
      </c>
      <c r="J2553" s="653">
        <f t="shared" si="151"/>
        <v>0.44926874999999999</v>
      </c>
      <c r="K2553" s="653">
        <f t="shared" si="151"/>
        <v>0.47067416666666667</v>
      </c>
      <c r="L2553" s="653">
        <f t="shared" si="151"/>
        <v>0.49225458333333338</v>
      </c>
    </row>
    <row r="2555" spans="2:12">
      <c r="B2555" s="652" t="s">
        <v>6707</v>
      </c>
      <c r="C2555" s="652">
        <f>C2544</f>
        <v>2021</v>
      </c>
      <c r="D2555" s="652">
        <f t="shared" ref="D2555:L2555" si="152">D2544</f>
        <v>2022</v>
      </c>
      <c r="E2555" s="652">
        <f t="shared" si="152"/>
        <v>2023</v>
      </c>
      <c r="F2555" s="652">
        <f t="shared" si="152"/>
        <v>2024</v>
      </c>
      <c r="G2555" s="652">
        <f t="shared" si="152"/>
        <v>2025</v>
      </c>
      <c r="H2555" s="652">
        <f t="shared" si="152"/>
        <v>2026</v>
      </c>
      <c r="I2555" s="652">
        <f t="shared" si="152"/>
        <v>2027</v>
      </c>
      <c r="J2555" s="652">
        <f t="shared" si="152"/>
        <v>2028</v>
      </c>
      <c r="K2555" s="652">
        <f t="shared" si="152"/>
        <v>2029</v>
      </c>
      <c r="L2555" s="652">
        <f t="shared" si="152"/>
        <v>2030</v>
      </c>
    </row>
    <row r="2556" spans="2:12">
      <c r="B2556" t="str">
        <f>B2545</f>
        <v>US SVOD</v>
      </c>
      <c r="C2556" s="419">
        <f>VOD!E29</f>
        <v>6.5785335689045938</v>
      </c>
      <c r="D2556" s="419">
        <f>VOD!F29</f>
        <v>6.7758895759717319</v>
      </c>
      <c r="E2556" s="419">
        <f>VOD!G29</f>
        <v>6.9791662632508835</v>
      </c>
      <c r="F2556" s="419">
        <f>VOD!H29</f>
        <v>7.1885412511484104</v>
      </c>
      <c r="G2556" s="419">
        <f>VOD!I29</f>
        <v>7.404197488682863</v>
      </c>
      <c r="H2556" s="419">
        <f>VOD!J29</f>
        <v>7.6263234133433491</v>
      </c>
      <c r="I2556" s="419">
        <f>VOD!K29</f>
        <v>7.8551131157436487</v>
      </c>
      <c r="J2556" s="419">
        <f>VOD!L29</f>
        <v>8.0907665092159586</v>
      </c>
      <c r="K2556" s="419">
        <f>VOD!M29</f>
        <v>8.3334895044924373</v>
      </c>
      <c r="L2556" s="419">
        <f>VOD!N29</f>
        <v>8.5834941896272117</v>
      </c>
    </row>
    <row r="2557" spans="2:12">
      <c r="B2557" s="190" t="str">
        <f>B2546</f>
        <v>LatAm SVOD</v>
      </c>
      <c r="C2557" s="654">
        <f>VOD!E86</f>
        <v>6.5785335689045938</v>
      </c>
      <c r="D2557" s="654">
        <f>VOD!F86</f>
        <v>6.7758895759717319</v>
      </c>
      <c r="E2557" s="654">
        <f>VOD!G86</f>
        <v>6.9791662632508835</v>
      </c>
      <c r="F2557" s="654">
        <f>VOD!H86</f>
        <v>7.1885412511484104</v>
      </c>
      <c r="G2557" s="654">
        <f>VOD!I86</f>
        <v>7.404197488682863</v>
      </c>
      <c r="H2557" s="654">
        <f>VOD!J86</f>
        <v>7.6263234133433491</v>
      </c>
      <c r="I2557" s="654">
        <f>VOD!K86</f>
        <v>7.8551131157436487</v>
      </c>
      <c r="J2557" s="654">
        <f>VOD!L86</f>
        <v>8.0907665092159586</v>
      </c>
      <c r="K2557" s="654">
        <f>VOD!M86</f>
        <v>8.3334895044924373</v>
      </c>
      <c r="L2557" s="654">
        <f>VOD!N86</f>
        <v>8.5834941896272117</v>
      </c>
    </row>
    <row r="2558" spans="2:12">
      <c r="B2558" t="str">
        <f>B2547</f>
        <v>US AVOD</v>
      </c>
      <c r="C2558" s="419">
        <f>VOD!E55</f>
        <v>1</v>
      </c>
      <c r="D2558" s="419">
        <f>VOD!F55</f>
        <v>1.1875</v>
      </c>
      <c r="E2558" s="419">
        <f>VOD!G55</f>
        <v>1.223125</v>
      </c>
      <c r="F2558" s="419">
        <f>VOD!H55</f>
        <v>1.25981875</v>
      </c>
      <c r="G2558" s="419">
        <f>VOD!I55</f>
        <v>1.2976133125</v>
      </c>
      <c r="H2558" s="419">
        <f>VOD!J55</f>
        <v>1.336541711875</v>
      </c>
      <c r="I2558" s="419">
        <f>VOD!K55</f>
        <v>1.37663796323125</v>
      </c>
      <c r="J2558" s="419">
        <f>VOD!L55</f>
        <v>1.4179371021281875</v>
      </c>
      <c r="K2558" s="419">
        <f>VOD!M55</f>
        <v>1.460475215192033</v>
      </c>
      <c r="L2558" s="419">
        <f>VOD!N55</f>
        <v>1.5042894716477941</v>
      </c>
    </row>
    <row r="2559" spans="2:12">
      <c r="B2559" s="190" t="str">
        <f>B2548</f>
        <v>LatAm AVOD</v>
      </c>
      <c r="C2559" s="654">
        <f>VOD!E108</f>
        <v>0.75</v>
      </c>
      <c r="D2559" s="654">
        <f>VOD!F108</f>
        <v>0.890625</v>
      </c>
      <c r="E2559" s="654">
        <f>VOD!G108</f>
        <v>0.91734375000000001</v>
      </c>
      <c r="F2559" s="654">
        <f>VOD!H108</f>
        <v>0.94486406249999999</v>
      </c>
      <c r="G2559" s="654">
        <f>VOD!I108</f>
        <v>0.97320998437499995</v>
      </c>
      <c r="H2559" s="654">
        <f>VOD!J108</f>
        <v>1.00240628390625</v>
      </c>
      <c r="I2559" s="654">
        <f>VOD!K108</f>
        <v>1.0324784724234375</v>
      </c>
      <c r="J2559" s="654">
        <f>VOD!L108</f>
        <v>1.0634528265961407</v>
      </c>
      <c r="K2559" s="654">
        <f>VOD!M108</f>
        <v>1.0953564113940248</v>
      </c>
      <c r="L2559" s="654">
        <f>VOD!N108</f>
        <v>1.1282171037358455</v>
      </c>
    </row>
    <row r="2561" spans="2:12">
      <c r="B2561" s="652" t="str">
        <f>VOD!B119</f>
        <v>Revenue, USD million</v>
      </c>
      <c r="C2561" s="652">
        <f>VOD!E119</f>
        <v>2021</v>
      </c>
      <c r="D2561" s="652">
        <f>VOD!F119</f>
        <v>2022</v>
      </c>
      <c r="E2561" s="652">
        <f>VOD!G119</f>
        <v>2023</v>
      </c>
      <c r="F2561" s="652">
        <f>VOD!H119</f>
        <v>2024</v>
      </c>
      <c r="G2561" s="652">
        <f>VOD!I119</f>
        <v>2025</v>
      </c>
      <c r="H2561" s="652">
        <f>VOD!J119</f>
        <v>2026</v>
      </c>
      <c r="I2561" s="652">
        <f>VOD!K119</f>
        <v>2027</v>
      </c>
      <c r="J2561" s="652">
        <f>VOD!L119</f>
        <v>2028</v>
      </c>
      <c r="K2561" s="652">
        <f>VOD!M119</f>
        <v>2029</v>
      </c>
      <c r="L2561" s="652">
        <f>VOD!N119</f>
        <v>2030</v>
      </c>
    </row>
    <row r="2562" spans="2:12">
      <c r="B2562" t="str">
        <f>VOD!B120</f>
        <v>US SVOD</v>
      </c>
      <c r="C2562" s="122">
        <f>VOD!E120</f>
        <v>0</v>
      </c>
      <c r="D2562" s="122">
        <f>VOD!F120</f>
        <v>14.757887496466431</v>
      </c>
      <c r="E2562" s="122">
        <f>VOD!G120</f>
        <v>135.48655466848942</v>
      </c>
      <c r="F2562" s="122">
        <f>VOD!H120</f>
        <v>271.64059679839613</v>
      </c>
      <c r="G2562" s="122">
        <f>VOD!I120</f>
        <v>317.30688337750411</v>
      </c>
      <c r="H2562" s="122">
        <f>VOD!J120</f>
        <v>351.78704641070198</v>
      </c>
      <c r="I2562" s="122">
        <f>VOD!K120</f>
        <v>386.51869597328198</v>
      </c>
      <c r="J2562" s="122">
        <f>VOD!L120</f>
        <v>413.11453796056691</v>
      </c>
      <c r="K2562" s="122">
        <f>VOD!M120</f>
        <v>430.50806780207927</v>
      </c>
      <c r="L2562" s="122">
        <f>VOD!N120</f>
        <v>448.57340634991817</v>
      </c>
    </row>
    <row r="2563" spans="2:12">
      <c r="B2563" s="190" t="str">
        <f>VOD!B121</f>
        <v>LatAm SVOD</v>
      </c>
      <c r="C2563" s="649">
        <f>VOD!E121</f>
        <v>0</v>
      </c>
      <c r="D2563" s="649">
        <f>VOD!F121</f>
        <v>3.7760677428975264</v>
      </c>
      <c r="E2563" s="649">
        <f>VOD!G121</f>
        <v>88.228944900114499</v>
      </c>
      <c r="F2563" s="649">
        <f>VOD!H121</f>
        <v>195.89695042659568</v>
      </c>
      <c r="G2563" s="649">
        <f>VOD!I121</f>
        <v>247.24214721369637</v>
      </c>
      <c r="H2563" s="649">
        <f>VOD!J121</f>
        <v>304.90712123007091</v>
      </c>
      <c r="I2563" s="649">
        <f>VOD!K121</f>
        <v>364.50866902296832</v>
      </c>
      <c r="J2563" s="649">
        <f>VOD!L121</f>
        <v>422.74578641313752</v>
      </c>
      <c r="K2563" s="649">
        <f>VOD!M121</f>
        <v>483.78906629800224</v>
      </c>
      <c r="L2563" s="649">
        <f>VOD!N121</f>
        <v>550.58651809479977</v>
      </c>
    </row>
    <row r="2564" spans="2:12">
      <c r="B2564" t="str">
        <f>VOD!B122</f>
        <v>US AVOD</v>
      </c>
      <c r="C2564" s="122">
        <f>VOD!E122</f>
        <v>30</v>
      </c>
      <c r="D2564" s="122">
        <f>VOD!F122</f>
        <v>85.5</v>
      </c>
      <c r="E2564" s="122">
        <f>VOD!G122</f>
        <v>124.75874999999999</v>
      </c>
      <c r="F2564" s="122">
        <f>VOD!H122</f>
        <v>173.85498749999999</v>
      </c>
      <c r="G2564" s="122">
        <f>VOD!I122</f>
        <v>210.21335662499999</v>
      </c>
      <c r="H2564" s="122">
        <f>VOD!J122</f>
        <v>232.55825786625002</v>
      </c>
      <c r="I2564" s="122">
        <f>VOD!K122</f>
        <v>256.05466116101252</v>
      </c>
      <c r="J2564" s="122">
        <f>VOD!L122</f>
        <v>280.75154622138109</v>
      </c>
      <c r="K2564" s="122">
        <f>VOD!M122</f>
        <v>306.69979519032694</v>
      </c>
      <c r="L2564" s="122">
        <f>VOD!N122</f>
        <v>333.95226270581031</v>
      </c>
    </row>
    <row r="2565" spans="2:12">
      <c r="B2565" s="396" t="str">
        <f>VOD!B123</f>
        <v>LatAm AVOD</v>
      </c>
      <c r="C2565" s="657">
        <f>VOD!E123</f>
        <v>9</v>
      </c>
      <c r="D2565" s="657">
        <f>VOD!F123</f>
        <v>21.375</v>
      </c>
      <c r="E2565" s="657">
        <f>VOD!G123</f>
        <v>170.62593749999999</v>
      </c>
      <c r="F2565" s="657">
        <f>VOD!H123</f>
        <v>345.82024687500001</v>
      </c>
      <c r="G2565" s="657">
        <f>VOD!I123</f>
        <v>414.58745334374998</v>
      </c>
      <c r="H2565" s="657">
        <f>VOD!J123</f>
        <v>487.16945397843745</v>
      </c>
      <c r="I2565" s="657">
        <f>VOD!K123</f>
        <v>557.53837510865628</v>
      </c>
      <c r="J2565" s="657">
        <f>VOD!L123</f>
        <v>618.92954507895388</v>
      </c>
      <c r="K2565" s="657">
        <f>VOD!M123</f>
        <v>670.35812377314323</v>
      </c>
      <c r="L2565" s="657">
        <f>VOD!N123</f>
        <v>717.54607797599772</v>
      </c>
    </row>
    <row r="2566" spans="2:12">
      <c r="B2566" s="42" t="str">
        <f>VOD!B124</f>
        <v>Total TelevisaUnivision VOD revenue</v>
      </c>
      <c r="C2566" s="642">
        <f>VOD!E124</f>
        <v>39</v>
      </c>
      <c r="D2566" s="642">
        <f>VOD!F124</f>
        <v>125.40895523936396</v>
      </c>
      <c r="E2566" s="642">
        <f>VOD!G124</f>
        <v>519.10018706860387</v>
      </c>
      <c r="F2566" s="642">
        <f>VOD!H124</f>
        <v>987.21278159999179</v>
      </c>
      <c r="G2566" s="642">
        <f>VOD!I124</f>
        <v>1189.3498405599503</v>
      </c>
      <c r="H2566" s="642">
        <f>VOD!J124</f>
        <v>1376.4218794854605</v>
      </c>
      <c r="I2566" s="642">
        <f>VOD!K124</f>
        <v>1564.6204012659191</v>
      </c>
      <c r="J2566" s="642">
        <f>VOD!L124</f>
        <v>1735.5414156740394</v>
      </c>
      <c r="K2566" s="642">
        <f>VOD!M124</f>
        <v>1891.3550530635516</v>
      </c>
      <c r="L2566" s="642">
        <f>VOD!N124</f>
        <v>2050.6582651265262</v>
      </c>
    </row>
    <row r="2567" spans="2:12">
      <c r="B2567" s="190"/>
      <c r="C2567" s="190"/>
      <c r="D2567" s="190"/>
      <c r="E2567" s="190"/>
      <c r="F2567" s="190"/>
      <c r="G2567" s="190"/>
      <c r="H2567" s="190"/>
      <c r="I2567" s="190"/>
      <c r="J2567" s="190"/>
      <c r="K2567" s="190"/>
      <c r="L2567" s="190"/>
    </row>
    <row r="2568" spans="2:12">
      <c r="B2568" s="149" t="str">
        <f>VOD!B126</f>
        <v>% split of revs</v>
      </c>
      <c r="C2568" s="149">
        <f>VOD!E126</f>
        <v>2021</v>
      </c>
      <c r="D2568" s="149">
        <f>VOD!F126</f>
        <v>2022</v>
      </c>
      <c r="E2568" s="149">
        <f>VOD!G126</f>
        <v>2023</v>
      </c>
      <c r="F2568" s="149">
        <f>VOD!H126</f>
        <v>2024</v>
      </c>
      <c r="G2568" s="149">
        <f>VOD!I126</f>
        <v>2025</v>
      </c>
      <c r="H2568" s="149">
        <f>VOD!J126</f>
        <v>2026</v>
      </c>
      <c r="I2568" s="149">
        <f>VOD!K126</f>
        <v>2027</v>
      </c>
      <c r="J2568" s="149">
        <f>VOD!L126</f>
        <v>2028</v>
      </c>
      <c r="K2568" s="149">
        <f>VOD!M126</f>
        <v>2029</v>
      </c>
      <c r="L2568" s="149">
        <f>VOD!N126</f>
        <v>2030</v>
      </c>
    </row>
    <row r="2569" spans="2:12">
      <c r="B2569" s="190" t="str">
        <f>VOD!B127</f>
        <v>US SVOD</v>
      </c>
      <c r="C2569" s="653">
        <f>VOD!E127</f>
        <v>0</v>
      </c>
      <c r="D2569" s="653">
        <f>VOD!F127</f>
        <v>0.11767809936936748</v>
      </c>
      <c r="E2569" s="653">
        <f>VOD!G127</f>
        <v>0.2610027082317033</v>
      </c>
      <c r="F2569" s="653">
        <f>VOD!H127</f>
        <v>0.27515911651604003</v>
      </c>
      <c r="G2569" s="653">
        <f>VOD!I127</f>
        <v>0.26679020129864806</v>
      </c>
      <c r="H2569" s="653">
        <f>VOD!J127</f>
        <v>0.25558083001572773</v>
      </c>
      <c r="I2569" s="653">
        <f>VOD!K127</f>
        <v>0.247036722556189</v>
      </c>
      <c r="J2569" s="653">
        <f>VOD!L127</f>
        <v>0.23803208280116087</v>
      </c>
      <c r="K2569" s="653">
        <f>VOD!M127</f>
        <v>0.22761885300422952</v>
      </c>
      <c r="L2569" s="653">
        <f>VOD!N127</f>
        <v>0.21874605534152278</v>
      </c>
    </row>
    <row r="2570" spans="2:12">
      <c r="B2570" t="str">
        <f>VOD!B128</f>
        <v>LatAm SVOD</v>
      </c>
      <c r="C2570" s="8">
        <f>VOD!E128</f>
        <v>0</v>
      </c>
      <c r="D2570" s="8">
        <f>VOD!F128</f>
        <v>3.0110032698145595E-2</v>
      </c>
      <c r="E2570" s="8">
        <f>VOD!G128</f>
        <v>0.16996515720471939</v>
      </c>
      <c r="F2570" s="8">
        <f>VOD!H128</f>
        <v>0.19843437410636267</v>
      </c>
      <c r="G2570" s="8">
        <f>VOD!I128</f>
        <v>0.20788008606222527</v>
      </c>
      <c r="H2570" s="8">
        <f>VOD!J128</f>
        <v>0.22152155946841859</v>
      </c>
      <c r="I2570" s="8">
        <f>VOD!K128</f>
        <v>0.23296939547001172</v>
      </c>
      <c r="J2570" s="8">
        <f>VOD!L128</f>
        <v>0.24358150292193056</v>
      </c>
      <c r="K2570" s="8">
        <f>VOD!M128</f>
        <v>0.25578966017743598</v>
      </c>
      <c r="L2570" s="8">
        <f>VOD!N128</f>
        <v>0.26849257502240553</v>
      </c>
    </row>
    <row r="2571" spans="2:12">
      <c r="B2571" s="190" t="str">
        <f>VOD!B129</f>
        <v>US AVOD</v>
      </c>
      <c r="C2571" s="653">
        <f>VOD!E129</f>
        <v>0.76923076923076927</v>
      </c>
      <c r="D2571" s="653">
        <f>VOD!F129</f>
        <v>0.68176949434598955</v>
      </c>
      <c r="E2571" s="653">
        <f>VOD!G129</f>
        <v>0.2403365537287159</v>
      </c>
      <c r="F2571" s="653">
        <f>VOD!H129</f>
        <v>0.17610690495541437</v>
      </c>
      <c r="G2571" s="653">
        <f>VOD!I129</f>
        <v>0.17674644537391182</v>
      </c>
      <c r="H2571" s="653">
        <f>VOD!J129</f>
        <v>0.16895855938673821</v>
      </c>
      <c r="I2571" s="653">
        <f>VOD!K129</f>
        <v>0.16365289686485054</v>
      </c>
      <c r="J2571" s="653">
        <f>VOD!L129</f>
        <v>0.16176597324953174</v>
      </c>
      <c r="K2571" s="653">
        <f>VOD!M129</f>
        <v>0.16215876267840096</v>
      </c>
      <c r="L2571" s="653">
        <f>VOD!N129</f>
        <v>0.16285125044235751</v>
      </c>
    </row>
    <row r="2572" spans="2:12">
      <c r="B2572" s="61" t="str">
        <f>VOD!B130</f>
        <v>LatAm AVOD</v>
      </c>
      <c r="C2572" s="457">
        <f>VOD!E130</f>
        <v>0.23076923076923078</v>
      </c>
      <c r="D2572" s="457">
        <f>VOD!F130</f>
        <v>0.17044237358649739</v>
      </c>
      <c r="E2572" s="457">
        <f>VOD!G130</f>
        <v>0.32869558083486144</v>
      </c>
      <c r="F2572" s="457">
        <f>VOD!H130</f>
        <v>0.35029960442218294</v>
      </c>
      <c r="G2572" s="457">
        <f>VOD!I130</f>
        <v>0.34858326726521499</v>
      </c>
      <c r="H2572" s="457">
        <f>VOD!J130</f>
        <v>0.35393905112911533</v>
      </c>
      <c r="I2572" s="457">
        <f>VOD!K130</f>
        <v>0.35634098510894874</v>
      </c>
      <c r="J2572" s="457">
        <f>VOD!L130</f>
        <v>0.35662044102737683</v>
      </c>
      <c r="K2572" s="457">
        <f>VOD!M130</f>
        <v>0.3544327241399336</v>
      </c>
      <c r="L2572" s="457">
        <f>VOD!N130</f>
        <v>0.34991011919371406</v>
      </c>
    </row>
    <row r="2573" spans="2:12">
      <c r="B2573" s="650" t="str">
        <f>VOD!B131</f>
        <v>Total TelevisaUnivision VOD revenue</v>
      </c>
      <c r="C2573" s="659">
        <f>VOD!E131</f>
        <v>1</v>
      </c>
      <c r="D2573" s="659">
        <f>VOD!F131</f>
        <v>1</v>
      </c>
      <c r="E2573" s="659">
        <f>VOD!G131</f>
        <v>1</v>
      </c>
      <c r="F2573" s="659">
        <f>VOD!H131</f>
        <v>1</v>
      </c>
      <c r="G2573" s="659">
        <f>VOD!I131</f>
        <v>1</v>
      </c>
      <c r="H2573" s="659">
        <f>VOD!J131</f>
        <v>1</v>
      </c>
      <c r="I2573" s="659">
        <f>VOD!K131</f>
        <v>1</v>
      </c>
      <c r="J2573" s="659">
        <f>VOD!L131</f>
        <v>1</v>
      </c>
      <c r="K2573" s="659">
        <f>VOD!M131</f>
        <v>1</v>
      </c>
      <c r="L2573" s="659">
        <f>VOD!N131</f>
        <v>1</v>
      </c>
    </row>
    <row r="2574" spans="2:12">
      <c r="B2574" s="42"/>
      <c r="C2574" s="8"/>
      <c r="D2574" s="8"/>
      <c r="E2574" s="8"/>
      <c r="F2574" s="8"/>
      <c r="G2574" s="8"/>
      <c r="H2574" s="8"/>
      <c r="I2574" s="8"/>
      <c r="J2574" s="8"/>
      <c r="K2574" s="8"/>
      <c r="L2574" s="8"/>
    </row>
    <row r="2575" spans="2:12">
      <c r="B2575" s="42"/>
      <c r="C2575" s="8"/>
      <c r="D2575" s="8"/>
      <c r="E2575" s="8"/>
      <c r="F2575" s="8"/>
      <c r="G2575" s="8"/>
      <c r="H2575" s="8"/>
      <c r="I2575" s="8"/>
      <c r="J2575" s="8"/>
      <c r="K2575" s="8"/>
      <c r="L2575" s="8"/>
    </row>
    <row r="2576" spans="2:12">
      <c r="B2576" s="42"/>
      <c r="C2576" s="8"/>
      <c r="D2576" s="8"/>
      <c r="E2576" s="8"/>
      <c r="F2576" s="8"/>
      <c r="G2576" s="8"/>
      <c r="H2576" s="8"/>
      <c r="I2576" s="8"/>
      <c r="J2576" s="8"/>
      <c r="K2576" s="8"/>
      <c r="L2576" s="8"/>
    </row>
    <row r="2577" spans="2:12">
      <c r="B2577" s="42"/>
      <c r="C2577" s="8"/>
      <c r="D2577" s="8"/>
      <c r="E2577" s="8"/>
      <c r="F2577" s="8"/>
      <c r="G2577" s="8"/>
      <c r="H2577" s="8"/>
      <c r="I2577" s="8"/>
      <c r="J2577" s="8"/>
      <c r="K2577" s="8"/>
      <c r="L2577" s="8"/>
    </row>
    <row r="2578" spans="2:12">
      <c r="B2578" s="149"/>
      <c r="C2578" s="149"/>
      <c r="D2578" s="149"/>
      <c r="E2578" s="149"/>
      <c r="F2578" s="149"/>
      <c r="G2578" s="149"/>
      <c r="H2578" s="149"/>
      <c r="I2578" s="149"/>
      <c r="J2578" s="149"/>
      <c r="K2578" s="149"/>
      <c r="L2578" s="149"/>
    </row>
    <row r="2579" spans="2:12">
      <c r="B2579" s="149" t="str">
        <f>VOD!B133</f>
        <v>TelevisaUnivision, USD million</v>
      </c>
      <c r="C2579" s="149">
        <f>VOD!E133</f>
        <v>2021</v>
      </c>
      <c r="D2579" s="149">
        <f>VOD!F133</f>
        <v>2022</v>
      </c>
      <c r="E2579" s="149">
        <f>VOD!G133</f>
        <v>2023</v>
      </c>
      <c r="F2579" s="149">
        <f>VOD!H133</f>
        <v>2024</v>
      </c>
      <c r="G2579" s="149">
        <f>VOD!I133</f>
        <v>2025</v>
      </c>
      <c r="H2579" s="149">
        <f>VOD!J133</f>
        <v>2026</v>
      </c>
      <c r="I2579" s="149">
        <f>VOD!K133</f>
        <v>2027</v>
      </c>
      <c r="J2579" s="149">
        <f>VOD!L133</f>
        <v>2028</v>
      </c>
      <c r="K2579" s="149">
        <f>VOD!M133</f>
        <v>2029</v>
      </c>
      <c r="L2579" s="149">
        <f>VOD!N133</f>
        <v>2030</v>
      </c>
    </row>
    <row r="2580" spans="2:12">
      <c r="B2580" s="650" t="s">
        <v>1084</v>
      </c>
      <c r="C2580" s="649"/>
      <c r="D2580" s="649"/>
      <c r="E2580" s="649"/>
      <c r="F2580" s="649"/>
      <c r="G2580" s="649"/>
      <c r="H2580" s="649"/>
      <c r="I2580" s="649"/>
      <c r="J2580" s="649"/>
      <c r="K2580" s="649"/>
      <c r="L2580" s="649"/>
    </row>
    <row r="2581" spans="2:12">
      <c r="B2581" t="str">
        <f>VOD!B135</f>
        <v xml:space="preserve"> of which Mexico core</v>
      </c>
      <c r="C2581" s="122">
        <f>VOD!E135</f>
        <v>1354.0006780445976</v>
      </c>
      <c r="D2581" s="122">
        <f>VOD!F135</f>
        <v>1456.2955223803181</v>
      </c>
      <c r="E2581" s="122">
        <f>VOD!G135</f>
        <v>1508.7499064656981</v>
      </c>
      <c r="F2581" s="122">
        <f>VOD!H135</f>
        <v>1463.4874092717271</v>
      </c>
      <c r="G2581" s="122">
        <f>VOD!I135</f>
        <v>1463.4874092717271</v>
      </c>
      <c r="H2581" s="122">
        <f>VOD!J135</f>
        <v>1492.7571574571616</v>
      </c>
      <c r="I2581" s="122">
        <f>VOD!K135</f>
        <v>1447.9744427334467</v>
      </c>
      <c r="J2581" s="122">
        <f>VOD!L135</f>
        <v>1404.5352094514433</v>
      </c>
      <c r="K2581" s="122">
        <f>VOD!M135</f>
        <v>1362.3991531678998</v>
      </c>
      <c r="L2581" s="122">
        <f>VOD!N135</f>
        <v>1321.5271785728628</v>
      </c>
    </row>
    <row r="2582" spans="2:12">
      <c r="B2582" s="190" t="str">
        <f>VOD!B136</f>
        <v xml:space="preserve"> of which UNI  core</v>
      </c>
      <c r="C2582" s="649">
        <f>VOD!E136</f>
        <v>2859.6375000000003</v>
      </c>
      <c r="D2582" s="649">
        <f>VOD!F136</f>
        <v>3130.2955223803178</v>
      </c>
      <c r="E2582" s="649">
        <f>VOD!G136</f>
        <v>2900.1499064656978</v>
      </c>
      <c r="F2582" s="649">
        <f>VOD!H136</f>
        <v>2813.1454092717267</v>
      </c>
      <c r="G2582" s="649">
        <f>VOD!I136</f>
        <v>2897.5397715498784</v>
      </c>
      <c r="H2582" s="649">
        <f>VOD!J136</f>
        <v>2984.4659646963751</v>
      </c>
      <c r="I2582" s="649">
        <f>VOD!K136</f>
        <v>3073.9999436372664</v>
      </c>
      <c r="J2582" s="649">
        <f>VOD!L136</f>
        <v>3166.2199419463846</v>
      </c>
      <c r="K2582" s="649">
        <f>VOD!M136</f>
        <v>3261.206540204776</v>
      </c>
      <c r="L2582" s="649">
        <f>VOD!N136</f>
        <v>3359.0427364109196</v>
      </c>
    </row>
    <row r="2583" spans="2:12">
      <c r="B2583" s="61" t="str">
        <f>VOD!B137</f>
        <v xml:space="preserve"> of which VOD</v>
      </c>
      <c r="C2583" s="449">
        <f>VOD!E137</f>
        <v>0</v>
      </c>
      <c r="D2583" s="449">
        <f>VOD!F137</f>
        <v>125.40895523936396</v>
      </c>
      <c r="E2583" s="449">
        <f>VOD!G137</f>
        <v>519.10018706860387</v>
      </c>
      <c r="F2583" s="449">
        <f>VOD!H137</f>
        <v>987.21278159999179</v>
      </c>
      <c r="G2583" s="449">
        <f>VOD!I137</f>
        <v>1189.3498405599503</v>
      </c>
      <c r="H2583" s="449">
        <f>VOD!J137</f>
        <v>1376.4218794854605</v>
      </c>
      <c r="I2583" s="449">
        <f>VOD!K137</f>
        <v>1564.6204012659191</v>
      </c>
      <c r="J2583" s="449">
        <f>VOD!L137</f>
        <v>1735.5414156740394</v>
      </c>
      <c r="K2583" s="449">
        <f>VOD!M137</f>
        <v>1891.3550530635516</v>
      </c>
      <c r="L2583" s="449">
        <f>VOD!N137</f>
        <v>2050.6582651265262</v>
      </c>
    </row>
    <row r="2584" spans="2:12">
      <c r="B2584" s="650" t="s">
        <v>98</v>
      </c>
      <c r="C2584" s="651">
        <f>VOD!E138</f>
        <v>4213.6381780445981</v>
      </c>
      <c r="D2584" s="651">
        <f>VOD!F138</f>
        <v>4712</v>
      </c>
      <c r="E2584" s="651">
        <f>VOD!G138</f>
        <v>4928</v>
      </c>
      <c r="F2584" s="651">
        <f>VOD!H138</f>
        <v>5263.8456001434461</v>
      </c>
      <c r="G2584" s="651">
        <f>VOD!I138</f>
        <v>5550.377021381556</v>
      </c>
      <c r="H2584" s="651">
        <f>VOD!J138</f>
        <v>5853.6450016389972</v>
      </c>
      <c r="I2584" s="651">
        <f>VOD!K138</f>
        <v>6086.5947876366326</v>
      </c>
      <c r="J2584" s="651">
        <f>VOD!L138</f>
        <v>6306.2965670718677</v>
      </c>
      <c r="K2584" s="651">
        <f>VOD!M138</f>
        <v>6514.9607464362271</v>
      </c>
      <c r="L2584" s="651">
        <f>VOD!N138</f>
        <v>6731.2281801103081</v>
      </c>
    </row>
    <row r="2585" spans="2:12">
      <c r="B2585" t="str">
        <f>VOD!B139</f>
        <v>% growth</v>
      </c>
      <c r="C2585" s="8">
        <f>VOD!E139</f>
        <v>0.14479383130708379</v>
      </c>
      <c r="D2585" s="8">
        <f>VOD!F139</f>
        <v>0.11827352062456242</v>
      </c>
      <c r="E2585" s="8">
        <f>VOD!G139</f>
        <v>4.5840407470288724E-2</v>
      </c>
      <c r="F2585" s="8">
        <f>VOD!H139</f>
        <v>6.8150487042095476E-2</v>
      </c>
      <c r="G2585" s="8">
        <f>VOD!I139</f>
        <v>5.4433857488202397E-2</v>
      </c>
      <c r="H2585" s="8">
        <f>VOD!J139</f>
        <v>5.4639167589727755E-2</v>
      </c>
      <c r="I2585" s="8">
        <f>VOD!K139</f>
        <v>3.9795680457631155E-2</v>
      </c>
      <c r="J2585" s="8">
        <f>VOD!L139</f>
        <v>3.609600886878539E-2</v>
      </c>
      <c r="K2585" s="8">
        <f>VOD!M139</f>
        <v>3.3088228113770102E-2</v>
      </c>
      <c r="L2585" s="8">
        <f>VOD!N139</f>
        <v>3.3195508321731904E-2</v>
      </c>
    </row>
    <row r="2586" spans="2:12">
      <c r="B2586" s="190" t="str">
        <f>VOD!B140</f>
        <v>VOD as %</v>
      </c>
      <c r="C2586" s="653">
        <f>VOD!E140</f>
        <v>0</v>
      </c>
      <c r="D2586" s="653">
        <f>VOD!F140</f>
        <v>2.6614803743498294E-2</v>
      </c>
      <c r="E2586" s="653">
        <f>VOD!G140</f>
        <v>0.10533688860970046</v>
      </c>
      <c r="F2586" s="653">
        <f>VOD!H140</f>
        <v>0.18754592299840425</v>
      </c>
      <c r="G2586" s="653">
        <f>VOD!I140</f>
        <v>0.21428271196321483</v>
      </c>
      <c r="H2586" s="653">
        <f>VOD!J140</f>
        <v>0.23513928143918325</v>
      </c>
      <c r="I2586" s="653">
        <f>VOD!K140</f>
        <v>0.25706005670757759</v>
      </c>
      <c r="J2586" s="653">
        <f>VOD!L140</f>
        <v>0.27520770664927419</v>
      </c>
      <c r="K2586" s="653">
        <f>VOD!M140</f>
        <v>0.29030950863336341</v>
      </c>
      <c r="L2586" s="653">
        <f>VOD!N140</f>
        <v>0.30464845497080162</v>
      </c>
    </row>
    <row r="2587" spans="2:12">
      <c r="C2587" s="122"/>
      <c r="D2587" s="122"/>
      <c r="E2587" s="122"/>
      <c r="F2587" s="122"/>
      <c r="G2587" s="122"/>
      <c r="H2587" s="122"/>
      <c r="I2587" s="122"/>
      <c r="J2587" s="122"/>
      <c r="K2587" s="122"/>
      <c r="L2587" s="122"/>
    </row>
    <row r="2588" spans="2:12">
      <c r="B2588" s="650" t="str">
        <f>VOD!B142</f>
        <v>EBITDA (pf for synergies)</v>
      </c>
      <c r="C2588" s="651">
        <f>VOD!E142</f>
        <v>1650</v>
      </c>
      <c r="D2588" s="651">
        <f>VOD!F142</f>
        <v>1690</v>
      </c>
      <c r="E2588" s="651">
        <f>VOD!G142</f>
        <v>1615.2</v>
      </c>
      <c r="F2588" s="651">
        <f>VOD!H142</f>
        <v>1652.8936001434454</v>
      </c>
      <c r="G2588" s="651">
        <f>VOD!I142</f>
        <v>1686.658381381555</v>
      </c>
      <c r="H2588" s="651">
        <f>VOD!J142</f>
        <v>1796.7404296389959</v>
      </c>
      <c r="I2588" s="651">
        <f>VOD!K142</f>
        <v>1867.4140327566311</v>
      </c>
      <c r="J2588" s="651">
        <f>VOD!L142</f>
        <v>1918.3485819966663</v>
      </c>
      <c r="K2588" s="651">
        <f>VOD!M142</f>
        <v>1951.4948419580178</v>
      </c>
      <c r="L2588" s="651">
        <f>VOD!N142</f>
        <v>1985.22363945297</v>
      </c>
    </row>
    <row r="2589" spans="2:12">
      <c r="B2589" t="str">
        <f>VOD!B143</f>
        <v>% margin</v>
      </c>
      <c r="C2589" s="8">
        <f>VOD!E143</f>
        <v>0.39158559189951786</v>
      </c>
      <c r="D2589" s="8">
        <f>VOD!F143</f>
        <v>0.35865874363327677</v>
      </c>
      <c r="E2589" s="8">
        <f>VOD!G143</f>
        <v>0.32775974025974025</v>
      </c>
      <c r="F2589" s="8">
        <f>VOD!H143</f>
        <v>0.31400875437881426</v>
      </c>
      <c r="G2589" s="8">
        <f>VOD!I143</f>
        <v>0.30388176783020143</v>
      </c>
      <c r="H2589" s="8">
        <f>VOD!J143</f>
        <v>0.30694386645174343</v>
      </c>
      <c r="I2589" s="8">
        <f>VOD!K143</f>
        <v>0.30680768112735335</v>
      </c>
      <c r="J2589" s="8">
        <f>VOD!L143</f>
        <v>0.30419574493423984</v>
      </c>
      <c r="K2589" s="8">
        <f>VOD!M143</f>
        <v>0.29954053722050622</v>
      </c>
      <c r="L2589" s="8">
        <f>VOD!N143</f>
        <v>0.294927402003543</v>
      </c>
    </row>
    <row r="2590" spans="2:12">
      <c r="B2590" s="190"/>
      <c r="C2590" s="649"/>
      <c r="D2590" s="649"/>
      <c r="E2590" s="649"/>
      <c r="F2590" s="649"/>
      <c r="G2590" s="649"/>
      <c r="H2590" s="649"/>
      <c r="I2590" s="649"/>
      <c r="J2590" s="649"/>
      <c r="K2590" s="649"/>
      <c r="L2590" s="649"/>
    </row>
    <row r="2591" spans="2:12">
      <c r="B2591" t="str">
        <f>VOD!B145</f>
        <v>OpEx</v>
      </c>
      <c r="C2591" s="122"/>
      <c r="D2591" s="122">
        <f>VOD!F145</f>
        <v>3022</v>
      </c>
      <c r="E2591" s="122">
        <f>VOD!G145</f>
        <v>3312.8</v>
      </c>
      <c r="F2591" s="122">
        <f>VOD!H145</f>
        <v>3610.9520000000007</v>
      </c>
      <c r="G2591" s="122">
        <f>VOD!I145</f>
        <v>3863.718640000001</v>
      </c>
      <c r="H2591" s="122">
        <f>VOD!J145</f>
        <v>4056.9045720000013</v>
      </c>
      <c r="I2591" s="122">
        <f>VOD!K145</f>
        <v>4219.1807548800016</v>
      </c>
      <c r="J2591" s="122">
        <f>VOD!L145</f>
        <v>4387.9479850752014</v>
      </c>
      <c r="K2591" s="122">
        <f>VOD!M145</f>
        <v>4563.4659044782093</v>
      </c>
      <c r="L2591" s="122">
        <f>VOD!N145</f>
        <v>4746.0045406573381</v>
      </c>
    </row>
    <row r="2592" spans="2:12">
      <c r="B2592" s="190" t="str">
        <f>VOD!B146</f>
        <v>% change</v>
      </c>
      <c r="C2592" s="649"/>
      <c r="D2592" s="653">
        <f>VOD!F146</f>
        <v>0.1787934919525247</v>
      </c>
      <c r="E2592" s="653">
        <f>VOD!G146</f>
        <v>9.6227663798808871E-2</v>
      </c>
      <c r="F2592" s="653">
        <f>VOD!H146</f>
        <v>0.09</v>
      </c>
      <c r="G2592" s="653">
        <f>VOD!I146</f>
        <v>7.0000000000000007E-2</v>
      </c>
      <c r="H2592" s="653">
        <f>VOD!J146</f>
        <v>0.05</v>
      </c>
      <c r="I2592" s="653">
        <f>VOD!K146</f>
        <v>0.04</v>
      </c>
      <c r="J2592" s="653">
        <f>VOD!L146</f>
        <v>0.04</v>
      </c>
      <c r="K2592" s="653">
        <f>VOD!M146</f>
        <v>0.04</v>
      </c>
      <c r="L2592" s="653">
        <f>VOD!N146</f>
        <v>0.04</v>
      </c>
    </row>
    <row r="2593" spans="2:14">
      <c r="C2593" s="122"/>
      <c r="D2593" s="122"/>
      <c r="E2593" s="122"/>
      <c r="F2593" s="122"/>
      <c r="G2593" s="122"/>
      <c r="H2593" s="122"/>
      <c r="I2593" s="122"/>
      <c r="J2593" s="122"/>
      <c r="K2593" s="122"/>
      <c r="L2593" s="122"/>
    </row>
    <row r="2594" spans="2:14">
      <c r="B2594" s="190" t="str">
        <f>VOD!B181</f>
        <v>Capex</v>
      </c>
      <c r="C2594" s="649"/>
      <c r="D2594" s="649">
        <f>VOD!F181</f>
        <v>159</v>
      </c>
      <c r="E2594" s="649">
        <f>VOD!G181</f>
        <v>168</v>
      </c>
      <c r="F2594" s="649">
        <f>VOD!H181</f>
        <v>179.449281823072</v>
      </c>
      <c r="G2594" s="649">
        <f>VOD!I181</f>
        <v>189.21739845618939</v>
      </c>
      <c r="H2594" s="649">
        <f>VOD!J181</f>
        <v>199.55607960132943</v>
      </c>
      <c r="I2594" s="649">
        <f>VOD!K181</f>
        <v>207.49754957852156</v>
      </c>
      <c r="J2594" s="649">
        <f>VOD!L181</f>
        <v>214.9873829683591</v>
      </c>
      <c r="K2594" s="649">
        <f>VOD!M181</f>
        <v>222.10093453759865</v>
      </c>
      <c r="L2594" s="649">
        <f>VOD!N181</f>
        <v>229.47368795830593</v>
      </c>
    </row>
    <row r="2595" spans="2:14">
      <c r="B2595" t="str">
        <f>VOD!B182</f>
        <v>as % sales</v>
      </c>
      <c r="C2595" s="122"/>
      <c r="D2595" s="8">
        <f>VOD!F182</f>
        <v>3.3743633276740237E-2</v>
      </c>
      <c r="E2595" s="8">
        <f>VOD!G182</f>
        <v>3.4090909090909088E-2</v>
      </c>
      <c r="F2595" s="8">
        <f>VOD!H182</f>
        <v>3.4090909090909088E-2</v>
      </c>
      <c r="G2595" s="8">
        <f>VOD!I182</f>
        <v>3.4090909090909088E-2</v>
      </c>
      <c r="H2595" s="8">
        <f>VOD!J182</f>
        <v>3.4090909090909088E-2</v>
      </c>
      <c r="I2595" s="8">
        <f>VOD!K182</f>
        <v>3.4090909090909088E-2</v>
      </c>
      <c r="J2595" s="8">
        <f>VOD!L182</f>
        <v>3.4090909090909088E-2</v>
      </c>
      <c r="K2595" s="8">
        <f>VOD!M182</f>
        <v>3.4090909090909088E-2</v>
      </c>
      <c r="L2595" s="8">
        <f>VOD!N182</f>
        <v>3.4090909090909088E-2</v>
      </c>
    </row>
    <row r="2596" spans="2:14">
      <c r="B2596" s="190"/>
      <c r="C2596" s="649"/>
      <c r="D2596" s="649"/>
      <c r="E2596" s="649"/>
      <c r="F2596" s="649"/>
      <c r="G2596" s="649"/>
      <c r="H2596" s="649"/>
      <c r="I2596" s="649"/>
      <c r="J2596" s="649"/>
      <c r="K2596" s="649"/>
      <c r="L2596" s="649"/>
    </row>
    <row r="2597" spans="2:14">
      <c r="B2597" t="str">
        <f>VOD!B189</f>
        <v>EFCF</v>
      </c>
      <c r="C2597" s="122"/>
      <c r="D2597" s="122">
        <f>VOD!F189</f>
        <v>-60</v>
      </c>
      <c r="E2597" s="122">
        <f>VOD!G189</f>
        <v>-842.19999999999982</v>
      </c>
      <c r="F2597" s="122">
        <f>VOD!H189</f>
        <v>12.717918320373428</v>
      </c>
      <c r="G2597" s="122">
        <f>VOD!I189</f>
        <v>424.9602730444326</v>
      </c>
      <c r="H2597" s="122">
        <f>VOD!J189</f>
        <v>799.11250484163918</v>
      </c>
      <c r="I2597" s="122">
        <f>VOD!K189</f>
        <v>880.09021995040325</v>
      </c>
      <c r="J2597" s="122">
        <f>VOD!L189</f>
        <v>943.52188201978856</v>
      </c>
      <c r="K2597" s="122">
        <f>VOD!M189</f>
        <v>991.09286575282874</v>
      </c>
      <c r="L2597" s="122">
        <f>VOD!N189</f>
        <v>1039.8612770844875</v>
      </c>
    </row>
    <row r="2598" spans="2:14">
      <c r="B2598" s="190"/>
      <c r="C2598" s="649"/>
      <c r="D2598" s="649"/>
      <c r="E2598" s="649"/>
      <c r="F2598" s="649"/>
      <c r="G2598" s="649"/>
      <c r="H2598" s="649"/>
      <c r="I2598" s="649"/>
      <c r="J2598" s="649"/>
      <c r="K2598" s="649"/>
      <c r="L2598" s="649"/>
    </row>
    <row r="2599" spans="2:14">
      <c r="B2599" t="str">
        <f>VOD!B191</f>
        <v>Net debt</v>
      </c>
      <c r="C2599" s="122"/>
      <c r="D2599" s="122">
        <f>VOD!F191</f>
        <v>9486.5999999999985</v>
      </c>
      <c r="E2599" s="122">
        <f>VOD!G191</f>
        <v>9658.7000000000007</v>
      </c>
      <c r="F2599" s="122">
        <f>VOD!H191</f>
        <v>9687.2320816796273</v>
      </c>
      <c r="G2599" s="122">
        <f>VOD!I191</f>
        <v>9355.2338428819512</v>
      </c>
      <c r="H2599" s="122">
        <f>VOD!J191</f>
        <v>8757.4363489798452</v>
      </c>
      <c r="I2599" s="122">
        <f>VOD!K191</f>
        <v>8225.7087267232509</v>
      </c>
      <c r="J2599" s="122">
        <f>VOD!L191</f>
        <v>7754.3781584634626</v>
      </c>
      <c r="K2599" s="122">
        <f>VOD!M191</f>
        <v>7267.3559579460598</v>
      </c>
      <c r="L2599" s="122">
        <f>VOD!N191</f>
        <v>6764.1022262737279</v>
      </c>
    </row>
    <row r="2600" spans="2:14">
      <c r="B2600" s="190" t="str">
        <f>VOD!B192</f>
        <v>Net debt to EBITDA</v>
      </c>
      <c r="C2600" s="649"/>
      <c r="D2600" s="660">
        <f>VOD!F192</f>
        <v>5.6133727810650882</v>
      </c>
      <c r="E2600" s="660">
        <f>VOD!G192</f>
        <v>5.9798786527984156</v>
      </c>
      <c r="F2600" s="660">
        <f>VOD!H192</f>
        <v>5.8607717283429048</v>
      </c>
      <c r="G2600" s="660">
        <f>VOD!I192</f>
        <v>5.5466085759577499</v>
      </c>
      <c r="H2600" s="660">
        <f>VOD!J192</f>
        <v>4.874068732754794</v>
      </c>
      <c r="I2600" s="660">
        <f>VOD!K192</f>
        <v>4.4048660781351527</v>
      </c>
      <c r="J2600" s="660">
        <f>VOD!L192</f>
        <v>4.0422153884006349</v>
      </c>
      <c r="K2600" s="660">
        <f>VOD!M192</f>
        <v>3.7239944486117178</v>
      </c>
      <c r="L2600" s="660">
        <f>VOD!N192</f>
        <v>3.4072243005012681</v>
      </c>
    </row>
    <row r="2601" spans="2:14">
      <c r="C2601" s="122"/>
      <c r="D2601" s="122"/>
      <c r="E2601" s="122"/>
      <c r="F2601" s="122"/>
      <c r="G2601" s="122"/>
      <c r="H2601" s="122"/>
      <c r="I2601" s="122"/>
      <c r="J2601" s="122"/>
      <c r="K2601" s="122"/>
      <c r="L2601" s="122"/>
    </row>
    <row r="2602" spans="2:14">
      <c r="C2602" s="122"/>
      <c r="D2602" s="122"/>
      <c r="E2602" s="122"/>
      <c r="F2602" s="122"/>
      <c r="G2602" s="122"/>
      <c r="H2602" s="122"/>
      <c r="I2602" s="122"/>
      <c r="J2602" s="122"/>
      <c r="K2602" s="122"/>
      <c r="L2602" s="122"/>
    </row>
    <row r="2603" spans="2:14">
      <c r="C2603" s="122"/>
      <c r="D2603" s="122"/>
      <c r="E2603" s="122"/>
      <c r="F2603" s="122"/>
      <c r="G2603" s="122"/>
      <c r="H2603" s="122"/>
      <c r="I2603" s="122"/>
      <c r="J2603" s="122"/>
      <c r="K2603" s="122"/>
      <c r="L2603" s="122"/>
    </row>
    <row r="2604" spans="2:14">
      <c r="B2604" t="s">
        <v>6737</v>
      </c>
      <c r="C2604" s="122"/>
      <c r="D2604" s="122"/>
      <c r="E2604" s="122"/>
      <c r="F2604" s="122"/>
      <c r="G2604" s="122"/>
      <c r="H2604" s="122"/>
      <c r="I2604" s="122"/>
      <c r="J2604" s="122"/>
      <c r="K2604" s="122"/>
      <c r="L2604" s="122"/>
    </row>
    <row r="2605" spans="2:14">
      <c r="C2605" s="122"/>
      <c r="D2605" s="122"/>
      <c r="E2605" s="122"/>
      <c r="F2605" s="122"/>
      <c r="G2605" s="122"/>
      <c r="H2605" s="122"/>
      <c r="I2605" s="122"/>
      <c r="J2605" s="122"/>
      <c r="K2605" s="122"/>
      <c r="L2605" s="122"/>
    </row>
    <row r="2606" spans="2:14">
      <c r="B2606" s="149" t="s">
        <v>6487</v>
      </c>
      <c r="C2606" s="673" t="s">
        <v>4551</v>
      </c>
      <c r="D2606" s="673" t="s">
        <v>4594</v>
      </c>
      <c r="E2606" s="673" t="s">
        <v>4595</v>
      </c>
      <c r="F2606" s="673" t="s">
        <v>4596</v>
      </c>
      <c r="G2606" s="673" t="s">
        <v>5307</v>
      </c>
      <c r="H2606" s="673" t="s">
        <v>5308</v>
      </c>
      <c r="I2606" s="673" t="s">
        <v>5309</v>
      </c>
      <c r="J2606" s="673" t="s">
        <v>5310</v>
      </c>
      <c r="K2606" s="673" t="s">
        <v>6007</v>
      </c>
      <c r="L2606" s="673" t="s">
        <v>6242</v>
      </c>
      <c r="M2606" s="673" t="s">
        <v>6243</v>
      </c>
      <c r="N2606" s="673" t="s">
        <v>6244</v>
      </c>
    </row>
    <row r="2607" spans="2:14">
      <c r="B2607" t="s">
        <v>6738</v>
      </c>
      <c r="C2607" s="4">
        <f>1995-E2607-D2607</f>
        <v>602.89999999999986</v>
      </c>
      <c r="D2607" s="4">
        <v>710.7</v>
      </c>
      <c r="E2607" s="4">
        <v>681.4</v>
      </c>
      <c r="F2607" s="4">
        <v>692.9</v>
      </c>
      <c r="G2607" s="4">
        <f>1819-I2607-H2607</f>
        <v>660.40000000000009</v>
      </c>
      <c r="H2607" s="4">
        <v>531</v>
      </c>
      <c r="I2607" s="4">
        <v>627.6</v>
      </c>
      <c r="J2607" s="4">
        <v>722.9</v>
      </c>
      <c r="K2607" s="4">
        <f>2088.6-M2607-L2607</f>
        <v>633.69999999999982</v>
      </c>
      <c r="L2607" s="4">
        <v>700.2</v>
      </c>
      <c r="M2607" s="4">
        <v>754.7</v>
      </c>
      <c r="N2607" s="4">
        <v>752.4</v>
      </c>
    </row>
    <row r="2608" spans="2:14">
      <c r="B2608" t="s">
        <v>6815</v>
      </c>
      <c r="C2608" s="4"/>
      <c r="D2608" s="4"/>
      <c r="E2608" s="4"/>
      <c r="F2608" s="4">
        <v>676.6</v>
      </c>
      <c r="G2608" s="4"/>
      <c r="H2608" s="4"/>
      <c r="I2608" s="4"/>
      <c r="J2608" s="4">
        <v>651.29999999999995</v>
      </c>
      <c r="K2608" s="4"/>
      <c r="L2608" s="4"/>
      <c r="M2608" s="4"/>
      <c r="N2608" s="4">
        <v>724.2</v>
      </c>
    </row>
    <row r="2609" spans="2:14">
      <c r="C2609" s="4"/>
      <c r="D2609" s="4"/>
      <c r="E2609" s="4"/>
      <c r="F2609" s="4"/>
      <c r="G2609" s="4"/>
      <c r="H2609" s="4"/>
      <c r="I2609" s="4"/>
      <c r="J2609" s="4"/>
      <c r="K2609" s="4"/>
      <c r="L2609" s="4"/>
      <c r="M2609" s="8">
        <f>M2607/E2607-1</f>
        <v>0.10757264455532733</v>
      </c>
      <c r="N2609" s="8"/>
    </row>
    <row r="2610" spans="2:14">
      <c r="M2610" s="8">
        <f>M2607/E2607-1</f>
        <v>0.10757264455532733</v>
      </c>
      <c r="N2610" s="8">
        <f>(N2608/F2608)^(1/2)-1</f>
        <v>3.4578058337779494E-2</v>
      </c>
    </row>
    <row r="2611" spans="2:14">
      <c r="B2611" t="s">
        <v>57</v>
      </c>
      <c r="C2611" s="4">
        <f>727-E2611-D2611</f>
        <v>204.3</v>
      </c>
      <c r="D2611" s="4">
        <v>265.7</v>
      </c>
      <c r="E2611" s="4">
        <v>257</v>
      </c>
      <c r="F2611" s="4">
        <v>230.4</v>
      </c>
      <c r="G2611" s="4">
        <f>737.7-I2611-H2611</f>
        <v>251.10000000000002</v>
      </c>
      <c r="H2611" s="4">
        <v>242.8</v>
      </c>
      <c r="I2611" s="4">
        <v>243.8</v>
      </c>
      <c r="J2611" s="4">
        <v>230.4</v>
      </c>
      <c r="K2611" s="4">
        <f>785.8-M2611-L2611</f>
        <v>252.99999999999994</v>
      </c>
      <c r="L2611" s="4">
        <v>268.8</v>
      </c>
      <c r="M2611" s="4">
        <v>264</v>
      </c>
      <c r="N2611" s="4">
        <v>229</v>
      </c>
    </row>
    <row r="2612" spans="2:14">
      <c r="B2612" t="s">
        <v>158</v>
      </c>
      <c r="C2612" s="10">
        <f t="shared" ref="C2612:N2612" si="153">C2611/C2607</f>
        <v>0.33886216619671594</v>
      </c>
      <c r="D2612" s="10">
        <f t="shared" si="153"/>
        <v>0.37385676093991838</v>
      </c>
      <c r="E2612" s="10">
        <f t="shared" si="153"/>
        <v>0.37716466099207513</v>
      </c>
      <c r="F2612" s="10">
        <f t="shared" si="153"/>
        <v>0.33251551450425748</v>
      </c>
      <c r="G2612" s="10">
        <f t="shared" si="153"/>
        <v>0.38022410660205935</v>
      </c>
      <c r="H2612" s="10">
        <f t="shared" si="153"/>
        <v>0.45725047080979286</v>
      </c>
      <c r="I2612" s="10">
        <f t="shared" si="153"/>
        <v>0.38846398980242192</v>
      </c>
      <c r="J2612" s="10">
        <f t="shared" si="153"/>
        <v>0.31871628164338084</v>
      </c>
      <c r="K2612" s="10">
        <f t="shared" si="153"/>
        <v>0.39924254379043717</v>
      </c>
      <c r="L2612" s="10">
        <f t="shared" si="153"/>
        <v>0.38389031705227078</v>
      </c>
      <c r="M2612" s="10">
        <f t="shared" si="153"/>
        <v>0.34980787067709024</v>
      </c>
      <c r="N2612" s="10">
        <f t="shared" si="153"/>
        <v>0.30435938330675172</v>
      </c>
    </row>
    <row r="2613" spans="2:14">
      <c r="B2613" t="s">
        <v>6814</v>
      </c>
      <c r="C2613" s="10"/>
      <c r="D2613" s="10"/>
      <c r="E2613" s="10"/>
      <c r="F2613" s="4">
        <v>216.9</v>
      </c>
      <c r="G2613" s="10"/>
      <c r="H2613" s="10"/>
      <c r="I2613" s="10"/>
      <c r="J2613" s="4">
        <v>174.3</v>
      </c>
      <c r="K2613" s="10"/>
      <c r="L2613" s="10"/>
      <c r="M2613" s="10"/>
      <c r="N2613" s="4">
        <v>234</v>
      </c>
    </row>
    <row r="2614" spans="2:14">
      <c r="C2614" s="10"/>
      <c r="D2614" s="10"/>
      <c r="E2614" s="10"/>
      <c r="F2614" s="4"/>
      <c r="G2614" s="10"/>
      <c r="H2614" s="10"/>
      <c r="I2614" s="10"/>
      <c r="J2614" s="4"/>
      <c r="K2614" s="10"/>
      <c r="L2614" s="10"/>
      <c r="M2614" s="10"/>
      <c r="N2614" s="8">
        <f>(N2613/F2613)^(1/2)-1</f>
        <v>3.8671350463590493E-2</v>
      </c>
    </row>
    <row r="2615" spans="2:14">
      <c r="M2615" s="8"/>
      <c r="N2615" s="8"/>
    </row>
    <row r="2632" spans="2:14">
      <c r="B2632" s="149" t="s">
        <v>6739</v>
      </c>
      <c r="C2632" s="673" t="s">
        <v>4551</v>
      </c>
      <c r="D2632" s="673" t="s">
        <v>4594</v>
      </c>
      <c r="E2632" s="673" t="s">
        <v>4595</v>
      </c>
      <c r="F2632" s="673" t="s">
        <v>4596</v>
      </c>
      <c r="G2632" s="673" t="s">
        <v>5307</v>
      </c>
      <c r="H2632" s="673" t="s">
        <v>5308</v>
      </c>
      <c r="I2632" s="673" t="s">
        <v>5309</v>
      </c>
      <c r="J2632" s="673" t="s">
        <v>5310</v>
      </c>
      <c r="K2632" s="673" t="s">
        <v>6007</v>
      </c>
      <c r="L2632" s="673" t="s">
        <v>6242</v>
      </c>
      <c r="M2632" s="673" t="s">
        <v>6243</v>
      </c>
      <c r="N2632" s="673" t="s">
        <v>6244</v>
      </c>
    </row>
    <row r="2633" spans="2:14">
      <c r="B2633" t="s">
        <v>6738</v>
      </c>
      <c r="C2633" s="122">
        <f>Interims!AU8</f>
        <v>3681.9</v>
      </c>
      <c r="D2633" s="122">
        <f>Interims!AV8</f>
        <v>4370.3</v>
      </c>
      <c r="E2633" s="122">
        <f>Interims!AW8</f>
        <v>4786.8999999999996</v>
      </c>
      <c r="F2633" s="122">
        <f>Interims!AX8</f>
        <v>6620.6</v>
      </c>
      <c r="G2633" s="122">
        <f>Interims!AZ8</f>
        <v>2635.1</v>
      </c>
      <c r="H2633" s="122">
        <f>Interims!BA8</f>
        <v>2922.2</v>
      </c>
      <c r="I2633" s="122">
        <f>Interims!BB8</f>
        <v>4164.3999999999996</v>
      </c>
      <c r="J2633" s="122">
        <f>Interims!BC8</f>
        <v>6628.1</v>
      </c>
      <c r="K2633" s="122">
        <f>Interims!BE8</f>
        <v>3374.9</v>
      </c>
      <c r="L2633" s="122">
        <f>Interims!BF8</f>
        <v>3860</v>
      </c>
      <c r="M2633" s="122">
        <f>Interims!BG8</f>
        <v>4823.8</v>
      </c>
      <c r="N2633" s="122">
        <f>Interims!BH8</f>
        <v>7103.2</v>
      </c>
    </row>
    <row r="2634" spans="2:14">
      <c r="M2634" s="8">
        <f>(M2633/E2633)^(1/2)-1</f>
        <v>3.8468697389275608E-3</v>
      </c>
      <c r="N2634" s="8">
        <f>(N2633/F2633)^(1/2)-1</f>
        <v>3.5805819367442426E-2</v>
      </c>
    </row>
    <row r="2635" spans="2:14">
      <c r="B2635" t="s">
        <v>57</v>
      </c>
      <c r="C2635" s="122">
        <f>Interims!AU23</f>
        <v>2267.3000000000002</v>
      </c>
      <c r="D2635" s="122">
        <f>Interims!AV23</f>
        <v>2928.3</v>
      </c>
      <c r="E2635" s="122">
        <f>Interims!AW23</f>
        <v>3112.3</v>
      </c>
      <c r="F2635" s="122">
        <f>Interims!AX23</f>
        <v>4545</v>
      </c>
      <c r="G2635" s="122">
        <f>Interims!AZ23</f>
        <v>1613.9</v>
      </c>
      <c r="H2635" s="122">
        <f>Interims!BA23</f>
        <v>2080.8000000000002</v>
      </c>
      <c r="I2635" s="122">
        <f>Interims!BB23</f>
        <v>3294.7</v>
      </c>
      <c r="J2635" s="122">
        <f>Interims!BC23</f>
        <v>5371.3999999999987</v>
      </c>
      <c r="K2635" s="122">
        <f>Interims!BE23</f>
        <v>2376.5</v>
      </c>
      <c r="L2635" s="122">
        <f>Interims!BF23</f>
        <v>2569.1999999999998</v>
      </c>
      <c r="M2635" s="122">
        <f>Interims!BG23</f>
        <v>3389.6</v>
      </c>
      <c r="N2635" s="122">
        <f>Interims!BH23</f>
        <v>5443.7</v>
      </c>
    </row>
    <row r="2636" spans="2:14">
      <c r="B2636" t="s">
        <v>158</v>
      </c>
      <c r="C2636" s="10">
        <f t="shared" ref="C2636:M2636" si="154">C2635/C2633</f>
        <v>0.61579619218338366</v>
      </c>
      <c r="D2636" s="10">
        <f t="shared" si="154"/>
        <v>0.67004553463148986</v>
      </c>
      <c r="E2636" s="10">
        <f t="shared" si="154"/>
        <v>0.6501702563245525</v>
      </c>
      <c r="F2636" s="10">
        <f t="shared" si="154"/>
        <v>0.68649367126846506</v>
      </c>
      <c r="G2636" s="10">
        <f t="shared" si="154"/>
        <v>0.6124625251413609</v>
      </c>
      <c r="H2636" s="10">
        <f t="shared" si="154"/>
        <v>0.71206625145438374</v>
      </c>
      <c r="I2636" s="10">
        <f t="shared" si="154"/>
        <v>0.79115839016424938</v>
      </c>
      <c r="J2636" s="10">
        <f t="shared" si="154"/>
        <v>0.81039815331693821</v>
      </c>
      <c r="K2636" s="10">
        <f t="shared" si="154"/>
        <v>0.7041690124151827</v>
      </c>
      <c r="L2636" s="10">
        <f t="shared" si="154"/>
        <v>0.66559585492227979</v>
      </c>
      <c r="M2636" s="10">
        <f t="shared" si="154"/>
        <v>0.70268253244330192</v>
      </c>
      <c r="N2636" s="10">
        <f>N2635/N2633</f>
        <v>0.76637290235386868</v>
      </c>
    </row>
    <row r="2637" spans="2:14">
      <c r="M2637" s="8">
        <f>(M2635/E2635)^(1/2)-1</f>
        <v>4.3598627182253713E-2</v>
      </c>
      <c r="N2637" s="8">
        <f>(N2635/F2635)^(1/2)-1</f>
        <v>9.4410239981944644E-2</v>
      </c>
    </row>
    <row r="2638" spans="2:14">
      <c r="M2638" t="s">
        <v>5329</v>
      </c>
    </row>
    <row r="2640" spans="2:14">
      <c r="B2640" s="674" t="s">
        <v>6740</v>
      </c>
      <c r="C2640" s="675">
        <v>44.914763490184605</v>
      </c>
    </row>
    <row r="2641" spans="2:3">
      <c r="B2641" s="674" t="s">
        <v>6741</v>
      </c>
      <c r="C2641" s="675">
        <v>27.085035611675288</v>
      </c>
    </row>
    <row r="2642" spans="2:3">
      <c r="B2642" s="674" t="s">
        <v>6742</v>
      </c>
      <c r="C2642" s="675">
        <v>21.974654764575551</v>
      </c>
    </row>
    <row r="2643" spans="2:3">
      <c r="B2643" s="674" t="s">
        <v>6743</v>
      </c>
      <c r="C2643" s="675">
        <v>16.307631569913145</v>
      </c>
    </row>
    <row r="2644" spans="2:3">
      <c r="B2644" s="674" t="s">
        <v>6744</v>
      </c>
      <c r="C2644" s="675">
        <f>SOP!E13/(VOD!F142+200)</f>
        <v>8.1995851553051384</v>
      </c>
    </row>
    <row r="2645" spans="2:3">
      <c r="B2645" s="674" t="s">
        <v>6745</v>
      </c>
      <c r="C2645" s="675">
        <v>9.7866363740804889</v>
      </c>
    </row>
    <row r="2646" spans="2:3">
      <c r="B2646" s="674" t="s">
        <v>6746</v>
      </c>
      <c r="C2646" s="675">
        <v>8.8185511466711954</v>
      </c>
    </row>
    <row r="2647" spans="2:3">
      <c r="B2647" s="674" t="s">
        <v>6747</v>
      </c>
      <c r="C2647" s="675">
        <v>8.6043233432247472</v>
      </c>
    </row>
    <row r="2648" spans="2:3">
      <c r="B2648" s="674" t="s">
        <v>6748</v>
      </c>
      <c r="C2648" s="675">
        <v>8.139847260516575</v>
      </c>
    </row>
    <row r="2649" spans="2:3">
      <c r="B2649" s="674" t="s">
        <v>6749</v>
      </c>
      <c r="C2649" s="675">
        <f ca="1">Valuation!R61/(Valuation!R63+200)</f>
        <v>4.1445122482867047</v>
      </c>
    </row>
    <row r="2650" spans="2:3">
      <c r="B2650" s="674" t="s">
        <v>89</v>
      </c>
      <c r="C2650" s="675">
        <v>4.8</v>
      </c>
    </row>
    <row r="2676" spans="2:11" ht="15.75">
      <c r="B2676" s="43" t="s">
        <v>6867</v>
      </c>
      <c r="C2676" s="43">
        <v>2022</v>
      </c>
      <c r="D2676" s="43">
        <v>2023</v>
      </c>
      <c r="E2676" s="43">
        <v>2024</v>
      </c>
      <c r="F2676" s="43">
        <v>2025</v>
      </c>
      <c r="G2676" s="43">
        <v>2026</v>
      </c>
      <c r="H2676" s="43">
        <v>2027</v>
      </c>
      <c r="I2676" s="43">
        <v>2028</v>
      </c>
      <c r="J2676" s="43">
        <v>2029</v>
      </c>
      <c r="K2676" s="43">
        <v>2030</v>
      </c>
    </row>
    <row r="2677" spans="2:11">
      <c r="B2677" s="52" t="s">
        <v>25</v>
      </c>
    </row>
    <row r="2678" spans="2:11" ht="15.75">
      <c r="B2678" s="52" t="s">
        <v>128</v>
      </c>
      <c r="C2678" s="51">
        <v>21508.841286446906</v>
      </c>
      <c r="D2678" s="51">
        <v>21289.484652366478</v>
      </c>
      <c r="E2678" s="51">
        <v>20774.331297444234</v>
      </c>
      <c r="F2678" s="51">
        <v>20485.348051837296</v>
      </c>
      <c r="G2678" s="51">
        <v>20176.100448229099</v>
      </c>
      <c r="H2678" s="51">
        <v>19849.773462033321</v>
      </c>
      <c r="I2678" s="51">
        <v>19542.231457506074</v>
      </c>
      <c r="J2678" s="51">
        <v>19252.973066975108</v>
      </c>
      <c r="K2678" s="51">
        <v>18981.509463482376</v>
      </c>
    </row>
    <row r="2679" spans="2:11" ht="15.75">
      <c r="B2679" s="52" t="s">
        <v>129</v>
      </c>
      <c r="C2679" s="51">
        <v>50614.372203749997</v>
      </c>
      <c r="D2679" s="51">
        <v>54663.521980049998</v>
      </c>
      <c r="E2679" s="51">
        <v>57943.333298853002</v>
      </c>
      <c r="F2679" s="51">
        <v>60840.499963795657</v>
      </c>
      <c r="G2679" s="51">
        <v>63882.524961985444</v>
      </c>
      <c r="H2679" s="51">
        <v>66437.825960464863</v>
      </c>
      <c r="I2679" s="51">
        <v>69095.338998883453</v>
      </c>
      <c r="J2679" s="51">
        <v>71859.152558838789</v>
      </c>
      <c r="K2679" s="51">
        <v>74733.518661192342</v>
      </c>
    </row>
    <row r="2680" spans="2:11" ht="15.75">
      <c r="B2680" s="52" t="s">
        <v>130</v>
      </c>
      <c r="C2680" s="51">
        <v>7500</v>
      </c>
      <c r="D2680" s="51">
        <v>7575</v>
      </c>
      <c r="E2680" s="51">
        <v>7650.75</v>
      </c>
      <c r="F2680" s="51">
        <v>7727.2574999999997</v>
      </c>
      <c r="G2680" s="51">
        <v>7804.5300749999997</v>
      </c>
      <c r="H2680" s="51">
        <v>7882.5753757499997</v>
      </c>
      <c r="I2680" s="51">
        <v>7961.4011295074997</v>
      </c>
      <c r="J2680" s="51">
        <v>8041.0151408025749</v>
      </c>
      <c r="K2680" s="51">
        <v>8121.4252922106007</v>
      </c>
    </row>
    <row r="2681" spans="2:11">
      <c r="B2681" s="53" t="s">
        <v>131</v>
      </c>
      <c r="C2681" s="676">
        <v>79623.213490196911</v>
      </c>
      <c r="D2681" s="676">
        <v>83528.00663241648</v>
      </c>
      <c r="E2681" s="676">
        <v>86368.41459629724</v>
      </c>
      <c r="F2681" s="676">
        <v>89053.105515632953</v>
      </c>
      <c r="G2681" s="676">
        <v>91863.155485214549</v>
      </c>
      <c r="H2681" s="676">
        <v>94170.17479824819</v>
      </c>
      <c r="I2681" s="676">
        <v>96598.97158589703</v>
      </c>
      <c r="J2681" s="676">
        <v>99153.140766616474</v>
      </c>
      <c r="K2681" s="676">
        <v>101836.45341688531</v>
      </c>
    </row>
    <row r="2683" spans="2:11" ht="15.75">
      <c r="B2683" s="43" t="s">
        <v>182</v>
      </c>
      <c r="C2683" s="475">
        <v>26981.093394431715</v>
      </c>
      <c r="D2683" s="475">
        <v>28372.790568090753</v>
      </c>
      <c r="E2683" s="475">
        <v>29615.475703141863</v>
      </c>
      <c r="F2683" s="475">
        <v>30619.433698718341</v>
      </c>
      <c r="G2683" s="475">
        <v>31674.782734026234</v>
      </c>
      <c r="H2683" s="475">
        <v>32523.654741673272</v>
      </c>
      <c r="I2683" s="475">
        <v>33422.028792379184</v>
      </c>
      <c r="J2683" s="475">
        <v>34371.217499849226</v>
      </c>
      <c r="K2683" s="475">
        <v>35372.632249258961</v>
      </c>
    </row>
    <row r="2685" spans="2:11" ht="15.75">
      <c r="B2685" s="44" t="s">
        <v>1941</v>
      </c>
      <c r="C2685" s="51">
        <v>1309.7618152636753</v>
      </c>
      <c r="D2685" s="51">
        <v>1350.3136573429827</v>
      </c>
      <c r="E2685" s="51">
        <v>1381.8189654064095</v>
      </c>
      <c r="F2685" s="51">
        <v>1400.6493323050831</v>
      </c>
      <c r="G2685" s="51">
        <v>1420.5147159812495</v>
      </c>
      <c r="H2685" s="51">
        <v>1429.9842790196267</v>
      </c>
      <c r="I2685" s="51">
        <v>1440.6701505939634</v>
      </c>
      <c r="J2685" s="51">
        <v>1452.5346235847776</v>
      </c>
      <c r="K2685" s="51">
        <v>1465.5437392422978</v>
      </c>
    </row>
    <row r="2687" spans="2:11" ht="15.75">
      <c r="B2687" s="44" t="s">
        <v>201</v>
      </c>
      <c r="C2687" s="51"/>
      <c r="D2687" s="51"/>
      <c r="E2687" s="51"/>
      <c r="F2687" s="51"/>
      <c r="G2687" s="51"/>
      <c r="H2687" s="51"/>
      <c r="I2687" s="51"/>
      <c r="J2687" s="51"/>
      <c r="K2687" s="51"/>
    </row>
    <row r="2688" spans="2:11" ht="15.75">
      <c r="B2688" s="45" t="s">
        <v>618</v>
      </c>
      <c r="C2688" s="51">
        <v>888.68944359372904</v>
      </c>
      <c r="D2688" s="51">
        <v>788.54957101248328</v>
      </c>
      <c r="E2688" s="51">
        <v>722.21616687589801</v>
      </c>
      <c r="F2688" s="51">
        <v>725.7891116690879</v>
      </c>
      <c r="G2688" s="51">
        <v>737.75415272846135</v>
      </c>
      <c r="H2688" s="51">
        <v>744.15779298441601</v>
      </c>
      <c r="I2688" s="51">
        <v>751.10932653394707</v>
      </c>
      <c r="J2688" s="51">
        <v>758.59862207476817</v>
      </c>
      <c r="K2688" s="51">
        <v>766.61634027771686</v>
      </c>
    </row>
    <row r="2690" spans="2:11" ht="15.75">
      <c r="B2690" s="44" t="s">
        <v>360</v>
      </c>
      <c r="C2690" s="44"/>
      <c r="D2690" s="44"/>
      <c r="E2690" s="44"/>
      <c r="F2690" s="44"/>
      <c r="G2690" s="44"/>
      <c r="H2690" s="44"/>
      <c r="I2690" s="44"/>
      <c r="J2690" s="44"/>
      <c r="K2690" s="44"/>
    </row>
    <row r="2691" spans="2:11" ht="15.75">
      <c r="B2691" s="45" t="s">
        <v>359</v>
      </c>
      <c r="C2691" s="677">
        <v>0.03</v>
      </c>
      <c r="D2691" s="677">
        <v>0.03</v>
      </c>
      <c r="E2691" s="677">
        <v>0.03</v>
      </c>
      <c r="F2691" s="677">
        <v>0.03</v>
      </c>
      <c r="G2691" s="677">
        <v>0.03</v>
      </c>
      <c r="H2691" s="677">
        <v>0.03</v>
      </c>
      <c r="I2691" s="677">
        <v>0.03</v>
      </c>
      <c r="J2691" s="677">
        <v>0.03</v>
      </c>
      <c r="K2691" s="677">
        <v>0.03</v>
      </c>
    </row>
    <row r="2692" spans="2:11" ht="15.75">
      <c r="B2692" s="45" t="s">
        <v>128</v>
      </c>
      <c r="C2692" s="677">
        <v>0.2157774089831036</v>
      </c>
      <c r="D2692" s="677">
        <v>0.16204047994740145</v>
      </c>
      <c r="E2692" s="677">
        <v>0.13146882349722797</v>
      </c>
      <c r="F2692" s="677">
        <v>0.12113448895171013</v>
      </c>
      <c r="G2692" s="677">
        <v>0.11877231821387012</v>
      </c>
      <c r="H2692" s="677">
        <v>0.11631624759349553</v>
      </c>
      <c r="I2692" s="677">
        <v>0.11380327824316269</v>
      </c>
      <c r="J2692" s="677">
        <v>0.11123729005002944</v>
      </c>
      <c r="K2692" s="677">
        <v>0.10862246592422838</v>
      </c>
    </row>
    <row r="2693" spans="2:11" ht="15.75">
      <c r="B2693" s="49" t="s">
        <v>129</v>
      </c>
      <c r="C2693" s="678">
        <v>0.27</v>
      </c>
      <c r="D2693" s="678">
        <v>0.24</v>
      </c>
      <c r="E2693" s="678">
        <v>0.22000000000000003</v>
      </c>
      <c r="F2693" s="678">
        <v>0.22</v>
      </c>
      <c r="G2693" s="678">
        <v>0.22</v>
      </c>
      <c r="H2693" s="678">
        <v>0.22</v>
      </c>
      <c r="I2693" s="678">
        <v>0.22</v>
      </c>
      <c r="J2693" s="678">
        <v>0.22</v>
      </c>
      <c r="K2693" s="678">
        <v>0.22000000000000003</v>
      </c>
    </row>
    <row r="2694" spans="2:11" ht="15.75">
      <c r="B2694" s="45" t="s">
        <v>98</v>
      </c>
      <c r="C2694" s="47">
        <v>0.25611209057983708</v>
      </c>
      <c r="D2694" s="47">
        <v>0.22096160473617557</v>
      </c>
      <c r="E2694" s="47">
        <v>0.19963301359838209</v>
      </c>
      <c r="F2694" s="47">
        <v>0.19846396142948389</v>
      </c>
      <c r="G2694" s="47">
        <v>0.19947604620036821</v>
      </c>
      <c r="H2694" s="47">
        <v>0.20020378200435784</v>
      </c>
      <c r="I2694" s="47">
        <v>0.2009330809215554</v>
      </c>
      <c r="J2694" s="47">
        <v>0.20166314570937671</v>
      </c>
      <c r="K2694" s="47">
        <v>0.20239321115705045</v>
      </c>
    </row>
    <row r="2696" spans="2:11" ht="15.75">
      <c r="B2696" s="399" t="s">
        <v>362</v>
      </c>
      <c r="C2696" s="679">
        <v>8674.0908564008951</v>
      </c>
      <c r="D2696" s="679">
        <v>11803.786981976451</v>
      </c>
      <c r="E2696" s="679">
        <v>14136.765482777566</v>
      </c>
      <c r="F2696" s="679">
        <v>14753.041539426073</v>
      </c>
      <c r="G2696" s="679">
        <v>15224.265019637367</v>
      </c>
      <c r="H2696" s="679">
        <v>15598.481865686334</v>
      </c>
      <c r="I2696" s="679">
        <v>15997.084208573971</v>
      </c>
      <c r="J2696" s="679">
        <v>16420.555387528177</v>
      </c>
      <c r="K2696" s="679">
        <v>16869.439778909109</v>
      </c>
    </row>
    <row r="2698" spans="2:11" ht="15.75">
      <c r="B2698" s="43" t="s">
        <v>6868</v>
      </c>
      <c r="C2698" s="43">
        <v>2022</v>
      </c>
      <c r="D2698" s="43">
        <v>2023</v>
      </c>
      <c r="E2698" s="43">
        <v>2024</v>
      </c>
      <c r="F2698" s="43">
        <v>2025</v>
      </c>
      <c r="G2698" s="43">
        <v>2026</v>
      </c>
      <c r="H2698" s="43">
        <v>2027</v>
      </c>
      <c r="I2698" s="43">
        <v>2028</v>
      </c>
      <c r="J2698" s="43">
        <v>2029</v>
      </c>
      <c r="K2698" s="43">
        <v>2030</v>
      </c>
    </row>
    <row r="2699" spans="2:11" ht="15.75">
      <c r="B2699" s="52" t="s">
        <v>25</v>
      </c>
      <c r="C2699" s="51"/>
      <c r="D2699" s="51"/>
      <c r="E2699" s="51"/>
      <c r="F2699" s="51"/>
      <c r="G2699" s="51"/>
      <c r="H2699" s="51"/>
      <c r="I2699" s="51"/>
      <c r="J2699" s="51"/>
      <c r="K2699" s="51"/>
    </row>
    <row r="2700" spans="2:11" ht="15.75">
      <c r="B2700" s="52" t="s">
        <v>128</v>
      </c>
      <c r="C2700" s="51">
        <v>21508.841286446906</v>
      </c>
      <c r="D2700" s="51">
        <v>21289.484652366478</v>
      </c>
      <c r="E2700" s="51">
        <v>20774.331297444234</v>
      </c>
      <c r="F2700" s="51">
        <v>20485.348051837296</v>
      </c>
      <c r="G2700" s="51">
        <v>20176.100448229099</v>
      </c>
      <c r="H2700" s="51">
        <v>19849.773462033321</v>
      </c>
      <c r="I2700" s="51">
        <v>19542.231457506074</v>
      </c>
      <c r="J2700" s="51">
        <v>19252.973066975108</v>
      </c>
      <c r="K2700" s="51">
        <v>18981.509463482376</v>
      </c>
    </row>
    <row r="2701" spans="2:11" ht="15.75">
      <c r="B2701" s="52" t="s">
        <v>129</v>
      </c>
      <c r="C2701" s="51">
        <v>50614.372203749997</v>
      </c>
      <c r="D2701" s="51">
        <v>54663.521980049998</v>
      </c>
      <c r="E2701" s="51">
        <v>57943.333298853002</v>
      </c>
      <c r="F2701" s="51">
        <v>60840.499963795657</v>
      </c>
      <c r="G2701" s="51">
        <v>63882.524961985444</v>
      </c>
      <c r="H2701" s="51">
        <v>66437.825960464863</v>
      </c>
      <c r="I2701" s="51">
        <v>69095.338998883453</v>
      </c>
      <c r="J2701" s="51">
        <v>71859.152558838789</v>
      </c>
      <c r="K2701" s="51">
        <v>74733.518661192342</v>
      </c>
    </row>
    <row r="2702" spans="2:11" ht="15.75">
      <c r="B2702" s="52" t="s">
        <v>130</v>
      </c>
      <c r="C2702" s="51">
        <v>7500</v>
      </c>
      <c r="D2702" s="51">
        <v>7575</v>
      </c>
      <c r="E2702" s="51">
        <v>7650.75</v>
      </c>
      <c r="F2702" s="51">
        <v>7727.2574999999997</v>
      </c>
      <c r="G2702" s="51">
        <v>7804.5300749999997</v>
      </c>
      <c r="H2702" s="51">
        <v>7882.5753757499997</v>
      </c>
      <c r="I2702" s="51">
        <v>7961.4011295074997</v>
      </c>
      <c r="J2702" s="51">
        <v>8041.0151408025749</v>
      </c>
      <c r="K2702" s="51">
        <v>8121.4252922106007</v>
      </c>
    </row>
    <row r="2703" spans="2:11">
      <c r="B2703" s="53" t="s">
        <v>131</v>
      </c>
      <c r="C2703" s="676">
        <v>79623.213490196911</v>
      </c>
      <c r="D2703" s="676">
        <v>83528.00663241648</v>
      </c>
      <c r="E2703" s="676">
        <v>86368.41459629724</v>
      </c>
      <c r="F2703" s="676">
        <v>89053.105515632953</v>
      </c>
      <c r="G2703" s="676">
        <v>91863.155485214549</v>
      </c>
      <c r="H2703" s="676">
        <v>94170.17479824819</v>
      </c>
      <c r="I2703" s="676">
        <v>96598.97158589703</v>
      </c>
      <c r="J2703" s="676">
        <v>99153.140766616474</v>
      </c>
      <c r="K2703" s="676">
        <v>101836.45341688531</v>
      </c>
    </row>
    <row r="2705" spans="2:11" ht="15.75">
      <c r="B2705" s="43" t="s">
        <v>182</v>
      </c>
      <c r="C2705" s="475">
        <f>Master!U73</f>
        <v>25536.03</v>
      </c>
      <c r="D2705" s="475">
        <f>Master!V73</f>
        <v>24218.100000000002</v>
      </c>
      <c r="E2705" s="475">
        <f>Master!W73</f>
        <v>24362.760803532561</v>
      </c>
      <c r="F2705" s="475">
        <f>Master!X73</f>
        <v>21401.905240149226</v>
      </c>
      <c r="G2705" s="475">
        <f>Master!Y73</f>
        <v>21415.856886123318</v>
      </c>
      <c r="H2705" s="475">
        <f>Master!Z73</f>
        <v>21580.9097714204</v>
      </c>
      <c r="I2705" s="475">
        <f>Master!AA73</f>
        <v>21913.908011292671</v>
      </c>
      <c r="J2705" s="475">
        <f>Master!AB73</f>
        <v>22329.002138978634</v>
      </c>
      <c r="K2705" s="475">
        <f>Master!AC73</f>
        <v>22780.389856373589</v>
      </c>
    </row>
    <row r="2707" spans="2:11" ht="15.75">
      <c r="B2707" s="44" t="s">
        <v>1941</v>
      </c>
      <c r="C2707" s="51">
        <f>Master!U75</f>
        <v>1269.8175037294877</v>
      </c>
      <c r="D2707" s="51">
        <f>Master!V75</f>
        <v>1368.2542372881358</v>
      </c>
      <c r="E2707" s="51">
        <f>Master!W75</f>
        <v>1430.0751821749566</v>
      </c>
      <c r="F2707" s="51">
        <f>Master!X75</f>
        <v>1239.1815899571088</v>
      </c>
      <c r="G2707" s="51">
        <f>Master!Y75</f>
        <v>1215.6758800098612</v>
      </c>
      <c r="H2707" s="51">
        <f>Master!Z75</f>
        <v>1201.0246507442</v>
      </c>
      <c r="I2707" s="51">
        <f>Master!AA75</f>
        <v>1195.6438513259504</v>
      </c>
      <c r="J2707" s="51">
        <f>Master!AB75</f>
        <v>1194.4037110666241</v>
      </c>
      <c r="K2707" s="51">
        <f>Master!AC75</f>
        <v>1194.6558365383853</v>
      </c>
    </row>
    <row r="2709" spans="2:11" ht="15.75">
      <c r="B2709" s="44" t="s">
        <v>201</v>
      </c>
      <c r="C2709" s="51">
        <f>Master!U90</f>
        <v>17214.16</v>
      </c>
      <c r="D2709" s="51">
        <f>Master!V90</f>
        <v>14664.45</v>
      </c>
      <c r="E2709" s="51">
        <f>Master!W90</f>
        <v>12866.448770046549</v>
      </c>
      <c r="F2709" s="51">
        <f>Master!X90</f>
        <v>12292.698727155317</v>
      </c>
      <c r="G2709" s="51">
        <f>Master!Y90</f>
        <v>12513.332557101819</v>
      </c>
      <c r="H2709" s="51">
        <f>Master!Z90</f>
        <v>12559.355343909161</v>
      </c>
      <c r="I2709" s="51">
        <f>Master!AA90</f>
        <v>12689.686489851127</v>
      </c>
      <c r="J2709" s="51">
        <f>Master!AB90</f>
        <v>12853.795826216288</v>
      </c>
      <c r="K2709" s="51">
        <f>Master!AC90</f>
        <v>13167.867920728491</v>
      </c>
    </row>
    <row r="2710" spans="2:11" ht="15.75">
      <c r="B2710" s="45" t="s">
        <v>618</v>
      </c>
      <c r="C2710" s="51">
        <f>Master!U98</f>
        <v>856</v>
      </c>
      <c r="D2710" s="51">
        <f>Master!V98</f>
        <v>828.5</v>
      </c>
      <c r="E2710" s="51">
        <f>Master!W98</f>
        <v>755.35057349416218</v>
      </c>
      <c r="F2710" s="51">
        <f>Master!X98</f>
        <v>711.75373326126555</v>
      </c>
      <c r="G2710" s="51">
        <f>Master!Y98</f>
        <v>710.32210614312214</v>
      </c>
      <c r="H2710" s="51">
        <f>Master!Z98</f>
        <v>698.95549007237264</v>
      </c>
      <c r="I2710" s="51">
        <f>Master!AA98</f>
        <v>692.36147286124742</v>
      </c>
      <c r="J2710" s="51">
        <f>Master!AB98</f>
        <v>687.56415269113654</v>
      </c>
      <c r="K2710" s="51">
        <f>Master!AC98</f>
        <v>690.55316284956211</v>
      </c>
    </row>
    <row r="2712" spans="2:11" ht="15.75">
      <c r="B2712" s="44" t="s">
        <v>360</v>
      </c>
      <c r="C2712" s="44"/>
      <c r="D2712" s="44"/>
      <c r="E2712" s="44"/>
      <c r="F2712" s="44"/>
      <c r="G2712" s="44"/>
      <c r="H2712" s="44"/>
      <c r="I2712" s="44"/>
      <c r="J2712" s="44"/>
      <c r="K2712" s="44"/>
    </row>
    <row r="2713" spans="2:11" ht="15.75">
      <c r="B2713" s="45" t="s">
        <v>359</v>
      </c>
      <c r="C2713" s="677">
        <f>Master!U104</f>
        <v>5.0454558871277172E-2</v>
      </c>
      <c r="D2713" s="677">
        <f>Master!V104</f>
        <v>0.11104170618682402</v>
      </c>
      <c r="E2713" s="677">
        <f>Master!W104</f>
        <v>0</v>
      </c>
      <c r="F2713" s="677">
        <f>Master!X104</f>
        <v>0</v>
      </c>
      <c r="G2713" s="677">
        <f>Master!Y104</f>
        <v>0</v>
      </c>
      <c r="H2713" s="677">
        <f>Master!Z104</f>
        <v>0</v>
      </c>
      <c r="I2713" s="677">
        <f>Master!AA104</f>
        <v>0</v>
      </c>
      <c r="J2713" s="677">
        <f>Master!AB104</f>
        <v>0</v>
      </c>
      <c r="K2713" s="677">
        <f>Master!AC104</f>
        <v>0</v>
      </c>
    </row>
    <row r="2714" spans="2:11" ht="15.75">
      <c r="B2714" s="45" t="s">
        <v>128</v>
      </c>
      <c r="C2714" s="677">
        <f>Master!U105</f>
        <v>0.19092585672845272</v>
      </c>
      <c r="D2714" s="677">
        <f>Master!V105</f>
        <v>0.15017400996292335</v>
      </c>
      <c r="E2714" s="677">
        <f>Master!W105</f>
        <v>0.14371124224572585</v>
      </c>
      <c r="F2714" s="677">
        <f>Master!X105</f>
        <v>0.13417422929385361</v>
      </c>
      <c r="G2714" s="677">
        <f>Master!Y105</f>
        <v>0.13404209892323066</v>
      </c>
      <c r="H2714" s="677">
        <f>Master!Z105</f>
        <v>0.13405742275366248</v>
      </c>
      <c r="I2714" s="677">
        <f>Master!AA105</f>
        <v>0.13410791945122638</v>
      </c>
      <c r="J2714" s="677">
        <f>Master!AB105</f>
        <v>0.13419791094126843</v>
      </c>
      <c r="K2714" s="677">
        <f>Master!AC105</f>
        <v>0.13433228400351763</v>
      </c>
    </row>
    <row r="2715" spans="2:11" ht="15.75">
      <c r="B2715" s="49" t="s">
        <v>129</v>
      </c>
      <c r="C2715" s="678">
        <f>Master!U106</f>
        <v>0.26830336818709483</v>
      </c>
      <c r="D2715" s="678">
        <f>Master!V106</f>
        <v>0.22958045182111572</v>
      </c>
      <c r="E2715" s="678">
        <f>Master!W106</f>
        <v>0.21750000000000003</v>
      </c>
      <c r="F2715" s="678">
        <f>Master!X106</f>
        <v>0.21</v>
      </c>
      <c r="G2715" s="678">
        <f>Master!Y106</f>
        <v>0.21250000000000002</v>
      </c>
      <c r="H2715" s="678">
        <f>Master!Z106</f>
        <v>0.21</v>
      </c>
      <c r="I2715" s="678">
        <f>Master!AA106</f>
        <v>0.20749999999999999</v>
      </c>
      <c r="J2715" s="678">
        <f>Master!AB106</f>
        <v>0.20499999999999999</v>
      </c>
      <c r="K2715" s="678">
        <f>Master!AC106</f>
        <v>0.20499999999999999</v>
      </c>
    </row>
    <row r="2716" spans="2:11" ht="15.75">
      <c r="B2716" s="45" t="s">
        <v>98</v>
      </c>
      <c r="C2716" s="47">
        <f>Master!U107</f>
        <v>0.22792181827329708</v>
      </c>
      <c r="D2716" s="47">
        <f>Master!V107</f>
        <v>0.19879175088351436</v>
      </c>
      <c r="E2716" s="47">
        <f>Master!W107</f>
        <v>0.20009359806838062</v>
      </c>
      <c r="F2716" s="47">
        <f>Master!X107</f>
        <v>0.19330028768661098</v>
      </c>
      <c r="G2716" s="47">
        <f>Master!Y107</f>
        <v>0.19626508581487964</v>
      </c>
      <c r="H2716" s="47">
        <f>Master!Z107</f>
        <v>0.19525415813348559</v>
      </c>
      <c r="I2716" s="47">
        <f>Master!AA107</f>
        <v>0.19423533750777855</v>
      </c>
      <c r="J2716" s="47">
        <f>Master!AB107</f>
        <v>0.19314025227812726</v>
      </c>
      <c r="K2716" s="47">
        <f>Master!AC107</f>
        <v>0.19404306225030921</v>
      </c>
    </row>
    <row r="2718" spans="2:11" ht="15.75">
      <c r="B2718" s="399" t="s">
        <v>362</v>
      </c>
      <c r="C2718" s="679">
        <f>Master!U116</f>
        <v>8321.8700000000008</v>
      </c>
      <c r="D2718" s="679">
        <f>Master!V116</f>
        <v>9553.6500000000015</v>
      </c>
      <c r="E2718" s="679">
        <f>Master!W116</f>
        <v>11496.312033486009</v>
      </c>
      <c r="F2718" s="679">
        <f>Master!X116</f>
        <v>9109.2065129939092</v>
      </c>
      <c r="G2718" s="679">
        <f>Master!Y116</f>
        <v>8902.5243290215003</v>
      </c>
      <c r="H2718" s="679">
        <f>Master!Z116</f>
        <v>9021.5544275112406</v>
      </c>
      <c r="I2718" s="679">
        <f>Master!AA116</f>
        <v>9224.2215214415446</v>
      </c>
      <c r="J2718" s="679">
        <f>Master!AB116</f>
        <v>9475.2063127623478</v>
      </c>
      <c r="K2718" s="679">
        <f>Master!AC116</f>
        <v>9612.5219356450998</v>
      </c>
    </row>
    <row r="2721" spans="2:19">
      <c r="B2721" s="564">
        <v>44621</v>
      </c>
    </row>
    <row r="2723" spans="2:19" ht="15.75">
      <c r="C2723" s="391" t="s">
        <v>1247</v>
      </c>
      <c r="D2723" s="391" t="s">
        <v>1247</v>
      </c>
      <c r="E2723" s="391" t="s">
        <v>1247</v>
      </c>
      <c r="F2723" s="391" t="s">
        <v>1247</v>
      </c>
      <c r="G2723" s="391" t="s">
        <v>1247</v>
      </c>
      <c r="I2723" s="391" t="s">
        <v>1248</v>
      </c>
      <c r="J2723" s="391" t="s">
        <v>1248</v>
      </c>
      <c r="K2723" s="391" t="s">
        <v>1248</v>
      </c>
      <c r="L2723" s="391" t="s">
        <v>1248</v>
      </c>
      <c r="M2723" s="391" t="s">
        <v>1248</v>
      </c>
      <c r="O2723" s="391" t="s">
        <v>6869</v>
      </c>
      <c r="P2723" s="391" t="s">
        <v>6869</v>
      </c>
      <c r="Q2723" s="391" t="s">
        <v>6869</v>
      </c>
      <c r="R2723" s="391" t="s">
        <v>6869</v>
      </c>
      <c r="S2723" s="391" t="s">
        <v>6869</v>
      </c>
    </row>
    <row r="2724" spans="2:19" ht="15.75">
      <c r="B2724" s="680" t="s">
        <v>6739</v>
      </c>
      <c r="C2724" s="680">
        <f>C2676</f>
        <v>2022</v>
      </c>
      <c r="D2724" s="680">
        <f>D2676</f>
        <v>2023</v>
      </c>
      <c r="E2724" s="680">
        <f>E2676</f>
        <v>2024</v>
      </c>
      <c r="F2724" s="680">
        <f>F2676</f>
        <v>2025</v>
      </c>
      <c r="G2724" s="680">
        <f>G2676</f>
        <v>2026</v>
      </c>
      <c r="H2724" s="190"/>
      <c r="I2724" s="680">
        <f>C2724</f>
        <v>2022</v>
      </c>
      <c r="J2724" s="680">
        <f>D2724</f>
        <v>2023</v>
      </c>
      <c r="K2724" s="680">
        <f>E2724</f>
        <v>2024</v>
      </c>
      <c r="L2724" s="680">
        <f>F2724</f>
        <v>2025</v>
      </c>
      <c r="M2724" s="680">
        <f>G2724</f>
        <v>2026</v>
      </c>
      <c r="N2724" s="190"/>
      <c r="O2724" s="680">
        <f>I2724</f>
        <v>2022</v>
      </c>
      <c r="P2724" s="680">
        <f>J2724</f>
        <v>2023</v>
      </c>
      <c r="Q2724" s="680">
        <f>K2724</f>
        <v>2024</v>
      </c>
      <c r="R2724" s="680">
        <f>L2724</f>
        <v>2025</v>
      </c>
      <c r="S2724" s="680">
        <f>M2724</f>
        <v>2026</v>
      </c>
    </row>
    <row r="2725" spans="2:19" ht="15.75">
      <c r="B2725" s="74" t="s">
        <v>200</v>
      </c>
      <c r="C2725" s="66"/>
      <c r="D2725" s="66"/>
      <c r="E2725" s="66"/>
      <c r="F2725" s="66"/>
      <c r="G2725" s="66"/>
      <c r="I2725" s="66"/>
      <c r="J2725" s="66"/>
      <c r="K2725" s="66"/>
      <c r="L2725" s="66"/>
      <c r="M2725" s="66"/>
      <c r="O2725" s="66"/>
      <c r="P2725" s="66"/>
      <c r="Q2725" s="66"/>
      <c r="R2725" s="66"/>
      <c r="S2725" s="66"/>
    </row>
    <row r="2726" spans="2:19" ht="15.75">
      <c r="B2726" s="183" t="s">
        <v>87</v>
      </c>
      <c r="C2726" s="184">
        <f>Master!U51</f>
        <v>20339</v>
      </c>
      <c r="D2726" s="184">
        <f>Master!V51</f>
        <v>17585.2</v>
      </c>
      <c r="E2726" s="184">
        <f>Master!W51</f>
        <v>15669.651064570926</v>
      </c>
      <c r="F2726" s="184">
        <f>Master!X51</f>
        <v>14471.39653698212</v>
      </c>
      <c r="G2726" s="184">
        <f>Master!Y51</f>
        <v>13649.527111625455</v>
      </c>
      <c r="H2726" s="190"/>
      <c r="I2726" s="184">
        <v>21508.841286446906</v>
      </c>
      <c r="J2726" s="184">
        <v>21289.484652366478</v>
      </c>
      <c r="K2726" s="184">
        <v>20774.331297444234</v>
      </c>
      <c r="L2726" s="184">
        <v>20485.348051837296</v>
      </c>
      <c r="M2726" s="184">
        <v>20176.100448229099</v>
      </c>
      <c r="N2726" s="190"/>
      <c r="O2726" s="189">
        <f t="shared" ref="O2726:S2729" si="155">C2726/I2726-1</f>
        <v>-5.4388856696992005E-2</v>
      </c>
      <c r="P2726" s="189">
        <f t="shared" si="155"/>
        <v>-0.17399597561205971</v>
      </c>
      <c r="Q2726" s="189">
        <f t="shared" si="155"/>
        <v>-0.24572055580442742</v>
      </c>
      <c r="R2726" s="189">
        <f t="shared" si="155"/>
        <v>-0.29357331394307429</v>
      </c>
      <c r="S2726" s="189">
        <f t="shared" si="155"/>
        <v>-0.32348041453057375</v>
      </c>
    </row>
    <row r="2727" spans="2:19" ht="15.75">
      <c r="B2727" s="66" t="s">
        <v>16</v>
      </c>
      <c r="C2727" s="125">
        <f>Master!U52</f>
        <v>48411.8</v>
      </c>
      <c r="D2727" s="125">
        <f>Master!V52</f>
        <v>48802.5</v>
      </c>
      <c r="E2727" s="125">
        <f>Master!W52</f>
        <v>48802.5</v>
      </c>
      <c r="F2727" s="125">
        <f>Master!X52</f>
        <v>49290.525000000001</v>
      </c>
      <c r="G2727" s="125">
        <f>Master!Y52</f>
        <v>50276.335500000001</v>
      </c>
      <c r="I2727" s="125">
        <v>50614.372203749997</v>
      </c>
      <c r="J2727" s="125">
        <v>54663.521980049998</v>
      </c>
      <c r="K2727" s="125">
        <v>57943.333298853002</v>
      </c>
      <c r="L2727" s="125">
        <v>60840.499963795657</v>
      </c>
      <c r="M2727" s="125">
        <v>63882.524961985444</v>
      </c>
      <c r="O2727" s="116">
        <f t="shared" si="155"/>
        <v>-4.3516734631883991E-2</v>
      </c>
      <c r="P2727" s="116">
        <f t="shared" si="155"/>
        <v>-0.10721998451159143</v>
      </c>
      <c r="Q2727" s="116">
        <f t="shared" si="155"/>
        <v>-0.1577547023694259</v>
      </c>
      <c r="R2727" s="116">
        <f t="shared" si="155"/>
        <v>-0.18984023751725732</v>
      </c>
      <c r="S2727" s="116">
        <f t="shared" si="155"/>
        <v>-0.21298765930247865</v>
      </c>
    </row>
    <row r="2728" spans="2:19" ht="15.75">
      <c r="B2728" s="185" t="s">
        <v>44</v>
      </c>
      <c r="C2728" s="186">
        <f>C2729-C2726-C2727</f>
        <v>6775.8000000000029</v>
      </c>
      <c r="D2728" s="186">
        <f>D2729-D2726-D2727</f>
        <v>7380.2000000000116</v>
      </c>
      <c r="E2728" s="186">
        <f>E2729-E2726-E2727</f>
        <v>-170</v>
      </c>
      <c r="F2728" s="186">
        <f>F2729-F2726-F2727</f>
        <v>-168.12726863155694</v>
      </c>
      <c r="G2728" s="186">
        <f>G2729-G2726-G2727</f>
        <v>-168.55954803015629</v>
      </c>
      <c r="H2728" s="190"/>
      <c r="I2728" s="186">
        <f>I2729-I2726-I2727</f>
        <v>1979.691863134045</v>
      </c>
      <c r="J2728" s="186">
        <f>J2729-J2726-J2727</f>
        <v>1783.971046792889</v>
      </c>
      <c r="K2728" s="186">
        <f>K2729-K2726-K2727</f>
        <v>1662.7944658660708</v>
      </c>
      <c r="L2728" s="186">
        <f>L2729-L2726-L2727</f>
        <v>1553.1713077659151</v>
      </c>
      <c r="M2728" s="186">
        <f>M2729-M2726-M2727</f>
        <v>1435.6220333062665</v>
      </c>
      <c r="N2728" s="190"/>
      <c r="O2728" s="681">
        <f t="shared" si="155"/>
        <v>2.422653861532396</v>
      </c>
      <c r="P2728" s="681">
        <f t="shared" si="155"/>
        <v>3.1369505481984543</v>
      </c>
      <c r="Q2728" s="681">
        <f t="shared" si="155"/>
        <v>-1.1022375305485848</v>
      </c>
      <c r="R2728" s="681">
        <f t="shared" si="155"/>
        <v>-1.1082477301704676</v>
      </c>
      <c r="S2728" s="681">
        <f t="shared" si="155"/>
        <v>-1.1174122046886952</v>
      </c>
    </row>
    <row r="2729" spans="2:19" ht="15.75">
      <c r="B2729" s="74" t="s">
        <v>1084</v>
      </c>
      <c r="C2729" s="470">
        <f>Master!U56</f>
        <v>75526.600000000006</v>
      </c>
      <c r="D2729" s="470">
        <f>Master!V56</f>
        <v>73767.900000000009</v>
      </c>
      <c r="E2729" s="470">
        <f>Master!W56</f>
        <v>64302.151064570928</v>
      </c>
      <c r="F2729" s="470">
        <f>Master!X56</f>
        <v>63593.794268350568</v>
      </c>
      <c r="G2729" s="470">
        <f>Master!Y56</f>
        <v>63757.303063595296</v>
      </c>
      <c r="I2729" s="470">
        <v>74102.905353330949</v>
      </c>
      <c r="J2729" s="470">
        <v>77736.977679209362</v>
      </c>
      <c r="K2729" s="470">
        <v>80380.459062163311</v>
      </c>
      <c r="L2729" s="470">
        <v>82879.019323398868</v>
      </c>
      <c r="M2729" s="470">
        <v>85494.247443520813</v>
      </c>
      <c r="O2729" s="127">
        <f t="shared" si="155"/>
        <v>1.9212399836156413E-2</v>
      </c>
      <c r="P2729" s="127">
        <f t="shared" si="155"/>
        <v>-5.1057782251172856E-2</v>
      </c>
      <c r="Q2729" s="127">
        <f t="shared" si="155"/>
        <v>-0.20002757119311809</v>
      </c>
      <c r="R2729" s="127">
        <f t="shared" si="155"/>
        <v>-0.23269127956010438</v>
      </c>
      <c r="S2729" s="127">
        <f t="shared" si="155"/>
        <v>-0.25425037391299776</v>
      </c>
    </row>
    <row r="2730" spans="2:19" ht="15.75">
      <c r="B2730" s="183"/>
      <c r="C2730" s="183"/>
      <c r="D2730" s="183"/>
      <c r="E2730" s="183"/>
      <c r="F2730" s="183"/>
      <c r="G2730" s="183"/>
      <c r="H2730" s="190"/>
      <c r="I2730" s="183"/>
      <c r="J2730" s="183"/>
      <c r="K2730" s="183"/>
      <c r="L2730" s="183"/>
      <c r="M2730" s="183"/>
      <c r="N2730" s="190"/>
      <c r="O2730" s="183"/>
      <c r="P2730" s="183"/>
      <c r="Q2730" s="183"/>
      <c r="R2730" s="183"/>
      <c r="S2730" s="183"/>
    </row>
    <row r="2731" spans="2:19" ht="15.75">
      <c r="B2731" s="74" t="s">
        <v>57</v>
      </c>
      <c r="C2731" s="66"/>
      <c r="D2731" s="66"/>
      <c r="E2731" s="66"/>
      <c r="F2731" s="66"/>
      <c r="G2731" s="66"/>
      <c r="I2731" s="66"/>
      <c r="J2731" s="66"/>
      <c r="K2731" s="66"/>
      <c r="L2731" s="66"/>
      <c r="M2731" s="66"/>
      <c r="O2731" s="66"/>
      <c r="P2731" s="66"/>
      <c r="Q2731" s="66"/>
      <c r="R2731" s="66"/>
      <c r="S2731" s="66"/>
    </row>
    <row r="2732" spans="2:19" ht="15.75">
      <c r="B2732" s="183" t="s">
        <v>87</v>
      </c>
      <c r="C2732" s="184">
        <f>Master!U67</f>
        <v>6416.33</v>
      </c>
      <c r="D2732" s="184">
        <f>Master!V67</f>
        <v>5731.4</v>
      </c>
      <c r="E2732" s="184">
        <f>Master!W67</f>
        <v>4922.7495535325561</v>
      </c>
      <c r="F2732" s="184">
        <f>Master!X67</f>
        <v>4929.4109901492266</v>
      </c>
      <c r="G2732" s="184">
        <f>Master!Y67</f>
        <v>4593.9127511233182</v>
      </c>
      <c r="H2732" s="190"/>
      <c r="I2732" s="184">
        <v>8407.6289298754655</v>
      </c>
      <c r="J2732" s="184">
        <v>8132.2190562702544</v>
      </c>
      <c r="K2732" s="184">
        <v>7870.5536381121346</v>
      </c>
      <c r="L2732" s="184">
        <v>7727.4529698746237</v>
      </c>
      <c r="M2732" s="184">
        <v>7576.7670997693967</v>
      </c>
      <c r="N2732" s="190"/>
      <c r="O2732" s="189">
        <f t="shared" ref="O2732:S2735" si="156">C2732/I2732-1</f>
        <v>-0.23684429302054855</v>
      </c>
      <c r="P2732" s="189">
        <f t="shared" si="156"/>
        <v>-0.29522311679726954</v>
      </c>
      <c r="Q2732" s="189">
        <f t="shared" si="156"/>
        <v>-0.3745357976223197</v>
      </c>
      <c r="R2732" s="189">
        <f t="shared" si="156"/>
        <v>-0.36209110435657488</v>
      </c>
      <c r="S2732" s="189">
        <f t="shared" si="156"/>
        <v>-0.39368431276406313</v>
      </c>
    </row>
    <row r="2733" spans="2:19" ht="15.75">
      <c r="B2733" s="66" t="s">
        <v>16</v>
      </c>
      <c r="C2733" s="125">
        <f>Master!U68</f>
        <v>19902.8</v>
      </c>
      <c r="D2733" s="125">
        <f>Master!V68</f>
        <v>18821</v>
      </c>
      <c r="E2733" s="125">
        <f>Master!W68</f>
        <v>18178.931250000001</v>
      </c>
      <c r="F2733" s="125">
        <f>Master!X68</f>
        <v>18237.49425</v>
      </c>
      <c r="G2733" s="125">
        <f>Master!Y68</f>
        <v>18602.244135000001</v>
      </c>
      <c r="I2733" s="125">
        <v>21004.964464556248</v>
      </c>
      <c r="J2733" s="125">
        <v>22412.044011820497</v>
      </c>
      <c r="K2733" s="125">
        <v>23756.766652529728</v>
      </c>
      <c r="L2733" s="125">
        <v>24944.604985156217</v>
      </c>
      <c r="M2733" s="125">
        <v>26191.835234414029</v>
      </c>
      <c r="O2733" s="116">
        <f t="shared" si="156"/>
        <v>-5.2471617670005521E-2</v>
      </c>
      <c r="P2733" s="116">
        <f t="shared" si="156"/>
        <v>-0.16022831339821209</v>
      </c>
      <c r="Q2733" s="116">
        <f t="shared" si="156"/>
        <v>-0.23478933325027096</v>
      </c>
      <c r="R2733" s="116">
        <f t="shared" si="156"/>
        <v>-0.26888021434484199</v>
      </c>
      <c r="S2733" s="116">
        <f t="shared" si="156"/>
        <v>-0.28976935107784652</v>
      </c>
    </row>
    <row r="2734" spans="2:19" ht="15.75">
      <c r="B2734" s="185" t="s">
        <v>44</v>
      </c>
      <c r="C2734" s="186">
        <f>C2735-C2732-C2733</f>
        <v>-783.10000000000218</v>
      </c>
      <c r="D2734" s="186">
        <f>D2735-D2732-D2733</f>
        <v>-334.29999999999563</v>
      </c>
      <c r="E2734" s="186">
        <f>E2735-E2732-E2733</f>
        <v>1261.0800000000017</v>
      </c>
      <c r="F2734" s="186">
        <f>F2735-F2732-F2733</f>
        <v>-1765</v>
      </c>
      <c r="G2734" s="186">
        <f>G2735-G2732-G2733</f>
        <v>-1780.3000000000029</v>
      </c>
      <c r="H2734" s="190"/>
      <c r="I2734" s="186">
        <f>I2735-I2732-I2733</f>
        <v>-2431.4999999999964</v>
      </c>
      <c r="J2734" s="186">
        <f>J2735-J2732-J2733</f>
        <v>-2171.4724999999999</v>
      </c>
      <c r="K2734" s="186">
        <f>K2735-K2732-K2733</f>
        <v>-2011.8445874999998</v>
      </c>
      <c r="L2734" s="186">
        <f>L2735-L2732-L2733</f>
        <v>-2052.6242563124979</v>
      </c>
      <c r="M2734" s="186">
        <f>M2735-M2732-M2733</f>
        <v>-2093.8196001571923</v>
      </c>
      <c r="N2734" s="190"/>
      <c r="O2734" s="681">
        <f t="shared" si="156"/>
        <v>-0.67793543080402907</v>
      </c>
      <c r="P2734" s="681">
        <f t="shared" si="156"/>
        <v>-0.84604916709744393</v>
      </c>
      <c r="Q2734" s="681">
        <f t="shared" si="156"/>
        <v>-1.6268277419813382</v>
      </c>
      <c r="R2734" s="681">
        <f t="shared" si="156"/>
        <v>-0.14012513757837475</v>
      </c>
      <c r="S2734" s="681">
        <f t="shared" si="156"/>
        <v>-0.149735727057695</v>
      </c>
    </row>
    <row r="2735" spans="2:19" ht="15.75">
      <c r="B2735" s="74" t="s">
        <v>1084</v>
      </c>
      <c r="C2735" s="470">
        <f>Master!U73</f>
        <v>25536.03</v>
      </c>
      <c r="D2735" s="470">
        <f>Master!V73</f>
        <v>24218.100000000002</v>
      </c>
      <c r="E2735" s="470">
        <f>Master!W73</f>
        <v>24362.760803532561</v>
      </c>
      <c r="F2735" s="470">
        <f>Master!X73</f>
        <v>21401.905240149226</v>
      </c>
      <c r="G2735" s="470">
        <f>Master!Y73</f>
        <v>21415.856886123318</v>
      </c>
      <c r="I2735" s="470">
        <v>26981.093394431715</v>
      </c>
      <c r="J2735" s="470">
        <v>28372.790568090753</v>
      </c>
      <c r="K2735" s="470">
        <v>29615.475703141863</v>
      </c>
      <c r="L2735" s="470">
        <v>30619.433698718341</v>
      </c>
      <c r="M2735" s="470">
        <v>31674.782734026234</v>
      </c>
      <c r="O2735" s="127">
        <f t="shared" si="156"/>
        <v>-5.3558370422821522E-2</v>
      </c>
      <c r="P2735" s="127">
        <f t="shared" si="156"/>
        <v>-0.14643221498146508</v>
      </c>
      <c r="Q2735" s="127">
        <f t="shared" si="156"/>
        <v>-0.17736385369126617</v>
      </c>
      <c r="R2735" s="127">
        <f t="shared" si="156"/>
        <v>-0.30103523629030859</v>
      </c>
      <c r="S2735" s="127">
        <f t="shared" si="156"/>
        <v>-0.32388306919252818</v>
      </c>
    </row>
    <row r="2736" spans="2:19" ht="15.75">
      <c r="B2736" s="183"/>
      <c r="C2736" s="183"/>
      <c r="D2736" s="183"/>
      <c r="E2736" s="183"/>
      <c r="F2736" s="183"/>
      <c r="G2736" s="183"/>
      <c r="H2736" s="190"/>
      <c r="I2736" s="183"/>
      <c r="J2736" s="183"/>
      <c r="K2736" s="183"/>
      <c r="L2736" s="183"/>
      <c r="M2736" s="183"/>
      <c r="N2736" s="190"/>
      <c r="O2736" s="183"/>
      <c r="P2736" s="183"/>
      <c r="Q2736" s="183"/>
      <c r="R2736" s="183"/>
      <c r="S2736" s="183"/>
    </row>
    <row r="2737" spans="2:19" ht="15.75">
      <c r="B2737" s="74" t="s">
        <v>201</v>
      </c>
      <c r="C2737" s="66"/>
      <c r="D2737" s="66"/>
      <c r="E2737" s="66"/>
      <c r="F2737" s="66"/>
      <c r="G2737" s="66"/>
      <c r="I2737" s="66"/>
      <c r="J2737" s="66"/>
      <c r="K2737" s="66"/>
      <c r="L2737" s="66"/>
      <c r="M2737" s="66"/>
      <c r="O2737" s="66"/>
      <c r="P2737" s="66"/>
      <c r="Q2737" s="66"/>
      <c r="R2737" s="66"/>
      <c r="S2737" s="66"/>
    </row>
    <row r="2738" spans="2:19" ht="15.75">
      <c r="B2738" s="183" t="s">
        <v>87</v>
      </c>
      <c r="C2738" s="184">
        <f>Master!U88</f>
        <v>3883.241</v>
      </c>
      <c r="D2738" s="184">
        <f>Master!V88</f>
        <v>2640.8399999999997</v>
      </c>
      <c r="E2738" s="184">
        <f>Master!W88</f>
        <v>2251.9050200465481</v>
      </c>
      <c r="F2738" s="184">
        <f>Master!X88</f>
        <v>1941.688477155318</v>
      </c>
      <c r="G2738" s="184">
        <f>Master!Y88</f>
        <v>1829.6112633518183</v>
      </c>
      <c r="H2738" s="190"/>
      <c r="I2738" s="184">
        <v>4641.1220430183184</v>
      </c>
      <c r="J2738" s="184">
        <v>3449.7583109023012</v>
      </c>
      <c r="K2738" s="184">
        <v>2731.1768946166349</v>
      </c>
      <c r="L2738" s="184">
        <v>2481.4821672572216</v>
      </c>
      <c r="M2738" s="184">
        <v>2396.3622227520741</v>
      </c>
      <c r="N2738" s="190"/>
      <c r="O2738" s="189">
        <f t="shared" ref="O2738:S2739" si="157">C2738/I2738-1</f>
        <v>-0.16329694328086153</v>
      </c>
      <c r="P2738" s="189">
        <f t="shared" si="157"/>
        <v>-0.23448550246139566</v>
      </c>
      <c r="Q2738" s="189">
        <f t="shared" si="157"/>
        <v>-0.17548181354154302</v>
      </c>
      <c r="R2738" s="189">
        <f t="shared" si="157"/>
        <v>-0.2175287403731524</v>
      </c>
      <c r="S2738" s="189">
        <f t="shared" si="157"/>
        <v>-0.23650471285988528</v>
      </c>
    </row>
    <row r="2739" spans="2:19" ht="15.75">
      <c r="B2739" s="66" t="s">
        <v>16</v>
      </c>
      <c r="C2739" s="125">
        <f>Master!U89</f>
        <v>12989.048999999999</v>
      </c>
      <c r="D2739" s="125">
        <f>Master!V89</f>
        <v>11204.1</v>
      </c>
      <c r="E2739" s="125">
        <f>Master!W89</f>
        <v>10614.543750000001</v>
      </c>
      <c r="F2739" s="125">
        <f>Master!X89</f>
        <v>10351.010249999999</v>
      </c>
      <c r="G2739" s="125">
        <f>Master!Y89</f>
        <v>10683.721293750001</v>
      </c>
      <c r="I2739" s="125">
        <v>13665.8804950125</v>
      </c>
      <c r="J2739" s="125">
        <v>13119.245275211999</v>
      </c>
      <c r="K2739" s="125">
        <v>12747.533325747661</v>
      </c>
      <c r="L2739" s="125">
        <v>13384.909992035045</v>
      </c>
      <c r="M2739" s="125">
        <v>14054.155491636799</v>
      </c>
      <c r="O2739" s="116">
        <f t="shared" si="157"/>
        <v>-4.9527104767198682E-2</v>
      </c>
      <c r="P2739" s="116">
        <f t="shared" si="157"/>
        <v>-0.14597983611378518</v>
      </c>
      <c r="Q2739" s="116">
        <f t="shared" si="157"/>
        <v>-0.16732567166068246</v>
      </c>
      <c r="R2739" s="116">
        <f t="shared" si="157"/>
        <v>-0.22666568126647302</v>
      </c>
      <c r="S2739" s="116">
        <f t="shared" si="157"/>
        <v>-0.23981762546262142</v>
      </c>
    </row>
    <row r="2740" spans="2:19" ht="15.75">
      <c r="B2740" s="185" t="s">
        <v>44</v>
      </c>
      <c r="C2740" s="186"/>
      <c r="D2740" s="186"/>
      <c r="E2740" s="186"/>
      <c r="F2740" s="186"/>
      <c r="G2740" s="186"/>
      <c r="H2740" s="190"/>
      <c r="I2740" s="186"/>
      <c r="J2740" s="186"/>
      <c r="K2740" s="186"/>
      <c r="L2740" s="186"/>
      <c r="M2740" s="186"/>
      <c r="N2740" s="190"/>
      <c r="O2740" s="681"/>
      <c r="P2740" s="681"/>
      <c r="Q2740" s="681"/>
      <c r="R2740" s="681"/>
      <c r="S2740" s="681"/>
    </row>
    <row r="2741" spans="2:19" ht="15.75">
      <c r="B2741" s="74" t="s">
        <v>1084</v>
      </c>
      <c r="C2741" s="470">
        <f>Master!U90</f>
        <v>17214.16</v>
      </c>
      <c r="D2741" s="470">
        <f>Master!V90</f>
        <v>14664.45</v>
      </c>
      <c r="E2741" s="470">
        <f>Master!W90</f>
        <v>12866.448770046549</v>
      </c>
      <c r="F2741" s="470">
        <f>Master!X90</f>
        <v>12292.698727155317</v>
      </c>
      <c r="G2741" s="470">
        <f>Master!Y90</f>
        <v>12513.332557101819</v>
      </c>
      <c r="I2741" s="470">
        <f>SUM(I2738:I2740)</f>
        <v>18307.002538030818</v>
      </c>
      <c r="J2741" s="470">
        <f>SUM(J2738:J2740)</f>
        <v>16569.003586114301</v>
      </c>
      <c r="K2741" s="470">
        <f>SUM(K2738:K2740)</f>
        <v>15478.710220364297</v>
      </c>
      <c r="L2741" s="470">
        <f>SUM(L2738:L2740)</f>
        <v>15866.392159292267</v>
      </c>
      <c r="M2741" s="470">
        <f>SUM(M2738:M2740)</f>
        <v>16450.517714388872</v>
      </c>
      <c r="O2741" s="127">
        <f>C2741/I2741-1</f>
        <v>-5.9695328919114776E-2</v>
      </c>
      <c r="P2741" s="127">
        <f>D2741/J2741-1</f>
        <v>-0.11494677855646163</v>
      </c>
      <c r="Q2741" s="127">
        <f>E2741/K2741-1</f>
        <v>-0.16876480101558922</v>
      </c>
      <c r="R2741" s="127">
        <f>F2741/L2741-1</f>
        <v>-0.22523667613018061</v>
      </c>
      <c r="S2741" s="127">
        <f>G2741/M2741-1</f>
        <v>-0.23933503040109749</v>
      </c>
    </row>
    <row r="2742" spans="2:19" ht="15.75">
      <c r="B2742" s="183"/>
      <c r="C2742" s="183"/>
      <c r="D2742" s="183"/>
      <c r="E2742" s="183"/>
      <c r="F2742" s="183"/>
      <c r="G2742" s="183"/>
      <c r="H2742" s="190"/>
      <c r="I2742" s="183"/>
      <c r="J2742" s="183"/>
      <c r="K2742" s="183"/>
      <c r="L2742" s="183"/>
      <c r="M2742" s="183"/>
      <c r="N2742" s="190"/>
      <c r="O2742" s="183"/>
      <c r="P2742" s="183"/>
      <c r="Q2742" s="183"/>
      <c r="R2742" s="183"/>
      <c r="S2742" s="183"/>
    </row>
    <row r="2743" spans="2:19" ht="15.75">
      <c r="B2743" s="74" t="s">
        <v>203</v>
      </c>
      <c r="C2743" s="66"/>
      <c r="D2743" s="66"/>
      <c r="E2743" s="66"/>
      <c r="F2743" s="66"/>
      <c r="G2743" s="66"/>
      <c r="I2743" s="66"/>
      <c r="J2743" s="66"/>
      <c r="K2743" s="66"/>
      <c r="L2743" s="66"/>
      <c r="M2743" s="66"/>
      <c r="O2743" s="66"/>
      <c r="P2743" s="66"/>
      <c r="Q2743" s="66"/>
      <c r="R2743" s="66"/>
      <c r="S2743" s="66"/>
    </row>
    <row r="2744" spans="2:19" ht="15.75">
      <c r="B2744" s="183" t="s">
        <v>87</v>
      </c>
      <c r="C2744" s="184">
        <f t="shared" ref="C2744:G2747" si="158">C2732-C2738</f>
        <v>2533.0889999999999</v>
      </c>
      <c r="D2744" s="184">
        <f t="shared" si="158"/>
        <v>3090.56</v>
      </c>
      <c r="E2744" s="184">
        <f t="shared" si="158"/>
        <v>2670.844533486008</v>
      </c>
      <c r="F2744" s="184">
        <f t="shared" si="158"/>
        <v>2987.7225129939088</v>
      </c>
      <c r="G2744" s="184">
        <f t="shared" si="158"/>
        <v>2764.3014877715</v>
      </c>
      <c r="H2744" s="190"/>
      <c r="I2744" s="184">
        <f t="shared" ref="I2744:M2747" si="159">I2732-I2738</f>
        <v>3766.506886857147</v>
      </c>
      <c r="J2744" s="184">
        <f t="shared" si="159"/>
        <v>4682.4607453679528</v>
      </c>
      <c r="K2744" s="184">
        <f t="shared" si="159"/>
        <v>5139.3767434954998</v>
      </c>
      <c r="L2744" s="184">
        <f t="shared" si="159"/>
        <v>5245.9708026174021</v>
      </c>
      <c r="M2744" s="184">
        <f t="shared" si="159"/>
        <v>5180.4048770173231</v>
      </c>
      <c r="N2744" s="190"/>
      <c r="O2744" s="189">
        <f t="shared" ref="O2744:S2747" si="160">C2744/I2744-1</f>
        <v>-0.32746996724233712</v>
      </c>
      <c r="P2744" s="189">
        <f t="shared" si="160"/>
        <v>-0.33997097507816043</v>
      </c>
      <c r="Q2744" s="189">
        <f t="shared" si="160"/>
        <v>-0.48031742625868334</v>
      </c>
      <c r="R2744" s="189">
        <f t="shared" si="160"/>
        <v>-0.4304729047475393</v>
      </c>
      <c r="S2744" s="189">
        <f t="shared" si="160"/>
        <v>-0.46639277172422899</v>
      </c>
    </row>
    <row r="2745" spans="2:19" ht="15.75">
      <c r="B2745" s="66" t="s">
        <v>16</v>
      </c>
      <c r="C2745" s="125">
        <f t="shared" si="158"/>
        <v>6913.7510000000002</v>
      </c>
      <c r="D2745" s="125">
        <f t="shared" si="158"/>
        <v>7616.9</v>
      </c>
      <c r="E2745" s="125">
        <f t="shared" si="158"/>
        <v>7564.3875000000007</v>
      </c>
      <c r="F2745" s="125">
        <f t="shared" si="158"/>
        <v>7886.4840000000004</v>
      </c>
      <c r="G2745" s="125">
        <f t="shared" si="158"/>
        <v>7918.5228412500001</v>
      </c>
      <c r="I2745" s="125">
        <f t="shared" si="159"/>
        <v>7339.083969543748</v>
      </c>
      <c r="J2745" s="125">
        <f t="shared" si="159"/>
        <v>9292.7987366084981</v>
      </c>
      <c r="K2745" s="125">
        <f t="shared" si="159"/>
        <v>11009.233326782067</v>
      </c>
      <c r="L2745" s="125">
        <f t="shared" si="159"/>
        <v>11559.694993121171</v>
      </c>
      <c r="M2745" s="125">
        <f t="shared" si="159"/>
        <v>12137.679742777231</v>
      </c>
      <c r="O2745" s="116">
        <f t="shared" si="160"/>
        <v>-5.7954503764887422E-2</v>
      </c>
      <c r="P2745" s="116">
        <f t="shared" si="160"/>
        <v>-0.18034381074093242</v>
      </c>
      <c r="Q2745" s="116">
        <f t="shared" si="160"/>
        <v>-0.31290515193295243</v>
      </c>
      <c r="R2745" s="116">
        <f t="shared" si="160"/>
        <v>-0.31776020001453231</v>
      </c>
      <c r="S2745" s="116">
        <f t="shared" si="160"/>
        <v>-0.34760819126389664</v>
      </c>
    </row>
    <row r="2746" spans="2:19" ht="15.75">
      <c r="B2746" s="185" t="s">
        <v>44</v>
      </c>
      <c r="C2746" s="186">
        <f t="shared" si="158"/>
        <v>-783.10000000000218</v>
      </c>
      <c r="D2746" s="186">
        <f t="shared" si="158"/>
        <v>-334.29999999999563</v>
      </c>
      <c r="E2746" s="186">
        <f t="shared" si="158"/>
        <v>1261.0800000000017</v>
      </c>
      <c r="F2746" s="186">
        <f t="shared" si="158"/>
        <v>-1765</v>
      </c>
      <c r="G2746" s="186">
        <f t="shared" si="158"/>
        <v>-1780.3000000000029</v>
      </c>
      <c r="H2746" s="190"/>
      <c r="I2746" s="186">
        <f t="shared" si="159"/>
        <v>-2431.4999999999964</v>
      </c>
      <c r="J2746" s="186">
        <f t="shared" si="159"/>
        <v>-2171.4724999999999</v>
      </c>
      <c r="K2746" s="186">
        <f t="shared" si="159"/>
        <v>-2011.8445874999998</v>
      </c>
      <c r="L2746" s="186">
        <f t="shared" si="159"/>
        <v>-2052.6242563124979</v>
      </c>
      <c r="M2746" s="186">
        <f t="shared" si="159"/>
        <v>-2093.8196001571923</v>
      </c>
      <c r="N2746" s="190"/>
      <c r="O2746" s="681">
        <f t="shared" si="160"/>
        <v>-0.67793543080402907</v>
      </c>
      <c r="P2746" s="681">
        <f t="shared" si="160"/>
        <v>-0.84604916709744393</v>
      </c>
      <c r="Q2746" s="681">
        <f t="shared" si="160"/>
        <v>-1.6268277419813382</v>
      </c>
      <c r="R2746" s="681">
        <f t="shared" si="160"/>
        <v>-0.14012513757837475</v>
      </c>
      <c r="S2746" s="681">
        <f t="shared" si="160"/>
        <v>-0.149735727057695</v>
      </c>
    </row>
    <row r="2747" spans="2:19" ht="15.75">
      <c r="B2747" s="74" t="s">
        <v>1084</v>
      </c>
      <c r="C2747" s="470">
        <f t="shared" si="158"/>
        <v>8321.869999999999</v>
      </c>
      <c r="D2747" s="470">
        <f t="shared" si="158"/>
        <v>9553.6500000000015</v>
      </c>
      <c r="E2747" s="470">
        <f t="shared" si="158"/>
        <v>11496.312033486012</v>
      </c>
      <c r="F2747" s="470">
        <f t="shared" si="158"/>
        <v>9109.2065129939092</v>
      </c>
      <c r="G2747" s="470">
        <f t="shared" si="158"/>
        <v>8902.5243290214985</v>
      </c>
      <c r="I2747" s="470">
        <f t="shared" si="159"/>
        <v>8674.0908564008969</v>
      </c>
      <c r="J2747" s="470">
        <f t="shared" si="159"/>
        <v>11803.786981976453</v>
      </c>
      <c r="K2747" s="470">
        <f t="shared" si="159"/>
        <v>14136.765482777566</v>
      </c>
      <c r="L2747" s="470">
        <f t="shared" si="159"/>
        <v>14753.041539426074</v>
      </c>
      <c r="M2747" s="470">
        <f t="shared" si="159"/>
        <v>15224.265019637362</v>
      </c>
      <c r="O2747" s="127">
        <f t="shared" si="160"/>
        <v>-4.0606083361575895E-2</v>
      </c>
      <c r="P2747" s="127">
        <f t="shared" si="160"/>
        <v>-0.19062839624370143</v>
      </c>
      <c r="Q2747" s="127">
        <f t="shared" si="160"/>
        <v>-0.18677917890824081</v>
      </c>
      <c r="R2747" s="127">
        <f t="shared" si="160"/>
        <v>-0.38255399819417324</v>
      </c>
      <c r="S2747" s="127">
        <f t="shared" si="160"/>
        <v>-0.41524110900996691</v>
      </c>
    </row>
    <row r="2748" spans="2:19" ht="15.75">
      <c r="B2748" s="183"/>
      <c r="C2748" s="183"/>
      <c r="D2748" s="183"/>
      <c r="E2748" s="183"/>
      <c r="F2748" s="183"/>
      <c r="G2748" s="183"/>
      <c r="H2748" s="190"/>
      <c r="I2748" s="183"/>
      <c r="J2748" s="183"/>
      <c r="K2748" s="183"/>
      <c r="L2748" s="183"/>
      <c r="M2748" s="183"/>
      <c r="N2748" s="190"/>
      <c r="O2748" s="183"/>
      <c r="P2748" s="183"/>
      <c r="Q2748" s="183"/>
      <c r="R2748" s="183"/>
      <c r="S2748" s="183"/>
    </row>
    <row r="2749" spans="2:19" ht="15.75">
      <c r="B2749" s="217" t="s">
        <v>6870</v>
      </c>
      <c r="C2749" s="682">
        <f>Valuation!R32</f>
        <v>-693.02896568871233</v>
      </c>
      <c r="D2749" s="682">
        <f>Valuation!S32</f>
        <v>-239.62627118644056</v>
      </c>
      <c r="E2749" s="682">
        <f ca="1">Valuation!T32</f>
        <v>137.21416772079357</v>
      </c>
      <c r="F2749" s="682">
        <f ca="1">Valuation!U32</f>
        <v>235.09850515628949</v>
      </c>
      <c r="G2749" s="682">
        <f ca="1">Valuation!V32</f>
        <v>266.08985512702651</v>
      </c>
      <c r="H2749" s="61"/>
      <c r="I2749" s="682">
        <v>189.69210276000837</v>
      </c>
      <c r="J2749" s="682">
        <v>391.04323375710391</v>
      </c>
      <c r="K2749" s="682">
        <v>578.16996221669547</v>
      </c>
      <c r="L2749" s="682">
        <v>662.24886744273567</v>
      </c>
      <c r="M2749" s="682">
        <v>639.46606680007812</v>
      </c>
      <c r="N2749" s="61"/>
      <c r="O2749" s="123">
        <f>C2749/I2749-1</f>
        <v>-4.6534413167716728</v>
      </c>
      <c r="P2749" s="123">
        <f>D2749/J2749-1</f>
        <v>-1.6127871562541449</v>
      </c>
      <c r="Q2749" s="123">
        <f ca="1">E2749/K2749-1</f>
        <v>-0.76267503210523702</v>
      </c>
      <c r="R2749" s="123">
        <f ca="1">F2749/L2749-1</f>
        <v>-0.64499976260568181</v>
      </c>
      <c r="S2749" s="123">
        <f ca="1">G2749/M2749-1</f>
        <v>-0.58388745088765359</v>
      </c>
    </row>
    <row r="2750" spans="2:19" ht="15.75">
      <c r="B2750" s="66"/>
      <c r="C2750" s="66"/>
      <c r="D2750" s="66"/>
      <c r="E2750" s="66"/>
      <c r="F2750" s="66"/>
      <c r="G2750" s="66"/>
    </row>
    <row r="2751" spans="2:19">
      <c r="B2751" s="564">
        <v>44652</v>
      </c>
    </row>
    <row r="2753" spans="2:19" ht="15.75">
      <c r="C2753" s="391" t="s">
        <v>1247</v>
      </c>
      <c r="D2753" s="391" t="s">
        <v>1247</v>
      </c>
      <c r="E2753" s="391" t="s">
        <v>1247</v>
      </c>
      <c r="F2753" s="391" t="s">
        <v>1247</v>
      </c>
      <c r="G2753" s="391" t="s">
        <v>1247</v>
      </c>
      <c r="I2753" s="391" t="s">
        <v>1248</v>
      </c>
      <c r="J2753" s="391" t="s">
        <v>1248</v>
      </c>
      <c r="K2753" s="391" t="s">
        <v>1248</v>
      </c>
      <c r="L2753" s="391" t="s">
        <v>1248</v>
      </c>
      <c r="M2753" s="391" t="s">
        <v>1248</v>
      </c>
      <c r="O2753" s="391" t="s">
        <v>6869</v>
      </c>
      <c r="P2753" s="391" t="s">
        <v>6869</v>
      </c>
      <c r="Q2753" s="391" t="s">
        <v>6869</v>
      </c>
      <c r="R2753" s="391" t="s">
        <v>6869</v>
      </c>
      <c r="S2753" s="391" t="s">
        <v>6869</v>
      </c>
    </row>
    <row r="2754" spans="2:19" ht="15.75">
      <c r="B2754" s="680" t="s">
        <v>6739</v>
      </c>
      <c r="C2754" s="680">
        <f>C2724</f>
        <v>2022</v>
      </c>
      <c r="D2754" s="680">
        <f>D2724</f>
        <v>2023</v>
      </c>
      <c r="E2754" s="680">
        <f>E2724</f>
        <v>2024</v>
      </c>
      <c r="F2754" s="680">
        <f>F2724</f>
        <v>2025</v>
      </c>
      <c r="G2754" s="680">
        <f>G2724</f>
        <v>2026</v>
      </c>
      <c r="H2754" s="190"/>
      <c r="I2754" s="680">
        <f>I2724</f>
        <v>2022</v>
      </c>
      <c r="J2754" s="680">
        <f>J2724</f>
        <v>2023</v>
      </c>
      <c r="K2754" s="680">
        <f>K2724</f>
        <v>2024</v>
      </c>
      <c r="L2754" s="680">
        <f>L2724</f>
        <v>2025</v>
      </c>
      <c r="M2754" s="680">
        <f>M2724</f>
        <v>2026</v>
      </c>
      <c r="N2754" s="190"/>
      <c r="O2754" s="680">
        <f>O2724</f>
        <v>2022</v>
      </c>
      <c r="P2754" s="680">
        <f>P2724</f>
        <v>2023</v>
      </c>
      <c r="Q2754" s="680">
        <f>Q2724</f>
        <v>2024</v>
      </c>
      <c r="R2754" s="680">
        <f>R2724</f>
        <v>2025</v>
      </c>
      <c r="S2754" s="680">
        <f>S2724</f>
        <v>2026</v>
      </c>
    </row>
    <row r="2755" spans="2:19" ht="15.75">
      <c r="B2755" s="74" t="s">
        <v>200</v>
      </c>
      <c r="C2755" s="66"/>
      <c r="D2755" s="66"/>
      <c r="E2755" s="66"/>
      <c r="F2755" s="66"/>
      <c r="G2755" s="66"/>
      <c r="I2755" s="66"/>
      <c r="J2755" s="66"/>
      <c r="K2755" s="66"/>
      <c r="L2755" s="66"/>
      <c r="M2755" s="66"/>
      <c r="O2755" s="66"/>
      <c r="P2755" s="66"/>
      <c r="Q2755" s="66"/>
      <c r="R2755" s="66"/>
      <c r="S2755" s="66"/>
    </row>
    <row r="2756" spans="2:19" ht="15.75">
      <c r="B2756" s="183" t="s">
        <v>87</v>
      </c>
      <c r="C2756" s="184">
        <f>Master!U$51</f>
        <v>20339</v>
      </c>
      <c r="D2756" s="184">
        <f>Master!V$51</f>
        <v>17585.2</v>
      </c>
      <c r="E2756" s="184">
        <f>Master!W$51</f>
        <v>15669.651064570926</v>
      </c>
      <c r="F2756" s="184">
        <f>Master!X51</f>
        <v>14471.39653698212</v>
      </c>
      <c r="G2756" s="184">
        <f>Master!Y51</f>
        <v>13649.527111625455</v>
      </c>
      <c r="H2756" s="190"/>
      <c r="I2756" s="184">
        <v>21272.640122267498</v>
      </c>
      <c r="J2756" s="184">
        <v>21146.17168611124</v>
      </c>
      <c r="K2756" s="184">
        <v>20638.815841151201</v>
      </c>
      <c r="L2756" s="184">
        <v>20354.590158232815</v>
      </c>
      <c r="M2756" s="184">
        <v>20050.264151977171</v>
      </c>
      <c r="N2756" s="190"/>
      <c r="O2756" s="189">
        <f t="shared" ref="O2756:O2759" si="161">C2756/I2756-1</f>
        <v>-4.3889245382861208E-2</v>
      </c>
      <c r="P2756" s="189">
        <f t="shared" ref="P2756:P2759" si="162">D2756/J2756-1</f>
        <v>-0.1683979369395775</v>
      </c>
      <c r="Q2756" s="189">
        <f t="shared" ref="Q2756:Q2759" si="163">E2756/K2756-1</f>
        <v>-0.24076792073857189</v>
      </c>
      <c r="R2756" s="189">
        <f t="shared" ref="R2756:R2759" si="164">F2756/L2756-1</f>
        <v>-0.28903522868875464</v>
      </c>
      <c r="S2756" s="189">
        <f t="shared" ref="S2756:S2759" si="165">G2756/M2756-1</f>
        <v>-0.31923454932241058</v>
      </c>
    </row>
    <row r="2757" spans="2:19" ht="15.75">
      <c r="B2757" s="66" t="s">
        <v>16</v>
      </c>
      <c r="C2757" s="125">
        <f>Master!U$52</f>
        <v>48411.8</v>
      </c>
      <c r="D2757" s="125">
        <f>Master!V$52</f>
        <v>48802.5</v>
      </c>
      <c r="E2757" s="125">
        <f>Master!W$52</f>
        <v>48802.5</v>
      </c>
      <c r="F2757" s="125">
        <f>Master!X52</f>
        <v>49290.525000000001</v>
      </c>
      <c r="G2757" s="125">
        <f>Master!Y52</f>
        <v>50276.335500000001</v>
      </c>
      <c r="I2757" s="125">
        <v>50662.049500000001</v>
      </c>
      <c r="J2757" s="125">
        <v>54715.013460000002</v>
      </c>
      <c r="K2757" s="125">
        <v>57997.914267600005</v>
      </c>
      <c r="L2757" s="125">
        <v>60897.809980980004</v>
      </c>
      <c r="M2757" s="125">
        <v>63942.700480029009</v>
      </c>
      <c r="O2757" s="116">
        <f t="shared" si="161"/>
        <v>-4.4416866712034597E-2</v>
      </c>
      <c r="P2757" s="116">
        <f t="shared" si="162"/>
        <v>-0.10806016641707328</v>
      </c>
      <c r="Q2757" s="116">
        <f t="shared" si="163"/>
        <v>-0.15854732680855965</v>
      </c>
      <c r="R2757" s="116">
        <f t="shared" si="164"/>
        <v>-0.1906026667396622</v>
      </c>
      <c r="S2757" s="116">
        <f t="shared" si="165"/>
        <v>-0.21372830483281469</v>
      </c>
    </row>
    <row r="2758" spans="2:19" ht="15.75">
      <c r="B2758" s="185" t="s">
        <v>44</v>
      </c>
      <c r="C2758" s="186">
        <f>C2759-C2756-C2757</f>
        <v>6775.8000000000029</v>
      </c>
      <c r="D2758" s="186">
        <f t="shared" ref="D2758:E2758" si="166">D2759-D2756-D2757</f>
        <v>7380.2000000000116</v>
      </c>
      <c r="E2758" s="186">
        <f t="shared" si="166"/>
        <v>-170</v>
      </c>
      <c r="F2758" s="186">
        <f t="shared" ref="F2758:G2758" si="167">F2759-F2756-F2757</f>
        <v>-168.12726863155694</v>
      </c>
      <c r="G2758" s="186">
        <f t="shared" si="167"/>
        <v>-168.55954803015629</v>
      </c>
      <c r="H2758" s="190"/>
      <c r="I2758" s="186">
        <v>1203.5733891986165</v>
      </c>
      <c r="J2758" s="186">
        <v>1218.1725866873312</v>
      </c>
      <c r="K2758" s="186">
        <v>1094.1577105953038</v>
      </c>
      <c r="L2758" s="186">
        <v>981.57272436901258</v>
      </c>
      <c r="M2758" s="186">
        <v>861.1944645575204</v>
      </c>
      <c r="N2758" s="190"/>
      <c r="O2758" s="681">
        <f t="shared" si="161"/>
        <v>4.6297356362386681</v>
      </c>
      <c r="P2758" s="681">
        <f t="shared" si="162"/>
        <v>5.0584190455882343</v>
      </c>
      <c r="Q2758" s="681">
        <f t="shared" si="163"/>
        <v>-1.1553706548460068</v>
      </c>
      <c r="R2758" s="681">
        <f t="shared" si="164"/>
        <v>-1.1712835579652385</v>
      </c>
      <c r="S2758" s="681">
        <f t="shared" si="165"/>
        <v>-1.1957276259511977</v>
      </c>
    </row>
    <row r="2759" spans="2:19" ht="15.75">
      <c r="B2759" s="74" t="s">
        <v>1084</v>
      </c>
      <c r="C2759" s="470">
        <f>Master!U$56</f>
        <v>75526.600000000006</v>
      </c>
      <c r="D2759" s="470">
        <f>Master!V$56</f>
        <v>73767.900000000009</v>
      </c>
      <c r="E2759" s="470">
        <f>Master!W$56</f>
        <v>64302.151064570928</v>
      </c>
      <c r="F2759" s="470">
        <f>Master!X56</f>
        <v>63593.794268350568</v>
      </c>
      <c r="G2759" s="470">
        <f>Master!Y56</f>
        <v>63757.303063595296</v>
      </c>
      <c r="I2759" s="470">
        <v>73138.263011466115</v>
      </c>
      <c r="J2759" s="470">
        <v>77079.357732798569</v>
      </c>
      <c r="K2759" s="470">
        <v>79730.887819346506</v>
      </c>
      <c r="L2759" s="470">
        <v>82233.972863581832</v>
      </c>
      <c r="M2759" s="470">
        <v>84854.159096563701</v>
      </c>
      <c r="O2759" s="127">
        <f t="shared" si="161"/>
        <v>3.2655095844420945E-2</v>
      </c>
      <c r="P2759" s="127">
        <f t="shared" si="162"/>
        <v>-4.2961667432128592E-2</v>
      </c>
      <c r="Q2759" s="127">
        <f t="shared" si="163"/>
        <v>-0.19351015869450572</v>
      </c>
      <c r="R2759" s="127">
        <f t="shared" si="164"/>
        <v>-0.22667248031605514</v>
      </c>
      <c r="S2759" s="127">
        <f t="shared" si="165"/>
        <v>-0.24862489072527683</v>
      </c>
    </row>
    <row r="2760" spans="2:19" ht="15.75">
      <c r="B2760" s="183"/>
      <c r="C2760" s="183"/>
      <c r="D2760" s="183"/>
      <c r="E2760" s="183"/>
      <c r="F2760" s="183"/>
      <c r="G2760" s="183"/>
      <c r="H2760" s="190"/>
      <c r="I2760" s="183"/>
      <c r="J2760" s="183"/>
      <c r="K2760" s="183"/>
      <c r="L2760" s="183"/>
      <c r="M2760" s="183"/>
      <c r="N2760" s="190"/>
      <c r="O2760" s="183"/>
      <c r="P2760" s="183"/>
      <c r="Q2760" s="183"/>
      <c r="R2760" s="183"/>
      <c r="S2760" s="183"/>
    </row>
    <row r="2761" spans="2:19" ht="15.75">
      <c r="B2761" s="74" t="s">
        <v>57</v>
      </c>
      <c r="C2761" s="66"/>
      <c r="D2761" s="66"/>
      <c r="E2761" s="66"/>
      <c r="F2761" s="66"/>
      <c r="G2761" s="66"/>
      <c r="I2761" s="66"/>
      <c r="J2761" s="66"/>
      <c r="K2761" s="66"/>
      <c r="L2761" s="66"/>
      <c r="M2761" s="66"/>
      <c r="O2761" s="66"/>
      <c r="P2761" s="66"/>
      <c r="Q2761" s="66"/>
      <c r="R2761" s="66"/>
      <c r="S2761" s="66"/>
    </row>
    <row r="2762" spans="2:19" ht="15.75">
      <c r="B2762" s="183" t="s">
        <v>87</v>
      </c>
      <c r="C2762" s="184">
        <f>Master!U$67</f>
        <v>6416.33</v>
      </c>
      <c r="D2762" s="184">
        <f>Master!V$67</f>
        <v>5731.4</v>
      </c>
      <c r="E2762" s="184">
        <f>Master!W$67</f>
        <v>4922.7495535325561</v>
      </c>
      <c r="F2762" s="184">
        <f>Master!X67</f>
        <v>4929.4109901492266</v>
      </c>
      <c r="G2762" s="184">
        <f>Master!Y67</f>
        <v>4593.9127511233182</v>
      </c>
      <c r="H2762" s="190"/>
      <c r="I2762" s="184">
        <v>8309.6054467410122</v>
      </c>
      <c r="J2762" s="184">
        <v>8073.4607401056073</v>
      </c>
      <c r="K2762" s="184">
        <v>7814.9923010319917</v>
      </c>
      <c r="L2762" s="184">
        <v>7673.8422334967863</v>
      </c>
      <c r="M2762" s="184">
        <v>7525.1742183061078</v>
      </c>
      <c r="N2762" s="190"/>
      <c r="O2762" s="189">
        <f t="shared" ref="O2762:O2765" si="168">C2762/I2762-1</f>
        <v>-0.22784179813056538</v>
      </c>
      <c r="P2762" s="189">
        <f t="shared" ref="P2762:P2765" si="169">D2762/J2762-1</f>
        <v>-0.29009377954502469</v>
      </c>
      <c r="Q2762" s="189">
        <f t="shared" ref="Q2762:Q2765" si="170">E2762/K2762-1</f>
        <v>-0.3700890079082364</v>
      </c>
      <c r="R2762" s="189">
        <f t="shared" ref="R2762:R2765" si="171">F2762/L2762-1</f>
        <v>-0.35763456686247097</v>
      </c>
      <c r="S2762" s="189">
        <f t="shared" ref="S2762:S2765" si="172">G2762/M2762-1</f>
        <v>-0.38952738928649111</v>
      </c>
    </row>
    <row r="2763" spans="2:19" ht="15.75">
      <c r="B2763" s="66" t="s">
        <v>16</v>
      </c>
      <c r="C2763" s="125">
        <f>Master!U$68</f>
        <v>19902.8</v>
      </c>
      <c r="D2763" s="125">
        <f>Master!V$68</f>
        <v>18821</v>
      </c>
      <c r="E2763" s="125">
        <f>Master!W$68</f>
        <v>18178.931250000001</v>
      </c>
      <c r="F2763" s="125">
        <f>Master!X68</f>
        <v>18237.49425</v>
      </c>
      <c r="G2763" s="125">
        <f>Master!Y68</f>
        <v>18602.244135000001</v>
      </c>
      <c r="I2763" s="125">
        <v>21024.750542499998</v>
      </c>
      <c r="J2763" s="125">
        <v>22433.155518600001</v>
      </c>
      <c r="K2763" s="125">
        <v>23779.144849716002</v>
      </c>
      <c r="L2763" s="125">
        <v>24968.1020922018</v>
      </c>
      <c r="M2763" s="125">
        <v>26216.507196811894</v>
      </c>
      <c r="O2763" s="116">
        <f t="shared" si="168"/>
        <v>-5.3363322443805372E-2</v>
      </c>
      <c r="P2763" s="116">
        <f t="shared" si="169"/>
        <v>-0.16101860995904271</v>
      </c>
      <c r="Q2763" s="116">
        <f t="shared" si="170"/>
        <v>-0.23550946155167918</v>
      </c>
      <c r="R2763" s="116">
        <f t="shared" si="171"/>
        <v>-0.26956826022847558</v>
      </c>
      <c r="S2763" s="116">
        <f t="shared" si="172"/>
        <v>-0.29043773850766208</v>
      </c>
    </row>
    <row r="2764" spans="2:19" ht="15.75">
      <c r="B2764" s="185" t="s">
        <v>44</v>
      </c>
      <c r="C2764" s="186">
        <f>C2765-C2762-C2763</f>
        <v>-783.10000000000218</v>
      </c>
      <c r="D2764" s="186">
        <f t="shared" ref="D2764:E2764" si="173">D2765-D2762-D2763</f>
        <v>-334.29999999999563</v>
      </c>
      <c r="E2764" s="186">
        <f t="shared" si="173"/>
        <v>1261.0800000000017</v>
      </c>
      <c r="F2764" s="186">
        <f t="shared" ref="F2764:G2764" si="174">F2765-F2762-F2763</f>
        <v>-1765</v>
      </c>
      <c r="G2764" s="186">
        <f t="shared" si="174"/>
        <v>-1780.3000000000029</v>
      </c>
      <c r="H2764" s="190"/>
      <c r="I2764" s="186">
        <v>-2736.552499999998</v>
      </c>
      <c r="J2764" s="186">
        <v>-2278.1007874999959</v>
      </c>
      <c r="K2764" s="186">
        <v>-2120.0722993124982</v>
      </c>
      <c r="L2764" s="186">
        <v>-2162.4753838021861</v>
      </c>
      <c r="M2764" s="186">
        <v>-2205.3184945592184</v>
      </c>
      <c r="N2764" s="190"/>
      <c r="O2764" s="681">
        <f t="shared" si="168"/>
        <v>-0.71383702669691051</v>
      </c>
      <c r="P2764" s="681">
        <f t="shared" si="169"/>
        <v>-0.85325495613086599</v>
      </c>
      <c r="Q2764" s="681">
        <f t="shared" si="170"/>
        <v>-1.594828770890949</v>
      </c>
      <c r="R2764" s="681">
        <f t="shared" si="171"/>
        <v>-0.18380573798871291</v>
      </c>
      <c r="S2764" s="681">
        <f t="shared" si="172"/>
        <v>-0.19272431424657543</v>
      </c>
    </row>
    <row r="2765" spans="2:19" ht="15.75">
      <c r="B2765" s="74" t="s">
        <v>1084</v>
      </c>
      <c r="C2765" s="470">
        <f>Master!U$73</f>
        <v>25536.03</v>
      </c>
      <c r="D2765" s="470">
        <f>Master!V$73</f>
        <v>24218.100000000002</v>
      </c>
      <c r="E2765" s="470">
        <f>Master!W$73</f>
        <v>24362.760803532561</v>
      </c>
      <c r="F2765" s="470">
        <f>Master!X73</f>
        <v>21401.905240149226</v>
      </c>
      <c r="G2765" s="470">
        <f>Master!Y73</f>
        <v>21415.856886123318</v>
      </c>
      <c r="I2765" s="470">
        <v>26597.803489241014</v>
      </c>
      <c r="J2765" s="470">
        <v>28228.51547120561</v>
      </c>
      <c r="K2765" s="470">
        <v>29474.064851435494</v>
      </c>
      <c r="L2765" s="470">
        <v>30479.468941896401</v>
      </c>
      <c r="M2765" s="470">
        <v>31536.362920558782</v>
      </c>
      <c r="O2765" s="127">
        <f t="shared" si="168"/>
        <v>-3.9919592972047835E-2</v>
      </c>
      <c r="P2765" s="127">
        <f t="shared" si="169"/>
        <v>-0.14206965560397311</v>
      </c>
      <c r="Q2765" s="127">
        <f t="shared" si="170"/>
        <v>-0.17341700487077516</v>
      </c>
      <c r="R2765" s="127">
        <f t="shared" si="171"/>
        <v>-0.29782552048567212</v>
      </c>
      <c r="S2765" s="127">
        <f t="shared" si="172"/>
        <v>-0.32091544798394722</v>
      </c>
    </row>
    <row r="2766" spans="2:19" ht="15.75">
      <c r="B2766" s="183"/>
      <c r="C2766" s="183"/>
      <c r="D2766" s="183"/>
      <c r="E2766" s="183"/>
      <c r="F2766" s="183"/>
      <c r="G2766" s="183"/>
      <c r="H2766" s="190"/>
      <c r="I2766" s="183"/>
      <c r="J2766" s="183"/>
      <c r="K2766" s="183"/>
      <c r="L2766" s="183"/>
      <c r="M2766" s="183"/>
      <c r="N2766" s="190"/>
      <c r="O2766" s="183"/>
      <c r="P2766" s="183"/>
      <c r="Q2766" s="183"/>
      <c r="R2766" s="183"/>
      <c r="S2766" s="183"/>
    </row>
    <row r="2767" spans="2:19" ht="15.75">
      <c r="B2767" s="74" t="s">
        <v>201</v>
      </c>
      <c r="C2767" s="66"/>
      <c r="D2767" s="66"/>
      <c r="E2767" s="66"/>
      <c r="F2767" s="66"/>
      <c r="G2767" s="66"/>
      <c r="I2767" s="66"/>
      <c r="J2767" s="66"/>
      <c r="K2767" s="66"/>
      <c r="L2767" s="66"/>
      <c r="M2767" s="66"/>
      <c r="O2767" s="66"/>
      <c r="P2767" s="66"/>
      <c r="Q2767" s="66"/>
      <c r="R2767" s="66"/>
      <c r="S2767" s="66"/>
    </row>
    <row r="2768" spans="2:19" ht="15.75">
      <c r="B2768" s="183" t="s">
        <v>87</v>
      </c>
      <c r="C2768" s="184">
        <f>Master!U$88</f>
        <v>3883.241</v>
      </c>
      <c r="D2768" s="184">
        <f>Master!V$88</f>
        <v>2640.8399999999997</v>
      </c>
      <c r="E2768" s="184">
        <f>Master!W$88</f>
        <v>2251.9050200465481</v>
      </c>
      <c r="F2768" s="184">
        <f>Master!X88</f>
        <v>1941.688477155318</v>
      </c>
      <c r="G2768" s="184">
        <f>Master!Y88</f>
        <v>1829.6112633518183</v>
      </c>
      <c r="H2768" s="190"/>
      <c r="I2768" s="184">
        <v>4221.9616244535</v>
      </c>
      <c r="J2768" s="184">
        <v>3776.6180603611356</v>
      </c>
      <c r="K2768" s="184">
        <v>3042.962852995704</v>
      </c>
      <c r="L2768" s="184">
        <v>2623.4029237349223</v>
      </c>
      <c r="M2768" s="184">
        <v>2378.7451412768041</v>
      </c>
      <c r="N2768" s="190"/>
      <c r="O2768" s="189">
        <f t="shared" ref="O2768:O2769" si="175">C2768/I2768-1</f>
        <v>-8.0228257521726021E-2</v>
      </c>
      <c r="P2768" s="189">
        <f t="shared" ref="P2768:P2769" si="176">D2768/J2768-1</f>
        <v>-0.30073945583274797</v>
      </c>
      <c r="Q2768" s="189">
        <f t="shared" ref="Q2768:Q2769" si="177">E2768/K2768-1</f>
        <v>-0.25996302655169901</v>
      </c>
      <c r="R2768" s="189">
        <f t="shared" ref="R2768:R2769" si="178">F2768/L2768-1</f>
        <v>-0.25985884227385547</v>
      </c>
      <c r="S2768" s="189">
        <f t="shared" ref="S2768:S2769" si="179">G2768/M2768-1</f>
        <v>-0.23085023628476453</v>
      </c>
    </row>
    <row r="2769" spans="2:27" ht="15.75">
      <c r="B2769" s="66" t="s">
        <v>16</v>
      </c>
      <c r="C2769" s="125">
        <f>Master!U$89</f>
        <v>12989.048999999999</v>
      </c>
      <c r="D2769" s="125">
        <f>Master!V$89</f>
        <v>11204.1</v>
      </c>
      <c r="E2769" s="125">
        <f>Master!W$89</f>
        <v>10614.543750000001</v>
      </c>
      <c r="F2769" s="125">
        <f>Master!X89</f>
        <v>10351.010249999999</v>
      </c>
      <c r="G2769" s="125">
        <f>Master!Y89</f>
        <v>10683.721293750001</v>
      </c>
      <c r="I2769" s="125">
        <v>12792.167498750001</v>
      </c>
      <c r="J2769" s="125">
        <v>12858.0281631</v>
      </c>
      <c r="K2769" s="125">
        <v>12759.541138872</v>
      </c>
      <c r="L2769" s="125">
        <v>13397.518195815601</v>
      </c>
      <c r="M2769" s="125">
        <v>14067.394105606381</v>
      </c>
      <c r="O2769" s="116">
        <f t="shared" si="175"/>
        <v>1.5390785124509643E-2</v>
      </c>
      <c r="P2769" s="116">
        <f t="shared" si="176"/>
        <v>-0.12863000003736547</v>
      </c>
      <c r="Q2769" s="116">
        <f t="shared" si="177"/>
        <v>-0.16810928900391686</v>
      </c>
      <c r="R2769" s="116">
        <f t="shared" si="178"/>
        <v>-0.22739345461513216</v>
      </c>
      <c r="S2769" s="116">
        <f t="shared" si="179"/>
        <v>-0.24053302171351409</v>
      </c>
    </row>
    <row r="2770" spans="2:27" ht="15.75">
      <c r="B2770" s="185" t="s">
        <v>44</v>
      </c>
      <c r="C2770" s="186"/>
      <c r="D2770" s="186"/>
      <c r="E2770" s="186"/>
      <c r="F2770" s="186"/>
      <c r="G2770" s="186"/>
      <c r="H2770" s="190"/>
      <c r="I2770" s="186"/>
      <c r="J2770" s="186"/>
      <c r="K2770" s="186"/>
      <c r="L2770" s="186"/>
      <c r="M2770" s="186"/>
      <c r="N2770" s="190"/>
      <c r="O2770" s="681"/>
      <c r="P2770" s="681"/>
      <c r="Q2770" s="681"/>
      <c r="R2770" s="681"/>
      <c r="S2770" s="681"/>
    </row>
    <row r="2771" spans="2:27" ht="15.75">
      <c r="B2771" s="74" t="s">
        <v>1084</v>
      </c>
      <c r="C2771" s="470">
        <f>Master!U$90</f>
        <v>17214.16</v>
      </c>
      <c r="D2771" s="470">
        <f>Master!V$90</f>
        <v>14664.45</v>
      </c>
      <c r="E2771" s="470">
        <f>Master!W$90</f>
        <v>12866.448770046549</v>
      </c>
      <c r="F2771" s="470">
        <f>Master!X90</f>
        <v>12292.698727155317</v>
      </c>
      <c r="G2771" s="470">
        <f>Master!Y90</f>
        <v>12513.332557101819</v>
      </c>
      <c r="I2771" s="470">
        <v>17014.1291232035</v>
      </c>
      <c r="J2771" s="470">
        <v>16634.646223461135</v>
      </c>
      <c r="K2771" s="470">
        <v>15802.503991867705</v>
      </c>
      <c r="L2771" s="470">
        <v>16020.921119550523</v>
      </c>
      <c r="M2771" s="470">
        <v>16446.139246883184</v>
      </c>
      <c r="O2771" s="127">
        <f>C2771/I2771-1</f>
        <v>1.1756750836203755E-2</v>
      </c>
      <c r="P2771" s="127">
        <f>D2771/J2771-1</f>
        <v>-0.11843932218302389</v>
      </c>
      <c r="Q2771" s="127">
        <f>E2771/K2771-1</f>
        <v>-0.18579683468721864</v>
      </c>
      <c r="R2771" s="127">
        <f>F2771/L2771-1</f>
        <v>-0.23270961541940383</v>
      </c>
      <c r="S2771" s="127">
        <f>G2771/M2771-1</f>
        <v>-0.23913251801797164</v>
      </c>
    </row>
    <row r="2772" spans="2:27" ht="15.75">
      <c r="B2772" s="183"/>
      <c r="C2772" s="183"/>
      <c r="D2772" s="183"/>
      <c r="E2772" s="183"/>
      <c r="F2772" s="183"/>
      <c r="G2772" s="183"/>
      <c r="H2772" s="190"/>
      <c r="I2772" s="183"/>
      <c r="J2772" s="183"/>
      <c r="K2772" s="183"/>
      <c r="L2772" s="183"/>
      <c r="M2772" s="183"/>
      <c r="N2772" s="190"/>
      <c r="O2772" s="183"/>
      <c r="P2772" s="183"/>
      <c r="Q2772" s="183"/>
      <c r="R2772" s="183"/>
      <c r="S2772" s="183"/>
    </row>
    <row r="2773" spans="2:27" ht="15.75">
      <c r="B2773" s="74" t="s">
        <v>203</v>
      </c>
      <c r="C2773" s="66"/>
      <c r="D2773" s="66"/>
      <c r="E2773" s="66"/>
      <c r="F2773" s="66"/>
      <c r="G2773" s="66"/>
      <c r="I2773" s="66"/>
      <c r="J2773" s="66"/>
      <c r="K2773" s="66"/>
      <c r="L2773" s="66"/>
      <c r="M2773" s="66"/>
      <c r="O2773" s="66"/>
      <c r="P2773" s="66"/>
      <c r="Q2773" s="66"/>
      <c r="R2773" s="66"/>
      <c r="S2773" s="66"/>
    </row>
    <row r="2774" spans="2:27" ht="15.75">
      <c r="B2774" s="183" t="s">
        <v>87</v>
      </c>
      <c r="C2774" s="184">
        <f t="shared" ref="C2774:E2774" si="180">C2762-C2768</f>
        <v>2533.0889999999999</v>
      </c>
      <c r="D2774" s="184">
        <f t="shared" si="180"/>
        <v>3090.56</v>
      </c>
      <c r="E2774" s="184">
        <f t="shared" si="180"/>
        <v>2670.844533486008</v>
      </c>
      <c r="F2774" s="184">
        <f t="shared" ref="F2774:G2774" si="181">F2762-F2768</f>
        <v>2987.7225129939088</v>
      </c>
      <c r="G2774" s="184">
        <f t="shared" si="181"/>
        <v>2764.3014877715</v>
      </c>
      <c r="H2774" s="190"/>
      <c r="I2774" s="184">
        <v>4087.6438222875122</v>
      </c>
      <c r="J2774" s="184">
        <v>4296.8426797444718</v>
      </c>
      <c r="K2774" s="184">
        <v>4772.0294480362882</v>
      </c>
      <c r="L2774" s="184">
        <v>5050.439309761864</v>
      </c>
      <c r="M2774" s="184">
        <v>5146.4290770293037</v>
      </c>
      <c r="N2774" s="190"/>
      <c r="O2774" s="189">
        <f t="shared" ref="O2774:O2777" si="182">C2774/I2774-1</f>
        <v>-0.38030584118201327</v>
      </c>
      <c r="P2774" s="189">
        <f t="shared" ref="P2774:P2777" si="183">D2774/J2774-1</f>
        <v>-0.28073698984394935</v>
      </c>
      <c r="Q2774" s="189">
        <f t="shared" ref="Q2774:Q2777" si="184">E2774/K2774-1</f>
        <v>-0.44031264631338918</v>
      </c>
      <c r="R2774" s="189">
        <f t="shared" ref="R2774:R2777" si="185">F2774/L2774-1</f>
        <v>-0.4084232420694538</v>
      </c>
      <c r="S2774" s="189">
        <f t="shared" ref="S2774:S2777" si="186">G2774/M2774-1</f>
        <v>-0.4628699926887655</v>
      </c>
    </row>
    <row r="2775" spans="2:27" ht="15.75">
      <c r="B2775" s="66" t="s">
        <v>16</v>
      </c>
      <c r="C2775" s="125">
        <f t="shared" ref="C2775:E2775" si="187">C2763-C2769</f>
        <v>6913.7510000000002</v>
      </c>
      <c r="D2775" s="125">
        <f t="shared" si="187"/>
        <v>7616.9</v>
      </c>
      <c r="E2775" s="125">
        <f t="shared" si="187"/>
        <v>7564.3875000000007</v>
      </c>
      <c r="F2775" s="125">
        <f t="shared" ref="F2775:G2775" si="188">F2763-F2769</f>
        <v>7886.4840000000004</v>
      </c>
      <c r="G2775" s="125">
        <f t="shared" si="188"/>
        <v>7918.5228412500001</v>
      </c>
      <c r="I2775" s="125">
        <v>8232.5830437499972</v>
      </c>
      <c r="J2775" s="125">
        <v>9575.1273555000007</v>
      </c>
      <c r="K2775" s="125">
        <v>11019.603710844001</v>
      </c>
      <c r="L2775" s="125">
        <v>11570.583896386199</v>
      </c>
      <c r="M2775" s="125">
        <v>12149.113091205512</v>
      </c>
      <c r="O2775" s="116">
        <f t="shared" si="182"/>
        <v>-0.16019662804995649</v>
      </c>
      <c r="P2775" s="116">
        <f t="shared" si="183"/>
        <v>-0.20451188613958071</v>
      </c>
      <c r="Q2775" s="116">
        <f t="shared" si="184"/>
        <v>-0.31355176660698292</v>
      </c>
      <c r="R2775" s="116">
        <f t="shared" si="185"/>
        <v>-0.31840224567550479</v>
      </c>
      <c r="S2775" s="116">
        <f t="shared" si="186"/>
        <v>-0.3482221474272017</v>
      </c>
    </row>
    <row r="2776" spans="2:27" ht="15.75">
      <c r="B2776" s="185" t="s">
        <v>44</v>
      </c>
      <c r="C2776" s="186">
        <f t="shared" ref="C2776:E2776" si="189">C2764-C2770</f>
        <v>-783.10000000000218</v>
      </c>
      <c r="D2776" s="186">
        <f t="shared" si="189"/>
        <v>-334.29999999999563</v>
      </c>
      <c r="E2776" s="186">
        <f t="shared" si="189"/>
        <v>1261.0800000000017</v>
      </c>
      <c r="F2776" s="186">
        <f t="shared" ref="F2776:G2776" si="190">F2764-F2770</f>
        <v>-1765</v>
      </c>
      <c r="G2776" s="186">
        <f t="shared" si="190"/>
        <v>-1780.3000000000029</v>
      </c>
      <c r="H2776" s="190"/>
      <c r="I2776" s="186">
        <v>-2736.552499999998</v>
      </c>
      <c r="J2776" s="186">
        <v>-2278.1007874999959</v>
      </c>
      <c r="K2776" s="186">
        <v>-2120.0722993124982</v>
      </c>
      <c r="L2776" s="186">
        <v>-2162.4753838021861</v>
      </c>
      <c r="M2776" s="186">
        <v>-2205.3184945592184</v>
      </c>
      <c r="N2776" s="190"/>
      <c r="O2776" s="681">
        <f t="shared" si="182"/>
        <v>-0.71383702669691051</v>
      </c>
      <c r="P2776" s="681">
        <f t="shared" si="183"/>
        <v>-0.85325495613086599</v>
      </c>
      <c r="Q2776" s="681">
        <f t="shared" si="184"/>
        <v>-1.594828770890949</v>
      </c>
      <c r="R2776" s="681">
        <f t="shared" si="185"/>
        <v>-0.18380573798871291</v>
      </c>
      <c r="S2776" s="681">
        <f t="shared" si="186"/>
        <v>-0.19272431424657543</v>
      </c>
    </row>
    <row r="2777" spans="2:27" ht="15.75">
      <c r="B2777" s="74" t="s">
        <v>1084</v>
      </c>
      <c r="C2777" s="470">
        <f t="shared" ref="C2777:E2777" si="191">C2765-C2771</f>
        <v>8321.869999999999</v>
      </c>
      <c r="D2777" s="470">
        <f t="shared" si="191"/>
        <v>9553.6500000000015</v>
      </c>
      <c r="E2777" s="470">
        <f t="shared" si="191"/>
        <v>11496.312033486012</v>
      </c>
      <c r="F2777" s="470">
        <f t="shared" ref="F2777:G2777" si="192">F2765-F2771</f>
        <v>9109.2065129939092</v>
      </c>
      <c r="G2777" s="470">
        <f t="shared" si="192"/>
        <v>8902.5243290214985</v>
      </c>
      <c r="I2777" s="470">
        <v>9583.6743660375141</v>
      </c>
      <c r="J2777" s="470">
        <v>11593.869247744475</v>
      </c>
      <c r="K2777" s="470">
        <v>13671.56085956779</v>
      </c>
      <c r="L2777" s="470">
        <v>14458.547822345878</v>
      </c>
      <c r="M2777" s="470">
        <v>15090.223673675599</v>
      </c>
      <c r="O2777" s="127">
        <f t="shared" si="182"/>
        <v>-0.13166185722138879</v>
      </c>
      <c r="P2777" s="127">
        <f t="shared" si="183"/>
        <v>-0.17597397418824501</v>
      </c>
      <c r="Q2777" s="127">
        <f t="shared" si="184"/>
        <v>-0.15910756997138842</v>
      </c>
      <c r="R2777" s="127">
        <f t="shared" si="185"/>
        <v>-0.3699777719782128</v>
      </c>
      <c r="S2777" s="127">
        <f t="shared" si="186"/>
        <v>-0.41004689383420734</v>
      </c>
    </row>
    <row r="2778" spans="2:27" ht="15.75">
      <c r="B2778" s="183"/>
      <c r="C2778" s="183"/>
      <c r="D2778" s="183"/>
      <c r="E2778" s="183"/>
      <c r="F2778" s="183"/>
      <c r="G2778" s="183"/>
      <c r="H2778" s="190"/>
      <c r="I2778" s="183"/>
      <c r="J2778" s="183"/>
      <c r="K2778" s="183"/>
      <c r="L2778" s="183"/>
      <c r="M2778" s="183"/>
      <c r="N2778" s="190"/>
      <c r="O2778" s="183"/>
      <c r="P2778" s="183"/>
      <c r="Q2778" s="183"/>
      <c r="R2778" s="183"/>
      <c r="S2778" s="183"/>
    </row>
    <row r="2779" spans="2:27" ht="15.75">
      <c r="B2779" s="217" t="s">
        <v>6870</v>
      </c>
      <c r="C2779" s="682">
        <f>Valuation!R$32</f>
        <v>-693.02896568871233</v>
      </c>
      <c r="D2779" s="682">
        <f>Valuation!S$32</f>
        <v>-239.62627118644056</v>
      </c>
      <c r="E2779" s="682">
        <f ca="1">Valuation!T$32</f>
        <v>137.21416772079357</v>
      </c>
      <c r="F2779" s="682">
        <f ca="1">Valuation!U32</f>
        <v>235.09850515628949</v>
      </c>
      <c r="G2779" s="682">
        <f ca="1">Valuation!V32</f>
        <v>266.08985512702651</v>
      </c>
      <c r="H2779" s="61"/>
      <c r="I2779" s="682">
        <v>290.84548554380831</v>
      </c>
      <c r="J2779" s="682">
        <v>367.57764492950014</v>
      </c>
      <c r="K2779" s="682">
        <v>549.59752110310694</v>
      </c>
      <c r="L2779" s="682">
        <v>641.3361954928497</v>
      </c>
      <c r="M2779" s="682">
        <v>619.62360740360668</v>
      </c>
      <c r="N2779" s="61"/>
      <c r="O2779" s="123">
        <f>C2779/I2779-1</f>
        <v>-3.3828080549124615</v>
      </c>
      <c r="P2779" s="123">
        <f>D2779/J2779-1</f>
        <v>-1.6519065413578127</v>
      </c>
      <c r="Q2779" s="123">
        <f ca="1">E2779/K2779-1</f>
        <v>-0.75033699670735676</v>
      </c>
      <c r="R2779" s="123">
        <f ca="1">F2779/L2779-1</f>
        <v>-0.63342392522283486</v>
      </c>
      <c r="S2779" s="123">
        <f ca="1">G2779/M2779-1</f>
        <v>-0.57056210908100136</v>
      </c>
    </row>
    <row r="2780" spans="2:27" ht="15.75">
      <c r="B2780" s="66"/>
      <c r="C2780" s="66"/>
      <c r="D2780" s="66"/>
      <c r="E2780" s="66"/>
      <c r="F2780" s="66"/>
      <c r="G2780" s="66"/>
    </row>
    <row r="2781" spans="2:27" ht="15.75">
      <c r="B2781" s="66"/>
      <c r="C2781" s="66"/>
      <c r="D2781" s="66"/>
      <c r="E2781" s="66"/>
      <c r="F2781" s="66"/>
      <c r="G2781" s="66"/>
    </row>
    <row r="2782" spans="2:27">
      <c r="B2782" s="564" t="s">
        <v>7119</v>
      </c>
    </row>
    <row r="2784" spans="2:27" ht="15.75">
      <c r="C2784" s="391" t="s">
        <v>1247</v>
      </c>
      <c r="D2784" s="391" t="s">
        <v>1247</v>
      </c>
      <c r="E2784" s="391" t="s">
        <v>1247</v>
      </c>
      <c r="F2784" s="391" t="s">
        <v>1247</v>
      </c>
      <c r="G2784" s="391" t="s">
        <v>1247</v>
      </c>
      <c r="I2784" s="391" t="s">
        <v>1248</v>
      </c>
      <c r="J2784" s="391" t="s">
        <v>1248</v>
      </c>
      <c r="K2784" s="391" t="s">
        <v>1248</v>
      </c>
      <c r="L2784" s="391" t="s">
        <v>1248</v>
      </c>
      <c r="M2784" s="391" t="s">
        <v>1248</v>
      </c>
      <c r="O2784" s="391" t="s">
        <v>6869</v>
      </c>
      <c r="P2784" s="391" t="s">
        <v>6869</v>
      </c>
      <c r="Q2784" s="391" t="s">
        <v>6869</v>
      </c>
      <c r="U2784" s="391" t="s">
        <v>6359</v>
      </c>
      <c r="V2784" s="391" t="s">
        <v>6359</v>
      </c>
      <c r="W2784" s="391" t="s">
        <v>6359</v>
      </c>
      <c r="Y2784" s="391" t="s">
        <v>6869</v>
      </c>
      <c r="Z2784" s="391" t="s">
        <v>6869</v>
      </c>
      <c r="AA2784" s="391" t="s">
        <v>6869</v>
      </c>
    </row>
    <row r="2785" spans="2:27" ht="15.75">
      <c r="B2785" s="680" t="s">
        <v>6739</v>
      </c>
      <c r="C2785" s="680">
        <f>C$2754</f>
        <v>2022</v>
      </c>
      <c r="D2785" s="680">
        <f t="shared" ref="D2785:E2785" si="193">D$2754</f>
        <v>2023</v>
      </c>
      <c r="E2785" s="680">
        <f t="shared" si="193"/>
        <v>2024</v>
      </c>
      <c r="F2785" s="680">
        <f>F2755</f>
        <v>0</v>
      </c>
      <c r="G2785" s="680">
        <f>G2755</f>
        <v>0</v>
      </c>
      <c r="H2785" s="190"/>
      <c r="I2785" s="680">
        <f>I$2754</f>
        <v>2022</v>
      </c>
      <c r="J2785" s="680">
        <f t="shared" ref="J2785:K2785" si="194">J$2754</f>
        <v>2023</v>
      </c>
      <c r="K2785" s="680">
        <f t="shared" si="194"/>
        <v>2024</v>
      </c>
      <c r="L2785" s="680">
        <f>L2755</f>
        <v>0</v>
      </c>
      <c r="M2785" s="680">
        <f>M2755</f>
        <v>0</v>
      </c>
      <c r="N2785" s="190"/>
      <c r="O2785" s="680">
        <f>O$2754</f>
        <v>2022</v>
      </c>
      <c r="P2785" s="680">
        <f t="shared" ref="P2785:Q2785" si="195">P$2754</f>
        <v>2023</v>
      </c>
      <c r="Q2785" s="680">
        <f t="shared" si="195"/>
        <v>2024</v>
      </c>
      <c r="U2785" s="680">
        <f>I2785</f>
        <v>2022</v>
      </c>
      <c r="V2785" s="680">
        <f t="shared" ref="V2785:W2785" si="196">J2785</f>
        <v>2023</v>
      </c>
      <c r="W2785" s="680">
        <f t="shared" si="196"/>
        <v>2024</v>
      </c>
      <c r="X2785" s="190"/>
      <c r="Y2785" s="680">
        <f>U2785</f>
        <v>2022</v>
      </c>
      <c r="Z2785" s="680">
        <f t="shared" ref="Z2785:AA2785" si="197">V2785</f>
        <v>2023</v>
      </c>
      <c r="AA2785" s="680">
        <f t="shared" si="197"/>
        <v>2024</v>
      </c>
    </row>
    <row r="2786" spans="2:27" ht="15.75">
      <c r="B2786" s="74" t="s">
        <v>200</v>
      </c>
      <c r="C2786" s="66"/>
      <c r="D2786" s="66"/>
      <c r="E2786" s="66"/>
      <c r="F2786" s="66"/>
      <c r="G2786" s="66"/>
      <c r="I2786" s="66"/>
      <c r="J2786" s="66"/>
      <c r="K2786" s="66"/>
      <c r="L2786" s="66"/>
      <c r="M2786" s="66"/>
      <c r="O2786" s="66"/>
      <c r="P2786" s="66"/>
      <c r="Q2786" s="66"/>
      <c r="U2786" s="66"/>
      <c r="V2786" s="66"/>
      <c r="W2786" s="66"/>
      <c r="Y2786" s="66"/>
      <c r="Z2786" s="66"/>
      <c r="AA2786" s="66"/>
    </row>
    <row r="2787" spans="2:27" ht="15.75">
      <c r="B2787" s="183" t="s">
        <v>87</v>
      </c>
      <c r="C2787" s="184">
        <f>Master!U$51</f>
        <v>20339</v>
      </c>
      <c r="D2787" s="184">
        <f>Master!V$51</f>
        <v>17585.2</v>
      </c>
      <c r="E2787" s="184">
        <f>Master!W$51</f>
        <v>15669.651064570926</v>
      </c>
      <c r="F2787" s="184">
        <f>Master!X82</f>
        <v>0</v>
      </c>
      <c r="G2787" s="184">
        <f>Master!Y82</f>
        <v>0</v>
      </c>
      <c r="H2787" s="190"/>
      <c r="I2787" s="184">
        <v>21272.640122267498</v>
      </c>
      <c r="J2787" s="184">
        <v>21146.17168611124</v>
      </c>
      <c r="K2787" s="184">
        <v>20638.815841151201</v>
      </c>
      <c r="L2787" s="184">
        <v>20354.590158232815</v>
      </c>
      <c r="M2787" s="184">
        <v>20050.264151977171</v>
      </c>
      <c r="N2787" s="190"/>
      <c r="O2787" s="189">
        <f t="shared" ref="O2787:O2790" si="198">C2787/I2787-1</f>
        <v>-4.3889245382861208E-2</v>
      </c>
      <c r="P2787" s="189">
        <f t="shared" ref="P2787:P2790" si="199">D2787/J2787-1</f>
        <v>-0.1683979369395775</v>
      </c>
      <c r="Q2787" s="189">
        <f t="shared" ref="Q2787:Q2790" si="200">E2787/K2787-1</f>
        <v>-0.24076792073857189</v>
      </c>
      <c r="U2787" s="184">
        <v>21410.243386883849</v>
      </c>
      <c r="V2787" s="184">
        <v>21641.039744294649</v>
      </c>
      <c r="W2787" s="184">
        <v>22291.221882654299</v>
      </c>
      <c r="X2787" s="190"/>
      <c r="Y2787" s="189">
        <f>C2787/U2787-1</f>
        <v>-5.0034152696279199E-2</v>
      </c>
      <c r="Z2787" s="189">
        <f t="shared" ref="Z2787:Z2789" si="201">D2787/V2787-1</f>
        <v>-0.18741427363091057</v>
      </c>
      <c r="AA2787" s="189">
        <f t="shared" ref="AA2787:AA2789" si="202">E2787/W2787-1</f>
        <v>-0.29704835620679393</v>
      </c>
    </row>
    <row r="2788" spans="2:27" ht="15.75">
      <c r="B2788" s="66" t="s">
        <v>16</v>
      </c>
      <c r="C2788" s="125">
        <f>Master!U$52</f>
        <v>48411.8</v>
      </c>
      <c r="D2788" s="125">
        <f>Master!V$52</f>
        <v>48802.5</v>
      </c>
      <c r="E2788" s="125">
        <f>Master!W$52</f>
        <v>48802.5</v>
      </c>
      <c r="F2788" s="125">
        <f>Master!X83</f>
        <v>0.36429506222557567</v>
      </c>
      <c r="G2788" s="125">
        <f>Master!Y83</f>
        <v>0.36381960609259306</v>
      </c>
      <c r="I2788" s="125">
        <v>49221.422500000001</v>
      </c>
      <c r="J2788" s="125">
        <v>51682.493625000003</v>
      </c>
      <c r="K2788" s="125">
        <v>54783.443242500005</v>
      </c>
      <c r="L2788" s="125">
        <v>60897.809980980004</v>
      </c>
      <c r="M2788" s="125">
        <v>63942.700480029009</v>
      </c>
      <c r="O2788" s="116">
        <f t="shared" si="198"/>
        <v>-1.6448579884094094E-2</v>
      </c>
      <c r="P2788" s="116">
        <f t="shared" si="199"/>
        <v>-5.5724742035413E-2</v>
      </c>
      <c r="Q2788" s="116">
        <f t="shared" si="200"/>
        <v>-0.10917428493906889</v>
      </c>
      <c r="U2788" s="125">
        <v>49671.342522528699</v>
      </c>
      <c r="V2788" s="125">
        <v>53212.297921591351</v>
      </c>
      <c r="W2788" s="125">
        <v>56726.832902245253</v>
      </c>
      <c r="Y2788" s="116">
        <f t="shared" ref="Y2788:Y2789" si="203">C2788/U2788-1</f>
        <v>-2.5357529282753366E-2</v>
      </c>
      <c r="Z2788" s="116">
        <f t="shared" si="201"/>
        <v>-8.2871781408298095E-2</v>
      </c>
      <c r="AA2788" s="116">
        <f t="shared" si="202"/>
        <v>-0.13969284898913525</v>
      </c>
    </row>
    <row r="2789" spans="2:27" ht="15.75">
      <c r="B2789" s="185" t="s">
        <v>44</v>
      </c>
      <c r="C2789" s="186">
        <f>C2790-C2787-C2788</f>
        <v>6775.8000000000029</v>
      </c>
      <c r="D2789" s="186">
        <f t="shared" ref="D2789" si="204">D2790-D2787-D2788</f>
        <v>7380.2000000000116</v>
      </c>
      <c r="E2789" s="186">
        <f t="shared" ref="E2789" si="205">E2790-E2787-E2788</f>
        <v>-170</v>
      </c>
      <c r="F2789" s="186">
        <f t="shared" ref="F2789:G2789" si="206">F2790-F2787-F2788</f>
        <v>-0.36429506222557567</v>
      </c>
      <c r="G2789" s="186">
        <f t="shared" si="206"/>
        <v>-0.36381960609259306</v>
      </c>
      <c r="H2789" s="190"/>
      <c r="I2789" s="186">
        <v>5899.9999999999927</v>
      </c>
      <c r="J2789" s="186">
        <v>5968.5427718050341</v>
      </c>
      <c r="K2789" s="186">
        <v>6004.1267755090448</v>
      </c>
      <c r="L2789" s="186">
        <v>981.57272436901258</v>
      </c>
      <c r="M2789" s="186">
        <v>861.1944645575204</v>
      </c>
      <c r="N2789" s="190"/>
      <c r="O2789" s="681">
        <f t="shared" si="198"/>
        <v>0.14844067796610361</v>
      </c>
      <c r="P2789" s="681">
        <f t="shared" si="199"/>
        <v>0.23651622886302248</v>
      </c>
      <c r="Q2789" s="681">
        <f t="shared" si="200"/>
        <v>-1.0283138591765639</v>
      </c>
      <c r="U2789" s="186">
        <v>6450.7275</v>
      </c>
      <c r="V2789" s="186">
        <v>6773.2638749999996</v>
      </c>
      <c r="W2789" s="186">
        <v>7076.0561287500004</v>
      </c>
      <c r="X2789" s="190"/>
      <c r="Y2789" s="681">
        <f t="shared" si="203"/>
        <v>5.0393153330380525E-2</v>
      </c>
      <c r="Z2789" s="681">
        <f t="shared" si="201"/>
        <v>8.9607630265255533E-2</v>
      </c>
      <c r="AA2789" s="681">
        <f t="shared" si="202"/>
        <v>-1.0240246822392054</v>
      </c>
    </row>
    <row r="2790" spans="2:27" ht="15.75">
      <c r="B2790" s="74" t="s">
        <v>1084</v>
      </c>
      <c r="C2790" s="470">
        <f>Master!U$56</f>
        <v>75526.600000000006</v>
      </c>
      <c r="D2790" s="470">
        <f>Master!V$56</f>
        <v>73767.900000000009</v>
      </c>
      <c r="E2790" s="470">
        <f>Master!W$56</f>
        <v>64302.151064570928</v>
      </c>
      <c r="F2790" s="470">
        <f>Master!X87</f>
        <v>0</v>
      </c>
      <c r="G2790" s="470">
        <f>Master!Y87</f>
        <v>0</v>
      </c>
      <c r="I2790" s="470">
        <v>76394.062622267491</v>
      </c>
      <c r="J2790" s="470">
        <v>78797.208082916273</v>
      </c>
      <c r="K2790" s="470">
        <v>81426.385859160247</v>
      </c>
      <c r="L2790" s="470">
        <v>82233.972863581832</v>
      </c>
      <c r="M2790" s="470">
        <v>84854.159096563701</v>
      </c>
      <c r="O2790" s="127">
        <f t="shared" si="198"/>
        <v>-1.1355105259379661E-2</v>
      </c>
      <c r="P2790" s="127">
        <f t="shared" si="199"/>
        <v>-6.3825968016837042E-2</v>
      </c>
      <c r="Q2790" s="127">
        <f t="shared" si="200"/>
        <v>-0.21030326489264028</v>
      </c>
      <c r="U2790" s="470">
        <v>76286.855545129205</v>
      </c>
      <c r="V2790" s="470">
        <v>80282.497654927196</v>
      </c>
      <c r="W2790" s="470">
        <v>84710.580305988857</v>
      </c>
      <c r="Y2790" s="127">
        <f t="shared" ref="Y2790" si="207">C2790/U2790-1</f>
        <v>-9.9657475681305119E-3</v>
      </c>
      <c r="Z2790" s="127">
        <f t="shared" ref="Z2790" si="208">D2790/V2790-1</f>
        <v>-8.1145926512257271E-2</v>
      </c>
      <c r="AA2790" s="127">
        <f t="shared" ref="AA2790" si="209">E2790/W2790-1</f>
        <v>-0.24091948334787994</v>
      </c>
    </row>
    <row r="2791" spans="2:27" ht="15.75">
      <c r="B2791" s="183"/>
      <c r="C2791" s="183"/>
      <c r="D2791" s="183"/>
      <c r="E2791" s="183"/>
      <c r="F2791" s="183"/>
      <c r="G2791" s="183"/>
      <c r="H2791" s="190"/>
      <c r="I2791" s="183"/>
      <c r="J2791" s="183"/>
      <c r="K2791" s="183"/>
      <c r="L2791" s="183"/>
      <c r="M2791" s="183"/>
      <c r="N2791" s="190"/>
      <c r="O2791" s="183"/>
      <c r="P2791" s="183"/>
      <c r="Q2791" s="183"/>
      <c r="U2791" s="183"/>
      <c r="V2791" s="183"/>
      <c r="W2791" s="183"/>
      <c r="X2791" s="190"/>
      <c r="Y2791" s="183"/>
      <c r="Z2791" s="183"/>
      <c r="AA2791" s="183"/>
    </row>
    <row r="2792" spans="2:27" ht="15.75">
      <c r="B2792" s="74" t="s">
        <v>57</v>
      </c>
      <c r="C2792" s="66"/>
      <c r="D2792" s="66"/>
      <c r="E2792" s="66"/>
      <c r="F2792" s="66"/>
      <c r="G2792" s="66"/>
      <c r="I2792" s="66"/>
      <c r="J2792" s="66"/>
      <c r="K2792" s="66"/>
      <c r="L2792" s="66"/>
      <c r="M2792" s="66"/>
      <c r="O2792" s="66"/>
      <c r="P2792" s="66"/>
      <c r="Q2792" s="66"/>
      <c r="U2792" s="66"/>
      <c r="V2792" s="66"/>
      <c r="W2792" s="66"/>
      <c r="Y2792" s="66"/>
      <c r="Z2792" s="66"/>
      <c r="AA2792" s="66"/>
    </row>
    <row r="2793" spans="2:27" ht="15.75">
      <c r="B2793" s="183" t="s">
        <v>87</v>
      </c>
      <c r="C2793" s="184">
        <f>Master!U$67</f>
        <v>6416.33</v>
      </c>
      <c r="D2793" s="184">
        <f>Master!V$67</f>
        <v>5731.4</v>
      </c>
      <c r="E2793" s="184">
        <f>Master!W$67</f>
        <v>4922.7495535325561</v>
      </c>
      <c r="F2793" s="184">
        <f>Master!X98</f>
        <v>711.75373326126555</v>
      </c>
      <c r="G2793" s="184">
        <f>Master!Y98</f>
        <v>710.32210614312214</v>
      </c>
      <c r="H2793" s="190"/>
      <c r="I2793" s="184">
        <v>7850.6102436843248</v>
      </c>
      <c r="J2793" s="184">
        <v>7897.8492632444959</v>
      </c>
      <c r="K2793" s="184">
        <v>7648.9356626204799</v>
      </c>
      <c r="L2793" s="184">
        <v>7673.8422334967863</v>
      </c>
      <c r="M2793" s="184">
        <v>7525.1742183061078</v>
      </c>
      <c r="N2793" s="190"/>
      <c r="O2793" s="189">
        <f t="shared" ref="O2793:O2796" si="210">C2793/I2793-1</f>
        <v>-0.18269665658643253</v>
      </c>
      <c r="P2793" s="189">
        <f t="shared" ref="P2793:P2796" si="211">D2793/J2793-1</f>
        <v>-0.27430876318782804</v>
      </c>
      <c r="Q2793" s="189">
        <f t="shared" ref="Q2793:Q2796" si="212">E2793/K2793-1</f>
        <v>-0.3564137847845289</v>
      </c>
      <c r="U2793" s="184">
        <v>7868.6041143876446</v>
      </c>
      <c r="V2793" s="184">
        <v>8522.4995344598447</v>
      </c>
      <c r="W2793" s="184">
        <v>9004.5869710134757</v>
      </c>
      <c r="X2793" s="190"/>
      <c r="Y2793" s="189">
        <f>C2793/U2793-1</f>
        <v>-0.18456566034783473</v>
      </c>
      <c r="Z2793" s="189">
        <f t="shared" ref="Z2793:Z2795" si="213">D2793/V2793-1</f>
        <v>-0.32749776320600821</v>
      </c>
      <c r="AA2793" s="189">
        <f t="shared" ref="AA2793:AA2795" si="214">E2793/W2793-1</f>
        <v>-0.45330645710021999</v>
      </c>
    </row>
    <row r="2794" spans="2:27" ht="15.75">
      <c r="B2794" s="66" t="s">
        <v>16</v>
      </c>
      <c r="C2794" s="125">
        <f>Master!U$68</f>
        <v>19902.8</v>
      </c>
      <c r="D2794" s="125">
        <f>Master!V$68</f>
        <v>18821</v>
      </c>
      <c r="E2794" s="125">
        <f>Master!W$68</f>
        <v>18178.931250000001</v>
      </c>
      <c r="F2794" s="125">
        <f>Master!X99</f>
        <v>711.75373326126555</v>
      </c>
      <c r="G2794" s="125">
        <f>Master!Y99</f>
        <v>710.32210614312214</v>
      </c>
      <c r="I2794" s="125">
        <v>20796.05100625</v>
      </c>
      <c r="J2794" s="125">
        <v>21784.171062937501</v>
      </c>
      <c r="K2794" s="125">
        <v>23036.437883471252</v>
      </c>
      <c r="L2794" s="125">
        <v>24968.1020922018</v>
      </c>
      <c r="M2794" s="125">
        <v>26216.507196811894</v>
      </c>
      <c r="O2794" s="116">
        <f t="shared" si="210"/>
        <v>-4.2952914761631655E-2</v>
      </c>
      <c r="P2794" s="116">
        <f t="shared" si="211"/>
        <v>-0.13602404490749209</v>
      </c>
      <c r="Q2794" s="116">
        <f t="shared" si="212"/>
        <v>-0.21086188142640461</v>
      </c>
      <c r="U2794" s="125">
        <v>21017.0902427687</v>
      </c>
      <c r="V2794" s="125">
        <v>22910.858889366649</v>
      </c>
      <c r="W2794" s="125">
        <v>24688.04111693905</v>
      </c>
      <c r="Y2794" s="116">
        <f t="shared" ref="Y2794:Y2795" si="215">C2794/U2794-1</f>
        <v>-5.3018292727371796E-2</v>
      </c>
      <c r="Z2794" s="116">
        <f t="shared" si="213"/>
        <v>-0.17851181001620275</v>
      </c>
      <c r="AA2794" s="116">
        <f t="shared" si="214"/>
        <v>-0.26365436755826666</v>
      </c>
    </row>
    <row r="2795" spans="2:27" ht="15.75">
      <c r="B2795" s="185" t="s">
        <v>44</v>
      </c>
      <c r="C2795" s="186">
        <f>C2796-C2793-C2794</f>
        <v>-783.10000000000218</v>
      </c>
      <c r="D2795" s="186">
        <f t="shared" ref="D2795" si="216">D2796-D2793-D2794</f>
        <v>-334.29999999999563</v>
      </c>
      <c r="E2795" s="186">
        <f t="shared" ref="E2795" si="217">E2796-E2793-E2794</f>
        <v>1261.0800000000017</v>
      </c>
      <c r="F2795" s="186">
        <f t="shared" ref="F2795:G2795" si="218">F2796-F2793-F2794</f>
        <v>-1423.3141662348444</v>
      </c>
      <c r="G2795" s="186">
        <f t="shared" si="218"/>
        <v>-1420.4479472004296</v>
      </c>
      <c r="H2795" s="190"/>
      <c r="I2795" s="186">
        <v>-1042.4500000000007</v>
      </c>
      <c r="J2795" s="186">
        <v>-1080.5867499999949</v>
      </c>
      <c r="K2795" s="186">
        <v>-1118.9205512499975</v>
      </c>
      <c r="L2795" s="186">
        <v>-2162.4753838021861</v>
      </c>
      <c r="M2795" s="186">
        <v>-2205.3184945592184</v>
      </c>
      <c r="N2795" s="190"/>
      <c r="O2795" s="681">
        <f t="shared" si="210"/>
        <v>-0.24878891073912257</v>
      </c>
      <c r="P2795" s="681">
        <f t="shared" si="211"/>
        <v>-0.69063103910907919</v>
      </c>
      <c r="Q2795" s="681">
        <f t="shared" si="212"/>
        <v>-2.1270505297191935</v>
      </c>
      <c r="U2795" s="186">
        <v>1224.4033722026149</v>
      </c>
      <c r="V2795" s="186">
        <v>1431.0058058127449</v>
      </c>
      <c r="W2795" s="186">
        <v>1512.9526496077549</v>
      </c>
      <c r="X2795" s="190"/>
      <c r="Y2795" s="681">
        <f t="shared" si="215"/>
        <v>-1.6395768075934491</v>
      </c>
      <c r="Z2795" s="681">
        <f t="shared" si="213"/>
        <v>-1.2336119103375187</v>
      </c>
      <c r="AA2795" s="681">
        <f t="shared" si="214"/>
        <v>-0.16647754949439642</v>
      </c>
    </row>
    <row r="2796" spans="2:27" ht="15.75">
      <c r="B2796" s="74" t="s">
        <v>1084</v>
      </c>
      <c r="C2796" s="470">
        <f>Master!U$73</f>
        <v>25536.03</v>
      </c>
      <c r="D2796" s="470">
        <f>Master!V$73</f>
        <v>24218.100000000002</v>
      </c>
      <c r="E2796" s="470">
        <f>Master!W$73</f>
        <v>24362.760803532561</v>
      </c>
      <c r="F2796" s="470">
        <f>Master!X107</f>
        <v>0.19330028768661098</v>
      </c>
      <c r="G2796" s="470">
        <f>Master!Y107</f>
        <v>0.19626508581487964</v>
      </c>
      <c r="I2796" s="470">
        <v>27604.211249934324</v>
      </c>
      <c r="J2796" s="470">
        <v>28601.433576182</v>
      </c>
      <c r="K2796" s="470">
        <v>29566.452994841733</v>
      </c>
      <c r="L2796" s="470">
        <v>30479.468941896401</v>
      </c>
      <c r="M2796" s="470">
        <v>31536.362920558782</v>
      </c>
      <c r="O2796" s="127">
        <f t="shared" si="210"/>
        <v>-7.4922671443446665E-2</v>
      </c>
      <c r="P2796" s="127">
        <f t="shared" si="211"/>
        <v>-0.15325572980482505</v>
      </c>
      <c r="Q2796" s="127">
        <f t="shared" si="212"/>
        <v>-0.17599988041233849</v>
      </c>
      <c r="U2796" s="470">
        <v>28360.440664047201</v>
      </c>
      <c r="V2796" s="470">
        <v>30299.029494041151</v>
      </c>
      <c r="W2796" s="470">
        <v>32496.256317837</v>
      </c>
      <c r="Y2796" s="127">
        <f t="shared" ref="Y2796" si="219">C2796/U2796-1</f>
        <v>-9.9589801777224651E-2</v>
      </c>
      <c r="Z2796" s="127">
        <f t="shared" ref="Z2796" si="220">D2796/V2796-1</f>
        <v>-0.20069717068782922</v>
      </c>
      <c r="AA2796" s="127">
        <f t="shared" ref="AA2796" si="221">E2796/W2796-1</f>
        <v>-0.25029023142705864</v>
      </c>
    </row>
    <row r="2797" spans="2:27" ht="15.75">
      <c r="B2797" s="183"/>
      <c r="C2797" s="183"/>
      <c r="D2797" s="183"/>
      <c r="E2797" s="183"/>
      <c r="F2797" s="183"/>
      <c r="G2797" s="183"/>
      <c r="H2797" s="190"/>
      <c r="I2797" s="183"/>
      <c r="J2797" s="183"/>
      <c r="K2797" s="183"/>
      <c r="L2797" s="183"/>
      <c r="M2797" s="183"/>
      <c r="N2797" s="190"/>
      <c r="O2797" s="183"/>
      <c r="P2797" s="183"/>
      <c r="Q2797" s="183"/>
      <c r="U2797" s="183"/>
      <c r="V2797" s="183"/>
      <c r="W2797" s="183"/>
      <c r="X2797" s="190"/>
      <c r="Y2797" s="183"/>
      <c r="Z2797" s="183"/>
      <c r="AA2797" s="183"/>
    </row>
    <row r="2798" spans="2:27" ht="15.75">
      <c r="B2798" s="74" t="s">
        <v>201</v>
      </c>
      <c r="C2798" s="66"/>
      <c r="D2798" s="66"/>
      <c r="E2798" s="66"/>
      <c r="F2798" s="66"/>
      <c r="G2798" s="66"/>
      <c r="I2798" s="66"/>
      <c r="J2798" s="66"/>
      <c r="K2798" s="66"/>
      <c r="L2798" s="66"/>
      <c r="M2798" s="66"/>
      <c r="O2798" s="66"/>
      <c r="P2798" s="66"/>
      <c r="Q2798" s="66"/>
      <c r="U2798" s="66"/>
      <c r="V2798" s="66"/>
      <c r="W2798" s="66"/>
      <c r="Y2798" s="66"/>
      <c r="Z2798" s="66"/>
      <c r="AA2798" s="66"/>
    </row>
    <row r="2799" spans="2:27" ht="15.75">
      <c r="B2799" s="183" t="s">
        <v>87</v>
      </c>
      <c r="C2799" s="184">
        <f>Master!U$88</f>
        <v>3883.241</v>
      </c>
      <c r="D2799" s="184">
        <f>Master!V$88</f>
        <v>2640.8399999999997</v>
      </c>
      <c r="E2799" s="184">
        <f>Master!W$88</f>
        <v>2251.9050200465481</v>
      </c>
      <c r="F2799" s="184">
        <f>Master!X124</f>
        <v>0.14324049410474302</v>
      </c>
      <c r="G2799" s="184">
        <f>Master!Y124</f>
        <v>0.13963144457571547</v>
      </c>
      <c r="H2799" s="190"/>
      <c r="I2799" s="184">
        <v>4221.9616244535</v>
      </c>
      <c r="J2799" s="184">
        <v>3776.6180603611356</v>
      </c>
      <c r="K2799" s="184">
        <v>3042.962852995704</v>
      </c>
      <c r="L2799" s="184">
        <v>2623.4029237349223</v>
      </c>
      <c r="M2799" s="184">
        <v>2378.7451412768041</v>
      </c>
      <c r="N2799" s="190"/>
      <c r="O2799" s="189">
        <f t="shared" ref="O2799:O2800" si="222">C2799/I2799-1</f>
        <v>-8.0228257521726021E-2</v>
      </c>
      <c r="P2799" s="189">
        <f t="shared" ref="P2799:P2800" si="223">D2799/J2799-1</f>
        <v>-0.30073945583274797</v>
      </c>
      <c r="Q2799" s="189">
        <f t="shared" ref="Q2799:Q2800" si="224">E2799/K2799-1</f>
        <v>-0.25996302655169901</v>
      </c>
      <c r="U2799" s="184">
        <v>4770.0999519317238</v>
      </c>
      <c r="V2799" s="184">
        <v>4641.5483896216501</v>
      </c>
      <c r="W2799" s="184">
        <v>4619.4262693078826</v>
      </c>
      <c r="X2799" s="190"/>
      <c r="Y2799" s="189">
        <f>C2799/U2799-1</f>
        <v>-0.18592041275205917</v>
      </c>
      <c r="Z2799" s="189">
        <f t="shared" ref="Z2799:Z2800" si="225">D2799/V2799-1</f>
        <v>-0.43104331177396937</v>
      </c>
      <c r="AA2799" s="189">
        <f t="shared" ref="AA2799:AA2800" si="226">E2799/W2799-1</f>
        <v>-0.51251413297609671</v>
      </c>
    </row>
    <row r="2800" spans="2:27" ht="15.75">
      <c r="B2800" s="66" t="s">
        <v>16</v>
      </c>
      <c r="C2800" s="125">
        <f>Master!U$89</f>
        <v>12989.048999999999</v>
      </c>
      <c r="D2800" s="125">
        <f>Master!V$89</f>
        <v>11204.1</v>
      </c>
      <c r="E2800" s="125">
        <f>Master!W$89</f>
        <v>10614.543750000001</v>
      </c>
      <c r="F2800" s="125">
        <f>Master!X125</f>
        <v>0</v>
      </c>
      <c r="G2800" s="125">
        <f>Master!Y125</f>
        <v>0</v>
      </c>
      <c r="I2800" s="125">
        <v>12428.409181250001</v>
      </c>
      <c r="J2800" s="125">
        <v>12145.386001875</v>
      </c>
      <c r="K2800" s="125">
        <v>12052.357513350002</v>
      </c>
      <c r="L2800" s="125">
        <v>13397.518195815601</v>
      </c>
      <c r="M2800" s="125">
        <v>14067.394105606381</v>
      </c>
      <c r="O2800" s="116">
        <f t="shared" si="222"/>
        <v>4.510953981108079E-2</v>
      </c>
      <c r="P2800" s="116">
        <f t="shared" si="223"/>
        <v>-7.7501530353146775E-2</v>
      </c>
      <c r="Q2800" s="116">
        <f t="shared" si="224"/>
        <v>-0.1192973044283977</v>
      </c>
      <c r="U2800" s="125">
        <v>16627.819721217755</v>
      </c>
      <c r="V2800" s="125">
        <v>16904.713874546476</v>
      </c>
      <c r="W2800" s="125">
        <v>16650.2852466277</v>
      </c>
      <c r="Y2800" s="116">
        <f t="shared" ref="Y2800" si="227">C2800/U2800-1</f>
        <v>-0.21883631060628717</v>
      </c>
      <c r="Z2800" s="116">
        <f t="shared" si="225"/>
        <v>-0.33722037041572894</v>
      </c>
      <c r="AA2800" s="116">
        <f t="shared" si="226"/>
        <v>-0.36250078645650596</v>
      </c>
    </row>
    <row r="2801" spans="2:27" ht="15.75">
      <c r="B2801" s="185" t="s">
        <v>44</v>
      </c>
      <c r="C2801" s="186"/>
      <c r="D2801" s="186"/>
      <c r="E2801" s="186"/>
      <c r="F2801" s="186"/>
      <c r="G2801" s="186"/>
      <c r="H2801" s="190"/>
      <c r="I2801" s="186"/>
      <c r="J2801" s="186"/>
      <c r="K2801" s="186"/>
      <c r="L2801" s="186"/>
      <c r="M2801" s="186"/>
      <c r="N2801" s="190"/>
      <c r="O2801" s="681"/>
      <c r="P2801" s="681"/>
      <c r="Q2801" s="681"/>
      <c r="U2801" s="186"/>
      <c r="V2801" s="186"/>
      <c r="W2801" s="186"/>
      <c r="X2801" s="190"/>
      <c r="Y2801" s="681"/>
      <c r="Z2801" s="681"/>
      <c r="AA2801" s="681"/>
    </row>
    <row r="2802" spans="2:27" ht="15.75">
      <c r="B2802" s="74" t="s">
        <v>1084</v>
      </c>
      <c r="C2802" s="470">
        <f>Master!U$90</f>
        <v>17214.16</v>
      </c>
      <c r="D2802" s="470">
        <f>Master!V$90</f>
        <v>14664.45</v>
      </c>
      <c r="E2802" s="470">
        <f>Master!W$90</f>
        <v>12866.448770046549</v>
      </c>
      <c r="F2802" s="470">
        <f>Master!X128</f>
        <v>2025</v>
      </c>
      <c r="G2802" s="470">
        <f>Master!Y128</f>
        <v>2026</v>
      </c>
      <c r="I2802" s="470">
        <v>16650.3708057035</v>
      </c>
      <c r="J2802" s="470">
        <v>15922.004062236136</v>
      </c>
      <c r="K2802" s="470">
        <v>15095.320366345706</v>
      </c>
      <c r="L2802" s="470">
        <v>16020.921119550523</v>
      </c>
      <c r="M2802" s="470">
        <v>16446.139246883184</v>
      </c>
      <c r="O2802" s="127">
        <f>C2802/I2802-1</f>
        <v>3.3860458777493108E-2</v>
      </c>
      <c r="P2802" s="127">
        <f>D2802/J2802-1</f>
        <v>-7.8982146802663245E-2</v>
      </c>
      <c r="Q2802" s="127">
        <f>E2802/K2802-1</f>
        <v>-0.14765314959915121</v>
      </c>
      <c r="U2802" s="470">
        <v>18725.801645243599</v>
      </c>
      <c r="V2802" s="470">
        <v>18921.102459710099</v>
      </c>
      <c r="W2802" s="470">
        <v>19979.909307101902</v>
      </c>
      <c r="Y2802" s="127">
        <f t="shared" ref="Y2802" si="228">C2802/U2802-1</f>
        <v>-8.0725069819777784E-2</v>
      </c>
      <c r="Z2802" s="127">
        <f t="shared" ref="Z2802" si="229">D2802/V2802-1</f>
        <v>-0.2249685222504374</v>
      </c>
      <c r="AA2802" s="127">
        <f t="shared" ref="AA2802" si="230">E2802/W2802-1</f>
        <v>-0.35603067199743788</v>
      </c>
    </row>
    <row r="2803" spans="2:27" ht="15.75">
      <c r="B2803" s="183"/>
      <c r="C2803" s="183"/>
      <c r="D2803" s="183"/>
      <c r="E2803" s="183"/>
      <c r="F2803" s="183"/>
      <c r="G2803" s="183"/>
      <c r="H2803" s="190"/>
      <c r="I2803" s="183"/>
      <c r="J2803" s="183"/>
      <c r="K2803" s="183"/>
      <c r="L2803" s="183"/>
      <c r="M2803" s="183"/>
      <c r="N2803" s="190"/>
      <c r="O2803" s="183"/>
      <c r="P2803" s="183"/>
      <c r="Q2803" s="183"/>
      <c r="U2803" s="183"/>
      <c r="V2803" s="183"/>
      <c r="W2803" s="183"/>
      <c r="X2803" s="190"/>
      <c r="Y2803" s="183"/>
      <c r="Z2803" s="183"/>
      <c r="AA2803" s="183"/>
    </row>
    <row r="2804" spans="2:27" ht="15.75">
      <c r="B2804" s="74" t="s">
        <v>203</v>
      </c>
      <c r="C2804" s="66"/>
      <c r="D2804" s="66"/>
      <c r="E2804" s="66"/>
      <c r="F2804" s="66"/>
      <c r="G2804" s="66"/>
      <c r="I2804" s="66"/>
      <c r="J2804" s="66"/>
      <c r="K2804" s="66"/>
      <c r="L2804" s="66"/>
      <c r="M2804" s="66"/>
      <c r="O2804" s="66"/>
      <c r="P2804" s="66"/>
      <c r="Q2804" s="66"/>
      <c r="U2804" s="66"/>
      <c r="V2804" s="66"/>
      <c r="W2804" s="66"/>
      <c r="Y2804" s="66"/>
      <c r="Z2804" s="66"/>
      <c r="AA2804" s="66"/>
    </row>
    <row r="2805" spans="2:27" ht="15.75">
      <c r="B2805" s="183" t="s">
        <v>87</v>
      </c>
      <c r="C2805" s="184">
        <f t="shared" ref="C2805:E2805" si="231">C2793-C2799</f>
        <v>2533.0889999999999</v>
      </c>
      <c r="D2805" s="184">
        <f t="shared" si="231"/>
        <v>3090.56</v>
      </c>
      <c r="E2805" s="184">
        <f t="shared" si="231"/>
        <v>2670.844533486008</v>
      </c>
      <c r="F2805" s="184">
        <f t="shared" ref="F2805:G2808" si="232">F2793-F2799</f>
        <v>711.61049276716085</v>
      </c>
      <c r="G2805" s="184">
        <f t="shared" si="232"/>
        <v>710.18247469854646</v>
      </c>
      <c r="H2805" s="190"/>
      <c r="I2805" s="184">
        <v>3628.6486192308248</v>
      </c>
      <c r="J2805" s="184">
        <v>4121.2312028833603</v>
      </c>
      <c r="K2805" s="184">
        <v>4605.9728096247763</v>
      </c>
      <c r="L2805" s="184">
        <v>5050.439309761864</v>
      </c>
      <c r="M2805" s="184">
        <v>5146.4290770293037</v>
      </c>
      <c r="N2805" s="190"/>
      <c r="O2805" s="189">
        <f t="shared" ref="O2805:O2808" si="233">C2805/I2805-1</f>
        <v>-0.30191945657803976</v>
      </c>
      <c r="P2805" s="189">
        <f t="shared" ref="P2805:P2808" si="234">D2805/J2805-1</f>
        <v>-0.25008817805763139</v>
      </c>
      <c r="Q2805" s="189">
        <f t="shared" ref="Q2805:Q2808" si="235">E2805/K2805-1</f>
        <v>-0.42013454184859</v>
      </c>
      <c r="U2805" s="184">
        <f t="shared" ref="U2805:W2805" si="236">U2793-U2799</f>
        <v>3098.5041624559208</v>
      </c>
      <c r="V2805" s="184">
        <f t="shared" si="236"/>
        <v>3880.9511448381945</v>
      </c>
      <c r="W2805" s="184">
        <f t="shared" si="236"/>
        <v>4385.1607017055931</v>
      </c>
      <c r="X2805" s="190"/>
      <c r="Y2805" s="189">
        <f>C2805/U2805-1</f>
        <v>-0.18248003966138437</v>
      </c>
      <c r="Z2805" s="189">
        <f t="shared" ref="Z2805:Z2808" si="237">D2805/V2805-1</f>
        <v>-0.20365913286217052</v>
      </c>
      <c r="AA2805" s="189">
        <f t="shared" ref="AA2805:AA2808" si="238">E2805/W2805-1</f>
        <v>-0.39093576834089749</v>
      </c>
    </row>
    <row r="2806" spans="2:27" ht="15.75">
      <c r="B2806" s="66" t="s">
        <v>16</v>
      </c>
      <c r="C2806" s="125">
        <f t="shared" ref="C2806:E2806" si="239">C2794-C2800</f>
        <v>6913.7510000000002</v>
      </c>
      <c r="D2806" s="125">
        <f t="shared" si="239"/>
        <v>7616.9</v>
      </c>
      <c r="E2806" s="125">
        <f t="shared" si="239"/>
        <v>7564.3875000000007</v>
      </c>
      <c r="F2806" s="125">
        <f t="shared" si="232"/>
        <v>711.75373326126555</v>
      </c>
      <c r="G2806" s="125">
        <f t="shared" si="232"/>
        <v>710.32210614312214</v>
      </c>
      <c r="I2806" s="125">
        <v>8367.6418249999988</v>
      </c>
      <c r="J2806" s="125">
        <v>9638.785061062501</v>
      </c>
      <c r="K2806" s="125">
        <v>10984.08037012125</v>
      </c>
      <c r="L2806" s="125">
        <v>11570.583896386199</v>
      </c>
      <c r="M2806" s="125">
        <v>12149.113091205512</v>
      </c>
      <c r="O2806" s="116">
        <f t="shared" si="233"/>
        <v>-0.17375156052404273</v>
      </c>
      <c r="P2806" s="116">
        <f t="shared" si="234"/>
        <v>-0.20976555118240447</v>
      </c>
      <c r="Q2806" s="116">
        <f t="shared" si="235"/>
        <v>-0.31133174147409304</v>
      </c>
      <c r="U2806" s="125">
        <f t="shared" ref="U2806:W2806" si="240">U2794-U2800</f>
        <v>4389.270521550945</v>
      </c>
      <c r="V2806" s="125">
        <f t="shared" si="240"/>
        <v>6006.1450148201729</v>
      </c>
      <c r="W2806" s="125">
        <f t="shared" si="240"/>
        <v>8037.75587031135</v>
      </c>
      <c r="Y2806" s="116">
        <f t="shared" ref="Y2806:Y2808" si="241">C2806/U2806-1</f>
        <v>0.57514807211222707</v>
      </c>
      <c r="Z2806" s="116">
        <f t="shared" si="237"/>
        <v>0.26818449791093713</v>
      </c>
      <c r="AA2806" s="116">
        <f t="shared" si="238"/>
        <v>-5.8893101252279423E-2</v>
      </c>
    </row>
    <row r="2807" spans="2:27" ht="15.75">
      <c r="B2807" s="185" t="s">
        <v>44</v>
      </c>
      <c r="C2807" s="186">
        <f t="shared" ref="C2807:E2807" si="242">C2795-C2801</f>
        <v>-783.10000000000218</v>
      </c>
      <c r="D2807" s="186">
        <f t="shared" si="242"/>
        <v>-334.29999999999563</v>
      </c>
      <c r="E2807" s="186">
        <f t="shared" si="242"/>
        <v>1261.0800000000017</v>
      </c>
      <c r="F2807" s="186">
        <f t="shared" si="232"/>
        <v>-1423.3141662348444</v>
      </c>
      <c r="G2807" s="186">
        <f t="shared" si="232"/>
        <v>-1420.4479472004296</v>
      </c>
      <c r="H2807" s="190"/>
      <c r="I2807" s="186">
        <v>-1042.4500000000007</v>
      </c>
      <c r="J2807" s="186">
        <v>-1080.5867499999949</v>
      </c>
      <c r="K2807" s="186">
        <v>-1118.9205512499975</v>
      </c>
      <c r="L2807" s="186">
        <v>-2162.4753838021861</v>
      </c>
      <c r="M2807" s="186">
        <v>-2205.3184945592184</v>
      </c>
      <c r="N2807" s="190"/>
      <c r="O2807" s="681">
        <f t="shared" si="233"/>
        <v>-0.24878891073912257</v>
      </c>
      <c r="P2807" s="681">
        <f t="shared" si="234"/>
        <v>-0.69063103910907919</v>
      </c>
      <c r="Q2807" s="681">
        <f t="shared" si="235"/>
        <v>-2.1270505297191935</v>
      </c>
      <c r="U2807" s="186">
        <f t="shared" ref="U2807:W2807" si="243">U2795-U2801</f>
        <v>1224.4033722026149</v>
      </c>
      <c r="V2807" s="186">
        <f t="shared" si="243"/>
        <v>1431.0058058127449</v>
      </c>
      <c r="W2807" s="186">
        <f t="shared" si="243"/>
        <v>1512.9526496077549</v>
      </c>
      <c r="X2807" s="190"/>
      <c r="Y2807" s="681">
        <f t="shared" si="241"/>
        <v>-1.6395768075934491</v>
      </c>
      <c r="Z2807" s="681">
        <f t="shared" si="237"/>
        <v>-1.2336119103375187</v>
      </c>
      <c r="AA2807" s="681">
        <f t="shared" si="238"/>
        <v>-0.16647754949439642</v>
      </c>
    </row>
    <row r="2808" spans="2:27" ht="15.75">
      <c r="B2808" s="74" t="s">
        <v>1084</v>
      </c>
      <c r="C2808" s="470">
        <f t="shared" ref="C2808:E2808" si="244">C2796-C2802</f>
        <v>8321.869999999999</v>
      </c>
      <c r="D2808" s="470">
        <f t="shared" si="244"/>
        <v>9553.6500000000015</v>
      </c>
      <c r="E2808" s="470">
        <f t="shared" si="244"/>
        <v>11496.312033486012</v>
      </c>
      <c r="F2808" s="470">
        <f t="shared" si="232"/>
        <v>-2024.8066997123135</v>
      </c>
      <c r="G2808" s="470">
        <f t="shared" si="232"/>
        <v>-2025.803734914185</v>
      </c>
      <c r="I2808" s="470">
        <v>10953.840444230824</v>
      </c>
      <c r="J2808" s="470">
        <v>12679.429513945865</v>
      </c>
      <c r="K2808" s="470">
        <v>14471.132628496027</v>
      </c>
      <c r="L2808" s="470">
        <v>14458.547822345878</v>
      </c>
      <c r="M2808" s="470">
        <v>15090.223673675599</v>
      </c>
      <c r="O2808" s="127">
        <f t="shared" si="233"/>
        <v>-0.24027832591052878</v>
      </c>
      <c r="P2808" s="127">
        <f t="shared" si="234"/>
        <v>-0.24652367131406638</v>
      </c>
      <c r="Q2808" s="127">
        <f t="shared" si="235"/>
        <v>-0.20556929933404844</v>
      </c>
      <c r="U2808" s="470">
        <f t="shared" ref="U2808:W2808" si="245">U2796-U2802</f>
        <v>9634.6390188036021</v>
      </c>
      <c r="V2808" s="470">
        <f t="shared" si="245"/>
        <v>11377.927034331053</v>
      </c>
      <c r="W2808" s="470">
        <f t="shared" si="245"/>
        <v>12516.347010735099</v>
      </c>
      <c r="Y2808" s="127">
        <f t="shared" si="241"/>
        <v>-0.13625513278094958</v>
      </c>
      <c r="Z2808" s="127">
        <f t="shared" si="237"/>
        <v>-0.16033474540894754</v>
      </c>
      <c r="AA2808" s="127">
        <f t="shared" si="238"/>
        <v>-8.1496220612469195E-2</v>
      </c>
    </row>
    <row r="2809" spans="2:27" ht="15.75">
      <c r="B2809" s="183"/>
      <c r="C2809" s="183"/>
      <c r="D2809" s="183"/>
      <c r="E2809" s="183"/>
      <c r="F2809" s="183"/>
      <c r="G2809" s="183"/>
      <c r="H2809" s="190"/>
      <c r="I2809" s="183"/>
      <c r="J2809" s="183"/>
      <c r="K2809" s="183"/>
      <c r="L2809" s="183"/>
      <c r="M2809" s="183"/>
      <c r="N2809" s="190"/>
      <c r="O2809" s="183"/>
      <c r="P2809" s="183"/>
      <c r="Q2809" s="183"/>
      <c r="U2809" s="183"/>
      <c r="V2809" s="183"/>
      <c r="W2809" s="183"/>
      <c r="X2809" s="190"/>
      <c r="Y2809" s="183"/>
      <c r="Z2809" s="183"/>
      <c r="AA2809" s="183"/>
    </row>
    <row r="2810" spans="2:27" ht="15.75">
      <c r="B2810" s="217" t="s">
        <v>6870</v>
      </c>
      <c r="C2810" s="682">
        <f>Valuation!R$32</f>
        <v>-693.02896568871233</v>
      </c>
      <c r="D2810" s="682">
        <f>Valuation!S$32</f>
        <v>-239.62627118644056</v>
      </c>
      <c r="E2810" s="682">
        <f ca="1">Valuation!T$32</f>
        <v>137.21416772079357</v>
      </c>
      <c r="F2810" s="682">
        <f ca="1">Valuation!U64</f>
        <v>4.7139982193948091</v>
      </c>
      <c r="G2810" s="682">
        <f ca="1">Valuation!V64</f>
        <v>4.4195230538722177</v>
      </c>
      <c r="H2810" s="61"/>
      <c r="I2810" s="682">
        <v>191.95461088007028</v>
      </c>
      <c r="J2810" s="682">
        <v>342.41536776866855</v>
      </c>
      <c r="K2810" s="682">
        <v>506.55541334201956</v>
      </c>
      <c r="L2810" s="682">
        <v>641.3361954928497</v>
      </c>
      <c r="M2810" s="682">
        <v>619.62360740360668</v>
      </c>
      <c r="N2810" s="61"/>
      <c r="O2810" s="123">
        <f>C2810/I2810-1</f>
        <v>-4.6103793626593532</v>
      </c>
      <c r="P2810" s="123">
        <f>D2810/J2810-1</f>
        <v>-1.6998116724373453</v>
      </c>
      <c r="Q2810" s="123">
        <f ca="1">E2810/K2810-1</f>
        <v>-0.72912308484570798</v>
      </c>
      <c r="U2810" s="682"/>
      <c r="V2810" s="682"/>
      <c r="W2810" s="682"/>
      <c r="X2810" s="61"/>
      <c r="Y2810" s="123"/>
      <c r="Z2810" s="123"/>
      <c r="AA2810" s="123"/>
    </row>
    <row r="2811" spans="2:27" ht="15.75">
      <c r="B2811" s="66"/>
      <c r="C2811" s="66"/>
      <c r="D2811" s="66"/>
      <c r="E2811" s="66"/>
      <c r="F2811" s="66"/>
      <c r="G2811" s="66"/>
    </row>
    <row r="2812" spans="2:27" ht="15.75">
      <c r="B2812" s="66"/>
      <c r="C2812" s="66"/>
      <c r="D2812" s="66"/>
      <c r="E2812" s="66"/>
      <c r="F2812" s="66"/>
      <c r="G2812" s="66"/>
    </row>
    <row r="2813" spans="2:27" ht="15.75">
      <c r="B2813" s="611" t="s">
        <v>7222</v>
      </c>
      <c r="C2813" s="66"/>
      <c r="D2813" s="66"/>
      <c r="E2813" s="66"/>
      <c r="F2813" s="66"/>
      <c r="G2813" s="66"/>
    </row>
    <row r="2814" spans="2:27" ht="15.75">
      <c r="B2814" s="66"/>
      <c r="C2814" s="111" t="s">
        <v>7223</v>
      </c>
      <c r="D2814" s="111" t="s">
        <v>7226</v>
      </c>
      <c r="E2814" s="66"/>
      <c r="F2814" s="66"/>
      <c r="G2814" s="66"/>
    </row>
    <row r="2815" spans="2:27" ht="15.75">
      <c r="B2815" t="s">
        <v>7224</v>
      </c>
      <c r="C2815" s="71">
        <f>Interims!BJ15+Interims!BK15+Interims!BL15</f>
        <v>5336.5</v>
      </c>
      <c r="D2815" s="71">
        <f>D2817*D2816</f>
        <v>4173.1855999999998</v>
      </c>
      <c r="E2815" s="66"/>
      <c r="F2815" s="66"/>
      <c r="G2815" s="66"/>
    </row>
    <row r="2816" spans="2:27" ht="15.75">
      <c r="B2816" s="66" t="s">
        <v>7225</v>
      </c>
      <c r="C2816" s="71">
        <f>Interims!BJ18+Interims!BK18+Interims!BL18</f>
        <v>56394.399999999994</v>
      </c>
      <c r="D2816" s="4">
        <f>C2816</f>
        <v>56394.399999999994</v>
      </c>
      <c r="E2816" s="71"/>
      <c r="F2816" s="66"/>
      <c r="G2816" s="66"/>
    </row>
    <row r="2817" spans="2:8" ht="15.75">
      <c r="B2817" s="66" t="s">
        <v>355</v>
      </c>
      <c r="C2817" s="116">
        <f>C2815/C2816</f>
        <v>9.4628190033052936E-2</v>
      </c>
      <c r="D2817" s="9">
        <v>7.3999999999999996E-2</v>
      </c>
      <c r="E2817" s="66"/>
      <c r="F2817" s="66"/>
      <c r="G2817" s="66"/>
    </row>
    <row r="2818" spans="2:8" ht="15.75">
      <c r="D2818" s="66"/>
      <c r="E2818" s="66"/>
      <c r="F2818" s="66"/>
      <c r="G2818" s="66"/>
    </row>
    <row r="2819" spans="2:8" ht="15.75">
      <c r="B2819" s="66" t="s">
        <v>7264</v>
      </c>
      <c r="C2819" s="66">
        <f>Interims!BJ27+Interims!BK27+Interims!BL27</f>
        <v>1191.7</v>
      </c>
      <c r="D2819" s="71">
        <f>D2821*D2820</f>
        <v>724.1966000000001</v>
      </c>
      <c r="E2819" s="66"/>
      <c r="F2819" s="66"/>
      <c r="G2819" s="66"/>
    </row>
    <row r="2820" spans="2:8" ht="15.75">
      <c r="B2820" s="66" t="s">
        <v>3001</v>
      </c>
      <c r="C2820" s="66">
        <f>Interims!BJ28+Interims!BK28+Interims!BL28</f>
        <v>21299.9</v>
      </c>
      <c r="D2820" s="4">
        <f>C2820</f>
        <v>21299.9</v>
      </c>
      <c r="E2820" s="66"/>
      <c r="F2820" s="66"/>
      <c r="G2820" s="66"/>
    </row>
    <row r="2821" spans="2:8" ht="15.75">
      <c r="B2821" s="66" t="s">
        <v>355</v>
      </c>
      <c r="C2821" s="116">
        <f>C2819/C2820</f>
        <v>5.5948619477086743E-2</v>
      </c>
      <c r="D2821" s="9">
        <v>3.4000000000000002E-2</v>
      </c>
      <c r="E2821" s="66"/>
      <c r="F2821" s="66"/>
      <c r="G2821" s="66"/>
    </row>
    <row r="2822" spans="2:8" ht="15.75">
      <c r="B2822" s="66"/>
      <c r="D2822" s="66"/>
      <c r="E2822" s="66"/>
      <c r="F2822" s="66"/>
      <c r="G2822" s="66"/>
    </row>
    <row r="2823" spans="2:8" ht="15.75">
      <c r="B2823" s="217" t="s">
        <v>44</v>
      </c>
      <c r="C2823" s="217"/>
      <c r="D2823" s="388" t="s">
        <v>7223</v>
      </c>
      <c r="E2823" s="388" t="s">
        <v>7265</v>
      </c>
      <c r="F2823" s="66"/>
      <c r="G2823" s="66"/>
      <c r="H2823" s="388" t="s">
        <v>7265</v>
      </c>
    </row>
    <row r="2824" spans="2:8" ht="15.75">
      <c r="B2824" s="66" t="s">
        <v>200</v>
      </c>
      <c r="C2824" s="66"/>
      <c r="D2824" s="71">
        <f>D2815</f>
        <v>4173.1855999999998</v>
      </c>
      <c r="E2824" s="71">
        <f>D2824*4/3</f>
        <v>5564.2474666666667</v>
      </c>
      <c r="F2824" s="66"/>
      <c r="G2824" s="66"/>
      <c r="H2824" s="4">
        <f>E2824*1.1</f>
        <v>6120.6722133333342</v>
      </c>
    </row>
    <row r="2825" spans="2:8" ht="15.75">
      <c r="B2825" s="66" t="s">
        <v>57</v>
      </c>
      <c r="C2825" s="66"/>
      <c r="D2825" s="71">
        <f>D2819</f>
        <v>724.1966000000001</v>
      </c>
      <c r="E2825" s="71">
        <f>D2825*4/3</f>
        <v>965.59546666666677</v>
      </c>
      <c r="F2825" s="66"/>
      <c r="G2825" s="66"/>
      <c r="H2825" s="4">
        <f>E2825*1.1</f>
        <v>1062.1550133333335</v>
      </c>
    </row>
    <row r="2826" spans="2:8" ht="15.75">
      <c r="B2826" s="66" t="s">
        <v>2617</v>
      </c>
      <c r="C2826" s="66"/>
      <c r="D2826" s="69">
        <f>D2825/D2824</f>
        <v>0.17353567979339335</v>
      </c>
      <c r="E2826" s="69">
        <f>E2825/E2824</f>
        <v>0.17353567979339335</v>
      </c>
      <c r="F2826" s="66"/>
      <c r="G2826" s="66"/>
      <c r="H2826" s="69">
        <f>H2825/H2824</f>
        <v>0.17353567979339332</v>
      </c>
    </row>
    <row r="2827" spans="2:8" ht="15.75">
      <c r="B2827" s="66"/>
      <c r="C2827" s="66"/>
      <c r="D2827" s="66"/>
      <c r="E2827" s="66"/>
      <c r="F2827" s="66"/>
      <c r="G2827" s="66"/>
    </row>
    <row r="2828" spans="2:8" ht="15.75">
      <c r="B2828" s="217" t="s">
        <v>2942</v>
      </c>
      <c r="C2828" s="217"/>
      <c r="D2828" s="388" t="s">
        <v>7223</v>
      </c>
      <c r="E2828" s="388" t="s">
        <v>7265</v>
      </c>
      <c r="F2828" s="66"/>
      <c r="G2828" s="66"/>
      <c r="H2828" s="388" t="s">
        <v>7265</v>
      </c>
    </row>
    <row r="2829" spans="2:8" ht="15.75">
      <c r="B2829" s="66" t="str">
        <f>B2824</f>
        <v>Revenue</v>
      </c>
      <c r="C2829" s="66"/>
      <c r="D2829" s="66"/>
      <c r="E2829" s="66"/>
      <c r="F2829" s="66"/>
      <c r="G2829" s="66"/>
      <c r="H2829" s="4">
        <f>H2824/20</f>
        <v>306.03361066666673</v>
      </c>
    </row>
    <row r="2830" spans="2:8" ht="15.75">
      <c r="B2830" s="66" t="str">
        <f>B2825</f>
        <v>EBITDA</v>
      </c>
      <c r="C2830" s="66"/>
      <c r="D2830" s="66"/>
      <c r="E2830" s="66"/>
      <c r="F2830" s="66"/>
      <c r="G2830" s="66"/>
      <c r="H2830" s="4">
        <f>H2825/20</f>
        <v>53.107750666666675</v>
      </c>
    </row>
    <row r="2831" spans="2:8" ht="15.75">
      <c r="B2831" s="66"/>
      <c r="C2831" s="66"/>
      <c r="D2831" s="66"/>
      <c r="E2831" s="66"/>
      <c r="F2831" s="66"/>
      <c r="G2831" s="66"/>
    </row>
    <row r="2832" spans="2:8" ht="15.75">
      <c r="B2832" s="66" t="s">
        <v>2718</v>
      </c>
      <c r="C2832" s="66"/>
      <c r="D2832" s="66"/>
      <c r="E2832" s="66"/>
      <c r="F2832" s="66"/>
      <c r="G2832" s="66"/>
      <c r="H2832">
        <v>10</v>
      </c>
    </row>
    <row r="2833" spans="2:17" ht="15.75">
      <c r="B2833" s="66" t="s">
        <v>456</v>
      </c>
      <c r="C2833" s="66"/>
      <c r="D2833" s="66"/>
      <c r="E2833" s="66"/>
      <c r="F2833" s="66"/>
      <c r="G2833" s="66"/>
      <c r="H2833">
        <f>H2825*10</f>
        <v>10621.550133333334</v>
      </c>
    </row>
    <row r="2834" spans="2:17" ht="15.75">
      <c r="B2834" s="66"/>
      <c r="C2834" s="66"/>
      <c r="D2834" s="66"/>
      <c r="E2834" s="66"/>
      <c r="F2834" s="66"/>
      <c r="G2834" s="66"/>
    </row>
    <row r="2835" spans="2:17" ht="15.75">
      <c r="B2835" s="66"/>
      <c r="C2835" s="66"/>
      <c r="D2835" s="66"/>
      <c r="E2835" s="66"/>
      <c r="F2835" s="66"/>
      <c r="G2835" s="66"/>
    </row>
    <row r="2836" spans="2:17" ht="15.75">
      <c r="B2836" s="66"/>
      <c r="C2836" s="66"/>
      <c r="D2836" s="66"/>
      <c r="E2836" s="66"/>
      <c r="F2836" s="66"/>
      <c r="G2836" s="66"/>
    </row>
    <row r="2837" spans="2:17" ht="15.75">
      <c r="B2837" s="66"/>
      <c r="C2837" s="66"/>
      <c r="D2837" s="66"/>
      <c r="E2837" s="66"/>
      <c r="F2837" s="66"/>
      <c r="G2837" s="66"/>
    </row>
    <row r="2838" spans="2:17" ht="15.75">
      <c r="B2838" s="66"/>
      <c r="C2838" s="66"/>
      <c r="D2838" s="66"/>
      <c r="E2838" s="66"/>
      <c r="F2838" s="66"/>
      <c r="G2838" s="66"/>
    </row>
    <row r="2839" spans="2:17" ht="15.75">
      <c r="B2839" s="66"/>
      <c r="C2839" s="66"/>
      <c r="D2839" s="66"/>
      <c r="E2839" s="66"/>
      <c r="F2839" s="66"/>
      <c r="G2839" s="66"/>
    </row>
    <row r="2840" spans="2:17" ht="15.75">
      <c r="B2840" s="66"/>
      <c r="C2840" s="66"/>
      <c r="D2840" s="66"/>
      <c r="E2840" s="66"/>
      <c r="F2840" s="66"/>
      <c r="G2840" s="66"/>
    </row>
    <row r="2841" spans="2:17" ht="15.75">
      <c r="B2841" s="66"/>
      <c r="C2841" s="66"/>
      <c r="D2841" s="66"/>
      <c r="E2841" s="66"/>
      <c r="F2841" s="66"/>
      <c r="G2841" s="66"/>
    </row>
    <row r="2842" spans="2:17" ht="15.75">
      <c r="B2842" s="66"/>
      <c r="C2842" s="66"/>
      <c r="D2842" s="66"/>
      <c r="E2842" s="66"/>
      <c r="F2842" s="66"/>
      <c r="G2842" s="66"/>
    </row>
    <row r="2843" spans="2:17" ht="15.75">
      <c r="B2843" s="66"/>
      <c r="C2843" s="66"/>
      <c r="D2843" s="66"/>
      <c r="E2843" s="66"/>
      <c r="F2843" s="66"/>
      <c r="G2843" s="66"/>
    </row>
    <row r="2844" spans="2:17" ht="15.75">
      <c r="B2844" s="66"/>
      <c r="C2844" s="66"/>
      <c r="D2844" s="66"/>
      <c r="E2844" s="66"/>
      <c r="F2844" s="66"/>
      <c r="G2844" s="66"/>
    </row>
    <row r="2845" spans="2:17" ht="15.75">
      <c r="B2845" s="66"/>
      <c r="C2845" s="66"/>
      <c r="D2845" s="66"/>
      <c r="E2845" s="66"/>
      <c r="F2845" s="66"/>
      <c r="G2845" s="66"/>
    </row>
    <row r="2846" spans="2:17">
      <c r="B2846" s="149" t="s">
        <v>6871</v>
      </c>
      <c r="C2846" s="149">
        <v>2012</v>
      </c>
      <c r="D2846" s="149">
        <f t="shared" ref="D2846:Q2846" si="246">C2846+1</f>
        <v>2013</v>
      </c>
      <c r="E2846" s="149">
        <f t="shared" si="246"/>
        <v>2014</v>
      </c>
      <c r="F2846" s="149">
        <f t="shared" si="246"/>
        <v>2015</v>
      </c>
      <c r="G2846" s="149">
        <f t="shared" si="246"/>
        <v>2016</v>
      </c>
      <c r="H2846" s="149">
        <f t="shared" si="246"/>
        <v>2017</v>
      </c>
      <c r="I2846" s="149">
        <f t="shared" si="246"/>
        <v>2018</v>
      </c>
      <c r="J2846" s="149">
        <f t="shared" si="246"/>
        <v>2019</v>
      </c>
      <c r="K2846" s="149">
        <f t="shared" si="246"/>
        <v>2020</v>
      </c>
      <c r="L2846" s="149">
        <f t="shared" si="246"/>
        <v>2021</v>
      </c>
      <c r="M2846" s="149">
        <f t="shared" si="246"/>
        <v>2022</v>
      </c>
      <c r="N2846" s="149">
        <f t="shared" si="246"/>
        <v>2023</v>
      </c>
      <c r="O2846" s="149">
        <f t="shared" si="246"/>
        <v>2024</v>
      </c>
      <c r="P2846" s="149">
        <f t="shared" si="246"/>
        <v>2025</v>
      </c>
      <c r="Q2846" s="149">
        <f t="shared" si="246"/>
        <v>2026</v>
      </c>
    </row>
    <row r="2847" spans="2:17">
      <c r="B2847" t="s">
        <v>89</v>
      </c>
      <c r="C2847" s="4">
        <v>150.37878787878788</v>
      </c>
      <c r="D2847" s="4">
        <v>156.73981191222572</v>
      </c>
      <c r="E2847" s="4">
        <v>175.6390977443609</v>
      </c>
      <c r="F2847" s="4">
        <v>228.18181818181819</v>
      </c>
      <c r="G2847" s="4">
        <v>257.88359788359793</v>
      </c>
      <c r="H2847" s="4">
        <v>253.62162162162161</v>
      </c>
      <c r="I2847" s="4">
        <v>299.64182291666668</v>
      </c>
      <c r="J2847" s="4">
        <v>339.48051948051949</v>
      </c>
      <c r="K2847" s="4">
        <v>404.05</v>
      </c>
      <c r="L2847" s="4">
        <v>466.67157991254754</v>
      </c>
      <c r="M2847" s="4">
        <v>535.71954210949787</v>
      </c>
      <c r="N2847" s="4">
        <v>585.70498024143126</v>
      </c>
      <c r="O2847" s="4">
        <v>559.23877337491319</v>
      </c>
      <c r="P2847" s="4">
        <v>518.91016886716159</v>
      </c>
      <c r="Q2847" s="4">
        <v>460.48231365684933</v>
      </c>
    </row>
    <row r="2848" spans="2:17">
      <c r="B2848" t="s">
        <v>1042</v>
      </c>
      <c r="C2848" s="4">
        <f>Master!K97</f>
        <v>455</v>
      </c>
      <c r="D2848" s="4">
        <f>Master!L97</f>
        <v>599.9</v>
      </c>
      <c r="E2848" s="4">
        <f>Master!M97</f>
        <v>702.9</v>
      </c>
      <c r="F2848" s="4">
        <f>Master!N97</f>
        <v>1077.2</v>
      </c>
      <c r="G2848" s="4">
        <f>Master!O97</f>
        <v>984.2</v>
      </c>
      <c r="H2848" s="4">
        <f>Master!P97</f>
        <v>559.70000000000005</v>
      </c>
      <c r="I2848" s="4">
        <f>Master!Q97</f>
        <v>665</v>
      </c>
      <c r="J2848" s="4">
        <f>Master!R97</f>
        <v>673.6</v>
      </c>
      <c r="K2848" s="4">
        <f>Master!S97</f>
        <v>662.5</v>
      </c>
      <c r="L2848" s="4">
        <f>Master!T97</f>
        <v>854.5</v>
      </c>
      <c r="M2848" s="4">
        <f>Master!U97</f>
        <v>645.9</v>
      </c>
      <c r="N2848" s="4">
        <f>Master!V97</f>
        <v>633</v>
      </c>
      <c r="O2848" s="4">
        <f>Master!W97</f>
        <v>623.06549366048364</v>
      </c>
      <c r="P2848" s="4">
        <f>Master!X97</f>
        <v>599.32894736842104</v>
      </c>
      <c r="Q2848" s="4">
        <f>Master!Y97</f>
        <v>606.46381578947376</v>
      </c>
    </row>
    <row r="2849" spans="2:7" ht="15.75">
      <c r="B2849" s="66"/>
      <c r="C2849" s="66"/>
      <c r="D2849" s="66"/>
      <c r="E2849" s="66"/>
      <c r="F2849" s="66"/>
      <c r="G2849" s="66"/>
    </row>
    <row r="2850" spans="2:7" ht="15.75">
      <c r="B2850" s="74" t="s">
        <v>6975</v>
      </c>
      <c r="C2850" s="66"/>
      <c r="D2850" s="66"/>
      <c r="E2850" s="66"/>
      <c r="F2850" s="66"/>
      <c r="G2850" s="66"/>
    </row>
    <row r="2851" spans="2:7" ht="15.75">
      <c r="B2851" s="66"/>
      <c r="C2851" s="66"/>
      <c r="D2851" s="66"/>
      <c r="E2851" s="66"/>
      <c r="F2851" s="66"/>
      <c r="G2851" s="66"/>
    </row>
    <row r="2852" spans="2:7" ht="15.75">
      <c r="B2852" s="66" t="s">
        <v>6473</v>
      </c>
      <c r="C2852" s="66">
        <v>12.3</v>
      </c>
      <c r="D2852" s="66"/>
      <c r="E2852" s="66"/>
      <c r="F2852" s="66"/>
      <c r="G2852" s="66"/>
    </row>
    <row r="2853" spans="2:7" ht="15.75">
      <c r="B2853" s="66" t="s">
        <v>6976</v>
      </c>
      <c r="C2853" s="66">
        <f>C2852*4</f>
        <v>49.2</v>
      </c>
      <c r="D2853" s="66"/>
      <c r="E2853" s="66"/>
      <c r="F2853" s="66"/>
      <c r="G2853" s="66"/>
    </row>
    <row r="2854" spans="2:7" ht="15.75">
      <c r="B2854" s="66" t="s">
        <v>508</v>
      </c>
      <c r="C2854" s="66">
        <v>1</v>
      </c>
      <c r="D2854" s="66"/>
      <c r="E2854" s="66"/>
      <c r="F2854" s="66"/>
      <c r="G2854" s="66"/>
    </row>
    <row r="2855" spans="2:7" ht="15.75">
      <c r="B2855" s="66" t="s">
        <v>6707</v>
      </c>
      <c r="C2855" s="66">
        <f>C2853/C2854/12</f>
        <v>4.1000000000000005</v>
      </c>
      <c r="D2855" s="66"/>
      <c r="E2855" s="66"/>
      <c r="F2855" s="66"/>
      <c r="G2855" s="66"/>
    </row>
    <row r="2856" spans="2:7" ht="15.75">
      <c r="B2856" s="66"/>
      <c r="C2856" s="66"/>
      <c r="D2856" s="66"/>
      <c r="E2856" s="66"/>
      <c r="F2856" s="66"/>
      <c r="G2856" s="66"/>
    </row>
    <row r="2857" spans="2:7" ht="15.75">
      <c r="B2857" s="66"/>
      <c r="C2857" s="66"/>
      <c r="D2857" s="66"/>
      <c r="E2857" s="66"/>
      <c r="F2857" s="66"/>
      <c r="G2857" s="66"/>
    </row>
    <row r="2858" spans="2:7" ht="15.75">
      <c r="B2858" s="66"/>
      <c r="C2858" s="66"/>
      <c r="D2858" s="66"/>
      <c r="E2858" s="66"/>
      <c r="F2858" s="66"/>
      <c r="G2858" s="66"/>
    </row>
    <row r="2859" spans="2:7" ht="15.75">
      <c r="B2859" s="66"/>
      <c r="C2859" s="66"/>
      <c r="D2859" s="66"/>
      <c r="E2859" s="66"/>
      <c r="F2859" s="66"/>
      <c r="G2859" s="66"/>
    </row>
    <row r="2860" spans="2:7" ht="15.75">
      <c r="B2860" s="66"/>
      <c r="C2860" s="66"/>
      <c r="D2860" s="66"/>
      <c r="E2860" s="66"/>
      <c r="F2860" s="66"/>
      <c r="G2860" s="66"/>
    </row>
    <row r="2861" spans="2:7" ht="15.75">
      <c r="B2861" s="66"/>
      <c r="C2861" s="66"/>
      <c r="D2861" s="66"/>
      <c r="E2861" s="66"/>
      <c r="F2861" s="66"/>
      <c r="G2861" s="66"/>
    </row>
    <row r="2862" spans="2:7" ht="15.75">
      <c r="B2862" s="66"/>
      <c r="C2862" s="66"/>
      <c r="D2862" s="66"/>
      <c r="E2862" s="66"/>
      <c r="F2862" s="66"/>
      <c r="G2862" s="66"/>
    </row>
    <row r="2863" spans="2:7" ht="15.75">
      <c r="B2863" s="66"/>
      <c r="C2863" s="66"/>
      <c r="D2863" s="66"/>
      <c r="E2863" s="66"/>
      <c r="F2863" s="66"/>
      <c r="G2863" s="66"/>
    </row>
    <row r="2864" spans="2:7" ht="15.75">
      <c r="B2864" s="66"/>
      <c r="C2864" s="66"/>
      <c r="D2864" s="66"/>
      <c r="E2864" s="66"/>
      <c r="F2864" s="66"/>
      <c r="G2864" s="66"/>
    </row>
    <row r="2865" spans="2:8" ht="15.75">
      <c r="B2865" s="66" t="s">
        <v>7266</v>
      </c>
      <c r="C2865" s="66"/>
      <c r="D2865" s="66"/>
      <c r="E2865" s="66"/>
      <c r="F2865" s="66"/>
      <c r="G2865" s="66"/>
    </row>
    <row r="2866" spans="2:8" ht="15.75">
      <c r="B2866" s="66"/>
      <c r="C2866" s="66"/>
      <c r="D2866" s="66"/>
      <c r="E2866" s="66"/>
      <c r="F2866" s="66"/>
      <c r="G2866" s="66"/>
    </row>
    <row r="2867" spans="2:8" ht="15.75">
      <c r="B2867" s="74" t="s">
        <v>7267</v>
      </c>
      <c r="C2867" s="66"/>
      <c r="D2867" s="66"/>
      <c r="E2867" s="66"/>
      <c r="F2867" s="66"/>
      <c r="G2867" s="66"/>
    </row>
    <row r="2868" spans="2:8" ht="15.75">
      <c r="B2868" s="149" t="s">
        <v>7268</v>
      </c>
      <c r="C2868" s="217">
        <f>D2868-1</f>
        <v>2022</v>
      </c>
      <c r="D2868" s="217">
        <v>2023</v>
      </c>
      <c r="E2868" s="217">
        <f>D2868+1</f>
        <v>2024</v>
      </c>
      <c r="F2868" s="217">
        <f>E2868+1</f>
        <v>2025</v>
      </c>
      <c r="G2868" s="217">
        <f>F2868+1</f>
        <v>2026</v>
      </c>
      <c r="H2868" s="66"/>
    </row>
    <row r="2869" spans="2:8" ht="15.75">
      <c r="B2869" s="755" t="s">
        <v>200</v>
      </c>
      <c r="C2869" s="756">
        <f>Master!T56-Master!T52-Master!T53</f>
        <v>50471.8</v>
      </c>
      <c r="D2869" s="756">
        <f>Master!U56-Master!U52-Master!U53</f>
        <v>19776.000000000004</v>
      </c>
      <c r="E2869" s="756">
        <f>Master!V56-Master!V52-Master!V53</f>
        <v>17094.80000000001</v>
      </c>
      <c r="F2869" s="756">
        <f>Master!W56-Master!W52-Master!W53</f>
        <v>15499.651064570928</v>
      </c>
      <c r="G2869" s="756">
        <f>Master!X56-Master!X52-Master!X53</f>
        <v>14303.269268350567</v>
      </c>
    </row>
    <row r="2870" spans="2:8" ht="15.75">
      <c r="B2870" s="66" t="s">
        <v>57</v>
      </c>
      <c r="C2870" s="125">
        <f>Master!U73-Master!U68-50*Master!U92</f>
        <v>4627.7299999999996</v>
      </c>
      <c r="D2870" s="125">
        <f>Master!V73-Master!V68-50*Master!V92</f>
        <v>4512.1000000000022</v>
      </c>
      <c r="E2870" s="125">
        <f>Master!W73-Master!W68-50*Master!W92</f>
        <v>5332.0295535325595</v>
      </c>
      <c r="F2870" s="125">
        <f>Master!X73-Master!X68-50*Master!X92</f>
        <v>2300.8609901492264</v>
      </c>
      <c r="G2870" s="125">
        <f>Master!Y73-Master!Y68-50*Master!Y92</f>
        <v>1932.7917511233172</v>
      </c>
    </row>
    <row r="2871" spans="2:8" ht="15.75">
      <c r="B2871" s="754" t="s">
        <v>201</v>
      </c>
      <c r="C2871" s="756">
        <f>Master!T90-Master!T89-20*Master!U92</f>
        <v>5573.9145094975984</v>
      </c>
      <c r="D2871" s="756">
        <f>Master!U90-Master!U89-20*Master!V92</f>
        <v>3871.1110000000008</v>
      </c>
      <c r="E2871" s="756">
        <f>Master!V90-Master!V89-20*Master!W92</f>
        <v>3119.63</v>
      </c>
      <c r="F2871" s="756">
        <f>Master!W90-Master!W89-20*Master!X92</f>
        <v>1906.485020046548</v>
      </c>
      <c r="G2871" s="756">
        <f>Master!X90-Master!X89-20*Master!Y92</f>
        <v>1589.3600771553179</v>
      </c>
    </row>
    <row r="2872" spans="2:8" ht="15.75">
      <c r="B2872" s="66" t="s">
        <v>203</v>
      </c>
      <c r="C2872" s="125">
        <f>C2870-C2871</f>
        <v>-946.18450949759881</v>
      </c>
      <c r="D2872" s="125">
        <f>D2870-D2871</f>
        <v>640.9890000000014</v>
      </c>
      <c r="E2872" s="125">
        <f t="shared" ref="E2872:G2872" si="247">E2870-E2871</f>
        <v>2212.3995535325594</v>
      </c>
      <c r="F2872" s="125">
        <f t="shared" si="247"/>
        <v>394.37597010267837</v>
      </c>
      <c r="G2872" s="125">
        <f t="shared" si="247"/>
        <v>343.43167396799936</v>
      </c>
    </row>
    <row r="2873" spans="2:8" ht="15.75">
      <c r="B2873" s="754"/>
      <c r="C2873" s="754"/>
      <c r="D2873" s="754"/>
      <c r="E2873" s="754"/>
      <c r="F2873" s="754"/>
      <c r="G2873" s="754"/>
    </row>
    <row r="2874" spans="2:8" ht="16.5" thickBot="1">
      <c r="B2874" s="66" t="s">
        <v>224</v>
      </c>
      <c r="C2874" s="125">
        <f>Master!U156</f>
        <v>54109.7</v>
      </c>
      <c r="D2874" s="125">
        <f>Master!V156</f>
        <v>55949.599999999991</v>
      </c>
      <c r="E2874" s="66"/>
      <c r="F2874" s="66"/>
      <c r="G2874" s="66"/>
    </row>
    <row r="2875" spans="2:8" ht="16.5" thickBot="1">
      <c r="B2875" s="754" t="s">
        <v>7270</v>
      </c>
      <c r="C2875" s="754"/>
      <c r="D2875" s="757">
        <v>99670</v>
      </c>
      <c r="E2875" s="754"/>
      <c r="F2875" s="754"/>
      <c r="G2875" s="754"/>
    </row>
    <row r="2876" spans="2:8" ht="15.75">
      <c r="B2876" s="66" t="s">
        <v>7269</v>
      </c>
      <c r="C2876" s="66"/>
      <c r="D2876" s="66"/>
      <c r="E2876" s="66"/>
      <c r="F2876" s="66"/>
      <c r="G2876" s="66"/>
    </row>
    <row r="2877" spans="2:8" ht="15.75">
      <c r="B2877" s="754" t="s">
        <v>912</v>
      </c>
      <c r="C2877" s="754"/>
      <c r="D2877" s="756">
        <f>D2874-D2875</f>
        <v>-43720.400000000009</v>
      </c>
      <c r="E2877" s="754"/>
      <c r="F2877" s="754"/>
      <c r="G2877" s="754"/>
    </row>
    <row r="2878" spans="2:8" ht="15.75">
      <c r="B2878" s="67" t="s">
        <v>852</v>
      </c>
      <c r="C2878" s="67"/>
      <c r="D2878" s="758">
        <f>D2877/D2870</f>
        <v>-9.6895902129828659</v>
      </c>
      <c r="E2878" s="67"/>
      <c r="F2878" s="67"/>
      <c r="G2878" s="67"/>
    </row>
    <row r="2879" spans="2:8" ht="15.75">
      <c r="B2879" s="66"/>
      <c r="C2879" s="66"/>
      <c r="D2879" s="66"/>
      <c r="E2879" s="66"/>
      <c r="F2879" s="66"/>
      <c r="G2879" s="66"/>
    </row>
    <row r="2880" spans="2:8" ht="15.75">
      <c r="B2880" s="66"/>
      <c r="C2880" s="66"/>
      <c r="D2880" s="66"/>
      <c r="E2880" s="66"/>
      <c r="F2880" s="66"/>
      <c r="G2880" s="66"/>
    </row>
    <row r="2881" spans="2:11" ht="15.75">
      <c r="B2881" s="66"/>
      <c r="C2881" s="66"/>
      <c r="D2881" s="66"/>
      <c r="E2881" s="66"/>
      <c r="F2881" s="66"/>
      <c r="G2881" s="66"/>
    </row>
    <row r="2882" spans="2:11" ht="15.75">
      <c r="B2882" s="66"/>
      <c r="C2882" s="66"/>
      <c r="D2882" s="66"/>
      <c r="E2882" s="66"/>
      <c r="F2882" s="66"/>
      <c r="G2882" s="66"/>
    </row>
    <row r="2883" spans="2:11" ht="15.75">
      <c r="B2883" s="66"/>
      <c r="C2883" s="66"/>
      <c r="D2883" s="66"/>
      <c r="E2883" s="66"/>
      <c r="F2883" s="66"/>
      <c r="G2883" s="66"/>
    </row>
    <row r="2884" spans="2:11" ht="15.75">
      <c r="B2884" s="66"/>
      <c r="C2884" s="66"/>
      <c r="D2884" s="66"/>
      <c r="E2884" s="66"/>
      <c r="F2884" s="66"/>
      <c r="G2884" s="66"/>
    </row>
    <row r="2885" spans="2:11" ht="15.75">
      <c r="B2885" s="74" t="s">
        <v>715</v>
      </c>
      <c r="C2885" s="74">
        <v>2023</v>
      </c>
      <c r="D2885" s="74">
        <f>C2885+1</f>
        <v>2024</v>
      </c>
      <c r="E2885" s="74">
        <f t="shared" ref="E2885:J2885" si="248">D2885+1</f>
        <v>2025</v>
      </c>
      <c r="F2885" s="74">
        <f t="shared" si="248"/>
        <v>2026</v>
      </c>
      <c r="G2885" s="74">
        <f t="shared" si="248"/>
        <v>2027</v>
      </c>
      <c r="H2885" s="74">
        <f t="shared" si="248"/>
        <v>2028</v>
      </c>
      <c r="I2885" s="74">
        <f t="shared" si="248"/>
        <v>2029</v>
      </c>
      <c r="J2885" s="74">
        <f t="shared" si="248"/>
        <v>2030</v>
      </c>
      <c r="K2885" s="66"/>
    </row>
    <row r="2886" spans="2:11" ht="15.75">
      <c r="B2886" s="66" t="s">
        <v>200</v>
      </c>
      <c r="C2886" s="125">
        <f>Master!V5</f>
        <v>73767.900000000009</v>
      </c>
      <c r="D2886" s="125">
        <f>Master!W5</f>
        <v>64302.151064570928</v>
      </c>
      <c r="E2886" s="125">
        <f>Master!X5</f>
        <v>63593.794268350568</v>
      </c>
      <c r="F2886" s="125">
        <f>Master!Y5</f>
        <v>63757.303063595296</v>
      </c>
      <c r="G2886" s="125">
        <f>Master!Z5</f>
        <v>64323.113340935619</v>
      </c>
      <c r="H2886" s="125">
        <f>Master!AA5</f>
        <v>65331.502767064427</v>
      </c>
      <c r="I2886" s="125">
        <f>Master!AB5</f>
        <v>66551.615598526143</v>
      </c>
      <c r="J2886" s="125">
        <f>Master!AC5</f>
        <v>67860.544809081461</v>
      </c>
    </row>
    <row r="2887" spans="2:11" ht="15.75">
      <c r="B2887" s="66" t="s">
        <v>57</v>
      </c>
      <c r="C2887" s="125">
        <f>Master!V13</f>
        <v>24218.100000000002</v>
      </c>
      <c r="D2887" s="125">
        <f>Master!W13</f>
        <v>24362.760803532561</v>
      </c>
      <c r="E2887" s="125">
        <f>Master!X13</f>
        <v>21401.905240149226</v>
      </c>
      <c r="F2887" s="125">
        <f>Master!Y13</f>
        <v>21415.856886123318</v>
      </c>
      <c r="G2887" s="125">
        <f>Master!Z13</f>
        <v>21580.9097714204</v>
      </c>
      <c r="H2887" s="125">
        <f>Master!AA13</f>
        <v>21913.908011292671</v>
      </c>
      <c r="I2887" s="125">
        <f>Master!AB13</f>
        <v>22329.002138978634</v>
      </c>
      <c r="J2887" s="125">
        <f>Master!AC13</f>
        <v>22780.389856373589</v>
      </c>
    </row>
    <row r="2888" spans="2:11" ht="15.75">
      <c r="B2888" s="66" t="s">
        <v>186</v>
      </c>
      <c r="C2888" s="125">
        <f>Master!V18</f>
        <v>2663.7000000000007</v>
      </c>
      <c r="D2888" s="125">
        <f>Master!W18</f>
        <v>3273.0987419220974</v>
      </c>
      <c r="E2888" s="125">
        <f>Master!X18</f>
        <v>1548.5557743174668</v>
      </c>
      <c r="F2888" s="125">
        <f>Master!Y18</f>
        <v>1771.7848548101392</v>
      </c>
      <c r="G2888" s="125">
        <f>Master!Z18</f>
        <v>2121.3338921364611</v>
      </c>
      <c r="H2888" s="125">
        <f>Master!AA18</f>
        <v>2661.0358924421253</v>
      </c>
      <c r="I2888" s="125">
        <f>Master!AB18</f>
        <v>3278.533126373537</v>
      </c>
      <c r="J2888" s="125">
        <f>Master!AC18</f>
        <v>3916.9174267292328</v>
      </c>
    </row>
    <row r="2889" spans="2:11" ht="15.75">
      <c r="B2889" s="66" t="s">
        <v>7333</v>
      </c>
      <c r="C2889" s="125">
        <f>Master!V30</f>
        <v>-10235.899999999998</v>
      </c>
      <c r="D2889" s="125">
        <f ca="1">Master!W30</f>
        <v>641.95059122519751</v>
      </c>
      <c r="E2889" s="125">
        <f ca="1">Master!X30</f>
        <v>-1434.325681993676</v>
      </c>
      <c r="F2889" s="125">
        <f ca="1">Master!Y30</f>
        <v>-307.91427424898563</v>
      </c>
      <c r="G2889" s="125">
        <f ca="1">Master!Z30</f>
        <v>595.25543851779094</v>
      </c>
      <c r="H2889" s="125">
        <f ca="1">Master!AA30</f>
        <v>1563.5609393305995</v>
      </c>
      <c r="I2889" s="125">
        <f ca="1">Master!AB30</f>
        <v>2514.4714502360389</v>
      </c>
      <c r="J2889" s="125">
        <f ca="1">Master!AC30</f>
        <v>3520.0884723049053</v>
      </c>
    </row>
    <row r="2890" spans="2:11" ht="15.75">
      <c r="B2890" s="66" t="s">
        <v>201</v>
      </c>
      <c r="C2890" s="125">
        <f>Master!V90</f>
        <v>14664.45</v>
      </c>
      <c r="D2890" s="125">
        <f>Master!W90</f>
        <v>12866.448770046549</v>
      </c>
      <c r="E2890" s="125">
        <f>Master!X90</f>
        <v>12292.698727155317</v>
      </c>
      <c r="F2890" s="125">
        <f>Master!Y90</f>
        <v>12513.332557101819</v>
      </c>
      <c r="G2890" s="125">
        <f>Master!Z90</f>
        <v>12559.355343909161</v>
      </c>
      <c r="H2890" s="125">
        <f>Master!AA90</f>
        <v>12689.686489851127</v>
      </c>
      <c r="I2890" s="125">
        <f>Master!AB90</f>
        <v>12853.795826216288</v>
      </c>
      <c r="J2890" s="125">
        <f>Master!AC90</f>
        <v>13167.867920728491</v>
      </c>
    </row>
    <row r="2891" spans="2:11" ht="15.75">
      <c r="B2891" s="66"/>
      <c r="C2891" s="66"/>
      <c r="D2891" s="66"/>
      <c r="E2891" s="66"/>
      <c r="F2891" s="66"/>
      <c r="G2891" s="66"/>
    </row>
    <row r="2892" spans="2:11" ht="15.75">
      <c r="B2892" s="66"/>
      <c r="C2892" s="66"/>
      <c r="D2892" s="66"/>
      <c r="E2892" s="66"/>
      <c r="F2892" s="66"/>
      <c r="G2892" s="66"/>
    </row>
    <row r="2893" spans="2:11" ht="15.75">
      <c r="B2893" s="74" t="s">
        <v>714</v>
      </c>
      <c r="C2893" s="74">
        <v>2023</v>
      </c>
      <c r="D2893" s="74">
        <f>C2893+1</f>
        <v>2024</v>
      </c>
      <c r="E2893" s="74">
        <f t="shared" ref="E2893:J2893" si="249">D2893+1</f>
        <v>2025</v>
      </c>
      <c r="F2893" s="74">
        <f t="shared" si="249"/>
        <v>2026</v>
      </c>
      <c r="G2893" s="74">
        <f t="shared" si="249"/>
        <v>2027</v>
      </c>
      <c r="H2893" s="74">
        <f t="shared" si="249"/>
        <v>2028</v>
      </c>
      <c r="I2893" s="74">
        <f t="shared" si="249"/>
        <v>2029</v>
      </c>
      <c r="J2893" s="74">
        <f t="shared" si="249"/>
        <v>2030</v>
      </c>
    </row>
    <row r="2894" spans="2:11" ht="15.75">
      <c r="B2894" s="66" t="s">
        <v>200</v>
      </c>
      <c r="C2894" s="125">
        <v>78733.51681703802</v>
      </c>
      <c r="D2894" s="125">
        <v>81399.735843507893</v>
      </c>
      <c r="E2894" s="125">
        <v>84451.260569111881</v>
      </c>
      <c r="F2894" s="125">
        <v>87108.677060544287</v>
      </c>
      <c r="G2894" s="125">
        <v>89295.473311468828</v>
      </c>
      <c r="H2894" s="125">
        <v>91596.284101216355</v>
      </c>
      <c r="I2894" s="125">
        <v>94014.475453872874</v>
      </c>
      <c r="J2894" s="125">
        <v>96553.578229170351</v>
      </c>
    </row>
    <row r="2895" spans="2:11" ht="15.75">
      <c r="B2895" s="66" t="s">
        <v>57</v>
      </c>
      <c r="C2895" s="125">
        <v>27084.291349668023</v>
      </c>
      <c r="D2895" s="125">
        <v>28066.824243412004</v>
      </c>
      <c r="E2895" s="125">
        <v>29205.916562871254</v>
      </c>
      <c r="F2895" s="125">
        <v>30178.709746940254</v>
      </c>
      <c r="G2895" s="125">
        <v>30954.724734748332</v>
      </c>
      <c r="H2895" s="125">
        <v>32746.022859564408</v>
      </c>
      <c r="I2895" s="125">
        <v>33710.593540937771</v>
      </c>
      <c r="J2895" s="125">
        <v>34724.616324190851</v>
      </c>
    </row>
    <row r="2896" spans="2:11" ht="15.75">
      <c r="B2896" s="66" t="s">
        <v>186</v>
      </c>
      <c r="C2896" s="125">
        <v>8276.6231254478225</v>
      </c>
      <c r="D2896" s="125">
        <v>10227.877416426334</v>
      </c>
      <c r="E2896" s="125">
        <v>10960.188695263025</v>
      </c>
      <c r="F2896" s="125">
        <v>11949.335209187393</v>
      </c>
      <c r="G2896" s="125">
        <v>12661.324982433982</v>
      </c>
      <c r="H2896" s="125">
        <v>14311.739578528301</v>
      </c>
      <c r="I2896" s="125">
        <v>15069.658226020358</v>
      </c>
      <c r="J2896" s="125">
        <v>15819.35971605013</v>
      </c>
    </row>
    <row r="2897" spans="2:10" ht="15.75">
      <c r="B2897" s="66" t="s">
        <v>7333</v>
      </c>
      <c r="C2897" s="125">
        <v>4490.0939332041953</v>
      </c>
      <c r="D2897" s="125">
        <v>7007.6790401685021</v>
      </c>
      <c r="E2897" s="125">
        <v>8838.6326584812341</v>
      </c>
      <c r="F2897" s="125">
        <v>10562.782023564661</v>
      </c>
      <c r="G2897" s="125">
        <v>12453.431861324376</v>
      </c>
      <c r="H2897" s="125">
        <v>15118.385012099356</v>
      </c>
      <c r="I2897" s="125">
        <v>17239.677957341151</v>
      </c>
      <c r="J2897" s="125">
        <v>19426.735496503366</v>
      </c>
    </row>
    <row r="2898" spans="2:10" ht="15.75">
      <c r="B2898" s="66" t="s">
        <v>201</v>
      </c>
      <c r="C2898" s="125">
        <v>16328.771105099784</v>
      </c>
      <c r="D2898" s="125">
        <v>15846.806892678089</v>
      </c>
      <c r="E2898" s="125">
        <v>15082.728155505834</v>
      </c>
      <c r="F2898" s="125">
        <v>15480.651039402117</v>
      </c>
      <c r="G2898" s="125">
        <v>15927.23386969471</v>
      </c>
      <c r="H2898" s="125">
        <v>16397.433809233338</v>
      </c>
      <c r="I2898" s="125">
        <v>16892.030927830983</v>
      </c>
      <c r="J2898" s="125">
        <v>17411.840781157</v>
      </c>
    </row>
    <row r="2899" spans="2:10" ht="15.75">
      <c r="B2899" s="66"/>
      <c r="C2899" s="66"/>
      <c r="D2899" s="66"/>
      <c r="E2899" s="66"/>
      <c r="F2899" s="66"/>
      <c r="G2899" s="66"/>
    </row>
    <row r="2900" spans="2:10" ht="15.75">
      <c r="B2900" s="66"/>
      <c r="C2900" s="66"/>
      <c r="D2900" s="66"/>
      <c r="E2900" s="66"/>
      <c r="F2900" s="66"/>
      <c r="G2900" s="66"/>
    </row>
    <row r="2901" spans="2:10" ht="15.75">
      <c r="B2901" s="74" t="s">
        <v>7334</v>
      </c>
      <c r="C2901" s="74">
        <v>2023</v>
      </c>
      <c r="D2901" s="74">
        <f>C2901+1</f>
        <v>2024</v>
      </c>
      <c r="E2901" s="74">
        <f t="shared" ref="E2901:J2901" si="250">D2901+1</f>
        <v>2025</v>
      </c>
      <c r="F2901" s="74">
        <f t="shared" si="250"/>
        <v>2026</v>
      </c>
      <c r="G2901" s="74">
        <f t="shared" si="250"/>
        <v>2027</v>
      </c>
      <c r="H2901" s="74">
        <f t="shared" si="250"/>
        <v>2028</v>
      </c>
      <c r="I2901" s="74">
        <f t="shared" si="250"/>
        <v>2029</v>
      </c>
      <c r="J2901" s="74">
        <f t="shared" si="250"/>
        <v>2030</v>
      </c>
    </row>
    <row r="2902" spans="2:10" ht="15.75">
      <c r="B2902" s="66" t="s">
        <v>200</v>
      </c>
      <c r="C2902" s="69">
        <f>C2886/C2894-1</f>
        <v>-6.3068652560982041E-2</v>
      </c>
      <c r="D2902" s="69">
        <f t="shared" ref="D2902:J2902" si="251">D2886/D2894-1</f>
        <v>-0.21004472068321334</v>
      </c>
      <c r="E2902" s="69">
        <f t="shared" si="251"/>
        <v>-0.24697637619858037</v>
      </c>
      <c r="F2902" s="69">
        <f t="shared" si="251"/>
        <v>-0.26807173274734475</v>
      </c>
      <c r="G2902" s="69">
        <f t="shared" si="251"/>
        <v>-0.27965986454238145</v>
      </c>
      <c r="H2902" s="69">
        <f t="shared" si="251"/>
        <v>-0.28674505294481856</v>
      </c>
      <c r="I2902" s="69">
        <f t="shared" si="251"/>
        <v>-0.29211309984727907</v>
      </c>
      <c r="J2902" s="69">
        <f t="shared" si="251"/>
        <v>-0.29717213951393751</v>
      </c>
    </row>
    <row r="2903" spans="2:10" ht="15.75">
      <c r="B2903" s="66" t="s">
        <v>57</v>
      </c>
      <c r="C2903" s="69">
        <f t="shared" ref="C2903:J2903" si="252">C2887/C2895-1</f>
        <v>-0.10582486034670247</v>
      </c>
      <c r="D2903" s="69">
        <f t="shared" si="252"/>
        <v>-0.13197301581951792</v>
      </c>
      <c r="E2903" s="69">
        <f t="shared" si="252"/>
        <v>-0.26720651981328569</v>
      </c>
      <c r="F2903" s="69">
        <f t="shared" si="252"/>
        <v>-0.29036539117466342</v>
      </c>
      <c r="G2903" s="69">
        <f t="shared" si="252"/>
        <v>-0.30282339913057998</v>
      </c>
      <c r="H2903" s="69">
        <f t="shared" si="252"/>
        <v>-0.33079176957539769</v>
      </c>
      <c r="I2903" s="69">
        <f t="shared" si="252"/>
        <v>-0.33762655018629262</v>
      </c>
      <c r="J2903" s="69">
        <f t="shared" si="252"/>
        <v>-0.34397000549423884</v>
      </c>
    </row>
    <row r="2904" spans="2:10" ht="15.75">
      <c r="B2904" s="66" t="s">
        <v>186</v>
      </c>
      <c r="C2904" s="69">
        <f t="shared" ref="C2904:J2904" si="253">C2888/C2896-1</f>
        <v>-0.67816584618791897</v>
      </c>
      <c r="D2904" s="69">
        <f t="shared" si="253"/>
        <v>-0.67998259964815522</v>
      </c>
      <c r="E2904" s="69">
        <f t="shared" si="253"/>
        <v>-0.85871084728798963</v>
      </c>
      <c r="F2904" s="69">
        <f t="shared" si="253"/>
        <v>-0.85172523627524643</v>
      </c>
      <c r="G2904" s="69">
        <f t="shared" si="253"/>
        <v>-0.8324556162108192</v>
      </c>
      <c r="H2904" s="69">
        <f t="shared" si="253"/>
        <v>-0.81406621621075059</v>
      </c>
      <c r="I2904" s="69">
        <f t="shared" si="253"/>
        <v>-0.78244144112621039</v>
      </c>
      <c r="J2904" s="69">
        <f t="shared" si="253"/>
        <v>-0.75239722106102835</v>
      </c>
    </row>
    <row r="2905" spans="2:10" ht="15.75">
      <c r="B2905" s="66" t="s">
        <v>7333</v>
      </c>
      <c r="C2905" s="69">
        <f t="shared" ref="C2905:J2905" si="254">C2889/C2897-1</f>
        <v>-3.279662775940082</v>
      </c>
      <c r="D2905" s="69">
        <f t="shared" ca="1" si="254"/>
        <v>-0.90839326579520951</v>
      </c>
      <c r="E2905" s="69">
        <f t="shared" ca="1" si="254"/>
        <v>-1.1622791372166994</v>
      </c>
      <c r="F2905" s="69">
        <f t="shared" ca="1" si="254"/>
        <v>-1.0291508689246882</v>
      </c>
      <c r="G2905" s="69">
        <f t="shared" ca="1" si="254"/>
        <v>-0.95220149392181375</v>
      </c>
      <c r="H2905" s="69">
        <f t="shared" ca="1" si="254"/>
        <v>-0.89657883840904495</v>
      </c>
      <c r="I2905" s="69">
        <f t="shared" ca="1" si="254"/>
        <v>-0.85414626326211018</v>
      </c>
      <c r="J2905" s="69">
        <f t="shared" ca="1" si="254"/>
        <v>-0.81880185309886522</v>
      </c>
    </row>
    <row r="2906" spans="2:10" ht="15.75">
      <c r="B2906" s="66" t="s">
        <v>201</v>
      </c>
      <c r="C2906" s="69">
        <f t="shared" ref="C2906:J2906" si="255">C2890/C2898-1</f>
        <v>-0.10192568040714245</v>
      </c>
      <c r="D2906" s="69">
        <f t="shared" si="255"/>
        <v>-0.18807310159175317</v>
      </c>
      <c r="E2906" s="69">
        <f t="shared" si="255"/>
        <v>-0.1849817486322618</v>
      </c>
      <c r="F2906" s="69">
        <f t="shared" si="255"/>
        <v>-0.19167917904406806</v>
      </c>
      <c r="G2906" s="69">
        <f t="shared" si="255"/>
        <v>-0.2114540762909074</v>
      </c>
      <c r="H2906" s="69">
        <f t="shared" si="255"/>
        <v>-0.22611753537278445</v>
      </c>
      <c r="I2906" s="69">
        <f t="shared" si="255"/>
        <v>-0.23906155031727871</v>
      </c>
      <c r="J2906" s="69">
        <f t="shared" si="255"/>
        <v>-0.24374061960302973</v>
      </c>
    </row>
    <row r="2907" spans="2:10" ht="15.75">
      <c r="B2907" s="66"/>
      <c r="C2907" s="66"/>
      <c r="D2907" s="66"/>
      <c r="E2907" s="66"/>
      <c r="F2907" s="66"/>
      <c r="G2907" s="66"/>
    </row>
    <row r="2908" spans="2:10" ht="15.75">
      <c r="B2908" s="66"/>
      <c r="C2908" s="66"/>
      <c r="D2908" s="66"/>
      <c r="E2908" s="66"/>
      <c r="F2908" s="66"/>
      <c r="G2908" s="66"/>
    </row>
    <row r="2909" spans="2:10">
      <c r="B2909" s="857" t="str">
        <f>SOP!B3</f>
        <v>USD m</v>
      </c>
      <c r="C2909" s="858" t="str">
        <f>SOP!C3</f>
        <v>Ownership %</v>
      </c>
      <c r="D2909" s="858" t="str">
        <f>SOP!D3</f>
        <v>x 24 EBITDA</v>
      </c>
      <c r="E2909" s="858" t="str">
        <f>SOP!E3</f>
        <v>100% equity</v>
      </c>
      <c r="F2909" s="858" t="str">
        <f>SOP!F3</f>
        <v>2023 debt</v>
      </c>
      <c r="G2909" s="858" t="str">
        <f>SOP!G3</f>
        <v>100% EV</v>
      </c>
    </row>
    <row r="2910" spans="2:10">
      <c r="B2910" s="846" t="str">
        <f>SOP!B5</f>
        <v>Sky</v>
      </c>
      <c r="C2910" s="960">
        <f>SOP!C5</f>
        <v>1</v>
      </c>
      <c r="D2910" s="961">
        <f>SOP!D5</f>
        <v>2.6973558160751723</v>
      </c>
      <c r="E2910" s="1069">
        <f ca="1">SOP!E5</f>
        <v>743.89508686645149</v>
      </c>
      <c r="F2910" s="962">
        <f ca="1">SOP!F5</f>
        <v>35.537123705425479</v>
      </c>
      <c r="G2910" s="1069">
        <f>SOP!G5</f>
        <v>779.43221057187702</v>
      </c>
    </row>
    <row r="2911" spans="2:10">
      <c r="B2911" s="685" t="str">
        <f>SOP!B8</f>
        <v>HQ/other central</v>
      </c>
      <c r="C2911" s="956">
        <f>SOP!C8</f>
        <v>1</v>
      </c>
      <c r="D2911" s="957">
        <f>SOP!D8</f>
        <v>-15.900308755383659</v>
      </c>
      <c r="E2911" s="1064">
        <f>SOP!E8</f>
        <v>-1177.0111155928166</v>
      </c>
      <c r="F2911" s="958">
        <f>SOP!F8</f>
        <v>0</v>
      </c>
      <c r="G2911" s="1064">
        <f>SOP!G8</f>
        <v>-1177.0111155928166</v>
      </c>
    </row>
    <row r="2912" spans="2:10">
      <c r="B2912" s="974"/>
      <c r="C2912" s="960"/>
      <c r="D2912" s="966"/>
      <c r="E2912" s="966"/>
      <c r="F2912" s="962"/>
      <c r="G2912" s="962"/>
    </row>
    <row r="2913" spans="2:9">
      <c r="B2913" s="743" t="str">
        <f>SOP!B10</f>
        <v>Plus associates:</v>
      </c>
      <c r="C2913" s="858"/>
      <c r="D2913" s="858" t="str">
        <f>SOP!D10</f>
        <v>x 24 EBITDA</v>
      </c>
      <c r="E2913" s="858" t="str">
        <f>SOP!E10</f>
        <v>EV</v>
      </c>
      <c r="F2913" s="858" t="str">
        <f>SOP!F10</f>
        <v>Debt</v>
      </c>
      <c r="G2913" s="858" t="str">
        <f>SOP!G10</f>
        <v>Equity</v>
      </c>
    </row>
    <row r="2914" spans="2:9">
      <c r="B2914" s="846" t="str">
        <f>SOP!B13</f>
        <v>TelevisaUnivision</v>
      </c>
      <c r="C2914" s="960">
        <f>SOP!C13</f>
        <v>0.45</v>
      </c>
      <c r="D2914" s="961">
        <f>SOP!D13</f>
        <v>9.37580975701146</v>
      </c>
      <c r="E2914" s="1069">
        <f>SOP!E13</f>
        <v>15497.215943526713</v>
      </c>
      <c r="F2914" s="962">
        <f>SOP!F13</f>
        <v>9658.7000000000007</v>
      </c>
      <c r="G2914" s="1069">
        <f>SOP!G13</f>
        <v>2627.3321745870207</v>
      </c>
    </row>
    <row r="2915" spans="2:9">
      <c r="B2915" s="685" t="str">
        <f>SOP!B14</f>
        <v>GTAC</v>
      </c>
      <c r="C2915" s="956">
        <f>SOP!C14</f>
        <v>0.33</v>
      </c>
      <c r="D2915" s="959"/>
      <c r="E2915" s="1064"/>
      <c r="F2915" s="958"/>
      <c r="G2915" s="1064">
        <f>SOP!G14</f>
        <v>50</v>
      </c>
    </row>
    <row r="2916" spans="2:9">
      <c r="B2916" s="855" t="s">
        <v>7600</v>
      </c>
      <c r="C2916" s="963">
        <v>0.47499999999999998</v>
      </c>
      <c r="D2916" s="1070">
        <v>4.5999999999999996</v>
      </c>
      <c r="E2916" s="964"/>
      <c r="F2916" s="965"/>
      <c r="G2916" s="1071">
        <v>2604</v>
      </c>
    </row>
    <row r="2917" spans="2:9">
      <c r="B2917" s="685" t="str">
        <f>SOP!B15</f>
        <v>Total</v>
      </c>
      <c r="C2917" s="959"/>
      <c r="D2917" s="959"/>
      <c r="E2917" s="959"/>
      <c r="F2917" s="959"/>
      <c r="G2917" s="1064">
        <f>G2914+G2915+G2916</f>
        <v>5281.3321745870207</v>
      </c>
    </row>
    <row r="2918" spans="2:9">
      <c r="B2918" s="846"/>
      <c r="C2918" s="966"/>
      <c r="D2918" s="966"/>
      <c r="E2918" s="966"/>
      <c r="F2918" s="966"/>
      <c r="G2918" s="966"/>
    </row>
    <row r="2919" spans="2:9">
      <c r="B2919" s="685" t="str">
        <f>SOP!B17</f>
        <v>Less minorities:</v>
      </c>
      <c r="C2919" s="959"/>
      <c r="D2919" s="959"/>
      <c r="E2919" s="959"/>
      <c r="F2919" s="959"/>
      <c r="G2919" s="959"/>
    </row>
    <row r="2920" spans="2:9">
      <c r="B2920" s="855" t="str">
        <f>SOP!B18</f>
        <v>Sky</v>
      </c>
      <c r="C2920" s="964"/>
      <c r="D2920" s="964"/>
      <c r="E2920" s="964"/>
      <c r="F2920" s="964"/>
      <c r="G2920" s="1071">
        <f ca="1">SOP!G18</f>
        <v>0</v>
      </c>
    </row>
    <row r="2921" spans="2:9">
      <c r="B2921" s="685" t="str">
        <f>SOP!B20</f>
        <v>Total</v>
      </c>
      <c r="C2921" s="959"/>
      <c r="D2921" s="959"/>
      <c r="E2921" s="959"/>
      <c r="F2921" s="959"/>
      <c r="G2921" s="1064">
        <f ca="1">G2920</f>
        <v>0</v>
      </c>
    </row>
    <row r="2922" spans="2:9">
      <c r="B2922" s="846"/>
      <c r="C2922" s="966"/>
      <c r="D2922" s="966"/>
      <c r="E2922" s="966"/>
      <c r="F2922" s="966"/>
      <c r="G2922" s="966"/>
    </row>
    <row r="2923" spans="2:9">
      <c r="B2923" s="874" t="str">
        <f>SOP!B23</f>
        <v>Total value</v>
      </c>
      <c r="C2923" s="971"/>
      <c r="D2923" s="971"/>
      <c r="E2923" s="971"/>
      <c r="F2923" s="971"/>
      <c r="G2923" s="1066">
        <f ca="1">G2910+G2911+G2917-G2921</f>
        <v>4883.7532695660811</v>
      </c>
    </row>
    <row r="2924" spans="2:9">
      <c r="B2924" s="846" t="str">
        <f>SOP!B24</f>
        <v>2024e net debt</v>
      </c>
      <c r="C2924" s="966"/>
      <c r="D2924" s="966"/>
      <c r="E2924" s="966"/>
      <c r="F2924" s="966"/>
      <c r="G2924" s="1069">
        <f ca="1">SOP!G24</f>
        <v>3458.2892069071536</v>
      </c>
    </row>
    <row r="2925" spans="2:9">
      <c r="B2925" s="685" t="s">
        <v>7599</v>
      </c>
      <c r="C2925" s="959"/>
      <c r="D2925" s="959"/>
      <c r="E2925" s="959"/>
      <c r="F2925" s="959"/>
      <c r="G2925" s="1064">
        <f>25000/17</f>
        <v>1470.5882352941176</v>
      </c>
    </row>
    <row r="2926" spans="2:9">
      <c r="B2926" s="846" t="str">
        <f>SOP!B25</f>
        <v>Tax liability</v>
      </c>
      <c r="C2926" s="966"/>
      <c r="D2926" s="966"/>
      <c r="E2926" s="966"/>
      <c r="F2926" s="966"/>
      <c r="G2926" s="1069">
        <f>SOP!G25</f>
        <v>0</v>
      </c>
    </row>
    <row r="2927" spans="2:9">
      <c r="B2927" s="743" t="str">
        <f>SOP!B26</f>
        <v>Future licence / intangibles</v>
      </c>
      <c r="C2927" s="925"/>
      <c r="D2927" s="925"/>
      <c r="E2927" s="925"/>
      <c r="F2927" s="925"/>
      <c r="G2927" s="1065">
        <f>SOP!G26</f>
        <v>542.97976047870714</v>
      </c>
    </row>
    <row r="2928" spans="2:9">
      <c r="B2928" s="859" t="str">
        <f>SOP!B27</f>
        <v>Equity value</v>
      </c>
      <c r="C2928" s="870"/>
      <c r="D2928" s="870"/>
      <c r="E2928" s="870"/>
      <c r="F2928" s="870"/>
      <c r="G2928" s="1072">
        <f ca="1">G2923-G2924+G2925-G2926-G2927</f>
        <v>2353.0725374743379</v>
      </c>
      <c r="H2928" s="122">
        <f ca="1">G2928-SOP!G27</f>
        <v>1054.410999984399</v>
      </c>
      <c r="I2928">
        <f ca="1">H2928*17</f>
        <v>17924.986999734785</v>
      </c>
    </row>
    <row r="2929" spans="2:7">
      <c r="B2929" s="685"/>
      <c r="C2929" s="959"/>
      <c r="D2929" s="959"/>
      <c r="E2929" s="959"/>
      <c r="F2929" s="959"/>
      <c r="G2929" s="958"/>
    </row>
    <row r="2930" spans="2:7">
      <c r="B2930" s="846" t="str">
        <f>SOP!B29</f>
        <v>Number of shares</v>
      </c>
      <c r="C2930" s="966"/>
      <c r="D2930" s="966"/>
      <c r="E2930" s="966"/>
      <c r="F2930" s="966"/>
      <c r="G2930" s="1069">
        <f>SOP!G29</f>
        <v>573.38307692307694</v>
      </c>
    </row>
    <row r="2931" spans="2:7">
      <c r="B2931" s="874" t="str">
        <f>SOP!B31</f>
        <v>Value per share</v>
      </c>
      <c r="C2931" s="971"/>
      <c r="D2931" s="971"/>
      <c r="E2931" s="971"/>
      <c r="F2931" s="971"/>
      <c r="G2931" s="1067">
        <f ca="1">G2928/G2930</f>
        <v>4.1038402285981972</v>
      </c>
    </row>
    <row r="2932" spans="2:7" ht="15.75" thickBot="1">
      <c r="B2932" s="846" t="str">
        <f>SOP!B34</f>
        <v>2024 dividend</v>
      </c>
      <c r="C2932" s="870"/>
      <c r="D2932" s="870"/>
      <c r="E2932" s="870"/>
      <c r="F2932" s="870"/>
      <c r="G2932" s="1073">
        <f>SOP!G34</f>
        <v>0.10360162391142286</v>
      </c>
    </row>
    <row r="2933" spans="2:7" ht="15.75" thickBot="1">
      <c r="B2933" s="911" t="str">
        <f>SOP!B35</f>
        <v>Target price, ADR</v>
      </c>
      <c r="C2933" s="972"/>
      <c r="D2933" s="972"/>
      <c r="E2933" s="972"/>
      <c r="F2933" s="972"/>
      <c r="G2933" s="1068">
        <f ca="1">G2931+G2932</f>
        <v>4.2074418525096204</v>
      </c>
    </row>
    <row r="2934" spans="2:7">
      <c r="B2934" s="846" t="str">
        <f>SOP!B36</f>
        <v>Current price</v>
      </c>
      <c r="C2934" s="966"/>
      <c r="D2934" s="966"/>
      <c r="E2934" s="966"/>
      <c r="F2934" s="966"/>
      <c r="G2934" s="1073">
        <f>SOP!G36</f>
        <v>3.16</v>
      </c>
    </row>
    <row r="2935" spans="2:7">
      <c r="B2935" s="743" t="str">
        <f>SOP!B37</f>
        <v>Upside</v>
      </c>
      <c r="C2935" s="925"/>
      <c r="D2935" s="925"/>
      <c r="E2935" s="925"/>
      <c r="F2935" s="925"/>
      <c r="G2935" s="967">
        <f ca="1">G2933/G2934-1</f>
        <v>0.33146894066760124</v>
      </c>
    </row>
    <row r="2938" spans="2:7">
      <c r="B2938" s="121" t="s">
        <v>7667</v>
      </c>
    </row>
    <row r="2940" spans="2:7">
      <c r="B2940" s="149" t="s">
        <v>6739</v>
      </c>
      <c r="C2940" s="574" t="s">
        <v>7668</v>
      </c>
      <c r="D2940" s="574" t="s">
        <v>7669</v>
      </c>
      <c r="E2940" s="574" t="s">
        <v>7670</v>
      </c>
    </row>
    <row r="2941" spans="2:7">
      <c r="B2941" s="755" t="s">
        <v>200</v>
      </c>
      <c r="C2941" s="755">
        <v>4492</v>
      </c>
      <c r="D2941" s="1081">
        <f>C2941*(4/3)</f>
        <v>5989.333333333333</v>
      </c>
      <c r="E2941" s="1082">
        <f>D2941/Master!V5</f>
        <v>8.1191593272051013E-2</v>
      </c>
    </row>
    <row r="2942" spans="2:7">
      <c r="B2942" t="s">
        <v>3860</v>
      </c>
      <c r="C2942">
        <f>C2945+C2944</f>
        <v>814</v>
      </c>
      <c r="D2942" s="122">
        <f>C2942*(4/3)</f>
        <v>1085.3333333333333</v>
      </c>
      <c r="E2942" s="8">
        <f>D2942/Master!V13</f>
        <v>4.4814966216727703E-2</v>
      </c>
    </row>
    <row r="2943" spans="2:7">
      <c r="B2943" s="755" t="s">
        <v>158</v>
      </c>
      <c r="C2943" s="1082">
        <f>C2942/C2941</f>
        <v>0.18121104185218165</v>
      </c>
      <c r="D2943" s="1082">
        <f>D2942/D2941</f>
        <v>0.18121104185218165</v>
      </c>
      <c r="E2943" s="755"/>
    </row>
    <row r="2944" spans="2:7">
      <c r="B2944" t="s">
        <v>533</v>
      </c>
      <c r="C2944">
        <v>300</v>
      </c>
      <c r="D2944" s="122">
        <f>C2944*(4/3)</f>
        <v>400</v>
      </c>
    </row>
    <row r="2945" spans="2:5">
      <c r="B2945" s="755" t="s">
        <v>7671</v>
      </c>
      <c r="C2945" s="755">
        <v>514</v>
      </c>
      <c r="D2945" s="1081">
        <f>D2942-D2944</f>
        <v>685.33333333333326</v>
      </c>
      <c r="E2945" s="1082">
        <f>D2945/Master!V18</f>
        <v>0.25728623093191166</v>
      </c>
    </row>
    <row r="2946" spans="2:5">
      <c r="B2946" t="s">
        <v>158</v>
      </c>
      <c r="C2946" s="8">
        <f>C2945/C2941</f>
        <v>0.11442564559216385</v>
      </c>
      <c r="D2946" s="8">
        <f>D2945/D2941</f>
        <v>0.11442564559216384</v>
      </c>
    </row>
    <row r="2947" spans="2:5">
      <c r="B2947" s="755"/>
      <c r="C2947" s="1082"/>
      <c r="D2947" s="1082"/>
      <c r="E2947" s="755"/>
    </row>
    <row r="2948" spans="2:5">
      <c r="B2948" t="s">
        <v>261</v>
      </c>
      <c r="C2948">
        <v>262</v>
      </c>
      <c r="D2948" s="122">
        <f>C2948*(4/3)</f>
        <v>349.33333333333331</v>
      </c>
    </row>
    <row r="2949" spans="2:5">
      <c r="B2949" s="755" t="s">
        <v>265</v>
      </c>
      <c r="C2949" s="755">
        <v>-175</v>
      </c>
      <c r="D2949" s="1081">
        <f>C2949*(4/3)</f>
        <v>-233.33333333333331</v>
      </c>
      <c r="E2949" s="755"/>
    </row>
    <row r="2950" spans="2:5">
      <c r="C2950" s="8"/>
      <c r="D2950" s="8"/>
    </row>
    <row r="2951" spans="2:5">
      <c r="B2951" s="755" t="s">
        <v>191</v>
      </c>
      <c r="C2951" s="755">
        <f>C2945+C2948+C2949</f>
        <v>601</v>
      </c>
      <c r="D2951" s="1083">
        <f>D2945+D2948+D2949</f>
        <v>801.33333333333326</v>
      </c>
      <c r="E2951" s="1084" t="s">
        <v>7672</v>
      </c>
    </row>
    <row r="2952" spans="2:5">
      <c r="B2952" t="s">
        <v>192</v>
      </c>
      <c r="C2952">
        <v>177</v>
      </c>
      <c r="D2952" s="4">
        <f>C2952*(4/3)</f>
        <v>236</v>
      </c>
      <c r="E2952" s="3"/>
    </row>
    <row r="2953" spans="2:5">
      <c r="B2953" s="755" t="s">
        <v>194</v>
      </c>
      <c r="C2953" s="755">
        <f>C2951-C2952</f>
        <v>424</v>
      </c>
      <c r="D2953" s="1083">
        <f>D2951-D2952</f>
        <v>565.33333333333326</v>
      </c>
      <c r="E2953" s="1084" t="s">
        <v>7672</v>
      </c>
    </row>
    <row r="2955" spans="2:5">
      <c r="B2955" s="755" t="s">
        <v>1811</v>
      </c>
      <c r="C2955" s="1081">
        <v>458.9</v>
      </c>
      <c r="D2955" s="1081">
        <f>C2955*(4/3)</f>
        <v>611.86666666666656</v>
      </c>
      <c r="E2955" s="1085">
        <f>D2955/Master!V90</f>
        <v>4.1724487905558445E-2</v>
      </c>
    </row>
    <row r="2956" spans="2:5">
      <c r="B2956" t="s">
        <v>7673</v>
      </c>
      <c r="C2956" s="122">
        <f>C2942-C2955</f>
        <v>355.1</v>
      </c>
      <c r="D2956" s="122">
        <f>D2942-D2955</f>
        <v>473.4666666666667</v>
      </c>
      <c r="E2956" s="10">
        <f>D2956/Master!V116</f>
        <v>4.9558720140120964E-2</v>
      </c>
    </row>
    <row r="2957" spans="2:5">
      <c r="B2957" s="755"/>
      <c r="C2957" s="755"/>
      <c r="D2957" s="1086"/>
      <c r="E2957" s="755"/>
    </row>
    <row r="2958" spans="2:5">
      <c r="B2958" t="s">
        <v>7674</v>
      </c>
      <c r="D2958" s="4">
        <f>(D2942-C2942)-(D2955-C2955)+(D2948-C2948)+(D2949-C2949)-(D2952-C2952)</f>
        <v>88.366666666666674</v>
      </c>
    </row>
    <row r="2959" spans="2:5">
      <c r="B2959" s="755"/>
      <c r="C2959" s="755"/>
      <c r="D2959" s="1086"/>
      <c r="E2959" s="755"/>
    </row>
    <row r="2960" spans="2:5">
      <c r="B2960" t="s">
        <v>7675</v>
      </c>
      <c r="C2960">
        <v>1177</v>
      </c>
      <c r="D2960" s="4">
        <f>C2960+D2958</f>
        <v>1265.3666666666668</v>
      </c>
    </row>
    <row r="2961" spans="2:9">
      <c r="B2961" s="755" t="s">
        <v>7676</v>
      </c>
      <c r="C2961" s="755">
        <v>128</v>
      </c>
      <c r="D2961" s="755">
        <f>C2961</f>
        <v>128</v>
      </c>
      <c r="E2961" s="755"/>
    </row>
    <row r="2962" spans="2:9">
      <c r="B2962" s="61" t="s">
        <v>7677</v>
      </c>
      <c r="C2962" s="61">
        <v>1063</v>
      </c>
      <c r="D2962" s="61">
        <f>C2962</f>
        <v>1063</v>
      </c>
    </row>
    <row r="2963" spans="2:9">
      <c r="B2963" s="755" t="s">
        <v>224</v>
      </c>
      <c r="C2963" s="755">
        <f>C2962+C2961-C2960</f>
        <v>14</v>
      </c>
      <c r="D2963" s="1083">
        <f>D2962+D2961-D2960</f>
        <v>-74.366666666666788</v>
      </c>
      <c r="E2963" s="755"/>
    </row>
    <row r="2964" spans="2:9" ht="15.75" thickBot="1"/>
    <row r="2965" spans="2:9" ht="15.75" thickBot="1">
      <c r="B2965" s="1087" t="s">
        <v>7662</v>
      </c>
      <c r="C2965" s="1088"/>
      <c r="D2965" s="1089">
        <v>4</v>
      </c>
      <c r="E2965" s="755"/>
    </row>
    <row r="2966" spans="2:9">
      <c r="B2966" t="s">
        <v>456</v>
      </c>
      <c r="D2966" s="4">
        <f>D2965*D2942</f>
        <v>4341.333333333333</v>
      </c>
    </row>
    <row r="2967" spans="2:9">
      <c r="B2967" s="755" t="s">
        <v>7665</v>
      </c>
      <c r="C2967" s="755"/>
      <c r="D2967" s="1086">
        <f>D2966/D2956</f>
        <v>9.1692480991270049</v>
      </c>
      <c r="E2967" s="755"/>
    </row>
    <row r="2968" spans="2:9" ht="15.75" thickBot="1">
      <c r="B2968" t="s">
        <v>530</v>
      </c>
      <c r="D2968" s="4">
        <f>D2966-D2963</f>
        <v>4415.7</v>
      </c>
    </row>
    <row r="2969" spans="2:9" ht="15.75" thickBot="1">
      <c r="B2969" s="1087" t="s">
        <v>7678</v>
      </c>
      <c r="C2969" s="1088"/>
      <c r="D2969" s="1089">
        <f>D2968/D2953</f>
        <v>7.8107900943396231</v>
      </c>
      <c r="E2969" s="755"/>
    </row>
    <row r="2970" spans="2:9" ht="15.75" thickBot="1">
      <c r="B2970" t="s">
        <v>7664</v>
      </c>
      <c r="D2970" s="4">
        <f>D2968/17</f>
        <v>259.74705882352941</v>
      </c>
    </row>
    <row r="2971" spans="2:9" ht="15.75" thickBot="1">
      <c r="B2971" s="1087" t="s">
        <v>7663</v>
      </c>
      <c r="C2971" s="1088"/>
      <c r="D2971" s="1589">
        <f>D2970/SOP!G29</f>
        <v>0.45300789171769745</v>
      </c>
      <c r="E2971" s="755"/>
    </row>
    <row r="2975" spans="2:9">
      <c r="B2975" s="149" t="s">
        <v>1889</v>
      </c>
      <c r="C2975" s="149">
        <v>2023</v>
      </c>
      <c r="D2975" s="149">
        <f>C2975+1</f>
        <v>2024</v>
      </c>
      <c r="E2975" s="149">
        <f t="shared" ref="E2975:H2975" si="256">D2975+1</f>
        <v>2025</v>
      </c>
      <c r="F2975" s="149">
        <f t="shared" si="256"/>
        <v>2026</v>
      </c>
      <c r="G2975" s="149">
        <f t="shared" si="256"/>
        <v>2027</v>
      </c>
      <c r="H2975" s="149">
        <f t="shared" si="256"/>
        <v>2028</v>
      </c>
      <c r="I2975" s="574" t="s">
        <v>7726</v>
      </c>
    </row>
    <row r="2976" spans="2:9">
      <c r="B2976" t="s">
        <v>87</v>
      </c>
      <c r="C2976" s="122">
        <f>Master!V51</f>
        <v>17585.2</v>
      </c>
      <c r="D2976" s="122">
        <f>Master!W51</f>
        <v>15669.651064570926</v>
      </c>
      <c r="E2976" s="122">
        <f>Master!X51</f>
        <v>14471.39653698212</v>
      </c>
      <c r="F2976" s="122">
        <f>Master!Y51</f>
        <v>13649.527111625455</v>
      </c>
      <c r="G2976" s="122">
        <f>Master!Z51</f>
        <v>12959.924872841093</v>
      </c>
      <c r="H2976" s="122">
        <f>Master!AA51</f>
        <v>12296.149820803679</v>
      </c>
      <c r="I2976" s="10">
        <f>(H2976/D2976)^(1/4)-1</f>
        <v>-5.8809672942759517E-2</v>
      </c>
    </row>
    <row r="2977" spans="2:9">
      <c r="B2977" s="61" t="s">
        <v>1909</v>
      </c>
      <c r="C2977" s="449">
        <f>Master!V52</f>
        <v>48802.5</v>
      </c>
      <c r="D2977" s="449">
        <f>Master!W52</f>
        <v>48802.5</v>
      </c>
      <c r="E2977" s="449">
        <f>Master!X52</f>
        <v>49290.525000000001</v>
      </c>
      <c r="F2977" s="449">
        <f>Master!Y52</f>
        <v>50276.335500000001</v>
      </c>
      <c r="G2977" s="449">
        <f>Master!Z52</f>
        <v>51533.243887499993</v>
      </c>
      <c r="H2977" s="449">
        <f>Master!AA52</f>
        <v>53208.074313843739</v>
      </c>
      <c r="I2977" s="1667">
        <f>(H2977/D2977)^(1/4)-1</f>
        <v>2.1842279110194207E-2</v>
      </c>
    </row>
    <row r="2978" spans="2:9">
      <c r="B2978" t="s">
        <v>733</v>
      </c>
      <c r="C2978" s="122">
        <f>C2976+C2977</f>
        <v>66387.7</v>
      </c>
      <c r="D2978" s="122">
        <f t="shared" ref="D2978:H2978" si="257">D2976+D2977</f>
        <v>64472.151064570928</v>
      </c>
      <c r="E2978" s="122">
        <f t="shared" si="257"/>
        <v>63761.921536982118</v>
      </c>
      <c r="F2978" s="122">
        <f t="shared" si="257"/>
        <v>63925.86261162546</v>
      </c>
      <c r="G2978" s="122">
        <f t="shared" si="257"/>
        <v>64493.168760341083</v>
      </c>
      <c r="H2978" s="122">
        <f t="shared" si="257"/>
        <v>65504.224134647418</v>
      </c>
      <c r="I2978" s="10">
        <f>(H2978/D2978)^(1/4)-1</f>
        <v>3.9782089099325013E-3</v>
      </c>
    </row>
    <row r="2980" spans="2:9">
      <c r="B2980" t="str">
        <f>B2976</f>
        <v>SKY</v>
      </c>
      <c r="C2980" s="122">
        <f>Master!V67</f>
        <v>5731.4</v>
      </c>
      <c r="D2980" s="122">
        <f>Master!W67</f>
        <v>4922.7495535325561</v>
      </c>
      <c r="E2980" s="122">
        <f>Master!X67</f>
        <v>4929.4109901492266</v>
      </c>
      <c r="F2980" s="122">
        <f>Master!Y67</f>
        <v>4593.9127511233182</v>
      </c>
      <c r="G2980" s="122">
        <f>Master!Z67</f>
        <v>4309.5155330454008</v>
      </c>
      <c r="H2980" s="122">
        <f>Master!AA67</f>
        <v>4038.7446351704884</v>
      </c>
      <c r="I2980" s="10">
        <f>(H2980/D2980)^(1/4)-1</f>
        <v>-4.8278976076304048E-2</v>
      </c>
    </row>
    <row r="2981" spans="2:9">
      <c r="B2981" s="61" t="str">
        <f>B2977</f>
        <v>Izzy</v>
      </c>
      <c r="C2981" s="449">
        <f>Master!V68</f>
        <v>18821</v>
      </c>
      <c r="D2981" s="449">
        <f>Master!W68</f>
        <v>18178.931250000001</v>
      </c>
      <c r="E2981" s="449">
        <f>Master!X68</f>
        <v>18237.49425</v>
      </c>
      <c r="F2981" s="449">
        <f>Master!Y68</f>
        <v>18602.244135000001</v>
      </c>
      <c r="G2981" s="449">
        <f>Master!Z68</f>
        <v>19067.300238374999</v>
      </c>
      <c r="H2981" s="449">
        <f>Master!AA68</f>
        <v>19686.987496122183</v>
      </c>
      <c r="I2981" s="1667">
        <f>(H2981/D2981)^(1/4)-1</f>
        <v>2.012344665234278E-2</v>
      </c>
    </row>
    <row r="2982" spans="2:9">
      <c r="B2982" t="s">
        <v>57</v>
      </c>
      <c r="C2982" s="122">
        <f>SUM(C2980:C2981)</f>
        <v>24552.400000000001</v>
      </c>
      <c r="D2982" s="122">
        <f t="shared" ref="D2982:H2982" si="258">SUM(D2980:D2981)</f>
        <v>23101.680803532559</v>
      </c>
      <c r="E2982" s="122">
        <f t="shared" si="258"/>
        <v>23166.905240149226</v>
      </c>
      <c r="F2982" s="122">
        <f t="shared" si="258"/>
        <v>23196.156886123317</v>
      </c>
      <c r="G2982" s="122">
        <f t="shared" si="258"/>
        <v>23376.815771420399</v>
      </c>
      <c r="H2982" s="122">
        <f t="shared" si="258"/>
        <v>23725.732131292672</v>
      </c>
      <c r="I2982" s="10">
        <f>(H2982/D2982)^(1/4)-1</f>
        <v>6.6859584279903572E-3</v>
      </c>
    </row>
    <row r="2983" spans="2:9">
      <c r="B2983" t="s">
        <v>158</v>
      </c>
      <c r="C2983" s="10">
        <f>C2982/C2978</f>
        <v>0.36983356856767147</v>
      </c>
      <c r="D2983" s="10">
        <f t="shared" ref="D2983:H2983" si="259">D2982/D2978</f>
        <v>0.35832030453575969</v>
      </c>
      <c r="E2983" s="10">
        <f t="shared" si="259"/>
        <v>0.36333448995435852</v>
      </c>
      <c r="F2983" s="10">
        <f t="shared" si="259"/>
        <v>0.36286028750286897</v>
      </c>
      <c r="G2983" s="10">
        <f t="shared" si="259"/>
        <v>0.36246964168080315</v>
      </c>
      <c r="H2983" s="10">
        <f t="shared" si="259"/>
        <v>0.36220155943719246</v>
      </c>
    </row>
    <row r="2985" spans="2:9">
      <c r="B2985" t="str">
        <f>B2980</f>
        <v>SKY</v>
      </c>
      <c r="C2985" s="4">
        <f>C2976-C2980</f>
        <v>11853.800000000001</v>
      </c>
      <c r="D2985" s="4">
        <f t="shared" ref="D2985:H2985" si="260">D2976-D2980</f>
        <v>10746.90151103837</v>
      </c>
      <c r="E2985" s="4">
        <f t="shared" si="260"/>
        <v>9541.9855468328933</v>
      </c>
      <c r="F2985" s="4">
        <f t="shared" si="260"/>
        <v>9055.6143605021371</v>
      </c>
      <c r="G2985" s="4">
        <f t="shared" si="260"/>
        <v>8650.4093397956931</v>
      </c>
      <c r="H2985" s="4">
        <f t="shared" si="260"/>
        <v>8257.4051856331898</v>
      </c>
    </row>
    <row r="2986" spans="2:9">
      <c r="B2986" s="61" t="str">
        <f>B2981</f>
        <v>Izzy</v>
      </c>
      <c r="C2986" s="420">
        <f t="shared" ref="C2986:H2986" si="261">C2977-C2981</f>
        <v>29981.5</v>
      </c>
      <c r="D2986" s="420">
        <f t="shared" si="261"/>
        <v>30623.568749999999</v>
      </c>
      <c r="E2986" s="420">
        <f t="shared" si="261"/>
        <v>31053.030750000002</v>
      </c>
      <c r="F2986" s="420">
        <f t="shared" si="261"/>
        <v>31674.091365</v>
      </c>
      <c r="G2986" s="420">
        <f t="shared" si="261"/>
        <v>32465.943649124994</v>
      </c>
      <c r="H2986" s="420">
        <f t="shared" si="261"/>
        <v>33521.08681772156</v>
      </c>
    </row>
    <row r="2987" spans="2:9">
      <c r="B2987" t="s">
        <v>1654</v>
      </c>
      <c r="C2987" s="4">
        <f t="shared" ref="C2987:H2987" si="262">C2978-C2982</f>
        <v>41835.299999999996</v>
      </c>
      <c r="D2987" s="4">
        <f t="shared" si="262"/>
        <v>41370.470261038368</v>
      </c>
      <c r="E2987" s="4">
        <f t="shared" si="262"/>
        <v>40595.016296832895</v>
      </c>
      <c r="F2987" s="4">
        <f t="shared" si="262"/>
        <v>40729.705725502143</v>
      </c>
      <c r="G2987" s="4">
        <f t="shared" si="262"/>
        <v>41116.352988920684</v>
      </c>
      <c r="H2987" s="4">
        <f t="shared" si="262"/>
        <v>41778.492003354746</v>
      </c>
    </row>
    <row r="2988" spans="2:9">
      <c r="C2988" s="4"/>
      <c r="D2988" s="4"/>
      <c r="E2988" s="4"/>
      <c r="F2988" s="4"/>
      <c r="G2988" s="4"/>
      <c r="H2988" s="4"/>
    </row>
    <row r="2989" spans="2:9">
      <c r="B2989" t="str">
        <f>B2980</f>
        <v>SKY</v>
      </c>
      <c r="C2989" s="4">
        <f>Master!V88</f>
        <v>2640.8399999999997</v>
      </c>
      <c r="D2989" s="4">
        <f>Master!W88</f>
        <v>2251.9050200465481</v>
      </c>
      <c r="E2989" s="4">
        <f>Master!X88</f>
        <v>1941.688477155318</v>
      </c>
      <c r="F2989" s="4">
        <f>Master!Y88</f>
        <v>1829.6112633518183</v>
      </c>
      <c r="G2989" s="4">
        <f>Master!Z88</f>
        <v>1737.3741275341638</v>
      </c>
      <c r="H2989" s="4">
        <f>Master!AA88</f>
        <v>1649.0110697285515</v>
      </c>
    </row>
    <row r="2990" spans="2:9">
      <c r="B2990" s="61" t="str">
        <f>B2981</f>
        <v>Izzy</v>
      </c>
      <c r="C2990" s="420">
        <f>Master!V89</f>
        <v>11204.1</v>
      </c>
      <c r="D2990" s="420">
        <f>Master!W89</f>
        <v>10614.543750000001</v>
      </c>
      <c r="E2990" s="420">
        <f>Master!X89</f>
        <v>10351.010249999999</v>
      </c>
      <c r="F2990" s="420">
        <f>Master!Y89</f>
        <v>10683.721293750001</v>
      </c>
      <c r="G2990" s="420">
        <f>Master!Z89</f>
        <v>10821.981216374998</v>
      </c>
      <c r="H2990" s="420">
        <f>Master!AA89</f>
        <v>11040.675420122576</v>
      </c>
    </row>
    <row r="2991" spans="2:9">
      <c r="B2991" t="s">
        <v>201</v>
      </c>
      <c r="C2991" s="4">
        <f>SUM(C2989:C2990)</f>
        <v>13844.94</v>
      </c>
      <c r="D2991" s="4">
        <f t="shared" ref="D2991:H2991" si="263">SUM(D2989:D2990)</f>
        <v>12866.448770046549</v>
      </c>
      <c r="E2991" s="4">
        <f t="shared" si="263"/>
        <v>12292.698727155317</v>
      </c>
      <c r="F2991" s="4">
        <f t="shared" si="263"/>
        <v>12513.332557101819</v>
      </c>
      <c r="G2991" s="4">
        <f t="shared" si="263"/>
        <v>12559.355343909161</v>
      </c>
      <c r="H2991" s="4">
        <f t="shared" si="263"/>
        <v>12689.686489851127</v>
      </c>
    </row>
    <row r="2993" spans="2:8">
      <c r="B2993" t="str">
        <f>B2989</f>
        <v>SKY</v>
      </c>
      <c r="C2993" s="4">
        <f>C2980-C2989</f>
        <v>3090.56</v>
      </c>
      <c r="D2993" s="4">
        <f t="shared" ref="D2993:H2993" si="264">D2980-D2989</f>
        <v>2670.844533486008</v>
      </c>
      <c r="E2993" s="4">
        <f t="shared" si="264"/>
        <v>2987.7225129939088</v>
      </c>
      <c r="F2993" s="4">
        <f t="shared" si="264"/>
        <v>2764.3014877715</v>
      </c>
      <c r="G2993" s="4">
        <f t="shared" si="264"/>
        <v>2572.1414055112373</v>
      </c>
      <c r="H2993" s="4">
        <f t="shared" si="264"/>
        <v>2389.7335654419367</v>
      </c>
    </row>
    <row r="2994" spans="2:8">
      <c r="B2994" s="61" t="str">
        <f>B2990</f>
        <v>Izzy</v>
      </c>
      <c r="C2994" s="420">
        <f t="shared" ref="C2994:H2994" si="265">C2981-C2990</f>
        <v>7616.9</v>
      </c>
      <c r="D2994" s="420">
        <f t="shared" si="265"/>
        <v>7564.3875000000007</v>
      </c>
      <c r="E2994" s="420">
        <f t="shared" si="265"/>
        <v>7886.4840000000004</v>
      </c>
      <c r="F2994" s="420">
        <f t="shared" si="265"/>
        <v>7918.5228412500001</v>
      </c>
      <c r="G2994" s="420">
        <f t="shared" si="265"/>
        <v>8245.3190220000015</v>
      </c>
      <c r="H2994" s="420">
        <f t="shared" si="265"/>
        <v>8646.3120759996073</v>
      </c>
    </row>
    <row r="2995" spans="2:8">
      <c r="B2995" t="s">
        <v>203</v>
      </c>
      <c r="C2995" s="4">
        <f t="shared" ref="C2995:H2995" si="266">C2982-C2991</f>
        <v>10707.460000000001</v>
      </c>
      <c r="D2995" s="4">
        <f t="shared" si="266"/>
        <v>10235.232033486011</v>
      </c>
      <c r="E2995" s="4">
        <f t="shared" si="266"/>
        <v>10874.206512993909</v>
      </c>
      <c r="F2995" s="4">
        <f t="shared" si="266"/>
        <v>10682.824329021498</v>
      </c>
      <c r="G2995" s="4">
        <f t="shared" si="266"/>
        <v>10817.460427511238</v>
      </c>
      <c r="H2995" s="4">
        <f t="shared" si="266"/>
        <v>11036.045641441546</v>
      </c>
    </row>
    <row r="2997" spans="2:8">
      <c r="B2997" s="2" t="s">
        <v>5890</v>
      </c>
    </row>
    <row r="2998" spans="2:8">
      <c r="B2998" s="1" t="s">
        <v>7704</v>
      </c>
    </row>
    <row r="2999" spans="2:8">
      <c r="B2999" s="1" t="s">
        <v>7703</v>
      </c>
    </row>
    <row r="3000" spans="2:8">
      <c r="B3000" t="s">
        <v>1654</v>
      </c>
      <c r="D3000">
        <f>200+300</f>
        <v>500</v>
      </c>
      <c r="E3000" s="4">
        <f>300*4</f>
        <v>1200</v>
      </c>
      <c r="F3000" s="4">
        <f>E3000</f>
        <v>1200</v>
      </c>
      <c r="G3000" s="4">
        <f t="shared" ref="G3000:H3000" si="267">F3000</f>
        <v>1200</v>
      </c>
      <c r="H3000" s="4">
        <f t="shared" si="267"/>
        <v>1200</v>
      </c>
    </row>
    <row r="3001" spans="2:8">
      <c r="B3001" s="61" t="s">
        <v>201</v>
      </c>
      <c r="C3001" s="61"/>
      <c r="D3001" s="61"/>
      <c r="E3001" s="420">
        <f>0.05*C2989</f>
        <v>132.042</v>
      </c>
      <c r="F3001" s="420">
        <f>E3001</f>
        <v>132.042</v>
      </c>
      <c r="G3001" s="420">
        <f t="shared" ref="G3001:H3001" si="268">F3001</f>
        <v>132.042</v>
      </c>
      <c r="H3001" s="420">
        <f t="shared" si="268"/>
        <v>132.042</v>
      </c>
    </row>
    <row r="3002" spans="2:8">
      <c r="B3002" t="s">
        <v>98</v>
      </c>
      <c r="D3002" s="4">
        <f>D3000+D3001</f>
        <v>500</v>
      </c>
      <c r="E3002" s="4">
        <f t="shared" ref="E3002:H3002" si="269">E3000+E3001</f>
        <v>1332.0419999999999</v>
      </c>
      <c r="F3002" s="4">
        <f t="shared" si="269"/>
        <v>1332.0419999999999</v>
      </c>
      <c r="G3002" s="4">
        <f t="shared" si="269"/>
        <v>1332.0419999999999</v>
      </c>
      <c r="H3002" s="4">
        <f t="shared" si="269"/>
        <v>1332.0419999999999</v>
      </c>
    </row>
    <row r="3003" spans="2:8">
      <c r="B3003" s="61" t="s">
        <v>7706</v>
      </c>
      <c r="C3003" s="61"/>
      <c r="D3003" s="420">
        <v>500</v>
      </c>
      <c r="E3003" s="420"/>
      <c r="F3003" s="420"/>
      <c r="G3003" s="420"/>
      <c r="H3003" s="420"/>
    </row>
    <row r="3004" spans="2:8">
      <c r="B3004" t="s">
        <v>7699</v>
      </c>
      <c r="D3004" s="4">
        <f>D3002-D3003</f>
        <v>0</v>
      </c>
      <c r="E3004" s="4">
        <f t="shared" ref="E3004:H3004" si="270">E3002-E3003</f>
        <v>1332.0419999999999</v>
      </c>
      <c r="F3004" s="4">
        <f t="shared" si="270"/>
        <v>1332.0419999999999</v>
      </c>
      <c r="G3004" s="4">
        <f t="shared" si="270"/>
        <v>1332.0419999999999</v>
      </c>
      <c r="H3004" s="4">
        <f t="shared" si="270"/>
        <v>1332.0419999999999</v>
      </c>
    </row>
    <row r="3006" spans="2:8">
      <c r="B3006" t="s">
        <v>913</v>
      </c>
      <c r="C3006" s="122">
        <f>C2982+C3000</f>
        <v>24552.400000000001</v>
      </c>
      <c r="D3006" s="122">
        <f t="shared" ref="D3006:H3006" si="271">D2982+D3000</f>
        <v>23601.680803532559</v>
      </c>
      <c r="E3006" s="122">
        <f t="shared" si="271"/>
        <v>24366.905240149226</v>
      </c>
      <c r="F3006" s="122">
        <f t="shared" si="271"/>
        <v>24396.156886123317</v>
      </c>
      <c r="G3006" s="122">
        <f t="shared" si="271"/>
        <v>24576.815771420399</v>
      </c>
      <c r="H3006" s="122">
        <f t="shared" si="271"/>
        <v>24925.732131292672</v>
      </c>
    </row>
    <row r="3007" spans="2:8">
      <c r="B3007" t="s">
        <v>158</v>
      </c>
      <c r="C3007" s="10">
        <f>C3006/C2978</f>
        <v>0.36983356856767147</v>
      </c>
      <c r="D3007" s="10">
        <f t="shared" ref="D3007:H3007" si="272">D3006/D2978</f>
        <v>0.36607559099268644</v>
      </c>
      <c r="E3007" s="10">
        <f t="shared" si="272"/>
        <v>0.38215449993953432</v>
      </c>
      <c r="F3007" s="10">
        <f t="shared" si="272"/>
        <v>0.38163203263035311</v>
      </c>
      <c r="G3007" s="10">
        <f t="shared" si="272"/>
        <v>0.38107626348379198</v>
      </c>
      <c r="H3007" s="10">
        <f t="shared" si="272"/>
        <v>0.38052098869313378</v>
      </c>
    </row>
    <row r="3009" spans="2:9">
      <c r="B3009" t="s">
        <v>7705</v>
      </c>
    </row>
    <row r="3010" spans="2:9">
      <c r="B3010" t="s">
        <v>7698</v>
      </c>
      <c r="D3010" s="4">
        <f>D3004*0.72</f>
        <v>0</v>
      </c>
      <c r="E3010" s="4">
        <f t="shared" ref="E3010:H3010" si="273">E3004*0.72</f>
        <v>959.0702399999999</v>
      </c>
      <c r="F3010" s="4">
        <f t="shared" si="273"/>
        <v>959.0702399999999</v>
      </c>
      <c r="G3010" s="4">
        <f t="shared" si="273"/>
        <v>959.0702399999999</v>
      </c>
      <c r="H3010" s="4">
        <f t="shared" si="273"/>
        <v>959.0702399999999</v>
      </c>
    </row>
    <row r="3011" spans="2:9">
      <c r="B3011" t="s">
        <v>307</v>
      </c>
      <c r="C3011" s="1645">
        <f>NPV(12%,D3010:H3010)</f>
        <v>2600.9208632435975</v>
      </c>
    </row>
    <row r="3012" spans="2:9">
      <c r="B3012" t="s">
        <v>544</v>
      </c>
      <c r="C3012" s="1646">
        <f>1/(11%-0)</f>
        <v>9.0909090909090917</v>
      </c>
    </row>
    <row r="3013" spans="2:9">
      <c r="B3013" t="s">
        <v>6058</v>
      </c>
      <c r="C3013" s="1645">
        <f>C3012*H3010</f>
        <v>8718.8203636363633</v>
      </c>
    </row>
    <row r="3014" spans="2:9">
      <c r="B3014" s="61" t="s">
        <v>7700</v>
      </c>
      <c r="C3014" s="589">
        <f>C3013/(1+12%)^4</f>
        <v>5540.967963455093</v>
      </c>
    </row>
    <row r="3015" spans="2:9">
      <c r="B3015" t="s">
        <v>7701</v>
      </c>
      <c r="C3015" s="4">
        <f>C3011+C3014</f>
        <v>8141.8888266986905</v>
      </c>
    </row>
    <row r="3016" spans="2:9">
      <c r="B3016" t="s">
        <v>7466</v>
      </c>
      <c r="C3016" s="4">
        <v>17</v>
      </c>
    </row>
    <row r="3017" spans="2:9">
      <c r="B3017" t="s">
        <v>7702</v>
      </c>
      <c r="C3017" s="4">
        <f>C3015/C3016</f>
        <v>478.93463686462883</v>
      </c>
    </row>
    <row r="3018" spans="2:9">
      <c r="B3018" t="s">
        <v>3033</v>
      </c>
      <c r="C3018" s="419">
        <f>C3017/SOP!G29</f>
        <v>0.83527864030225119</v>
      </c>
    </row>
    <row r="3020" spans="2:9">
      <c r="B3020" t="s">
        <v>7716</v>
      </c>
    </row>
    <row r="3023" spans="2:9">
      <c r="B3023" s="42" t="s">
        <v>6739</v>
      </c>
    </row>
    <row r="3024" spans="2:9">
      <c r="B3024" s="149" t="s">
        <v>200</v>
      </c>
      <c r="C3024" s="149"/>
      <c r="D3024" s="149">
        <f>D2975</f>
        <v>2024</v>
      </c>
      <c r="E3024" s="149">
        <f t="shared" ref="E3024:H3024" si="274">E2975</f>
        <v>2025</v>
      </c>
      <c r="F3024" s="149">
        <f t="shared" si="274"/>
        <v>2026</v>
      </c>
      <c r="G3024" s="149">
        <f t="shared" si="274"/>
        <v>2027</v>
      </c>
      <c r="H3024" s="149">
        <f t="shared" si="274"/>
        <v>2028</v>
      </c>
      <c r="I3024" s="574" t="s">
        <v>7726</v>
      </c>
    </row>
    <row r="3025" spans="2:9">
      <c r="B3025" s="755" t="s">
        <v>7717</v>
      </c>
      <c r="C3025" s="755"/>
      <c r="D3025" s="1081">
        <f>D2977</f>
        <v>48802.5</v>
      </c>
      <c r="E3025" s="1081">
        <f t="shared" ref="E3025:H3025" si="275">E2977</f>
        <v>49290.525000000001</v>
      </c>
      <c r="F3025" s="1081">
        <f t="shared" si="275"/>
        <v>50276.335500000001</v>
      </c>
      <c r="G3025" s="1081">
        <f t="shared" si="275"/>
        <v>51533.243887499993</v>
      </c>
      <c r="H3025" s="1081">
        <f t="shared" si="275"/>
        <v>53208.074313843739</v>
      </c>
      <c r="I3025" s="1085">
        <f>(H3025/D3025)^(1/4)-1</f>
        <v>2.1842279110194207E-2</v>
      </c>
    </row>
    <row r="3026" spans="2:9">
      <c r="B3026" s="61" t="s">
        <v>87</v>
      </c>
      <c r="C3026" s="61"/>
      <c r="D3026" s="449">
        <f>D2976</f>
        <v>15669.651064570926</v>
      </c>
      <c r="E3026" s="449">
        <f t="shared" ref="E3026:H3026" si="276">E2976</f>
        <v>14471.39653698212</v>
      </c>
      <c r="F3026" s="449">
        <f t="shared" si="276"/>
        <v>13649.527111625455</v>
      </c>
      <c r="G3026" s="449">
        <f t="shared" si="276"/>
        <v>12959.924872841093</v>
      </c>
      <c r="H3026" s="449">
        <f t="shared" si="276"/>
        <v>12296.149820803679</v>
      </c>
      <c r="I3026" s="1667">
        <f>(H3026/D3026)^(1/4)-1</f>
        <v>-5.8809672942759517E-2</v>
      </c>
    </row>
    <row r="3027" spans="2:9">
      <c r="B3027" s="755" t="s">
        <v>7724</v>
      </c>
      <c r="C3027" s="755"/>
      <c r="D3027" s="1081">
        <f>D3025+D3026</f>
        <v>64472.151064570928</v>
      </c>
      <c r="E3027" s="1081">
        <f t="shared" ref="E3027:H3027" si="277">E3025+E3026</f>
        <v>63761.921536982118</v>
      </c>
      <c r="F3027" s="1081">
        <f t="shared" si="277"/>
        <v>63925.86261162546</v>
      </c>
      <c r="G3027" s="1081">
        <f t="shared" si="277"/>
        <v>64493.168760341083</v>
      </c>
      <c r="H3027" s="1081">
        <f t="shared" si="277"/>
        <v>65504.224134647418</v>
      </c>
      <c r="I3027" s="1085">
        <f>(H3027/D3027)^(1/4)-1</f>
        <v>3.9782089099325013E-3</v>
      </c>
    </row>
    <row r="3028" spans="2:9">
      <c r="B3028" s="61" t="s">
        <v>7304</v>
      </c>
      <c r="C3028" s="61"/>
      <c r="D3028" s="449">
        <f>Master!W55</f>
        <v>-170</v>
      </c>
      <c r="E3028" s="449">
        <f>Master!X55</f>
        <v>-168.12726863154955</v>
      </c>
      <c r="F3028" s="449">
        <f>Master!Y55</f>
        <v>-168.55954803016084</v>
      </c>
      <c r="G3028" s="449">
        <f>Master!Z55</f>
        <v>-170.05541940546311</v>
      </c>
      <c r="H3028" s="449">
        <f>Master!AA55</f>
        <v>-172.72136758299382</v>
      </c>
      <c r="I3028" s="61"/>
    </row>
    <row r="3029" spans="2:9">
      <c r="B3029" s="1674" t="s">
        <v>3005</v>
      </c>
      <c r="C3029" s="1674"/>
      <c r="D3029" s="1675">
        <f>D3027+D3028</f>
        <v>64302.151064570928</v>
      </c>
      <c r="E3029" s="1675">
        <f t="shared" ref="E3029:H3029" si="278">E3027+E3028</f>
        <v>63593.794268350568</v>
      </c>
      <c r="F3029" s="1675">
        <f t="shared" si="278"/>
        <v>63757.303063595296</v>
      </c>
      <c r="G3029" s="1675">
        <f t="shared" si="278"/>
        <v>64323.113340935619</v>
      </c>
      <c r="H3029" s="1675">
        <f t="shared" si="278"/>
        <v>65331.502767064427</v>
      </c>
      <c r="I3029" s="1697">
        <f>(H3029/D3029)^(1/4)-1</f>
        <v>3.9782089099325013E-3</v>
      </c>
    </row>
    <row r="3031" spans="2:9">
      <c r="B3031" s="1668" t="s">
        <v>57</v>
      </c>
      <c r="C3031" s="1668"/>
      <c r="D3031" s="1668">
        <f>D3024</f>
        <v>2024</v>
      </c>
      <c r="E3031" s="1668">
        <f t="shared" ref="E3031:H3031" si="279">E3024</f>
        <v>2025</v>
      </c>
      <c r="F3031" s="1668">
        <f t="shared" si="279"/>
        <v>2026</v>
      </c>
      <c r="G3031" s="1668">
        <f t="shared" si="279"/>
        <v>2027</v>
      </c>
      <c r="H3031" s="1668">
        <f t="shared" si="279"/>
        <v>2028</v>
      </c>
      <c r="I3031" s="1669" t="str">
        <f>I3024</f>
        <v>24-28e CAGR</v>
      </c>
    </row>
    <row r="3032" spans="2:9">
      <c r="B3032" t="s">
        <v>7717</v>
      </c>
      <c r="D3032" s="122">
        <f>D2981</f>
        <v>18178.931250000001</v>
      </c>
      <c r="E3032" s="122">
        <f t="shared" ref="E3032:H3032" si="280">E2981</f>
        <v>18237.49425</v>
      </c>
      <c r="F3032" s="122">
        <f t="shared" si="280"/>
        <v>18602.244135000001</v>
      </c>
      <c r="G3032" s="122">
        <f t="shared" si="280"/>
        <v>19067.300238374999</v>
      </c>
      <c r="H3032" s="122">
        <f t="shared" si="280"/>
        <v>19686.987496122183</v>
      </c>
      <c r="I3032" s="10">
        <f>(H3032/D3032)^(1/4)-1</f>
        <v>2.012344665234278E-2</v>
      </c>
    </row>
    <row r="3033" spans="2:9">
      <c r="B3033" s="1670" t="s">
        <v>87</v>
      </c>
      <c r="C3033" s="1670"/>
      <c r="D3033" s="1671">
        <f>D2980</f>
        <v>4922.7495535325561</v>
      </c>
      <c r="E3033" s="1671">
        <f t="shared" ref="E3033:H3033" si="281">E2980</f>
        <v>4929.4109901492266</v>
      </c>
      <c r="F3033" s="1671">
        <f t="shared" si="281"/>
        <v>4593.9127511233182</v>
      </c>
      <c r="G3033" s="1671">
        <f t="shared" si="281"/>
        <v>4309.5155330454008</v>
      </c>
      <c r="H3033" s="1671">
        <f t="shared" si="281"/>
        <v>4038.7446351704884</v>
      </c>
      <c r="I3033" s="1672">
        <f>(H3033/D3033)^(1/4)-1</f>
        <v>-4.8278976076304048E-2</v>
      </c>
    </row>
    <row r="3034" spans="2:9">
      <c r="B3034" t="s">
        <v>7725</v>
      </c>
      <c r="D3034" s="122">
        <f>D3032+D3033</f>
        <v>23101.680803532559</v>
      </c>
      <c r="E3034" s="122">
        <f t="shared" ref="E3034:H3034" si="282">E3032+E3033</f>
        <v>23166.905240149226</v>
      </c>
      <c r="F3034" s="122">
        <f t="shared" si="282"/>
        <v>23196.156886123317</v>
      </c>
      <c r="G3034" s="122">
        <f t="shared" si="282"/>
        <v>23376.815771420399</v>
      </c>
      <c r="H3034" s="122">
        <f t="shared" si="282"/>
        <v>23725.732131292672</v>
      </c>
      <c r="I3034" s="10">
        <f>(H3034/D3034)^(1/4)-1</f>
        <v>6.6859584279903572E-3</v>
      </c>
    </row>
    <row r="3035" spans="2:9">
      <c r="B3035" s="755" t="s">
        <v>7718</v>
      </c>
      <c r="C3035" s="755"/>
      <c r="D3035" s="1083">
        <f>-D3003</f>
        <v>-500</v>
      </c>
      <c r="E3035" s="755"/>
      <c r="F3035" s="755"/>
      <c r="G3035" s="755"/>
      <c r="H3035" s="755"/>
      <c r="I3035" s="755"/>
    </row>
    <row r="3036" spans="2:9">
      <c r="B3036" s="61" t="s">
        <v>5890</v>
      </c>
      <c r="C3036" s="61"/>
      <c r="D3036" s="61">
        <f>D3000</f>
        <v>500</v>
      </c>
      <c r="E3036" s="61">
        <f t="shared" ref="E3036:H3036" si="283">E3000</f>
        <v>1200</v>
      </c>
      <c r="F3036" s="61">
        <f t="shared" si="283"/>
        <v>1200</v>
      </c>
      <c r="G3036" s="61">
        <f t="shared" si="283"/>
        <v>1200</v>
      </c>
      <c r="H3036" s="61">
        <f t="shared" si="283"/>
        <v>1200</v>
      </c>
      <c r="I3036" s="61"/>
    </row>
    <row r="3037" spans="2:9">
      <c r="B3037" s="755" t="s">
        <v>7721</v>
      </c>
      <c r="C3037" s="755"/>
      <c r="D3037" s="1081">
        <f>D3034+D3035+D3036</f>
        <v>23101.680803532559</v>
      </c>
      <c r="E3037" s="1081">
        <f t="shared" ref="E3037:H3037" si="284">E3034+E3035+E3036</f>
        <v>24366.905240149226</v>
      </c>
      <c r="F3037" s="1081">
        <f t="shared" si="284"/>
        <v>24396.156886123317</v>
      </c>
      <c r="G3037" s="1081">
        <f t="shared" si="284"/>
        <v>24576.815771420399</v>
      </c>
      <c r="H3037" s="1081">
        <f t="shared" si="284"/>
        <v>24925.732131292672</v>
      </c>
      <c r="I3037" s="1085">
        <f>(H3037/D3037)^(1/4)-1</f>
        <v>1.9180454098979061E-2</v>
      </c>
    </row>
    <row r="3038" spans="2:9">
      <c r="B3038" t="s">
        <v>2173</v>
      </c>
      <c r="D3038" s="122">
        <f>Master!W71</f>
        <v>-750</v>
      </c>
      <c r="E3038" s="122">
        <f>Master!X71</f>
        <v>-765</v>
      </c>
      <c r="F3038" s="122">
        <f>Master!Y71</f>
        <v>-780.30000000000007</v>
      </c>
      <c r="G3038" s="122">
        <f>Master!Z71</f>
        <v>-795.90600000000006</v>
      </c>
      <c r="H3038" s="122">
        <f>Master!AA71</f>
        <v>-811.82412000000011</v>
      </c>
      <c r="I3038" s="122"/>
    </row>
    <row r="3039" spans="2:9">
      <c r="B3039" s="1670" t="s">
        <v>7720</v>
      </c>
      <c r="C3039" s="1670"/>
      <c r="D3039" s="1671">
        <f>Master!W72</f>
        <v>2011.08</v>
      </c>
      <c r="E3039" s="1671">
        <f>Master!X72</f>
        <v>-1000</v>
      </c>
      <c r="F3039" s="1671">
        <f>Master!Y72</f>
        <v>-1000</v>
      </c>
      <c r="G3039" s="1671">
        <f>Master!Z72</f>
        <v>-1000</v>
      </c>
      <c r="H3039" s="1671">
        <f>Master!AA72</f>
        <v>-1000</v>
      </c>
      <c r="I3039" s="1671"/>
    </row>
    <row r="3040" spans="2:9">
      <c r="B3040" s="42" t="s">
        <v>57</v>
      </c>
      <c r="C3040" s="42"/>
      <c r="D3040" s="642">
        <f>D3037+D3038+D3039</f>
        <v>24362.760803532561</v>
      </c>
      <c r="E3040" s="642">
        <f t="shared" ref="E3040:H3040" si="285">E3037+E3038+E3039</f>
        <v>22601.905240149226</v>
      </c>
      <c r="F3040" s="642">
        <f t="shared" si="285"/>
        <v>22615.856886123318</v>
      </c>
      <c r="G3040" s="642">
        <f t="shared" si="285"/>
        <v>22780.9097714204</v>
      </c>
      <c r="H3040" s="642">
        <f t="shared" si="285"/>
        <v>23113.908011292671</v>
      </c>
      <c r="I3040" s="1676">
        <f>(H3040/D3040)^(1/4)-1</f>
        <v>-1.3069160847083094E-2</v>
      </c>
    </row>
    <row r="3041" spans="2:9">
      <c r="B3041" s="1674" t="s">
        <v>7727</v>
      </c>
      <c r="C3041" s="755"/>
      <c r="D3041" s="1081">
        <f>D3040-3000</f>
        <v>21362.760803532561</v>
      </c>
      <c r="E3041" s="1081">
        <f>E3040</f>
        <v>22601.905240149226</v>
      </c>
      <c r="F3041" s="1081">
        <f t="shared" ref="F3041:H3041" si="286">F3040</f>
        <v>22615.856886123318</v>
      </c>
      <c r="G3041" s="1081">
        <f t="shared" si="286"/>
        <v>22780.9097714204</v>
      </c>
      <c r="H3041" s="1081">
        <f t="shared" si="286"/>
        <v>23113.908011292671</v>
      </c>
      <c r="I3041" s="1085">
        <f>(H3041/D3041)^(1/4)-1</f>
        <v>1.9891566691701446E-2</v>
      </c>
    </row>
    <row r="3042" spans="2:9">
      <c r="B3042" s="121" t="s">
        <v>158</v>
      </c>
    </row>
    <row r="3043" spans="2:9">
      <c r="B3043" s="755" t="s">
        <v>7723</v>
      </c>
      <c r="C3043" s="755"/>
      <c r="D3043" s="1673">
        <f>D3037/D3027</f>
        <v>0.35832030453575969</v>
      </c>
      <c r="E3043" s="1673">
        <f t="shared" ref="E3043:H3043" si="287">E3037/E3027</f>
        <v>0.38215449993953432</v>
      </c>
      <c r="F3043" s="1673">
        <f t="shared" si="287"/>
        <v>0.38163203263035311</v>
      </c>
      <c r="G3043" s="1673">
        <f t="shared" si="287"/>
        <v>0.38107626348379198</v>
      </c>
      <c r="H3043" s="1673">
        <f t="shared" si="287"/>
        <v>0.38052098869313378</v>
      </c>
      <c r="I3043" s="755"/>
    </row>
    <row r="3044" spans="2:9">
      <c r="B3044" t="s">
        <v>506</v>
      </c>
      <c r="D3044" s="1666">
        <f>D3040/D3029</f>
        <v>0.37887940605700682</v>
      </c>
      <c r="E3044" s="1666">
        <f t="shared" ref="E3044:H3044" si="288">E3040/E3029</f>
        <v>0.35541054752566897</v>
      </c>
      <c r="F3044" s="1666">
        <f t="shared" si="288"/>
        <v>0.35471790366610906</v>
      </c>
      <c r="G3044" s="1666">
        <f t="shared" si="288"/>
        <v>0.35416366820855499</v>
      </c>
      <c r="H3044" s="1666">
        <f t="shared" si="288"/>
        <v>0.35379421921004833</v>
      </c>
    </row>
    <row r="3045" spans="2:9">
      <c r="B3045" s="755"/>
      <c r="C3045" s="755"/>
      <c r="D3045" s="755"/>
      <c r="E3045" s="755"/>
      <c r="F3045" s="755"/>
      <c r="G3045" s="755"/>
      <c r="H3045" s="755"/>
      <c r="I3045" s="755"/>
    </row>
    <row r="3046" spans="2:9">
      <c r="B3046" s="42" t="s">
        <v>201</v>
      </c>
    </row>
    <row r="3047" spans="2:9">
      <c r="B3047" s="755" t="str">
        <f>B3032</f>
        <v>Cable Izzy</v>
      </c>
      <c r="C3047" s="755"/>
      <c r="D3047" s="1081">
        <f>Master!W89</f>
        <v>10614.543750000001</v>
      </c>
      <c r="E3047" s="1081">
        <f>Master!X89</f>
        <v>10351.010249999999</v>
      </c>
      <c r="F3047" s="1081">
        <f>Master!Y89</f>
        <v>10683.721293750001</v>
      </c>
      <c r="G3047" s="1081">
        <f>Master!Z89</f>
        <v>10821.981216374998</v>
      </c>
      <c r="H3047" s="1081">
        <f>Master!AA89</f>
        <v>11040.675420122576</v>
      </c>
      <c r="I3047" s="1085">
        <f>(H3047/D3047)^(1/4)-1</f>
        <v>9.8888511526562528E-3</v>
      </c>
    </row>
    <row r="3048" spans="2:9">
      <c r="B3048" s="61" t="str">
        <f>B3033</f>
        <v>SKY</v>
      </c>
      <c r="C3048" s="61"/>
      <c r="D3048" s="449">
        <f>Master!W88</f>
        <v>2251.9050200465481</v>
      </c>
      <c r="E3048" s="449">
        <f>Master!X88</f>
        <v>1941.688477155318</v>
      </c>
      <c r="F3048" s="449">
        <f>Master!Y88</f>
        <v>1829.6112633518183</v>
      </c>
      <c r="G3048" s="449">
        <f>Master!Z88</f>
        <v>1737.3741275341638</v>
      </c>
      <c r="H3048" s="449">
        <f>Master!AA88</f>
        <v>1649.0110697285515</v>
      </c>
      <c r="I3048" s="1667">
        <f>(H3048/D3048)^(1/4)-1</f>
        <v>-7.494325208463315E-2</v>
      </c>
    </row>
    <row r="3049" spans="2:9">
      <c r="B3049" s="755" t="s">
        <v>7719</v>
      </c>
      <c r="C3049" s="755"/>
      <c r="D3049" s="1081">
        <f>D3047+D3048</f>
        <v>12866.448770046549</v>
      </c>
      <c r="E3049" s="1081">
        <f t="shared" ref="E3049:H3049" si="289">E3047+E3048</f>
        <v>12292.698727155317</v>
      </c>
      <c r="F3049" s="1081">
        <f t="shared" si="289"/>
        <v>12513.332557101819</v>
      </c>
      <c r="G3049" s="1081">
        <f t="shared" si="289"/>
        <v>12559.355343909161</v>
      </c>
      <c r="H3049" s="1081">
        <f t="shared" si="289"/>
        <v>12689.686489851127</v>
      </c>
      <c r="I3049" s="1085">
        <f>(H3049/D3049)^(1/4)-1</f>
        <v>-3.4523958691469181E-3</v>
      </c>
    </row>
    <row r="3050" spans="2:9">
      <c r="B3050" s="61" t="s">
        <v>5890</v>
      </c>
      <c r="C3050" s="61"/>
      <c r="D3050" s="420">
        <f>-D3001</f>
        <v>0</v>
      </c>
      <c r="E3050" s="420">
        <f t="shared" ref="E3050:H3050" si="290">-E3001</f>
        <v>-132.042</v>
      </c>
      <c r="F3050" s="420">
        <f t="shared" si="290"/>
        <v>-132.042</v>
      </c>
      <c r="G3050" s="420">
        <f t="shared" si="290"/>
        <v>-132.042</v>
      </c>
      <c r="H3050" s="420">
        <f t="shared" si="290"/>
        <v>-132.042</v>
      </c>
      <c r="I3050" s="10"/>
    </row>
    <row r="3051" spans="2:9">
      <c r="B3051" s="1674" t="s">
        <v>7722</v>
      </c>
      <c r="C3051" s="1674"/>
      <c r="D3051" s="1675">
        <f>D3049+D3050</f>
        <v>12866.448770046549</v>
      </c>
      <c r="E3051" s="1675">
        <f t="shared" ref="E3051:H3051" si="291">E3049+E3050</f>
        <v>12160.656727155318</v>
      </c>
      <c r="F3051" s="1675">
        <f t="shared" si="291"/>
        <v>12381.29055710182</v>
      </c>
      <c r="G3051" s="1675">
        <f t="shared" si="291"/>
        <v>12427.313343909162</v>
      </c>
      <c r="H3051" s="1675">
        <f t="shared" si="291"/>
        <v>12557.644489851127</v>
      </c>
      <c r="I3051" s="1085">
        <f>(H3051/D3051)^(1/4)-1</f>
        <v>-6.0549568777187313E-3</v>
      </c>
    </row>
    <row r="3052" spans="2:9">
      <c r="B3052" t="s">
        <v>202</v>
      </c>
      <c r="D3052" s="10">
        <f>D3051/D3029</f>
        <v>0.20009359806838062</v>
      </c>
      <c r="E3052" s="10">
        <f t="shared" ref="E3052:H3052" si="292">E3051/E3029</f>
        <v>0.19122395301403564</v>
      </c>
      <c r="F3052" s="10">
        <f t="shared" si="292"/>
        <v>0.19419407600650845</v>
      </c>
      <c r="G3052" s="10">
        <f t="shared" si="292"/>
        <v>0.19320136570566687</v>
      </c>
      <c r="H3052" s="10">
        <f t="shared" si="292"/>
        <v>0.19221422985821493</v>
      </c>
    </row>
    <row r="3055" spans="2:9" ht="15.75" thickBot="1">
      <c r="B3055" s="42" t="s">
        <v>3812</v>
      </c>
      <c r="C3055" s="42"/>
      <c r="D3055" s="42">
        <v>2024</v>
      </c>
      <c r="E3055" s="42">
        <f>D3055+1</f>
        <v>2025</v>
      </c>
      <c r="F3055" s="42">
        <f>E3055+1</f>
        <v>2026</v>
      </c>
      <c r="G3055" s="42">
        <v>2027</v>
      </c>
      <c r="H3055" s="3"/>
      <c r="I3055" s="576" t="s">
        <v>7729</v>
      </c>
    </row>
    <row r="3056" spans="2:9">
      <c r="B3056" s="1678" t="s">
        <v>89</v>
      </c>
      <c r="C3056" s="1679"/>
      <c r="D3056" s="1680">
        <v>1.1177783979917472E-2</v>
      </c>
      <c r="E3056" s="1680">
        <v>5.4958406398161304E-2</v>
      </c>
      <c r="F3056" s="1680">
        <v>9.3202367875952818E-2</v>
      </c>
      <c r="G3056" s="1680">
        <v>0.12099606868898334</v>
      </c>
      <c r="H3056" s="1679"/>
      <c r="I3056" s="1681">
        <v>1.21</v>
      </c>
    </row>
    <row r="3057" spans="2:9">
      <c r="B3057" s="1682" t="s">
        <v>1042</v>
      </c>
      <c r="D3057" s="10">
        <f ca="1">Valuation!T48</f>
        <v>7.5729833548540598E-2</v>
      </c>
      <c r="E3057" s="10">
        <f ca="1">Valuation!U48</f>
        <v>0.12975315128700435</v>
      </c>
      <c r="F3057" s="10">
        <f ca="1">Valuation!V48</f>
        <v>0.14685757872123367</v>
      </c>
      <c r="G3057" s="10">
        <f ca="1">Valuation!W48</f>
        <v>0.18436728108647379</v>
      </c>
      <c r="I3057" s="1683">
        <f ca="1">(Valuation!V32/Valuation!T32)^(1.3)-1</f>
        <v>1.3654739502396525</v>
      </c>
    </row>
    <row r="3058" spans="2:9" ht="15.75" thickBot="1">
      <c r="B3058" s="1684" t="s">
        <v>5298</v>
      </c>
      <c r="C3058" s="1685"/>
      <c r="D3058" s="1686">
        <v>7.0012329378215346E-2</v>
      </c>
      <c r="E3058" s="1686">
        <v>8.7583346628015882E-2</v>
      </c>
      <c r="F3058" s="1686">
        <v>0.10262410613768677</v>
      </c>
      <c r="G3058" s="1686">
        <v>0.11260699851874401</v>
      </c>
      <c r="H3058" s="1685"/>
      <c r="I3058" s="1687">
        <v>0.129</v>
      </c>
    </row>
    <row r="3059" spans="2:9">
      <c r="B3059" t="s">
        <v>7730</v>
      </c>
      <c r="D3059" s="10">
        <v>9.9783753990790092E-2</v>
      </c>
      <c r="E3059" s="10">
        <v>0.11751908388766348</v>
      </c>
      <c r="F3059" s="10">
        <v>0.12863608867342335</v>
      </c>
      <c r="G3059" s="10">
        <v>0.13666822364388359</v>
      </c>
      <c r="I3059" s="10">
        <v>0.111</v>
      </c>
    </row>
    <row r="3060" spans="2:9">
      <c r="B3060" s="755" t="s">
        <v>7731</v>
      </c>
      <c r="C3060" s="755"/>
      <c r="D3060" s="1085">
        <v>0.11224462044415</v>
      </c>
      <c r="E3060" s="1085">
        <v>0.12910783960385314</v>
      </c>
      <c r="F3060" s="1085">
        <v>0.14700162318033508</v>
      </c>
      <c r="G3060" s="1085">
        <v>0.16057329717365354</v>
      </c>
      <c r="H3060" s="755"/>
      <c r="I3060" s="1085">
        <v>0.113</v>
      </c>
    </row>
    <row r="3062" spans="2:9" ht="15.75" thickBot="1">
      <c r="B3062" s="1674" t="s">
        <v>380</v>
      </c>
      <c r="C3062" s="755"/>
      <c r="D3062" s="755"/>
      <c r="E3062" s="755"/>
      <c r="F3062" s="755"/>
      <c r="G3062" s="755"/>
      <c r="H3062" s="755"/>
      <c r="I3062" s="755"/>
    </row>
    <row r="3063" spans="2:9">
      <c r="B3063" s="1688" t="str">
        <f>B3056</f>
        <v>Megacable</v>
      </c>
      <c r="C3063" s="1689"/>
      <c r="D3063" s="1690">
        <v>4.5282562896387688</v>
      </c>
      <c r="E3063" s="1690">
        <v>3.9160630102285388</v>
      </c>
      <c r="F3063" s="1690">
        <v>3.3294139828746077</v>
      </c>
      <c r="G3063" s="1690">
        <v>2.8591742334709305</v>
      </c>
      <c r="H3063" s="1689"/>
      <c r="I3063" s="1691">
        <v>8.7890157465585483E-2</v>
      </c>
    </row>
    <row r="3064" spans="2:9">
      <c r="B3064" s="1692" t="str">
        <f>B3057</f>
        <v>Televisa</v>
      </c>
      <c r="C3064" s="755"/>
      <c r="D3064" s="1086">
        <f ca="1">Valuation!T64</f>
        <v>5.0246721502345704</v>
      </c>
      <c r="E3064" s="1086">
        <f ca="1">Valuation!U64</f>
        <v>4.7139982193948091</v>
      </c>
      <c r="F3064" s="1086">
        <f ca="1">Valuation!V64</f>
        <v>4.4195230538722177</v>
      </c>
      <c r="G3064" s="1086">
        <f ca="1">Valuation!W64</f>
        <v>4.1456213064954746</v>
      </c>
      <c r="H3064" s="755"/>
      <c r="I3064" s="1693">
        <f>(G3041/D3041)^(1/3)-1</f>
        <v>2.1655699306819765E-2</v>
      </c>
    </row>
    <row r="3065" spans="2:9" ht="15.75" thickBot="1">
      <c r="B3065" s="1694" t="str">
        <f>B3058</f>
        <v>AMX</v>
      </c>
      <c r="C3065" s="1695"/>
      <c r="D3065" s="1696">
        <v>5.2091774072105244</v>
      </c>
      <c r="E3065" s="1696">
        <v>4.6671463034668621</v>
      </c>
      <c r="F3065" s="1696">
        <v>4.2302753016861745</v>
      </c>
      <c r="G3065" s="1696">
        <v>3.77858715641865</v>
      </c>
      <c r="H3065" s="1695"/>
      <c r="I3065" s="601">
        <v>3.5999999999999997E-2</v>
      </c>
    </row>
    <row r="3066" spans="2:9">
      <c r="B3066" s="755" t="s">
        <v>7730</v>
      </c>
      <c r="C3066" s="755"/>
      <c r="D3066" s="1086">
        <v>4.0543252666099834</v>
      </c>
      <c r="E3066" s="1086">
        <v>3.3608340656121913</v>
      </c>
      <c r="F3066" s="1086">
        <v>2.8179037281933192</v>
      </c>
      <c r="G3066" s="1086">
        <v>2.3208032253904336</v>
      </c>
      <c r="H3066" s="755"/>
      <c r="I3066" s="1085">
        <v>6.5000000000000002E-2</v>
      </c>
    </row>
    <row r="3067" spans="2:9">
      <c r="B3067" s="61" t="s">
        <v>7731</v>
      </c>
      <c r="C3067" s="61"/>
      <c r="D3067" s="465">
        <v>3.4711720624291194</v>
      </c>
      <c r="E3067" s="465">
        <v>3.0111545154095518</v>
      </c>
      <c r="F3067" s="465">
        <v>2.5574374102602917</v>
      </c>
      <c r="G3067" s="465">
        <v>2.2071214253755738</v>
      </c>
      <c r="H3067" s="61"/>
      <c r="I3067" s="1667">
        <v>5.7000000000000002E-2</v>
      </c>
    </row>
    <row r="3069" spans="2:9">
      <c r="B3069" s="149" t="s">
        <v>852</v>
      </c>
      <c r="C3069" s="149"/>
      <c r="D3069" s="149">
        <f>D3055</f>
        <v>2024</v>
      </c>
      <c r="E3069" s="149">
        <f>E3055</f>
        <v>2025</v>
      </c>
      <c r="F3069" s="149">
        <f>F3055</f>
        <v>2026</v>
      </c>
      <c r="G3069" s="149">
        <f>G3055</f>
        <v>2027</v>
      </c>
    </row>
    <row r="3070" spans="2:9">
      <c r="B3070" t="s">
        <v>89</v>
      </c>
      <c r="D3070" s="419">
        <v>1.460021065307634</v>
      </c>
      <c r="E3070" s="419">
        <v>1.3157042097376048</v>
      </c>
      <c r="F3070" s="419">
        <v>1.124450364320668</v>
      </c>
      <c r="G3070" s="419">
        <v>0.94567495589956907</v>
      </c>
    </row>
    <row r="3071" spans="2:9">
      <c r="B3071" t="s">
        <v>1042</v>
      </c>
      <c r="D3071" s="419">
        <f ca="1">Valuation!T68</f>
        <v>3.9131161110414761</v>
      </c>
      <c r="E3071" s="419">
        <f ca="1">Valuation!U68</f>
        <v>3.6701957548373842</v>
      </c>
      <c r="F3071" s="419">
        <f ca="1">Valuation!V68</f>
        <v>3.4172736083133044</v>
      </c>
      <c r="G3071" s="419">
        <f ca="1">Valuation!W68</f>
        <v>3.1793490440610999</v>
      </c>
    </row>
    <row r="3072" spans="2:9">
      <c r="B3072" t="s">
        <v>5298</v>
      </c>
      <c r="D3072" s="419">
        <v>1.3834038397348298</v>
      </c>
      <c r="E3072" s="419">
        <v>1.2366398871671893</v>
      </c>
      <c r="F3072" s="419">
        <v>1.1052405457794643</v>
      </c>
      <c r="G3072" s="419">
        <v>0.9825643445841532</v>
      </c>
    </row>
  </sheetData>
  <sortState xmlns:xlrd2="http://schemas.microsoft.com/office/spreadsheetml/2017/richdata2" ref="B2287:C2301">
    <sortCondition ref="C2286:C2301"/>
  </sortState>
  <mergeCells count="37">
    <mergeCell ref="L964:L965"/>
    <mergeCell ref="D967:E967"/>
    <mergeCell ref="B964:B965"/>
    <mergeCell ref="C964:C965"/>
    <mergeCell ref="D964:E964"/>
    <mergeCell ref="D965:E965"/>
    <mergeCell ref="F964:F965"/>
    <mergeCell ref="G964:G965"/>
    <mergeCell ref="D973:E973"/>
    <mergeCell ref="H964:H965"/>
    <mergeCell ref="I964:I965"/>
    <mergeCell ref="J964:J965"/>
    <mergeCell ref="K964:K965"/>
    <mergeCell ref="D968:E968"/>
    <mergeCell ref="D969:E969"/>
    <mergeCell ref="D970:E970"/>
    <mergeCell ref="D971:E971"/>
    <mergeCell ref="D972:E972"/>
    <mergeCell ref="D985:E985"/>
    <mergeCell ref="D974:E974"/>
    <mergeCell ref="D975:E975"/>
    <mergeCell ref="D976:E976"/>
    <mergeCell ref="D977:E977"/>
    <mergeCell ref="D978:E978"/>
    <mergeCell ref="D979:E979"/>
    <mergeCell ref="D980:E980"/>
    <mergeCell ref="D981:E981"/>
    <mergeCell ref="D982:E982"/>
    <mergeCell ref="D983:E983"/>
    <mergeCell ref="D984:E984"/>
    <mergeCell ref="D994:E994"/>
    <mergeCell ref="D986:E986"/>
    <mergeCell ref="D987:E987"/>
    <mergeCell ref="D988:E988"/>
    <mergeCell ref="D990:E990"/>
    <mergeCell ref="D992:E992"/>
    <mergeCell ref="D993:E993"/>
  </mergeCells>
  <pageMargins left="0.70866141732283472" right="0.70866141732283472" top="0.74803149606299213" bottom="0.74803149606299213" header="0.31496062992125984" footer="0.31496062992125984"/>
  <pageSetup paperSize="9" scale="33"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D174"/>
  <sheetViews>
    <sheetView topLeftCell="A30" zoomScale="65" zoomScaleNormal="72" workbookViewId="0">
      <selection activeCell="X6" sqref="X6"/>
    </sheetView>
  </sheetViews>
  <sheetFormatPr defaultRowHeight="12.75" outlineLevelCol="1"/>
  <cols>
    <col min="1" max="1" width="38" style="13" bestFit="1" customWidth="1"/>
    <col min="2" max="2" width="9.7109375" style="13" customWidth="1"/>
    <col min="3" max="3" width="9.140625" style="13"/>
    <col min="4" max="4" width="9.28515625" style="13" hidden="1" customWidth="1" outlineLevel="1"/>
    <col min="5" max="5" width="9.42578125" style="13" hidden="1" customWidth="1" outlineLevel="1"/>
    <col min="6" max="6" width="9.28515625" style="13" hidden="1" customWidth="1" outlineLevel="1"/>
    <col min="7" max="7" width="9.42578125" style="13" hidden="1" customWidth="1" outlineLevel="1"/>
    <col min="8" max="8" width="9.5703125" style="13" hidden="1" customWidth="1" outlineLevel="1"/>
    <col min="9" max="9" width="9.42578125" style="13" hidden="1" customWidth="1" outlineLevel="1"/>
    <col min="10" max="10" width="9.28515625" style="13" hidden="1" customWidth="1" outlineLevel="1"/>
    <col min="11" max="12" width="9.42578125" style="13" hidden="1" customWidth="1" outlineLevel="1"/>
    <col min="13" max="13" width="9.28515625" style="13" hidden="1" customWidth="1" outlineLevel="1"/>
    <col min="14" max="14" width="9.5703125" style="13" hidden="1" customWidth="1" outlineLevel="1"/>
    <col min="15" max="15" width="9.28515625" style="13" hidden="1" customWidth="1" outlineLevel="1"/>
    <col min="16" max="16" width="9.42578125" style="13" hidden="1" customWidth="1" outlineLevel="1"/>
    <col min="17" max="17" width="9.28515625" style="13" hidden="1" customWidth="1" outlineLevel="1"/>
    <col min="18" max="18" width="9.42578125" style="13" hidden="1" customWidth="1" outlineLevel="1"/>
    <col min="19" max="19" width="9.28515625" style="13" bestFit="1" customWidth="1" collapsed="1"/>
    <col min="20" max="24" width="9.42578125" style="13" bestFit="1" customWidth="1"/>
    <col min="25" max="25" width="9.140625" style="13" bestFit="1"/>
    <col min="26" max="26" width="9.42578125" style="13" bestFit="1" customWidth="1"/>
    <col min="27" max="29" width="9.140625" style="13"/>
    <col min="30" max="30" width="9.85546875" style="13" customWidth="1"/>
    <col min="31" max="31" width="9.7109375" style="13" customWidth="1"/>
    <col min="32" max="261" width="9.140625" style="13"/>
    <col min="262" max="262" width="29" style="13" customWidth="1"/>
    <col min="263" max="263" width="9.7109375" style="13" customWidth="1"/>
    <col min="264" max="268" width="9.140625" style="13"/>
    <col min="269" max="269" width="9" style="13" customWidth="1"/>
    <col min="270" max="517" width="9.140625" style="13"/>
    <col min="518" max="518" width="29" style="13" customWidth="1"/>
    <col min="519" max="519" width="9.7109375" style="13" customWidth="1"/>
    <col min="520" max="524" width="9.140625" style="13"/>
    <col min="525" max="525" width="9" style="13" customWidth="1"/>
    <col min="526" max="773" width="9.140625" style="13"/>
    <col min="774" max="774" width="29" style="13" customWidth="1"/>
    <col min="775" max="775" width="9.7109375" style="13" customWidth="1"/>
    <col min="776" max="780" width="9.140625" style="13"/>
    <col min="781" max="781" width="9" style="13" customWidth="1"/>
    <col min="782" max="1029" width="9.140625" style="13"/>
    <col min="1030" max="1030" width="29" style="13" customWidth="1"/>
    <col min="1031" max="1031" width="9.7109375" style="13" customWidth="1"/>
    <col min="1032" max="1036" width="9.140625" style="13"/>
    <col min="1037" max="1037" width="9" style="13" customWidth="1"/>
    <col min="1038" max="1285" width="9.140625" style="13"/>
    <col min="1286" max="1286" width="29" style="13" customWidth="1"/>
    <col min="1287" max="1287" width="9.7109375" style="13" customWidth="1"/>
    <col min="1288" max="1292" width="9.140625" style="13"/>
    <col min="1293" max="1293" width="9" style="13" customWidth="1"/>
    <col min="1294" max="1541" width="9.140625" style="13"/>
    <col min="1542" max="1542" width="29" style="13" customWidth="1"/>
    <col min="1543" max="1543" width="9.7109375" style="13" customWidth="1"/>
    <col min="1544" max="1548" width="9.140625" style="13"/>
    <col min="1549" max="1549" width="9" style="13" customWidth="1"/>
    <col min="1550" max="1797" width="9.140625" style="13"/>
    <col min="1798" max="1798" width="29" style="13" customWidth="1"/>
    <col min="1799" max="1799" width="9.7109375" style="13" customWidth="1"/>
    <col min="1800" max="1804" width="9.140625" style="13"/>
    <col min="1805" max="1805" width="9" style="13" customWidth="1"/>
    <col min="1806" max="2053" width="9.140625" style="13"/>
    <col min="2054" max="2054" width="29" style="13" customWidth="1"/>
    <col min="2055" max="2055" width="9.7109375" style="13" customWidth="1"/>
    <col min="2056" max="2060" width="9.140625" style="13"/>
    <col min="2061" max="2061" width="9" style="13" customWidth="1"/>
    <col min="2062" max="2309" width="9.140625" style="13"/>
    <col min="2310" max="2310" width="29" style="13" customWidth="1"/>
    <col min="2311" max="2311" width="9.7109375" style="13" customWidth="1"/>
    <col min="2312" max="2316" width="9.140625" style="13"/>
    <col min="2317" max="2317" width="9" style="13" customWidth="1"/>
    <col min="2318" max="2565" width="9.140625" style="13"/>
    <col min="2566" max="2566" width="29" style="13" customWidth="1"/>
    <col min="2567" max="2567" width="9.7109375" style="13" customWidth="1"/>
    <col min="2568" max="2572" width="9.140625" style="13"/>
    <col min="2573" max="2573" width="9" style="13" customWidth="1"/>
    <col min="2574" max="2821" width="9.140625" style="13"/>
    <col min="2822" max="2822" width="29" style="13" customWidth="1"/>
    <col min="2823" max="2823" width="9.7109375" style="13" customWidth="1"/>
    <col min="2824" max="2828" width="9.140625" style="13"/>
    <col min="2829" max="2829" width="9" style="13" customWidth="1"/>
    <col min="2830" max="3077" width="9.140625" style="13"/>
    <col min="3078" max="3078" width="29" style="13" customWidth="1"/>
    <col min="3079" max="3079" width="9.7109375" style="13" customWidth="1"/>
    <col min="3080" max="3084" width="9.140625" style="13"/>
    <col min="3085" max="3085" width="9" style="13" customWidth="1"/>
    <col min="3086" max="3333" width="9.140625" style="13"/>
    <col min="3334" max="3334" width="29" style="13" customWidth="1"/>
    <col min="3335" max="3335" width="9.7109375" style="13" customWidth="1"/>
    <col min="3336" max="3340" width="9.140625" style="13"/>
    <col min="3341" max="3341" width="9" style="13" customWidth="1"/>
    <col min="3342" max="3589" width="9.140625" style="13"/>
    <col min="3590" max="3590" width="29" style="13" customWidth="1"/>
    <col min="3591" max="3591" width="9.7109375" style="13" customWidth="1"/>
    <col min="3592" max="3596" width="9.140625" style="13"/>
    <col min="3597" max="3597" width="9" style="13" customWidth="1"/>
    <col min="3598" max="3845" width="9.140625" style="13"/>
    <col min="3846" max="3846" width="29" style="13" customWidth="1"/>
    <col min="3847" max="3847" width="9.7109375" style="13" customWidth="1"/>
    <col min="3848" max="3852" width="9.140625" style="13"/>
    <col min="3853" max="3853" width="9" style="13" customWidth="1"/>
    <col min="3854" max="4101" width="9.140625" style="13"/>
    <col min="4102" max="4102" width="29" style="13" customWidth="1"/>
    <col min="4103" max="4103" width="9.7109375" style="13" customWidth="1"/>
    <col min="4104" max="4108" width="9.140625" style="13"/>
    <col min="4109" max="4109" width="9" style="13" customWidth="1"/>
    <col min="4110" max="4357" width="9.140625" style="13"/>
    <col min="4358" max="4358" width="29" style="13" customWidth="1"/>
    <col min="4359" max="4359" width="9.7109375" style="13" customWidth="1"/>
    <col min="4360" max="4364" width="9.140625" style="13"/>
    <col min="4365" max="4365" width="9" style="13" customWidth="1"/>
    <col min="4366" max="4613" width="9.140625" style="13"/>
    <col min="4614" max="4614" width="29" style="13" customWidth="1"/>
    <col min="4615" max="4615" width="9.7109375" style="13" customWidth="1"/>
    <col min="4616" max="4620" width="9.140625" style="13"/>
    <col min="4621" max="4621" width="9" style="13" customWidth="1"/>
    <col min="4622" max="4869" width="9.140625" style="13"/>
    <col min="4870" max="4870" width="29" style="13" customWidth="1"/>
    <col min="4871" max="4871" width="9.7109375" style="13" customWidth="1"/>
    <col min="4872" max="4876" width="9.140625" style="13"/>
    <col min="4877" max="4877" width="9" style="13" customWidth="1"/>
    <col min="4878" max="5125" width="9.140625" style="13"/>
    <col min="5126" max="5126" width="29" style="13" customWidth="1"/>
    <col min="5127" max="5127" width="9.7109375" style="13" customWidth="1"/>
    <col min="5128" max="5132" width="9.140625" style="13"/>
    <col min="5133" max="5133" width="9" style="13" customWidth="1"/>
    <col min="5134" max="5381" width="9.140625" style="13"/>
    <col min="5382" max="5382" width="29" style="13" customWidth="1"/>
    <col min="5383" max="5383" width="9.7109375" style="13" customWidth="1"/>
    <col min="5384" max="5388" width="9.140625" style="13"/>
    <col min="5389" max="5389" width="9" style="13" customWidth="1"/>
    <col min="5390" max="5637" width="9.140625" style="13"/>
    <col min="5638" max="5638" width="29" style="13" customWidth="1"/>
    <col min="5639" max="5639" width="9.7109375" style="13" customWidth="1"/>
    <col min="5640" max="5644" width="9.140625" style="13"/>
    <col min="5645" max="5645" width="9" style="13" customWidth="1"/>
    <col min="5646" max="5893" width="9.140625" style="13"/>
    <col min="5894" max="5894" width="29" style="13" customWidth="1"/>
    <col min="5895" max="5895" width="9.7109375" style="13" customWidth="1"/>
    <col min="5896" max="5900" width="9.140625" style="13"/>
    <col min="5901" max="5901" width="9" style="13" customWidth="1"/>
    <col min="5902" max="6149" width="9.140625" style="13"/>
    <col min="6150" max="6150" width="29" style="13" customWidth="1"/>
    <col min="6151" max="6151" width="9.7109375" style="13" customWidth="1"/>
    <col min="6152" max="6156" width="9.140625" style="13"/>
    <col min="6157" max="6157" width="9" style="13" customWidth="1"/>
    <col min="6158" max="6405" width="9.140625" style="13"/>
    <col min="6406" max="6406" width="29" style="13" customWidth="1"/>
    <col min="6407" max="6407" width="9.7109375" style="13" customWidth="1"/>
    <col min="6408" max="6412" width="9.140625" style="13"/>
    <col min="6413" max="6413" width="9" style="13" customWidth="1"/>
    <col min="6414" max="6661" width="9.140625" style="13"/>
    <col min="6662" max="6662" width="29" style="13" customWidth="1"/>
    <col min="6663" max="6663" width="9.7109375" style="13" customWidth="1"/>
    <col min="6664" max="6668" width="9.140625" style="13"/>
    <col min="6669" max="6669" width="9" style="13" customWidth="1"/>
    <col min="6670" max="6917" width="9.140625" style="13"/>
    <col min="6918" max="6918" width="29" style="13" customWidth="1"/>
    <col min="6919" max="6919" width="9.7109375" style="13" customWidth="1"/>
    <col min="6920" max="6924" width="9.140625" style="13"/>
    <col min="6925" max="6925" width="9" style="13" customWidth="1"/>
    <col min="6926" max="7173" width="9.140625" style="13"/>
    <col min="7174" max="7174" width="29" style="13" customWidth="1"/>
    <col min="7175" max="7175" width="9.7109375" style="13" customWidth="1"/>
    <col min="7176" max="7180" width="9.140625" style="13"/>
    <col min="7181" max="7181" width="9" style="13" customWidth="1"/>
    <col min="7182" max="7429" width="9.140625" style="13"/>
    <col min="7430" max="7430" width="29" style="13" customWidth="1"/>
    <col min="7431" max="7431" width="9.7109375" style="13" customWidth="1"/>
    <col min="7432" max="7436" width="9.140625" style="13"/>
    <col min="7437" max="7437" width="9" style="13" customWidth="1"/>
    <col min="7438" max="7685" width="9.140625" style="13"/>
    <col min="7686" max="7686" width="29" style="13" customWidth="1"/>
    <col min="7687" max="7687" width="9.7109375" style="13" customWidth="1"/>
    <col min="7688" max="7692" width="9.140625" style="13"/>
    <col min="7693" max="7693" width="9" style="13" customWidth="1"/>
    <col min="7694" max="7941" width="9.140625" style="13"/>
    <col min="7942" max="7942" width="29" style="13" customWidth="1"/>
    <col min="7943" max="7943" width="9.7109375" style="13" customWidth="1"/>
    <col min="7944" max="7948" width="9.140625" style="13"/>
    <col min="7949" max="7949" width="9" style="13" customWidth="1"/>
    <col min="7950" max="8197" width="9.140625" style="13"/>
    <col min="8198" max="8198" width="29" style="13" customWidth="1"/>
    <col min="8199" max="8199" width="9.7109375" style="13" customWidth="1"/>
    <col min="8200" max="8204" width="9.140625" style="13"/>
    <col min="8205" max="8205" width="9" style="13" customWidth="1"/>
    <col min="8206" max="8453" width="9.140625" style="13"/>
    <col min="8454" max="8454" width="29" style="13" customWidth="1"/>
    <col min="8455" max="8455" width="9.7109375" style="13" customWidth="1"/>
    <col min="8456" max="8460" width="9.140625" style="13"/>
    <col min="8461" max="8461" width="9" style="13" customWidth="1"/>
    <col min="8462" max="8709" width="9.140625" style="13"/>
    <col min="8710" max="8710" width="29" style="13" customWidth="1"/>
    <col min="8711" max="8711" width="9.7109375" style="13" customWidth="1"/>
    <col min="8712" max="8716" width="9.140625" style="13"/>
    <col min="8717" max="8717" width="9" style="13" customWidth="1"/>
    <col min="8718" max="8965" width="9.140625" style="13"/>
    <col min="8966" max="8966" width="29" style="13" customWidth="1"/>
    <col min="8967" max="8967" width="9.7109375" style="13" customWidth="1"/>
    <col min="8968" max="8972" width="9.140625" style="13"/>
    <col min="8973" max="8973" width="9" style="13" customWidth="1"/>
    <col min="8974" max="9221" width="9.140625" style="13"/>
    <col min="9222" max="9222" width="29" style="13" customWidth="1"/>
    <col min="9223" max="9223" width="9.7109375" style="13" customWidth="1"/>
    <col min="9224" max="9228" width="9.140625" style="13"/>
    <col min="9229" max="9229" width="9" style="13" customWidth="1"/>
    <col min="9230" max="9477" width="9.140625" style="13"/>
    <col min="9478" max="9478" width="29" style="13" customWidth="1"/>
    <col min="9479" max="9479" width="9.7109375" style="13" customWidth="1"/>
    <col min="9480" max="9484" width="9.140625" style="13"/>
    <col min="9485" max="9485" width="9" style="13" customWidth="1"/>
    <col min="9486" max="9733" width="9.140625" style="13"/>
    <col min="9734" max="9734" width="29" style="13" customWidth="1"/>
    <col min="9735" max="9735" width="9.7109375" style="13" customWidth="1"/>
    <col min="9736" max="9740" width="9.140625" style="13"/>
    <col min="9741" max="9741" width="9" style="13" customWidth="1"/>
    <col min="9742" max="9989" width="9.140625" style="13"/>
    <col min="9990" max="9990" width="29" style="13" customWidth="1"/>
    <col min="9991" max="9991" width="9.7109375" style="13" customWidth="1"/>
    <col min="9992" max="9996" width="9.140625" style="13"/>
    <col min="9997" max="9997" width="9" style="13" customWidth="1"/>
    <col min="9998" max="10245" width="9.140625" style="13"/>
    <col min="10246" max="10246" width="29" style="13" customWidth="1"/>
    <col min="10247" max="10247" width="9.7109375" style="13" customWidth="1"/>
    <col min="10248" max="10252" width="9.140625" style="13"/>
    <col min="10253" max="10253" width="9" style="13" customWidth="1"/>
    <col min="10254" max="10501" width="9.140625" style="13"/>
    <col min="10502" max="10502" width="29" style="13" customWidth="1"/>
    <col min="10503" max="10503" width="9.7109375" style="13" customWidth="1"/>
    <col min="10504" max="10508" width="9.140625" style="13"/>
    <col min="10509" max="10509" width="9" style="13" customWidth="1"/>
    <col min="10510" max="10757" width="9.140625" style="13"/>
    <col min="10758" max="10758" width="29" style="13" customWidth="1"/>
    <col min="10759" max="10759" width="9.7109375" style="13" customWidth="1"/>
    <col min="10760" max="10764" width="9.140625" style="13"/>
    <col min="10765" max="10765" width="9" style="13" customWidth="1"/>
    <col min="10766" max="11013" width="9.140625" style="13"/>
    <col min="11014" max="11014" width="29" style="13" customWidth="1"/>
    <col min="11015" max="11015" width="9.7109375" style="13" customWidth="1"/>
    <col min="11016" max="11020" width="9.140625" style="13"/>
    <col min="11021" max="11021" width="9" style="13" customWidth="1"/>
    <col min="11022" max="11269" width="9.140625" style="13"/>
    <col min="11270" max="11270" width="29" style="13" customWidth="1"/>
    <col min="11271" max="11271" width="9.7109375" style="13" customWidth="1"/>
    <col min="11272" max="11276" width="9.140625" style="13"/>
    <col min="11277" max="11277" width="9" style="13" customWidth="1"/>
    <col min="11278" max="11525" width="9.140625" style="13"/>
    <col min="11526" max="11526" width="29" style="13" customWidth="1"/>
    <col min="11527" max="11527" width="9.7109375" style="13" customWidth="1"/>
    <col min="11528" max="11532" width="9.140625" style="13"/>
    <col min="11533" max="11533" width="9" style="13" customWidth="1"/>
    <col min="11534" max="11781" width="9.140625" style="13"/>
    <col min="11782" max="11782" width="29" style="13" customWidth="1"/>
    <col min="11783" max="11783" width="9.7109375" style="13" customWidth="1"/>
    <col min="11784" max="11788" width="9.140625" style="13"/>
    <col min="11789" max="11789" width="9" style="13" customWidth="1"/>
    <col min="11790" max="12037" width="9.140625" style="13"/>
    <col min="12038" max="12038" width="29" style="13" customWidth="1"/>
    <col min="12039" max="12039" width="9.7109375" style="13" customWidth="1"/>
    <col min="12040" max="12044" width="9.140625" style="13"/>
    <col min="12045" max="12045" width="9" style="13" customWidth="1"/>
    <col min="12046" max="12293" width="9.140625" style="13"/>
    <col min="12294" max="12294" width="29" style="13" customWidth="1"/>
    <col min="12295" max="12295" width="9.7109375" style="13" customWidth="1"/>
    <col min="12296" max="12300" width="9.140625" style="13"/>
    <col min="12301" max="12301" width="9" style="13" customWidth="1"/>
    <col min="12302" max="12549" width="9.140625" style="13"/>
    <col min="12550" max="12550" width="29" style="13" customWidth="1"/>
    <col min="12551" max="12551" width="9.7109375" style="13" customWidth="1"/>
    <col min="12552" max="12556" width="9.140625" style="13"/>
    <col min="12557" max="12557" width="9" style="13" customWidth="1"/>
    <col min="12558" max="12805" width="9.140625" style="13"/>
    <col min="12806" max="12806" width="29" style="13" customWidth="1"/>
    <col min="12807" max="12807" width="9.7109375" style="13" customWidth="1"/>
    <col min="12808" max="12812" width="9.140625" style="13"/>
    <col min="12813" max="12813" width="9" style="13" customWidth="1"/>
    <col min="12814" max="13061" width="9.140625" style="13"/>
    <col min="13062" max="13062" width="29" style="13" customWidth="1"/>
    <col min="13063" max="13063" width="9.7109375" style="13" customWidth="1"/>
    <col min="13064" max="13068" width="9.140625" style="13"/>
    <col min="13069" max="13069" width="9" style="13" customWidth="1"/>
    <col min="13070" max="13317" width="9.140625" style="13"/>
    <col min="13318" max="13318" width="29" style="13" customWidth="1"/>
    <col min="13319" max="13319" width="9.7109375" style="13" customWidth="1"/>
    <col min="13320" max="13324" width="9.140625" style="13"/>
    <col min="13325" max="13325" width="9" style="13" customWidth="1"/>
    <col min="13326" max="13573" width="9.140625" style="13"/>
    <col min="13574" max="13574" width="29" style="13" customWidth="1"/>
    <col min="13575" max="13575" width="9.7109375" style="13" customWidth="1"/>
    <col min="13576" max="13580" width="9.140625" style="13"/>
    <col min="13581" max="13581" width="9" style="13" customWidth="1"/>
    <col min="13582" max="13829" width="9.140625" style="13"/>
    <col min="13830" max="13830" width="29" style="13" customWidth="1"/>
    <col min="13831" max="13831" width="9.7109375" style="13" customWidth="1"/>
    <col min="13832" max="13836" width="9.140625" style="13"/>
    <col min="13837" max="13837" width="9" style="13" customWidth="1"/>
    <col min="13838" max="14085" width="9.140625" style="13"/>
    <col min="14086" max="14086" width="29" style="13" customWidth="1"/>
    <col min="14087" max="14087" width="9.7109375" style="13" customWidth="1"/>
    <col min="14088" max="14092" width="9.140625" style="13"/>
    <col min="14093" max="14093" width="9" style="13" customWidth="1"/>
    <col min="14094" max="14341" width="9.140625" style="13"/>
    <col min="14342" max="14342" width="29" style="13" customWidth="1"/>
    <col min="14343" max="14343" width="9.7109375" style="13" customWidth="1"/>
    <col min="14344" max="14348" width="9.140625" style="13"/>
    <col min="14349" max="14349" width="9" style="13" customWidth="1"/>
    <col min="14350" max="14597" width="9.140625" style="13"/>
    <col min="14598" max="14598" width="29" style="13" customWidth="1"/>
    <col min="14599" max="14599" width="9.7109375" style="13" customWidth="1"/>
    <col min="14600" max="14604" width="9.140625" style="13"/>
    <col min="14605" max="14605" width="9" style="13" customWidth="1"/>
    <col min="14606" max="14853" width="9.140625" style="13"/>
    <col min="14854" max="14854" width="29" style="13" customWidth="1"/>
    <col min="14855" max="14855" width="9.7109375" style="13" customWidth="1"/>
    <col min="14856" max="14860" width="9.140625" style="13"/>
    <col min="14861" max="14861" width="9" style="13" customWidth="1"/>
    <col min="14862" max="15109" width="9.140625" style="13"/>
    <col min="15110" max="15110" width="29" style="13" customWidth="1"/>
    <col min="15111" max="15111" width="9.7109375" style="13" customWidth="1"/>
    <col min="15112" max="15116" width="9.140625" style="13"/>
    <col min="15117" max="15117" width="9" style="13" customWidth="1"/>
    <col min="15118" max="15365" width="9.140625" style="13"/>
    <col min="15366" max="15366" width="29" style="13" customWidth="1"/>
    <col min="15367" max="15367" width="9.7109375" style="13" customWidth="1"/>
    <col min="15368" max="15372" width="9.140625" style="13"/>
    <col min="15373" max="15373" width="9" style="13" customWidth="1"/>
    <col min="15374" max="15621" width="9.140625" style="13"/>
    <col min="15622" max="15622" width="29" style="13" customWidth="1"/>
    <col min="15623" max="15623" width="9.7109375" style="13" customWidth="1"/>
    <col min="15624" max="15628" width="9.140625" style="13"/>
    <col min="15629" max="15629" width="9" style="13" customWidth="1"/>
    <col min="15630" max="15877" width="9.140625" style="13"/>
    <col min="15878" max="15878" width="29" style="13" customWidth="1"/>
    <col min="15879" max="15879" width="9.7109375" style="13" customWidth="1"/>
    <col min="15880" max="15884" width="9.140625" style="13"/>
    <col min="15885" max="15885" width="9" style="13" customWidth="1"/>
    <col min="15886" max="16133" width="9.140625" style="13"/>
    <col min="16134" max="16134" width="29" style="13" customWidth="1"/>
    <col min="16135" max="16135" width="9.7109375" style="13" customWidth="1"/>
    <col min="16136" max="16140" width="9.140625" style="13"/>
    <col min="16141" max="16141" width="9" style="13" customWidth="1"/>
    <col min="16142" max="16384" width="9.140625" style="13"/>
  </cols>
  <sheetData>
    <row r="1" spans="1:30" ht="15">
      <c r="A1" s="927"/>
      <c r="B1" s="927"/>
      <c r="C1" s="927"/>
      <c r="D1" s="927"/>
      <c r="E1" s="927"/>
      <c r="F1" s="927"/>
      <c r="G1" s="927"/>
      <c r="H1" s="927"/>
      <c r="I1" s="927"/>
      <c r="J1" s="927"/>
      <c r="K1" s="927"/>
      <c r="L1" s="927"/>
      <c r="M1" s="927"/>
      <c r="N1" s="927"/>
      <c r="O1" s="927"/>
      <c r="P1" s="928"/>
      <c r="Q1" s="928"/>
      <c r="R1" s="928"/>
      <c r="S1" s="928"/>
      <c r="T1" s="928"/>
      <c r="U1" s="928"/>
      <c r="V1" s="928"/>
      <c r="W1" s="928"/>
      <c r="X1" s="928"/>
      <c r="Y1" s="928"/>
      <c r="Z1" s="928"/>
      <c r="AA1" s="928"/>
      <c r="AB1" s="928"/>
      <c r="AC1" s="928"/>
      <c r="AD1" s="928"/>
    </row>
    <row r="2" spans="1:30" ht="15">
      <c r="A2" s="917" t="s">
        <v>4328</v>
      </c>
      <c r="B2" s="929">
        <v>3.16</v>
      </c>
      <c r="C2" s="930"/>
      <c r="D2" s="917"/>
      <c r="E2" s="917"/>
      <c r="F2" s="917"/>
      <c r="G2" s="917"/>
      <c r="H2" s="917"/>
      <c r="I2" s="917"/>
      <c r="J2" s="917"/>
      <c r="K2" s="917"/>
      <c r="L2" s="917"/>
      <c r="M2" s="917"/>
      <c r="N2" s="917"/>
      <c r="O2" s="927"/>
      <c r="P2" s="928"/>
      <c r="Q2" s="928"/>
      <c r="R2" s="928"/>
      <c r="S2" s="928"/>
      <c r="T2" s="928"/>
      <c r="U2" s="928"/>
      <c r="V2" s="928"/>
      <c r="W2" s="928"/>
      <c r="X2" s="928"/>
      <c r="Y2" s="928"/>
      <c r="Z2" s="928"/>
      <c r="AA2" s="928"/>
      <c r="AB2" s="928"/>
      <c r="AC2" s="928"/>
      <c r="AD2" s="928"/>
    </row>
    <row r="3" spans="1:30" ht="15" hidden="1">
      <c r="A3" s="917"/>
      <c r="B3" s="929"/>
      <c r="C3" s="930"/>
      <c r="D3" s="917"/>
      <c r="E3" s="917"/>
      <c r="F3" s="917"/>
      <c r="G3" s="917"/>
      <c r="H3" s="917"/>
      <c r="I3" s="917"/>
      <c r="J3" s="917"/>
      <c r="K3" s="917"/>
      <c r="L3" s="917"/>
      <c r="M3" s="917"/>
      <c r="N3" s="917"/>
      <c r="O3" s="927"/>
      <c r="P3" s="928"/>
      <c r="Q3" s="928"/>
      <c r="R3" s="928"/>
      <c r="S3" s="928"/>
      <c r="T3" s="928"/>
      <c r="U3" s="928"/>
      <c r="V3" s="928"/>
      <c r="W3" s="928"/>
      <c r="X3" s="928"/>
      <c r="Y3" s="928"/>
      <c r="Z3" s="928"/>
      <c r="AA3" s="928"/>
      <c r="AB3" s="928"/>
      <c r="AC3" s="928"/>
      <c r="AD3" s="928"/>
    </row>
    <row r="4" spans="1:30" ht="15" hidden="1">
      <c r="A4" s="917"/>
      <c r="B4" s="931"/>
      <c r="C4" s="932"/>
      <c r="D4" s="917"/>
      <c r="E4" s="917"/>
      <c r="F4" s="917"/>
      <c r="G4" s="917"/>
      <c r="H4" s="917"/>
      <c r="I4" s="917"/>
      <c r="J4" s="917"/>
      <c r="K4" s="917"/>
      <c r="L4" s="917"/>
      <c r="M4" s="917"/>
      <c r="N4" s="917"/>
      <c r="O4" s="927"/>
      <c r="P4" s="928"/>
      <c r="Q4" s="928"/>
      <c r="R4" s="928"/>
      <c r="S4" s="928"/>
      <c r="T4" s="928"/>
      <c r="U4" s="928"/>
      <c r="V4" s="928"/>
      <c r="W4" s="928"/>
      <c r="X4" s="928"/>
      <c r="Y4" s="928"/>
      <c r="Z4" s="928"/>
      <c r="AA4" s="928"/>
      <c r="AB4" s="928"/>
      <c r="AC4" s="928"/>
      <c r="AD4" s="928"/>
    </row>
    <row r="5" spans="1:30" ht="15">
      <c r="A5" s="917" t="s">
        <v>357</v>
      </c>
      <c r="B5" s="933">
        <v>17</v>
      </c>
      <c r="C5" s="915"/>
      <c r="D5" s="917"/>
      <c r="E5" s="917"/>
      <c r="F5" s="917"/>
      <c r="G5" s="917"/>
      <c r="H5" s="917"/>
      <c r="I5" s="917"/>
      <c r="J5" s="917"/>
      <c r="K5" s="917"/>
      <c r="L5" s="917"/>
      <c r="M5" s="917"/>
      <c r="N5" s="917"/>
      <c r="O5" s="927"/>
      <c r="P5" s="928"/>
      <c r="Q5" s="928"/>
      <c r="R5" s="928"/>
      <c r="S5" s="928"/>
      <c r="T5" s="928"/>
      <c r="U5" s="928"/>
      <c r="V5" s="928"/>
      <c r="W5" s="928"/>
      <c r="X5" s="928"/>
      <c r="Y5" s="928"/>
      <c r="Z5" s="928"/>
      <c r="AA5" s="928"/>
      <c r="AB5" s="928"/>
      <c r="AC5" s="928"/>
      <c r="AD5" s="928"/>
    </row>
    <row r="6" spans="1:30" ht="15">
      <c r="A6" s="912"/>
      <c r="B6" s="913"/>
      <c r="C6" s="934"/>
      <c r="D6" s="913">
        <v>2008</v>
      </c>
      <c r="E6" s="913">
        <v>2009</v>
      </c>
      <c r="F6" s="913">
        <f t="shared" ref="F6:K6" si="0">E6+1</f>
        <v>2010</v>
      </c>
      <c r="G6" s="913">
        <f t="shared" si="0"/>
        <v>2011</v>
      </c>
      <c r="H6" s="913">
        <f t="shared" si="0"/>
        <v>2012</v>
      </c>
      <c r="I6" s="913">
        <f t="shared" si="0"/>
        <v>2013</v>
      </c>
      <c r="J6" s="913">
        <f t="shared" si="0"/>
        <v>2014</v>
      </c>
      <c r="K6" s="913">
        <f t="shared" si="0"/>
        <v>2015</v>
      </c>
      <c r="L6" s="913">
        <f>K6+1</f>
        <v>2016</v>
      </c>
      <c r="M6" s="913">
        <f>L6+1</f>
        <v>2017</v>
      </c>
      <c r="N6" s="913">
        <f>M6+1</f>
        <v>2018</v>
      </c>
      <c r="O6" s="913">
        <f t="shared" ref="O6:Z6" si="1">N6+1</f>
        <v>2019</v>
      </c>
      <c r="P6" s="913">
        <f t="shared" si="1"/>
        <v>2020</v>
      </c>
      <c r="Q6" s="913">
        <f t="shared" si="1"/>
        <v>2021</v>
      </c>
      <c r="R6" s="913">
        <f t="shared" si="1"/>
        <v>2022</v>
      </c>
      <c r="S6" s="913">
        <f t="shared" si="1"/>
        <v>2023</v>
      </c>
      <c r="T6" s="913">
        <f t="shared" si="1"/>
        <v>2024</v>
      </c>
      <c r="U6" s="913">
        <f t="shared" si="1"/>
        <v>2025</v>
      </c>
      <c r="V6" s="913">
        <f t="shared" si="1"/>
        <v>2026</v>
      </c>
      <c r="W6" s="913">
        <f t="shared" si="1"/>
        <v>2027</v>
      </c>
      <c r="X6" s="913">
        <f t="shared" si="1"/>
        <v>2028</v>
      </c>
      <c r="Y6" s="913">
        <f t="shared" si="1"/>
        <v>2029</v>
      </c>
      <c r="Z6" s="913">
        <f t="shared" si="1"/>
        <v>2030</v>
      </c>
      <c r="AA6" s="1151"/>
      <c r="AB6" s="928"/>
      <c r="AC6" s="928"/>
      <c r="AD6" s="928"/>
    </row>
    <row r="7" spans="1:30" ht="15">
      <c r="A7" s="917" t="s">
        <v>388</v>
      </c>
      <c r="B7" s="935"/>
      <c r="C7" s="930"/>
      <c r="D7" s="930"/>
      <c r="E7" s="930">
        <f>Master!H509</f>
        <v>559.36923076923074</v>
      </c>
      <c r="F7" s="930">
        <f>Master!I509</f>
        <v>555.59487179487178</v>
      </c>
      <c r="G7" s="930">
        <f>Master!J509</f>
        <v>565.60119658119652</v>
      </c>
      <c r="H7" s="930">
        <f>Master!K509</f>
        <v>571.21572649572659</v>
      </c>
      <c r="I7" s="930">
        <f>Master!L509</f>
        <v>573.5094017094018</v>
      </c>
      <c r="J7" s="930">
        <f>Master!M509</f>
        <v>577.8735042735043</v>
      </c>
      <c r="K7" s="930">
        <f>Master!N509</f>
        <v>578.57948717948716</v>
      </c>
      <c r="L7" s="930">
        <f>Master!O509</f>
        <v>578.57948717948716</v>
      </c>
      <c r="M7" s="930">
        <f>Master!P509</f>
        <v>578.57948717948716</v>
      </c>
      <c r="N7" s="930">
        <f>Master!Q509</f>
        <v>578.34034188034184</v>
      </c>
      <c r="O7" s="930">
        <f>Master!R509</f>
        <v>571.50273504273503</v>
      </c>
      <c r="P7" s="930">
        <f>Master!S509</f>
        <v>573.38307692307694</v>
      </c>
      <c r="Q7" s="930">
        <f>Master!T509</f>
        <v>573.38307692307694</v>
      </c>
      <c r="R7" s="930">
        <f>Master!U509</f>
        <v>573.38307692307694</v>
      </c>
      <c r="S7" s="930">
        <f>Master!V509</f>
        <v>573.38307692307694</v>
      </c>
      <c r="T7" s="930">
        <f>Master!W509</f>
        <v>573.38307692307694</v>
      </c>
      <c r="U7" s="930">
        <f>Master!X509</f>
        <v>573.38307692307694</v>
      </c>
      <c r="V7" s="930">
        <f>Master!Y509</f>
        <v>573.38307692307694</v>
      </c>
      <c r="W7" s="930">
        <f>Master!Z509</f>
        <v>573.38307692307694</v>
      </c>
      <c r="X7" s="930">
        <f>Master!AA509</f>
        <v>573.38307692307694</v>
      </c>
      <c r="Y7" s="930">
        <f>Master!AB509</f>
        <v>573.38307692307694</v>
      </c>
      <c r="Z7" s="930">
        <f>Master!AC509</f>
        <v>573.38307692307694</v>
      </c>
      <c r="AA7" s="928"/>
      <c r="AB7" s="928"/>
      <c r="AC7" s="928"/>
      <c r="AD7" s="928"/>
    </row>
    <row r="8" spans="1:30" ht="15">
      <c r="A8" s="917"/>
      <c r="B8" s="935"/>
      <c r="C8" s="930"/>
      <c r="D8" s="930"/>
      <c r="E8" s="930"/>
      <c r="F8" s="930"/>
      <c r="G8" s="930"/>
      <c r="H8" s="930"/>
      <c r="I8" s="930"/>
      <c r="J8" s="930"/>
      <c r="K8" s="930"/>
      <c r="L8" s="930"/>
      <c r="M8" s="930"/>
      <c r="N8" s="930"/>
      <c r="O8" s="930"/>
      <c r="P8" s="930"/>
      <c r="Q8" s="930"/>
      <c r="R8" s="919"/>
      <c r="S8" s="930"/>
      <c r="T8" s="930"/>
      <c r="U8" s="930"/>
      <c r="V8" s="930"/>
      <c r="W8" s="930"/>
      <c r="X8" s="930"/>
      <c r="Y8" s="930"/>
      <c r="Z8" s="930"/>
      <c r="AA8" s="928"/>
      <c r="AB8" s="928"/>
      <c r="AC8" s="928"/>
      <c r="AD8" s="928"/>
    </row>
    <row r="9" spans="1:30" ht="15">
      <c r="A9" s="936" t="s">
        <v>405</v>
      </c>
      <c r="B9" s="935"/>
      <c r="C9" s="917"/>
      <c r="D9" s="915"/>
      <c r="E9" s="930"/>
      <c r="F9" s="917"/>
      <c r="G9" s="917"/>
      <c r="H9" s="917"/>
      <c r="I9" s="915"/>
      <c r="J9" s="917"/>
      <c r="K9" s="917"/>
      <c r="L9" s="917"/>
      <c r="M9" s="917"/>
      <c r="N9" s="917"/>
      <c r="O9" s="917"/>
      <c r="P9" s="917"/>
      <c r="Q9" s="917"/>
      <c r="R9" s="917"/>
      <c r="S9" s="917"/>
      <c r="T9" s="917"/>
      <c r="U9" s="917"/>
      <c r="V9" s="917"/>
      <c r="W9" s="917"/>
      <c r="X9" s="917"/>
      <c r="Y9" s="917"/>
      <c r="Z9" s="917"/>
      <c r="AA9" s="928"/>
      <c r="AB9" s="928"/>
      <c r="AC9" s="928"/>
      <c r="AD9" s="928"/>
    </row>
    <row r="10" spans="1:30" ht="15">
      <c r="A10" s="917" t="s">
        <v>365</v>
      </c>
      <c r="B10" s="930"/>
      <c r="C10" s="930"/>
      <c r="D10" s="930"/>
      <c r="E10" s="930">
        <f t="shared" ref="E10:N10" si="2">($B$2*E7)</f>
        <v>1767.6067692307693</v>
      </c>
      <c r="F10" s="930">
        <f t="shared" si="2"/>
        <v>1755.6797948717949</v>
      </c>
      <c r="G10" s="930">
        <f t="shared" si="2"/>
        <v>1787.2997811965811</v>
      </c>
      <c r="H10" s="930">
        <f t="shared" si="2"/>
        <v>1805.0416957264961</v>
      </c>
      <c r="I10" s="930">
        <f t="shared" si="2"/>
        <v>1812.2897094017098</v>
      </c>
      <c r="J10" s="930">
        <f t="shared" si="2"/>
        <v>1826.0802735042737</v>
      </c>
      <c r="K10" s="930">
        <f t="shared" si="2"/>
        <v>1828.3111794871795</v>
      </c>
      <c r="L10" s="930">
        <f t="shared" si="2"/>
        <v>1828.3111794871795</v>
      </c>
      <c r="M10" s="930">
        <f t="shared" si="2"/>
        <v>1828.3111794871795</v>
      </c>
      <c r="N10" s="930">
        <f t="shared" si="2"/>
        <v>1827.5554803418802</v>
      </c>
      <c r="O10" s="930">
        <f t="shared" ref="O10:U10" si="3">($B$2*O7)</f>
        <v>1805.9486427350428</v>
      </c>
      <c r="P10" s="930">
        <f t="shared" si="3"/>
        <v>1811.8905230769233</v>
      </c>
      <c r="Q10" s="930">
        <f t="shared" si="3"/>
        <v>1811.8905230769233</v>
      </c>
      <c r="R10" s="930">
        <f t="shared" si="3"/>
        <v>1811.8905230769233</v>
      </c>
      <c r="S10" s="930">
        <f t="shared" si="3"/>
        <v>1811.8905230769233</v>
      </c>
      <c r="T10" s="930">
        <f t="shared" si="3"/>
        <v>1811.8905230769233</v>
      </c>
      <c r="U10" s="930">
        <f t="shared" si="3"/>
        <v>1811.8905230769233</v>
      </c>
      <c r="V10" s="930">
        <f>($B$2*V7)</f>
        <v>1811.8905230769233</v>
      </c>
      <c r="W10" s="930">
        <f>($B$2*W7)</f>
        <v>1811.8905230769233</v>
      </c>
      <c r="X10" s="930">
        <f>($B$2*X7)</f>
        <v>1811.8905230769233</v>
      </c>
      <c r="Y10" s="930">
        <f>($B$2*Y7)</f>
        <v>1811.8905230769233</v>
      </c>
      <c r="Z10" s="930">
        <f>($B$2*Z7)</f>
        <v>1811.8905230769233</v>
      </c>
      <c r="AA10" s="928"/>
      <c r="AB10" s="928"/>
      <c r="AC10" s="928"/>
      <c r="AD10" s="928"/>
    </row>
    <row r="11" spans="1:30" ht="15">
      <c r="A11" s="917" t="s">
        <v>951</v>
      </c>
      <c r="B11" s="930"/>
      <c r="C11" s="930"/>
      <c r="D11" s="930"/>
      <c r="E11" s="930">
        <f>F11</f>
        <v>-2677.3321745870207</v>
      </c>
      <c r="F11" s="937">
        <f>-SOP!$G$15</f>
        <v>-2677.3321745870207</v>
      </c>
      <c r="G11" s="930">
        <f>F11</f>
        <v>-2677.3321745870207</v>
      </c>
      <c r="H11" s="930">
        <f t="shared" ref="H11:P14" si="4">G11</f>
        <v>-2677.3321745870207</v>
      </c>
      <c r="I11" s="930">
        <f t="shared" si="4"/>
        <v>-2677.3321745870207</v>
      </c>
      <c r="J11" s="930">
        <f t="shared" si="4"/>
        <v>-2677.3321745870207</v>
      </c>
      <c r="K11" s="930">
        <f t="shared" si="4"/>
        <v>-2677.3321745870207</v>
      </c>
      <c r="L11" s="930">
        <f t="shared" si="4"/>
        <v>-2677.3321745870207</v>
      </c>
      <c r="M11" s="930">
        <f t="shared" si="4"/>
        <v>-2677.3321745870207</v>
      </c>
      <c r="N11" s="930">
        <f t="shared" si="4"/>
        <v>-2677.3321745870207</v>
      </c>
      <c r="O11" s="930">
        <f>N11</f>
        <v>-2677.3321745870207</v>
      </c>
      <c r="P11" s="930">
        <f t="shared" si="4"/>
        <v>-2677.3321745870207</v>
      </c>
      <c r="Q11" s="930">
        <f t="shared" ref="Q11:Z14" si="5">P11</f>
        <v>-2677.3321745870207</v>
      </c>
      <c r="R11" s="930">
        <f t="shared" si="5"/>
        <v>-2677.3321745870207</v>
      </c>
      <c r="S11" s="930">
        <f t="shared" si="5"/>
        <v>-2677.3321745870207</v>
      </c>
      <c r="T11" s="930">
        <f t="shared" si="5"/>
        <v>-2677.3321745870207</v>
      </c>
      <c r="U11" s="930">
        <f t="shared" si="5"/>
        <v>-2677.3321745870207</v>
      </c>
      <c r="V11" s="930">
        <f t="shared" si="5"/>
        <v>-2677.3321745870207</v>
      </c>
      <c r="W11" s="930">
        <f t="shared" si="5"/>
        <v>-2677.3321745870207</v>
      </c>
      <c r="X11" s="930">
        <f t="shared" si="5"/>
        <v>-2677.3321745870207</v>
      </c>
      <c r="Y11" s="930">
        <f t="shared" si="5"/>
        <v>-2677.3321745870207</v>
      </c>
      <c r="Z11" s="930">
        <f t="shared" si="5"/>
        <v>-2677.3321745870207</v>
      </c>
      <c r="AA11" s="928"/>
      <c r="AB11" s="928"/>
      <c r="AC11" s="928"/>
      <c r="AD11" s="928"/>
    </row>
    <row r="12" spans="1:30" ht="15">
      <c r="A12" s="917" t="s">
        <v>366</v>
      </c>
      <c r="B12" s="935"/>
      <c r="C12" s="930"/>
      <c r="D12" s="930"/>
      <c r="E12" s="930">
        <f>F12</f>
        <v>0</v>
      </c>
      <c r="F12" s="937">
        <v>0</v>
      </c>
      <c r="G12" s="930">
        <f>F12</f>
        <v>0</v>
      </c>
      <c r="H12" s="930">
        <f t="shared" si="4"/>
        <v>0</v>
      </c>
      <c r="I12" s="930">
        <f t="shared" si="4"/>
        <v>0</v>
      </c>
      <c r="J12" s="930">
        <f t="shared" si="4"/>
        <v>0</v>
      </c>
      <c r="K12" s="930">
        <f t="shared" si="4"/>
        <v>0</v>
      </c>
      <c r="L12" s="930">
        <f t="shared" si="4"/>
        <v>0</v>
      </c>
      <c r="M12" s="930">
        <f t="shared" si="4"/>
        <v>0</v>
      </c>
      <c r="N12" s="930">
        <f t="shared" si="4"/>
        <v>0</v>
      </c>
      <c r="O12" s="930">
        <f>N12</f>
        <v>0</v>
      </c>
      <c r="P12" s="930">
        <f t="shared" si="4"/>
        <v>0</v>
      </c>
      <c r="Q12" s="930">
        <f t="shared" si="5"/>
        <v>0</v>
      </c>
      <c r="R12" s="930">
        <f t="shared" si="5"/>
        <v>0</v>
      </c>
      <c r="S12" s="930">
        <f t="shared" si="5"/>
        <v>0</v>
      </c>
      <c r="T12" s="930">
        <f t="shared" si="5"/>
        <v>0</v>
      </c>
      <c r="U12" s="930">
        <f t="shared" si="5"/>
        <v>0</v>
      </c>
      <c r="V12" s="930">
        <f t="shared" si="5"/>
        <v>0</v>
      </c>
      <c r="W12" s="930">
        <f t="shared" si="5"/>
        <v>0</v>
      </c>
      <c r="X12" s="930">
        <f t="shared" si="5"/>
        <v>0</v>
      </c>
      <c r="Y12" s="930">
        <f t="shared" si="5"/>
        <v>0</v>
      </c>
      <c r="Z12" s="930">
        <f t="shared" si="5"/>
        <v>0</v>
      </c>
      <c r="AA12" s="928"/>
      <c r="AB12" s="928"/>
      <c r="AC12" s="928"/>
      <c r="AD12" s="928"/>
    </row>
    <row r="13" spans="1:30" ht="15">
      <c r="A13" s="917" t="s">
        <v>367</v>
      </c>
      <c r="B13" s="930"/>
      <c r="C13" s="930"/>
      <c r="D13" s="930"/>
      <c r="E13" s="930">
        <f ca="1">F13</f>
        <v>522.03146293983821</v>
      </c>
      <c r="F13" s="937">
        <f ca="1">SOP!$G$20</f>
        <v>522.03146293983821</v>
      </c>
      <c r="G13" s="930">
        <f ca="1">F13</f>
        <v>522.03146293983821</v>
      </c>
      <c r="H13" s="930">
        <f t="shared" ca="1" si="4"/>
        <v>522.03146293983821</v>
      </c>
      <c r="I13" s="930">
        <f t="shared" ca="1" si="4"/>
        <v>522.03146293983821</v>
      </c>
      <c r="J13" s="930">
        <f t="shared" ca="1" si="4"/>
        <v>522.03146293983821</v>
      </c>
      <c r="K13" s="930">
        <f t="shared" ca="1" si="4"/>
        <v>522.03146293983821</v>
      </c>
      <c r="L13" s="930">
        <f t="shared" ca="1" si="4"/>
        <v>522.03146293983821</v>
      </c>
      <c r="M13" s="930">
        <f t="shared" ca="1" si="4"/>
        <v>522.03146293983821</v>
      </c>
      <c r="N13" s="930">
        <f t="shared" ca="1" si="4"/>
        <v>522.03146293983821</v>
      </c>
      <c r="O13" s="930">
        <f ca="1">N13</f>
        <v>522.03146293983821</v>
      </c>
      <c r="P13" s="930">
        <f t="shared" ca="1" si="4"/>
        <v>522.03146293983821</v>
      </c>
      <c r="Q13" s="930">
        <f t="shared" ca="1" si="5"/>
        <v>522.03146293983821</v>
      </c>
      <c r="R13" s="930">
        <f t="shared" ca="1" si="5"/>
        <v>522.03146293983821</v>
      </c>
      <c r="S13" s="930">
        <f t="shared" ca="1" si="5"/>
        <v>522.03146293983821</v>
      </c>
      <c r="T13" s="930">
        <f t="shared" ca="1" si="5"/>
        <v>522.03146293983821</v>
      </c>
      <c r="U13" s="930">
        <f t="shared" ca="1" si="5"/>
        <v>522.03146293983821</v>
      </c>
      <c r="V13" s="930">
        <f t="shared" ca="1" si="5"/>
        <v>522.03146293983821</v>
      </c>
      <c r="W13" s="930">
        <f t="shared" ca="1" si="5"/>
        <v>522.03146293983821</v>
      </c>
      <c r="X13" s="930">
        <f t="shared" ca="1" si="5"/>
        <v>522.03146293983821</v>
      </c>
      <c r="Y13" s="930">
        <f t="shared" ca="1" si="5"/>
        <v>522.03146293983821</v>
      </c>
      <c r="Z13" s="930">
        <f t="shared" ca="1" si="5"/>
        <v>522.03146293983821</v>
      </c>
      <c r="AA13" s="928"/>
      <c r="AB13" s="928"/>
      <c r="AC13" s="928"/>
      <c r="AD13" s="928"/>
    </row>
    <row r="14" spans="1:30" ht="15">
      <c r="A14" s="917" t="s">
        <v>368</v>
      </c>
      <c r="B14" s="930"/>
      <c r="C14" s="930"/>
      <c r="D14" s="930"/>
      <c r="E14" s="930">
        <f>F14</f>
        <v>0</v>
      </c>
      <c r="F14" s="937">
        <v>0</v>
      </c>
      <c r="G14" s="930">
        <f>F14</f>
        <v>0</v>
      </c>
      <c r="H14" s="930">
        <f t="shared" si="4"/>
        <v>0</v>
      </c>
      <c r="I14" s="930">
        <f t="shared" si="4"/>
        <v>0</v>
      </c>
      <c r="J14" s="930">
        <f t="shared" si="4"/>
        <v>0</v>
      </c>
      <c r="K14" s="930">
        <f t="shared" si="4"/>
        <v>0</v>
      </c>
      <c r="L14" s="930">
        <f t="shared" si="4"/>
        <v>0</v>
      </c>
      <c r="M14" s="930">
        <f t="shared" si="4"/>
        <v>0</v>
      </c>
      <c r="N14" s="930">
        <f t="shared" si="4"/>
        <v>0</v>
      </c>
      <c r="O14" s="930">
        <f>N14</f>
        <v>0</v>
      </c>
      <c r="P14" s="930">
        <f t="shared" si="4"/>
        <v>0</v>
      </c>
      <c r="Q14" s="930">
        <f t="shared" si="5"/>
        <v>0</v>
      </c>
      <c r="R14" s="930">
        <f t="shared" si="5"/>
        <v>0</v>
      </c>
      <c r="S14" s="930">
        <f t="shared" si="5"/>
        <v>0</v>
      </c>
      <c r="T14" s="930">
        <f t="shared" si="5"/>
        <v>0</v>
      </c>
      <c r="U14" s="930">
        <f t="shared" si="5"/>
        <v>0</v>
      </c>
      <c r="V14" s="930">
        <f t="shared" si="5"/>
        <v>0</v>
      </c>
      <c r="W14" s="930">
        <f t="shared" si="5"/>
        <v>0</v>
      </c>
      <c r="X14" s="930">
        <f t="shared" si="5"/>
        <v>0</v>
      </c>
      <c r="Y14" s="930">
        <f t="shared" si="5"/>
        <v>0</v>
      </c>
      <c r="Z14" s="930">
        <f t="shared" si="5"/>
        <v>0</v>
      </c>
      <c r="AA14" s="928"/>
      <c r="AB14" s="928"/>
      <c r="AC14" s="928"/>
      <c r="AD14" s="928"/>
    </row>
    <row r="15" spans="1:30" ht="15">
      <c r="A15" s="917" t="s">
        <v>369</v>
      </c>
      <c r="B15" s="930"/>
      <c r="C15" s="930"/>
      <c r="D15" s="930"/>
      <c r="E15" s="930">
        <f>Master!H258/Master!H$92</f>
        <v>42.733333333333441</v>
      </c>
      <c r="F15" s="930">
        <f>Master!I258/Master!I$92</f>
        <v>1006.9675376088677</v>
      </c>
      <c r="G15" s="930">
        <f>Master!J258/Master!J$92</f>
        <v>2554.0996784565918</v>
      </c>
      <c r="H15" s="930">
        <f>Master!K258/Master!K$92</f>
        <v>1946.0486322188449</v>
      </c>
      <c r="I15" s="930">
        <f>Master!L258/Master!L$92</f>
        <v>2742.398119122257</v>
      </c>
      <c r="J15" s="930">
        <f>Master!M258/Master!M$92</f>
        <v>3043.3508640120212</v>
      </c>
      <c r="K15" s="930">
        <f>Master!N258/Master!N$92</f>
        <v>3495.9672337744173</v>
      </c>
      <c r="L15" s="930">
        <f>Master!O258/Master!O$92</f>
        <v>4159.4641909814318</v>
      </c>
      <c r="M15" s="930">
        <f>Master!P258/Master!P$92</f>
        <v>4194.3386243386249</v>
      </c>
      <c r="N15" s="930">
        <f>Master!Q258/Master!Q$92</f>
        <v>4328.1922077922072</v>
      </c>
      <c r="O15" s="930">
        <f>Master!R258/Master!R$92</f>
        <v>4869.2519480519486</v>
      </c>
      <c r="P15" s="930">
        <f>Master!S258/Master!S$92</f>
        <v>4475.931098696462</v>
      </c>
      <c r="Q15" s="930">
        <f>Master!T258/Master!T$92</f>
        <v>5186.945881096568</v>
      </c>
      <c r="R15" s="930">
        <f>Master!U258/Master!U$92</f>
        <v>2690.6862257583293</v>
      </c>
      <c r="S15" s="930">
        <f>Master!V258/Master!V$92</f>
        <v>3160.9943502824854</v>
      </c>
      <c r="T15" s="930">
        <f ca="1">Master!W258/Master!W$92</f>
        <v>3458.2892069071536</v>
      </c>
      <c r="U15" s="930">
        <f ca="1">Master!X258/Master!X$92</f>
        <v>3378.8561972942557</v>
      </c>
      <c r="V15" s="930">
        <f ca="1">Master!Y258/Master!Y$92</f>
        <v>3209.2086428586981</v>
      </c>
      <c r="W15" s="930">
        <f ca="1">Master!Z258/Master!Z$92</f>
        <v>3000.9553491945171</v>
      </c>
      <c r="X15" s="930">
        <f ca="1">Master!AA258/Master!AA$92</f>
        <v>2742.0792685866909</v>
      </c>
      <c r="Y15" s="930">
        <f ca="1">Master!AB258/Master!AB$92</f>
        <v>2464.6550049707503</v>
      </c>
      <c r="Z15" s="930">
        <f ca="1">Master!AC258/Master!AC$92</f>
        <v>2174.352050508212</v>
      </c>
      <c r="AA15" s="928"/>
      <c r="AB15" s="928"/>
      <c r="AC15" s="928"/>
      <c r="AD15" s="928"/>
    </row>
    <row r="16" spans="1:30" ht="15">
      <c r="A16" s="938" t="s">
        <v>370</v>
      </c>
      <c r="B16" s="939"/>
      <c r="C16" s="939"/>
      <c r="D16" s="939"/>
      <c r="E16" s="939">
        <v>0</v>
      </c>
      <c r="F16" s="939">
        <v>0</v>
      </c>
      <c r="G16" s="939">
        <v>0</v>
      </c>
      <c r="H16" s="939">
        <v>0</v>
      </c>
      <c r="I16" s="939">
        <v>0</v>
      </c>
      <c r="J16" s="939">
        <v>0</v>
      </c>
      <c r="K16" s="939">
        <v>0</v>
      </c>
      <c r="L16" s="939">
        <v>0</v>
      </c>
      <c r="M16" s="939">
        <v>0</v>
      </c>
      <c r="N16" s="939">
        <v>0</v>
      </c>
      <c r="O16" s="939">
        <v>0</v>
      </c>
      <c r="P16" s="939">
        <v>0</v>
      </c>
      <c r="Q16" s="939">
        <v>0</v>
      </c>
      <c r="R16" s="939">
        <v>0</v>
      </c>
      <c r="S16" s="939">
        <v>0</v>
      </c>
      <c r="T16" s="939">
        <f>Master!W167/Master!W$92+S16</f>
        <v>-63.277976949411858</v>
      </c>
      <c r="U16" s="939">
        <f>Master!X167/Master!X$92+T16</f>
        <v>-125.69495427036493</v>
      </c>
      <c r="V16" s="939">
        <f>Master!Y167/Master!Y$92+U16</f>
        <v>-186.88806929090717</v>
      </c>
      <c r="W16" s="939">
        <f>Master!Z167/Master!Z$92+V16</f>
        <v>-246.88131931104661</v>
      </c>
      <c r="X16" s="939">
        <f>Master!AA167/Master!AA$92+W16</f>
        <v>-305.69823109549702</v>
      </c>
      <c r="Y16" s="939">
        <f>Master!AB167/Master!AB$92+X16</f>
        <v>-363.3618700998602</v>
      </c>
      <c r="Z16" s="939">
        <f>Master!AC167/Master!AC$92+Y16</f>
        <v>-419.89484951590254</v>
      </c>
      <c r="AA16" s="928"/>
      <c r="AB16" s="928"/>
      <c r="AC16" s="928"/>
      <c r="AD16" s="928"/>
    </row>
    <row r="17" spans="1:30" ht="15">
      <c r="A17" s="917" t="s">
        <v>371</v>
      </c>
      <c r="B17" s="930"/>
      <c r="C17" s="930"/>
      <c r="D17" s="930"/>
      <c r="E17" s="930">
        <f t="shared" ref="E17:N17" ca="1" si="6">SUM(E10:E16)</f>
        <v>-344.96060908307982</v>
      </c>
      <c r="F17" s="930">
        <f t="shared" ca="1" si="6"/>
        <v>607.34662083348007</v>
      </c>
      <c r="G17" s="930">
        <f ca="1">SUM(G10:G16)</f>
        <v>2186.0987480059903</v>
      </c>
      <c r="H17" s="930">
        <f t="shared" ca="1" si="6"/>
        <v>1595.7896162981583</v>
      </c>
      <c r="I17" s="930">
        <f t="shared" ca="1" si="6"/>
        <v>2399.3871168767841</v>
      </c>
      <c r="J17" s="930">
        <f t="shared" ca="1" si="6"/>
        <v>2714.1304258691125</v>
      </c>
      <c r="K17" s="930">
        <f t="shared" ca="1" si="6"/>
        <v>3168.9777016144144</v>
      </c>
      <c r="L17" s="930">
        <f t="shared" ca="1" si="6"/>
        <v>3832.4746588214289</v>
      </c>
      <c r="M17" s="930">
        <f t="shared" ca="1" si="6"/>
        <v>3867.349092178622</v>
      </c>
      <c r="N17" s="930">
        <f t="shared" ca="1" si="6"/>
        <v>4000.446976486905</v>
      </c>
      <c r="O17" s="930">
        <f t="shared" ref="O17:U17" ca="1" si="7">SUM(O10:O16)</f>
        <v>4519.8998791398089</v>
      </c>
      <c r="P17" s="930">
        <f t="shared" ca="1" si="7"/>
        <v>4132.5209101262026</v>
      </c>
      <c r="Q17" s="930">
        <f t="shared" ca="1" si="7"/>
        <v>4843.5356925263086</v>
      </c>
      <c r="R17" s="930">
        <f t="shared" ca="1" si="7"/>
        <v>2347.2760371880699</v>
      </c>
      <c r="S17" s="930">
        <f t="shared" ca="1" si="7"/>
        <v>2817.584161712226</v>
      </c>
      <c r="T17" s="930">
        <f t="shared" ca="1" si="7"/>
        <v>3051.6010413874824</v>
      </c>
      <c r="U17" s="930">
        <f t="shared" ca="1" si="7"/>
        <v>2909.7510544536312</v>
      </c>
      <c r="V17" s="930">
        <f ca="1">SUM(V10:V16)</f>
        <v>2678.9103849975318</v>
      </c>
      <c r="W17" s="930">
        <f ca="1">SUM(W10:W16)</f>
        <v>2410.6638413132109</v>
      </c>
      <c r="X17" s="930">
        <f ca="1">SUM(X10:X16)</f>
        <v>2092.9708489209343</v>
      </c>
      <c r="Y17" s="930">
        <f ca="1">SUM(Y10:Y16)</f>
        <v>1757.8829463006307</v>
      </c>
      <c r="Z17" s="930">
        <f ca="1">SUM(Z10:Z16)</f>
        <v>1411.0470124220501</v>
      </c>
      <c r="AA17" s="928"/>
      <c r="AB17" s="928"/>
      <c r="AC17" s="928"/>
      <c r="AD17" s="928"/>
    </row>
    <row r="18" spans="1:30" ht="15">
      <c r="A18" s="917"/>
      <c r="B18" s="930" t="s">
        <v>84</v>
      </c>
      <c r="C18" s="930"/>
      <c r="D18" s="917"/>
      <c r="E18" s="917"/>
      <c r="F18" s="917"/>
      <c r="G18" s="917"/>
      <c r="H18" s="917"/>
      <c r="I18" s="915"/>
      <c r="J18" s="917"/>
      <c r="K18" s="917"/>
      <c r="L18" s="917"/>
      <c r="M18" s="917"/>
      <c r="N18" s="917"/>
      <c r="O18" s="927"/>
      <c r="P18" s="928"/>
      <c r="Q18" s="928"/>
      <c r="R18" s="928"/>
      <c r="S18" s="928"/>
      <c r="T18" s="928"/>
      <c r="U18" s="928"/>
      <c r="V18" s="928"/>
      <c r="W18" s="928"/>
      <c r="X18" s="928"/>
      <c r="Y18" s="928"/>
      <c r="Z18" s="928"/>
      <c r="AA18" s="928"/>
      <c r="AB18" s="928"/>
      <c r="AC18" s="928"/>
      <c r="AD18" s="928"/>
    </row>
    <row r="19" spans="1:30" ht="15">
      <c r="A19" s="917" t="s">
        <v>357</v>
      </c>
      <c r="B19" s="930"/>
      <c r="C19" s="930"/>
      <c r="D19" s="940"/>
      <c r="E19" s="940">
        <f>Master!H92</f>
        <v>13.5</v>
      </c>
      <c r="F19" s="940">
        <f>Master!I92</f>
        <v>12.63</v>
      </c>
      <c r="G19" s="940">
        <f>Master!J92</f>
        <v>12.44</v>
      </c>
      <c r="H19" s="940">
        <f>Master!K92</f>
        <v>13.16</v>
      </c>
      <c r="I19" s="940">
        <f>Master!L92</f>
        <v>12.76</v>
      </c>
      <c r="J19" s="940">
        <f>Master!M92</f>
        <v>13.31</v>
      </c>
      <c r="K19" s="940">
        <f>Master!N92</f>
        <v>15.87</v>
      </c>
      <c r="L19" s="940">
        <f>Master!O92</f>
        <v>18.850000000000001</v>
      </c>
      <c r="M19" s="940">
        <f>Master!P92</f>
        <v>18.899999999999999</v>
      </c>
      <c r="N19" s="940">
        <f>Master!Q92</f>
        <v>19.25</v>
      </c>
      <c r="O19" s="940">
        <f>Master!R92</f>
        <v>19.25</v>
      </c>
      <c r="P19" s="940">
        <f>Master!S92</f>
        <v>21.48</v>
      </c>
      <c r="Q19" s="940">
        <f>Master!T92</f>
        <v>20.285521077724361</v>
      </c>
      <c r="R19" s="940">
        <f>Master!U92</f>
        <v>20.11</v>
      </c>
      <c r="S19" s="940">
        <f>Master!V92</f>
        <v>17.7</v>
      </c>
      <c r="T19" s="940">
        <f>Master!W92</f>
        <v>17.036000000000001</v>
      </c>
      <c r="U19" s="940">
        <f>Master!X92</f>
        <v>17.271000000000001</v>
      </c>
      <c r="V19" s="940">
        <f>Master!Y92</f>
        <v>17.616419999999998</v>
      </c>
      <c r="W19" s="940">
        <f>Master!Z92</f>
        <v>17.968748399999999</v>
      </c>
      <c r="X19" s="940">
        <f>Master!AA92</f>
        <v>18.328123368</v>
      </c>
      <c r="Y19" s="940">
        <f>Master!AB92</f>
        <v>18.694685835359998</v>
      </c>
      <c r="Z19" s="940">
        <f>Master!AC92</f>
        <v>19.068579552067199</v>
      </c>
      <c r="AA19" s="928"/>
      <c r="AB19" s="928"/>
      <c r="AC19" s="928"/>
      <c r="AD19" s="928"/>
    </row>
    <row r="20" spans="1:30" ht="15">
      <c r="A20" s="917" t="s">
        <v>396</v>
      </c>
      <c r="B20" s="930"/>
      <c r="C20" s="930"/>
      <c r="D20" s="916"/>
      <c r="E20" s="916">
        <f t="shared" ref="E20:N20" si="8">E19*E10</f>
        <v>23862.691384615384</v>
      </c>
      <c r="F20" s="916">
        <f t="shared" si="8"/>
        <v>22174.23580923077</v>
      </c>
      <c r="G20" s="916">
        <f t="shared" si="8"/>
        <v>22234.009278085468</v>
      </c>
      <c r="H20" s="916">
        <f t="shared" si="8"/>
        <v>23754.348715760687</v>
      </c>
      <c r="I20" s="916">
        <f t="shared" si="8"/>
        <v>23124.816691965818</v>
      </c>
      <c r="J20" s="916">
        <f t="shared" si="8"/>
        <v>24305.128440341883</v>
      </c>
      <c r="K20" s="916">
        <f t="shared" si="8"/>
        <v>29015.298418461538</v>
      </c>
      <c r="L20" s="916">
        <f t="shared" si="8"/>
        <v>34463.665733333335</v>
      </c>
      <c r="M20" s="916">
        <f t="shared" si="8"/>
        <v>34555.081292307688</v>
      </c>
      <c r="N20" s="916">
        <f t="shared" si="8"/>
        <v>35180.442996581194</v>
      </c>
      <c r="O20" s="916">
        <f t="shared" ref="O20:U20" si="9">O19*O10</f>
        <v>34764.511372649577</v>
      </c>
      <c r="P20" s="916">
        <f t="shared" si="9"/>
        <v>38919.408435692312</v>
      </c>
      <c r="Q20" s="916">
        <f t="shared" si="9"/>
        <v>36755.143396405947</v>
      </c>
      <c r="R20" s="916">
        <f t="shared" si="9"/>
        <v>36437.118419076927</v>
      </c>
      <c r="S20" s="916">
        <f t="shared" si="9"/>
        <v>32070.462258461539</v>
      </c>
      <c r="T20" s="916">
        <f t="shared" si="9"/>
        <v>30867.366951138469</v>
      </c>
      <c r="U20" s="916">
        <f t="shared" si="9"/>
        <v>31293.161224061543</v>
      </c>
      <c r="V20" s="916">
        <f>V19*V10</f>
        <v>31919.024448542768</v>
      </c>
      <c r="W20" s="916">
        <f>W19*W10</f>
        <v>32557.404937513627</v>
      </c>
      <c r="X20" s="916">
        <f>X19*X10</f>
        <v>33208.553036263904</v>
      </c>
      <c r="Y20" s="916">
        <f>Y19*Y10</f>
        <v>33872.724096989172</v>
      </c>
      <c r="Z20" s="916">
        <f>Z19*Z10</f>
        <v>34550.178578928957</v>
      </c>
      <c r="AA20" s="928"/>
      <c r="AB20" s="928"/>
      <c r="AC20" s="928"/>
      <c r="AD20" s="928"/>
    </row>
    <row r="21" spans="1:30" ht="15">
      <c r="A21" s="917"/>
      <c r="B21" s="930"/>
      <c r="C21" s="930"/>
      <c r="D21" s="916"/>
      <c r="E21" s="916"/>
      <c r="F21" s="916"/>
      <c r="G21" s="916"/>
      <c r="H21" s="916"/>
      <c r="I21" s="916"/>
      <c r="J21" s="916"/>
      <c r="K21" s="916"/>
      <c r="L21" s="916"/>
      <c r="M21" s="928"/>
      <c r="N21" s="928"/>
      <c r="O21" s="928"/>
      <c r="P21" s="916"/>
      <c r="Q21" s="916"/>
      <c r="R21" s="916"/>
      <c r="S21" s="916"/>
      <c r="T21" s="916"/>
      <c r="U21" s="916"/>
      <c r="V21" s="916"/>
      <c r="W21" s="916"/>
      <c r="X21" s="916"/>
      <c r="Y21" s="916"/>
      <c r="Z21" s="916"/>
      <c r="AA21" s="928"/>
      <c r="AB21" s="928"/>
      <c r="AC21" s="928"/>
      <c r="AD21" s="928"/>
    </row>
    <row r="22" spans="1:30" ht="15">
      <c r="A22" s="917"/>
      <c r="B22" s="930"/>
      <c r="C22" s="930"/>
      <c r="D22" s="916"/>
      <c r="E22" s="916"/>
      <c r="F22" s="916"/>
      <c r="G22" s="916"/>
      <c r="H22" s="916"/>
      <c r="I22" s="916"/>
      <c r="J22" s="916"/>
      <c r="K22" s="916"/>
      <c r="L22" s="916"/>
      <c r="M22" s="928"/>
      <c r="N22" s="928"/>
      <c r="O22" s="928"/>
      <c r="P22" s="916"/>
      <c r="Q22" s="916"/>
      <c r="R22" s="916"/>
      <c r="S22" s="916"/>
      <c r="T22" s="916"/>
      <c r="U22" s="916"/>
      <c r="V22" s="916"/>
      <c r="W22" s="916"/>
      <c r="X22" s="916"/>
      <c r="Y22" s="916"/>
      <c r="Z22" s="916"/>
      <c r="AA22" s="928"/>
      <c r="AB22" s="928"/>
      <c r="AC22" s="928"/>
      <c r="AD22" s="928"/>
    </row>
    <row r="23" spans="1:30" ht="15">
      <c r="A23" s="936" t="s">
        <v>372</v>
      </c>
      <c r="B23" s="930"/>
      <c r="C23" s="930"/>
      <c r="D23" s="917"/>
      <c r="E23" s="917"/>
      <c r="F23" s="915"/>
      <c r="G23" s="917"/>
      <c r="H23" s="915"/>
      <c r="I23" s="915"/>
      <c r="J23" s="917"/>
      <c r="K23" s="917"/>
      <c r="L23" s="917"/>
      <c r="M23" s="928"/>
      <c r="N23" s="928"/>
      <c r="O23" s="930"/>
      <c r="P23" s="930"/>
      <c r="Q23" s="930"/>
      <c r="R23" s="917"/>
      <c r="S23" s="930"/>
      <c r="T23" s="930"/>
      <c r="U23" s="930"/>
      <c r="V23" s="917"/>
      <c r="W23" s="917"/>
      <c r="X23" s="917"/>
      <c r="Y23" s="917"/>
      <c r="Z23" s="917"/>
      <c r="AA23" s="928"/>
      <c r="AB23" s="928"/>
      <c r="AC23" s="928"/>
      <c r="AD23" s="928"/>
    </row>
    <row r="24" spans="1:30" ht="15">
      <c r="A24" s="917" t="s">
        <v>7728</v>
      </c>
      <c r="B24" s="930"/>
      <c r="C24" s="930"/>
      <c r="D24" s="930"/>
      <c r="E24" s="930">
        <f>Master!H13/E$19</f>
        <v>1487.9259259259259</v>
      </c>
      <c r="F24" s="930">
        <f>Master!I13/F$19</f>
        <v>1707.6801266825019</v>
      </c>
      <c r="G24" s="930">
        <f>Master!J13/G$19</f>
        <v>1899.911575562701</v>
      </c>
      <c r="H24" s="930">
        <f>Master!K13/H$19</f>
        <v>2022.3252279635258</v>
      </c>
      <c r="I24" s="930">
        <f>Master!L13/I$19</f>
        <v>2210.468408356191</v>
      </c>
      <c r="J24" s="930">
        <f>Master!M13/J$19</f>
        <v>2254.5379413974456</v>
      </c>
      <c r="K24" s="930">
        <f>Master!N13/K$19</f>
        <v>2040.0315059861371</v>
      </c>
      <c r="L24" s="930">
        <f>Master!O13/L$19</f>
        <v>1781.3209549071614</v>
      </c>
      <c r="M24" s="930">
        <f>Master!P13/M$19</f>
        <v>1734.3915343915346</v>
      </c>
      <c r="N24" s="930">
        <f>Master!Q13/N$19</f>
        <v>1899.8701298701299</v>
      </c>
      <c r="O24" s="930">
        <f>Master!R13/O$19</f>
        <v>1985.3558441558441</v>
      </c>
      <c r="P24" s="930">
        <f>Master!S13/P$19</f>
        <v>1806.810986964618</v>
      </c>
      <c r="Q24" s="930">
        <f>Master!T13/Q$19</f>
        <v>2149.39511945193</v>
      </c>
      <c r="R24" s="930">
        <f>Master!U13/R$19</f>
        <v>1269.8175037294877</v>
      </c>
      <c r="S24" s="930">
        <f>Master!V13/S$19</f>
        <v>1368.2542372881358</v>
      </c>
      <c r="T24" s="942">
        <f>Analysis!D3041/Master!W92</f>
        <v>1253.9775066642733</v>
      </c>
      <c r="U24" s="942">
        <f>Analysis!E3041/Master!X92</f>
        <v>1308.6622222308624</v>
      </c>
      <c r="V24" s="942">
        <f>Analysis!F3041/Master!Y92</f>
        <v>1283.794146944914</v>
      </c>
      <c r="W24" s="942">
        <f>Analysis!G3041/Master!Z92</f>
        <v>1267.8072653864083</v>
      </c>
      <c r="X24" s="942">
        <f>Analysis!H3041/Master!AA92</f>
        <v>1261.1170029359589</v>
      </c>
      <c r="Y24" s="1677">
        <f>X24/W24*X24</f>
        <v>1254.4620452300696</v>
      </c>
      <c r="Z24" s="1677">
        <f>Y24/X24*Y24</f>
        <v>1247.8422059643917</v>
      </c>
      <c r="AA24" s="928"/>
      <c r="AB24" s="928"/>
      <c r="AC24" s="928"/>
      <c r="AD24" s="928"/>
    </row>
    <row r="25" spans="1:30" ht="15">
      <c r="A25" s="917" t="s">
        <v>374</v>
      </c>
      <c r="B25" s="930"/>
      <c r="C25" s="930"/>
      <c r="D25" s="930"/>
      <c r="E25" s="930">
        <f>-Master!H90/Master!H$92</f>
        <v>-499.3</v>
      </c>
      <c r="F25" s="930">
        <f>-Master!I90/Master!I$92</f>
        <v>-1011</v>
      </c>
      <c r="G25" s="930">
        <f>-Master!J90/Master!J$92</f>
        <v>-791</v>
      </c>
      <c r="H25" s="930">
        <f>-Master!K90/Master!K$92</f>
        <v>-881.00000000000011</v>
      </c>
      <c r="I25" s="930">
        <f>-Master!L90/Master!L$92</f>
        <v>-1157.8</v>
      </c>
      <c r="J25" s="930">
        <f>-Master!M90/Master!M$92</f>
        <v>-1273.0999999999999</v>
      </c>
      <c r="K25" s="930">
        <f>-Master!N90/Master!N$92</f>
        <v>-1605.4</v>
      </c>
      <c r="L25" s="930">
        <f>-Master!O90/Master!O$92</f>
        <v>-1480.8</v>
      </c>
      <c r="M25" s="930">
        <f>-Master!P90/Master!P$92</f>
        <v>-884.69999999999993</v>
      </c>
      <c r="N25" s="930">
        <f>-Master!Q90/Master!Q$92</f>
        <v>-969.40000000000009</v>
      </c>
      <c r="O25" s="930">
        <f>-Master!R90/Master!R$92</f>
        <v>-990.5</v>
      </c>
      <c r="P25" s="930">
        <f>-Master!S90/Master!S$92</f>
        <v>-939.39999999999986</v>
      </c>
      <c r="Q25" s="930">
        <f>-Master!T90/Master!T$92</f>
        <v>-1149.1000000000001</v>
      </c>
      <c r="R25" s="930">
        <f>-Master!U90/Master!U$92</f>
        <v>-856</v>
      </c>
      <c r="S25" s="930">
        <f>-Master!V90/Master!V$92</f>
        <v>-828.50000000000011</v>
      </c>
      <c r="T25" s="942">
        <f>-Analysis!D3051/Master!W92</f>
        <v>-755.25057349416227</v>
      </c>
      <c r="U25" s="942">
        <f>-Analysis!E3051/Master!X92</f>
        <v>-704.108431889023</v>
      </c>
      <c r="V25" s="942">
        <f>-Analysis!F3051/Master!Y92</f>
        <v>-702.82671264092369</v>
      </c>
      <c r="W25" s="942">
        <f>-Analysis!G3051/Master!Z92</f>
        <v>-691.60706507021723</v>
      </c>
      <c r="X25" s="942">
        <f>-Analysis!H3051/Master!AA92</f>
        <v>-685.15713462384019</v>
      </c>
      <c r="Y25" s="930">
        <f>-Master!AB90/Master!AB$92</f>
        <v>-687.56415269113654</v>
      </c>
      <c r="Z25" s="930">
        <f>-Master!AC90/Master!AC$92</f>
        <v>-690.55316284956211</v>
      </c>
      <c r="AA25" s="928"/>
      <c r="AB25" s="928"/>
      <c r="AC25" s="928"/>
      <c r="AD25" s="928"/>
    </row>
    <row r="26" spans="1:30" ht="15">
      <c r="A26" s="917" t="s">
        <v>7482</v>
      </c>
      <c r="B26" s="930"/>
      <c r="C26" s="930"/>
      <c r="D26" s="930"/>
      <c r="E26" s="930">
        <f>Master!H448/E$19</f>
        <v>-154.2962962962963</v>
      </c>
      <c r="F26" s="930">
        <f>Master!I448/F$19</f>
        <v>-203.24623911322249</v>
      </c>
      <c r="G26" s="930">
        <f>Master!J448/G$19</f>
        <v>-254.50160771704182</v>
      </c>
      <c r="H26" s="930">
        <f>Master!K448/H$19</f>
        <v>-252.65957446808511</v>
      </c>
      <c r="I26" s="930">
        <f>Master!L448/I$19</f>
        <v>-287.85266457680251</v>
      </c>
      <c r="J26" s="930">
        <f>Master!M448/J$19</f>
        <v>-317.35537190082641</v>
      </c>
      <c r="K26" s="930">
        <f>Master!N448/K$19</f>
        <v>-328.35538752362953</v>
      </c>
      <c r="L26" s="930">
        <f>Master!O448/L$19</f>
        <v>-371.26790450928377</v>
      </c>
      <c r="M26" s="930">
        <f>Master!P448/M$19</f>
        <v>-369.15343915343919</v>
      </c>
      <c r="N26" s="930">
        <f>Master!Q448/N$19</f>
        <v>-422.85714285714283</v>
      </c>
      <c r="O26" s="930">
        <f>Master!R448/O$19</f>
        <v>-457.70389610389617</v>
      </c>
      <c r="P26" s="930">
        <f>Master!S448/P$19</f>
        <v>-259.97206703910615</v>
      </c>
      <c r="Q26" s="930">
        <f>Master!T448/Q$19</f>
        <v>-587.51263792218867</v>
      </c>
      <c r="R26" s="930">
        <f>Master!U448/R$19</f>
        <v>-457.79214321233223</v>
      </c>
      <c r="S26" s="930">
        <f>Master!V448/S$19</f>
        <v>-261.25988700564966</v>
      </c>
      <c r="T26" s="930">
        <f ca="1">Master!W448/T$19</f>
        <v>-274.61169057489252</v>
      </c>
      <c r="U26" s="930">
        <f ca="1">Master!X448/U$19</f>
        <v>-286.14669771124562</v>
      </c>
      <c r="V26" s="930">
        <f ca="1">Master!Y448/V$19</f>
        <v>-276.5756811762912</v>
      </c>
      <c r="W26" s="930">
        <f ca="1">Master!Z448/W$19</f>
        <v>-263.34351759841945</v>
      </c>
      <c r="X26" s="930">
        <f ca="1">Master!AA448/X$19</f>
        <v>-247.0650896583432</v>
      </c>
      <c r="Y26" s="930">
        <f ca="1">Master!AB448/Y$19</f>
        <v>-228.44040640120846</v>
      </c>
      <c r="Z26" s="930">
        <f ca="1">Master!AC448/Z$19</f>
        <v>-208.74984891323493</v>
      </c>
      <c r="AA26" s="928"/>
      <c r="AB26" s="928"/>
      <c r="AC26" s="928"/>
      <c r="AD26" s="928"/>
    </row>
    <row r="27" spans="1:30" ht="15">
      <c r="A27" s="917" t="s">
        <v>5035</v>
      </c>
      <c r="B27" s="930"/>
      <c r="C27" s="930"/>
      <c r="D27" s="930"/>
      <c r="E27" s="930"/>
      <c r="F27" s="930"/>
      <c r="G27" s="930"/>
      <c r="H27" s="930"/>
      <c r="I27" s="930"/>
      <c r="J27" s="930"/>
      <c r="K27" s="930"/>
      <c r="L27" s="930"/>
      <c r="M27" s="930"/>
      <c r="N27" s="930"/>
      <c r="O27" s="930">
        <f>-Master!R200/O$19</f>
        <v>-31.168831168831169</v>
      </c>
      <c r="P27" s="930">
        <f>-Master!S200/P$19</f>
        <v>-9.6834264432029791</v>
      </c>
      <c r="Q27" s="930">
        <f>-Master!T200/Q$19</f>
        <v>-10.647988738982443</v>
      </c>
      <c r="R27" s="930">
        <f>-Master!U200/R$19</f>
        <v>-12.381899552461462</v>
      </c>
      <c r="S27" s="930">
        <f>-Master!V200/S$19</f>
        <v>-75.98881355932204</v>
      </c>
      <c r="T27" s="930">
        <f>-Master!W200/T$19</f>
        <v>-81.319092509978859</v>
      </c>
      <c r="U27" s="930">
        <f>-Master!X200/U$19</f>
        <v>-82.618992635052976</v>
      </c>
      <c r="V27" s="930">
        <f>-Master!Y200/V$19</f>
        <v>-83.428982758926054</v>
      </c>
      <c r="W27" s="930">
        <f>-Master!Z200/W$19</f>
        <v>-84.246913962444935</v>
      </c>
      <c r="X27" s="930">
        <f>-Master!AA200/X$19</f>
        <v>-85.072864099331653</v>
      </c>
      <c r="Y27" s="930">
        <f>-Master!AB200/Y$19</f>
        <v>-85.906911786580011</v>
      </c>
      <c r="Z27" s="930">
        <f>-Master!AC200/Z$19</f>
        <v>-86.74913641193865</v>
      </c>
      <c r="AA27" s="928"/>
      <c r="AB27" s="928"/>
      <c r="AC27" s="928"/>
      <c r="AD27" s="928"/>
    </row>
    <row r="28" spans="1:30" ht="15">
      <c r="A28" s="917" t="s">
        <v>5003</v>
      </c>
      <c r="B28" s="930"/>
      <c r="C28" s="930"/>
      <c r="D28" s="930"/>
      <c r="E28" s="930">
        <f>-Master!H349/E$19</f>
        <v>-231.18518518518519</v>
      </c>
      <c r="F28" s="930">
        <f>-Master!I349/F$19</f>
        <v>-258.03642121931904</v>
      </c>
      <c r="G28" s="930">
        <f>-Master!J349/G$19</f>
        <v>-274.11575562700966</v>
      </c>
      <c r="H28" s="930">
        <f>-Master!K349/H$19</f>
        <v>-307.97872340425533</v>
      </c>
      <c r="I28" s="930">
        <f>-Master!L349/I$19</f>
        <v>-292.24137931034477</v>
      </c>
      <c r="J28" s="930">
        <f>-Master!M349/J$19</f>
        <v>-224.11720510894062</v>
      </c>
      <c r="K28" s="930">
        <f>-Master!N349/K$19</f>
        <v>-277.03591682419659</v>
      </c>
      <c r="L28" s="930">
        <f>-Master!O349/L$19</f>
        <v>-385.62334217506628</v>
      </c>
      <c r="M28" s="930">
        <f>-Master!P349/M$19</f>
        <v>-339.6825396825397</v>
      </c>
      <c r="N28" s="930">
        <f>-Master!Q349/N$19</f>
        <v>-349.24675324675326</v>
      </c>
      <c r="O28" s="930">
        <f>-Master!R349/O$19</f>
        <v>-238.62337662337663</v>
      </c>
      <c r="P28" s="930">
        <f>-Master!S349/P$19</f>
        <v>-404.14338919925513</v>
      </c>
      <c r="Q28" s="930">
        <f>-Master!T349/Q$19</f>
        <v>-451.84937398848649</v>
      </c>
      <c r="R28" s="930">
        <f>-Master!U349/R$19</f>
        <v>-606.06663351566385</v>
      </c>
      <c r="S28" s="930">
        <f>-Master!V349/S$19</f>
        <v>-396.28864406779661</v>
      </c>
      <c r="T28" s="930">
        <f ca="1">-Master!W349/T$19</f>
        <v>43.822169830904947</v>
      </c>
      <c r="U28" s="930">
        <f ca="1">-Master!X349/U$19</f>
        <v>26.401220295232925</v>
      </c>
      <c r="V28" s="930">
        <f ca="1">-Master!Y349/V$19</f>
        <v>20.983422388981428</v>
      </c>
      <c r="W28" s="930">
        <f ca="1">-Master!Z349/W$19</f>
        <v>12.695363086109172</v>
      </c>
      <c r="X28" s="930">
        <f ca="1">-Master!AA349/X$19</f>
        <v>0.84603536851046635</v>
      </c>
      <c r="Y28" s="930">
        <f ca="1">-Master!AB349/Y$19</f>
        <v>-12.52078744632021</v>
      </c>
      <c r="Z28" s="930">
        <f ca="1">-Master!AC349/Z$19</f>
        <v>-26.151571386450591</v>
      </c>
      <c r="AA28" s="928"/>
      <c r="AB28" s="928"/>
      <c r="AC28" s="928"/>
      <c r="AD28" s="928"/>
    </row>
    <row r="29" spans="1:30" ht="15">
      <c r="A29" s="917" t="s">
        <v>5078</v>
      </c>
      <c r="B29" s="930"/>
      <c r="C29" s="930"/>
      <c r="D29" s="930"/>
      <c r="E29" s="930"/>
      <c r="F29" s="930"/>
      <c r="G29" s="930"/>
      <c r="H29" s="930"/>
      <c r="I29" s="930"/>
      <c r="J29" s="930"/>
      <c r="K29" s="930">
        <f>-Master!N215/K$19</f>
        <v>-103.0119722747322</v>
      </c>
      <c r="L29" s="930">
        <f>-Master!O215/L$19</f>
        <v>-147.90450928381961</v>
      </c>
      <c r="M29" s="930">
        <f>-Master!P215/M$19</f>
        <v>-87.248677248677254</v>
      </c>
      <c r="N29" s="930">
        <f>-Master!Q215/N$19</f>
        <v>-404.10389610389609</v>
      </c>
      <c r="O29" s="930">
        <f>-Master!R215/O$19</f>
        <v>-109.45454545454545</v>
      </c>
      <c r="P29" s="930">
        <f>-Master!S215/P$19</f>
        <v>-57.495344506517689</v>
      </c>
      <c r="Q29" s="930">
        <f>-Master!T215/Q$19</f>
        <v>-93.633286161218763</v>
      </c>
      <c r="R29" s="930">
        <f>-Master!U215/R$19</f>
        <v>-89.855793137742424</v>
      </c>
      <c r="S29" s="930">
        <f>-Master!V215/S$19</f>
        <v>-105.63316384180791</v>
      </c>
      <c r="T29" s="930">
        <f>-Master!W215/T$19</f>
        <v>-109.75035219535101</v>
      </c>
      <c r="U29" s="930">
        <f>-Master!X215/U$19</f>
        <v>-108.257020438886</v>
      </c>
      <c r="V29" s="930">
        <f>-Master!Y215/V$19</f>
        <v>-106.13433376361374</v>
      </c>
      <c r="W29" s="930">
        <f>-Master!Z215/W$19</f>
        <v>-104.05326839569973</v>
      </c>
      <c r="X29" s="930">
        <f>-Master!AA215/X$19</f>
        <v>-102.01300823107817</v>
      </c>
      <c r="Y29" s="930">
        <f>-Master!AB215/Y$19</f>
        <v>-100.0127531677237</v>
      </c>
      <c r="Z29" s="930">
        <f>-Master!AC215/Z$19</f>
        <v>-98.051718791885975</v>
      </c>
      <c r="AA29" s="928"/>
      <c r="AB29" s="928"/>
      <c r="AC29" s="928"/>
      <c r="AD29" s="928"/>
    </row>
    <row r="30" spans="1:30" ht="15">
      <c r="A30" s="917" t="s">
        <v>7494</v>
      </c>
      <c r="B30" s="930"/>
      <c r="C30" s="930"/>
      <c r="D30" s="930"/>
      <c r="E30" s="930">
        <f>-Master!H389/E$19</f>
        <v>-42.666666666666664</v>
      </c>
      <c r="F30" s="930">
        <f>-Master!I389/F$19</f>
        <v>-65.954077593032451</v>
      </c>
      <c r="G30" s="930">
        <f>-Master!J389/G$19</f>
        <v>-103.77813504823152</v>
      </c>
      <c r="H30" s="930">
        <f>-Master!K389/H$19</f>
        <v>-99.468085106382972</v>
      </c>
      <c r="I30" s="930">
        <f>-Master!L389/I$19</f>
        <v>-104.70219435736678</v>
      </c>
      <c r="J30" s="930">
        <f>-Master!M389/J$19</f>
        <v>-95.634861006761838</v>
      </c>
      <c r="K30" s="930">
        <f>-Master!N389/K$19</f>
        <v>-89.873976055450541</v>
      </c>
      <c r="L30" s="930">
        <f>-Master!O389/L$19</f>
        <v>-85.517241379310335</v>
      </c>
      <c r="M30" s="930">
        <f>-Master!P389/M$19</f>
        <v>-108.62433862433863</v>
      </c>
      <c r="N30" s="930">
        <f>-Master!Q389/N$19</f>
        <v>-83.428571428571431</v>
      </c>
      <c r="O30" s="930">
        <f>-Master!R389/O$19</f>
        <v>-76.919480519480516</v>
      </c>
      <c r="P30" s="930">
        <f>-Master!S389/P$19</f>
        <v>-72.918994413407816</v>
      </c>
      <c r="Q30" s="930">
        <f>-Master!T400/Q$19</f>
        <v>-16.218464329283442</v>
      </c>
      <c r="R30" s="930">
        <f>-Master!U400/R$19</f>
        <v>0</v>
      </c>
      <c r="S30" s="930">
        <f>-Master!V400/S$19</f>
        <v>0</v>
      </c>
      <c r="T30" s="930">
        <f>-Master!W400/T$19</f>
        <v>0</v>
      </c>
      <c r="U30" s="930">
        <f>-Master!X400/U$19</f>
        <v>-3.0232961066390054</v>
      </c>
      <c r="V30" s="930">
        <f>-Master!Y400/V$19</f>
        <v>-3.2604173699048102</v>
      </c>
      <c r="W30" s="930">
        <f>-Master!Z400/W$19</f>
        <v>-3.5161363793091094</v>
      </c>
      <c r="X30" s="930">
        <f>-Master!AA400/X$19</f>
        <v>-3.7919117816078636</v>
      </c>
      <c r="Y30" s="930">
        <f>-Master!AB400/Y$19</f>
        <v>-4.0893166272241679</v>
      </c>
      <c r="Z30" s="930">
        <f>-Master!AC400/Z$19</f>
        <v>-4.4100473430848863</v>
      </c>
      <c r="AA30" s="928"/>
      <c r="AB30" s="928"/>
      <c r="AC30" s="928"/>
      <c r="AD30" s="928"/>
    </row>
    <row r="31" spans="1:30" ht="15">
      <c r="A31" s="938" t="s">
        <v>7492</v>
      </c>
      <c r="B31" s="939"/>
      <c r="C31" s="939"/>
      <c r="D31" s="939"/>
      <c r="E31" s="939"/>
      <c r="F31" s="939"/>
      <c r="G31" s="939"/>
      <c r="H31" s="939"/>
      <c r="I31" s="939"/>
      <c r="J31" s="939"/>
      <c r="K31" s="939"/>
      <c r="L31" s="939"/>
      <c r="M31" s="939"/>
      <c r="N31" s="939"/>
      <c r="O31" s="939"/>
      <c r="P31" s="939"/>
      <c r="Q31" s="939"/>
      <c r="R31" s="939">
        <f>VOD!F147+VOD!F176+VOD!F179*SOP!$C$13</f>
        <v>59.25</v>
      </c>
      <c r="S31" s="939">
        <f>VOD!G147+VOD!G176+VOD!G179*SOP!$C$13</f>
        <v>59.79</v>
      </c>
      <c r="T31" s="939">
        <f>VOD!H147+VOD!H176+VOD!H179*SOP!$C$13</f>
        <v>60.346199999999996</v>
      </c>
      <c r="U31" s="939">
        <f>VOD!I147+VOD!I176+VOD!I179*SOP!$C$13</f>
        <v>84.189501411040723</v>
      </c>
      <c r="V31" s="939">
        <f>VOD!J147+VOD!J176+VOD!J179*SOP!$C$13</f>
        <v>133.53841350279055</v>
      </c>
      <c r="W31" s="939">
        <f>VOD!K147+VOD!K176+VOD!K179*SOP!$C$13</f>
        <v>200.31760229961412</v>
      </c>
      <c r="X31" s="939">
        <f>VOD!L147+VOD!L176+VOD!L179*SOP!$C$13</f>
        <v>256.66653252952239</v>
      </c>
      <c r="Y31" s="939">
        <f>VOD!M147+VOD!M176+VOD!M179*SOP!$C$13</f>
        <v>271.65702893358912</v>
      </c>
      <c r="Z31" s="939">
        <f>VOD!N147+VOD!N176+VOD!N179*SOP!$C$13</f>
        <v>286.96275690044706</v>
      </c>
      <c r="AA31" s="928"/>
      <c r="AB31" s="928"/>
      <c r="AC31" s="928"/>
      <c r="AD31" s="928"/>
    </row>
    <row r="32" spans="1:30" ht="15">
      <c r="A32" s="917" t="s">
        <v>372</v>
      </c>
      <c r="B32" s="930"/>
      <c r="C32" s="930"/>
      <c r="D32" s="930"/>
      <c r="E32" s="930">
        <f>SUM(E24:E30)</f>
        <v>560.47777777777776</v>
      </c>
      <c r="F32" s="930">
        <f>SUM(F24:F30)</f>
        <v>169.44338875692787</v>
      </c>
      <c r="G32" s="930">
        <f>SUM(G24:G30)</f>
        <v>476.51607717041804</v>
      </c>
      <c r="H32" s="930">
        <f t="shared" ref="H32:N32" si="10">SUM(H24:H30)</f>
        <v>481.21884498480233</v>
      </c>
      <c r="I32" s="930">
        <f t="shared" si="10"/>
        <v>367.87217011167706</v>
      </c>
      <c r="J32" s="930">
        <f t="shared" si="10"/>
        <v>344.33050338091675</v>
      </c>
      <c r="K32" s="930">
        <f t="shared" si="10"/>
        <v>-363.64574669187192</v>
      </c>
      <c r="L32" s="930">
        <f t="shared" si="10"/>
        <v>-689.7920424403186</v>
      </c>
      <c r="M32" s="930">
        <f t="shared" si="10"/>
        <v>-55.017460317460106</v>
      </c>
      <c r="N32" s="930">
        <f t="shared" si="10"/>
        <v>-329.16623376623386</v>
      </c>
      <c r="O32" s="930">
        <f>SUM(O24:O30)</f>
        <v>80.985714285714238</v>
      </c>
      <c r="P32" s="930">
        <f>SUM(P24:P30)</f>
        <v>63.197765363128397</v>
      </c>
      <c r="Q32" s="930">
        <f>SUM(Q24:Q30)</f>
        <v>-159.56663168822999</v>
      </c>
      <c r="R32" s="930">
        <f>SUM(R24:R31)</f>
        <v>-693.02896568871233</v>
      </c>
      <c r="S32" s="930">
        <f t="shared" ref="S32:Z32" si="11">SUM(S24:S31)</f>
        <v>-239.62627118644056</v>
      </c>
      <c r="T32" s="930">
        <f ca="1">SUM(T24:T31)</f>
        <v>137.21416772079357</v>
      </c>
      <c r="U32" s="930">
        <f t="shared" ca="1" si="11"/>
        <v>235.09850515628949</v>
      </c>
      <c r="V32" s="930">
        <f t="shared" ca="1" si="11"/>
        <v>266.08985512702651</v>
      </c>
      <c r="W32" s="930">
        <f t="shared" ca="1" si="11"/>
        <v>334.05332936604117</v>
      </c>
      <c r="X32" s="930">
        <f t="shared" ca="1" si="11"/>
        <v>395.52956243979065</v>
      </c>
      <c r="Y32" s="930">
        <f t="shared" ca="1" si="11"/>
        <v>407.58474604346566</v>
      </c>
      <c r="Z32" s="930">
        <f t="shared" ca="1" si="11"/>
        <v>420.13947716868165</v>
      </c>
      <c r="AA32" s="928"/>
      <c r="AB32" s="928"/>
      <c r="AC32" s="928"/>
      <c r="AD32" s="928"/>
    </row>
    <row r="33" spans="1:30" ht="15">
      <c r="A33" s="917" t="s">
        <v>7479</v>
      </c>
      <c r="B33" s="930"/>
      <c r="C33" s="930"/>
      <c r="D33" s="930"/>
      <c r="E33" s="930"/>
      <c r="F33" s="930"/>
      <c r="G33" s="930"/>
      <c r="H33" s="930"/>
      <c r="I33" s="930"/>
      <c r="J33" s="930"/>
      <c r="K33" s="930"/>
      <c r="L33" s="930"/>
      <c r="M33" s="930"/>
      <c r="N33" s="930"/>
      <c r="O33" s="930"/>
      <c r="P33" s="930"/>
      <c r="Q33" s="930"/>
      <c r="R33" s="930">
        <f>R32-R31</f>
        <v>-752.27896568871233</v>
      </c>
      <c r="S33" s="930">
        <f>S32-S31</f>
        <v>-299.41627118644055</v>
      </c>
      <c r="T33" s="930">
        <f t="shared" ref="T33:Z33" ca="1" si="12">T32-T31</f>
        <v>76.867967720793573</v>
      </c>
      <c r="U33" s="930">
        <f t="shared" ca="1" si="12"/>
        <v>150.90900374524875</v>
      </c>
      <c r="V33" s="930">
        <f t="shared" ca="1" si="12"/>
        <v>132.55144162423596</v>
      </c>
      <c r="W33" s="930">
        <f t="shared" ca="1" si="12"/>
        <v>133.73572706642705</v>
      </c>
      <c r="X33" s="930">
        <f t="shared" ca="1" si="12"/>
        <v>138.86302991026827</v>
      </c>
      <c r="Y33" s="930">
        <f t="shared" ca="1" si="12"/>
        <v>135.92771710987654</v>
      </c>
      <c r="Z33" s="930">
        <f t="shared" ca="1" si="12"/>
        <v>133.17672026823459</v>
      </c>
      <c r="AA33" s="928"/>
      <c r="AB33" s="928"/>
      <c r="AC33" s="928"/>
      <c r="AD33" s="928"/>
    </row>
    <row r="34" spans="1:30" ht="15">
      <c r="A34" s="917"/>
      <c r="B34" s="930"/>
      <c r="C34" s="930"/>
      <c r="D34" s="930"/>
      <c r="E34" s="930"/>
      <c r="F34" s="917"/>
      <c r="G34" s="917"/>
      <c r="H34" s="940"/>
      <c r="I34" s="940"/>
      <c r="J34" s="917"/>
      <c r="K34" s="917"/>
      <c r="L34" s="917"/>
      <c r="M34" s="917"/>
      <c r="N34" s="917"/>
      <c r="O34" s="917"/>
      <c r="P34" s="941"/>
      <c r="Q34" s="941"/>
      <c r="R34" s="941"/>
      <c r="S34" s="941"/>
      <c r="T34" s="941"/>
      <c r="U34" s="941"/>
      <c r="V34" s="941"/>
      <c r="W34" s="941"/>
      <c r="X34" s="941"/>
      <c r="Y34" s="941"/>
      <c r="Z34" s="941"/>
      <c r="AA34" s="928"/>
      <c r="AB34" s="928"/>
      <c r="AC34" s="928"/>
      <c r="AD34" s="928"/>
    </row>
    <row r="35" spans="1:30" ht="15">
      <c r="A35" s="917" t="s">
        <v>375</v>
      </c>
      <c r="B35" s="930"/>
      <c r="C35" s="930"/>
      <c r="D35" s="930"/>
      <c r="E35" s="930">
        <f t="shared" ref="E35:Z35" si="13">E10</f>
        <v>1767.6067692307693</v>
      </c>
      <c r="F35" s="930">
        <f t="shared" si="13"/>
        <v>1755.6797948717949</v>
      </c>
      <c r="G35" s="930">
        <f t="shared" si="13"/>
        <v>1787.2997811965811</v>
      </c>
      <c r="H35" s="930">
        <f t="shared" si="13"/>
        <v>1805.0416957264961</v>
      </c>
      <c r="I35" s="930">
        <f t="shared" si="13"/>
        <v>1812.2897094017098</v>
      </c>
      <c r="J35" s="930">
        <f t="shared" si="13"/>
        <v>1826.0802735042737</v>
      </c>
      <c r="K35" s="930">
        <f t="shared" si="13"/>
        <v>1828.3111794871795</v>
      </c>
      <c r="L35" s="930">
        <f t="shared" si="13"/>
        <v>1828.3111794871795</v>
      </c>
      <c r="M35" s="930">
        <f t="shared" si="13"/>
        <v>1828.3111794871795</v>
      </c>
      <c r="N35" s="930">
        <f t="shared" si="13"/>
        <v>1827.5554803418802</v>
      </c>
      <c r="O35" s="930">
        <f t="shared" si="13"/>
        <v>1805.9486427350428</v>
      </c>
      <c r="P35" s="930">
        <f t="shared" si="13"/>
        <v>1811.8905230769233</v>
      </c>
      <c r="Q35" s="930">
        <f t="shared" si="13"/>
        <v>1811.8905230769233</v>
      </c>
      <c r="R35" s="930">
        <f t="shared" si="13"/>
        <v>1811.8905230769233</v>
      </c>
      <c r="S35" s="930">
        <f t="shared" si="13"/>
        <v>1811.8905230769233</v>
      </c>
      <c r="T35" s="930">
        <f t="shared" si="13"/>
        <v>1811.8905230769233</v>
      </c>
      <c r="U35" s="930">
        <f t="shared" si="13"/>
        <v>1811.8905230769233</v>
      </c>
      <c r="V35" s="930">
        <f t="shared" si="13"/>
        <v>1811.8905230769233</v>
      </c>
      <c r="W35" s="930">
        <f t="shared" si="13"/>
        <v>1811.8905230769233</v>
      </c>
      <c r="X35" s="930">
        <f t="shared" si="13"/>
        <v>1811.8905230769233</v>
      </c>
      <c r="Y35" s="930">
        <f t="shared" si="13"/>
        <v>1811.8905230769233</v>
      </c>
      <c r="Z35" s="930">
        <f t="shared" si="13"/>
        <v>1811.8905230769233</v>
      </c>
      <c r="AA35" s="928"/>
      <c r="AB35" s="928"/>
      <c r="AC35" s="928"/>
      <c r="AD35" s="928"/>
    </row>
    <row r="36" spans="1:30" ht="15">
      <c r="A36" s="917" t="s">
        <v>376</v>
      </c>
      <c r="B36" s="930"/>
      <c r="C36" s="930"/>
      <c r="D36" s="930"/>
      <c r="E36" s="942">
        <v>0</v>
      </c>
      <c r="F36" s="930">
        <f>E36</f>
        <v>0</v>
      </c>
      <c r="G36" s="930">
        <f t="shared" ref="G36:Z36" si="14">F36</f>
        <v>0</v>
      </c>
      <c r="H36" s="930">
        <f t="shared" si="14"/>
        <v>0</v>
      </c>
      <c r="I36" s="930">
        <f t="shared" si="14"/>
        <v>0</v>
      </c>
      <c r="J36" s="930">
        <f t="shared" si="14"/>
        <v>0</v>
      </c>
      <c r="K36" s="930">
        <f t="shared" si="14"/>
        <v>0</v>
      </c>
      <c r="L36" s="930">
        <f t="shared" si="14"/>
        <v>0</v>
      </c>
      <c r="M36" s="930">
        <f t="shared" si="14"/>
        <v>0</v>
      </c>
      <c r="N36" s="930">
        <f t="shared" si="14"/>
        <v>0</v>
      </c>
      <c r="O36" s="930">
        <f t="shared" si="14"/>
        <v>0</v>
      </c>
      <c r="P36" s="930">
        <f t="shared" si="14"/>
        <v>0</v>
      </c>
      <c r="Q36" s="930">
        <f t="shared" si="14"/>
        <v>0</v>
      </c>
      <c r="R36" s="930">
        <f t="shared" si="14"/>
        <v>0</v>
      </c>
      <c r="S36" s="930">
        <f t="shared" si="14"/>
        <v>0</v>
      </c>
      <c r="T36" s="930">
        <f t="shared" si="14"/>
        <v>0</v>
      </c>
      <c r="U36" s="930">
        <f t="shared" si="14"/>
        <v>0</v>
      </c>
      <c r="V36" s="930">
        <f t="shared" si="14"/>
        <v>0</v>
      </c>
      <c r="W36" s="930">
        <f t="shared" si="14"/>
        <v>0</v>
      </c>
      <c r="X36" s="930">
        <f t="shared" si="14"/>
        <v>0</v>
      </c>
      <c r="Y36" s="930">
        <f t="shared" si="14"/>
        <v>0</v>
      </c>
      <c r="Z36" s="930">
        <f t="shared" si="14"/>
        <v>0</v>
      </c>
      <c r="AA36" s="928"/>
      <c r="AB36" s="928"/>
      <c r="AC36" s="928"/>
      <c r="AD36" s="928"/>
    </row>
    <row r="37" spans="1:30" ht="15">
      <c r="A37" s="938" t="s">
        <v>377</v>
      </c>
      <c r="B37" s="939"/>
      <c r="C37" s="939"/>
      <c r="D37" s="939"/>
      <c r="E37" s="939">
        <f t="shared" ref="E37:Z37" si="15">E12+E14</f>
        <v>0</v>
      </c>
      <c r="F37" s="939">
        <f t="shared" si="15"/>
        <v>0</v>
      </c>
      <c r="G37" s="939">
        <f t="shared" si="15"/>
        <v>0</v>
      </c>
      <c r="H37" s="939">
        <f t="shared" si="15"/>
        <v>0</v>
      </c>
      <c r="I37" s="939">
        <f t="shared" si="15"/>
        <v>0</v>
      </c>
      <c r="J37" s="939">
        <f t="shared" si="15"/>
        <v>0</v>
      </c>
      <c r="K37" s="939">
        <f t="shared" si="15"/>
        <v>0</v>
      </c>
      <c r="L37" s="939">
        <f t="shared" si="15"/>
        <v>0</v>
      </c>
      <c r="M37" s="939">
        <f t="shared" si="15"/>
        <v>0</v>
      </c>
      <c r="N37" s="939">
        <f t="shared" si="15"/>
        <v>0</v>
      </c>
      <c r="O37" s="939">
        <f t="shared" si="15"/>
        <v>0</v>
      </c>
      <c r="P37" s="939">
        <f t="shared" si="15"/>
        <v>0</v>
      </c>
      <c r="Q37" s="939">
        <f t="shared" si="15"/>
        <v>0</v>
      </c>
      <c r="R37" s="939">
        <f t="shared" si="15"/>
        <v>0</v>
      </c>
      <c r="S37" s="939">
        <f t="shared" si="15"/>
        <v>0</v>
      </c>
      <c r="T37" s="939">
        <f t="shared" si="15"/>
        <v>0</v>
      </c>
      <c r="U37" s="939">
        <f t="shared" si="15"/>
        <v>0</v>
      </c>
      <c r="V37" s="939">
        <f t="shared" si="15"/>
        <v>0</v>
      </c>
      <c r="W37" s="939">
        <f t="shared" si="15"/>
        <v>0</v>
      </c>
      <c r="X37" s="939">
        <f t="shared" si="15"/>
        <v>0</v>
      </c>
      <c r="Y37" s="939">
        <f t="shared" si="15"/>
        <v>0</v>
      </c>
      <c r="Z37" s="939">
        <f t="shared" si="15"/>
        <v>0</v>
      </c>
      <c r="AA37" s="928"/>
      <c r="AB37" s="928"/>
      <c r="AC37" s="928"/>
      <c r="AD37" s="928"/>
    </row>
    <row r="38" spans="1:30" ht="15">
      <c r="A38" s="917" t="s">
        <v>378</v>
      </c>
      <c r="B38" s="930"/>
      <c r="C38" s="930"/>
      <c r="D38" s="930"/>
      <c r="E38" s="930">
        <f>SUM(E35:E37)</f>
        <v>1767.6067692307693</v>
      </c>
      <c r="F38" s="930">
        <f>SUM(F35:F37)</f>
        <v>1755.6797948717949</v>
      </c>
      <c r="G38" s="930">
        <f>SUM(G35:G37)</f>
        <v>1787.2997811965811</v>
      </c>
      <c r="H38" s="930">
        <f t="shared" ref="H38:N38" si="16">SUM(H35:H37)</f>
        <v>1805.0416957264961</v>
      </c>
      <c r="I38" s="930">
        <f t="shared" si="16"/>
        <v>1812.2897094017098</v>
      </c>
      <c r="J38" s="930">
        <f t="shared" si="16"/>
        <v>1826.0802735042737</v>
      </c>
      <c r="K38" s="930">
        <f t="shared" si="16"/>
        <v>1828.3111794871795</v>
      </c>
      <c r="L38" s="930">
        <f t="shared" si="16"/>
        <v>1828.3111794871795</v>
      </c>
      <c r="M38" s="930">
        <f t="shared" si="16"/>
        <v>1828.3111794871795</v>
      </c>
      <c r="N38" s="930">
        <f t="shared" si="16"/>
        <v>1827.5554803418802</v>
      </c>
      <c r="O38" s="930">
        <f t="shared" ref="O38:U38" si="17">SUM(O35:O37)</f>
        <v>1805.9486427350428</v>
      </c>
      <c r="P38" s="930">
        <f t="shared" si="17"/>
        <v>1811.8905230769233</v>
      </c>
      <c r="Q38" s="930">
        <f t="shared" si="17"/>
        <v>1811.8905230769233</v>
      </c>
      <c r="R38" s="930">
        <f t="shared" si="17"/>
        <v>1811.8905230769233</v>
      </c>
      <c r="S38" s="930">
        <f t="shared" si="17"/>
        <v>1811.8905230769233</v>
      </c>
      <c r="T38" s="930">
        <f t="shared" si="17"/>
        <v>1811.8905230769233</v>
      </c>
      <c r="U38" s="930">
        <f t="shared" si="17"/>
        <v>1811.8905230769233</v>
      </c>
      <c r="V38" s="930">
        <f>SUM(V35:V37)</f>
        <v>1811.8905230769233</v>
      </c>
      <c r="W38" s="930">
        <f>SUM(W35:W37)</f>
        <v>1811.8905230769233</v>
      </c>
      <c r="X38" s="930">
        <f>SUM(X35:X37)</f>
        <v>1811.8905230769233</v>
      </c>
      <c r="Y38" s="930">
        <f>SUM(Y35:Y37)</f>
        <v>1811.8905230769233</v>
      </c>
      <c r="Z38" s="930">
        <f>SUM(Z35:Z37)</f>
        <v>1811.8905230769233</v>
      </c>
      <c r="AA38" s="928"/>
      <c r="AB38" s="928"/>
      <c r="AC38" s="928"/>
      <c r="AD38" s="928"/>
    </row>
    <row r="39" spans="1:30" ht="15">
      <c r="A39" s="917"/>
      <c r="B39" s="930"/>
      <c r="C39" s="930"/>
      <c r="D39" s="930"/>
      <c r="E39" s="930"/>
      <c r="F39" s="917"/>
      <c r="G39" s="917"/>
      <c r="H39" s="917"/>
      <c r="I39" s="917"/>
      <c r="J39" s="917"/>
      <c r="K39" s="917"/>
      <c r="L39" s="917"/>
      <c r="M39" s="917"/>
      <c r="N39" s="917"/>
      <c r="O39" s="917"/>
      <c r="P39" s="917"/>
      <c r="Q39" s="917"/>
      <c r="R39" s="917"/>
      <c r="S39" s="917"/>
      <c r="T39" s="917"/>
      <c r="U39" s="917"/>
      <c r="V39" s="917"/>
      <c r="W39" s="917"/>
      <c r="X39" s="917"/>
      <c r="Y39" s="917"/>
      <c r="Z39" s="917"/>
      <c r="AA39" s="928"/>
      <c r="AB39" s="928"/>
      <c r="AC39" s="928"/>
      <c r="AD39" s="928"/>
    </row>
    <row r="40" spans="1:30" ht="15">
      <c r="A40" s="917" t="s">
        <v>379</v>
      </c>
      <c r="B40" s="930"/>
      <c r="C40" s="943"/>
      <c r="D40" s="943"/>
      <c r="E40" s="943">
        <f>Master!H33</f>
        <v>15.485299375670399</v>
      </c>
      <c r="F40" s="943">
        <f>Master!I33</f>
        <v>14.611365964870179</v>
      </c>
      <c r="G40" s="943">
        <f>Master!J33</f>
        <v>13.948343899706449</v>
      </c>
      <c r="H40" s="943">
        <f>Master!K33</f>
        <v>15.381579309626613</v>
      </c>
      <c r="I40" s="943">
        <f>Master!L33</f>
        <v>14.754207804447718</v>
      </c>
      <c r="J40" s="943">
        <f>Master!M33</f>
        <v>17.266754620536243</v>
      </c>
      <c r="K40" s="943">
        <f>Master!N33</f>
        <v>8.2621318348209041</v>
      </c>
      <c r="L40" s="943">
        <f>Master!O33</f>
        <v>10.810787693998556</v>
      </c>
      <c r="M40" s="943">
        <f>Master!P33</f>
        <v>4.9310424292919031</v>
      </c>
      <c r="N40" s="943">
        <f>Master!Q33</f>
        <v>5.419646137444281</v>
      </c>
      <c r="O40" s="943">
        <f>Master!R33</f>
        <v>8.2645273773655923</v>
      </c>
      <c r="P40" s="943">
        <f>Master!S33</f>
        <v>8.8600452375777667</v>
      </c>
      <c r="Q40" s="943">
        <f>Master!T33</f>
        <v>8.9617224623623812</v>
      </c>
      <c r="R40" s="943">
        <f>Master!U33</f>
        <v>-22.238308930262765</v>
      </c>
      <c r="S40" s="943">
        <f>Master!V33</f>
        <v>-17.851765097303719</v>
      </c>
      <c r="T40" s="943">
        <f ca="1">Master!W33</f>
        <v>0.96000494848759554</v>
      </c>
      <c r="U40" s="943">
        <f ca="1">Master!X33</f>
        <v>-2.5015138041580185</v>
      </c>
      <c r="V40" s="943">
        <f ca="1">Master!Y33</f>
        <v>-0.53701318828824507</v>
      </c>
      <c r="W40" s="943">
        <f ca="1">Master!Z33</f>
        <v>1.0381461582579081</v>
      </c>
      <c r="X40" s="943">
        <f ca="1">Master!AA33</f>
        <v>2.7269045813508748</v>
      </c>
      <c r="Y40" s="943">
        <f ca="1">Master!AB33</f>
        <v>4.3853255379097478</v>
      </c>
      <c r="Z40" s="943">
        <f ca="1">Master!AC33</f>
        <v>6.1391565499188037</v>
      </c>
      <c r="AA40" s="928"/>
      <c r="AB40" s="928"/>
      <c r="AC40" s="928"/>
      <c r="AD40" s="928"/>
    </row>
    <row r="41" spans="1:30" ht="15">
      <c r="A41" s="917" t="s">
        <v>1072</v>
      </c>
      <c r="B41" s="930"/>
      <c r="C41" s="943"/>
      <c r="D41" s="943"/>
      <c r="E41" s="932">
        <f>Master!H515</f>
        <v>0</v>
      </c>
      <c r="F41" s="932">
        <f>Master!I518</f>
        <v>0.13855898653998416</v>
      </c>
      <c r="G41" s="932">
        <f>Master!J518</f>
        <v>0.14067524115755628</v>
      </c>
      <c r="H41" s="932">
        <f>Master!K518</f>
        <v>0.13297872340425532</v>
      </c>
      <c r="I41" s="932">
        <f>Master!L518</f>
        <v>0.13714733542319749</v>
      </c>
      <c r="J41" s="932">
        <f>Master!M518</f>
        <v>0</v>
      </c>
      <c r="K41" s="932">
        <f>Master!N518</f>
        <v>0.11027095148078135</v>
      </c>
      <c r="L41" s="932">
        <f>Master!O518</f>
        <v>9.2838196286472136E-2</v>
      </c>
      <c r="M41" s="932">
        <f>Master!P518</f>
        <v>9.2592592592592601E-2</v>
      </c>
      <c r="N41" s="932">
        <f>Master!Q518</f>
        <v>9.0909090909090912E-2</v>
      </c>
      <c r="O41" s="932">
        <f>Master!R518</f>
        <v>0</v>
      </c>
      <c r="P41" s="932">
        <f>Master!S518</f>
        <v>8.1471135940409681E-2</v>
      </c>
      <c r="Q41" s="932">
        <f>Master!T518</f>
        <v>8.7005764268639318E-2</v>
      </c>
      <c r="R41" s="932">
        <f>Master!U518</f>
        <v>8.7765154895822983E-2</v>
      </c>
      <c r="S41" s="932">
        <f>Master!V518</f>
        <v>9.9715099714971764E-2</v>
      </c>
      <c r="T41" s="932">
        <f>Master!W518</f>
        <v>0.10360162391142286</v>
      </c>
      <c r="U41" s="932">
        <f>Master!X518</f>
        <v>0.10219195558769034</v>
      </c>
      <c r="V41" s="932">
        <f>Master!Y518</f>
        <v>0.10018819175263761</v>
      </c>
      <c r="W41" s="932">
        <f>Master!Z518</f>
        <v>9.8223717404546676E-2</v>
      </c>
      <c r="X41" s="932">
        <f>Master!AA518</f>
        <v>9.6297762161320258E-2</v>
      </c>
      <c r="Y41" s="932">
        <f>Master!AB518</f>
        <v>9.4409570746392418E-2</v>
      </c>
      <c r="Z41" s="932">
        <f>Master!AC518</f>
        <v>9.2558402692541591E-2</v>
      </c>
      <c r="AA41" s="928"/>
      <c r="AB41" s="928"/>
      <c r="AC41" s="928"/>
      <c r="AD41" s="928"/>
    </row>
    <row r="42" spans="1:30" ht="15">
      <c r="A42" s="917"/>
      <c r="B42" s="930"/>
      <c r="C42" s="930"/>
      <c r="D42" s="919"/>
      <c r="E42" s="917"/>
      <c r="F42" s="919"/>
      <c r="G42" s="919" t="s">
        <v>84</v>
      </c>
      <c r="H42" s="919"/>
      <c r="I42" s="919"/>
      <c r="J42" s="919"/>
      <c r="K42" s="919"/>
      <c r="L42" s="919"/>
      <c r="M42" s="943"/>
      <c r="N42" s="919"/>
      <c r="O42" s="919"/>
      <c r="P42" s="919"/>
      <c r="Q42" s="919"/>
      <c r="R42" s="919"/>
      <c r="S42" s="919"/>
      <c r="T42" s="919"/>
      <c r="U42" s="919"/>
      <c r="V42" s="919"/>
      <c r="W42" s="919"/>
      <c r="X42" s="919"/>
      <c r="Y42" s="919"/>
      <c r="Z42" s="919"/>
      <c r="AA42" s="928"/>
      <c r="AB42" s="928"/>
      <c r="AC42" s="928"/>
      <c r="AD42" s="928"/>
    </row>
    <row r="43" spans="1:30" ht="15">
      <c r="A43" s="917" t="s">
        <v>380</v>
      </c>
      <c r="B43" s="930"/>
      <c r="C43" s="943"/>
      <c r="D43" s="943"/>
      <c r="E43" s="943">
        <f t="shared" ref="E43:Z43" ca="1" si="18">E17/E24</f>
        <v>-0.23183990753330899</v>
      </c>
      <c r="F43" s="943">
        <f t="shared" ca="1" si="18"/>
        <v>0.35565596351663825</v>
      </c>
      <c r="G43" s="943">
        <f t="shared" ca="1" si="18"/>
        <v>1.1506318378835754</v>
      </c>
      <c r="H43" s="943">
        <f t="shared" ca="1" si="18"/>
        <v>0.78908653970811249</v>
      </c>
      <c r="I43" s="943">
        <f t="shared" ca="1" si="18"/>
        <v>1.0854654641552113</v>
      </c>
      <c r="J43" s="943">
        <f t="shared" ca="1" si="18"/>
        <v>1.2038521845353352</v>
      </c>
      <c r="K43" s="943">
        <f t="shared" ca="1" si="18"/>
        <v>1.5533964511408624</v>
      </c>
      <c r="L43" s="943">
        <f t="shared" ca="1" si="18"/>
        <v>2.1514790180083909</v>
      </c>
      <c r="M43" s="943">
        <f t="shared" ca="1" si="18"/>
        <v>2.2298016425312981</v>
      </c>
      <c r="N43" s="943">
        <f t="shared" ca="1" si="18"/>
        <v>2.1056423350160069</v>
      </c>
      <c r="O43" s="943">
        <f t="shared" ca="1" si="18"/>
        <v>2.276619525131844</v>
      </c>
      <c r="P43" s="943">
        <f t="shared" ca="1" si="18"/>
        <v>2.2871904919444281</v>
      </c>
      <c r="Q43" s="943">
        <f t="shared" ca="1" si="18"/>
        <v>2.2534412815459226</v>
      </c>
      <c r="R43" s="943">
        <f t="shared" ca="1" si="18"/>
        <v>1.8485144757369132</v>
      </c>
      <c r="S43" s="943">
        <f t="shared" ca="1" si="18"/>
        <v>2.0592548408961231</v>
      </c>
      <c r="T43" s="943">
        <f t="shared" ca="1" si="18"/>
        <v>2.4335373044330737</v>
      </c>
      <c r="U43" s="943">
        <f t="shared" ca="1" si="18"/>
        <v>2.2234546126756909</v>
      </c>
      <c r="V43" s="943">
        <f t="shared" ca="1" si="18"/>
        <v>2.0867133499343491</v>
      </c>
      <c r="W43" s="943">
        <f t="shared" ca="1" si="18"/>
        <v>1.9014434663130577</v>
      </c>
      <c r="X43" s="943">
        <f t="shared" ca="1" si="18"/>
        <v>1.6596167080836812</v>
      </c>
      <c r="Y43" s="943">
        <f t="shared" ca="1" si="18"/>
        <v>1.4013042108246752</v>
      </c>
      <c r="Z43" s="943">
        <f t="shared" ca="1" si="18"/>
        <v>1.1307896188136433</v>
      </c>
      <c r="AA43" s="928"/>
      <c r="AB43" s="928"/>
      <c r="AC43" s="928"/>
      <c r="AD43" s="928"/>
    </row>
    <row r="44" spans="1:30" ht="15">
      <c r="A44" s="917" t="s">
        <v>381</v>
      </c>
      <c r="B44" s="941"/>
      <c r="C44" s="943"/>
      <c r="D44" s="943"/>
      <c r="E44" s="943">
        <f ca="1">E17/(Master!H116/Valuation!E$19)</f>
        <v>-0.34892935744123549</v>
      </c>
      <c r="F44" s="943">
        <f ca="1">F17/(Master!I116/Valuation!F$19)</f>
        <v>0.87177256472864251</v>
      </c>
      <c r="G44" s="943">
        <f ca="1">G17/(Master!J116/Valuation!G$19)</f>
        <v>1.9713914041312863</v>
      </c>
      <c r="H44" s="943">
        <f ca="1">H17/(Master!K116/Valuation!H$19)</f>
        <v>1.3981900839478825</v>
      </c>
      <c r="I44" s="943">
        <f ca="1">I17/(Master!L116/Valuation!I$19)</f>
        <v>2.279338011695041</v>
      </c>
      <c r="J44" s="943">
        <f ca="1">J17/(Master!M116/Valuation!J$19)</f>
        <v>2.765463114259195</v>
      </c>
      <c r="K44" s="943">
        <f ca="1">K17/(Master!N116/Valuation!K$19)</f>
        <v>7.2911826638621298</v>
      </c>
      <c r="L44" s="943">
        <f ca="1">L17/(Master!O116/Valuation!L$19)</f>
        <v>12.752770135464845</v>
      </c>
      <c r="M44" s="943">
        <f ca="1">M17/(Master!P116/Valuation!M$19)</f>
        <v>4.5514741946299813</v>
      </c>
      <c r="N44" s="943">
        <f ca="1">N17/(Master!Q116/Valuation!N$19)</f>
        <v>4.2993824821064015</v>
      </c>
      <c r="O44" s="943">
        <f ca="1">O17/(Master!R116/Valuation!O$19)</f>
        <v>4.5432711741016485</v>
      </c>
      <c r="P44" s="943">
        <f ca="1">P17/(Master!S116/Valuation!P$19)</f>
        <v>4.7642017131779415</v>
      </c>
      <c r="Q44" s="943">
        <f ca="1">Q17/(Master!T116/Valuation!Q$19)</f>
        <v>4.8421066926529841</v>
      </c>
      <c r="R44" s="943">
        <f ca="1">R17/(Master!U116/Valuation!R$19)</f>
        <v>5.6722492790505115</v>
      </c>
      <c r="S44" s="943">
        <f ca="1">S17/(Master!V116/Valuation!S$19)</f>
        <v>5.2201242103600611</v>
      </c>
      <c r="T44" s="943">
        <f ca="1">T17/(Master!W116/Valuation!T$19)</f>
        <v>4.5220654406083645</v>
      </c>
      <c r="U44" s="943">
        <f ca="1">U17/(Master!X116/Valuation!U$19)</f>
        <v>5.5168702553601081</v>
      </c>
      <c r="V44" s="943">
        <f ca="1">V17/(Master!Y116/Valuation!V$19)</f>
        <v>5.3010594231833226</v>
      </c>
      <c r="W44" s="943">
        <f ca="1">W17/(Master!Z116/Valuation!W$19)</f>
        <v>4.8014577077139338</v>
      </c>
      <c r="X44" s="943">
        <f ca="1">X17/(Master!AA116/Valuation!X$19)</f>
        <v>4.1586412290167667</v>
      </c>
      <c r="Y44" s="943">
        <f ca="1">Y17/(Master!AB116/Valuation!Y$19)</f>
        <v>3.4683223068360385</v>
      </c>
      <c r="Z44" s="943">
        <f ca="1">Z17/(Master!AC116/Valuation!Z$19)</f>
        <v>2.7991262218400235</v>
      </c>
      <c r="AA44" s="928"/>
      <c r="AB44" s="928"/>
      <c r="AC44" s="928"/>
      <c r="AD44" s="928"/>
    </row>
    <row r="45" spans="1:30" ht="15">
      <c r="A45" s="917" t="s">
        <v>382</v>
      </c>
      <c r="B45" s="944"/>
      <c r="C45" s="943"/>
      <c r="D45" s="943"/>
      <c r="E45" s="943">
        <f ca="1">E44/(1-Master!H332)</f>
        <v>-0.48462410755727153</v>
      </c>
      <c r="F45" s="943">
        <f ca="1">F44/(1-Master!I332)</f>
        <v>1.2107952287897814</v>
      </c>
      <c r="G45" s="943">
        <f ca="1">G44/(1-Master!J332)</f>
        <v>2.738043616849009</v>
      </c>
      <c r="H45" s="943">
        <f ca="1">H44/(1-Master!K332)</f>
        <v>1.8642534452638433</v>
      </c>
      <c r="I45" s="943">
        <f ca="1">I44/(1-Master!L332)</f>
        <v>3.0391173489267214</v>
      </c>
      <c r="J45" s="943">
        <f ca="1">J44/(1-Master!M332)</f>
        <v>3.6872841523455935</v>
      </c>
      <c r="K45" s="943">
        <f ca="1">K44/(1-Master!N332)</f>
        <v>9.7215768851495064</v>
      </c>
      <c r="L45" s="943">
        <f ca="1">L44/(1-Master!O332)</f>
        <v>17.003693513953127</v>
      </c>
      <c r="M45" s="943">
        <f ca="1">M44/(1-Master!P332)</f>
        <v>6.5814231362817122</v>
      </c>
      <c r="N45" s="943">
        <f ca="1">N44/(1-Master!Q332)</f>
        <v>6.4333037967962028</v>
      </c>
      <c r="O45" s="943">
        <f ca="1">O44/(1-Master!R332)</f>
        <v>5.944745755793635</v>
      </c>
      <c r="P45" s="943">
        <f ca="1">P44/(1-Master!S332)</f>
        <v>27.568168027141528</v>
      </c>
      <c r="Q45" s="943">
        <f ca="1">Q44/(1-Master!T332)</f>
        <v>10.690862087322996</v>
      </c>
      <c r="R45" s="943">
        <f ca="1">R44/(1-Master!U332)</f>
        <v>6.2322173129703922</v>
      </c>
      <c r="S45" s="943">
        <f ca="1">S44/(1-Master!V332)</f>
        <v>-0.80493782154266547</v>
      </c>
      <c r="T45" s="943">
        <f ca="1">T44/(1-Master!W332)</f>
        <v>6.2806464452893955</v>
      </c>
      <c r="U45" s="943">
        <f ca="1">U44/(1-Master!X332)</f>
        <v>7.6623197991112617</v>
      </c>
      <c r="V45" s="943">
        <f ca="1">V44/(1-Master!Y332)</f>
        <v>7.3625825321990597</v>
      </c>
      <c r="W45" s="943">
        <f ca="1">W44/(1-Master!Z332)</f>
        <v>6.6686912607137971</v>
      </c>
      <c r="X45" s="943">
        <f ca="1">X44/(1-Master!AA332)</f>
        <v>5.7758905958566205</v>
      </c>
      <c r="Y45" s="943">
        <f ca="1">Y44/(1-Master!AB332)</f>
        <v>4.8171143150500537</v>
      </c>
      <c r="Z45" s="943">
        <f ca="1">Z44/(1-Master!AC332)</f>
        <v>3.8876753081111439</v>
      </c>
      <c r="AA45" s="928"/>
      <c r="AB45" s="928"/>
      <c r="AC45" s="928"/>
      <c r="AD45" s="928"/>
    </row>
    <row r="46" spans="1:30" ht="15">
      <c r="A46" s="917"/>
      <c r="B46" s="944"/>
      <c r="C46" s="944"/>
      <c r="D46" s="944"/>
      <c r="E46" s="944"/>
      <c r="F46" s="943"/>
      <c r="G46" s="917"/>
      <c r="H46" s="917"/>
      <c r="I46" s="917"/>
      <c r="J46" s="917"/>
      <c r="K46" s="917"/>
      <c r="L46" s="917"/>
      <c r="M46" s="915"/>
      <c r="N46" s="917"/>
      <c r="O46" s="917"/>
      <c r="P46" s="917"/>
      <c r="Q46" s="917"/>
      <c r="R46" s="917"/>
      <c r="S46" s="917"/>
      <c r="T46" s="917"/>
      <c r="U46" s="917"/>
      <c r="V46" s="917"/>
      <c r="W46" s="917"/>
      <c r="X46" s="917"/>
      <c r="Y46" s="917"/>
      <c r="Z46" s="917"/>
      <c r="AA46" s="928"/>
      <c r="AB46" s="928"/>
      <c r="AC46" s="928"/>
      <c r="AD46" s="928"/>
    </row>
    <row r="47" spans="1:30" ht="15">
      <c r="A47" s="917" t="s">
        <v>383</v>
      </c>
      <c r="B47" s="935"/>
      <c r="C47" s="943"/>
      <c r="D47" s="943"/>
      <c r="E47" s="943">
        <f t="shared" ref="E47:Z47" si="19">1/E48</f>
        <v>3.15374995997005</v>
      </c>
      <c r="F47" s="943">
        <f>1/F48</f>
        <v>10.361453508170658</v>
      </c>
      <c r="G47" s="943">
        <f t="shared" si="19"/>
        <v>3.7507649097794933</v>
      </c>
      <c r="H47" s="943">
        <f t="shared" si="19"/>
        <v>3.7509788208387853</v>
      </c>
      <c r="I47" s="943">
        <f t="shared" si="19"/>
        <v>4.9264115544580136</v>
      </c>
      <c r="J47" s="943">
        <f t="shared" si="19"/>
        <v>5.3032776811067661</v>
      </c>
      <c r="K47" s="943">
        <f t="shared" si="19"/>
        <v>-5.0277260111510751</v>
      </c>
      <c r="L47" s="943">
        <f t="shared" si="19"/>
        <v>-2.6505251829508696</v>
      </c>
      <c r="M47" s="943">
        <f t="shared" si="19"/>
        <v>-33.231471771643271</v>
      </c>
      <c r="N47" s="943">
        <f t="shared" si="19"/>
        <v>-5.5520745838097332</v>
      </c>
      <c r="O47" s="930">
        <f t="shared" si="19"/>
        <v>22.299595165188403</v>
      </c>
      <c r="P47" s="930">
        <f t="shared" si="19"/>
        <v>28.670167571052101</v>
      </c>
      <c r="Q47" s="943">
        <f t="shared" si="19"/>
        <v>-11.355071570459003</v>
      </c>
      <c r="R47" s="943">
        <f t="shared" si="19"/>
        <v>-2.6144513617498202</v>
      </c>
      <c r="S47" s="943">
        <f t="shared" si="19"/>
        <v>-7.5613183567305393</v>
      </c>
      <c r="T47" s="943">
        <f t="shared" ca="1" si="19"/>
        <v>13.204835573275483</v>
      </c>
      <c r="U47" s="943">
        <f t="shared" ca="1" si="19"/>
        <v>7.7069419130181602</v>
      </c>
      <c r="V47" s="943">
        <f t="shared" ca="1" si="19"/>
        <v>6.8093183117107534</v>
      </c>
      <c r="W47" s="943">
        <f t="shared" ca="1" si="19"/>
        <v>5.4239558890656419</v>
      </c>
      <c r="X47" s="943">
        <f t="shared" ca="1" si="19"/>
        <v>4.5809231347978896</v>
      </c>
      <c r="Y47" s="943">
        <f t="shared" ca="1" si="19"/>
        <v>4.4454326141138258</v>
      </c>
      <c r="Z47" s="943">
        <f t="shared" ca="1" si="19"/>
        <v>4.3125928924538268</v>
      </c>
      <c r="AA47" s="928"/>
      <c r="AB47" s="928"/>
      <c r="AC47" s="928"/>
      <c r="AD47" s="928"/>
    </row>
    <row r="48" spans="1:30" ht="15">
      <c r="A48" s="917" t="s">
        <v>384</v>
      </c>
      <c r="B48" s="935"/>
      <c r="C48" s="920"/>
      <c r="D48" s="921"/>
      <c r="E48" s="920">
        <f t="shared" ref="E48:Z48" si="20">E32/E38</f>
        <v>0.31708284191607145</v>
      </c>
      <c r="F48" s="920">
        <f t="shared" si="20"/>
        <v>9.6511555952206618E-2</v>
      </c>
      <c r="G48" s="921">
        <f t="shared" si="20"/>
        <v>0.26661228417506705</v>
      </c>
      <c r="H48" s="920">
        <f t="shared" si="20"/>
        <v>0.26659707979273056</v>
      </c>
      <c r="I48" s="920">
        <f t="shared" si="20"/>
        <v>0.20298750702122703</v>
      </c>
      <c r="J48" s="920">
        <f t="shared" si="20"/>
        <v>0.18856263241929758</v>
      </c>
      <c r="K48" s="920">
        <f t="shared" si="20"/>
        <v>-0.19889707549339081</v>
      </c>
      <c r="L48" s="920">
        <f t="shared" si="20"/>
        <v>-0.37728371963124868</v>
      </c>
      <c r="M48" s="920">
        <f t="shared" si="20"/>
        <v>-3.009195641022765E-2</v>
      </c>
      <c r="N48" s="920">
        <f t="shared" si="20"/>
        <v>-0.18011285419617293</v>
      </c>
      <c r="O48" s="920">
        <f t="shared" si="20"/>
        <v>4.484386342408074E-2</v>
      </c>
      <c r="P48" s="920">
        <f t="shared" si="20"/>
        <v>3.4879461290965287E-2</v>
      </c>
      <c r="Q48" s="920">
        <f t="shared" si="20"/>
        <v>-8.8066375785914766E-2</v>
      </c>
      <c r="R48" s="920">
        <f t="shared" si="20"/>
        <v>-0.38248942574732481</v>
      </c>
      <c r="S48" s="920">
        <f t="shared" si="20"/>
        <v>-0.132252069390766</v>
      </c>
      <c r="T48" s="920">
        <f t="shared" ca="1" si="20"/>
        <v>7.5729833548540598E-2</v>
      </c>
      <c r="U48" s="920">
        <f t="shared" ca="1" si="20"/>
        <v>0.12975315128700435</v>
      </c>
      <c r="V48" s="920">
        <f t="shared" ca="1" si="20"/>
        <v>0.14685757872123367</v>
      </c>
      <c r="W48" s="920">
        <f t="shared" ca="1" si="20"/>
        <v>0.18436728108647379</v>
      </c>
      <c r="X48" s="920">
        <f t="shared" ca="1" si="20"/>
        <v>0.21829661196533481</v>
      </c>
      <c r="Y48" s="920">
        <f t="shared" ca="1" si="20"/>
        <v>0.22494998503072461</v>
      </c>
      <c r="Z48" s="920">
        <f t="shared" ca="1" si="20"/>
        <v>0.23187906323126387</v>
      </c>
      <c r="AA48" s="928"/>
      <c r="AB48" s="928"/>
      <c r="AC48" s="928"/>
      <c r="AD48" s="928"/>
    </row>
    <row r="49" spans="1:30" ht="15">
      <c r="A49" s="917" t="s">
        <v>385</v>
      </c>
      <c r="B49" s="935"/>
      <c r="C49" s="920"/>
      <c r="D49" s="920"/>
      <c r="E49" s="920">
        <f t="shared" ref="E49:N49" si="21">E41/$B$2</f>
        <v>0</v>
      </c>
      <c r="F49" s="920">
        <f t="shared" si="21"/>
        <v>4.38477805506279E-2</v>
      </c>
      <c r="G49" s="920">
        <f t="shared" si="21"/>
        <v>4.4517481378973503E-2</v>
      </c>
      <c r="H49" s="920">
        <f t="shared" si="21"/>
        <v>4.2081874495017504E-2</v>
      </c>
      <c r="I49" s="920">
        <f t="shared" si="21"/>
        <v>4.3401055513670087E-2</v>
      </c>
      <c r="J49" s="920">
        <f t="shared" si="21"/>
        <v>0</v>
      </c>
      <c r="K49" s="920">
        <f t="shared" si="21"/>
        <v>3.4895870721766246E-2</v>
      </c>
      <c r="L49" s="920">
        <f t="shared" si="21"/>
        <v>2.9379176040022825E-2</v>
      </c>
      <c r="M49" s="920">
        <f t="shared" si="21"/>
        <v>2.9301453352086265E-2</v>
      </c>
      <c r="N49" s="920">
        <f t="shared" si="21"/>
        <v>2.8768699654775604E-2</v>
      </c>
      <c r="O49" s="920">
        <f t="shared" ref="O49:U49" si="22">O41/$B$2</f>
        <v>0</v>
      </c>
      <c r="P49" s="920">
        <f t="shared" si="22"/>
        <v>2.5782005044433443E-2</v>
      </c>
      <c r="Q49" s="920">
        <f t="shared" si="22"/>
        <v>2.7533469705265604E-2</v>
      </c>
      <c r="R49" s="920">
        <f t="shared" si="22"/>
        <v>2.7773783194880691E-2</v>
      </c>
      <c r="S49" s="920">
        <f t="shared" si="22"/>
        <v>3.1555411302206252E-2</v>
      </c>
      <c r="T49" s="920">
        <f t="shared" si="22"/>
        <v>3.2785324022602168E-2</v>
      </c>
      <c r="U49" s="920">
        <f t="shared" si="22"/>
        <v>3.2339226451800741E-2</v>
      </c>
      <c r="V49" s="920">
        <f>V41/$B$2</f>
        <v>3.1705123972353672E-2</v>
      </c>
      <c r="W49" s="920">
        <f>W41/$B$2</f>
        <v>3.1083454874856541E-2</v>
      </c>
      <c r="X49" s="920">
        <f>X41/$B$2</f>
        <v>3.0473975367506408E-2</v>
      </c>
      <c r="Y49" s="920">
        <f>Y41/$B$2</f>
        <v>2.9876446438731778E-2</v>
      </c>
      <c r="Z49" s="920">
        <f>Z41/$B$2</f>
        <v>2.9290633763462529E-2</v>
      </c>
      <c r="AA49" s="928"/>
      <c r="AB49" s="928"/>
      <c r="AC49" s="928"/>
      <c r="AD49" s="928"/>
    </row>
    <row r="50" spans="1:30" ht="15">
      <c r="A50" s="917" t="s">
        <v>1080</v>
      </c>
      <c r="B50" s="935"/>
      <c r="C50" s="920"/>
      <c r="D50" s="920"/>
      <c r="E50" s="920">
        <f>(Master!H491-Master!G491)/Master!G490</f>
        <v>4.3780427692660931E-3</v>
      </c>
      <c r="F50" s="920">
        <f>(Master!I491-Master!H491)/Master!H490</f>
        <v>8.2860514480495966E-3</v>
      </c>
      <c r="G50" s="920">
        <f>(Master!J491-Master!I491)/Master!I490</f>
        <v>6.5625759849539405E-5</v>
      </c>
      <c r="H50" s="920">
        <f>(Master!K491-Master!J491)/Master!J490</f>
        <v>1.4679614322559904E-16</v>
      </c>
      <c r="I50" s="920">
        <f>(Master!L491-Master!K491)/Master!K490</f>
        <v>0</v>
      </c>
      <c r="J50" s="920">
        <f>(Master!M491-Master!L491)/Master!L490</f>
        <v>0</v>
      </c>
      <c r="K50" s="920">
        <f>(Master!N491-Master!M491)/Master!M490</f>
        <v>-2.0578225909215334E-2</v>
      </c>
      <c r="L50" s="920">
        <f>(Master!O491-Master!N491)/Master!N490</f>
        <v>0</v>
      </c>
      <c r="M50" s="920">
        <f>(Master!P491-Master!O491)/Master!O490</f>
        <v>0</v>
      </c>
      <c r="N50" s="920">
        <f>(Master!Q491-Master!P491)/Master!P490</f>
        <v>-1.3749670626506331E-2</v>
      </c>
      <c r="O50" s="920">
        <f>(Master!R491-Master!Q491)/Master!Q490</f>
        <v>1.1194845445363135E-2</v>
      </c>
      <c r="P50" s="920">
        <f>(Master!S491-Master!R491)/Master!R490</f>
        <v>-3.0785824974748849E-3</v>
      </c>
      <c r="Q50" s="920">
        <f>(Master!T491-Master!S491)/Master!S490</f>
        <v>0</v>
      </c>
      <c r="R50" s="920">
        <f>(Master!U491-Master!T491)/Master!T490</f>
        <v>0</v>
      </c>
      <c r="S50" s="920">
        <f>(Master!V491-Master!U491)/Master!U490</f>
        <v>0</v>
      </c>
      <c r="T50" s="920">
        <f>(Master!W491-Master!V491)/Master!V490</f>
        <v>0</v>
      </c>
      <c r="U50" s="920">
        <f>(Master!X491-Master!W491)/Master!W490</f>
        <v>0</v>
      </c>
      <c r="V50" s="920">
        <f>(Master!Y491-Master!X491)/Master!X490</f>
        <v>0</v>
      </c>
      <c r="W50" s="920">
        <f>(Master!Z491-Master!Y491)/Master!Y490</f>
        <v>0</v>
      </c>
      <c r="X50" s="920">
        <f>(Master!AA491-Master!Z491)/Master!Z490</f>
        <v>0</v>
      </c>
      <c r="Y50" s="920">
        <f>(Master!AB491-Master!AA491)/Master!AA490</f>
        <v>0</v>
      </c>
      <c r="Z50" s="920">
        <f>(Master!AC491-Master!AB491)/Master!AB490</f>
        <v>0</v>
      </c>
      <c r="AA50" s="928"/>
      <c r="AB50" s="928"/>
      <c r="AC50" s="928"/>
      <c r="AD50" s="928"/>
    </row>
    <row r="51" spans="1:30" ht="15">
      <c r="A51" s="917" t="s">
        <v>386</v>
      </c>
      <c r="B51" s="945"/>
      <c r="C51" s="943"/>
      <c r="D51" s="943"/>
      <c r="E51" s="943">
        <f>E10/(Master!H452/Valuation!E$19)</f>
        <v>2.7548708594568669</v>
      </c>
      <c r="F51" s="943">
        <f>F10/(Master!I452/Valuation!F$19)</f>
        <v>2.7314899986734136</v>
      </c>
      <c r="G51" s="943">
        <f>G10/(Master!J452/Valuation!G$19)</f>
        <v>2.8182843986824353</v>
      </c>
      <c r="H51" s="943">
        <f>H10/(Master!K452/Valuation!H$19)</f>
        <v>2.7035975411168289</v>
      </c>
      <c r="I51" s="943">
        <f>I10/(Master!L452/Valuation!I$19)</f>
        <v>2.7328881722707528</v>
      </c>
      <c r="J51" s="943">
        <f>J10/(Master!M452/Valuation!J$19)</f>
        <v>2.4358717619103905</v>
      </c>
      <c r="K51" s="943">
        <f>K10/(Master!N452/Valuation!K$19)</f>
        <v>6.0697651650443643</v>
      </c>
      <c r="L51" s="943">
        <f>L10/(Master!O452/Valuation!L$19)</f>
        <v>5.5098667817764255</v>
      </c>
      <c r="M51" s="943">
        <f>M10/(Master!P452/Valuation!M$19)</f>
        <v>12.111840621208437</v>
      </c>
      <c r="N51" s="943">
        <f>N10/(Master!Q452/Valuation!N$19)</f>
        <v>11.223980026984814</v>
      </c>
      <c r="O51" s="943">
        <f>O10/(Master!R452/Valuation!O$19)</f>
        <v>7.360372495903114</v>
      </c>
      <c r="P51" s="943">
        <f>P10/(Master!S452/Valuation!P$19)</f>
        <v>7.6609992590237308</v>
      </c>
      <c r="Q51" s="943">
        <f>Q10/(Master!T452/Valuation!Q$19)</f>
        <v>7.1528935285406199</v>
      </c>
      <c r="R51" s="943">
        <f>R10/(Master!U452/Valuation!R$19)</f>
        <v>-2.8575733972973967</v>
      </c>
      <c r="S51" s="943">
        <f>S10/(Master!V452/Valuation!S$19)</f>
        <v>-3.1331355580321758</v>
      </c>
      <c r="T51" s="943">
        <f ca="1">T10/(Master!W452/Valuation!T$19)</f>
        <v>56.076544276996096</v>
      </c>
      <c r="U51" s="943">
        <f ca="1">U10/(Master!X452/Valuation!U$19)</f>
        <v>-21.817333132155071</v>
      </c>
      <c r="V51" s="943">
        <f ca="1">V10/(Master!Y452/Valuation!V$19)</f>
        <v>-103.66204855684087</v>
      </c>
      <c r="W51" s="943">
        <f ca="1">W10/(Master!Z452/Valuation!W$19)</f>
        <v>54.694846667143139</v>
      </c>
      <c r="X51" s="943">
        <f ca="1">X10/(Master!AA452/Valuation!X$19)</f>
        <v>21.239052601609075</v>
      </c>
      <c r="Y51" s="943">
        <f ca="1">Y10/(Master!AB452/Valuation!Y$19)</f>
        <v>13.471111033616813</v>
      </c>
      <c r="Z51" s="943">
        <f ca="1">Z10/(Master!AC452/Valuation!Z$19)</f>
        <v>9.8151449461456242</v>
      </c>
      <c r="AA51" s="928"/>
      <c r="AB51" s="928"/>
      <c r="AC51" s="928"/>
      <c r="AD51" s="928"/>
    </row>
    <row r="52" spans="1:30" ht="15">
      <c r="A52" s="917"/>
      <c r="B52" s="945"/>
      <c r="C52" s="943"/>
      <c r="D52" s="943"/>
      <c r="E52" s="943"/>
      <c r="F52" s="943"/>
      <c r="G52" s="943"/>
      <c r="H52" s="943"/>
      <c r="I52" s="943"/>
      <c r="J52" s="943"/>
      <c r="K52" s="943"/>
      <c r="L52" s="943"/>
      <c r="M52" s="943"/>
      <c r="N52" s="943"/>
      <c r="O52" s="943"/>
      <c r="P52" s="943"/>
      <c r="Q52" s="943"/>
      <c r="R52" s="943"/>
      <c r="S52" s="943"/>
      <c r="T52" s="943"/>
      <c r="U52" s="943"/>
      <c r="V52" s="943"/>
      <c r="W52" s="943"/>
      <c r="X52" s="943"/>
      <c r="Y52" s="943"/>
      <c r="Z52" s="943"/>
      <c r="AA52" s="928"/>
      <c r="AB52" s="928"/>
      <c r="AC52" s="928"/>
      <c r="AD52" s="928"/>
    </row>
    <row r="53" spans="1:30" ht="15">
      <c r="A53" s="917" t="s">
        <v>387</v>
      </c>
      <c r="B53" s="945"/>
      <c r="C53" s="943"/>
      <c r="D53" s="943"/>
      <c r="E53" s="943">
        <f>Master!H176/Master!H13</f>
        <v>2.8720067705481231E-2</v>
      </c>
      <c r="F53" s="943">
        <f>Master!I176/Master!I13</f>
        <v>0.58966988130563802</v>
      </c>
      <c r="G53" s="943">
        <f>Master!J176/Master!J13</f>
        <v>1.3443255524669027</v>
      </c>
      <c r="H53" s="943">
        <f>Master!K176/Master!K13</f>
        <v>0.96228272550331029</v>
      </c>
      <c r="I53" s="943">
        <f>Master!L176/Master!L13</f>
        <v>1.2406411730451439</v>
      </c>
      <c r="J53" s="943">
        <f>Master!M176/Master!M13</f>
        <v>1.3498778654954198</v>
      </c>
      <c r="K53" s="943">
        <f>Master!N176/Master!N13</f>
        <v>1.7136829620111633</v>
      </c>
      <c r="L53" s="943">
        <f>Master!O176/Master!O13</f>
        <v>2.3350447764750033</v>
      </c>
      <c r="M53" s="943">
        <f>Master!P176/Master!P13</f>
        <v>2.418334350213545</v>
      </c>
      <c r="N53" s="943">
        <f>Master!Q176/Master!Q13</f>
        <v>2.2781516166518556</v>
      </c>
      <c r="O53" s="943">
        <f>Master!R176/Master!R13</f>
        <v>2.452583985075135</v>
      </c>
      <c r="P53" s="943">
        <f>Master!S176/Master!S13</f>
        <v>2.4772547493835404</v>
      </c>
      <c r="Q53" s="943">
        <f>Master!T176/Master!T13</f>
        <v>2.4132119004807162</v>
      </c>
      <c r="R53" s="943">
        <f>Master!U176/Master!U13</f>
        <v>2.1189550607514165</v>
      </c>
      <c r="S53" s="943">
        <f>Master!V176/Master!V13</f>
        <v>2.3102390360928391</v>
      </c>
      <c r="T53" s="943">
        <f ca="1">Master!W176/Master!W13</f>
        <v>2.4182569210435148</v>
      </c>
      <c r="U53" s="943">
        <f ca="1">Master!X176/Master!X13</f>
        <v>2.7266836633775413</v>
      </c>
      <c r="V53" s="943">
        <f ca="1">Master!Y176/Master!Y13</f>
        <v>2.6398554874944673</v>
      </c>
      <c r="W53" s="943">
        <f ca="1">Master!Z176/Master!Z13</f>
        <v>2.49866257727101</v>
      </c>
      <c r="X53" s="943">
        <f ca="1">Master!AA176/Master!AA13</f>
        <v>2.2933913519027991</v>
      </c>
      <c r="Y53" s="943">
        <f ca="1">Master!AB176/Master!AB13</f>
        <v>2.0635024674946534</v>
      </c>
      <c r="Z53" s="943">
        <f ca="1">Master!AC176/Master!AC13</f>
        <v>1.8200656490396245</v>
      </c>
      <c r="AA53" s="928"/>
      <c r="AB53" s="928"/>
      <c r="AC53" s="928"/>
      <c r="AD53" s="928"/>
    </row>
    <row r="54" spans="1:30" ht="15">
      <c r="A54" s="917"/>
      <c r="B54" s="945"/>
      <c r="C54" s="943"/>
      <c r="D54" s="943"/>
      <c r="E54" s="932"/>
      <c r="F54" s="932"/>
      <c r="G54" s="932"/>
      <c r="H54" s="932"/>
      <c r="I54" s="932"/>
      <c r="J54" s="932"/>
      <c r="K54" s="943"/>
      <c r="L54" s="943"/>
      <c r="M54" s="943"/>
      <c r="N54" s="943"/>
      <c r="O54" s="943"/>
      <c r="P54" s="943"/>
      <c r="Q54" s="943"/>
      <c r="R54" s="943"/>
      <c r="S54" s="928"/>
      <c r="T54" s="928"/>
      <c r="U54" s="928"/>
      <c r="V54" s="928"/>
      <c r="W54" s="928"/>
      <c r="X54" s="928"/>
      <c r="Y54" s="928"/>
      <c r="Z54" s="928"/>
      <c r="AA54" s="928"/>
      <c r="AB54" s="928"/>
      <c r="AC54" s="928"/>
      <c r="AD54" s="928"/>
    </row>
    <row r="55" spans="1:30" ht="15">
      <c r="A55" s="936" t="s">
        <v>6683</v>
      </c>
      <c r="B55" s="945"/>
      <c r="C55" s="943"/>
      <c r="D55" s="943"/>
      <c r="E55" s="932"/>
      <c r="F55" s="932"/>
      <c r="G55" s="932"/>
      <c r="H55" s="932"/>
      <c r="I55" s="932"/>
      <c r="J55" s="932"/>
      <c r="K55" s="943"/>
      <c r="L55" s="943"/>
      <c r="M55" s="943"/>
      <c r="N55" s="943"/>
      <c r="O55" s="943"/>
      <c r="P55" s="943"/>
      <c r="Q55" s="943"/>
      <c r="R55" s="943"/>
      <c r="S55" s="928"/>
      <c r="T55" s="928"/>
      <c r="U55" s="928"/>
      <c r="V55" s="928"/>
      <c r="W55" s="928"/>
      <c r="X55" s="928"/>
      <c r="Y55" s="928"/>
      <c r="Z55" s="928"/>
      <c r="AA55" s="928"/>
      <c r="AB55" s="928"/>
      <c r="AC55" s="928"/>
      <c r="AD55" s="928"/>
    </row>
    <row r="56" spans="1:30" ht="15">
      <c r="A56" s="917" t="s">
        <v>530</v>
      </c>
      <c r="B56" s="945"/>
      <c r="C56" s="943"/>
      <c r="D56" s="943"/>
      <c r="E56" s="932"/>
      <c r="F56" s="932"/>
      <c r="G56" s="932"/>
      <c r="H56" s="932"/>
      <c r="I56" s="932"/>
      <c r="J56" s="932"/>
      <c r="K56" s="943"/>
      <c r="L56" s="943"/>
      <c r="M56" s="943"/>
      <c r="N56" s="943"/>
      <c r="O56" s="943"/>
      <c r="P56" s="943"/>
      <c r="Q56" s="943"/>
      <c r="R56" s="930">
        <f>R10</f>
        <v>1811.8905230769233</v>
      </c>
      <c r="S56" s="930">
        <f t="shared" ref="S56:Z56" si="23">S10</f>
        <v>1811.8905230769233</v>
      </c>
      <c r="T56" s="930">
        <f t="shared" si="23"/>
        <v>1811.8905230769233</v>
      </c>
      <c r="U56" s="930">
        <f t="shared" si="23"/>
        <v>1811.8905230769233</v>
      </c>
      <c r="V56" s="930">
        <f t="shared" si="23"/>
        <v>1811.8905230769233</v>
      </c>
      <c r="W56" s="930">
        <f t="shared" si="23"/>
        <v>1811.8905230769233</v>
      </c>
      <c r="X56" s="930">
        <f t="shared" si="23"/>
        <v>1811.8905230769233</v>
      </c>
      <c r="Y56" s="930">
        <f t="shared" si="23"/>
        <v>1811.8905230769233</v>
      </c>
      <c r="Z56" s="930">
        <f t="shared" si="23"/>
        <v>1811.8905230769233</v>
      </c>
      <c r="AA56" s="928"/>
      <c r="AB56" s="928"/>
      <c r="AC56" s="928"/>
      <c r="AD56" s="928"/>
    </row>
    <row r="57" spans="1:30" ht="15">
      <c r="A57" s="917" t="s">
        <v>6684</v>
      </c>
      <c r="B57" s="945"/>
      <c r="C57" s="943"/>
      <c r="D57" s="943"/>
      <c r="E57" s="932"/>
      <c r="F57" s="932"/>
      <c r="G57" s="932"/>
      <c r="H57" s="932"/>
      <c r="I57" s="932"/>
      <c r="J57" s="932"/>
      <c r="K57" s="943"/>
      <c r="L57" s="943"/>
      <c r="M57" s="943"/>
      <c r="N57" s="943"/>
      <c r="O57" s="943"/>
      <c r="P57" s="943"/>
      <c r="Q57" s="943"/>
      <c r="R57" s="930">
        <f>R15+SOP!$C$13*VOD!F191</f>
        <v>6959.6562257583282</v>
      </c>
      <c r="S57" s="930">
        <f>S15+SOP!$C$13*VOD!G191</f>
        <v>7507.4093502824862</v>
      </c>
      <c r="T57" s="930">
        <f ca="1">T15+SOP!$C$13*VOD!H191</f>
        <v>7817.5436436629861</v>
      </c>
      <c r="U57" s="930">
        <f ca="1">U15+SOP!$C$13*VOD!I191</f>
        <v>7588.7114265911332</v>
      </c>
      <c r="V57" s="930">
        <f ca="1">V15+SOP!$C$13*VOD!J191</f>
        <v>7150.0549998996285</v>
      </c>
      <c r="W57" s="930">
        <f ca="1">W15+SOP!$C$13*VOD!K191</f>
        <v>6702.5242762199796</v>
      </c>
      <c r="X57" s="930">
        <f ca="1">X15+SOP!$C$13*VOD!L191</f>
        <v>6231.5494398952487</v>
      </c>
      <c r="Y57" s="930">
        <f ca="1">Y15+SOP!$C$13*VOD!M191</f>
        <v>5734.9651860464774</v>
      </c>
      <c r="Z57" s="930">
        <f ca="1">Z15+SOP!$C$13*VOD!N191</f>
        <v>5218.1980523313896</v>
      </c>
      <c r="AA57" s="928"/>
      <c r="AB57" s="928"/>
      <c r="AC57" s="928"/>
      <c r="AD57" s="928"/>
    </row>
    <row r="58" spans="1:30" ht="15">
      <c r="A58" s="917" t="s">
        <v>6005</v>
      </c>
      <c r="B58" s="945"/>
      <c r="C58" s="943"/>
      <c r="D58" s="943"/>
      <c r="E58" s="932"/>
      <c r="F58" s="932"/>
      <c r="G58" s="932"/>
      <c r="H58" s="932"/>
      <c r="I58" s="932"/>
      <c r="J58" s="932"/>
      <c r="K58" s="943"/>
      <c r="L58" s="943"/>
      <c r="M58" s="943"/>
      <c r="N58" s="943"/>
      <c r="O58" s="943"/>
      <c r="P58" s="943"/>
      <c r="Q58" s="943"/>
      <c r="R58" s="930">
        <f>R16</f>
        <v>0</v>
      </c>
      <c r="S58" s="930">
        <f t="shared" ref="S58:Z58" si="24">S16</f>
        <v>0</v>
      </c>
      <c r="T58" s="930">
        <f t="shared" si="24"/>
        <v>-63.277976949411858</v>
      </c>
      <c r="U58" s="930">
        <f t="shared" si="24"/>
        <v>-125.69495427036493</v>
      </c>
      <c r="V58" s="930">
        <f t="shared" si="24"/>
        <v>-186.88806929090717</v>
      </c>
      <c r="W58" s="930">
        <f t="shared" si="24"/>
        <v>-246.88131931104661</v>
      </c>
      <c r="X58" s="930">
        <f t="shared" si="24"/>
        <v>-305.69823109549702</v>
      </c>
      <c r="Y58" s="930">
        <f t="shared" si="24"/>
        <v>-363.3618700998602</v>
      </c>
      <c r="Z58" s="930">
        <f t="shared" si="24"/>
        <v>-419.89484951590254</v>
      </c>
      <c r="AA58" s="928"/>
      <c r="AB58" s="928"/>
      <c r="AC58" s="928"/>
      <c r="AD58" s="928"/>
    </row>
    <row r="59" spans="1:30" ht="15">
      <c r="A59" s="917" t="s">
        <v>692</v>
      </c>
      <c r="B59" s="945"/>
      <c r="C59" s="943"/>
      <c r="D59" s="943"/>
      <c r="E59" s="932"/>
      <c r="F59" s="932"/>
      <c r="G59" s="932"/>
      <c r="H59" s="932"/>
      <c r="I59" s="932"/>
      <c r="J59" s="932"/>
      <c r="K59" s="943"/>
      <c r="L59" s="943"/>
      <c r="M59" s="943"/>
      <c r="N59" s="943"/>
      <c r="O59" s="943"/>
      <c r="P59" s="943"/>
      <c r="Q59" s="943"/>
      <c r="R59" s="930">
        <f>-SOP!$G$14</f>
        <v>-50</v>
      </c>
      <c r="S59" s="930">
        <f>-SOP!$G$14</f>
        <v>-50</v>
      </c>
      <c r="T59" s="930">
        <f>-SOP!$G$14</f>
        <v>-50</v>
      </c>
      <c r="U59" s="930">
        <f>-SOP!$G$14</f>
        <v>-50</v>
      </c>
      <c r="V59" s="930">
        <f>-SOP!$G$14</f>
        <v>-50</v>
      </c>
      <c r="W59" s="930">
        <f>-SOP!$G$14</f>
        <v>-50</v>
      </c>
      <c r="X59" s="930">
        <f>-SOP!$G$14</f>
        <v>-50</v>
      </c>
      <c r="Y59" s="930">
        <f>-SOP!$G$14</f>
        <v>-50</v>
      </c>
      <c r="Z59" s="930">
        <f>-SOP!$G$14</f>
        <v>-50</v>
      </c>
      <c r="AA59" s="928"/>
      <c r="AB59" s="928"/>
      <c r="AC59" s="928"/>
      <c r="AD59" s="928"/>
    </row>
    <row r="60" spans="1:30" ht="15">
      <c r="A60" s="938" t="s">
        <v>2514</v>
      </c>
      <c r="B60" s="946"/>
      <c r="C60" s="947"/>
      <c r="D60" s="947"/>
      <c r="E60" s="948"/>
      <c r="F60" s="948"/>
      <c r="G60" s="948"/>
      <c r="H60" s="948"/>
      <c r="I60" s="948"/>
      <c r="J60" s="948"/>
      <c r="K60" s="947"/>
      <c r="L60" s="947"/>
      <c r="M60" s="947"/>
      <c r="N60" s="947"/>
      <c r="O60" s="947"/>
      <c r="P60" s="947"/>
      <c r="Q60" s="947"/>
      <c r="R60" s="939">
        <f ca="1">R13</f>
        <v>522.03146293983821</v>
      </c>
      <c r="S60" s="939">
        <f t="shared" ref="S60:Z60" ca="1" si="25">S13</f>
        <v>522.03146293983821</v>
      </c>
      <c r="T60" s="939">
        <f t="shared" ca="1" si="25"/>
        <v>522.03146293983821</v>
      </c>
      <c r="U60" s="939">
        <f t="shared" ca="1" si="25"/>
        <v>522.03146293983821</v>
      </c>
      <c r="V60" s="939">
        <f t="shared" ca="1" si="25"/>
        <v>522.03146293983821</v>
      </c>
      <c r="W60" s="939">
        <f t="shared" ca="1" si="25"/>
        <v>522.03146293983821</v>
      </c>
      <c r="X60" s="939">
        <f t="shared" ca="1" si="25"/>
        <v>522.03146293983821</v>
      </c>
      <c r="Y60" s="939">
        <f t="shared" ca="1" si="25"/>
        <v>522.03146293983821</v>
      </c>
      <c r="Z60" s="939">
        <f t="shared" ca="1" si="25"/>
        <v>522.03146293983821</v>
      </c>
      <c r="AA60" s="928"/>
      <c r="AB60" s="928"/>
      <c r="AC60" s="928"/>
      <c r="AD60" s="928"/>
    </row>
    <row r="61" spans="1:30" ht="15">
      <c r="A61" s="917" t="s">
        <v>6472</v>
      </c>
      <c r="B61" s="945"/>
      <c r="C61" s="943"/>
      <c r="D61" s="943"/>
      <c r="E61" s="932"/>
      <c r="F61" s="932"/>
      <c r="G61" s="932"/>
      <c r="H61" s="932"/>
      <c r="I61" s="932"/>
      <c r="J61" s="932"/>
      <c r="K61" s="943"/>
      <c r="L61" s="943"/>
      <c r="M61" s="943"/>
      <c r="N61" s="943"/>
      <c r="O61" s="943"/>
      <c r="P61" s="943"/>
      <c r="Q61" s="943"/>
      <c r="R61" s="930">
        <f ca="1">SUM(R56:R60)</f>
        <v>9243.5782117750896</v>
      </c>
      <c r="S61" s="930">
        <f t="shared" ref="S61:Z61" ca="1" si="26">SUM(S56:S60)</f>
        <v>9791.3313362992485</v>
      </c>
      <c r="T61" s="930">
        <f t="shared" ca="1" si="26"/>
        <v>10038.187652730336</v>
      </c>
      <c r="U61" s="930">
        <f t="shared" ca="1" si="26"/>
        <v>9746.9384583375304</v>
      </c>
      <c r="V61" s="930">
        <f t="shared" ca="1" si="26"/>
        <v>9247.0889166254819</v>
      </c>
      <c r="W61" s="930">
        <f t="shared" ca="1" si="26"/>
        <v>8739.5649429256937</v>
      </c>
      <c r="X61" s="930">
        <f t="shared" ca="1" si="26"/>
        <v>8209.7731948165128</v>
      </c>
      <c r="Y61" s="930">
        <f t="shared" ca="1" si="26"/>
        <v>7655.5253019633783</v>
      </c>
      <c r="Z61" s="930">
        <f t="shared" ca="1" si="26"/>
        <v>7082.225188832248</v>
      </c>
      <c r="AA61" s="928"/>
      <c r="AB61" s="928"/>
      <c r="AC61" s="928"/>
      <c r="AD61" s="928"/>
    </row>
    <row r="62" spans="1:30" ht="15">
      <c r="A62" s="917"/>
      <c r="B62" s="945"/>
      <c r="C62" s="943"/>
      <c r="D62" s="943"/>
      <c r="E62" s="932"/>
      <c r="F62" s="932"/>
      <c r="G62" s="932"/>
      <c r="H62" s="932"/>
      <c r="I62" s="932"/>
      <c r="J62" s="932"/>
      <c r="K62" s="943"/>
      <c r="L62" s="943"/>
      <c r="M62" s="943"/>
      <c r="N62" s="943"/>
      <c r="O62" s="943"/>
      <c r="P62" s="943"/>
      <c r="Q62" s="943"/>
      <c r="R62" s="943"/>
      <c r="S62" s="943"/>
      <c r="T62" s="943"/>
      <c r="U62" s="943"/>
      <c r="V62" s="943"/>
      <c r="W62" s="943"/>
      <c r="X62" s="943"/>
      <c r="Y62" s="943"/>
      <c r="Z62" s="943"/>
      <c r="AA62" s="928"/>
      <c r="AB62" s="928"/>
      <c r="AC62" s="928"/>
      <c r="AD62" s="928"/>
    </row>
    <row r="63" spans="1:30" ht="15">
      <c r="A63" s="917" t="s">
        <v>6471</v>
      </c>
      <c r="B63" s="945"/>
      <c r="C63" s="943"/>
      <c r="D63" s="943"/>
      <c r="E63" s="932"/>
      <c r="F63" s="932"/>
      <c r="G63" s="932"/>
      <c r="H63" s="932"/>
      <c r="I63" s="932"/>
      <c r="J63" s="932"/>
      <c r="K63" s="943"/>
      <c r="L63" s="943"/>
      <c r="M63" s="943"/>
      <c r="N63" s="943"/>
      <c r="O63" s="943"/>
      <c r="P63" s="943"/>
      <c r="Q63" s="943"/>
      <c r="R63" s="930">
        <f>(Master!U73)/Master!U92+SOP!$C$13*VOD!F142</f>
        <v>2030.3175037294877</v>
      </c>
      <c r="S63" s="930">
        <f>(Master!V73)/Master!V92+SOP!$C$13*VOD!G142</f>
        <v>2095.0942372881359</v>
      </c>
      <c r="T63" s="942">
        <f>(Analysis!D3041)/Master!W92+SOP!$C$13*VOD!H142</f>
        <v>1997.7796267288236</v>
      </c>
      <c r="U63" s="942">
        <f>(Analysis!E3041)/Master!X92+SOP!$C$13*VOD!I142</f>
        <v>2067.6584938525621</v>
      </c>
      <c r="V63" s="942">
        <f>(Analysis!F3041)/Master!Y92+SOP!$C$13*VOD!J142</f>
        <v>2092.327340282462</v>
      </c>
      <c r="W63" s="942">
        <f>(Analysis!G3041)/Master!Z92+SOP!$C$13*VOD!K142</f>
        <v>2108.1435801268922</v>
      </c>
      <c r="X63" s="942">
        <f>(Analysis!H3041)/Master!AA92+SOP!$C$13*VOD!L142</f>
        <v>2124.3738648344588</v>
      </c>
      <c r="Y63" s="930">
        <f>(Master!AB73)/Master!AB92+SOP!$C$13*VOD!M142</f>
        <v>2072.576389947732</v>
      </c>
      <c r="Z63" s="930">
        <f>(Master!AC73)/Master!AC92+SOP!$C$13*VOD!N142</f>
        <v>2088.0064742922218</v>
      </c>
      <c r="AA63" s="928"/>
      <c r="AB63" s="928"/>
      <c r="AC63" s="928"/>
      <c r="AD63" s="928"/>
    </row>
    <row r="64" spans="1:30" ht="15">
      <c r="A64" s="917" t="s">
        <v>380</v>
      </c>
      <c r="B64" s="945"/>
      <c r="C64" s="943"/>
      <c r="D64" s="943"/>
      <c r="E64" s="932"/>
      <c r="F64" s="932"/>
      <c r="G64" s="932"/>
      <c r="H64" s="932"/>
      <c r="I64" s="932"/>
      <c r="J64" s="932"/>
      <c r="K64" s="943"/>
      <c r="L64" s="943"/>
      <c r="M64" s="943"/>
      <c r="N64" s="943"/>
      <c r="O64" s="943"/>
      <c r="P64" s="943"/>
      <c r="Q64" s="943"/>
      <c r="R64" s="943">
        <f ca="1">R61/R63</f>
        <v>4.5527747235570653</v>
      </c>
      <c r="S64" s="943">
        <f t="shared" ref="S64:Z64" ca="1" si="27">S61/S63</f>
        <v>4.6734562875668191</v>
      </c>
      <c r="T64" s="943">
        <f t="shared" ca="1" si="27"/>
        <v>5.0246721502345704</v>
      </c>
      <c r="U64" s="943">
        <f t="shared" ca="1" si="27"/>
        <v>4.7139982193948091</v>
      </c>
      <c r="V64" s="943">
        <f t="shared" ca="1" si="27"/>
        <v>4.4195230538722177</v>
      </c>
      <c r="W64" s="943">
        <f t="shared" ca="1" si="27"/>
        <v>4.1456213064954746</v>
      </c>
      <c r="X64" s="943">
        <f t="shared" ca="1" si="27"/>
        <v>3.8645613800451537</v>
      </c>
      <c r="Y64" s="943">
        <f t="shared" ca="1" si="27"/>
        <v>3.6937240716885915</v>
      </c>
      <c r="Z64" s="943">
        <f t="shared" ca="1" si="27"/>
        <v>3.391859783975494</v>
      </c>
      <c r="AA64" s="928"/>
      <c r="AB64" s="928"/>
      <c r="AC64" s="928"/>
      <c r="AD64" s="928"/>
    </row>
    <row r="65" spans="1:30" ht="15">
      <c r="A65" s="917"/>
      <c r="B65" s="945"/>
      <c r="C65" s="943"/>
      <c r="D65" s="943"/>
      <c r="E65" s="932"/>
      <c r="F65" s="932"/>
      <c r="G65" s="932"/>
      <c r="H65" s="932"/>
      <c r="I65" s="932"/>
      <c r="J65" s="932"/>
      <c r="K65" s="943"/>
      <c r="L65" s="943"/>
      <c r="M65" s="943"/>
      <c r="N65" s="943"/>
      <c r="O65" s="943"/>
      <c r="P65" s="943"/>
      <c r="Q65" s="943"/>
      <c r="R65" s="943"/>
      <c r="S65" s="928"/>
      <c r="T65" s="928"/>
      <c r="U65" s="928"/>
      <c r="V65" s="928"/>
      <c r="W65" s="928"/>
      <c r="X65" s="928"/>
      <c r="Y65" s="928"/>
      <c r="Z65" s="928"/>
      <c r="AA65" s="928"/>
      <c r="AB65" s="928"/>
      <c r="AC65" s="928"/>
      <c r="AD65" s="928"/>
    </row>
    <row r="66" spans="1:30" ht="15">
      <c r="A66" s="917" t="s">
        <v>1683</v>
      </c>
      <c r="B66" s="928"/>
      <c r="C66" s="928"/>
      <c r="D66" s="928"/>
      <c r="E66" s="928"/>
      <c r="F66" s="928"/>
      <c r="G66" s="928"/>
      <c r="H66" s="928"/>
      <c r="I66" s="928"/>
      <c r="J66" s="928"/>
      <c r="K66" s="928"/>
      <c r="L66" s="928"/>
      <c r="M66" s="928"/>
      <c r="N66" s="928"/>
      <c r="O66" s="928"/>
      <c r="P66" s="928"/>
      <c r="Q66" s="928"/>
      <c r="R66" s="930">
        <f>R15+SOP!$C$13*VOD!F191</f>
        <v>6959.6562257583282</v>
      </c>
      <c r="S66" s="930">
        <f>S15+SOP!$C$13*VOD!G191</f>
        <v>7507.4093502824862</v>
      </c>
      <c r="T66" s="930">
        <f ca="1">T15+SOP!$C$13*VOD!H191</f>
        <v>7817.5436436629861</v>
      </c>
      <c r="U66" s="930">
        <f ca="1">U15+SOP!$C$13*VOD!I191</f>
        <v>7588.7114265911332</v>
      </c>
      <c r="V66" s="930">
        <f ca="1">V15+SOP!$C$13*VOD!J191</f>
        <v>7150.0549998996285</v>
      </c>
      <c r="W66" s="930">
        <f ca="1">W15+SOP!$C$13*VOD!K191</f>
        <v>6702.5242762199796</v>
      </c>
      <c r="X66" s="930">
        <f ca="1">X15+SOP!$C$13*VOD!L191</f>
        <v>6231.5494398952487</v>
      </c>
      <c r="Y66" s="930">
        <f ca="1">Y15+SOP!$C$13*VOD!M191</f>
        <v>5734.9651860464774</v>
      </c>
      <c r="Z66" s="930">
        <f ca="1">Z15+SOP!$C$13*VOD!N191</f>
        <v>5218.1980523313896</v>
      </c>
      <c r="AA66" s="928"/>
      <c r="AB66" s="928"/>
      <c r="AC66" s="928"/>
      <c r="AD66" s="928"/>
    </row>
    <row r="67" spans="1:30" ht="15">
      <c r="A67" s="917" t="s">
        <v>1684</v>
      </c>
      <c r="B67" s="928"/>
      <c r="C67" s="928"/>
      <c r="D67" s="928"/>
      <c r="E67" s="928"/>
      <c r="F67" s="928"/>
      <c r="G67" s="928"/>
      <c r="H67" s="928"/>
      <c r="I67" s="928"/>
      <c r="J67" s="928"/>
      <c r="K67" s="928"/>
      <c r="L67" s="928"/>
      <c r="M67" s="928"/>
      <c r="N67" s="928"/>
      <c r="O67" s="928"/>
      <c r="P67" s="928"/>
      <c r="Q67" s="928"/>
      <c r="R67" s="930">
        <f>R24+SOP!$C$13*VOD!F142</f>
        <v>2030.3175037294877</v>
      </c>
      <c r="S67" s="930">
        <f>S24+SOP!$C$13*VOD!G142</f>
        <v>2095.0942372881359</v>
      </c>
      <c r="T67" s="930">
        <f>T24+SOP!$C$13*VOD!H142</f>
        <v>1997.7796267288236</v>
      </c>
      <c r="U67" s="930">
        <f>U24+SOP!$C$13*VOD!I142</f>
        <v>2067.6584938525621</v>
      </c>
      <c r="V67" s="930">
        <f>V24+SOP!$C$13*VOD!J142</f>
        <v>2092.327340282462</v>
      </c>
      <c r="W67" s="930">
        <f>W24+SOP!$C$13*VOD!K142</f>
        <v>2108.1435801268922</v>
      </c>
      <c r="X67" s="930">
        <f>X24+SOP!$C$13*VOD!L142</f>
        <v>2124.3738648344588</v>
      </c>
      <c r="Y67" s="930">
        <f>Y24+SOP!$C$13*VOD!M142</f>
        <v>2132.6347241111775</v>
      </c>
      <c r="Z67" s="930">
        <f>Z24+SOP!$C$13*VOD!N142</f>
        <v>2141.1928437182282</v>
      </c>
      <c r="AA67" s="928"/>
      <c r="AB67" s="928"/>
      <c r="AC67" s="928"/>
      <c r="AD67" s="928"/>
    </row>
    <row r="68" spans="1:30" ht="15">
      <c r="A68" s="917" t="s">
        <v>6979</v>
      </c>
      <c r="B68" s="928"/>
      <c r="C68" s="928"/>
      <c r="D68" s="928"/>
      <c r="E68" s="928"/>
      <c r="F68" s="928"/>
      <c r="G68" s="928"/>
      <c r="H68" s="928"/>
      <c r="I68" s="928"/>
      <c r="J68" s="928"/>
      <c r="K68" s="928"/>
      <c r="L68" s="928"/>
      <c r="M68" s="928"/>
      <c r="N68" s="928"/>
      <c r="O68" s="928"/>
      <c r="P68" s="928"/>
      <c r="Q68" s="928"/>
      <c r="R68" s="943">
        <f>R66/R67</f>
        <v>3.4278659436143086</v>
      </c>
      <c r="S68" s="943">
        <f t="shared" ref="S68:Z68" si="28">S66/S67</f>
        <v>3.5833277647691801</v>
      </c>
      <c r="T68" s="943">
        <f t="shared" ca="1" si="28"/>
        <v>3.9131161110414761</v>
      </c>
      <c r="U68" s="943">
        <f t="shared" ca="1" si="28"/>
        <v>3.6701957548373842</v>
      </c>
      <c r="V68" s="943">
        <f t="shared" ca="1" si="28"/>
        <v>3.4172736083133044</v>
      </c>
      <c r="W68" s="943">
        <f t="shared" ca="1" si="28"/>
        <v>3.1793490440610999</v>
      </c>
      <c r="X68" s="943">
        <f t="shared" ca="1" si="28"/>
        <v>2.9333581734591903</v>
      </c>
      <c r="Y68" s="943">
        <f t="shared" ca="1" si="28"/>
        <v>2.6891455537171987</v>
      </c>
      <c r="Z68" s="943">
        <f t="shared" ca="1" si="28"/>
        <v>2.4370518833184005</v>
      </c>
      <c r="AA68" s="928"/>
      <c r="AB68" s="928"/>
      <c r="AC68" s="928"/>
      <c r="AD68" s="928"/>
    </row>
    <row r="69" spans="1:30" ht="15">
      <c r="A69" s="928"/>
      <c r="B69" s="928"/>
      <c r="C69" s="928"/>
      <c r="D69" s="928"/>
      <c r="E69" s="928"/>
      <c r="F69" s="928"/>
      <c r="G69" s="928"/>
      <c r="H69" s="928"/>
      <c r="I69" s="928"/>
      <c r="J69" s="928"/>
      <c r="K69" s="928"/>
      <c r="L69" s="928"/>
      <c r="M69" s="928"/>
      <c r="N69" s="928"/>
      <c r="O69" s="928"/>
      <c r="P69" s="928"/>
      <c r="Q69" s="928"/>
      <c r="R69" s="928"/>
      <c r="S69" s="928"/>
      <c r="T69" s="928"/>
      <c r="U69" s="928"/>
      <c r="V69" s="928"/>
      <c r="W69" s="928"/>
      <c r="X69" s="928"/>
      <c r="Y69" s="928"/>
      <c r="Z69" s="928"/>
      <c r="AA69" s="928"/>
      <c r="AB69" s="928"/>
      <c r="AC69" s="928"/>
      <c r="AD69" s="928"/>
    </row>
    <row r="70" spans="1:30" ht="15">
      <c r="A70" s="928"/>
      <c r="B70" s="928"/>
      <c r="C70" s="928"/>
      <c r="D70" s="928"/>
      <c r="E70" s="928"/>
      <c r="F70" s="928"/>
      <c r="G70" s="928"/>
      <c r="H70" s="928"/>
      <c r="I70" s="928"/>
      <c r="J70" s="928"/>
      <c r="K70" s="928"/>
      <c r="L70" s="928"/>
      <c r="M70" s="928"/>
      <c r="N70" s="928"/>
      <c r="O70" s="928"/>
      <c r="P70" s="928"/>
      <c r="Q70" s="928"/>
      <c r="R70" s="928"/>
      <c r="S70" s="928"/>
      <c r="T70" s="928"/>
      <c r="U70" s="928"/>
      <c r="V70" s="928"/>
      <c r="W70" s="928"/>
      <c r="X70" s="928"/>
      <c r="Y70" s="928"/>
      <c r="Z70" s="928"/>
      <c r="AA70" s="928"/>
      <c r="AB70" s="928"/>
      <c r="AC70" s="928"/>
      <c r="AD70" s="928"/>
    </row>
    <row r="71" spans="1:30" ht="15">
      <c r="A71" s="928"/>
      <c r="B71" s="928"/>
      <c r="C71" s="928"/>
      <c r="D71" s="92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928"/>
      <c r="AC71" s="928"/>
      <c r="AD71" s="928"/>
    </row>
    <row r="72" spans="1:30" ht="15">
      <c r="A72" s="928"/>
      <c r="B72" s="928"/>
      <c r="C72" s="928"/>
      <c r="D72" s="928"/>
      <c r="E72" s="928"/>
      <c r="F72" s="928"/>
      <c r="G72" s="928"/>
      <c r="H72" s="928"/>
      <c r="I72" s="928"/>
      <c r="J72" s="928"/>
      <c r="K72" s="928"/>
      <c r="L72" s="928"/>
      <c r="M72" s="928"/>
      <c r="N72" s="928"/>
      <c r="O72" s="928"/>
      <c r="P72" s="928"/>
      <c r="Q72" s="928"/>
      <c r="R72" s="928"/>
      <c r="S72" s="928"/>
      <c r="T72" s="928"/>
      <c r="U72" s="928"/>
      <c r="V72" s="928"/>
      <c r="W72" s="928"/>
      <c r="X72" s="928"/>
      <c r="Y72" s="928"/>
      <c r="Z72" s="928"/>
      <c r="AA72" s="928"/>
      <c r="AB72" s="928"/>
      <c r="AC72" s="928"/>
      <c r="AD72" s="928"/>
    </row>
    <row r="73" spans="1:30" ht="15">
      <c r="A73" s="928"/>
      <c r="B73" s="928"/>
      <c r="C73" s="928"/>
      <c r="D73" s="928"/>
      <c r="E73" s="928"/>
      <c r="F73" s="928"/>
      <c r="G73" s="928"/>
      <c r="H73" s="928"/>
      <c r="I73" s="928"/>
      <c r="J73" s="928"/>
      <c r="K73" s="928"/>
      <c r="L73" s="928"/>
      <c r="M73" s="928"/>
      <c r="N73" s="928"/>
      <c r="O73" s="928"/>
      <c r="P73" s="928"/>
      <c r="Q73" s="928"/>
      <c r="R73" s="928"/>
      <c r="S73" s="928"/>
      <c r="T73" s="928"/>
      <c r="U73" s="928"/>
      <c r="V73" s="928"/>
      <c r="W73" s="928"/>
      <c r="X73" s="928"/>
      <c r="Y73" s="928"/>
      <c r="Z73" s="928"/>
      <c r="AA73" s="928"/>
      <c r="AB73" s="928"/>
      <c r="AC73" s="928"/>
      <c r="AD73" s="928"/>
    </row>
    <row r="74" spans="1:30" ht="15">
      <c r="A74" s="928"/>
      <c r="B74" s="928"/>
      <c r="C74" s="928"/>
      <c r="D74" s="928"/>
      <c r="E74" s="928"/>
      <c r="F74" s="928"/>
      <c r="G74" s="928"/>
      <c r="H74" s="928"/>
      <c r="I74" s="928"/>
      <c r="J74" s="928"/>
      <c r="K74" s="928"/>
      <c r="L74" s="928"/>
      <c r="M74" s="928"/>
      <c r="N74" s="928"/>
      <c r="O74" s="928"/>
      <c r="P74" s="928"/>
      <c r="Q74" s="928"/>
      <c r="R74" s="928"/>
      <c r="S74" s="928"/>
      <c r="T74" s="928"/>
      <c r="U74" s="928"/>
      <c r="V74" s="928"/>
      <c r="W74" s="928"/>
      <c r="X74" s="928"/>
      <c r="Y74" s="928"/>
      <c r="Z74" s="928"/>
      <c r="AA74" s="928"/>
      <c r="AB74" s="928"/>
      <c r="AC74" s="928"/>
      <c r="AD74" s="928"/>
    </row>
    <row r="75" spans="1:30" ht="15">
      <c r="A75" s="928"/>
      <c r="B75" s="928"/>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row>
    <row r="76" spans="1:30" ht="15">
      <c r="A76" s="928"/>
      <c r="B76" s="928"/>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row>
    <row r="77" spans="1:30" ht="15">
      <c r="A77" s="928"/>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row>
    <row r="78" spans="1:30" ht="15">
      <c r="A78" s="928"/>
      <c r="B78" s="928"/>
      <c r="C78" s="928"/>
      <c r="D78" s="928"/>
      <c r="E78" s="928"/>
      <c r="F78" s="928"/>
      <c r="G78" s="928"/>
      <c r="H78" s="928"/>
      <c r="I78" s="928"/>
      <c r="J78" s="928"/>
      <c r="K78" s="928"/>
      <c r="L78" s="928"/>
      <c r="M78" s="928"/>
      <c r="N78" s="928"/>
      <c r="O78" s="928"/>
      <c r="P78" s="928"/>
      <c r="Q78" s="928"/>
      <c r="R78" s="928"/>
      <c r="S78" s="928"/>
      <c r="T78" s="928"/>
      <c r="U78" s="928"/>
      <c r="V78" s="928"/>
      <c r="W78" s="928"/>
      <c r="X78" s="928"/>
      <c r="Y78" s="928"/>
      <c r="Z78" s="928"/>
      <c r="AA78" s="928"/>
      <c r="AB78" s="928"/>
      <c r="AC78" s="928"/>
      <c r="AD78" s="928"/>
    </row>
    <row r="79" spans="1:30" ht="15">
      <c r="A79" s="928"/>
      <c r="B79" s="928"/>
      <c r="C79" s="928"/>
      <c r="D79" s="928"/>
      <c r="E79" s="928"/>
      <c r="F79" s="928"/>
      <c r="G79" s="928"/>
      <c r="H79" s="928"/>
      <c r="I79" s="928"/>
      <c r="J79" s="928"/>
      <c r="K79" s="928"/>
      <c r="L79" s="928"/>
      <c r="M79" s="928"/>
      <c r="N79" s="928"/>
      <c r="O79" s="928"/>
      <c r="P79" s="928"/>
      <c r="Q79" s="928"/>
      <c r="R79" s="928"/>
      <c r="S79" s="928"/>
      <c r="T79" s="928"/>
      <c r="U79" s="928"/>
      <c r="V79" s="928"/>
      <c r="W79" s="928"/>
      <c r="X79" s="928"/>
      <c r="Y79" s="928"/>
      <c r="Z79" s="928"/>
      <c r="AA79" s="928"/>
      <c r="AB79" s="928"/>
      <c r="AC79" s="928"/>
      <c r="AD79" s="928"/>
    </row>
    <row r="80" spans="1:30" ht="15">
      <c r="A80" s="928"/>
      <c r="B80" s="928"/>
      <c r="C80" s="928"/>
      <c r="D80" s="928"/>
      <c r="E80" s="928"/>
      <c r="F80" s="928"/>
      <c r="G80" s="928"/>
      <c r="H80" s="928"/>
      <c r="I80" s="928"/>
      <c r="J80" s="928"/>
      <c r="K80" s="928"/>
      <c r="L80" s="928"/>
      <c r="M80" s="928"/>
      <c r="N80" s="928"/>
      <c r="O80" s="928"/>
      <c r="P80" s="928"/>
      <c r="Q80" s="928"/>
      <c r="R80" s="928"/>
      <c r="S80" s="928"/>
      <c r="T80" s="928"/>
      <c r="U80" s="928"/>
      <c r="V80" s="928"/>
      <c r="W80" s="928"/>
      <c r="X80" s="928"/>
      <c r="Y80" s="928"/>
      <c r="Z80" s="928"/>
      <c r="AA80" s="928"/>
      <c r="AB80" s="928"/>
      <c r="AC80" s="928"/>
      <c r="AD80" s="928"/>
    </row>
    <row r="81" spans="1:30" ht="15">
      <c r="A81" s="928"/>
      <c r="B81" s="928"/>
      <c r="C81" s="928"/>
      <c r="D81" s="928"/>
      <c r="E81" s="928"/>
      <c r="F81" s="928"/>
      <c r="G81" s="928"/>
      <c r="H81" s="928"/>
      <c r="I81" s="928"/>
      <c r="J81" s="928"/>
      <c r="K81" s="928"/>
      <c r="L81" s="928"/>
      <c r="M81" s="928"/>
      <c r="N81" s="928"/>
      <c r="O81" s="928"/>
      <c r="P81" s="928"/>
      <c r="Q81" s="928"/>
      <c r="R81" s="928"/>
      <c r="S81" s="928"/>
      <c r="T81" s="928"/>
      <c r="U81" s="928"/>
      <c r="V81" s="928"/>
      <c r="W81" s="928"/>
      <c r="X81" s="928"/>
      <c r="Y81" s="928"/>
      <c r="Z81" s="928"/>
      <c r="AA81" s="928"/>
      <c r="AB81" s="928"/>
      <c r="AC81" s="928"/>
      <c r="AD81" s="928"/>
    </row>
    <row r="82" spans="1:30" ht="15">
      <c r="A82" s="928"/>
      <c r="B82" s="928"/>
      <c r="C82" s="928"/>
      <c r="D82" s="928"/>
      <c r="E82" s="928"/>
      <c r="F82" s="928"/>
      <c r="G82" s="928"/>
      <c r="H82" s="928"/>
      <c r="I82" s="928"/>
      <c r="J82" s="928"/>
      <c r="K82" s="928"/>
      <c r="L82" s="928"/>
      <c r="M82" s="928"/>
      <c r="N82" s="928"/>
      <c r="O82" s="928"/>
      <c r="P82" s="928"/>
      <c r="Q82" s="928"/>
      <c r="R82" s="928"/>
      <c r="S82" s="928"/>
      <c r="T82" s="928"/>
      <c r="U82" s="928"/>
      <c r="V82" s="928"/>
      <c r="W82" s="928"/>
      <c r="X82" s="928"/>
      <c r="Y82" s="928"/>
      <c r="Z82" s="928"/>
      <c r="AA82" s="928"/>
      <c r="AB82" s="928"/>
      <c r="AC82" s="928"/>
      <c r="AD82" s="928"/>
    </row>
    <row r="83" spans="1:30" ht="15">
      <c r="A83" s="928"/>
      <c r="B83" s="928"/>
      <c r="C83" s="928"/>
      <c r="D83" s="928"/>
      <c r="E83" s="928"/>
      <c r="F83" s="928"/>
      <c r="G83" s="928"/>
      <c r="H83" s="928"/>
      <c r="I83" s="928"/>
      <c r="J83" s="928"/>
      <c r="K83" s="928"/>
      <c r="L83" s="928"/>
      <c r="M83" s="928"/>
      <c r="N83" s="928"/>
      <c r="O83" s="928"/>
      <c r="P83" s="928"/>
      <c r="Q83" s="928"/>
      <c r="R83" s="928"/>
      <c r="S83" s="928"/>
      <c r="T83" s="928"/>
      <c r="U83" s="928"/>
      <c r="V83" s="928"/>
      <c r="W83" s="928"/>
      <c r="X83" s="928"/>
      <c r="Y83" s="928"/>
      <c r="Z83" s="928"/>
      <c r="AA83" s="928"/>
      <c r="AB83" s="928"/>
      <c r="AC83" s="928"/>
      <c r="AD83" s="928"/>
    </row>
    <row r="84" spans="1:30" ht="15">
      <c r="A84" s="928"/>
      <c r="B84" s="928"/>
      <c r="C84" s="928"/>
      <c r="D84" s="928"/>
      <c r="E84" s="928"/>
      <c r="F84" s="928"/>
      <c r="G84" s="928"/>
      <c r="H84" s="928"/>
      <c r="I84" s="928"/>
      <c r="J84" s="928"/>
      <c r="K84" s="928"/>
      <c r="L84" s="928"/>
      <c r="M84" s="928"/>
      <c r="N84" s="928"/>
      <c r="O84" s="928"/>
      <c r="P84" s="928"/>
      <c r="Q84" s="928"/>
      <c r="R84" s="928"/>
      <c r="S84" s="928"/>
      <c r="T84" s="928"/>
      <c r="U84" s="928"/>
      <c r="V84" s="928"/>
      <c r="W84" s="928"/>
      <c r="X84" s="928"/>
      <c r="Y84" s="928"/>
      <c r="Z84" s="928"/>
      <c r="AA84" s="928"/>
      <c r="AB84" s="928"/>
      <c r="AC84" s="928"/>
      <c r="AD84" s="928"/>
    </row>
    <row r="85" spans="1:30" ht="15">
      <c r="A85" s="928"/>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row>
    <row r="121" spans="1:15" ht="15">
      <c r="A121" s="55"/>
      <c r="B121" s="60"/>
      <c r="C121" s="58"/>
      <c r="D121" s="58"/>
      <c r="E121" s="58"/>
      <c r="F121" s="58"/>
      <c r="G121" s="58"/>
      <c r="H121" s="58"/>
      <c r="I121" s="58"/>
      <c r="J121" s="58"/>
      <c r="K121" s="58"/>
      <c r="L121" s="58"/>
      <c r="M121" s="58"/>
      <c r="N121" s="58"/>
      <c r="O121" s="54"/>
    </row>
    <row r="122" spans="1:15" ht="15">
      <c r="A122" s="55"/>
      <c r="B122" s="60"/>
      <c r="C122" s="58"/>
      <c r="D122" s="58"/>
      <c r="E122" s="58"/>
      <c r="F122" s="58"/>
      <c r="G122" s="58"/>
      <c r="H122" s="58"/>
      <c r="I122" s="58"/>
      <c r="J122" s="58"/>
      <c r="K122" s="58"/>
      <c r="L122" s="58"/>
      <c r="M122" s="58"/>
      <c r="N122" s="58"/>
      <c r="O122" s="54"/>
    </row>
    <row r="123" spans="1:15" ht="15">
      <c r="A123" s="55"/>
      <c r="B123" s="60"/>
      <c r="C123" s="58"/>
      <c r="D123" s="58"/>
      <c r="E123" s="58"/>
      <c r="F123" s="58"/>
      <c r="G123" s="58"/>
      <c r="H123" s="58"/>
      <c r="I123" s="58"/>
      <c r="J123" s="58"/>
      <c r="K123" s="58"/>
      <c r="L123" s="58"/>
      <c r="M123" s="58"/>
      <c r="N123" s="58"/>
      <c r="O123" s="54"/>
    </row>
    <row r="124" spans="1:15" ht="15">
      <c r="A124" s="55"/>
      <c r="B124" s="60"/>
      <c r="C124" s="58"/>
      <c r="D124" s="58"/>
      <c r="E124" s="58"/>
      <c r="F124" s="58"/>
      <c r="G124" s="58"/>
      <c r="H124" s="58"/>
      <c r="I124" s="58"/>
      <c r="J124" s="58"/>
      <c r="K124" s="58"/>
      <c r="L124" s="58"/>
      <c r="M124" s="58"/>
      <c r="N124" s="58"/>
      <c r="O124" s="54"/>
    </row>
    <row r="125" spans="1:15" ht="15">
      <c r="A125" s="55"/>
      <c r="B125" s="60"/>
      <c r="C125" s="58"/>
      <c r="D125" s="58"/>
      <c r="E125" s="58"/>
      <c r="F125" s="58"/>
      <c r="G125" s="58"/>
      <c r="H125" s="58"/>
      <c r="I125" s="58"/>
      <c r="J125" s="58"/>
      <c r="K125" s="58"/>
      <c r="L125" s="58"/>
      <c r="M125" s="58"/>
      <c r="N125" s="58"/>
      <c r="O125" s="54"/>
    </row>
    <row r="126" spans="1:15" ht="15">
      <c r="A126" s="55"/>
      <c r="B126" s="60"/>
      <c r="C126" s="58"/>
      <c r="D126" s="58"/>
      <c r="E126" s="58"/>
      <c r="F126" s="58"/>
      <c r="G126" s="58"/>
      <c r="H126" s="58"/>
      <c r="I126" s="58"/>
      <c r="J126" s="58"/>
      <c r="K126" s="58"/>
      <c r="L126" s="58"/>
      <c r="M126" s="58"/>
      <c r="N126" s="58"/>
      <c r="O126" s="54"/>
    </row>
    <row r="127" spans="1:15" ht="15">
      <c r="A127" s="55"/>
      <c r="B127" s="60"/>
      <c r="C127" s="58"/>
      <c r="D127" s="58"/>
      <c r="E127" s="58"/>
      <c r="F127" s="58"/>
      <c r="G127" s="58"/>
      <c r="H127" s="58"/>
      <c r="I127" s="58"/>
      <c r="J127" s="58"/>
      <c r="K127" s="58"/>
      <c r="L127" s="58"/>
      <c r="M127" s="58"/>
      <c r="N127" s="58"/>
      <c r="O127" s="54"/>
    </row>
    <row r="128" spans="1:15" ht="15">
      <c r="A128" s="55"/>
      <c r="B128" s="60"/>
      <c r="C128" s="58"/>
      <c r="D128" s="58"/>
      <c r="E128" s="58"/>
      <c r="F128" s="58"/>
      <c r="G128" s="58"/>
      <c r="H128" s="58"/>
      <c r="I128" s="58"/>
      <c r="J128" s="58"/>
      <c r="K128" s="58"/>
      <c r="L128" s="58"/>
      <c r="M128" s="58"/>
      <c r="N128" s="58"/>
      <c r="O128" s="54"/>
    </row>
    <row r="129" spans="1:15" ht="15">
      <c r="A129" s="55"/>
      <c r="B129" s="60"/>
      <c r="C129" s="58"/>
      <c r="D129" s="58"/>
      <c r="E129" s="58"/>
      <c r="F129" s="58"/>
      <c r="G129" s="58"/>
      <c r="H129" s="58"/>
      <c r="I129" s="58"/>
      <c r="J129" s="58"/>
      <c r="K129" s="58"/>
      <c r="L129" s="58"/>
      <c r="M129" s="58"/>
      <c r="N129" s="58"/>
      <c r="O129" s="54"/>
    </row>
    <row r="130" spans="1:15" ht="15">
      <c r="A130" s="55"/>
      <c r="B130" s="60"/>
      <c r="C130" s="58"/>
      <c r="D130" s="58"/>
      <c r="E130" s="58"/>
      <c r="F130" s="58"/>
      <c r="G130" s="58"/>
      <c r="H130" s="58"/>
      <c r="I130" s="58"/>
      <c r="J130" s="58"/>
      <c r="K130" s="58"/>
      <c r="L130" s="58"/>
      <c r="M130" s="58"/>
      <c r="N130" s="58"/>
      <c r="O130" s="54"/>
    </row>
    <row r="131" spans="1:15" ht="15">
      <c r="A131" s="55"/>
      <c r="B131" s="60"/>
      <c r="C131" s="58"/>
      <c r="D131" s="58"/>
      <c r="E131" s="58"/>
      <c r="F131" s="58"/>
      <c r="G131" s="58"/>
      <c r="H131" s="58"/>
      <c r="I131" s="58"/>
      <c r="J131" s="58"/>
      <c r="K131" s="58"/>
      <c r="L131" s="58"/>
      <c r="M131" s="58"/>
      <c r="N131" s="58"/>
      <c r="O131" s="54"/>
    </row>
    <row r="132" spans="1:15" ht="15">
      <c r="A132" s="55"/>
      <c r="B132" s="60"/>
      <c r="C132" s="58"/>
      <c r="D132" s="58"/>
      <c r="E132" s="58"/>
      <c r="F132" s="58"/>
      <c r="G132" s="58"/>
      <c r="H132" s="58"/>
      <c r="I132" s="58"/>
      <c r="J132" s="58"/>
      <c r="K132" s="58"/>
      <c r="L132" s="58"/>
      <c r="M132" s="58"/>
      <c r="N132" s="58"/>
      <c r="O132" s="54"/>
    </row>
    <row r="133" spans="1:15" ht="15">
      <c r="A133" s="55"/>
      <c r="B133" s="60"/>
      <c r="C133" s="58"/>
      <c r="D133" s="58"/>
      <c r="E133" s="58"/>
      <c r="F133" s="58"/>
      <c r="G133" s="58"/>
      <c r="H133" s="58"/>
      <c r="I133" s="58"/>
      <c r="J133" s="58"/>
      <c r="K133" s="58"/>
      <c r="L133" s="58"/>
      <c r="M133" s="58"/>
      <c r="N133" s="58"/>
      <c r="O133" s="54"/>
    </row>
    <row r="134" spans="1:15" ht="15">
      <c r="A134" s="55"/>
      <c r="B134" s="60"/>
      <c r="C134" s="58"/>
      <c r="D134" s="58"/>
      <c r="E134" s="58"/>
      <c r="F134" s="58"/>
      <c r="G134" s="58"/>
      <c r="H134" s="58"/>
      <c r="I134" s="58"/>
      <c r="J134" s="58"/>
      <c r="K134" s="58"/>
      <c r="L134" s="58"/>
      <c r="M134" s="58"/>
      <c r="N134" s="58"/>
      <c r="O134" s="54"/>
    </row>
    <row r="135" spans="1:15" ht="15">
      <c r="A135" s="55"/>
      <c r="B135" s="60"/>
      <c r="C135" s="58"/>
      <c r="D135" s="58"/>
      <c r="E135" s="58"/>
      <c r="F135" s="58"/>
      <c r="G135" s="58"/>
      <c r="H135" s="58"/>
      <c r="I135" s="58"/>
      <c r="J135" s="58"/>
      <c r="K135" s="58"/>
      <c r="L135" s="58"/>
      <c r="M135" s="58"/>
      <c r="N135" s="58"/>
      <c r="O135" s="54"/>
    </row>
    <row r="136" spans="1:15" ht="15">
      <c r="A136" s="55"/>
      <c r="B136" s="60"/>
      <c r="C136" s="58"/>
      <c r="D136" s="58"/>
      <c r="E136" s="58"/>
      <c r="F136" s="58"/>
      <c r="G136" s="58"/>
      <c r="H136" s="58"/>
      <c r="I136" s="58"/>
      <c r="J136" s="58"/>
      <c r="K136" s="58"/>
      <c r="L136" s="58"/>
      <c r="M136" s="58"/>
      <c r="N136" s="58"/>
      <c r="O136" s="54"/>
    </row>
    <row r="137" spans="1:15" ht="15">
      <c r="A137" s="55"/>
      <c r="B137" s="60"/>
      <c r="C137" s="58"/>
      <c r="D137" s="58"/>
      <c r="E137" s="58"/>
      <c r="F137" s="58"/>
      <c r="G137" s="58"/>
      <c r="H137" s="58"/>
      <c r="I137" s="58"/>
      <c r="J137" s="58"/>
      <c r="K137" s="58"/>
      <c r="L137" s="58"/>
      <c r="M137" s="58"/>
      <c r="N137" s="58"/>
      <c r="O137" s="54"/>
    </row>
    <row r="138" spans="1:15" ht="15">
      <c r="A138" s="55"/>
      <c r="B138" s="60"/>
      <c r="C138" s="58"/>
      <c r="D138" s="58"/>
      <c r="E138" s="58"/>
      <c r="F138" s="58"/>
      <c r="G138" s="58"/>
      <c r="H138" s="58"/>
      <c r="I138" s="58"/>
      <c r="J138" s="58"/>
      <c r="K138" s="58"/>
      <c r="L138" s="58"/>
      <c r="M138" s="58"/>
      <c r="N138" s="58"/>
      <c r="O138" s="54"/>
    </row>
    <row r="139" spans="1:15" ht="15">
      <c r="A139" s="55"/>
      <c r="B139" s="60"/>
      <c r="C139" s="58"/>
      <c r="D139" s="58"/>
      <c r="E139" s="58"/>
      <c r="F139" s="58"/>
      <c r="G139" s="58"/>
      <c r="H139" s="58"/>
      <c r="I139" s="58"/>
      <c r="J139" s="58"/>
      <c r="K139" s="58"/>
      <c r="L139" s="58"/>
      <c r="M139" s="58"/>
      <c r="N139" s="58"/>
      <c r="O139" s="54"/>
    </row>
    <row r="140" spans="1:15" ht="15">
      <c r="A140" s="55"/>
      <c r="B140" s="60"/>
      <c r="C140" s="58"/>
      <c r="D140" s="58"/>
      <c r="E140" s="58"/>
      <c r="F140" s="58"/>
      <c r="G140" s="58"/>
      <c r="H140" s="58"/>
      <c r="I140" s="58"/>
      <c r="J140" s="58"/>
      <c r="K140" s="58"/>
      <c r="L140" s="58"/>
      <c r="M140" s="58"/>
      <c r="N140" s="58"/>
      <c r="O140" s="54"/>
    </row>
    <row r="141" spans="1:15" ht="15">
      <c r="A141" s="55"/>
      <c r="B141" s="60"/>
      <c r="C141" s="58"/>
      <c r="D141" s="58"/>
      <c r="E141" s="58"/>
      <c r="F141" s="58"/>
      <c r="G141" s="58"/>
      <c r="H141" s="58"/>
      <c r="I141" s="58"/>
      <c r="J141" s="58"/>
      <c r="K141" s="58"/>
      <c r="L141" s="58"/>
      <c r="M141" s="58"/>
      <c r="N141" s="58"/>
      <c r="O141" s="54"/>
    </row>
    <row r="142" spans="1:15" ht="15">
      <c r="A142" s="55"/>
      <c r="B142" s="60"/>
      <c r="C142" s="58"/>
      <c r="D142" s="58"/>
      <c r="E142" s="58"/>
      <c r="F142" s="58"/>
      <c r="G142" s="58"/>
      <c r="H142" s="58"/>
      <c r="I142" s="58"/>
      <c r="J142" s="58"/>
      <c r="K142" s="58"/>
      <c r="L142" s="58"/>
      <c r="M142" s="58"/>
      <c r="N142" s="58"/>
      <c r="O142" s="54"/>
    </row>
    <row r="143" spans="1:15" ht="15">
      <c r="A143" s="55"/>
      <c r="B143" s="60"/>
      <c r="C143" s="58"/>
      <c r="D143" s="58"/>
      <c r="E143" s="58"/>
      <c r="F143" s="58"/>
      <c r="G143" s="58"/>
      <c r="H143" s="58"/>
      <c r="I143" s="58"/>
      <c r="J143" s="58"/>
      <c r="K143" s="58"/>
      <c r="L143" s="58"/>
      <c r="M143" s="58"/>
      <c r="N143" s="58"/>
    </row>
    <row r="144" spans="1:15" ht="15">
      <c r="A144" s="55"/>
      <c r="B144" s="60"/>
      <c r="C144" s="58"/>
      <c r="D144" s="58"/>
      <c r="E144" s="58"/>
      <c r="F144" s="58"/>
      <c r="G144" s="58"/>
      <c r="H144" s="58"/>
      <c r="I144" s="58"/>
      <c r="J144" s="58"/>
      <c r="K144" s="58"/>
      <c r="L144" s="58"/>
      <c r="M144" s="58"/>
      <c r="N144" s="58"/>
    </row>
    <row r="145" spans="1:14" ht="15">
      <c r="A145" s="55"/>
      <c r="B145" s="60"/>
      <c r="C145" s="58"/>
      <c r="D145" s="58"/>
      <c r="E145" s="58"/>
      <c r="F145" s="58"/>
      <c r="G145" s="58"/>
      <c r="H145" s="58"/>
      <c r="I145" s="58"/>
      <c r="J145" s="58"/>
      <c r="K145" s="58"/>
      <c r="L145" s="58"/>
      <c r="M145" s="58"/>
      <c r="N145" s="58"/>
    </row>
    <row r="146" spans="1:14" ht="15">
      <c r="A146" s="55"/>
      <c r="B146" s="60"/>
      <c r="C146" s="58"/>
      <c r="D146" s="58"/>
      <c r="E146" s="58"/>
      <c r="F146" s="58"/>
      <c r="G146" s="58"/>
      <c r="H146" s="58"/>
      <c r="I146" s="58"/>
      <c r="J146" s="58"/>
      <c r="K146" s="58"/>
      <c r="L146" s="58"/>
      <c r="M146" s="58"/>
      <c r="N146" s="58"/>
    </row>
    <row r="147" spans="1:14" ht="15">
      <c r="A147" s="55"/>
      <c r="B147" s="60"/>
      <c r="C147" s="58"/>
      <c r="D147" s="58"/>
      <c r="E147" s="58"/>
      <c r="F147" s="58"/>
      <c r="G147" s="58"/>
      <c r="H147" s="58"/>
      <c r="I147" s="58"/>
      <c r="J147" s="58"/>
      <c r="K147" s="58"/>
      <c r="L147" s="58"/>
      <c r="M147" s="58"/>
      <c r="N147" s="58"/>
    </row>
    <row r="148" spans="1:14" ht="15">
      <c r="A148" s="55"/>
      <c r="B148" s="60"/>
      <c r="C148" s="58"/>
      <c r="D148" s="58"/>
      <c r="E148" s="58"/>
      <c r="F148" s="58"/>
      <c r="G148" s="58"/>
      <c r="H148" s="58"/>
      <c r="I148" s="58"/>
      <c r="J148" s="58"/>
      <c r="K148" s="58"/>
      <c r="L148" s="58"/>
      <c r="M148" s="58"/>
      <c r="N148" s="58"/>
    </row>
    <row r="149" spans="1:14" ht="15">
      <c r="A149" s="55"/>
      <c r="B149" s="60"/>
      <c r="C149" s="58"/>
      <c r="D149" s="58"/>
      <c r="E149" s="58"/>
      <c r="F149" s="58"/>
      <c r="G149" s="58"/>
      <c r="H149" s="58"/>
      <c r="I149" s="58"/>
      <c r="J149" s="58"/>
      <c r="K149" s="58"/>
      <c r="L149" s="58"/>
      <c r="M149" s="58"/>
      <c r="N149" s="58"/>
    </row>
    <row r="150" spans="1:14" ht="15">
      <c r="A150" s="55"/>
      <c r="B150" s="60"/>
      <c r="C150" s="58"/>
      <c r="D150" s="58"/>
      <c r="E150" s="58"/>
      <c r="F150" s="58"/>
      <c r="G150" s="58"/>
      <c r="H150" s="58"/>
      <c r="I150" s="58"/>
      <c r="J150" s="58"/>
      <c r="K150" s="58"/>
      <c r="L150" s="58"/>
      <c r="M150" s="58"/>
      <c r="N150" s="58"/>
    </row>
    <row r="151" spans="1:14" ht="15">
      <c r="A151" s="55"/>
      <c r="B151" s="60"/>
      <c r="C151" s="58"/>
      <c r="D151" s="58"/>
      <c r="E151" s="58"/>
      <c r="F151" s="58"/>
      <c r="G151" s="58"/>
      <c r="H151" s="58"/>
      <c r="I151" s="58"/>
      <c r="J151" s="58"/>
      <c r="K151" s="58"/>
      <c r="L151" s="58"/>
      <c r="M151" s="58"/>
      <c r="N151" s="58"/>
    </row>
    <row r="152" spans="1:14" ht="15">
      <c r="A152" s="55"/>
      <c r="B152" s="60"/>
      <c r="C152" s="58"/>
      <c r="D152" s="58"/>
      <c r="E152" s="58"/>
      <c r="F152" s="58"/>
      <c r="G152" s="58"/>
      <c r="H152" s="58"/>
      <c r="I152" s="58"/>
      <c r="J152" s="58"/>
      <c r="K152" s="58"/>
      <c r="L152" s="58"/>
      <c r="M152" s="58"/>
      <c r="N152" s="58"/>
    </row>
    <row r="153" spans="1:14" ht="15">
      <c r="A153" s="55"/>
      <c r="B153" s="60"/>
      <c r="C153" s="58"/>
      <c r="D153" s="58"/>
      <c r="E153" s="58"/>
      <c r="F153" s="58"/>
      <c r="G153" s="58"/>
      <c r="H153" s="58"/>
      <c r="I153" s="58"/>
      <c r="J153" s="58"/>
      <c r="K153" s="58"/>
      <c r="L153" s="58"/>
      <c r="M153" s="58"/>
      <c r="N153" s="58"/>
    </row>
    <row r="154" spans="1:14" ht="15">
      <c r="A154" s="55"/>
      <c r="B154" s="60"/>
      <c r="C154" s="58"/>
      <c r="D154" s="58"/>
      <c r="E154" s="58"/>
      <c r="F154" s="58"/>
      <c r="G154" s="58"/>
      <c r="H154" s="58"/>
      <c r="I154" s="58"/>
      <c r="J154" s="58"/>
      <c r="K154" s="58"/>
      <c r="L154" s="58"/>
      <c r="M154" s="58"/>
      <c r="N154" s="58"/>
    </row>
    <row r="155" spans="1:14" ht="15">
      <c r="A155" s="55"/>
      <c r="B155" s="60"/>
      <c r="C155" s="58"/>
      <c r="D155" s="58"/>
      <c r="E155" s="58"/>
      <c r="F155" s="58"/>
      <c r="G155" s="58"/>
      <c r="H155" s="58"/>
      <c r="I155" s="58"/>
      <c r="J155" s="58"/>
      <c r="K155" s="58"/>
      <c r="L155" s="58"/>
      <c r="M155" s="58"/>
      <c r="N155" s="58"/>
    </row>
    <row r="156" spans="1:14" ht="15">
      <c r="A156" s="55"/>
      <c r="B156" s="60"/>
      <c r="C156" s="58"/>
      <c r="D156" s="58"/>
      <c r="E156" s="58"/>
      <c r="F156" s="58"/>
      <c r="G156" s="58"/>
      <c r="H156" s="58"/>
      <c r="I156" s="58"/>
      <c r="J156" s="58"/>
      <c r="K156" s="58"/>
      <c r="L156" s="58"/>
      <c r="M156" s="58"/>
      <c r="N156" s="58"/>
    </row>
    <row r="157" spans="1:14" ht="15">
      <c r="A157" s="55"/>
      <c r="B157" s="60"/>
      <c r="C157" s="58"/>
      <c r="D157" s="58"/>
      <c r="E157" s="58"/>
      <c r="F157" s="58"/>
      <c r="G157" s="58"/>
      <c r="H157" s="58"/>
      <c r="I157" s="58"/>
      <c r="J157" s="58"/>
      <c r="K157" s="58"/>
      <c r="L157" s="58"/>
      <c r="M157" s="58"/>
      <c r="N157" s="58"/>
    </row>
    <row r="158" spans="1:14" ht="15">
      <c r="A158" s="55"/>
      <c r="B158" s="60"/>
      <c r="C158" s="58"/>
      <c r="D158" s="58"/>
      <c r="E158" s="58"/>
      <c r="F158" s="58"/>
      <c r="G158" s="58"/>
      <c r="H158" s="58"/>
      <c r="I158" s="58"/>
      <c r="J158" s="58"/>
      <c r="K158" s="58"/>
      <c r="L158" s="58"/>
      <c r="M158" s="58"/>
      <c r="N158" s="58"/>
    </row>
    <row r="159" spans="1:14" ht="15">
      <c r="A159" s="55"/>
      <c r="B159" s="60"/>
      <c r="C159" s="58"/>
      <c r="D159" s="58"/>
      <c r="E159" s="58"/>
      <c r="F159" s="58"/>
      <c r="G159" s="58"/>
      <c r="H159" s="58"/>
      <c r="I159" s="58"/>
      <c r="J159" s="58"/>
      <c r="K159" s="58"/>
      <c r="L159" s="58"/>
      <c r="M159" s="58"/>
      <c r="N159" s="58"/>
    </row>
    <row r="160" spans="1:14" ht="15">
      <c r="A160" s="55"/>
      <c r="B160" s="60"/>
      <c r="C160" s="58"/>
      <c r="D160" s="58"/>
      <c r="E160" s="58"/>
      <c r="F160" s="58"/>
      <c r="G160" s="58"/>
      <c r="H160" s="58"/>
      <c r="I160" s="58"/>
      <c r="J160" s="58"/>
      <c r="K160" s="58"/>
      <c r="L160" s="58"/>
      <c r="M160" s="58"/>
      <c r="N160" s="58"/>
    </row>
    <row r="161" spans="1:14" ht="15">
      <c r="A161" s="55"/>
      <c r="B161" s="60"/>
      <c r="C161" s="58"/>
      <c r="D161" s="58"/>
      <c r="E161" s="58"/>
      <c r="F161" s="58"/>
      <c r="G161" s="58"/>
      <c r="H161" s="58"/>
      <c r="I161" s="58"/>
      <c r="J161" s="58"/>
      <c r="K161" s="58"/>
      <c r="L161" s="58"/>
      <c r="M161" s="58"/>
      <c r="N161" s="58"/>
    </row>
    <row r="162" spans="1:14" ht="15">
      <c r="A162" s="55"/>
      <c r="B162" s="60"/>
      <c r="C162" s="58"/>
      <c r="D162" s="58"/>
      <c r="E162" s="58"/>
      <c r="F162" s="58"/>
      <c r="G162" s="58"/>
      <c r="H162" s="58"/>
      <c r="I162" s="58"/>
      <c r="J162" s="58"/>
      <c r="K162" s="58"/>
      <c r="L162" s="58"/>
      <c r="M162" s="58"/>
      <c r="N162" s="58"/>
    </row>
    <row r="163" spans="1:14" ht="15">
      <c r="A163" s="55"/>
      <c r="B163" s="60"/>
      <c r="C163" s="58"/>
      <c r="D163" s="58"/>
      <c r="E163" s="58"/>
      <c r="F163" s="58"/>
      <c r="G163" s="58"/>
      <c r="H163" s="58"/>
      <c r="I163" s="58"/>
      <c r="J163" s="58"/>
      <c r="K163" s="58"/>
      <c r="L163" s="58"/>
      <c r="M163" s="58"/>
      <c r="N163" s="58"/>
    </row>
    <row r="164" spans="1:14" ht="15">
      <c r="A164" s="55"/>
      <c r="B164" s="60"/>
      <c r="C164" s="58"/>
      <c r="D164" s="58"/>
      <c r="E164" s="58"/>
      <c r="F164" s="58"/>
      <c r="G164" s="58"/>
      <c r="H164" s="58"/>
      <c r="I164" s="58"/>
      <c r="J164" s="58"/>
      <c r="K164" s="58"/>
      <c r="L164" s="58"/>
      <c r="M164" s="58"/>
      <c r="N164" s="58"/>
    </row>
    <row r="165" spans="1:14" ht="15">
      <c r="A165" s="55"/>
      <c r="B165" s="60"/>
      <c r="C165" s="58"/>
      <c r="D165" s="58"/>
      <c r="E165" s="58"/>
      <c r="F165" s="58"/>
      <c r="G165" s="58"/>
      <c r="H165" s="58"/>
      <c r="I165" s="58"/>
      <c r="J165" s="58"/>
      <c r="K165" s="58"/>
      <c r="L165" s="58"/>
      <c r="M165" s="58"/>
      <c r="N165" s="58"/>
    </row>
    <row r="166" spans="1:14" ht="15">
      <c r="A166" s="55"/>
      <c r="B166" s="60"/>
      <c r="C166" s="58"/>
      <c r="D166" s="58"/>
      <c r="E166" s="58"/>
      <c r="F166" s="58"/>
      <c r="G166" s="58"/>
      <c r="H166" s="58"/>
      <c r="I166" s="58"/>
      <c r="J166" s="58"/>
      <c r="K166" s="58"/>
      <c r="L166" s="58"/>
      <c r="M166" s="58"/>
      <c r="N166" s="58"/>
    </row>
    <row r="167" spans="1:14" ht="15">
      <c r="A167" s="55"/>
      <c r="B167" s="60"/>
      <c r="C167" s="58"/>
      <c r="D167" s="58"/>
      <c r="E167" s="58"/>
      <c r="F167" s="58"/>
      <c r="G167" s="58"/>
      <c r="H167" s="58"/>
      <c r="I167" s="58"/>
      <c r="J167" s="58"/>
      <c r="K167" s="58"/>
      <c r="L167" s="58"/>
      <c r="M167" s="58"/>
      <c r="N167" s="58"/>
    </row>
    <row r="168" spans="1:14" ht="15">
      <c r="A168" s="55"/>
      <c r="B168" s="60"/>
      <c r="C168" s="58"/>
      <c r="D168" s="58"/>
      <c r="E168" s="58"/>
      <c r="F168" s="58"/>
      <c r="G168" s="58"/>
      <c r="H168" s="58"/>
      <c r="I168" s="58"/>
      <c r="J168" s="58"/>
      <c r="K168" s="58"/>
      <c r="L168" s="58"/>
      <c r="M168" s="58"/>
      <c r="N168" s="58"/>
    </row>
    <row r="169" spans="1:14" ht="15">
      <c r="A169" s="55"/>
      <c r="B169" s="60"/>
      <c r="C169" s="58"/>
      <c r="D169" s="58"/>
      <c r="E169" s="58"/>
      <c r="F169" s="58"/>
      <c r="G169" s="58"/>
      <c r="H169" s="58"/>
      <c r="I169" s="58"/>
      <c r="J169" s="58"/>
      <c r="K169" s="58"/>
      <c r="L169" s="58"/>
      <c r="M169" s="58"/>
      <c r="N169" s="58"/>
    </row>
    <row r="170" spans="1:14" ht="15">
      <c r="A170" s="55"/>
      <c r="B170" s="60"/>
      <c r="C170" s="58"/>
      <c r="D170" s="58"/>
      <c r="E170" s="58"/>
      <c r="F170" s="58"/>
      <c r="G170" s="58"/>
      <c r="H170" s="58"/>
      <c r="I170" s="58"/>
      <c r="J170" s="58"/>
      <c r="K170" s="58"/>
      <c r="L170" s="58"/>
      <c r="M170" s="58"/>
      <c r="N170" s="58"/>
    </row>
    <row r="171" spans="1:14" ht="15">
      <c r="A171" s="55"/>
      <c r="B171" s="60"/>
      <c r="C171" s="58"/>
      <c r="D171" s="58"/>
      <c r="E171" s="58"/>
      <c r="F171" s="58"/>
      <c r="G171" s="58"/>
      <c r="H171" s="58"/>
      <c r="I171" s="58"/>
      <c r="J171" s="58"/>
      <c r="K171" s="58"/>
      <c r="L171" s="58"/>
      <c r="M171" s="58"/>
      <c r="N171" s="58"/>
    </row>
    <row r="172" spans="1:14" ht="15">
      <c r="A172" s="55"/>
      <c r="B172" s="60"/>
      <c r="C172" s="58"/>
      <c r="D172" s="58"/>
      <c r="E172" s="58"/>
      <c r="F172" s="58"/>
      <c r="G172" s="58"/>
      <c r="H172" s="58"/>
      <c r="I172" s="58"/>
      <c r="J172" s="58"/>
      <c r="K172" s="58"/>
      <c r="L172" s="58"/>
      <c r="M172" s="58"/>
      <c r="N172" s="58"/>
    </row>
    <row r="173" spans="1:14" ht="15">
      <c r="A173" s="55"/>
      <c r="B173" s="60"/>
      <c r="C173" s="58"/>
      <c r="D173" s="58"/>
      <c r="E173" s="58"/>
      <c r="F173" s="58"/>
      <c r="G173" s="58"/>
      <c r="H173" s="58"/>
      <c r="I173" s="58"/>
      <c r="J173" s="58"/>
      <c r="K173" s="58"/>
      <c r="L173" s="58"/>
      <c r="M173" s="58"/>
      <c r="N173" s="58"/>
    </row>
    <row r="174" spans="1:14" ht="15">
      <c r="A174" s="55"/>
      <c r="B174" s="60"/>
      <c r="C174" s="58"/>
      <c r="D174" s="58"/>
      <c r="E174" s="58"/>
      <c r="F174" s="58"/>
      <c r="G174" s="58"/>
      <c r="H174" s="58"/>
      <c r="I174" s="58"/>
      <c r="J174" s="58"/>
      <c r="K174" s="58"/>
      <c r="L174" s="58"/>
      <c r="M174" s="58"/>
      <c r="N174" s="58"/>
    </row>
  </sheetData>
  <pageMargins left="0.75" right="0.75" top="1" bottom="1" header="0.5" footer="0.5"/>
  <pageSetup paperSize="9" scale="36"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pageSetUpPr fitToPage="1"/>
  </sheetPr>
  <dimension ref="A1:AY622"/>
  <sheetViews>
    <sheetView zoomScale="72" zoomScaleNormal="72" workbookViewId="0">
      <pane xSplit="2" ySplit="2" topLeftCell="N38" activePane="bottomRight" state="frozen"/>
      <selection pane="topRight" activeCell="C1" sqref="C1"/>
      <selection pane="bottomLeft" activeCell="A3" sqref="A3"/>
      <selection pane="bottomRight" activeCell="W73" sqref="W73"/>
    </sheetView>
  </sheetViews>
  <sheetFormatPr defaultRowHeight="15" outlineLevelCol="1"/>
  <cols>
    <col min="1" max="1" width="3.5703125" customWidth="1"/>
    <col min="2" max="2" width="46.7109375" customWidth="1"/>
    <col min="3" max="3" width="9.140625" hidden="1" customWidth="1" outlineLevel="1"/>
    <col min="4" max="5" width="11.42578125" hidden="1" customWidth="1" outlineLevel="1"/>
    <col min="6" max="6" width="11" hidden="1" customWidth="1" outlineLevel="1"/>
    <col min="7" max="7" width="11.42578125" hidden="1" customWidth="1" outlineLevel="1"/>
    <col min="8" max="8" width="10.85546875" hidden="1" customWidth="1" outlineLevel="1"/>
    <col min="9" max="9" width="12.5703125" hidden="1" customWidth="1" outlineLevel="1" collapsed="1"/>
    <col min="10" max="12" width="12.5703125" hidden="1" customWidth="1" outlineLevel="1"/>
    <col min="13" max="13" width="12.5703125" hidden="1" customWidth="1" outlineLevel="1" collapsed="1"/>
    <col min="14" max="14" width="12.7109375" customWidth="1" collapsed="1"/>
    <col min="15" max="29" width="12.7109375" customWidth="1"/>
    <col min="33" max="33" width="8.42578125" customWidth="1"/>
  </cols>
  <sheetData>
    <row r="1" spans="1:51">
      <c r="A1" s="685"/>
      <c r="B1" s="685"/>
      <c r="C1" s="685"/>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1032">
        <f ca="1">SOP!G35</f>
        <v>3.2037910886818382</v>
      </c>
      <c r="AE1" s="685"/>
      <c r="AF1" s="685"/>
      <c r="AG1" s="685"/>
      <c r="AH1" s="685"/>
      <c r="AI1" s="685"/>
      <c r="AJ1" s="685"/>
      <c r="AK1" s="685"/>
      <c r="AL1" s="685"/>
      <c r="AM1" s="685"/>
      <c r="AN1" s="685"/>
      <c r="AO1" s="685"/>
      <c r="AP1" s="685"/>
      <c r="AQ1" s="685"/>
      <c r="AR1" s="685"/>
      <c r="AS1" s="685"/>
      <c r="AT1" s="685"/>
      <c r="AU1" s="685"/>
      <c r="AV1" s="685"/>
      <c r="AW1" s="685"/>
      <c r="AX1" s="685"/>
      <c r="AY1" s="685"/>
    </row>
    <row r="2" spans="1:51">
      <c r="A2" s="685"/>
      <c r="B2" s="685"/>
      <c r="C2" s="685"/>
      <c r="D2" s="1187">
        <v>2005</v>
      </c>
      <c r="E2" s="1187">
        <v>2006</v>
      </c>
      <c r="F2" s="1187">
        <v>2007</v>
      </c>
      <c r="G2" s="1187">
        <v>2008</v>
      </c>
      <c r="H2" s="1187">
        <v>2009</v>
      </c>
      <c r="I2" s="1187">
        <v>2010</v>
      </c>
      <c r="J2" s="1187">
        <v>2011</v>
      </c>
      <c r="K2" s="1187">
        <v>2012</v>
      </c>
      <c r="L2" s="1187">
        <v>2013</v>
      </c>
      <c r="M2" s="1187">
        <v>2014</v>
      </c>
      <c r="N2" s="1187">
        <v>2015</v>
      </c>
      <c r="O2" s="1187">
        <v>2016</v>
      </c>
      <c r="P2" s="1187">
        <v>2017</v>
      </c>
      <c r="Q2" s="1187">
        <v>2018</v>
      </c>
      <c r="R2" s="1187">
        <f>Q2+1</f>
        <v>2019</v>
      </c>
      <c r="S2" s="1187">
        <f t="shared" ref="S2:AC2" si="0">R2+1</f>
        <v>2020</v>
      </c>
      <c r="T2" s="1187">
        <f t="shared" si="0"/>
        <v>2021</v>
      </c>
      <c r="U2" s="1187">
        <f t="shared" si="0"/>
        <v>2022</v>
      </c>
      <c r="V2" s="1187">
        <f t="shared" si="0"/>
        <v>2023</v>
      </c>
      <c r="W2" s="1187">
        <f t="shared" si="0"/>
        <v>2024</v>
      </c>
      <c r="X2" s="1187">
        <f t="shared" si="0"/>
        <v>2025</v>
      </c>
      <c r="Y2" s="1187">
        <f t="shared" si="0"/>
        <v>2026</v>
      </c>
      <c r="Z2" s="1187">
        <f t="shared" si="0"/>
        <v>2027</v>
      </c>
      <c r="AA2" s="1187">
        <f t="shared" si="0"/>
        <v>2028</v>
      </c>
      <c r="AB2" s="1187">
        <f t="shared" si="0"/>
        <v>2029</v>
      </c>
      <c r="AC2" s="1187">
        <f t="shared" si="0"/>
        <v>2030</v>
      </c>
      <c r="AD2" s="1032"/>
      <c r="AE2" s="685"/>
      <c r="AF2" s="685"/>
      <c r="AG2" s="685"/>
      <c r="AH2" s="685"/>
      <c r="AI2" s="685"/>
      <c r="AJ2" s="685"/>
      <c r="AK2" s="685"/>
      <c r="AL2" s="685"/>
      <c r="AM2" s="685"/>
      <c r="AN2" s="685"/>
      <c r="AO2" s="685"/>
      <c r="AP2" s="685"/>
      <c r="AQ2" s="685"/>
      <c r="AR2" s="685"/>
      <c r="AS2" s="685"/>
      <c r="AT2" s="685"/>
      <c r="AU2" s="685"/>
      <c r="AV2" s="685"/>
      <c r="AW2" s="685"/>
      <c r="AX2" s="685"/>
      <c r="AY2" s="685"/>
    </row>
    <row r="3" spans="1:51">
      <c r="A3" s="685"/>
      <c r="B3" s="685"/>
      <c r="C3" s="685"/>
      <c r="D3" s="685"/>
      <c r="E3" s="685"/>
      <c r="F3" s="685"/>
      <c r="G3" s="685"/>
      <c r="H3" s="685"/>
      <c r="I3" s="685"/>
      <c r="J3" s="685"/>
      <c r="K3" s="685"/>
      <c r="L3" s="685"/>
      <c r="M3" s="685"/>
      <c r="N3" s="685"/>
      <c r="O3" s="685"/>
      <c r="P3" s="685"/>
      <c r="Q3" s="685"/>
      <c r="R3" s="685"/>
      <c r="S3" s="685"/>
      <c r="T3" s="685"/>
      <c r="U3" s="685"/>
      <c r="V3" s="685"/>
      <c r="W3" s="1572" t="s">
        <v>7681</v>
      </c>
      <c r="X3" s="685"/>
      <c r="Y3" s="685"/>
      <c r="Z3" s="685"/>
      <c r="AA3" s="685"/>
      <c r="AB3" s="685"/>
      <c r="AC3" s="685"/>
      <c r="AD3" s="1032"/>
      <c r="AE3" s="685"/>
      <c r="AF3" s="685"/>
      <c r="AG3" s="685"/>
      <c r="AH3" s="685"/>
      <c r="AI3" s="685"/>
      <c r="AJ3" s="685"/>
      <c r="AK3" s="685"/>
      <c r="AL3" s="685"/>
      <c r="AM3" s="685"/>
      <c r="AN3" s="685"/>
      <c r="AO3" s="685"/>
      <c r="AP3" s="685"/>
      <c r="AQ3" s="685"/>
      <c r="AR3" s="685"/>
      <c r="AS3" s="685"/>
      <c r="AT3" s="685"/>
      <c r="AU3" s="685"/>
      <c r="AV3" s="685"/>
      <c r="AW3" s="685"/>
      <c r="AX3" s="685"/>
      <c r="AY3" s="685"/>
    </row>
    <row r="4" spans="1:51">
      <c r="A4" s="685"/>
      <c r="B4" s="1186" t="s">
        <v>349</v>
      </c>
      <c r="C4" s="1186"/>
      <c r="D4" s="1186">
        <f t="shared" ref="D4:AC4" si="1">D2</f>
        <v>2005</v>
      </c>
      <c r="E4" s="1186">
        <f t="shared" si="1"/>
        <v>2006</v>
      </c>
      <c r="F4" s="1186">
        <f t="shared" si="1"/>
        <v>2007</v>
      </c>
      <c r="G4" s="1186">
        <f t="shared" si="1"/>
        <v>2008</v>
      </c>
      <c r="H4" s="1186">
        <f t="shared" si="1"/>
        <v>2009</v>
      </c>
      <c r="I4" s="1186">
        <f t="shared" si="1"/>
        <v>2010</v>
      </c>
      <c r="J4" s="1186">
        <f t="shared" si="1"/>
        <v>2011</v>
      </c>
      <c r="K4" s="1186">
        <f t="shared" si="1"/>
        <v>2012</v>
      </c>
      <c r="L4" s="1186">
        <f t="shared" si="1"/>
        <v>2013</v>
      </c>
      <c r="M4" s="1186">
        <f t="shared" si="1"/>
        <v>2014</v>
      </c>
      <c r="N4" s="1186">
        <f t="shared" si="1"/>
        <v>2015</v>
      </c>
      <c r="O4" s="1186">
        <f t="shared" si="1"/>
        <v>2016</v>
      </c>
      <c r="P4" s="1186">
        <f t="shared" si="1"/>
        <v>2017</v>
      </c>
      <c r="Q4" s="1186">
        <f t="shared" si="1"/>
        <v>2018</v>
      </c>
      <c r="R4" s="1186">
        <f t="shared" si="1"/>
        <v>2019</v>
      </c>
      <c r="S4" s="1186">
        <f t="shared" si="1"/>
        <v>2020</v>
      </c>
      <c r="T4" s="1186">
        <f t="shared" si="1"/>
        <v>2021</v>
      </c>
      <c r="U4" s="1186">
        <f t="shared" si="1"/>
        <v>2022</v>
      </c>
      <c r="V4" s="1186">
        <f t="shared" si="1"/>
        <v>2023</v>
      </c>
      <c r="W4" s="1186">
        <f t="shared" si="1"/>
        <v>2024</v>
      </c>
      <c r="X4" s="1186">
        <f t="shared" si="1"/>
        <v>2025</v>
      </c>
      <c r="Y4" s="1186">
        <f t="shared" si="1"/>
        <v>2026</v>
      </c>
      <c r="Z4" s="1186">
        <f t="shared" si="1"/>
        <v>2027</v>
      </c>
      <c r="AA4" s="1186">
        <f t="shared" si="1"/>
        <v>2028</v>
      </c>
      <c r="AB4" s="1186">
        <f t="shared" si="1"/>
        <v>2029</v>
      </c>
      <c r="AC4" s="1186">
        <f t="shared" si="1"/>
        <v>2030</v>
      </c>
      <c r="AD4" s="685"/>
      <c r="AE4" s="685"/>
      <c r="AF4" s="685"/>
      <c r="AG4" s="685"/>
      <c r="AH4" s="685"/>
      <c r="AI4" s="685"/>
      <c r="AJ4" s="685"/>
      <c r="AK4" s="685"/>
      <c r="AL4" s="685"/>
      <c r="AM4" s="685"/>
      <c r="AN4" s="685"/>
      <c r="AO4" s="685"/>
      <c r="AP4" s="685"/>
      <c r="AQ4" s="685"/>
      <c r="AR4" s="685"/>
      <c r="AS4" s="685"/>
      <c r="AT4" s="685"/>
      <c r="AU4" s="685"/>
      <c r="AV4" s="685"/>
      <c r="AW4" s="685"/>
      <c r="AX4" s="685"/>
      <c r="AY4" s="685"/>
    </row>
    <row r="5" spans="1:51">
      <c r="A5" s="685"/>
      <c r="B5" s="1187" t="s">
        <v>180</v>
      </c>
      <c r="C5" s="1188"/>
      <c r="D5" s="1188">
        <f>SEGMENTOS!B17</f>
        <v>35067.93778783601</v>
      </c>
      <c r="E5" s="1188">
        <f>SEGMENTOS!G17</f>
        <v>39357.682798718743</v>
      </c>
      <c r="F5" s="1188">
        <f>SEGMENTOS!L17</f>
        <v>41561.558807027344</v>
      </c>
      <c r="G5" s="1188">
        <f>SEGMENTOS!Q17</f>
        <v>47972.188249737257</v>
      </c>
      <c r="H5" s="1188">
        <f>SEGMENTOS!V17</f>
        <v>52352.373298644896</v>
      </c>
      <c r="I5" s="1188">
        <f>SEGMENTOS!AA17</f>
        <v>57856.799999999996</v>
      </c>
      <c r="J5" s="1188">
        <f>J56</f>
        <v>62581.500000000007</v>
      </c>
      <c r="K5" s="1188">
        <f>K56</f>
        <v>69290.399999999994</v>
      </c>
      <c r="L5" s="1188">
        <f t="shared" ref="L5:Q5" si="2">L56</f>
        <v>73793.600000000006</v>
      </c>
      <c r="M5" s="1188">
        <f t="shared" si="2"/>
        <v>80118.399999999994</v>
      </c>
      <c r="N5" s="1188">
        <f t="shared" si="2"/>
        <v>88052</v>
      </c>
      <c r="O5" s="1188">
        <f t="shared" si="2"/>
        <v>96287.4</v>
      </c>
      <c r="P5" s="1188">
        <f t="shared" si="2"/>
        <v>94275</v>
      </c>
      <c r="Q5" s="1188">
        <f t="shared" si="2"/>
        <v>101310</v>
      </c>
      <c r="R5" s="1188">
        <f t="shared" ref="R5:X5" si="3">R56</f>
        <v>100650.6</v>
      </c>
      <c r="S5" s="1188">
        <f t="shared" si="3"/>
        <v>97138.3</v>
      </c>
      <c r="T5" s="1188">
        <f t="shared" si="3"/>
        <v>103521.8</v>
      </c>
      <c r="U5" s="1188">
        <f t="shared" si="3"/>
        <v>75526.600000000006</v>
      </c>
      <c r="V5" s="1188">
        <f t="shared" si="3"/>
        <v>73767.900000000009</v>
      </c>
      <c r="W5" s="1188">
        <f t="shared" si="3"/>
        <v>64302.151064570928</v>
      </c>
      <c r="X5" s="1188">
        <f t="shared" si="3"/>
        <v>63593.794268350568</v>
      </c>
      <c r="Y5" s="1188">
        <f>Y56</f>
        <v>63757.303063595296</v>
      </c>
      <c r="Z5" s="1188">
        <f>Z56</f>
        <v>64323.113340935619</v>
      </c>
      <c r="AA5" s="1188">
        <f>AA56</f>
        <v>65331.502767064427</v>
      </c>
      <c r="AB5" s="1188">
        <f>AB56</f>
        <v>66551.615598526143</v>
      </c>
      <c r="AC5" s="1188">
        <f>AC56</f>
        <v>67860.544809081461</v>
      </c>
      <c r="AD5" s="685"/>
      <c r="AE5" s="685"/>
      <c r="AF5" s="685"/>
      <c r="AG5" s="685"/>
      <c r="AH5" s="685"/>
      <c r="AI5" s="685"/>
      <c r="AJ5" s="685"/>
      <c r="AK5" s="685"/>
      <c r="AL5" s="685"/>
      <c r="AM5" s="685"/>
      <c r="AN5" s="685"/>
      <c r="AO5" s="685"/>
      <c r="AP5" s="685"/>
      <c r="AQ5" s="685"/>
      <c r="AR5" s="685"/>
      <c r="AS5" s="685"/>
      <c r="AT5" s="685"/>
      <c r="AU5" s="685"/>
      <c r="AV5" s="685"/>
      <c r="AW5" s="685"/>
      <c r="AX5" s="685"/>
      <c r="AY5" s="685"/>
    </row>
    <row r="6" spans="1:51">
      <c r="A6" s="685"/>
      <c r="B6" s="1189" t="s">
        <v>181</v>
      </c>
      <c r="C6" s="1190"/>
      <c r="D6" s="1191"/>
      <c r="E6" s="1192">
        <f t="shared" ref="E6:AC6" si="4">E5/D5-1</f>
        <v>0.12232669730498702</v>
      </c>
      <c r="F6" s="1192">
        <f t="shared" si="4"/>
        <v>5.5996081364331429E-2</v>
      </c>
      <c r="G6" s="1192">
        <f t="shared" si="4"/>
        <v>0.154244201293672</v>
      </c>
      <c r="H6" s="1192">
        <f t="shared" si="4"/>
        <v>9.1306759368677159E-2</v>
      </c>
      <c r="I6" s="1192">
        <f t="shared" si="4"/>
        <v>0.10514187522989671</v>
      </c>
      <c r="J6" s="1192">
        <f t="shared" si="4"/>
        <v>8.1661965404239645E-2</v>
      </c>
      <c r="K6" s="1192">
        <f>K5/J5-1</f>
        <v>0.10720260779942925</v>
      </c>
      <c r="L6" s="1192">
        <f t="shared" si="4"/>
        <v>6.4990243958759297E-2</v>
      </c>
      <c r="M6" s="1192">
        <f t="shared" si="4"/>
        <v>8.5709329806378687E-2</v>
      </c>
      <c r="N6" s="1192">
        <f t="shared" si="4"/>
        <v>9.9023445300954638E-2</v>
      </c>
      <c r="O6" s="1192">
        <f t="shared" si="4"/>
        <v>9.3528823876799949E-2</v>
      </c>
      <c r="P6" s="1192">
        <f t="shared" si="4"/>
        <v>-2.0899930832071423E-2</v>
      </c>
      <c r="Q6" s="1192">
        <f t="shared" si="4"/>
        <v>7.4622116149562379E-2</v>
      </c>
      <c r="R6" s="1192">
        <f t="shared" si="4"/>
        <v>-6.5087355641101352E-3</v>
      </c>
      <c r="S6" s="1192">
        <f t="shared" si="4"/>
        <v>-3.4895966839740722E-2</v>
      </c>
      <c r="T6" s="1192">
        <f t="shared" si="4"/>
        <v>6.5715582833959507E-2</v>
      </c>
      <c r="U6" s="1192">
        <f t="shared" si="4"/>
        <v>-0.27042806442700951</v>
      </c>
      <c r="V6" s="1192">
        <f t="shared" si="4"/>
        <v>-2.3285835718806269E-2</v>
      </c>
      <c r="W6" s="1192">
        <f t="shared" si="4"/>
        <v>-0.12831799380799891</v>
      </c>
      <c r="X6" s="1192">
        <f t="shared" si="4"/>
        <v>-1.1016066873237862E-2</v>
      </c>
      <c r="Y6" s="1192">
        <f t="shared" si="4"/>
        <v>2.5711438848068369E-3</v>
      </c>
      <c r="Z6" s="1192">
        <f t="shared" si="4"/>
        <v>8.8744386941201903E-3</v>
      </c>
      <c r="AA6" s="1192">
        <f t="shared" si="4"/>
        <v>1.5676937476331032E-2</v>
      </c>
      <c r="AB6" s="1192">
        <f t="shared" si="4"/>
        <v>1.8675719672513136E-2</v>
      </c>
      <c r="AC6" s="1192">
        <f t="shared" si="4"/>
        <v>1.9667880317909336E-2</v>
      </c>
      <c r="AD6" s="685"/>
      <c r="AE6" s="685"/>
      <c r="AF6" s="685"/>
      <c r="AG6" s="685"/>
      <c r="AH6" s="685"/>
      <c r="AI6" s="685"/>
      <c r="AJ6" s="685"/>
      <c r="AK6" s="685"/>
      <c r="AL6" s="685"/>
      <c r="AM6" s="685"/>
      <c r="AN6" s="685"/>
      <c r="AO6" s="685"/>
      <c r="AP6" s="685"/>
      <c r="AQ6" s="685"/>
      <c r="AR6" s="685"/>
      <c r="AS6" s="685"/>
      <c r="AT6" s="685"/>
      <c r="AU6" s="685"/>
      <c r="AV6" s="685"/>
      <c r="AW6" s="685"/>
      <c r="AX6" s="685"/>
      <c r="AY6" s="685"/>
    </row>
    <row r="7" spans="1:51">
      <c r="A7" s="685"/>
      <c r="B7" s="1189"/>
      <c r="C7" s="1189"/>
      <c r="D7" s="1189"/>
      <c r="E7" s="1189"/>
      <c r="F7" s="1189"/>
      <c r="G7" s="1193"/>
      <c r="H7" s="1194"/>
      <c r="I7" s="1194"/>
      <c r="J7" s="1195"/>
      <c r="K7" s="1189"/>
      <c r="L7" s="1189"/>
      <c r="M7" s="1189"/>
      <c r="N7" s="1189"/>
      <c r="O7" s="1189"/>
      <c r="P7" s="1191"/>
      <c r="Q7" s="1192"/>
      <c r="R7" s="1189"/>
      <c r="S7" s="1189"/>
      <c r="T7" s="1189"/>
      <c r="U7" s="1189"/>
      <c r="V7" s="1189"/>
      <c r="W7" s="1189"/>
      <c r="X7" s="1189"/>
      <c r="Y7" s="1189"/>
      <c r="Z7" s="1189"/>
      <c r="AA7" s="1189"/>
      <c r="AB7" s="1189"/>
      <c r="AC7" s="1189"/>
      <c r="AD7" s="685"/>
      <c r="AE7" s="685"/>
      <c r="AF7" s="685"/>
      <c r="AG7" s="685"/>
      <c r="AH7" s="685"/>
      <c r="AI7" s="685"/>
      <c r="AJ7" s="685"/>
      <c r="AK7" s="685"/>
      <c r="AL7" s="685"/>
      <c r="AM7" s="685"/>
      <c r="AN7" s="685"/>
      <c r="AO7" s="685"/>
      <c r="AP7" s="685"/>
      <c r="AQ7" s="685"/>
      <c r="AR7" s="685"/>
      <c r="AS7" s="685"/>
      <c r="AT7" s="685"/>
      <c r="AU7" s="685"/>
      <c r="AV7" s="685"/>
      <c r="AW7" s="685"/>
      <c r="AX7" s="685"/>
      <c r="AY7" s="685"/>
    </row>
    <row r="8" spans="1:51">
      <c r="A8" s="685"/>
      <c r="B8" s="1187" t="s">
        <v>183</v>
      </c>
      <c r="C8" s="1189"/>
      <c r="D8" s="1188">
        <f>SEGMENTOS!B27</f>
        <v>14471.838835904948</v>
      </c>
      <c r="E8" s="1188">
        <f>SEGMENTOS!G27</f>
        <v>17558.938374229689</v>
      </c>
      <c r="F8" s="1188">
        <f>SEGMENTOS!L27</f>
        <v>18072.674020978342</v>
      </c>
      <c r="G8" s="1188">
        <f>SEGMENTOS!Q27</f>
        <v>19916.727942464255</v>
      </c>
      <c r="H8" s="1188">
        <f>SEGMENTOS!V27</f>
        <v>20745.235143565711</v>
      </c>
      <c r="I8" s="1188">
        <f>SEGMENTOS!AA27</f>
        <v>23062.899999999998</v>
      </c>
      <c r="J8" s="1188">
        <f>J70</f>
        <v>25371.5</v>
      </c>
      <c r="K8" s="1188">
        <f t="shared" ref="K8:Q8" si="5">K70</f>
        <v>28413.5</v>
      </c>
      <c r="L8" s="1188">
        <f t="shared" si="5"/>
        <v>29860.399999999998</v>
      </c>
      <c r="M8" s="1188">
        <f>M70</f>
        <v>32279.7</v>
      </c>
      <c r="N8" s="1188">
        <f t="shared" si="5"/>
        <v>35695.299999999996</v>
      </c>
      <c r="O8" s="1188">
        <f t="shared" si="5"/>
        <v>38923.199999999997</v>
      </c>
      <c r="P8" s="1188">
        <f t="shared" si="5"/>
        <v>37457</v>
      </c>
      <c r="Q8" s="1188">
        <f t="shared" si="5"/>
        <v>40679</v>
      </c>
      <c r="R8" s="1188">
        <f t="shared" ref="R8:X8" si="6">R70</f>
        <v>41015</v>
      </c>
      <c r="S8" s="1188">
        <f t="shared" si="6"/>
        <v>40511.399999999994</v>
      </c>
      <c r="T8" s="1188">
        <f t="shared" si="6"/>
        <v>43475.5</v>
      </c>
      <c r="U8" s="1188">
        <f t="shared" si="6"/>
        <v>28010.129999999997</v>
      </c>
      <c r="V8" s="1188">
        <f t="shared" si="6"/>
        <v>26504.800000000003</v>
      </c>
      <c r="W8" s="1188">
        <f t="shared" si="6"/>
        <v>23101.680803532559</v>
      </c>
      <c r="X8" s="1188">
        <f t="shared" si="6"/>
        <v>23166.905240149226</v>
      </c>
      <c r="Y8" s="1188">
        <f>Y70</f>
        <v>23196.156886123317</v>
      </c>
      <c r="Z8" s="1188">
        <f>Z70</f>
        <v>23376.815771420399</v>
      </c>
      <c r="AA8" s="1188">
        <f>AA70</f>
        <v>23725.732131292672</v>
      </c>
      <c r="AB8" s="1188">
        <f>AB70</f>
        <v>24157.062741378635</v>
      </c>
      <c r="AC8" s="1188">
        <f>AC70</f>
        <v>24625.01167082159</v>
      </c>
      <c r="AD8" s="685"/>
      <c r="AE8" s="685"/>
      <c r="AF8" s="685"/>
      <c r="AG8" s="685"/>
      <c r="AH8" s="685"/>
      <c r="AI8" s="685"/>
      <c r="AJ8" s="685"/>
      <c r="AK8" s="685"/>
      <c r="AL8" s="685"/>
      <c r="AM8" s="685"/>
      <c r="AN8" s="685"/>
      <c r="AO8" s="685"/>
      <c r="AP8" s="685"/>
      <c r="AQ8" s="685"/>
      <c r="AR8" s="685"/>
      <c r="AS8" s="685"/>
      <c r="AT8" s="685"/>
      <c r="AU8" s="685"/>
      <c r="AV8" s="685"/>
      <c r="AW8" s="685"/>
      <c r="AX8" s="685"/>
      <c r="AY8" s="685"/>
    </row>
    <row r="9" spans="1:51">
      <c r="A9" s="685"/>
      <c r="B9" s="1189" t="s">
        <v>181</v>
      </c>
      <c r="C9" s="1190"/>
      <c r="D9" s="1191"/>
      <c r="E9" s="1191">
        <f>E8/D8-1</f>
        <v>0.21331771126870058</v>
      </c>
      <c r="F9" s="1191">
        <f>F8/E8-1</f>
        <v>2.9257785168984585E-2</v>
      </c>
      <c r="G9" s="1191">
        <f>G8/F8-1</f>
        <v>0.10203547739229823</v>
      </c>
      <c r="H9" s="1191">
        <f>H8/G8-1</f>
        <v>4.15985599389046E-2</v>
      </c>
      <c r="I9" s="1191">
        <f>I8/H8-1</f>
        <v>0.11172034640220163</v>
      </c>
      <c r="J9" s="1191">
        <f>J8/(I8-250)-1</f>
        <v>0.11215584165099579</v>
      </c>
      <c r="K9" s="1191">
        <f t="shared" ref="K9:AC9" si="7">K8/J8-1</f>
        <v>0.11989831109709703</v>
      </c>
      <c r="L9" s="1191">
        <f t="shared" si="7"/>
        <v>5.0922976754007809E-2</v>
      </c>
      <c r="M9" s="1191">
        <f t="shared" si="7"/>
        <v>8.1020348019450683E-2</v>
      </c>
      <c r="N9" s="1191">
        <f t="shared" si="7"/>
        <v>0.10581263146807429</v>
      </c>
      <c r="O9" s="1191">
        <f t="shared" si="7"/>
        <v>9.0429272201102195E-2</v>
      </c>
      <c r="P9" s="1191">
        <f t="shared" si="7"/>
        <v>-3.7669050848850971E-2</v>
      </c>
      <c r="Q9" s="1191">
        <f t="shared" si="7"/>
        <v>8.601863470112403E-2</v>
      </c>
      <c r="R9" s="1191">
        <f t="shared" si="7"/>
        <v>8.2597900636691701E-3</v>
      </c>
      <c r="S9" s="1191">
        <f t="shared" si="7"/>
        <v>-1.227843471900536E-2</v>
      </c>
      <c r="T9" s="1191">
        <f t="shared" si="7"/>
        <v>7.3167059148782965E-2</v>
      </c>
      <c r="U9" s="1191">
        <f t="shared" si="7"/>
        <v>-0.35572609860726168</v>
      </c>
      <c r="V9" s="1191">
        <f t="shared" si="7"/>
        <v>-5.3742342502515861E-2</v>
      </c>
      <c r="W9" s="1191">
        <f t="shared" si="7"/>
        <v>-0.12839633562477148</v>
      </c>
      <c r="X9" s="1191">
        <f t="shared" si="7"/>
        <v>2.8233632509844231E-3</v>
      </c>
      <c r="Y9" s="1191">
        <f t="shared" si="7"/>
        <v>1.2626479743784724E-3</v>
      </c>
      <c r="Z9" s="1191">
        <f t="shared" si="7"/>
        <v>7.7883110630778685E-3</v>
      </c>
      <c r="AA9" s="1191">
        <f t="shared" si="7"/>
        <v>1.492574366346533E-2</v>
      </c>
      <c r="AB9" s="1191">
        <f t="shared" si="7"/>
        <v>1.8179865122773808E-2</v>
      </c>
      <c r="AC9" s="1191">
        <f t="shared" si="7"/>
        <v>1.9371102126642503E-2</v>
      </c>
      <c r="AD9" s="685"/>
      <c r="AE9" s="685"/>
      <c r="AF9" s="685"/>
      <c r="AG9" s="685"/>
      <c r="AH9" s="685"/>
      <c r="AI9" s="685"/>
      <c r="AJ9" s="685"/>
      <c r="AK9" s="685"/>
      <c r="AL9" s="685"/>
      <c r="AM9" s="685"/>
      <c r="AN9" s="685"/>
      <c r="AO9" s="685"/>
      <c r="AP9" s="685"/>
      <c r="AQ9" s="685"/>
      <c r="AR9" s="685"/>
      <c r="AS9" s="685"/>
      <c r="AT9" s="685"/>
      <c r="AU9" s="685"/>
      <c r="AV9" s="685"/>
      <c r="AW9" s="685"/>
      <c r="AX9" s="685"/>
      <c r="AY9" s="685"/>
    </row>
    <row r="10" spans="1:51">
      <c r="A10" s="685"/>
      <c r="B10" s="1189"/>
      <c r="C10" s="1189"/>
      <c r="D10" s="1189"/>
      <c r="E10" s="1189"/>
      <c r="F10" s="1189"/>
      <c r="G10" s="1196"/>
      <c r="H10" s="1196"/>
      <c r="I10" s="1196"/>
      <c r="J10" s="1192"/>
      <c r="K10" s="1192"/>
      <c r="L10" s="1192"/>
      <c r="M10" s="1192"/>
      <c r="N10" s="1192"/>
      <c r="O10" s="1192"/>
      <c r="P10" s="1192"/>
      <c r="Q10" s="1192"/>
      <c r="R10" s="1192"/>
      <c r="S10" s="1192"/>
      <c r="T10" s="1192"/>
      <c r="U10" s="1192"/>
      <c r="V10" s="1192"/>
      <c r="W10" s="1192"/>
      <c r="X10" s="1192"/>
      <c r="Y10" s="1192"/>
      <c r="Z10" s="1192"/>
      <c r="AA10" s="1192"/>
      <c r="AB10" s="1192"/>
      <c r="AC10" s="1192"/>
      <c r="AD10" s="685"/>
      <c r="AE10" s="685"/>
      <c r="AF10" s="685"/>
      <c r="AG10" s="685"/>
      <c r="AH10" s="685"/>
      <c r="AI10" s="685"/>
      <c r="AJ10" s="685"/>
      <c r="AK10" s="685"/>
      <c r="AL10" s="685"/>
      <c r="AM10" s="685"/>
      <c r="AN10" s="685"/>
      <c r="AO10" s="685"/>
      <c r="AP10" s="685"/>
      <c r="AQ10" s="685"/>
      <c r="AR10" s="685"/>
      <c r="AS10" s="685"/>
      <c r="AT10" s="685"/>
      <c r="AU10" s="685"/>
      <c r="AV10" s="685"/>
      <c r="AW10" s="685"/>
      <c r="AX10" s="685"/>
      <c r="AY10" s="685"/>
    </row>
    <row r="11" spans="1:51">
      <c r="A11" s="685"/>
      <c r="B11" s="1189" t="s">
        <v>350</v>
      </c>
      <c r="C11" s="1189"/>
      <c r="D11" s="1197"/>
      <c r="E11" s="1197">
        <f>-SEGMENTOS!G28</f>
        <v>467.82771356000001</v>
      </c>
      <c r="F11" s="1197">
        <f>-SEGMENTOS!L28</f>
        <v>368.34399999999999</v>
      </c>
      <c r="G11" s="1197">
        <f>-SEGMENTOS!Q28</f>
        <v>478.28500000000003</v>
      </c>
      <c r="H11" s="1197">
        <f>-SEGMENTOS!V28</f>
        <v>658.24900000000002</v>
      </c>
      <c r="I11" s="1197">
        <f>-SEGMENTOS!AA28</f>
        <v>901</v>
      </c>
      <c r="J11" s="1197">
        <f>J8-J13-J12</f>
        <v>1142.5999999999985</v>
      </c>
      <c r="K11" s="1197">
        <f>K8-K13-K12</f>
        <v>1149.3000000000006</v>
      </c>
      <c r="L11" s="1197">
        <f t="shared" ref="L11:Q11" si="8">L8-L13-L12</f>
        <v>1192.5</v>
      </c>
      <c r="M11" s="1197">
        <f t="shared" si="8"/>
        <v>1478.4999999999991</v>
      </c>
      <c r="N11" s="1197">
        <f t="shared" si="8"/>
        <v>1960.8000000000036</v>
      </c>
      <c r="O11" s="1197">
        <f t="shared" si="8"/>
        <v>2207.9000000000028</v>
      </c>
      <c r="P11" s="1197">
        <f t="shared" si="8"/>
        <v>2291</v>
      </c>
      <c r="Q11" s="1197">
        <f t="shared" si="8"/>
        <v>2155</v>
      </c>
      <c r="R11" s="1197">
        <f t="shared" ref="R11:X11" si="9">R8-R13-R12</f>
        <v>1888.0000000000014</v>
      </c>
      <c r="S11" s="1197">
        <f t="shared" si="9"/>
        <v>1882.8999999999985</v>
      </c>
      <c r="T11" s="1197">
        <f t="shared" si="9"/>
        <v>2203.5000000000014</v>
      </c>
      <c r="U11" s="1197">
        <f t="shared" si="9"/>
        <v>1538.0999999999985</v>
      </c>
      <c r="V11" s="1197">
        <f t="shared" si="9"/>
        <v>1259.9000000000008</v>
      </c>
      <c r="W11" s="1197">
        <f t="shared" si="9"/>
        <v>749.99999999999818</v>
      </c>
      <c r="X11" s="1197">
        <f t="shared" si="9"/>
        <v>765</v>
      </c>
      <c r="Y11" s="1197">
        <f>Y8-Y13-Y12</f>
        <v>780.29999999999927</v>
      </c>
      <c r="Z11" s="1197">
        <f>Z8-Z13-Z12</f>
        <v>795.90599999999904</v>
      </c>
      <c r="AA11" s="1197">
        <f>AA8-AA13-AA12</f>
        <v>811.82412000000113</v>
      </c>
      <c r="AB11" s="1197">
        <f>AB8-AB13-AB12</f>
        <v>828.06060240000079</v>
      </c>
      <c r="AC11" s="1197">
        <f>AC8-AC13-AC12</f>
        <v>844.6218144480008</v>
      </c>
      <c r="AD11" s="685"/>
      <c r="AE11" s="685"/>
      <c r="AF11" s="685"/>
      <c r="AG11" s="685"/>
      <c r="AH11" s="685"/>
      <c r="AI11" s="685"/>
      <c r="AJ11" s="685"/>
      <c r="AK11" s="685"/>
      <c r="AL11" s="685"/>
      <c r="AM11" s="685"/>
      <c r="AN11" s="685"/>
      <c r="AO11" s="685"/>
      <c r="AP11" s="685"/>
      <c r="AQ11" s="685"/>
      <c r="AR11" s="685"/>
      <c r="AS11" s="685"/>
      <c r="AT11" s="685"/>
      <c r="AU11" s="685"/>
      <c r="AV11" s="685"/>
      <c r="AW11" s="685"/>
      <c r="AX11" s="685"/>
      <c r="AY11" s="685"/>
    </row>
    <row r="12" spans="1:51">
      <c r="A12" s="685"/>
      <c r="B12" s="1189" t="s">
        <v>1132</v>
      </c>
      <c r="C12" s="1189"/>
      <c r="D12" s="1197"/>
      <c r="E12" s="1197"/>
      <c r="F12" s="1197"/>
      <c r="G12" s="1197"/>
      <c r="H12" s="1197"/>
      <c r="I12" s="1197"/>
      <c r="J12" s="1197">
        <f>-J72</f>
        <v>594</v>
      </c>
      <c r="K12" s="1197">
        <f>-K72</f>
        <v>650.4</v>
      </c>
      <c r="L12" s="1197">
        <f t="shared" ref="L12:Q12" si="10">-L72</f>
        <v>462.32310937500006</v>
      </c>
      <c r="M12" s="1197">
        <f t="shared" si="10"/>
        <v>793.3000000000003</v>
      </c>
      <c r="N12" s="1197">
        <f t="shared" si="10"/>
        <v>1359.2</v>
      </c>
      <c r="O12" s="1197">
        <f t="shared" si="10"/>
        <v>3137.4</v>
      </c>
      <c r="P12" s="1197">
        <f t="shared" si="10"/>
        <v>2386</v>
      </c>
      <c r="Q12" s="1197">
        <f t="shared" si="10"/>
        <v>1951.5000000000002</v>
      </c>
      <c r="R12" s="1197">
        <f t="shared" ref="R12:X12" si="11">-R72</f>
        <v>908.9</v>
      </c>
      <c r="S12" s="1197">
        <f t="shared" si="11"/>
        <v>-181.8</v>
      </c>
      <c r="T12" s="1197">
        <f t="shared" si="11"/>
        <v>-2329.6</v>
      </c>
      <c r="U12" s="1197">
        <f t="shared" si="11"/>
        <v>936</v>
      </c>
      <c r="V12" s="1197">
        <f t="shared" si="11"/>
        <v>1026.8</v>
      </c>
      <c r="W12" s="1197">
        <f t="shared" si="11"/>
        <v>-2011.08</v>
      </c>
      <c r="X12" s="1197">
        <f t="shared" si="11"/>
        <v>1000</v>
      </c>
      <c r="Y12" s="1197">
        <f>-Y72</f>
        <v>1000</v>
      </c>
      <c r="Z12" s="1197">
        <f>-Z72</f>
        <v>1000</v>
      </c>
      <c r="AA12" s="1197">
        <f>-AA72</f>
        <v>1000</v>
      </c>
      <c r="AB12" s="1197">
        <f>-AB72</f>
        <v>1000</v>
      </c>
      <c r="AC12" s="1197">
        <f>-AC72</f>
        <v>1000</v>
      </c>
      <c r="AD12" s="685"/>
      <c r="AE12" s="685"/>
      <c r="AF12" s="685"/>
      <c r="AG12" s="685"/>
      <c r="AH12" s="685"/>
      <c r="AI12" s="685"/>
      <c r="AJ12" s="685"/>
      <c r="AK12" s="685"/>
      <c r="AL12" s="685"/>
      <c r="AM12" s="685"/>
      <c r="AN12" s="685"/>
      <c r="AO12" s="685"/>
      <c r="AP12" s="685"/>
      <c r="AQ12" s="685"/>
      <c r="AR12" s="685"/>
      <c r="AS12" s="685"/>
      <c r="AT12" s="685"/>
      <c r="AU12" s="685"/>
      <c r="AV12" s="685"/>
      <c r="AW12" s="685"/>
      <c r="AX12" s="685"/>
      <c r="AY12" s="685"/>
    </row>
    <row r="13" spans="1:51">
      <c r="A13" s="685"/>
      <c r="B13" s="1187" t="s">
        <v>182</v>
      </c>
      <c r="C13" s="1188"/>
      <c r="D13" s="1188"/>
      <c r="E13" s="1188">
        <f>E8+E9</f>
        <v>17559.151691940959</v>
      </c>
      <c r="F13" s="1188">
        <f>F8+F9</f>
        <v>18072.703278763511</v>
      </c>
      <c r="G13" s="1188">
        <f>G8+G9</f>
        <v>19916.829977941648</v>
      </c>
      <c r="H13" s="1188">
        <f>H73</f>
        <v>20087</v>
      </c>
      <c r="I13" s="1188">
        <f>I73</f>
        <v>21568</v>
      </c>
      <c r="J13" s="1188">
        <f>J73</f>
        <v>23634.9</v>
      </c>
      <c r="K13" s="1188">
        <f t="shared" ref="K13:Q13" si="12">K73</f>
        <v>26613.8</v>
      </c>
      <c r="L13" s="1188">
        <f t="shared" si="12"/>
        <v>28205.576890624998</v>
      </c>
      <c r="M13" s="1188">
        <f t="shared" si="12"/>
        <v>30007.9</v>
      </c>
      <c r="N13" s="1188">
        <f t="shared" si="12"/>
        <v>32375.299999999992</v>
      </c>
      <c r="O13" s="1188">
        <f t="shared" si="12"/>
        <v>33577.899999999994</v>
      </c>
      <c r="P13" s="1188">
        <f t="shared" si="12"/>
        <v>32780</v>
      </c>
      <c r="Q13" s="1188">
        <f t="shared" si="12"/>
        <v>36572.5</v>
      </c>
      <c r="R13" s="1188">
        <f t="shared" ref="R13:X13" si="13">R73</f>
        <v>38218.1</v>
      </c>
      <c r="S13" s="1188">
        <f t="shared" si="13"/>
        <v>38810.299999999996</v>
      </c>
      <c r="T13" s="1188">
        <f t="shared" si="13"/>
        <v>43601.599999999999</v>
      </c>
      <c r="U13" s="1188">
        <f t="shared" si="13"/>
        <v>25536.03</v>
      </c>
      <c r="V13" s="1188">
        <f t="shared" si="13"/>
        <v>24218.100000000002</v>
      </c>
      <c r="W13" s="1188">
        <f t="shared" si="13"/>
        <v>24362.760803532561</v>
      </c>
      <c r="X13" s="1188">
        <f t="shared" si="13"/>
        <v>21401.905240149226</v>
      </c>
      <c r="Y13" s="1188">
        <f>Y73</f>
        <v>21415.856886123318</v>
      </c>
      <c r="Z13" s="1188">
        <f>Z73</f>
        <v>21580.9097714204</v>
      </c>
      <c r="AA13" s="1188">
        <f>AA73</f>
        <v>21913.908011292671</v>
      </c>
      <c r="AB13" s="1188">
        <f>AB73</f>
        <v>22329.002138978634</v>
      </c>
      <c r="AC13" s="1188">
        <f>AC73</f>
        <v>22780.389856373589</v>
      </c>
      <c r="AD13" s="685"/>
      <c r="AE13" s="685"/>
      <c r="AF13" s="685"/>
      <c r="AG13" s="685"/>
      <c r="AH13" s="685"/>
      <c r="AI13" s="685"/>
      <c r="AJ13" s="685"/>
      <c r="AK13" s="685"/>
      <c r="AL13" s="685"/>
      <c r="AM13" s="685"/>
      <c r="AN13" s="685"/>
      <c r="AO13" s="685"/>
      <c r="AP13" s="685"/>
      <c r="AQ13" s="685"/>
      <c r="AR13" s="685"/>
      <c r="AS13" s="685"/>
      <c r="AT13" s="685"/>
      <c r="AU13" s="685"/>
      <c r="AV13" s="685"/>
      <c r="AW13" s="685"/>
      <c r="AX13" s="685"/>
      <c r="AY13" s="685"/>
    </row>
    <row r="14" spans="1:51">
      <c r="A14" s="685"/>
      <c r="B14" s="1189"/>
      <c r="C14" s="1189"/>
      <c r="D14" s="1197"/>
      <c r="E14" s="1197"/>
      <c r="F14" s="1197"/>
      <c r="G14" s="1194"/>
      <c r="H14" s="1194"/>
      <c r="I14" s="1194"/>
      <c r="J14" s="1194"/>
      <c r="K14" s="1189"/>
      <c r="L14" s="1198"/>
      <c r="M14" s="1189"/>
      <c r="N14" s="1189"/>
      <c r="O14" s="1189"/>
      <c r="P14" s="1189"/>
      <c r="Q14" s="1191"/>
      <c r="R14" s="1198"/>
      <c r="S14" s="1189"/>
      <c r="T14" s="1189"/>
      <c r="U14" s="1189"/>
      <c r="V14" s="1189"/>
      <c r="W14" s="1189"/>
      <c r="X14" s="1189"/>
      <c r="Y14" s="1189"/>
      <c r="Z14" s="1189"/>
      <c r="AA14" s="1189"/>
      <c r="AB14" s="1189"/>
      <c r="AC14" s="1189"/>
      <c r="AD14" s="685"/>
      <c r="AE14" s="685"/>
      <c r="AF14" s="685"/>
      <c r="AG14" s="685"/>
      <c r="AH14" s="685"/>
      <c r="AI14" s="685"/>
      <c r="AJ14" s="685"/>
      <c r="AK14" s="685"/>
      <c r="AL14" s="685"/>
      <c r="AM14" s="685"/>
      <c r="AN14" s="685"/>
      <c r="AO14" s="685"/>
      <c r="AP14" s="685"/>
      <c r="AQ14" s="685"/>
      <c r="AR14" s="685"/>
      <c r="AS14" s="685"/>
      <c r="AT14" s="685"/>
      <c r="AU14" s="685"/>
      <c r="AV14" s="685"/>
      <c r="AW14" s="685"/>
      <c r="AX14" s="685"/>
      <c r="AY14" s="685"/>
    </row>
    <row r="15" spans="1:51">
      <c r="A15" s="685"/>
      <c r="B15" s="1189" t="s">
        <v>184</v>
      </c>
      <c r="C15" s="1197"/>
      <c r="D15" s="1197"/>
      <c r="E15" s="1197">
        <f t="shared" ref="E15:Q15" si="14">E182</f>
        <v>0</v>
      </c>
      <c r="F15" s="1197">
        <f t="shared" si="14"/>
        <v>0</v>
      </c>
      <c r="G15" s="1197">
        <f t="shared" si="14"/>
        <v>0</v>
      </c>
      <c r="H15" s="1197">
        <f t="shared" si="14"/>
        <v>4390</v>
      </c>
      <c r="I15" s="1197">
        <f t="shared" si="14"/>
        <v>5697</v>
      </c>
      <c r="J15" s="1197">
        <f t="shared" si="14"/>
        <v>6501</v>
      </c>
      <c r="K15" s="1197">
        <f t="shared" si="14"/>
        <v>7122.2916099069244</v>
      </c>
      <c r="L15" s="1197">
        <f t="shared" si="14"/>
        <v>8426.7308289351131</v>
      </c>
      <c r="M15" s="1197">
        <f t="shared" si="14"/>
        <v>9411.8212326843186</v>
      </c>
      <c r="N15" s="1197">
        <f t="shared" si="14"/>
        <v>11222.332339055185</v>
      </c>
      <c r="O15" s="1197">
        <f t="shared" si="14"/>
        <v>12681.492375298647</v>
      </c>
      <c r="P15" s="1197">
        <f t="shared" si="14"/>
        <v>13775.112009065635</v>
      </c>
      <c r="Q15" s="1197">
        <f t="shared" si="14"/>
        <v>15461.690203840175</v>
      </c>
      <c r="R15" s="1197">
        <f t="shared" ref="R15:X15" si="15">R182</f>
        <v>15598.453258756492</v>
      </c>
      <c r="S15" s="1197">
        <f t="shared" si="15"/>
        <v>15664.841174858946</v>
      </c>
      <c r="T15" s="1197">
        <f t="shared" si="15"/>
        <v>16057.827405879905</v>
      </c>
      <c r="U15" s="1197">
        <f>U182</f>
        <v>15135.795108159535</v>
      </c>
      <c r="V15" s="1197">
        <f t="shared" si="15"/>
        <v>17056.628302968726</v>
      </c>
      <c r="W15" s="1197">
        <f t="shared" si="15"/>
        <v>16645.827061610464</v>
      </c>
      <c r="X15" s="1197">
        <f t="shared" si="15"/>
        <v>15398.62882583176</v>
      </c>
      <c r="Y15" s="1197">
        <f>Y182</f>
        <v>15154.176444513179</v>
      </c>
      <c r="Z15" s="1197">
        <f>Z182</f>
        <v>14991.13011103594</v>
      </c>
      <c r="AA15" s="1197">
        <f>AA182</f>
        <v>14855.062468107748</v>
      </c>
      <c r="AB15" s="1197">
        <f>AB182</f>
        <v>14763.968475931628</v>
      </c>
      <c r="AC15" s="1197">
        <f>AC182</f>
        <v>14719.920510663285</v>
      </c>
      <c r="AD15" s="685"/>
      <c r="AE15" s="685"/>
      <c r="AF15" s="685"/>
      <c r="AG15" s="685"/>
      <c r="AH15" s="685"/>
      <c r="AI15" s="685"/>
      <c r="AJ15" s="685"/>
      <c r="AK15" s="685"/>
      <c r="AL15" s="685"/>
      <c r="AM15" s="685"/>
      <c r="AN15" s="685"/>
      <c r="AO15" s="685"/>
      <c r="AP15" s="685"/>
      <c r="AQ15" s="685"/>
      <c r="AR15" s="685"/>
      <c r="AS15" s="685"/>
      <c r="AT15" s="685"/>
      <c r="AU15" s="685"/>
      <c r="AV15" s="685"/>
      <c r="AW15" s="685"/>
      <c r="AX15" s="685"/>
      <c r="AY15" s="685"/>
    </row>
    <row r="16" spans="1:51">
      <c r="A16" s="685"/>
      <c r="B16" s="1189" t="s">
        <v>185</v>
      </c>
      <c r="C16" s="1197"/>
      <c r="D16" s="1197"/>
      <c r="E16" s="1197">
        <f t="shared" ref="E16:Q16" si="16">E206</f>
        <v>0</v>
      </c>
      <c r="F16" s="1197">
        <f t="shared" si="16"/>
        <v>0</v>
      </c>
      <c r="G16" s="1197">
        <f t="shared" si="16"/>
        <v>0</v>
      </c>
      <c r="H16" s="1197">
        <f t="shared" si="16"/>
        <v>540</v>
      </c>
      <c r="I16" s="1197">
        <f t="shared" si="16"/>
        <v>882</v>
      </c>
      <c r="J16" s="1197">
        <f t="shared" si="16"/>
        <v>928.69999999999982</v>
      </c>
      <c r="K16" s="1197">
        <f t="shared" si="16"/>
        <v>1351.7083900930756</v>
      </c>
      <c r="L16" s="1197">
        <f t="shared" si="16"/>
        <v>1419.2691710648869</v>
      </c>
      <c r="M16" s="1197">
        <f t="shared" si="16"/>
        <v>2151.1787673156814</v>
      </c>
      <c r="N16" s="1197">
        <f t="shared" si="16"/>
        <v>3438.5676609448146</v>
      </c>
      <c r="O16" s="1197">
        <f t="shared" si="16"/>
        <v>4298.3076247013523</v>
      </c>
      <c r="P16" s="1197">
        <f t="shared" si="16"/>
        <v>4760.887990934365</v>
      </c>
      <c r="Q16" s="1197">
        <f t="shared" si="16"/>
        <v>4372.3097961598251</v>
      </c>
      <c r="R16" s="1197">
        <f t="shared" ref="R16:X16" si="17">R206</f>
        <v>5409.5467412435082</v>
      </c>
      <c r="S16" s="1197">
        <f t="shared" si="17"/>
        <v>5596.158825141054</v>
      </c>
      <c r="T16" s="1197">
        <f t="shared" si="17"/>
        <v>5360.4725941200941</v>
      </c>
      <c r="U16" s="1197">
        <f>U206</f>
        <v>5981.6048918404667</v>
      </c>
      <c r="V16" s="1197">
        <f t="shared" si="17"/>
        <v>4497.7716970312758</v>
      </c>
      <c r="W16" s="1197">
        <f t="shared" si="17"/>
        <v>4443.835</v>
      </c>
      <c r="X16" s="1197">
        <f t="shared" si="17"/>
        <v>4454.7206399999995</v>
      </c>
      <c r="Y16" s="1197">
        <f>Y206</f>
        <v>4489.8955867999994</v>
      </c>
      <c r="Z16" s="1197">
        <f>Z206</f>
        <v>4468.4457682479988</v>
      </c>
      <c r="AA16" s="1197">
        <f>AA206</f>
        <v>4397.8096507427981</v>
      </c>
      <c r="AB16" s="1197">
        <f>AB206</f>
        <v>4286.5005366734695</v>
      </c>
      <c r="AC16" s="1197">
        <f>AC206</f>
        <v>4143.5519189810711</v>
      </c>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5"/>
    </row>
    <row r="17" spans="1:51">
      <c r="A17" s="685"/>
      <c r="B17" s="1189"/>
      <c r="C17" s="1189"/>
      <c r="D17" s="1197"/>
      <c r="E17" s="1197"/>
      <c r="F17" s="1197"/>
      <c r="G17" s="1197"/>
      <c r="H17" s="1195"/>
      <c r="I17" s="1195"/>
      <c r="J17" s="1195"/>
      <c r="K17" s="1189"/>
      <c r="L17" s="1189"/>
      <c r="M17" s="1189"/>
      <c r="N17" s="1189"/>
      <c r="O17" s="1189"/>
      <c r="P17" s="1189"/>
      <c r="Q17" s="1189"/>
      <c r="R17" s="1189"/>
      <c r="S17" s="1189"/>
      <c r="T17" s="1189"/>
      <c r="U17" s="1189"/>
      <c r="V17" s="1189"/>
      <c r="W17" s="1197"/>
      <c r="X17" s="1197"/>
      <c r="Y17" s="1189"/>
      <c r="Z17" s="1189"/>
      <c r="AA17" s="1189"/>
      <c r="AB17" s="1189"/>
      <c r="AC17" s="1189"/>
      <c r="AD17" s="685"/>
      <c r="AE17" s="685"/>
      <c r="AF17" s="685"/>
      <c r="AG17" s="685"/>
      <c r="AH17" s="685"/>
      <c r="AI17" s="685"/>
      <c r="AJ17" s="685"/>
      <c r="AK17" s="685"/>
      <c r="AL17" s="685"/>
      <c r="AM17" s="685"/>
      <c r="AN17" s="685"/>
      <c r="AO17" s="685"/>
      <c r="AP17" s="685"/>
      <c r="AQ17" s="685"/>
      <c r="AR17" s="685"/>
      <c r="AS17" s="685"/>
      <c r="AT17" s="685"/>
      <c r="AU17" s="685"/>
      <c r="AV17" s="685"/>
      <c r="AW17" s="685"/>
      <c r="AX17" s="685"/>
      <c r="AY17" s="685"/>
    </row>
    <row r="18" spans="1:51">
      <c r="A18" s="685"/>
      <c r="B18" s="1187" t="s">
        <v>186</v>
      </c>
      <c r="C18" s="1188"/>
      <c r="D18" s="1188"/>
      <c r="E18" s="1188">
        <f t="shared" ref="E18:P18" si="18">E13-E15-E16</f>
        <v>17559.151691940959</v>
      </c>
      <c r="F18" s="1188">
        <f t="shared" si="18"/>
        <v>18072.703278763511</v>
      </c>
      <c r="G18" s="1188">
        <f t="shared" si="18"/>
        <v>19916.829977941648</v>
      </c>
      <c r="H18" s="1188">
        <f t="shared" si="18"/>
        <v>15157</v>
      </c>
      <c r="I18" s="1188">
        <f t="shared" si="18"/>
        <v>14989</v>
      </c>
      <c r="J18" s="1188">
        <f t="shared" si="18"/>
        <v>16205.2</v>
      </c>
      <c r="K18" s="1188">
        <f t="shared" si="18"/>
        <v>18139.800000000003</v>
      </c>
      <c r="L18" s="1188">
        <f t="shared" si="18"/>
        <v>18359.576890624998</v>
      </c>
      <c r="M18" s="1188">
        <f t="shared" si="18"/>
        <v>18444.900000000001</v>
      </c>
      <c r="N18" s="1188">
        <f t="shared" si="18"/>
        <v>17714.399999999994</v>
      </c>
      <c r="O18" s="1188">
        <f t="shared" si="18"/>
        <v>16598.099999999995</v>
      </c>
      <c r="P18" s="1188">
        <f t="shared" si="18"/>
        <v>14244.000000000002</v>
      </c>
      <c r="Q18" s="1188">
        <f>Q13-Q15-Q16</f>
        <v>16738.5</v>
      </c>
      <c r="R18" s="1188">
        <f t="shared" ref="R18:X18" si="19">R13-R15-R16</f>
        <v>17210.099999999999</v>
      </c>
      <c r="S18" s="1188">
        <f t="shared" si="19"/>
        <v>17549.299999999996</v>
      </c>
      <c r="T18" s="1188">
        <f t="shared" si="19"/>
        <v>22183.299999999996</v>
      </c>
      <c r="U18" s="1188">
        <f t="shared" si="19"/>
        <v>4418.6299999999974</v>
      </c>
      <c r="V18" s="1188">
        <f t="shared" si="19"/>
        <v>2663.7000000000007</v>
      </c>
      <c r="W18" s="1188">
        <f t="shared" si="19"/>
        <v>3273.0987419220974</v>
      </c>
      <c r="X18" s="1188">
        <f t="shared" si="19"/>
        <v>1548.5557743174668</v>
      </c>
      <c r="Y18" s="1188">
        <f>Y13-Y15-Y16</f>
        <v>1771.7848548101392</v>
      </c>
      <c r="Z18" s="1188">
        <f>Z13-Z15-Z16</f>
        <v>2121.3338921364611</v>
      </c>
      <c r="AA18" s="1188">
        <f>AA13-AA15-AA16</f>
        <v>2661.0358924421253</v>
      </c>
      <c r="AB18" s="1188">
        <f>AB13-AB15-AB16</f>
        <v>3278.533126373537</v>
      </c>
      <c r="AC18" s="1188">
        <f>AC13-AC15-AC16</f>
        <v>3916.9174267292328</v>
      </c>
      <c r="AD18" s="685"/>
      <c r="AE18" s="685"/>
      <c r="AF18" s="685"/>
      <c r="AG18" s="685"/>
      <c r="AH18" s="685"/>
      <c r="AI18" s="685"/>
      <c r="AJ18" s="685"/>
      <c r="AK18" s="685"/>
      <c r="AL18" s="685"/>
      <c r="AM18" s="685"/>
      <c r="AN18" s="685"/>
      <c r="AO18" s="685"/>
      <c r="AP18" s="685"/>
      <c r="AQ18" s="685"/>
      <c r="AR18" s="685"/>
      <c r="AS18" s="685"/>
      <c r="AT18" s="685"/>
      <c r="AU18" s="685"/>
      <c r="AV18" s="685"/>
      <c r="AW18" s="685"/>
      <c r="AX18" s="685"/>
      <c r="AY18" s="685"/>
    </row>
    <row r="19" spans="1:51">
      <c r="A19" s="685"/>
      <c r="B19" s="1189"/>
      <c r="C19" s="1189"/>
      <c r="D19" s="1189"/>
      <c r="E19" s="1189"/>
      <c r="F19" s="1189"/>
      <c r="G19" s="1189"/>
      <c r="H19" s="1189"/>
      <c r="I19" s="1189"/>
      <c r="J19" s="1189"/>
      <c r="K19" s="1189"/>
      <c r="L19" s="1189"/>
      <c r="M19" s="1189"/>
      <c r="N19" s="1189"/>
      <c r="O19" s="1189"/>
      <c r="P19" s="1189"/>
      <c r="Q19" s="1189"/>
      <c r="R19" s="1189"/>
      <c r="S19" s="1189"/>
      <c r="T19" s="1189"/>
      <c r="U19" s="1197"/>
      <c r="V19" s="1197"/>
      <c r="W19" s="1197"/>
      <c r="X19" s="1197"/>
      <c r="Y19" s="1189"/>
      <c r="Z19" s="1189"/>
      <c r="AA19" s="1189"/>
      <c r="AB19" s="1189"/>
      <c r="AC19" s="1189"/>
      <c r="AD19" s="685"/>
      <c r="AE19" s="685"/>
      <c r="AF19" s="685"/>
      <c r="AG19" s="685"/>
      <c r="AH19" s="685"/>
      <c r="AI19" s="685"/>
      <c r="AJ19" s="685"/>
      <c r="AK19" s="685"/>
      <c r="AL19" s="685"/>
      <c r="AM19" s="685"/>
      <c r="AN19" s="685"/>
      <c r="AO19" s="685"/>
      <c r="AP19" s="685"/>
      <c r="AQ19" s="685"/>
      <c r="AR19" s="685"/>
      <c r="AS19" s="685"/>
      <c r="AT19" s="685"/>
      <c r="AU19" s="685"/>
      <c r="AV19" s="685"/>
      <c r="AW19" s="685"/>
      <c r="AX19" s="685"/>
      <c r="AY19" s="685"/>
    </row>
    <row r="20" spans="1:51">
      <c r="A20" s="685"/>
      <c r="B20" s="1189" t="s">
        <v>187</v>
      </c>
      <c r="C20" s="1197"/>
      <c r="D20" s="1197"/>
      <c r="E20" s="1197">
        <f t="shared" ref="E20:Q20" si="20">E236</f>
        <v>0</v>
      </c>
      <c r="F20" s="1197">
        <f t="shared" si="20"/>
        <v>0</v>
      </c>
      <c r="G20" s="1197">
        <f t="shared" si="20"/>
        <v>0</v>
      </c>
      <c r="H20" s="1197">
        <f t="shared" si="20"/>
        <v>2973</v>
      </c>
      <c r="I20" s="1197">
        <f t="shared" si="20"/>
        <v>3028</v>
      </c>
      <c r="J20" s="1197">
        <f t="shared" si="20"/>
        <v>4143</v>
      </c>
      <c r="K20" s="1197">
        <f t="shared" si="20"/>
        <v>3350.5</v>
      </c>
      <c r="L20" s="1197">
        <f t="shared" si="20"/>
        <v>-885</v>
      </c>
      <c r="M20" s="1197">
        <f t="shared" si="20"/>
        <v>4329</v>
      </c>
      <c r="N20" s="1197">
        <f t="shared" si="20"/>
        <v>-1702</v>
      </c>
      <c r="O20" s="1197">
        <f t="shared" si="20"/>
        <v>9532.1</v>
      </c>
      <c r="P20" s="1197">
        <f t="shared" si="20"/>
        <v>5305</v>
      </c>
      <c r="Q20" s="1197">
        <f t="shared" si="20"/>
        <v>8779.6</v>
      </c>
      <c r="R20" s="1197">
        <f t="shared" ref="R20:X20" si="21">R236</f>
        <v>8810.8000000000011</v>
      </c>
      <c r="S20" s="1197">
        <f t="shared" si="21"/>
        <v>5584.2</v>
      </c>
      <c r="T20" s="1197">
        <f t="shared" si="21"/>
        <v>11918</v>
      </c>
      <c r="U20" s="1197">
        <f t="shared" si="21"/>
        <v>9206.2000000000007</v>
      </c>
      <c r="V20" s="1197">
        <f t="shared" si="21"/>
        <v>4624.2999999999993</v>
      </c>
      <c r="W20" s="1197">
        <f t="shared" ca="1" si="21"/>
        <v>4586.7847606338692</v>
      </c>
      <c r="X20" s="1197">
        <f t="shared" ca="1" si="21"/>
        <v>4942.0396161709232</v>
      </c>
      <c r="Y20" s="1197">
        <f ca="1">Y236</f>
        <v>4872.2733613876389</v>
      </c>
      <c r="Z20" s="1197">
        <f ca="1">Z236</f>
        <v>4731.9534104969716</v>
      </c>
      <c r="AA20" s="1197">
        <f ca="1">AA236</f>
        <v>4528.2394431840949</v>
      </c>
      <c r="AB20" s="1197">
        <f ca="1">AB236</f>
        <v>4270.6216297725532</v>
      </c>
      <c r="AC20" s="1197">
        <f ca="1">AC236</f>
        <v>3980.5631004840288</v>
      </c>
      <c r="AD20" s="685"/>
      <c r="AE20" s="685"/>
      <c r="AF20" s="685"/>
      <c r="AG20" s="685"/>
      <c r="AH20" s="685"/>
      <c r="AI20" s="685"/>
      <c r="AJ20" s="685"/>
      <c r="AK20" s="685"/>
      <c r="AL20" s="685"/>
      <c r="AM20" s="685"/>
      <c r="AN20" s="685"/>
      <c r="AO20" s="685"/>
      <c r="AP20" s="685"/>
      <c r="AQ20" s="685"/>
      <c r="AR20" s="685"/>
      <c r="AS20" s="685"/>
      <c r="AT20" s="685"/>
      <c r="AU20" s="685"/>
      <c r="AV20" s="685"/>
      <c r="AW20" s="685"/>
      <c r="AX20" s="685"/>
      <c r="AY20" s="685"/>
    </row>
    <row r="21" spans="1:51">
      <c r="A21" s="685"/>
      <c r="B21" s="1189" t="s">
        <v>188</v>
      </c>
      <c r="C21" s="1197"/>
      <c r="D21" s="1197"/>
      <c r="E21" s="1197"/>
      <c r="F21" s="1197"/>
      <c r="G21" s="1197"/>
      <c r="H21" s="1199"/>
      <c r="I21" s="1199"/>
      <c r="J21" s="1199"/>
      <c r="K21" s="1199"/>
      <c r="L21" s="1199"/>
      <c r="M21" s="1199"/>
      <c r="N21" s="1199"/>
      <c r="O21" s="1197"/>
      <c r="P21" s="1197"/>
      <c r="Q21" s="1197"/>
      <c r="R21" s="1197"/>
      <c r="S21" s="1197"/>
      <c r="T21" s="1197"/>
      <c r="U21" s="1197"/>
      <c r="V21" s="1197"/>
      <c r="W21" s="1197"/>
      <c r="X21" s="1197"/>
      <c r="Y21" s="1197"/>
      <c r="Z21" s="1197"/>
      <c r="AA21" s="1197"/>
      <c r="AB21" s="1197"/>
      <c r="AC21" s="1197"/>
      <c r="AD21" s="685"/>
      <c r="AE21" s="685"/>
      <c r="AF21" s="685"/>
      <c r="AG21" s="685"/>
      <c r="AH21" s="685"/>
      <c r="AI21" s="685"/>
      <c r="AJ21" s="685"/>
      <c r="AK21" s="685"/>
      <c r="AL21" s="685"/>
      <c r="AM21" s="685"/>
      <c r="AN21" s="685"/>
      <c r="AO21" s="685"/>
      <c r="AP21" s="685"/>
      <c r="AQ21" s="685"/>
      <c r="AR21" s="685"/>
      <c r="AS21" s="685"/>
      <c r="AT21" s="685"/>
      <c r="AU21" s="685"/>
      <c r="AV21" s="685"/>
      <c r="AW21" s="685"/>
      <c r="AX21" s="685"/>
      <c r="AY21" s="685"/>
    </row>
    <row r="22" spans="1:51">
      <c r="A22" s="685"/>
      <c r="B22" s="1189" t="s">
        <v>189</v>
      </c>
      <c r="C22" s="1197"/>
      <c r="D22" s="1197"/>
      <c r="E22" s="1197"/>
      <c r="F22" s="1197"/>
      <c r="G22" s="1197"/>
      <c r="H22" s="1199">
        <v>1765</v>
      </c>
      <c r="I22" s="1199">
        <v>567</v>
      </c>
      <c r="J22" s="1199">
        <f>640-J12</f>
        <v>46</v>
      </c>
      <c r="K22" s="1199">
        <f>650-K12</f>
        <v>-0.39999999999997726</v>
      </c>
      <c r="L22" s="1199">
        <f>-30*Interims!Q180</f>
        <v>-379.22310937500009</v>
      </c>
      <c r="M22" s="1199">
        <v>290</v>
      </c>
      <c r="N22" s="1199">
        <v>-1031</v>
      </c>
      <c r="O22" s="1197"/>
      <c r="P22" s="1197"/>
      <c r="Q22" s="1197"/>
      <c r="R22" s="1197"/>
      <c r="S22" s="1197"/>
      <c r="T22" s="1197"/>
      <c r="U22" s="1197"/>
      <c r="V22" s="1197"/>
      <c r="W22" s="1200">
        <v>0</v>
      </c>
      <c r="X22" s="1200">
        <v>0</v>
      </c>
      <c r="Y22" s="1200">
        <v>0</v>
      </c>
      <c r="Z22" s="1200">
        <v>0</v>
      </c>
      <c r="AA22" s="1200">
        <v>0</v>
      </c>
      <c r="AB22" s="1200">
        <v>0</v>
      </c>
      <c r="AC22" s="1200">
        <v>0</v>
      </c>
      <c r="AD22" s="685"/>
      <c r="AE22" s="685"/>
      <c r="AF22" s="685"/>
      <c r="AG22" s="685"/>
      <c r="AH22" s="685"/>
      <c r="AI22" s="685"/>
      <c r="AJ22" s="685"/>
      <c r="AK22" s="685"/>
      <c r="AL22" s="685"/>
      <c r="AM22" s="685"/>
      <c r="AN22" s="685"/>
      <c r="AO22" s="685"/>
      <c r="AP22" s="685"/>
      <c r="AQ22" s="685"/>
      <c r="AR22" s="685"/>
      <c r="AS22" s="685"/>
      <c r="AT22" s="685"/>
      <c r="AU22" s="685"/>
      <c r="AV22" s="685"/>
      <c r="AW22" s="685"/>
      <c r="AX22" s="685"/>
      <c r="AY22" s="685"/>
    </row>
    <row r="23" spans="1:51">
      <c r="A23" s="685"/>
      <c r="B23" s="1189" t="s">
        <v>190</v>
      </c>
      <c r="C23" s="1197"/>
      <c r="D23" s="1197"/>
      <c r="E23" s="1197">
        <f t="shared" ref="E23:Q23" si="22">E376</f>
        <v>0</v>
      </c>
      <c r="F23" s="1197">
        <f t="shared" si="22"/>
        <v>0</v>
      </c>
      <c r="G23" s="1197">
        <f t="shared" si="22"/>
        <v>0</v>
      </c>
      <c r="H23" s="1197">
        <f t="shared" si="22"/>
        <v>-715</v>
      </c>
      <c r="I23" s="1197">
        <f t="shared" si="22"/>
        <v>-212</v>
      </c>
      <c r="J23" s="1197">
        <f t="shared" si="22"/>
        <v>-449</v>
      </c>
      <c r="K23" s="1197">
        <f t="shared" si="22"/>
        <v>-666.6</v>
      </c>
      <c r="L23" s="1197">
        <f t="shared" si="22"/>
        <v>-5659.9</v>
      </c>
      <c r="M23" s="1197">
        <f t="shared" si="22"/>
        <v>-4185.3999999999996</v>
      </c>
      <c r="N23" s="1197">
        <f t="shared" si="22"/>
        <v>35.4</v>
      </c>
      <c r="O23" s="1197">
        <f t="shared" si="22"/>
        <v>1139.4000000000001</v>
      </c>
      <c r="P23" s="1197">
        <f t="shared" si="22"/>
        <v>1913</v>
      </c>
      <c r="Q23" s="1197">
        <f t="shared" si="22"/>
        <v>532.9</v>
      </c>
      <c r="R23" s="1197">
        <f t="shared" ref="R23:X23" si="23">R376</f>
        <v>581.1</v>
      </c>
      <c r="S23" s="1197">
        <f t="shared" si="23"/>
        <v>-5769.4</v>
      </c>
      <c r="T23" s="1197">
        <f t="shared" si="23"/>
        <v>3558.8</v>
      </c>
      <c r="U23" s="1197">
        <f t="shared" si="23"/>
        <v>-8453.2999999999993</v>
      </c>
      <c r="V23" s="1197">
        <f t="shared" si="23"/>
        <v>-6210.1</v>
      </c>
      <c r="W23" s="1197">
        <f t="shared" si="23"/>
        <v>1304.0191193481494</v>
      </c>
      <c r="X23" s="1197">
        <f t="shared" si="23"/>
        <v>1607.6133782563372</v>
      </c>
      <c r="Y23" s="1197">
        <f>Y376</f>
        <v>2537.7952140138909</v>
      </c>
      <c r="Z23" s="1197">
        <f>Z376</f>
        <v>3104.1163116171429</v>
      </c>
      <c r="AA23" s="1197">
        <f>AA376</f>
        <v>3554.2555033325812</v>
      </c>
      <c r="AB23" s="1197">
        <f>AB376</f>
        <v>3893.5291206098705</v>
      </c>
      <c r="AC23" s="1197">
        <f>AC376</f>
        <v>4250.5941426337922</v>
      </c>
      <c r="AD23" s="685"/>
      <c r="AE23" s="685"/>
      <c r="AF23" s="685"/>
      <c r="AG23" s="685"/>
      <c r="AH23" s="685"/>
      <c r="AI23" s="685"/>
      <c r="AJ23" s="685"/>
      <c r="AK23" s="685"/>
      <c r="AL23" s="685"/>
      <c r="AM23" s="685"/>
      <c r="AN23" s="685"/>
      <c r="AO23" s="685"/>
      <c r="AP23" s="685"/>
      <c r="AQ23" s="685"/>
      <c r="AR23" s="685"/>
      <c r="AS23" s="685"/>
      <c r="AT23" s="685"/>
      <c r="AU23" s="685"/>
      <c r="AV23" s="685"/>
      <c r="AW23" s="685"/>
      <c r="AX23" s="685"/>
      <c r="AY23" s="685"/>
    </row>
    <row r="24" spans="1:51">
      <c r="A24" s="685"/>
      <c r="B24" s="1189"/>
      <c r="C24" s="1189"/>
      <c r="D24" s="1189"/>
      <c r="E24" s="1189"/>
      <c r="F24" s="1189"/>
      <c r="G24" s="1189"/>
      <c r="H24" s="1189"/>
      <c r="I24" s="1189"/>
      <c r="J24" s="1189"/>
      <c r="K24" s="1189"/>
      <c r="L24" s="1189"/>
      <c r="M24" s="1189"/>
      <c r="N24" s="1189"/>
      <c r="O24" s="1189"/>
      <c r="P24" s="1189"/>
      <c r="Q24" s="1189"/>
      <c r="R24" s="1189"/>
      <c r="S24" s="1189"/>
      <c r="T24" s="1189"/>
      <c r="U24" s="1189"/>
      <c r="V24" s="1189"/>
      <c r="W24" s="1189"/>
      <c r="X24" s="1189"/>
      <c r="Y24" s="1189"/>
      <c r="Z24" s="1189"/>
      <c r="AA24" s="1189"/>
      <c r="AB24" s="1189"/>
      <c r="AC24" s="1189"/>
      <c r="AD24" s="685"/>
      <c r="AE24" s="685"/>
      <c r="AF24" s="685"/>
      <c r="AG24" s="685"/>
      <c r="AH24" s="685"/>
      <c r="AI24" s="685"/>
      <c r="AJ24" s="685"/>
      <c r="AK24" s="685"/>
      <c r="AL24" s="685"/>
      <c r="AM24" s="685"/>
      <c r="AN24" s="685"/>
      <c r="AO24" s="685"/>
      <c r="AP24" s="685"/>
      <c r="AQ24" s="685"/>
      <c r="AR24" s="685"/>
      <c r="AS24" s="685"/>
      <c r="AT24" s="685"/>
      <c r="AU24" s="685"/>
      <c r="AV24" s="685"/>
      <c r="AW24" s="685"/>
      <c r="AX24" s="685"/>
      <c r="AY24" s="685"/>
    </row>
    <row r="25" spans="1:51">
      <c r="A25" s="685"/>
      <c r="B25" s="1187" t="s">
        <v>191</v>
      </c>
      <c r="C25" s="1188"/>
      <c r="D25" s="1188"/>
      <c r="E25" s="1188"/>
      <c r="F25" s="1188"/>
      <c r="G25" s="1188"/>
      <c r="H25" s="1188">
        <f>H18-H20+H23+H21-H22</f>
        <v>9704</v>
      </c>
      <c r="I25" s="1188">
        <f>I18-I20+I23+I21-I22</f>
        <v>11182</v>
      </c>
      <c r="J25" s="1188">
        <f>J18-J20+J23+J21-J22</f>
        <v>11567.2</v>
      </c>
      <c r="K25" s="1188">
        <f t="shared" ref="K25:Q25" si="24">K18-K20+K23+K21-K22</f>
        <v>14123.100000000002</v>
      </c>
      <c r="L25" s="1188">
        <f t="shared" si="24"/>
        <v>13963.899999999998</v>
      </c>
      <c r="M25" s="1188">
        <f t="shared" si="24"/>
        <v>9640.5000000000018</v>
      </c>
      <c r="N25" s="1188">
        <f t="shared" si="24"/>
        <v>20482.799999999996</v>
      </c>
      <c r="O25" s="1188">
        <f t="shared" si="24"/>
        <v>8205.3999999999942</v>
      </c>
      <c r="P25" s="1188">
        <f t="shared" si="24"/>
        <v>10852.000000000002</v>
      </c>
      <c r="Q25" s="1188">
        <f t="shared" si="24"/>
        <v>8491.7999999999993</v>
      </c>
      <c r="R25" s="1188">
        <f t="shared" ref="R25:X25" si="25">R18-R20+R23+R21-R22</f>
        <v>8980.3999999999978</v>
      </c>
      <c r="S25" s="1188">
        <f t="shared" si="25"/>
        <v>6195.6999999999953</v>
      </c>
      <c r="T25" s="1188">
        <f t="shared" si="25"/>
        <v>13824.099999999995</v>
      </c>
      <c r="U25" s="1188">
        <f t="shared" si="25"/>
        <v>-13240.870000000003</v>
      </c>
      <c r="V25" s="1188">
        <f t="shared" si="25"/>
        <v>-8170.6999999999989</v>
      </c>
      <c r="W25" s="1188">
        <f t="shared" ca="1" si="25"/>
        <v>-9.6668993636224059</v>
      </c>
      <c r="X25" s="1188">
        <f t="shared" ca="1" si="25"/>
        <v>-1785.8704635971192</v>
      </c>
      <c r="Y25" s="1188">
        <f ca="1">Y18-Y20+Y23+Y21-Y22</f>
        <v>-562.69329256360879</v>
      </c>
      <c r="Z25" s="1188">
        <f ca="1">Z18-Z20+Z23+Z21-Z22</f>
        <v>493.49679325663237</v>
      </c>
      <c r="AA25" s="1188">
        <f ca="1">AA18-AA20+AA23+AA21-AA22</f>
        <v>1687.0519525906116</v>
      </c>
      <c r="AB25" s="1188">
        <f ca="1">AB18-AB20+AB23+AB21-AB22</f>
        <v>2901.4406172108543</v>
      </c>
      <c r="AC25" s="1188">
        <f ca="1">AC18-AC20+AC23+AC21-AC22</f>
        <v>4186.9484688789962</v>
      </c>
      <c r="AD25" s="685"/>
      <c r="AE25" s="685"/>
      <c r="AF25" s="685"/>
      <c r="AG25" s="685"/>
      <c r="AH25" s="685"/>
      <c r="AI25" s="685"/>
      <c r="AJ25" s="685"/>
      <c r="AK25" s="685"/>
      <c r="AL25" s="685"/>
      <c r="AM25" s="685"/>
      <c r="AN25" s="685"/>
      <c r="AO25" s="685"/>
      <c r="AP25" s="685"/>
      <c r="AQ25" s="685"/>
      <c r="AR25" s="685"/>
      <c r="AS25" s="685"/>
      <c r="AT25" s="685"/>
      <c r="AU25" s="685"/>
      <c r="AV25" s="685"/>
      <c r="AW25" s="685"/>
      <c r="AX25" s="685"/>
      <c r="AY25" s="685"/>
    </row>
    <row r="26" spans="1:51">
      <c r="A26" s="685"/>
      <c r="B26" s="1189"/>
      <c r="C26" s="1189"/>
      <c r="D26" s="1189"/>
      <c r="E26" s="1189"/>
      <c r="F26" s="1189"/>
      <c r="G26" s="1189"/>
      <c r="H26" s="1189"/>
      <c r="I26" s="1189"/>
      <c r="J26" s="1189"/>
      <c r="K26" s="1189"/>
      <c r="L26" s="1189"/>
      <c r="M26" s="1189"/>
      <c r="N26" s="1189"/>
      <c r="O26" s="1189"/>
      <c r="P26" s="1189"/>
      <c r="Q26" s="1189"/>
      <c r="R26" s="1189"/>
      <c r="S26" s="1189"/>
      <c r="T26" s="1189"/>
      <c r="U26" s="1189"/>
      <c r="V26" s="1189"/>
      <c r="W26" s="1189"/>
      <c r="X26" s="1189"/>
      <c r="Y26" s="1189"/>
      <c r="Z26" s="1189"/>
      <c r="AA26" s="1189"/>
      <c r="AB26" s="1189"/>
      <c r="AC26" s="1189"/>
      <c r="AD26" s="685"/>
      <c r="AE26" s="685"/>
      <c r="AF26" s="685"/>
      <c r="AG26" s="685"/>
      <c r="AH26" s="685"/>
      <c r="AI26" s="685"/>
      <c r="AJ26" s="685"/>
      <c r="AK26" s="685"/>
      <c r="AL26" s="685"/>
      <c r="AM26" s="685"/>
      <c r="AN26" s="685"/>
      <c r="AO26" s="685"/>
      <c r="AP26" s="685"/>
      <c r="AQ26" s="685"/>
      <c r="AR26" s="685"/>
      <c r="AS26" s="685"/>
      <c r="AT26" s="685"/>
      <c r="AU26" s="685"/>
      <c r="AV26" s="685"/>
      <c r="AW26" s="685"/>
      <c r="AX26" s="685"/>
      <c r="AY26" s="685"/>
    </row>
    <row r="27" spans="1:51">
      <c r="A27" s="685"/>
      <c r="B27" s="1189" t="s">
        <v>192</v>
      </c>
      <c r="C27" s="1197"/>
      <c r="D27" s="1197"/>
      <c r="E27" s="1197"/>
      <c r="F27" s="1197"/>
      <c r="G27" s="1197"/>
      <c r="H27" s="1197">
        <f t="shared" ref="H27:Q27" si="26">-H321</f>
        <v>-3121</v>
      </c>
      <c r="I27" s="1197">
        <f t="shared" si="26"/>
        <v>-3259</v>
      </c>
      <c r="J27" s="1197">
        <f t="shared" si="26"/>
        <v>-3410</v>
      </c>
      <c r="K27" s="1197">
        <f t="shared" si="26"/>
        <v>-4053</v>
      </c>
      <c r="L27" s="1197">
        <f t="shared" si="26"/>
        <v>-3729</v>
      </c>
      <c r="M27" s="1197">
        <f t="shared" si="26"/>
        <v>-2983</v>
      </c>
      <c r="N27" s="1197">
        <f t="shared" si="26"/>
        <v>-6332.2</v>
      </c>
      <c r="O27" s="1197">
        <f t="shared" si="26"/>
        <v>-2872.2</v>
      </c>
      <c r="P27" s="1197">
        <f t="shared" si="26"/>
        <v>-4274</v>
      </c>
      <c r="Q27" s="1197">
        <f t="shared" si="26"/>
        <v>-4391</v>
      </c>
      <c r="R27" s="1197">
        <f t="shared" ref="R27:X27" si="27">-R321</f>
        <v>-2776.5</v>
      </c>
      <c r="S27" s="1197">
        <f t="shared" si="27"/>
        <v>-5004.6000000000004</v>
      </c>
      <c r="T27" s="1197">
        <f t="shared" si="27"/>
        <v>-7493.9</v>
      </c>
      <c r="U27" s="1197">
        <f t="shared" si="27"/>
        <v>967.4</v>
      </c>
      <c r="V27" s="1197">
        <f t="shared" si="27"/>
        <v>-2440.9</v>
      </c>
      <c r="W27" s="1197">
        <f t="shared" ca="1" si="27"/>
        <v>746.5544852392967</v>
      </c>
      <c r="X27" s="1197">
        <f t="shared" ca="1" si="27"/>
        <v>455.97547571896786</v>
      </c>
      <c r="Y27" s="1197">
        <f ca="1">-Y321</f>
        <v>369.65278184170018</v>
      </c>
      <c r="Z27" s="1197">
        <f ca="1">-Z321</f>
        <v>228.11978514094324</v>
      </c>
      <c r="AA27" s="1197">
        <f ca="1">-AA321</f>
        <v>15.50624060775117</v>
      </c>
      <c r="AB27" s="1197">
        <f ca="1">-AB321</f>
        <v>-234.07218772027571</v>
      </c>
      <c r="AC27" s="1197">
        <f ca="1">-AC321</f>
        <v>-498.6733193940974</v>
      </c>
      <c r="AD27" s="685"/>
      <c r="AE27" s="685"/>
      <c r="AF27" s="685"/>
      <c r="AG27" s="685"/>
      <c r="AH27" s="685"/>
      <c r="AI27" s="685"/>
      <c r="AJ27" s="685"/>
      <c r="AK27" s="685"/>
      <c r="AL27" s="685"/>
      <c r="AM27" s="685"/>
      <c r="AN27" s="685"/>
      <c r="AO27" s="685"/>
      <c r="AP27" s="685"/>
      <c r="AQ27" s="685"/>
      <c r="AR27" s="685"/>
      <c r="AS27" s="685"/>
      <c r="AT27" s="685"/>
      <c r="AU27" s="685"/>
      <c r="AV27" s="685"/>
      <c r="AW27" s="685"/>
      <c r="AX27" s="685"/>
      <c r="AY27" s="685"/>
    </row>
    <row r="28" spans="1:51">
      <c r="A28" s="685"/>
      <c r="B28" s="1189" t="s">
        <v>193</v>
      </c>
      <c r="C28" s="1197"/>
      <c r="D28" s="1197"/>
      <c r="E28" s="1197"/>
      <c r="F28" s="1197"/>
      <c r="G28" s="1197"/>
      <c r="H28" s="1197">
        <f t="shared" ref="H28:Q28" si="28">-H387</f>
        <v>-576</v>
      </c>
      <c r="I28" s="1197">
        <f t="shared" si="28"/>
        <v>-833</v>
      </c>
      <c r="J28" s="1197">
        <f t="shared" si="28"/>
        <v>-1291</v>
      </c>
      <c r="K28" s="1197">
        <f t="shared" si="28"/>
        <v>-1309</v>
      </c>
      <c r="L28" s="1197">
        <f t="shared" si="28"/>
        <v>-2486</v>
      </c>
      <c r="M28" s="1197">
        <f t="shared" si="28"/>
        <v>-1272.9000000000001</v>
      </c>
      <c r="N28" s="1197">
        <f t="shared" si="28"/>
        <v>-1426.3</v>
      </c>
      <c r="O28" s="1197">
        <f t="shared" si="28"/>
        <v>-1612</v>
      </c>
      <c r="P28" s="1197">
        <f t="shared" si="28"/>
        <v>-2053</v>
      </c>
      <c r="Q28" s="1197">
        <f t="shared" si="28"/>
        <v>-1606</v>
      </c>
      <c r="R28" s="1197">
        <f t="shared" ref="R28:X28" si="29">-R387</f>
        <v>-1480.7</v>
      </c>
      <c r="S28" s="1197">
        <f t="shared" si="29"/>
        <v>-1566.3</v>
      </c>
      <c r="T28" s="1197">
        <f t="shared" si="29"/>
        <v>-1191.7</v>
      </c>
      <c r="U28" s="1197">
        <f t="shared" si="29"/>
        <v>-477.6</v>
      </c>
      <c r="V28" s="1197">
        <f t="shared" si="29"/>
        <v>375.7</v>
      </c>
      <c r="W28" s="1197">
        <f t="shared" si="29"/>
        <v>-94.936994650476834</v>
      </c>
      <c r="X28" s="1197">
        <f t="shared" si="29"/>
        <v>-104.43069411552453</v>
      </c>
      <c r="Y28" s="1197">
        <f>-Y387</f>
        <v>-114.87376352707699</v>
      </c>
      <c r="Z28" s="1197">
        <f>-Z387</f>
        <v>-126.3611398797847</v>
      </c>
      <c r="AA28" s="1197">
        <f>-AA387</f>
        <v>-138.99725386776319</v>
      </c>
      <c r="AB28" s="1197">
        <f>-AB387</f>
        <v>-152.89697925453953</v>
      </c>
      <c r="AC28" s="1197">
        <f>-AC387</f>
        <v>-168.1866771799935</v>
      </c>
      <c r="AD28" s="685"/>
      <c r="AE28" s="685"/>
      <c r="AF28" s="685"/>
      <c r="AG28" s="685"/>
      <c r="AH28" s="685"/>
      <c r="AI28" s="685"/>
      <c r="AJ28" s="685"/>
      <c r="AK28" s="685"/>
      <c r="AL28" s="685"/>
      <c r="AM28" s="685"/>
      <c r="AN28" s="685"/>
      <c r="AO28" s="685"/>
      <c r="AP28" s="685"/>
      <c r="AQ28" s="685"/>
      <c r="AR28" s="685"/>
      <c r="AS28" s="685"/>
      <c r="AT28" s="685"/>
      <c r="AU28" s="685"/>
      <c r="AV28" s="685"/>
      <c r="AW28" s="685"/>
      <c r="AX28" s="685"/>
      <c r="AY28" s="685"/>
    </row>
    <row r="29" spans="1:51">
      <c r="A29" s="685"/>
      <c r="B29" s="1189"/>
      <c r="C29" s="1189"/>
      <c r="D29" s="1189"/>
      <c r="E29" s="1189"/>
      <c r="F29" s="1189"/>
      <c r="G29" s="1189"/>
      <c r="H29" s="1189"/>
      <c r="I29" s="1189"/>
      <c r="J29" s="1189"/>
      <c r="K29" s="1189"/>
      <c r="L29" s="1189"/>
      <c r="M29" s="1189"/>
      <c r="N29" s="1189"/>
      <c r="O29" s="1189"/>
      <c r="P29" s="1189"/>
      <c r="Q29" s="1189"/>
      <c r="R29" s="1189"/>
      <c r="S29" s="1189"/>
      <c r="T29" s="1189"/>
      <c r="U29" s="1189"/>
      <c r="V29" s="1189"/>
      <c r="W29" s="1189"/>
      <c r="X29" s="1189"/>
      <c r="Y29" s="1189"/>
      <c r="Z29" s="1189"/>
      <c r="AA29" s="1189"/>
      <c r="AB29" s="1189"/>
      <c r="AC29" s="1189"/>
      <c r="AD29" s="685"/>
      <c r="AE29" s="685"/>
      <c r="AF29" s="685"/>
      <c r="AG29" s="685"/>
      <c r="AH29" s="685"/>
      <c r="AI29" s="685"/>
      <c r="AJ29" s="685"/>
      <c r="AK29" s="685"/>
      <c r="AL29" s="685"/>
      <c r="AM29" s="685"/>
      <c r="AN29" s="685"/>
      <c r="AO29" s="685"/>
      <c r="AP29" s="685"/>
      <c r="AQ29" s="685"/>
      <c r="AR29" s="685"/>
      <c r="AS29" s="685"/>
      <c r="AT29" s="685"/>
      <c r="AU29" s="685"/>
      <c r="AV29" s="685"/>
      <c r="AW29" s="685"/>
      <c r="AX29" s="685"/>
      <c r="AY29" s="685"/>
    </row>
    <row r="30" spans="1:51">
      <c r="A30" s="685"/>
      <c r="B30" s="1187" t="s">
        <v>194</v>
      </c>
      <c r="C30" s="1188"/>
      <c r="D30" s="1188"/>
      <c r="E30" s="1188"/>
      <c r="F30" s="1188"/>
      <c r="G30" s="1188"/>
      <c r="H30" s="1188">
        <f t="shared" ref="H30:Q30" si="30">SUM(H25:H28)</f>
        <v>6007</v>
      </c>
      <c r="I30" s="1188">
        <f t="shared" si="30"/>
        <v>7090</v>
      </c>
      <c r="J30" s="1188">
        <f t="shared" si="30"/>
        <v>6866.2000000000007</v>
      </c>
      <c r="K30" s="1188">
        <f t="shared" si="30"/>
        <v>8761.1000000000022</v>
      </c>
      <c r="L30" s="1188">
        <f t="shared" si="30"/>
        <v>7748.8999999999978</v>
      </c>
      <c r="M30" s="1188">
        <f t="shared" si="30"/>
        <v>5384.6000000000022</v>
      </c>
      <c r="N30" s="1188">
        <f t="shared" si="30"/>
        <v>12724.299999999996</v>
      </c>
      <c r="O30" s="1188">
        <f t="shared" si="30"/>
        <v>3721.1999999999944</v>
      </c>
      <c r="P30" s="1188">
        <f t="shared" si="30"/>
        <v>4525.0000000000018</v>
      </c>
      <c r="Q30" s="1188">
        <f t="shared" si="30"/>
        <v>2494.7999999999993</v>
      </c>
      <c r="R30" s="1188">
        <f t="shared" ref="R30:X30" si="31">SUM(R25:R28)</f>
        <v>4723.199999999998</v>
      </c>
      <c r="S30" s="1188">
        <f t="shared" si="31"/>
        <v>-375.20000000000505</v>
      </c>
      <c r="T30" s="1188">
        <f t="shared" si="31"/>
        <v>5138.4999999999955</v>
      </c>
      <c r="U30" s="1188">
        <f t="shared" si="31"/>
        <v>-12751.070000000003</v>
      </c>
      <c r="V30" s="1188">
        <f t="shared" si="31"/>
        <v>-10235.899999999998</v>
      </c>
      <c r="W30" s="1188">
        <f t="shared" ca="1" si="31"/>
        <v>641.95059122519751</v>
      </c>
      <c r="X30" s="1188">
        <f t="shared" ca="1" si="31"/>
        <v>-1434.325681993676</v>
      </c>
      <c r="Y30" s="1188">
        <f ca="1">SUM(Y25:Y28)</f>
        <v>-307.91427424898563</v>
      </c>
      <c r="Z30" s="1188">
        <f ca="1">SUM(Z25:Z28)</f>
        <v>595.25543851779094</v>
      </c>
      <c r="AA30" s="1188">
        <f ca="1">SUM(AA25:AA28)</f>
        <v>1563.5609393305995</v>
      </c>
      <c r="AB30" s="1188">
        <f ca="1">SUM(AB25:AB28)</f>
        <v>2514.4714502360389</v>
      </c>
      <c r="AC30" s="1188">
        <f ca="1">SUM(AC25:AC28)</f>
        <v>3520.0884723049053</v>
      </c>
      <c r="AD30" s="685"/>
      <c r="AE30" s="685"/>
      <c r="AF30" s="685"/>
      <c r="AG30" s="685"/>
      <c r="AH30" s="685"/>
      <c r="AI30" s="685"/>
      <c r="AJ30" s="685"/>
      <c r="AK30" s="685"/>
      <c r="AL30" s="685"/>
      <c r="AM30" s="685"/>
      <c r="AN30" s="685"/>
      <c r="AO30" s="685"/>
      <c r="AP30" s="685"/>
      <c r="AQ30" s="685"/>
      <c r="AR30" s="685"/>
      <c r="AS30" s="685"/>
      <c r="AT30" s="685"/>
      <c r="AU30" s="685"/>
      <c r="AV30" s="685"/>
      <c r="AW30" s="685"/>
      <c r="AX30" s="685"/>
      <c r="AY30" s="685"/>
    </row>
    <row r="31" spans="1:51">
      <c r="A31" s="685"/>
      <c r="B31" s="1189"/>
      <c r="C31" s="1189"/>
      <c r="D31" s="1189"/>
      <c r="E31" s="1189"/>
      <c r="F31" s="1189"/>
      <c r="G31" s="1189"/>
      <c r="H31" s="1012"/>
      <c r="I31" s="1012"/>
      <c r="J31" s="1189"/>
      <c r="K31" s="1189"/>
      <c r="L31" s="1189"/>
      <c r="M31" s="1189"/>
      <c r="N31" s="1189"/>
      <c r="O31" s="1189"/>
      <c r="P31" s="1189"/>
      <c r="Q31" s="1189"/>
      <c r="R31" s="1189"/>
      <c r="S31" s="1189"/>
      <c r="T31" s="1189"/>
      <c r="U31" s="1189"/>
      <c r="V31" s="1189"/>
      <c r="W31" s="1189"/>
      <c r="X31" s="1189"/>
      <c r="Y31" s="1189"/>
      <c r="Z31" s="1189"/>
      <c r="AA31" s="1189"/>
      <c r="AB31" s="1189"/>
      <c r="AC31" s="1189"/>
      <c r="AD31" s="685"/>
      <c r="AE31" s="685"/>
      <c r="AF31" s="685"/>
      <c r="AG31" s="685"/>
      <c r="AH31" s="685"/>
      <c r="AI31" s="685"/>
      <c r="AJ31" s="685"/>
      <c r="AK31" s="685"/>
      <c r="AL31" s="685"/>
      <c r="AM31" s="685"/>
      <c r="AN31" s="685"/>
      <c r="AO31" s="685"/>
      <c r="AP31" s="685"/>
      <c r="AQ31" s="685"/>
      <c r="AR31" s="685"/>
      <c r="AS31" s="685"/>
      <c r="AT31" s="685"/>
      <c r="AU31" s="685"/>
      <c r="AV31" s="685"/>
      <c r="AW31" s="685"/>
      <c r="AX31" s="685"/>
      <c r="AY31" s="685"/>
    </row>
    <row r="32" spans="1:51">
      <c r="A32" s="685"/>
      <c r="B32" s="1189" t="s">
        <v>195</v>
      </c>
      <c r="C32" s="1201"/>
      <c r="D32" s="1202"/>
      <c r="E32" s="1202"/>
      <c r="F32" s="1202"/>
      <c r="G32" s="1202"/>
      <c r="H32" s="1203">
        <f t="shared" ref="H32:AC32" si="32">H30/H$509</f>
        <v>10.738881707417697</v>
      </c>
      <c r="I32" s="1203">
        <f t="shared" si="32"/>
        <v>12.76109690698812</v>
      </c>
      <c r="J32" s="1203">
        <f t="shared" si="32"/>
        <v>12.139648999158904</v>
      </c>
      <c r="K32" s="1203">
        <f t="shared" si="32"/>
        <v>15.337637942406241</v>
      </c>
      <c r="L32" s="1203">
        <f t="shared" si="32"/>
        <v>13.511373966849769</v>
      </c>
      <c r="M32" s="1203">
        <f t="shared" si="32"/>
        <v>9.3179561966064828</v>
      </c>
      <c r="N32" s="1203">
        <f t="shared" si="32"/>
        <v>21.992310964962812</v>
      </c>
      <c r="O32" s="1203">
        <f t="shared" si="32"/>
        <v>6.4316141212341362</v>
      </c>
      <c r="P32" s="1203">
        <f t="shared" si="32"/>
        <v>7.8208787215372784</v>
      </c>
      <c r="Q32" s="1203">
        <f t="shared" si="32"/>
        <v>4.3137229401786596</v>
      </c>
      <c r="R32" s="1203">
        <f t="shared" si="32"/>
        <v>8.2645273773655923</v>
      </c>
      <c r="S32" s="1203">
        <f t="shared" si="32"/>
        <v>-0.65436183086083755</v>
      </c>
      <c r="T32" s="1203">
        <f t="shared" si="32"/>
        <v>8.9617224623623812</v>
      </c>
      <c r="U32" s="1203">
        <f t="shared" si="32"/>
        <v>-22.238308930262765</v>
      </c>
      <c r="V32" s="1203">
        <f t="shared" si="32"/>
        <v>-17.851765097303719</v>
      </c>
      <c r="W32" s="1203">
        <f t="shared" ca="1" si="32"/>
        <v>1.1195841263227924</v>
      </c>
      <c r="X32" s="1203">
        <f t="shared" ca="1" si="32"/>
        <v>-2.5015138041580185</v>
      </c>
      <c r="Y32" s="1203">
        <f t="shared" ca="1" si="32"/>
        <v>-0.53701318828824507</v>
      </c>
      <c r="Z32" s="1203">
        <f t="shared" ca="1" si="32"/>
        <v>1.0381461582579081</v>
      </c>
      <c r="AA32" s="1203">
        <f t="shared" ca="1" si="32"/>
        <v>2.7269045813508748</v>
      </c>
      <c r="AB32" s="1203">
        <f t="shared" ca="1" si="32"/>
        <v>4.3853255379097478</v>
      </c>
      <c r="AC32" s="1203">
        <f t="shared" ca="1" si="32"/>
        <v>6.1391565499188037</v>
      </c>
      <c r="AD32" s="685"/>
      <c r="AE32" s="685"/>
      <c r="AF32" s="685"/>
      <c r="AG32" s="685"/>
      <c r="AH32" s="685"/>
      <c r="AI32" s="685"/>
      <c r="AJ32" s="685"/>
      <c r="AK32" s="685"/>
      <c r="AL32" s="685"/>
      <c r="AM32" s="685"/>
      <c r="AN32" s="685"/>
      <c r="AO32" s="685"/>
      <c r="AP32" s="685"/>
      <c r="AQ32" s="685"/>
      <c r="AR32" s="685"/>
      <c r="AS32" s="685"/>
      <c r="AT32" s="685"/>
      <c r="AU32" s="685"/>
      <c r="AV32" s="685"/>
      <c r="AW32" s="685"/>
      <c r="AX32" s="685"/>
      <c r="AY32" s="685"/>
    </row>
    <row r="33" spans="1:51">
      <c r="A33" s="685"/>
      <c r="B33" s="1189" t="s">
        <v>196</v>
      </c>
      <c r="C33" s="1203"/>
      <c r="D33" s="1198"/>
      <c r="E33" s="1198"/>
      <c r="F33" s="1198"/>
      <c r="G33" s="1198"/>
      <c r="H33" s="1203">
        <f t="shared" ref="H33:Q33" si="33">H452/H$509</f>
        <v>15.485299375670399</v>
      </c>
      <c r="I33" s="1203">
        <f t="shared" si="33"/>
        <v>14.611365964870179</v>
      </c>
      <c r="J33" s="1203">
        <f t="shared" si="33"/>
        <v>13.948343899706449</v>
      </c>
      <c r="K33" s="1203">
        <f t="shared" si="33"/>
        <v>15.381579309626613</v>
      </c>
      <c r="L33" s="1203">
        <f>L452/L$509</f>
        <v>14.754207804447718</v>
      </c>
      <c r="M33" s="1203">
        <f t="shared" si="33"/>
        <v>17.266754620536243</v>
      </c>
      <c r="N33" s="1203">
        <f t="shared" si="33"/>
        <v>8.2621318348209041</v>
      </c>
      <c r="O33" s="1203">
        <f t="shared" si="33"/>
        <v>10.810787693998556</v>
      </c>
      <c r="P33" s="1203">
        <f t="shared" si="33"/>
        <v>4.9310424292919031</v>
      </c>
      <c r="Q33" s="1203">
        <f t="shared" si="33"/>
        <v>5.419646137444281</v>
      </c>
      <c r="R33" s="1203">
        <f t="shared" ref="R33:X33" si="34">R452/R$509</f>
        <v>8.2645273773655923</v>
      </c>
      <c r="S33" s="1203">
        <f t="shared" si="34"/>
        <v>8.8600452375777667</v>
      </c>
      <c r="T33" s="1203">
        <f t="shared" si="34"/>
        <v>8.9617224623623812</v>
      </c>
      <c r="U33" s="1203">
        <f t="shared" si="34"/>
        <v>-22.238308930262765</v>
      </c>
      <c r="V33" s="1203">
        <f t="shared" si="34"/>
        <v>-17.851765097303719</v>
      </c>
      <c r="W33" s="1203">
        <f t="shared" ca="1" si="34"/>
        <v>0.96000494848759554</v>
      </c>
      <c r="X33" s="1203">
        <f t="shared" ca="1" si="34"/>
        <v>-2.5015138041580185</v>
      </c>
      <c r="Y33" s="1203">
        <f ca="1">Y452/Y$509</f>
        <v>-0.53701318828824507</v>
      </c>
      <c r="Z33" s="1203">
        <f ca="1">Z452/Z$509</f>
        <v>1.0381461582579081</v>
      </c>
      <c r="AA33" s="1203">
        <f ca="1">AA452/AA$509</f>
        <v>2.7269045813508748</v>
      </c>
      <c r="AB33" s="1203">
        <f ca="1">AB452/AB$509</f>
        <v>4.3853255379097478</v>
      </c>
      <c r="AC33" s="1203">
        <f ca="1">AC452/AC$509</f>
        <v>6.1391565499188037</v>
      </c>
      <c r="AD33" s="685"/>
      <c r="AE33" s="685"/>
      <c r="AF33" s="685"/>
      <c r="AG33" s="685"/>
      <c r="AH33" s="685"/>
      <c r="AI33" s="685"/>
      <c r="AJ33" s="685"/>
      <c r="AK33" s="685"/>
      <c r="AL33" s="685"/>
      <c r="AM33" s="685"/>
      <c r="AN33" s="685"/>
      <c r="AO33" s="685"/>
      <c r="AP33" s="685"/>
      <c r="AQ33" s="685"/>
      <c r="AR33" s="685"/>
      <c r="AS33" s="685"/>
      <c r="AT33" s="685"/>
      <c r="AU33" s="685"/>
      <c r="AV33" s="685"/>
      <c r="AW33" s="685"/>
      <c r="AX33" s="685"/>
      <c r="AY33" s="685"/>
    </row>
    <row r="34" spans="1:51">
      <c r="A34" s="685"/>
      <c r="B34" s="1189" t="s">
        <v>197</v>
      </c>
      <c r="C34" s="1203"/>
      <c r="D34" s="1198"/>
      <c r="E34" s="1198"/>
      <c r="F34" s="1198"/>
      <c r="G34" s="1198"/>
      <c r="H34" s="1203">
        <f>H515*5</f>
        <v>0</v>
      </c>
      <c r="I34" s="1203">
        <f>I515*5</f>
        <v>1.75</v>
      </c>
      <c r="J34" s="1203">
        <f>J515*5</f>
        <v>1.75</v>
      </c>
      <c r="K34" s="1203">
        <f t="shared" ref="K34:Q34" si="35">K515*5</f>
        <v>1.75</v>
      </c>
      <c r="L34" s="1203">
        <f>L515*5</f>
        <v>1.75</v>
      </c>
      <c r="M34" s="1203">
        <f t="shared" si="35"/>
        <v>0</v>
      </c>
      <c r="N34" s="1203">
        <f t="shared" si="35"/>
        <v>1.75</v>
      </c>
      <c r="O34" s="1203">
        <f t="shared" si="35"/>
        <v>1.75</v>
      </c>
      <c r="P34" s="1203">
        <f t="shared" si="35"/>
        <v>1.75</v>
      </c>
      <c r="Q34" s="1203">
        <f t="shared" si="35"/>
        <v>1.75</v>
      </c>
      <c r="R34" s="1203">
        <f t="shared" ref="R34:X34" si="36">R515*5</f>
        <v>0</v>
      </c>
      <c r="S34" s="1203">
        <f t="shared" si="36"/>
        <v>1.75</v>
      </c>
      <c r="T34" s="1203">
        <f t="shared" si="36"/>
        <v>1.764957264955</v>
      </c>
      <c r="U34" s="1203">
        <f t="shared" si="36"/>
        <v>1.764957264955</v>
      </c>
      <c r="V34" s="1203">
        <f t="shared" si="36"/>
        <v>1.764957264955</v>
      </c>
      <c r="W34" s="1203">
        <f t="shared" si="36"/>
        <v>1.764957264955</v>
      </c>
      <c r="X34" s="1203">
        <f t="shared" si="36"/>
        <v>1.764957264955</v>
      </c>
      <c r="Y34" s="1203">
        <f>Y515*5</f>
        <v>1.764957264955</v>
      </c>
      <c r="Z34" s="1203">
        <f>Z515*5</f>
        <v>1.764957264955</v>
      </c>
      <c r="AA34" s="1203">
        <f>AA515*5</f>
        <v>1.764957264955</v>
      </c>
      <c r="AB34" s="1203">
        <f>AB515*5</f>
        <v>1.764957264955</v>
      </c>
      <c r="AC34" s="1203">
        <f>AC515*5</f>
        <v>1.764957264955</v>
      </c>
      <c r="AD34" s="685"/>
      <c r="AE34" s="685"/>
      <c r="AF34" s="685"/>
      <c r="AG34" s="685"/>
      <c r="AH34" s="685"/>
      <c r="AI34" s="685"/>
      <c r="AJ34" s="685"/>
      <c r="AK34" s="685"/>
      <c r="AL34" s="685"/>
      <c r="AM34" s="685"/>
      <c r="AN34" s="685"/>
      <c r="AO34" s="685"/>
      <c r="AP34" s="685"/>
      <c r="AQ34" s="685"/>
      <c r="AR34" s="685"/>
      <c r="AS34" s="685"/>
      <c r="AT34" s="685"/>
      <c r="AU34" s="685"/>
      <c r="AV34" s="685"/>
      <c r="AW34" s="685"/>
      <c r="AX34" s="685"/>
      <c r="AY34" s="685"/>
    </row>
    <row r="35" spans="1:51">
      <c r="A35" s="685"/>
      <c r="B35" s="1189" t="s">
        <v>198</v>
      </c>
      <c r="C35" s="1202"/>
      <c r="D35" s="1202"/>
      <c r="E35" s="1202"/>
      <c r="F35" s="1202"/>
      <c r="G35" s="1202"/>
      <c r="H35" s="1201">
        <f t="shared" ref="H35:Q35" si="37">H530</f>
        <v>0</v>
      </c>
      <c r="I35" s="1201">
        <f t="shared" si="37"/>
        <v>0</v>
      </c>
      <c r="J35" s="1201">
        <f t="shared" si="37"/>
        <v>9.6867899734251512</v>
      </c>
      <c r="K35" s="1201">
        <f t="shared" si="37"/>
        <v>9.9196148445720258</v>
      </c>
      <c r="L35" s="1201">
        <f>L530</f>
        <v>6.1623207572380148</v>
      </c>
      <c r="M35" s="1201">
        <f t="shared" si="37"/>
        <v>7.9533651673095589</v>
      </c>
      <c r="N35" s="1201">
        <f t="shared" si="37"/>
        <v>-10.433308013436989</v>
      </c>
      <c r="O35" s="1201">
        <f t="shared" si="37"/>
        <v>-8.0859762637051098</v>
      </c>
      <c r="P35" s="1201">
        <f t="shared" si="37"/>
        <v>8.0683295959157295</v>
      </c>
      <c r="Q35" s="1201">
        <f t="shared" si="37"/>
        <v>7.4479500876513445</v>
      </c>
      <c r="R35" s="1201">
        <f t="shared" ref="R35:X35" si="38">R530</f>
        <v>11.660617861263043</v>
      </c>
      <c r="S35" s="1201">
        <f t="shared" si="38"/>
        <v>10.748290711807643</v>
      </c>
      <c r="T35" s="1201">
        <f t="shared" si="38"/>
        <v>5.6623710399853637</v>
      </c>
      <c r="U35" s="1201">
        <f t="shared" si="38"/>
        <v>-15.430922809022833</v>
      </c>
      <c r="V35" s="1201">
        <f t="shared" si="38"/>
        <v>-5.8354530063134007</v>
      </c>
      <c r="W35" s="1201">
        <f t="shared" ca="1" si="38"/>
        <v>15.301574524785211</v>
      </c>
      <c r="X35" s="1201">
        <f t="shared" ca="1" si="38"/>
        <v>10.684523668815315</v>
      </c>
      <c r="Y35" s="1201">
        <f ca="1">Y530</f>
        <v>11.899244108450901</v>
      </c>
      <c r="Z35" s="1201">
        <f ca="1">Z530</f>
        <v>13.072370419642043</v>
      </c>
      <c r="AA35" s="1201">
        <f ca="1">AA530</f>
        <v>14.173328260646022</v>
      </c>
      <c r="AB35" s="1201">
        <f ca="1">AB530</f>
        <v>15.192538788153847</v>
      </c>
      <c r="AC35" s="1201">
        <f ca="1">AC530</f>
        <v>16.072488624314797</v>
      </c>
      <c r="AD35" s="685"/>
      <c r="AE35" s="685"/>
      <c r="AF35" s="685"/>
      <c r="AG35" s="685"/>
      <c r="AH35" s="685"/>
      <c r="AI35" s="685"/>
      <c r="AJ35" s="685"/>
      <c r="AK35" s="685"/>
      <c r="AL35" s="685"/>
      <c r="AM35" s="685"/>
      <c r="AN35" s="685"/>
      <c r="AO35" s="685"/>
      <c r="AP35" s="685"/>
      <c r="AQ35" s="685"/>
      <c r="AR35" s="685"/>
      <c r="AS35" s="685"/>
      <c r="AT35" s="685"/>
      <c r="AU35" s="685"/>
      <c r="AV35" s="685"/>
      <c r="AW35" s="685"/>
      <c r="AX35" s="685"/>
      <c r="AY35" s="685"/>
    </row>
    <row r="36" spans="1:51">
      <c r="A36" s="685"/>
      <c r="B36" s="1189"/>
      <c r="C36" s="1202"/>
      <c r="D36" s="1202"/>
      <c r="E36" s="1202"/>
      <c r="F36" s="1202"/>
      <c r="G36" s="1202"/>
      <c r="H36" s="1202"/>
      <c r="I36" s="1202"/>
      <c r="J36" s="1202"/>
      <c r="K36" s="1202"/>
      <c r="L36" s="1202"/>
      <c r="M36" s="1202"/>
      <c r="N36" s="1202"/>
      <c r="O36" s="1202"/>
      <c r="P36" s="1202"/>
      <c r="Q36" s="1202"/>
      <c r="R36" s="1202"/>
      <c r="S36" s="1202"/>
      <c r="T36" s="1204"/>
      <c r="U36" s="1204"/>
      <c r="V36" s="1202"/>
      <c r="W36" s="1202"/>
      <c r="X36" s="1202"/>
      <c r="Y36" s="1202"/>
      <c r="Z36" s="1202"/>
      <c r="AA36" s="1202"/>
      <c r="AB36" s="1202"/>
      <c r="AC36" s="1202"/>
      <c r="AD36" s="685"/>
      <c r="AE36" s="685"/>
      <c r="AF36" s="685"/>
      <c r="AG36" s="685"/>
      <c r="AH36" s="685"/>
      <c r="AI36" s="685"/>
      <c r="AJ36" s="685"/>
      <c r="AK36" s="685"/>
      <c r="AL36" s="685"/>
      <c r="AM36" s="685"/>
      <c r="AN36" s="685"/>
      <c r="AO36" s="685"/>
      <c r="AP36" s="685"/>
      <c r="AQ36" s="685"/>
      <c r="AR36" s="685"/>
      <c r="AS36" s="685"/>
      <c r="AT36" s="685"/>
      <c r="AU36" s="685"/>
      <c r="AV36" s="685"/>
      <c r="AW36" s="685"/>
      <c r="AX36" s="685"/>
      <c r="AY36" s="685"/>
    </row>
    <row r="37" spans="1:51">
      <c r="A37" s="685"/>
      <c r="B37" s="1187" t="s">
        <v>199</v>
      </c>
      <c r="C37" s="1202"/>
      <c r="D37" s="1202"/>
      <c r="E37" s="1202"/>
      <c r="F37" s="1202"/>
      <c r="G37" s="1202"/>
      <c r="H37" s="1202"/>
      <c r="I37" s="1202"/>
      <c r="J37" s="1202"/>
      <c r="K37" s="1202"/>
      <c r="L37" s="1202"/>
      <c r="M37" s="1205"/>
      <c r="N37" s="1202"/>
      <c r="O37" s="1205"/>
      <c r="P37" s="1202"/>
      <c r="Q37" s="1202"/>
      <c r="R37" s="1202"/>
      <c r="S37" s="1205"/>
      <c r="T37" s="1202"/>
      <c r="U37" s="1202"/>
      <c r="V37" s="1202"/>
      <c r="W37" s="1202"/>
      <c r="X37" s="1202"/>
      <c r="Y37" s="1202"/>
      <c r="Z37" s="1202"/>
      <c r="AA37" s="1202"/>
      <c r="AB37" s="1202"/>
      <c r="AC37" s="1202"/>
      <c r="AD37" s="685"/>
      <c r="AE37" s="685"/>
      <c r="AF37" s="685"/>
      <c r="AG37" s="685"/>
      <c r="AH37" s="685"/>
      <c r="AI37" s="685"/>
      <c r="AJ37" s="685"/>
      <c r="AK37" s="685"/>
      <c r="AL37" s="685"/>
      <c r="AM37" s="685"/>
      <c r="AN37" s="685"/>
      <c r="AO37" s="685"/>
      <c r="AP37" s="685"/>
      <c r="AQ37" s="685"/>
      <c r="AR37" s="685"/>
      <c r="AS37" s="685"/>
      <c r="AT37" s="685"/>
      <c r="AU37" s="685"/>
      <c r="AV37" s="685"/>
      <c r="AW37" s="685"/>
      <c r="AX37" s="685"/>
      <c r="AY37" s="685"/>
    </row>
    <row r="38" spans="1:51">
      <c r="A38" s="685"/>
      <c r="B38" s="1187"/>
      <c r="C38" s="1202"/>
      <c r="D38" s="1202"/>
      <c r="E38" s="1202"/>
      <c r="F38" s="1202"/>
      <c r="G38" s="1202"/>
      <c r="H38" s="1202"/>
      <c r="I38" s="1202"/>
      <c r="J38" s="1202"/>
      <c r="K38" s="1202"/>
      <c r="L38" s="1202"/>
      <c r="M38" s="1202"/>
      <c r="N38" s="1202"/>
      <c r="O38" s="1202"/>
      <c r="P38" s="1202"/>
      <c r="Q38" s="1202"/>
      <c r="R38" s="1202"/>
      <c r="S38" s="1202"/>
      <c r="T38" s="1202"/>
      <c r="U38" s="1202"/>
      <c r="V38" s="1202"/>
      <c r="W38" s="1202"/>
      <c r="X38" s="1202"/>
      <c r="Y38" s="1202"/>
      <c r="Z38" s="1202"/>
      <c r="AA38" s="1202"/>
      <c r="AB38" s="1202"/>
      <c r="AC38" s="1202"/>
      <c r="AD38" s="685"/>
      <c r="AE38" s="685"/>
      <c r="AF38" s="685"/>
      <c r="AG38" s="685"/>
      <c r="AH38" s="685"/>
      <c r="AI38" s="685"/>
      <c r="AJ38" s="685"/>
      <c r="AK38" s="685"/>
      <c r="AL38" s="685"/>
      <c r="AM38" s="685"/>
      <c r="AN38" s="685"/>
      <c r="AO38" s="685"/>
      <c r="AP38" s="685"/>
      <c r="AQ38" s="685"/>
      <c r="AR38" s="685"/>
      <c r="AS38" s="685"/>
      <c r="AT38" s="685"/>
      <c r="AU38" s="685"/>
      <c r="AV38" s="685"/>
      <c r="AW38" s="685"/>
      <c r="AX38" s="685"/>
      <c r="AY38" s="685"/>
    </row>
    <row r="39" spans="1:51">
      <c r="A39" s="685"/>
      <c r="B39" s="1187"/>
      <c r="C39" s="1202"/>
      <c r="D39" s="1202"/>
      <c r="E39" s="1202"/>
      <c r="F39" s="1202"/>
      <c r="G39" s="1202"/>
      <c r="H39" s="1202"/>
      <c r="I39" s="1202"/>
      <c r="J39" s="1202"/>
      <c r="K39" s="1202"/>
      <c r="L39" s="1202"/>
      <c r="M39" s="1202"/>
      <c r="N39" s="1202"/>
      <c r="O39" s="1202"/>
      <c r="P39" s="1202"/>
      <c r="Q39" s="1202"/>
      <c r="R39" s="1202"/>
      <c r="S39" s="1202"/>
      <c r="T39" s="1202"/>
      <c r="U39" s="1202"/>
      <c r="V39" s="1202"/>
      <c r="W39" s="1202"/>
      <c r="X39" s="1202"/>
      <c r="Y39" s="1202"/>
      <c r="Z39" s="1202"/>
      <c r="AA39" s="1202"/>
      <c r="AB39" s="1202"/>
      <c r="AC39" s="1202"/>
      <c r="AD39" s="685"/>
      <c r="AE39" s="685"/>
      <c r="AF39" s="685"/>
      <c r="AG39" s="685"/>
      <c r="AH39" s="685"/>
      <c r="AI39" s="685"/>
      <c r="AJ39" s="685"/>
      <c r="AK39" s="685"/>
      <c r="AL39" s="685"/>
      <c r="AM39" s="685"/>
      <c r="AN39" s="685"/>
      <c r="AO39" s="685"/>
      <c r="AP39" s="685"/>
      <c r="AQ39" s="685"/>
      <c r="AR39" s="685"/>
      <c r="AS39" s="685"/>
      <c r="AT39" s="685"/>
      <c r="AU39" s="685"/>
      <c r="AV39" s="685"/>
      <c r="AW39" s="685"/>
      <c r="AX39" s="685"/>
      <c r="AY39" s="685"/>
    </row>
    <row r="40" spans="1:51">
      <c r="A40" s="685"/>
      <c r="B40" s="1187"/>
      <c r="C40" s="1202"/>
      <c r="D40" s="1202"/>
      <c r="E40" s="1202"/>
      <c r="F40" s="1202"/>
      <c r="G40" s="1202"/>
      <c r="H40" s="1202"/>
      <c r="I40" s="1202"/>
      <c r="J40" s="1202"/>
      <c r="K40" s="1202"/>
      <c r="L40" s="1202"/>
      <c r="M40" s="1202"/>
      <c r="N40" s="1202"/>
      <c r="O40" s="1202"/>
      <c r="P40" s="1202"/>
      <c r="Q40" s="1202"/>
      <c r="R40" s="1202"/>
      <c r="S40" s="1202"/>
      <c r="T40" s="1202"/>
      <c r="U40" s="1202"/>
      <c r="V40" s="1202"/>
      <c r="W40" s="1202"/>
      <c r="X40" s="1202"/>
      <c r="Y40" s="1202"/>
      <c r="Z40" s="1202"/>
      <c r="AA40" s="1202"/>
      <c r="AB40" s="1202"/>
      <c r="AC40" s="1202"/>
      <c r="AD40" s="685"/>
      <c r="AE40" s="685"/>
      <c r="AF40" s="685"/>
      <c r="AG40" s="685"/>
      <c r="AH40" s="685"/>
      <c r="AI40" s="685"/>
      <c r="AJ40" s="685"/>
      <c r="AK40" s="685"/>
      <c r="AL40" s="685"/>
      <c r="AM40" s="685"/>
      <c r="AN40" s="685"/>
      <c r="AO40" s="685"/>
      <c r="AP40" s="685"/>
      <c r="AQ40" s="685"/>
      <c r="AR40" s="685"/>
      <c r="AS40" s="685"/>
      <c r="AT40" s="685"/>
      <c r="AU40" s="685"/>
      <c r="AV40" s="685"/>
      <c r="AW40" s="685"/>
      <c r="AX40" s="685"/>
      <c r="AY40" s="685"/>
    </row>
    <row r="41" spans="1:51">
      <c r="A41" s="685"/>
      <c r="B41" s="1186" t="s">
        <v>200</v>
      </c>
      <c r="C41" s="1186"/>
      <c r="D41" s="1186">
        <f t="shared" ref="D41:AC41" si="39">D2</f>
        <v>2005</v>
      </c>
      <c r="E41" s="1186">
        <f t="shared" si="39"/>
        <v>2006</v>
      </c>
      <c r="F41" s="1186">
        <f t="shared" si="39"/>
        <v>2007</v>
      </c>
      <c r="G41" s="1186">
        <f t="shared" si="39"/>
        <v>2008</v>
      </c>
      <c r="H41" s="1186">
        <f t="shared" si="39"/>
        <v>2009</v>
      </c>
      <c r="I41" s="1186">
        <f t="shared" si="39"/>
        <v>2010</v>
      </c>
      <c r="J41" s="1186">
        <f t="shared" si="39"/>
        <v>2011</v>
      </c>
      <c r="K41" s="1186">
        <f t="shared" si="39"/>
        <v>2012</v>
      </c>
      <c r="L41" s="1186">
        <f t="shared" si="39"/>
        <v>2013</v>
      </c>
      <c r="M41" s="1186">
        <f t="shared" si="39"/>
        <v>2014</v>
      </c>
      <c r="N41" s="1186">
        <f t="shared" si="39"/>
        <v>2015</v>
      </c>
      <c r="O41" s="1186">
        <f t="shared" si="39"/>
        <v>2016</v>
      </c>
      <c r="P41" s="1186">
        <f t="shared" si="39"/>
        <v>2017</v>
      </c>
      <c r="Q41" s="1186">
        <f t="shared" si="39"/>
        <v>2018</v>
      </c>
      <c r="R41" s="1186">
        <f t="shared" si="39"/>
        <v>2019</v>
      </c>
      <c r="S41" s="1186">
        <f t="shared" si="39"/>
        <v>2020</v>
      </c>
      <c r="T41" s="1186">
        <f t="shared" si="39"/>
        <v>2021</v>
      </c>
      <c r="U41" s="1186">
        <f t="shared" si="39"/>
        <v>2022</v>
      </c>
      <c r="V41" s="1186">
        <f t="shared" si="39"/>
        <v>2023</v>
      </c>
      <c r="W41" s="1186">
        <f t="shared" si="39"/>
        <v>2024</v>
      </c>
      <c r="X41" s="1186">
        <f t="shared" si="39"/>
        <v>2025</v>
      </c>
      <c r="Y41" s="1186">
        <f t="shared" si="39"/>
        <v>2026</v>
      </c>
      <c r="Z41" s="1186">
        <f t="shared" si="39"/>
        <v>2027</v>
      </c>
      <c r="AA41" s="1186">
        <f t="shared" si="39"/>
        <v>2028</v>
      </c>
      <c r="AB41" s="1186">
        <f t="shared" si="39"/>
        <v>2029</v>
      </c>
      <c r="AC41" s="1186">
        <f t="shared" si="39"/>
        <v>2030</v>
      </c>
      <c r="AD41" s="685"/>
      <c r="AE41" s="685"/>
      <c r="AF41" s="685"/>
      <c r="AG41" s="685"/>
      <c r="AH41" s="685"/>
      <c r="AI41" s="685"/>
      <c r="AJ41" s="685"/>
      <c r="AK41" s="685"/>
      <c r="AL41" s="685"/>
      <c r="AM41" s="685"/>
      <c r="AN41" s="685"/>
      <c r="AO41" s="685"/>
      <c r="AP41" s="685"/>
      <c r="AQ41" s="685"/>
      <c r="AR41" s="685"/>
      <c r="AS41" s="685"/>
      <c r="AT41" s="685"/>
      <c r="AU41" s="685"/>
      <c r="AV41" s="685"/>
      <c r="AW41" s="685"/>
      <c r="AX41" s="685"/>
      <c r="AY41" s="685"/>
    </row>
    <row r="42" spans="1:51" hidden="1">
      <c r="A42" s="685"/>
      <c r="B42" s="1206" t="s">
        <v>145</v>
      </c>
      <c r="C42" s="1187"/>
      <c r="D42" s="1207"/>
      <c r="E42" s="1207"/>
      <c r="F42" s="1207"/>
      <c r="G42" s="1207"/>
      <c r="H42" s="685"/>
      <c r="I42" s="685"/>
      <c r="J42" s="685"/>
      <c r="K42" s="685"/>
      <c r="L42" s="685"/>
      <c r="M42" s="685"/>
      <c r="N42" s="685"/>
      <c r="O42" s="685"/>
      <c r="P42" s="685"/>
      <c r="Q42" s="1208"/>
      <c r="R42" s="685"/>
      <c r="S42" s="685"/>
      <c r="T42" s="685"/>
      <c r="U42" s="685"/>
      <c r="V42" s="685"/>
      <c r="W42" s="685"/>
      <c r="X42" s="685"/>
      <c r="Y42" s="685"/>
      <c r="Z42" s="685"/>
      <c r="AA42" s="685"/>
      <c r="AB42" s="685"/>
      <c r="AC42" s="685"/>
      <c r="AD42" s="685"/>
      <c r="AE42" s="685"/>
      <c r="AF42" s="685"/>
      <c r="AG42" s="685"/>
      <c r="AH42" s="685"/>
      <c r="AI42" s="685"/>
      <c r="AJ42" s="685"/>
      <c r="AK42" s="685"/>
      <c r="AL42" s="685"/>
      <c r="AM42" s="685"/>
      <c r="AN42" s="685"/>
      <c r="AO42" s="685"/>
      <c r="AP42" s="685"/>
      <c r="AQ42" s="685"/>
      <c r="AR42" s="685"/>
      <c r="AS42" s="685"/>
      <c r="AT42" s="685"/>
      <c r="AU42" s="685"/>
      <c r="AV42" s="685"/>
      <c r="AW42" s="685"/>
      <c r="AX42" s="685"/>
      <c r="AY42" s="685"/>
    </row>
    <row r="43" spans="1:51" hidden="1">
      <c r="A43" s="685"/>
      <c r="B43" s="1209" t="s">
        <v>146</v>
      </c>
      <c r="C43" s="1187"/>
      <c r="D43" s="1207"/>
      <c r="E43" s="1207"/>
      <c r="F43" s="1207"/>
      <c r="G43" s="1207"/>
      <c r="H43" s="1210">
        <v>21397</v>
      </c>
      <c r="I43" s="1210">
        <v>22747</v>
      </c>
      <c r="J43" s="1210">
        <f>Interims!K8</f>
        <v>23206.1</v>
      </c>
      <c r="K43" s="1210">
        <f>Interims!P8</f>
        <v>23935.9</v>
      </c>
      <c r="L43" s="1210">
        <f>Interims!U8</f>
        <v>24865.5</v>
      </c>
      <c r="M43" s="1210">
        <f>Interims!Z8</f>
        <v>25465.699999999997</v>
      </c>
      <c r="N43" s="1210">
        <v>23029.3</v>
      </c>
      <c r="O43" s="1210">
        <v>23223.200000000001</v>
      </c>
      <c r="P43" s="1210">
        <v>20719</v>
      </c>
      <c r="Q43" s="1210">
        <v>21155</v>
      </c>
      <c r="R43" s="1210">
        <v>19420.400000000001</v>
      </c>
      <c r="S43" s="1210">
        <v>16349.8</v>
      </c>
      <c r="T43" s="1210">
        <v>19162</v>
      </c>
      <c r="U43" s="1208"/>
      <c r="V43" s="1208"/>
      <c r="W43" s="1208"/>
      <c r="X43" s="1208"/>
      <c r="Y43" s="1208"/>
      <c r="Z43" s="1208"/>
      <c r="AA43" s="1208"/>
      <c r="AB43" s="1208"/>
      <c r="AC43" s="1208"/>
      <c r="AD43" s="685"/>
      <c r="AE43" s="685"/>
      <c r="AF43" s="685"/>
      <c r="AG43" s="685"/>
      <c r="AH43" s="685"/>
      <c r="AI43" s="685"/>
      <c r="AJ43" s="685"/>
      <c r="AK43" s="685"/>
      <c r="AL43" s="685"/>
      <c r="AM43" s="685"/>
      <c r="AN43" s="685"/>
      <c r="AO43" s="685"/>
      <c r="AP43" s="685"/>
      <c r="AQ43" s="685"/>
      <c r="AR43" s="685"/>
      <c r="AS43" s="685"/>
      <c r="AT43" s="685"/>
      <c r="AU43" s="685"/>
      <c r="AV43" s="685"/>
      <c r="AW43" s="685"/>
      <c r="AX43" s="685"/>
      <c r="AY43" s="685"/>
    </row>
    <row r="44" spans="1:51" hidden="1">
      <c r="A44" s="685"/>
      <c r="B44" s="1209" t="s">
        <v>147</v>
      </c>
      <c r="C44" s="1187"/>
      <c r="D44" s="1207"/>
      <c r="E44" s="1207"/>
      <c r="F44" s="1207"/>
      <c r="G44" s="1207"/>
      <c r="H44" s="1210">
        <v>2201</v>
      </c>
      <c r="I44" s="1210">
        <v>2379</v>
      </c>
      <c r="J44" s="1210">
        <f>Interims!K9</f>
        <v>2590.7999999999997</v>
      </c>
      <c r="K44" s="1210">
        <f>Interims!P9</f>
        <v>3189.2000000000003</v>
      </c>
      <c r="L44" s="1210">
        <f>Interims!U9</f>
        <v>3265.5999999999995</v>
      </c>
      <c r="M44" s="1210">
        <f>Interims!Z9</f>
        <v>2854.4</v>
      </c>
      <c r="N44" s="1210">
        <v>3595.4</v>
      </c>
      <c r="O44" s="1210">
        <v>4399.3</v>
      </c>
      <c r="P44" s="1210">
        <v>4058</v>
      </c>
      <c r="Q44" s="1210">
        <v>4841</v>
      </c>
      <c r="R44" s="1210">
        <v>4939</v>
      </c>
      <c r="S44" s="1210">
        <v>5466.2</v>
      </c>
      <c r="T44" s="1210">
        <v>5390.8</v>
      </c>
      <c r="U44" s="1208"/>
      <c r="V44" s="1208"/>
      <c r="W44" s="1208"/>
      <c r="X44" s="1208"/>
      <c r="Y44" s="1208"/>
      <c r="Z44" s="1208"/>
      <c r="AA44" s="1208"/>
      <c r="AB44" s="1208"/>
      <c r="AC44" s="1208"/>
      <c r="AD44" s="685"/>
      <c r="AE44" s="685"/>
      <c r="AF44" s="685"/>
      <c r="AG44" s="685"/>
      <c r="AH44" s="685"/>
      <c r="AI44" s="685"/>
      <c r="AJ44" s="685"/>
      <c r="AK44" s="685"/>
      <c r="AL44" s="685"/>
      <c r="AM44" s="685"/>
      <c r="AN44" s="685"/>
      <c r="AO44" s="685"/>
      <c r="AP44" s="685"/>
      <c r="AQ44" s="685"/>
      <c r="AR44" s="685"/>
      <c r="AS44" s="685"/>
      <c r="AT44" s="685"/>
      <c r="AU44" s="685"/>
      <c r="AV44" s="685"/>
      <c r="AW44" s="685"/>
      <c r="AX44" s="685"/>
      <c r="AY44" s="685"/>
    </row>
    <row r="45" spans="1:51" hidden="1">
      <c r="A45" s="685"/>
      <c r="B45" s="1209" t="s">
        <v>148</v>
      </c>
      <c r="C45" s="1187"/>
      <c r="D45" s="1207"/>
      <c r="E45" s="1207"/>
      <c r="F45" s="1207"/>
      <c r="G45" s="1207"/>
      <c r="H45" s="1210">
        <v>3809</v>
      </c>
      <c r="I45" s="1210">
        <v>4109</v>
      </c>
      <c r="J45" s="1210">
        <f>Interims!K10</f>
        <v>4888.7000000000007</v>
      </c>
      <c r="K45" s="1210">
        <f>Interims!P10</f>
        <v>5758.9</v>
      </c>
      <c r="L45" s="1210">
        <f>Interims!U10</f>
        <v>5689.5</v>
      </c>
      <c r="M45" s="1210">
        <f>Interims!Z10</f>
        <v>6548</v>
      </c>
      <c r="N45" s="1210">
        <v>7707.9</v>
      </c>
      <c r="O45" s="1210">
        <v>9064.2000000000007</v>
      </c>
      <c r="P45" s="1210">
        <v>9220</v>
      </c>
      <c r="Q45" s="1210">
        <v>10521</v>
      </c>
      <c r="R45" s="1210">
        <v>10436</v>
      </c>
      <c r="S45" s="1210">
        <v>10797</v>
      </c>
      <c r="T45" s="1210">
        <v>11389.1</v>
      </c>
      <c r="U45" s="1208"/>
      <c r="V45" s="1208"/>
      <c r="W45" s="1208"/>
      <c r="X45" s="1208"/>
      <c r="Y45" s="1208"/>
      <c r="Z45" s="1208"/>
      <c r="AA45" s="1208"/>
      <c r="AB45" s="1208"/>
      <c r="AC45" s="1208"/>
      <c r="AD45" s="685"/>
      <c r="AE45" s="685"/>
      <c r="AF45" s="685"/>
      <c r="AG45" s="685"/>
      <c r="AH45" s="685"/>
      <c r="AI45" s="685"/>
      <c r="AJ45" s="685"/>
      <c r="AK45" s="685"/>
      <c r="AL45" s="685"/>
      <c r="AM45" s="685"/>
      <c r="AN45" s="685"/>
      <c r="AO45" s="685"/>
      <c r="AP45" s="685"/>
      <c r="AQ45" s="685"/>
      <c r="AR45" s="685"/>
      <c r="AS45" s="685"/>
      <c r="AT45" s="685"/>
      <c r="AU45" s="685"/>
      <c r="AV45" s="685"/>
      <c r="AW45" s="685"/>
      <c r="AX45" s="685"/>
      <c r="AY45" s="685"/>
    </row>
    <row r="46" spans="1:51" hidden="1">
      <c r="A46" s="685"/>
      <c r="B46" s="1211" t="s">
        <v>44</v>
      </c>
      <c r="C46" s="1187"/>
      <c r="D46" s="1207"/>
      <c r="E46" s="1207"/>
      <c r="F46" s="1207"/>
      <c r="G46" s="1207"/>
      <c r="H46" s="1210"/>
      <c r="I46" s="1212"/>
      <c r="J46" s="1212"/>
      <c r="K46" s="1212"/>
      <c r="L46" s="1212"/>
      <c r="M46" s="1212"/>
      <c r="N46" s="1212"/>
      <c r="O46" s="1212"/>
      <c r="P46" s="1212"/>
      <c r="Q46" s="1212">
        <v>2734</v>
      </c>
      <c r="R46" s="1212">
        <v>0</v>
      </c>
      <c r="S46" s="1212">
        <v>0</v>
      </c>
      <c r="T46" s="1212">
        <v>0</v>
      </c>
      <c r="U46" s="1213">
        <f>Content!P20</f>
        <v>0</v>
      </c>
      <c r="V46" s="1213">
        <f>Content!Q20</f>
        <v>0</v>
      </c>
      <c r="W46" s="1213">
        <f>Content!R20</f>
        <v>0</v>
      </c>
      <c r="X46" s="1213">
        <f>Content!S20</f>
        <v>0</v>
      </c>
      <c r="Y46" s="1213">
        <f>Content!T20</f>
        <v>0</v>
      </c>
      <c r="Z46" s="1213">
        <f>Content!U20</f>
        <v>0</v>
      </c>
      <c r="AA46" s="1213">
        <f>Content!V20</f>
        <v>0</v>
      </c>
      <c r="AB46" s="1213">
        <f>Content!W20</f>
        <v>0</v>
      </c>
      <c r="AC46" s="1213">
        <f>Content!X20</f>
        <v>0</v>
      </c>
      <c r="AD46" s="685"/>
      <c r="AE46" s="685"/>
      <c r="AF46" s="685"/>
      <c r="AG46" s="685"/>
      <c r="AH46" s="685"/>
      <c r="AI46" s="685"/>
      <c r="AJ46" s="685"/>
      <c r="AK46" s="685"/>
      <c r="AL46" s="685"/>
      <c r="AM46" s="685"/>
      <c r="AN46" s="685"/>
      <c r="AO46" s="685"/>
      <c r="AP46" s="685"/>
      <c r="AQ46" s="685"/>
      <c r="AR46" s="685"/>
      <c r="AS46" s="685"/>
      <c r="AT46" s="685"/>
      <c r="AU46" s="685"/>
      <c r="AV46" s="685"/>
      <c r="AW46" s="685"/>
      <c r="AX46" s="685"/>
      <c r="AY46" s="685"/>
    </row>
    <row r="47" spans="1:51" hidden="1">
      <c r="A47" s="685"/>
      <c r="B47" s="1206" t="s">
        <v>98</v>
      </c>
      <c r="C47" s="1187"/>
      <c r="D47" s="1207"/>
      <c r="E47" s="1207"/>
      <c r="F47" s="1207"/>
      <c r="G47" s="1207"/>
      <c r="H47" s="1208">
        <f t="shared" ref="H47:N47" si="40">H43+H44+H45</f>
        <v>27407</v>
      </c>
      <c r="I47" s="1208">
        <f t="shared" si="40"/>
        <v>29235</v>
      </c>
      <c r="J47" s="1208">
        <f t="shared" si="40"/>
        <v>30685.599999999999</v>
      </c>
      <c r="K47" s="1208">
        <f>K43+K44+K45</f>
        <v>32884</v>
      </c>
      <c r="L47" s="1208">
        <f t="shared" si="40"/>
        <v>33820.6</v>
      </c>
      <c r="M47" s="1208">
        <f t="shared" si="40"/>
        <v>34868.1</v>
      </c>
      <c r="N47" s="1208">
        <f t="shared" si="40"/>
        <v>34332.6</v>
      </c>
      <c r="O47" s="1208">
        <f>O43+O44+O45</f>
        <v>36686.699999999997</v>
      </c>
      <c r="P47" s="1208">
        <f>P43+P44+P45</f>
        <v>33997</v>
      </c>
      <c r="Q47" s="1208">
        <f>Q43+Q44+Q45+Q46</f>
        <v>39251</v>
      </c>
      <c r="R47" s="1208">
        <f>R43+R44+R45+R46</f>
        <v>34795.4</v>
      </c>
      <c r="S47" s="1208">
        <f>S43+S44+S45+S46</f>
        <v>32613</v>
      </c>
      <c r="T47" s="1208">
        <f>T43+T44+T45+T46</f>
        <v>35941.9</v>
      </c>
      <c r="U47" s="1208">
        <f t="shared" ref="U47:AC47" si="41">U43+U44+U45+U46</f>
        <v>0</v>
      </c>
      <c r="V47" s="1208">
        <f t="shared" si="41"/>
        <v>0</v>
      </c>
      <c r="W47" s="1208">
        <f t="shared" si="41"/>
        <v>0</v>
      </c>
      <c r="X47" s="1208">
        <f t="shared" si="41"/>
        <v>0</v>
      </c>
      <c r="Y47" s="1208">
        <f t="shared" si="41"/>
        <v>0</v>
      </c>
      <c r="Z47" s="1208">
        <f t="shared" si="41"/>
        <v>0</v>
      </c>
      <c r="AA47" s="1208">
        <f t="shared" si="41"/>
        <v>0</v>
      </c>
      <c r="AB47" s="1208">
        <f t="shared" si="41"/>
        <v>0</v>
      </c>
      <c r="AC47" s="1208">
        <f t="shared" si="41"/>
        <v>0</v>
      </c>
      <c r="AD47" s="685"/>
      <c r="AE47" s="685"/>
      <c r="AF47" s="685"/>
      <c r="AG47" s="685"/>
      <c r="AH47" s="685"/>
      <c r="AI47" s="685"/>
      <c r="AJ47" s="685"/>
      <c r="AK47" s="685"/>
      <c r="AL47" s="685"/>
      <c r="AM47" s="685"/>
      <c r="AN47" s="685"/>
      <c r="AO47" s="685"/>
      <c r="AP47" s="685"/>
      <c r="AQ47" s="685"/>
      <c r="AR47" s="685"/>
      <c r="AS47" s="685"/>
      <c r="AT47" s="685"/>
      <c r="AU47" s="685"/>
      <c r="AV47" s="685"/>
      <c r="AW47" s="685"/>
      <c r="AX47" s="685"/>
      <c r="AY47" s="685"/>
    </row>
    <row r="48" spans="1:51" hidden="1">
      <c r="A48" s="685"/>
      <c r="B48" s="1206" t="s">
        <v>181</v>
      </c>
      <c r="C48" s="1187"/>
      <c r="D48" s="1207"/>
      <c r="E48" s="1207"/>
      <c r="F48" s="1207"/>
      <c r="G48" s="1207"/>
      <c r="H48" s="1208"/>
      <c r="I48" s="1192">
        <f>I47/H47-1</f>
        <v>6.6698288758346491E-2</v>
      </c>
      <c r="J48" s="1192">
        <f t="shared" ref="J48:S48" si="42">J47/I47-1</f>
        <v>4.96186078330767E-2</v>
      </c>
      <c r="K48" s="1192">
        <f>K47/J47-1</f>
        <v>7.1642724926349821E-2</v>
      </c>
      <c r="L48" s="1192">
        <f t="shared" si="42"/>
        <v>2.8481936504074934E-2</v>
      </c>
      <c r="M48" s="1192">
        <f t="shared" si="42"/>
        <v>3.0972247683364484E-2</v>
      </c>
      <c r="N48" s="1192">
        <f t="shared" si="42"/>
        <v>-1.535787725743587E-2</v>
      </c>
      <c r="O48" s="1192">
        <f t="shared" si="42"/>
        <v>6.8567483965676912E-2</v>
      </c>
      <c r="P48" s="1192">
        <f t="shared" si="42"/>
        <v>-7.331539767817763E-2</v>
      </c>
      <c r="Q48" s="1192">
        <f t="shared" si="42"/>
        <v>0.1545430479159926</v>
      </c>
      <c r="R48" s="1192">
        <f t="shared" si="42"/>
        <v>-0.11351557922091149</v>
      </c>
      <c r="S48" s="1192">
        <f t="shared" si="42"/>
        <v>-6.2720934376383153E-2</v>
      </c>
      <c r="T48" s="1192">
        <f>T47/S47-1</f>
        <v>0.102072793057983</v>
      </c>
      <c r="U48" s="1192">
        <f>U47/T47-1</f>
        <v>-1</v>
      </c>
      <c r="V48" s="1192"/>
      <c r="W48" s="1192"/>
      <c r="X48" s="1192"/>
      <c r="Y48" s="1192"/>
      <c r="Z48" s="1192"/>
      <c r="AA48" s="1192"/>
      <c r="AB48" s="1192"/>
      <c r="AC48" s="1192"/>
      <c r="AD48" s="685"/>
      <c r="AE48" s="685"/>
      <c r="AF48" s="685"/>
      <c r="AG48" s="685"/>
      <c r="AH48" s="685"/>
      <c r="AI48" s="685"/>
      <c r="AJ48" s="685"/>
      <c r="AK48" s="685"/>
      <c r="AL48" s="685"/>
      <c r="AM48" s="685"/>
      <c r="AN48" s="685"/>
      <c r="AO48" s="685"/>
      <c r="AP48" s="685"/>
      <c r="AQ48" s="685"/>
      <c r="AR48" s="685"/>
      <c r="AS48" s="685"/>
      <c r="AT48" s="685"/>
      <c r="AU48" s="685"/>
      <c r="AV48" s="685"/>
      <c r="AW48" s="685"/>
      <c r="AX48" s="685"/>
      <c r="AY48" s="685"/>
    </row>
    <row r="49" spans="1:51" hidden="1">
      <c r="A49" s="685"/>
      <c r="B49" s="1206"/>
      <c r="C49" s="1187"/>
      <c r="D49" s="1207"/>
      <c r="E49" s="1207"/>
      <c r="F49" s="1207"/>
      <c r="G49" s="1207"/>
      <c r="H49" s="1208"/>
      <c r="I49" s="1191"/>
      <c r="J49" s="1191"/>
      <c r="K49" s="1191"/>
      <c r="L49" s="1191"/>
      <c r="M49" s="1191"/>
      <c r="N49" s="1191"/>
      <c r="O49" s="1191"/>
      <c r="P49" s="1191"/>
      <c r="Q49" s="1192">
        <f>(Q47-Q46)/P47-1</f>
        <v>7.4124187428302513E-2</v>
      </c>
      <c r="R49" s="1192">
        <f>R47/(Q47-Q46)-1</f>
        <v>-4.7145165265492728E-2</v>
      </c>
      <c r="S49" s="685"/>
      <c r="T49" s="685"/>
      <c r="U49" s="1191"/>
      <c r="V49" s="1191"/>
      <c r="W49" s="1191"/>
      <c r="X49" s="1191"/>
      <c r="Y49" s="1191"/>
      <c r="Z49" s="1191"/>
      <c r="AA49" s="1191"/>
      <c r="AB49" s="1191"/>
      <c r="AC49" s="1191"/>
      <c r="AD49" s="685"/>
      <c r="AE49" s="685"/>
      <c r="AF49" s="685"/>
      <c r="AG49" s="685"/>
      <c r="AH49" s="685"/>
      <c r="AI49" s="685"/>
      <c r="AJ49" s="685"/>
      <c r="AK49" s="685"/>
      <c r="AL49" s="685"/>
      <c r="AM49" s="685"/>
      <c r="AN49" s="685"/>
      <c r="AO49" s="685"/>
      <c r="AP49" s="685"/>
      <c r="AQ49" s="685"/>
      <c r="AR49" s="685"/>
      <c r="AS49" s="685"/>
      <c r="AT49" s="685"/>
      <c r="AU49" s="685"/>
      <c r="AV49" s="685"/>
      <c r="AW49" s="685"/>
      <c r="AX49" s="685"/>
      <c r="AY49" s="685"/>
    </row>
    <row r="50" spans="1:51" hidden="1">
      <c r="A50" s="685"/>
      <c r="B50" s="1206" t="s">
        <v>25</v>
      </c>
      <c r="C50" s="1187"/>
      <c r="D50" s="1207"/>
      <c r="E50" s="1207"/>
      <c r="F50" s="1207"/>
      <c r="G50" s="1207"/>
      <c r="H50" s="1208">
        <f>SEGMENTOS!V10</f>
        <v>3356.0540129999999</v>
      </c>
      <c r="I50" s="1208">
        <f>SEGMENTOS!AA10</f>
        <v>3229.6</v>
      </c>
      <c r="J50" s="1210">
        <f>Interims!K12</f>
        <v>3191.8</v>
      </c>
      <c r="K50" s="1210">
        <f>Interims!P12</f>
        <v>3452.9000000000005</v>
      </c>
      <c r="L50" s="1210">
        <f>Interims!U12</f>
        <v>3218.3</v>
      </c>
      <c r="M50" s="1191"/>
      <c r="N50" s="1191"/>
      <c r="O50" s="1208"/>
      <c r="P50" s="1191"/>
      <c r="Q50" s="1191"/>
      <c r="R50" s="1191"/>
      <c r="S50" s="1191"/>
      <c r="T50" s="1191"/>
      <c r="U50" s="1191"/>
      <c r="V50" s="1191"/>
      <c r="W50" s="1191"/>
      <c r="X50" s="1191"/>
      <c r="Y50" s="1191"/>
      <c r="Z50" s="1191"/>
      <c r="AA50" s="1191"/>
      <c r="AB50" s="1191"/>
      <c r="AC50" s="1191"/>
      <c r="AD50" s="685"/>
      <c r="AE50" s="685"/>
      <c r="AF50" s="685"/>
      <c r="AG50" s="685"/>
      <c r="AH50" s="685"/>
      <c r="AI50" s="685"/>
      <c r="AJ50" s="685"/>
      <c r="AK50" s="685"/>
      <c r="AL50" s="685"/>
      <c r="AM50" s="685"/>
      <c r="AN50" s="685"/>
      <c r="AO50" s="685"/>
      <c r="AP50" s="685"/>
      <c r="AQ50" s="685"/>
      <c r="AR50" s="685"/>
      <c r="AS50" s="685"/>
      <c r="AT50" s="685"/>
      <c r="AU50" s="685"/>
      <c r="AV50" s="685"/>
      <c r="AW50" s="685"/>
      <c r="AX50" s="685"/>
      <c r="AY50" s="685"/>
    </row>
    <row r="51" spans="1:51">
      <c r="A51" s="685"/>
      <c r="B51" s="1206" t="s">
        <v>128</v>
      </c>
      <c r="C51" s="1187"/>
      <c r="D51" s="1207"/>
      <c r="E51" s="1207"/>
      <c r="F51" s="1207"/>
      <c r="G51" s="1207"/>
      <c r="H51" s="1208">
        <f>SEGMENTOS!V11</f>
        <v>10005.1</v>
      </c>
      <c r="I51" s="1208">
        <f>SEGMENTOS!AA11</f>
        <v>11248.2</v>
      </c>
      <c r="J51" s="1210">
        <f>Interims!K13</f>
        <v>12479.2</v>
      </c>
      <c r="K51" s="1210">
        <f>Interims!P13</f>
        <v>14465.4</v>
      </c>
      <c r="L51" s="1210">
        <f>Interims!U13</f>
        <v>16098.3</v>
      </c>
      <c r="M51" s="1210">
        <f>Interims!Z13</f>
        <v>17498.5</v>
      </c>
      <c r="N51" s="1210">
        <v>19253.5</v>
      </c>
      <c r="O51" s="1210">
        <v>21941.200000000001</v>
      </c>
      <c r="P51" s="1210">
        <v>22197</v>
      </c>
      <c r="Q51" s="1210">
        <v>22002</v>
      </c>
      <c r="R51" s="1210">
        <v>21347</v>
      </c>
      <c r="S51" s="1210">
        <v>22134.7</v>
      </c>
      <c r="T51" s="1210">
        <v>22026.6</v>
      </c>
      <c r="U51" s="1210">
        <v>20339</v>
      </c>
      <c r="V51" s="1210">
        <v>17585.2</v>
      </c>
      <c r="W51" s="1208">
        <f>'SKY Mex'!U90</f>
        <v>15669.651064570926</v>
      </c>
      <c r="X51" s="1208">
        <f>'SKY Mex'!V90</f>
        <v>14471.39653698212</v>
      </c>
      <c r="Y51" s="1208">
        <f>'SKY Mex'!W90</f>
        <v>13649.527111625455</v>
      </c>
      <c r="Z51" s="1208">
        <f>'SKY Mex'!X90</f>
        <v>12959.924872841093</v>
      </c>
      <c r="AA51" s="1208">
        <f>'SKY Mex'!Y90</f>
        <v>12296.149820803679</v>
      </c>
      <c r="AB51" s="1208">
        <f>'SKY Mex'!Z90</f>
        <v>11657.205747123304</v>
      </c>
      <c r="AC51" s="1208">
        <f>'SKY Mex'!AA90</f>
        <v>11042.13297144538</v>
      </c>
      <c r="AD51" s="685"/>
      <c r="AE51" s="685"/>
      <c r="AF51" s="685"/>
      <c r="AG51" s="685"/>
      <c r="AH51" s="685"/>
      <c r="AI51" s="685"/>
      <c r="AJ51" s="685"/>
      <c r="AK51" s="685"/>
      <c r="AL51" s="685"/>
      <c r="AM51" s="685"/>
      <c r="AN51" s="685"/>
      <c r="AO51" s="685"/>
      <c r="AP51" s="685"/>
      <c r="AQ51" s="685"/>
      <c r="AR51" s="685"/>
      <c r="AS51" s="685"/>
      <c r="AT51" s="685"/>
      <c r="AU51" s="685"/>
      <c r="AV51" s="685"/>
      <c r="AW51" s="685"/>
      <c r="AX51" s="685"/>
      <c r="AY51" s="685"/>
    </row>
    <row r="52" spans="1:51">
      <c r="A52" s="685"/>
      <c r="B52" s="1206" t="s">
        <v>129</v>
      </c>
      <c r="C52" s="1202"/>
      <c r="D52" s="1214"/>
      <c r="E52" s="1214"/>
      <c r="F52" s="1214"/>
      <c r="G52" s="1214"/>
      <c r="H52" s="1208">
        <f>SEGMENTOS!V12</f>
        <v>9241.7000000000007</v>
      </c>
      <c r="I52" s="1208">
        <f>SEGMENTOS!AA12</f>
        <v>11814.2</v>
      </c>
      <c r="J52" s="1210">
        <f>Interims!K14</f>
        <v>13635.400000000001</v>
      </c>
      <c r="K52" s="1210">
        <f>Interims!P14</f>
        <v>15570.4</v>
      </c>
      <c r="L52" s="1210">
        <f>Interims!U14</f>
        <v>17138.8</v>
      </c>
      <c r="M52" s="1210">
        <f>Interims!Z14</f>
        <v>20937.2</v>
      </c>
      <c r="N52" s="1210">
        <v>28488.3</v>
      </c>
      <c r="O52" s="1210">
        <v>31891.599999999999</v>
      </c>
      <c r="P52" s="1210">
        <v>33048</v>
      </c>
      <c r="Q52" s="1210">
        <v>36233</v>
      </c>
      <c r="R52" s="1210">
        <v>41702</v>
      </c>
      <c r="S52" s="1210">
        <v>45367.1</v>
      </c>
      <c r="T52" s="1210">
        <v>48020.9</v>
      </c>
      <c r="U52" s="1210">
        <v>48411.8</v>
      </c>
      <c r="V52" s="1210">
        <v>48802.5</v>
      </c>
      <c r="W52" s="1208">
        <f>'Cable cos'!S185</f>
        <v>48802.5</v>
      </c>
      <c r="X52" s="1208">
        <f>'Cable cos'!T185</f>
        <v>49290.525000000001</v>
      </c>
      <c r="Y52" s="1208">
        <f>'Cable cos'!U185</f>
        <v>50276.335500000001</v>
      </c>
      <c r="Z52" s="1208">
        <f>'Cable cos'!V185</f>
        <v>51533.243887499993</v>
      </c>
      <c r="AA52" s="1208">
        <f>'Cable cos'!W185</f>
        <v>53208.074313843739</v>
      </c>
      <c r="AB52" s="1208">
        <f>'Cable cos'!X185</f>
        <v>55070.356914828262</v>
      </c>
      <c r="AC52" s="1208">
        <f>'Cable cos'!Y185</f>
        <v>56997.819406847244</v>
      </c>
      <c r="AD52" s="685"/>
      <c r="AE52" s="685"/>
      <c r="AF52" s="685"/>
      <c r="AG52" s="685"/>
      <c r="AH52" s="685"/>
      <c r="AI52" s="685"/>
      <c r="AJ52" s="685"/>
      <c r="AK52" s="685"/>
      <c r="AL52" s="685"/>
      <c r="AM52" s="685"/>
      <c r="AN52" s="685"/>
      <c r="AO52" s="685"/>
      <c r="AP52" s="685"/>
      <c r="AQ52" s="685"/>
      <c r="AR52" s="685"/>
      <c r="AS52" s="685"/>
      <c r="AT52" s="685"/>
      <c r="AU52" s="685"/>
      <c r="AV52" s="685"/>
      <c r="AW52" s="685"/>
      <c r="AX52" s="685"/>
      <c r="AY52" s="685"/>
    </row>
    <row r="53" spans="1:51">
      <c r="A53" s="685"/>
      <c r="B53" s="1206" t="s">
        <v>130</v>
      </c>
      <c r="C53" s="1202"/>
      <c r="D53" s="1214"/>
      <c r="E53" s="1214"/>
      <c r="F53" s="1214"/>
      <c r="G53" s="1214"/>
      <c r="H53" s="1208">
        <f>SEGMENTOS!V13</f>
        <v>3771.4883649150001</v>
      </c>
      <c r="I53" s="1208">
        <f>SEGMENTOS!AA13</f>
        <v>3812.3</v>
      </c>
      <c r="J53" s="1210">
        <f>Interims!K15</f>
        <v>3825.2</v>
      </c>
      <c r="K53" s="1210">
        <f>Interims!P15</f>
        <v>4211.3999999999996</v>
      </c>
      <c r="L53" s="1210">
        <f>Interims!U15</f>
        <v>4855</v>
      </c>
      <c r="M53" s="1210">
        <f>Interims!Z15</f>
        <v>8204.2000000000007</v>
      </c>
      <c r="N53" s="1210">
        <v>8124.3</v>
      </c>
      <c r="O53" s="1210">
        <v>8828.2999999999993</v>
      </c>
      <c r="P53" s="1210">
        <v>8376</v>
      </c>
      <c r="Q53" s="1210">
        <v>8636</v>
      </c>
      <c r="R53" s="1210">
        <v>8200.2000000000007</v>
      </c>
      <c r="S53" s="1210">
        <v>4276</v>
      </c>
      <c r="T53" s="1210">
        <v>5029.1000000000004</v>
      </c>
      <c r="U53" s="1210">
        <v>7338.8</v>
      </c>
      <c r="V53" s="1210">
        <v>7870.6</v>
      </c>
      <c r="W53" s="1215"/>
      <c r="X53" s="1215"/>
      <c r="Y53" s="1215"/>
      <c r="Z53" s="1215"/>
      <c r="AA53" s="1215"/>
      <c r="AB53" s="1215"/>
      <c r="AC53" s="1215"/>
      <c r="AD53" s="685"/>
      <c r="AE53" s="1215"/>
      <c r="AF53" s="685"/>
      <c r="AG53" s="685"/>
      <c r="AH53" s="685"/>
      <c r="AI53" s="685"/>
      <c r="AJ53" s="685"/>
      <c r="AK53" s="685"/>
      <c r="AL53" s="685"/>
      <c r="AM53" s="685"/>
      <c r="AN53" s="685"/>
      <c r="AO53" s="685"/>
      <c r="AP53" s="685"/>
      <c r="AQ53" s="685"/>
      <c r="AR53" s="685"/>
      <c r="AS53" s="685"/>
      <c r="AT53" s="685"/>
      <c r="AU53" s="685"/>
      <c r="AV53" s="685"/>
      <c r="AW53" s="685"/>
      <c r="AX53" s="685"/>
      <c r="AY53" s="685"/>
    </row>
    <row r="54" spans="1:51">
      <c r="A54" s="685"/>
      <c r="B54" s="1216" t="s">
        <v>131</v>
      </c>
      <c r="C54" s="1217"/>
      <c r="D54" s="1218"/>
      <c r="E54" s="1218"/>
      <c r="F54" s="1218"/>
      <c r="G54" s="1218"/>
      <c r="H54" s="1218">
        <f>SUM(H50:H53)+H47</f>
        <v>53781.342377915003</v>
      </c>
      <c r="I54" s="1218">
        <f>SUM(I50:I53)+I47</f>
        <v>59339.3</v>
      </c>
      <c r="J54" s="1218">
        <f t="shared" ref="J54:Q54" si="43">SUM(J50:J53)+J47</f>
        <v>63817.2</v>
      </c>
      <c r="K54" s="1218">
        <f t="shared" si="43"/>
        <v>70584.100000000006</v>
      </c>
      <c r="L54" s="1218">
        <f t="shared" si="43"/>
        <v>75131</v>
      </c>
      <c r="M54" s="1218">
        <f t="shared" si="43"/>
        <v>81508</v>
      </c>
      <c r="N54" s="1218">
        <f t="shared" si="43"/>
        <v>90198.700000000012</v>
      </c>
      <c r="O54" s="1218">
        <f t="shared" si="43"/>
        <v>99347.8</v>
      </c>
      <c r="P54" s="1218">
        <f t="shared" si="43"/>
        <v>97618</v>
      </c>
      <c r="Q54" s="1218">
        <f t="shared" si="43"/>
        <v>106122</v>
      </c>
      <c r="R54" s="1218">
        <f t="shared" ref="R54:X54" si="44">SUM(R50:R53)+R47</f>
        <v>106044.6</v>
      </c>
      <c r="S54" s="1218">
        <f t="shared" si="44"/>
        <v>104390.8</v>
      </c>
      <c r="T54" s="1218">
        <f t="shared" si="44"/>
        <v>111018.5</v>
      </c>
      <c r="U54" s="1218">
        <f t="shared" si="44"/>
        <v>76089.600000000006</v>
      </c>
      <c r="V54" s="1218">
        <f t="shared" si="44"/>
        <v>74258.3</v>
      </c>
      <c r="W54" s="1218">
        <f t="shared" si="44"/>
        <v>64472.151064570928</v>
      </c>
      <c r="X54" s="1218">
        <f t="shared" si="44"/>
        <v>63761.921536982118</v>
      </c>
      <c r="Y54" s="1218">
        <f>SUM(Y50:Y53)+Y47</f>
        <v>63925.86261162546</v>
      </c>
      <c r="Z54" s="1218">
        <f>SUM(Z50:Z53)+Z47</f>
        <v>64493.168760341083</v>
      </c>
      <c r="AA54" s="1218">
        <f>SUM(AA50:AA53)+AA47</f>
        <v>65504.224134647418</v>
      </c>
      <c r="AB54" s="1218">
        <f>SUM(AB50:AB53)+AB47</f>
        <v>66727.562661951568</v>
      </c>
      <c r="AC54" s="1218">
        <f>SUM(AC50:AC53)+AC47</f>
        <v>68039.952378292626</v>
      </c>
      <c r="AD54" s="685"/>
      <c r="AE54" s="685"/>
      <c r="AF54" s="685"/>
      <c r="AG54" s="685"/>
      <c r="AH54" s="685"/>
      <c r="AI54" s="685"/>
      <c r="AJ54" s="685"/>
      <c r="AK54" s="685"/>
      <c r="AL54" s="685"/>
      <c r="AM54" s="685"/>
      <c r="AN54" s="685"/>
      <c r="AO54" s="685"/>
      <c r="AP54" s="685"/>
      <c r="AQ54" s="685"/>
      <c r="AR54" s="685"/>
      <c r="AS54" s="685"/>
      <c r="AT54" s="685"/>
      <c r="AU54" s="685"/>
      <c r="AV54" s="685"/>
      <c r="AW54" s="685"/>
      <c r="AX54" s="685"/>
      <c r="AY54" s="685"/>
    </row>
    <row r="55" spans="1:51">
      <c r="A55" s="685"/>
      <c r="B55" s="1219" t="s">
        <v>132</v>
      </c>
      <c r="C55" s="1202"/>
      <c r="D55" s="1214"/>
      <c r="E55" s="1214"/>
      <c r="F55" s="1214"/>
      <c r="G55" s="1214"/>
      <c r="H55" s="1214">
        <f>SEGMENTOS!V15</f>
        <v>-1166.0989999999999</v>
      </c>
      <c r="I55" s="1214">
        <f>SEGMENTOS!AA15</f>
        <v>-1218.5999999999999</v>
      </c>
      <c r="J55" s="1210">
        <f>Interims!K17</f>
        <v>-1235.6999999999998</v>
      </c>
      <c r="K55" s="1210">
        <f>Interims!P17</f>
        <v>-1293.7</v>
      </c>
      <c r="L55" s="1210">
        <f>Interims!U17</f>
        <v>-1337.3</v>
      </c>
      <c r="M55" s="1210">
        <f>Interims!Z17</f>
        <v>-1389.6000000000035</v>
      </c>
      <c r="N55" s="1210">
        <v>-2146.9</v>
      </c>
      <c r="O55" s="1210">
        <v>-3064.4</v>
      </c>
      <c r="P55" s="1210">
        <v>-3343</v>
      </c>
      <c r="Q55" s="1210">
        <v>-4812</v>
      </c>
      <c r="R55" s="1210">
        <v>-5394</v>
      </c>
      <c r="S55" s="1210">
        <v>-7252.5</v>
      </c>
      <c r="T55" s="1210">
        <v>-7496.7</v>
      </c>
      <c r="U55" s="1210">
        <v>-563</v>
      </c>
      <c r="V55" s="1210">
        <v>-490.4</v>
      </c>
      <c r="W55" s="1215">
        <v>-170</v>
      </c>
      <c r="X55" s="1215">
        <f t="shared" ref="X55:AC55" si="45">W55/W54*X54</f>
        <v>-168.12726863154955</v>
      </c>
      <c r="Y55" s="1215">
        <f t="shared" si="45"/>
        <v>-168.55954803016084</v>
      </c>
      <c r="Z55" s="1215">
        <f t="shared" si="45"/>
        <v>-170.05541940546311</v>
      </c>
      <c r="AA55" s="1215">
        <f t="shared" si="45"/>
        <v>-172.72136758299382</v>
      </c>
      <c r="AB55" s="1215">
        <f t="shared" si="45"/>
        <v>-175.94706342542693</v>
      </c>
      <c r="AC55" s="1215">
        <f t="shared" si="45"/>
        <v>-179.40756921116582</v>
      </c>
      <c r="AD55" s="685"/>
      <c r="AE55" s="685"/>
      <c r="AF55" s="685"/>
      <c r="AG55" s="685"/>
      <c r="AH55" s="685"/>
      <c r="AI55" s="685"/>
      <c r="AJ55" s="685"/>
      <c r="AK55" s="685"/>
      <c r="AL55" s="685"/>
      <c r="AM55" s="685"/>
      <c r="AN55" s="685"/>
      <c r="AO55" s="685"/>
      <c r="AP55" s="685"/>
      <c r="AQ55" s="685"/>
      <c r="AR55" s="685"/>
      <c r="AS55" s="685"/>
      <c r="AT55" s="685"/>
      <c r="AU55" s="685"/>
      <c r="AV55" s="685"/>
      <c r="AW55" s="685"/>
      <c r="AX55" s="685"/>
      <c r="AY55" s="685"/>
    </row>
    <row r="56" spans="1:51">
      <c r="A56" s="685"/>
      <c r="B56" s="1220" t="s">
        <v>134</v>
      </c>
      <c r="C56" s="1221"/>
      <c r="D56" s="1222"/>
      <c r="E56" s="1222"/>
      <c r="F56" s="1222"/>
      <c r="G56" s="1222"/>
      <c r="H56" s="1222">
        <f>SEGMENTOS!V17</f>
        <v>52352.373298644896</v>
      </c>
      <c r="I56" s="1222">
        <f>SEGMENTOS!AA17</f>
        <v>57856.799999999996</v>
      </c>
      <c r="J56" s="1223">
        <f>Interims!K18</f>
        <v>62581.500000000007</v>
      </c>
      <c r="K56" s="1223">
        <f>Interims!P18</f>
        <v>69290.399999999994</v>
      </c>
      <c r="L56" s="1223">
        <f>Interims!U18</f>
        <v>73793.600000000006</v>
      </c>
      <c r="M56" s="1223">
        <f>Interims!Z18</f>
        <v>80118.399999999994</v>
      </c>
      <c r="N56" s="1223">
        <v>88052</v>
      </c>
      <c r="O56" s="1223">
        <v>96287.4</v>
      </c>
      <c r="P56" s="1224">
        <f t="shared" ref="P56:X56" si="46">P54+P55</f>
        <v>94275</v>
      </c>
      <c r="Q56" s="1224">
        <f t="shared" si="46"/>
        <v>101310</v>
      </c>
      <c r="R56" s="1224">
        <f t="shared" si="46"/>
        <v>100650.6</v>
      </c>
      <c r="S56" s="1224">
        <f t="shared" si="46"/>
        <v>97138.3</v>
      </c>
      <c r="T56" s="1224">
        <f>T54+T55</f>
        <v>103521.8</v>
      </c>
      <c r="U56" s="1224">
        <f t="shared" si="46"/>
        <v>75526.600000000006</v>
      </c>
      <c r="V56" s="1224">
        <f t="shared" si="46"/>
        <v>73767.900000000009</v>
      </c>
      <c r="W56" s="1224">
        <f t="shared" si="46"/>
        <v>64302.151064570928</v>
      </c>
      <c r="X56" s="1224">
        <f t="shared" si="46"/>
        <v>63593.794268350568</v>
      </c>
      <c r="Y56" s="1224">
        <f>Y54+Y55</f>
        <v>63757.303063595296</v>
      </c>
      <c r="Z56" s="1224">
        <f>Z54+Z55</f>
        <v>64323.113340935619</v>
      </c>
      <c r="AA56" s="1224">
        <f>AA54+AA55</f>
        <v>65331.502767064427</v>
      </c>
      <c r="AB56" s="1224">
        <f>AB54+AB55</f>
        <v>66551.615598526143</v>
      </c>
      <c r="AC56" s="1224">
        <f>AC54+AC55</f>
        <v>67860.544809081461</v>
      </c>
      <c r="AD56" s="685"/>
      <c r="AE56" s="685"/>
      <c r="AF56" s="685"/>
      <c r="AG56" s="685"/>
      <c r="AH56" s="685"/>
      <c r="AI56" s="685"/>
      <c r="AJ56" s="685"/>
      <c r="AK56" s="685"/>
      <c r="AL56" s="685"/>
      <c r="AM56" s="685"/>
      <c r="AN56" s="685"/>
      <c r="AO56" s="685"/>
      <c r="AP56" s="685"/>
      <c r="AQ56" s="685"/>
      <c r="AR56" s="685"/>
      <c r="AS56" s="685"/>
      <c r="AT56" s="685"/>
      <c r="AU56" s="685"/>
      <c r="AV56" s="685"/>
      <c r="AW56" s="685"/>
      <c r="AX56" s="685"/>
      <c r="AY56" s="685"/>
    </row>
    <row r="57" spans="1:51">
      <c r="A57" s="685"/>
      <c r="B57" s="1189" t="s">
        <v>181</v>
      </c>
      <c r="C57" s="1202"/>
      <c r="D57" s="1202"/>
      <c r="E57" s="1202"/>
      <c r="F57" s="1202"/>
      <c r="G57" s="1202"/>
      <c r="H57" s="1202"/>
      <c r="I57" s="1192">
        <f t="shared" ref="I57:T57" si="47">I56/H56-1</f>
        <v>0.10514187522989671</v>
      </c>
      <c r="J57" s="1192">
        <f t="shared" si="47"/>
        <v>8.1661965404239645E-2</v>
      </c>
      <c r="K57" s="1192">
        <f t="shared" si="47"/>
        <v>0.10720260779942925</v>
      </c>
      <c r="L57" s="1192">
        <f t="shared" si="47"/>
        <v>6.4990243958759297E-2</v>
      </c>
      <c r="M57" s="1192">
        <f t="shared" si="47"/>
        <v>8.5709329806378687E-2</v>
      </c>
      <c r="N57" s="1192">
        <f t="shared" si="47"/>
        <v>9.9023445300954638E-2</v>
      </c>
      <c r="O57" s="1192">
        <f t="shared" si="47"/>
        <v>9.3528823876799949E-2</v>
      </c>
      <c r="P57" s="1192">
        <f t="shared" si="47"/>
        <v>-2.0899930832071423E-2</v>
      </c>
      <c r="Q57" s="1192">
        <f t="shared" si="47"/>
        <v>7.4622116149562379E-2</v>
      </c>
      <c r="R57" s="1192">
        <f t="shared" si="47"/>
        <v>-6.5087355641101352E-3</v>
      </c>
      <c r="S57" s="1192">
        <f t="shared" si="47"/>
        <v>-3.4895966839740722E-2</v>
      </c>
      <c r="T57" s="1192">
        <f t="shared" si="47"/>
        <v>6.5715582833959507E-2</v>
      </c>
      <c r="U57" s="1192">
        <f t="shared" ref="U57:AC57" si="48">U56/T56-1</f>
        <v>-0.27042806442700951</v>
      </c>
      <c r="V57" s="1192">
        <f t="shared" si="48"/>
        <v>-2.3285835718806269E-2</v>
      </c>
      <c r="W57" s="1192">
        <f t="shared" si="48"/>
        <v>-0.12831799380799891</v>
      </c>
      <c r="X57" s="1192">
        <f t="shared" si="48"/>
        <v>-1.1016066873237862E-2</v>
      </c>
      <c r="Y57" s="1192">
        <f t="shared" si="48"/>
        <v>2.5711438848068369E-3</v>
      </c>
      <c r="Z57" s="1192">
        <f t="shared" si="48"/>
        <v>8.8744386941201903E-3</v>
      </c>
      <c r="AA57" s="1192">
        <f t="shared" si="48"/>
        <v>1.5676937476331032E-2</v>
      </c>
      <c r="AB57" s="1192">
        <f t="shared" si="48"/>
        <v>1.8675719672513136E-2</v>
      </c>
      <c r="AC57" s="1192">
        <f t="shared" si="48"/>
        <v>1.9667880317909336E-2</v>
      </c>
      <c r="AD57" s="685"/>
      <c r="AE57" s="685"/>
      <c r="AF57" s="685"/>
      <c r="AG57" s="685"/>
      <c r="AH57" s="685"/>
      <c r="AI57" s="685"/>
      <c r="AJ57" s="685"/>
      <c r="AK57" s="685"/>
      <c r="AL57" s="685"/>
      <c r="AM57" s="685"/>
      <c r="AN57" s="685"/>
      <c r="AO57" s="685"/>
      <c r="AP57" s="685"/>
      <c r="AQ57" s="685"/>
      <c r="AR57" s="685"/>
      <c r="AS57" s="685"/>
      <c r="AT57" s="685"/>
      <c r="AU57" s="685"/>
      <c r="AV57" s="685"/>
      <c r="AW57" s="685"/>
      <c r="AX57" s="685"/>
      <c r="AY57" s="685"/>
    </row>
    <row r="58" spans="1:51">
      <c r="A58" s="685"/>
      <c r="B58" s="1189" t="s">
        <v>1086</v>
      </c>
      <c r="C58" s="1202"/>
      <c r="D58" s="1202"/>
      <c r="E58" s="1202"/>
      <c r="F58" s="1202"/>
      <c r="G58" s="1202"/>
      <c r="H58" s="1202"/>
      <c r="I58" s="1208">
        <f>I56-I44-I45+Content!D47*Content!C45+Content!D61*Content!C45-I53</f>
        <v>54491.416864608065</v>
      </c>
      <c r="J58" s="1208">
        <f>J56-J44-J45+Content!E47*Content!D45+Content!E61*Content!D45-20*Valuation!G19-J53</f>
        <v>58621.736736334409</v>
      </c>
      <c r="K58" s="1208">
        <f>K56-K44-K45+Content!F47*Content!E45+Content!F61*Content!E45-20*Valuation!H19-K53</f>
        <v>64326.23829787234</v>
      </c>
      <c r="L58" s="1208">
        <f>L56-L44-L45+Content!G47*Content!F45+Content!G61*Content!F45-L53</f>
        <v>69219.324137931035</v>
      </c>
      <c r="M58" s="1208">
        <f>M56-M44-M45+Content!H47*Content!G45+Content!H61*Content!G45-M53</f>
        <v>71532.621487603305</v>
      </c>
      <c r="N58" s="1208">
        <f>N56-N44-N45+Content!I47*Content!H45+Content!I61*Content!H45-N53</f>
        <v>78104.35734089477</v>
      </c>
      <c r="O58" s="1208">
        <f>O56-O44-O45+Content!J47*Content!I45+Content!J61*Content!I45-O53</f>
        <v>85330.652785145881</v>
      </c>
      <c r="P58" s="1208">
        <f>P56-P44-P45+Content!K47*Content!J45+Content!K61*Content!J45-P53</f>
        <v>85863.873015873018</v>
      </c>
      <c r="Q58" s="1208">
        <f>Q56-Q44-Q45+Content!L47*Content!K45+Content!L61*Content!K45-Q53</f>
        <v>92394.690909090903</v>
      </c>
      <c r="R58" s="1208">
        <f>R56-R44-R45+Content!M47*Content!L45+Content!M61*Content!L45-R53</f>
        <v>92450.400000000009</v>
      </c>
      <c r="S58" s="1208">
        <f>S56-S44-S45+Content!N47*Content!M45+Content!N61*Content!M45-S53</f>
        <v>91173.895158286789</v>
      </c>
      <c r="T58" s="1208">
        <f ca="1">T56-T44-T45+Content!O47*Content!N45+Content!O61*Content!N45-T53</f>
        <v>99560.596101110306</v>
      </c>
      <c r="U58" s="1208">
        <f ca="1">U56-U44-U45+Content!P47*Content!O45+Content!P61*Content!O45-U53</f>
        <v>86114.342010404085</v>
      </c>
      <c r="V58" s="1208">
        <f ca="1">V56-V44-V45+Content!Q47*Content!P45+Content!Q61*Content!P45-V53</f>
        <v>84560.492785283233</v>
      </c>
      <c r="W58" s="1208">
        <f ca="1">W56-W44-W45+Content!R47*Content!Q45+Content!R61*Content!Q45-W53</f>
        <v>81083.616435167321</v>
      </c>
      <c r="X58" s="1208">
        <f ca="1">X56-X44-X45+Content!S47*Content!R45+Content!S61*Content!R45-X53</f>
        <v>79839.383856326633</v>
      </c>
      <c r="Y58" s="1208">
        <f ca="1">Y56-Y44-Y45+Content!T47*Content!S45+Content!T61*Content!S45-Y53</f>
        <v>71066.255751495977</v>
      </c>
      <c r="Z58" s="1208">
        <f ca="1">Z56-Z44-Z45+Content!U47*Content!T45+Content!U61*Content!T45-Z53</f>
        <v>71668.453038241132</v>
      </c>
      <c r="AA58" s="1208">
        <f ca="1">AA56-AA44-AA45+Content!V47*Content!U45+Content!V61*Content!U45-AA53</f>
        <v>72714.697599737396</v>
      </c>
      <c r="AB58" s="1208">
        <f ca="1">AB56-AB44-AB45+Content!W47*Content!V45+Content!W61*Content!V45-AB53</f>
        <v>73974.15214735092</v>
      </c>
      <c r="AC58" s="1208">
        <f ca="1">AC56-AC44-AC45+Content!X47*Content!W45+Content!X61*Content!W45-AC53</f>
        <v>75323.928553499936</v>
      </c>
      <c r="AD58" s="685"/>
      <c r="AE58" s="685"/>
      <c r="AF58" s="685"/>
      <c r="AG58" s="685"/>
      <c r="AH58" s="685"/>
      <c r="AI58" s="685"/>
      <c r="AJ58" s="685"/>
      <c r="AK58" s="685"/>
      <c r="AL58" s="685"/>
      <c r="AM58" s="685"/>
      <c r="AN58" s="685"/>
      <c r="AO58" s="685"/>
      <c r="AP58" s="685"/>
      <c r="AQ58" s="685"/>
      <c r="AR58" s="685"/>
      <c r="AS58" s="685"/>
      <c r="AT58" s="685"/>
      <c r="AU58" s="685"/>
      <c r="AV58" s="685"/>
      <c r="AW58" s="685"/>
      <c r="AX58" s="685"/>
      <c r="AY58" s="685"/>
    </row>
    <row r="59" spans="1:51">
      <c r="A59" s="685"/>
      <c r="B59" s="1189" t="s">
        <v>1081</v>
      </c>
      <c r="C59" s="1202"/>
      <c r="D59" s="1202"/>
      <c r="E59" s="1202"/>
      <c r="F59" s="1202"/>
      <c r="G59" s="1202"/>
      <c r="H59" s="1202"/>
      <c r="I59" s="1192">
        <f>I58/(H56-H53)-1</f>
        <v>0.12166373541652931</v>
      </c>
      <c r="J59" s="1192">
        <f>J58/(I56-I53)-1</f>
        <v>8.469384926004353E-2</v>
      </c>
      <c r="K59" s="1192">
        <f t="shared" ref="K59:T59" si="49">K58/(J56-J53)-1</f>
        <v>9.4797294892161821E-2</v>
      </c>
      <c r="L59" s="1192">
        <f t="shared" si="49"/>
        <v>6.3619971694879096E-2</v>
      </c>
      <c r="M59" s="1192">
        <f t="shared" si="49"/>
        <v>3.7627997777780475E-2</v>
      </c>
      <c r="N59" s="1192">
        <f t="shared" si="49"/>
        <v>8.6076982583339179E-2</v>
      </c>
      <c r="O59" s="1192">
        <f t="shared" si="49"/>
        <v>6.7598001508186512E-2</v>
      </c>
      <c r="P59" s="1192">
        <f t="shared" si="49"/>
        <v>-1.8239691285720672E-2</v>
      </c>
      <c r="Q59" s="1192">
        <f t="shared" si="49"/>
        <v>7.5620099292086129E-2</v>
      </c>
      <c r="R59" s="1192">
        <f t="shared" si="49"/>
        <v>-2.4127587025486452E-3</v>
      </c>
      <c r="S59" s="1192">
        <f t="shared" si="49"/>
        <v>-1.3807456124724449E-2</v>
      </c>
      <c r="T59" s="1192">
        <f t="shared" ca="1" si="49"/>
        <v>7.213149040149025E-2</v>
      </c>
      <c r="U59" s="1192">
        <f t="shared" ref="U59:AC59" ca="1" si="50">U58/(T56-T53)-1</f>
        <v>-0.12567792323284788</v>
      </c>
      <c r="V59" s="1192">
        <f t="shared" ca="1" si="50"/>
        <v>0.2401117617122599</v>
      </c>
      <c r="W59" s="1192">
        <f t="shared" ca="1" si="50"/>
        <v>0.23045430442775827</v>
      </c>
      <c r="X59" s="1192">
        <f t="shared" ca="1" si="50"/>
        <v>0.24162850751530107</v>
      </c>
      <c r="Y59" s="1192">
        <f t="shared" ca="1" si="50"/>
        <v>0.11750299803803821</v>
      </c>
      <c r="Z59" s="1192">
        <f t="shared" ca="1" si="50"/>
        <v>0.12408225559281871</v>
      </c>
      <c r="AA59" s="1192">
        <f t="shared" ca="1" si="50"/>
        <v>0.13045985840771368</v>
      </c>
      <c r="AB59" s="1192">
        <f t="shared" ca="1" si="50"/>
        <v>0.13228915629112881</v>
      </c>
      <c r="AC59" s="1192">
        <f t="shared" ca="1" si="50"/>
        <v>0.13181217129112133</v>
      </c>
      <c r="AD59" s="685"/>
      <c r="AE59" s="685"/>
      <c r="AF59" s="685"/>
      <c r="AG59" s="685"/>
      <c r="AH59" s="685"/>
      <c r="AI59" s="685"/>
      <c r="AJ59" s="685"/>
      <c r="AK59" s="685"/>
      <c r="AL59" s="685"/>
      <c r="AM59" s="685"/>
      <c r="AN59" s="685"/>
      <c r="AO59" s="685"/>
      <c r="AP59" s="685"/>
      <c r="AQ59" s="685"/>
      <c r="AR59" s="685"/>
      <c r="AS59" s="685"/>
      <c r="AT59" s="685"/>
      <c r="AU59" s="685"/>
      <c r="AV59" s="685"/>
      <c r="AW59" s="685"/>
      <c r="AX59" s="685"/>
      <c r="AY59" s="685"/>
    </row>
    <row r="60" spans="1:51">
      <c r="A60" s="685"/>
      <c r="B60" s="1189"/>
      <c r="C60" s="1202"/>
      <c r="D60" s="1202"/>
      <c r="E60" s="1202"/>
      <c r="F60" s="1202"/>
      <c r="G60" s="1202"/>
      <c r="H60" s="1202"/>
      <c r="I60" s="1192"/>
      <c r="J60" s="1192"/>
      <c r="K60" s="1192"/>
      <c r="L60" s="1192"/>
      <c r="M60" s="1192"/>
      <c r="N60" s="1192"/>
      <c r="O60" s="1192"/>
      <c r="P60" s="1192"/>
      <c r="Q60" s="1192"/>
      <c r="R60" s="1192"/>
      <c r="S60" s="1192"/>
      <c r="T60" s="1192"/>
      <c r="U60" s="1192"/>
      <c r="V60" s="1192"/>
      <c r="W60" s="1192"/>
      <c r="X60" s="1192"/>
      <c r="Y60" s="1192"/>
      <c r="Z60" s="1192"/>
      <c r="AA60" s="1192"/>
      <c r="AB60" s="1192"/>
      <c r="AC60" s="1192"/>
      <c r="AD60" s="685"/>
      <c r="AE60" s="685"/>
      <c r="AF60" s="685"/>
      <c r="AG60" s="685"/>
      <c r="AH60" s="685"/>
      <c r="AI60" s="685"/>
      <c r="AJ60" s="685"/>
      <c r="AK60" s="685"/>
      <c r="AL60" s="685"/>
      <c r="AM60" s="685"/>
      <c r="AN60" s="685"/>
      <c r="AO60" s="685"/>
      <c r="AP60" s="685"/>
      <c r="AQ60" s="685"/>
      <c r="AR60" s="685"/>
      <c r="AS60" s="685"/>
      <c r="AT60" s="685"/>
      <c r="AU60" s="685"/>
      <c r="AV60" s="685"/>
      <c r="AW60" s="685"/>
      <c r="AX60" s="685"/>
      <c r="AY60" s="685"/>
    </row>
    <row r="61" spans="1:51">
      <c r="A61" s="685"/>
      <c r="B61" s="1189"/>
      <c r="C61" s="1202"/>
      <c r="D61" s="1202"/>
      <c r="E61" s="1202"/>
      <c r="F61" s="1202"/>
      <c r="G61" s="1202"/>
      <c r="H61" s="1202"/>
      <c r="I61" s="1192"/>
      <c r="J61" s="1192"/>
      <c r="K61" s="1192"/>
      <c r="L61" s="1192"/>
      <c r="M61" s="1192"/>
      <c r="N61" s="1192"/>
      <c r="O61" s="1192"/>
      <c r="P61" s="1192"/>
      <c r="Q61" s="1192"/>
      <c r="R61" s="1192"/>
      <c r="S61" s="1225"/>
      <c r="T61" s="1225"/>
      <c r="U61" s="1225"/>
      <c r="V61" s="1192"/>
      <c r="W61" s="1192"/>
      <c r="X61" s="1192"/>
      <c r="Y61" s="1192"/>
      <c r="Z61" s="1192"/>
      <c r="AA61" s="1192"/>
      <c r="AB61" s="1192"/>
      <c r="AC61" s="1192"/>
      <c r="AD61" s="685"/>
      <c r="AE61" s="685"/>
      <c r="AF61" s="685"/>
      <c r="AG61" s="685"/>
      <c r="AH61" s="685"/>
      <c r="AI61" s="685"/>
      <c r="AJ61" s="685"/>
      <c r="AK61" s="685"/>
      <c r="AL61" s="685"/>
      <c r="AM61" s="685"/>
      <c r="AN61" s="685"/>
      <c r="AO61" s="685"/>
      <c r="AP61" s="685"/>
      <c r="AQ61" s="685"/>
      <c r="AR61" s="685"/>
      <c r="AS61" s="685"/>
      <c r="AT61" s="685"/>
      <c r="AU61" s="685"/>
      <c r="AV61" s="685"/>
      <c r="AW61" s="685"/>
      <c r="AX61" s="685"/>
      <c r="AY61" s="685"/>
    </row>
    <row r="62" spans="1:51">
      <c r="A62" s="685"/>
      <c r="B62" s="1187" t="s">
        <v>1379</v>
      </c>
      <c r="C62" s="1202"/>
      <c r="D62" s="1202"/>
      <c r="E62" s="1202"/>
      <c r="F62" s="1202"/>
      <c r="G62" s="1202"/>
      <c r="H62" s="1202"/>
      <c r="I62" s="1208">
        <f>I56/I$92</f>
        <v>4580.9026128266023</v>
      </c>
      <c r="J62" s="1208">
        <f t="shared" ref="J62:X62" si="51">J56/J$92</f>
        <v>5030.6672025723483</v>
      </c>
      <c r="K62" s="1208">
        <f t="shared" si="51"/>
        <v>5265.2279635258355</v>
      </c>
      <c r="L62" s="1208">
        <f t="shared" si="51"/>
        <v>5783.1974921630099</v>
      </c>
      <c r="M62" s="1208">
        <f t="shared" si="51"/>
        <v>6019.4139744552958</v>
      </c>
      <c r="N62" s="1208">
        <f t="shared" si="51"/>
        <v>5548.3301827347195</v>
      </c>
      <c r="O62" s="1208">
        <f t="shared" si="51"/>
        <v>5108.0848806366039</v>
      </c>
      <c r="P62" s="1208">
        <f t="shared" si="51"/>
        <v>4988.0952380952385</v>
      </c>
      <c r="Q62" s="1208">
        <f t="shared" si="51"/>
        <v>5262.8571428571431</v>
      </c>
      <c r="R62" s="1208">
        <f t="shared" si="51"/>
        <v>5228.6025974025979</v>
      </c>
      <c r="S62" s="1208">
        <f t="shared" si="51"/>
        <v>4522.2672253258843</v>
      </c>
      <c r="T62" s="1208">
        <f>T56/T$92</f>
        <v>5103.2359288851512</v>
      </c>
      <c r="U62" s="1208">
        <f t="shared" si="51"/>
        <v>3755.6737941322731</v>
      </c>
      <c r="V62" s="1208">
        <f t="shared" si="51"/>
        <v>4167.6779661016953</v>
      </c>
      <c r="W62" s="1208">
        <f t="shared" si="51"/>
        <v>3774.4864442692488</v>
      </c>
      <c r="X62" s="1208">
        <f t="shared" si="51"/>
        <v>3682.1141953766755</v>
      </c>
      <c r="Y62" s="1208">
        <f>Y56/Y$92</f>
        <v>3619.197490954195</v>
      </c>
      <c r="Z62" s="1208">
        <f>Z56/Z$92</f>
        <v>3579.7214090290017</v>
      </c>
      <c r="AA62" s="1208">
        <f>AA56/AA$92</f>
        <v>3564.549487981405</v>
      </c>
      <c r="AB62" s="1208">
        <f>AB56/AB$92</f>
        <v>3559.9215833115163</v>
      </c>
      <c r="AC62" s="1208">
        <f>AC56/AC$92</f>
        <v>3558.7624460325778</v>
      </c>
      <c r="AD62" s="685"/>
      <c r="AE62" s="685"/>
      <c r="AF62" s="685"/>
      <c r="AG62" s="685"/>
      <c r="AH62" s="685"/>
      <c r="AI62" s="685"/>
      <c r="AJ62" s="685"/>
      <c r="AK62" s="685"/>
      <c r="AL62" s="685"/>
      <c r="AM62" s="685"/>
      <c r="AN62" s="685"/>
      <c r="AO62" s="685"/>
      <c r="AP62" s="685"/>
      <c r="AQ62" s="685"/>
      <c r="AR62" s="685"/>
      <c r="AS62" s="685"/>
      <c r="AT62" s="685"/>
      <c r="AU62" s="685"/>
      <c r="AV62" s="685"/>
      <c r="AW62" s="685"/>
      <c r="AX62" s="685"/>
      <c r="AY62" s="685"/>
    </row>
    <row r="63" spans="1:51">
      <c r="A63" s="685"/>
      <c r="B63" s="1189"/>
      <c r="C63" s="1202"/>
      <c r="D63" s="1202"/>
      <c r="E63" s="1202"/>
      <c r="F63" s="1202"/>
      <c r="G63" s="1202"/>
      <c r="H63" s="1202"/>
      <c r="I63" s="1202"/>
      <c r="J63" s="1226"/>
      <c r="K63" s="1227"/>
      <c r="L63" s="1191"/>
      <c r="M63" s="1228"/>
      <c r="N63" s="1191"/>
      <c r="O63" s="1191"/>
      <c r="P63" s="1191"/>
      <c r="Q63" s="1191"/>
      <c r="R63" s="1191"/>
      <c r="S63" s="1191"/>
      <c r="T63" s="1191"/>
      <c r="U63" s="1191"/>
      <c r="V63" s="1191"/>
      <c r="W63" s="1191"/>
      <c r="X63" s="1191"/>
      <c r="Y63" s="1191"/>
      <c r="Z63" s="1191"/>
      <c r="AA63" s="1191"/>
      <c r="AB63" s="1191"/>
      <c r="AC63" s="1191"/>
      <c r="AD63" s="685"/>
      <c r="AE63" s="685"/>
      <c r="AF63" s="685"/>
      <c r="AG63" s="685"/>
      <c r="AH63" s="685"/>
      <c r="AI63" s="685"/>
      <c r="AJ63" s="685"/>
      <c r="AK63" s="685"/>
      <c r="AL63" s="685"/>
      <c r="AM63" s="685"/>
      <c r="AN63" s="685"/>
      <c r="AO63" s="685"/>
      <c r="AP63" s="685"/>
      <c r="AQ63" s="685"/>
      <c r="AR63" s="685"/>
      <c r="AS63" s="685"/>
      <c r="AT63" s="685"/>
      <c r="AU63" s="685"/>
      <c r="AV63" s="685"/>
      <c r="AW63" s="685"/>
      <c r="AX63" s="685"/>
      <c r="AY63" s="685"/>
    </row>
    <row r="64" spans="1:51">
      <c r="A64" s="685"/>
      <c r="B64" s="1187" t="s">
        <v>57</v>
      </c>
      <c r="C64" s="1202"/>
      <c r="D64" s="1202"/>
      <c r="E64" s="1202"/>
      <c r="F64" s="1202"/>
      <c r="G64" s="1202"/>
      <c r="H64" s="1202"/>
      <c r="I64" s="1205"/>
      <c r="J64" s="1229"/>
      <c r="K64" s="1205"/>
      <c r="L64" s="1205"/>
      <c r="M64" s="1202"/>
      <c r="N64" s="1205"/>
      <c r="O64" s="1205"/>
      <c r="P64" s="1205"/>
      <c r="Q64" s="1205"/>
      <c r="R64" s="1205"/>
      <c r="S64" s="1205"/>
      <c r="T64" s="1205"/>
      <c r="U64" s="1202"/>
      <c r="V64" s="1202"/>
      <c r="W64" s="1202"/>
      <c r="X64" s="1202"/>
      <c r="Y64" s="1202"/>
      <c r="Z64" s="1202"/>
      <c r="AA64" s="1202"/>
      <c r="AB64" s="1202"/>
      <c r="AC64" s="1202"/>
      <c r="AD64" s="685"/>
      <c r="AE64" s="685"/>
      <c r="AF64" s="685"/>
      <c r="AG64" s="685"/>
      <c r="AH64" s="685"/>
      <c r="AI64" s="685"/>
      <c r="AJ64" s="685"/>
      <c r="AK64" s="685"/>
      <c r="AL64" s="685"/>
      <c r="AM64" s="685"/>
      <c r="AN64" s="685"/>
      <c r="AO64" s="685"/>
      <c r="AP64" s="685"/>
      <c r="AQ64" s="685"/>
      <c r="AR64" s="685"/>
      <c r="AS64" s="685"/>
      <c r="AT64" s="685"/>
      <c r="AU64" s="685"/>
      <c r="AV64" s="685"/>
      <c r="AW64" s="685"/>
      <c r="AX64" s="685"/>
      <c r="AY64" s="685"/>
    </row>
    <row r="65" spans="1:51">
      <c r="A65" s="685"/>
      <c r="B65" s="1206" t="s">
        <v>145</v>
      </c>
      <c r="C65" s="1202"/>
      <c r="D65" s="1202"/>
      <c r="E65" s="1202"/>
      <c r="F65" s="1202"/>
      <c r="G65" s="1202"/>
      <c r="H65" s="1210">
        <v>13417</v>
      </c>
      <c r="I65" s="1210">
        <v>13820</v>
      </c>
      <c r="J65" s="1210">
        <v>14465.6</v>
      </c>
      <c r="K65" s="1210">
        <f>Interims!P23</f>
        <v>15411.2</v>
      </c>
      <c r="L65" s="1210">
        <f>Interims!U23</f>
        <v>15565.999999999998</v>
      </c>
      <c r="M65" s="1210">
        <f>Interims!Z23</f>
        <v>15534.3</v>
      </c>
      <c r="N65" s="1210">
        <v>14564.2</v>
      </c>
      <c r="O65" s="1210">
        <v>14748</v>
      </c>
      <c r="P65" s="1210">
        <v>12825</v>
      </c>
      <c r="Q65" s="1210">
        <v>14855</v>
      </c>
      <c r="R65" s="1210">
        <v>12632</v>
      </c>
      <c r="S65" s="1210">
        <v>12360.8</v>
      </c>
      <c r="T65" s="1210">
        <v>13779</v>
      </c>
      <c r="U65" s="1208"/>
      <c r="V65" s="1208"/>
      <c r="W65" s="1208"/>
      <c r="X65" s="1208"/>
      <c r="Y65" s="1208"/>
      <c r="Z65" s="1208"/>
      <c r="AA65" s="1208"/>
      <c r="AB65" s="1208"/>
      <c r="AC65" s="1208"/>
      <c r="AD65" s="685"/>
      <c r="AE65" s="685"/>
      <c r="AF65" s="685"/>
      <c r="AG65" s="685"/>
      <c r="AH65" s="685"/>
      <c r="AI65" s="685"/>
      <c r="AJ65" s="685"/>
      <c r="AK65" s="685"/>
      <c r="AL65" s="685"/>
      <c r="AM65" s="685"/>
      <c r="AN65" s="685"/>
      <c r="AO65" s="685"/>
      <c r="AP65" s="685"/>
      <c r="AQ65" s="685"/>
      <c r="AR65" s="685"/>
      <c r="AS65" s="685"/>
      <c r="AT65" s="685"/>
      <c r="AU65" s="685"/>
      <c r="AV65" s="685"/>
      <c r="AW65" s="685"/>
      <c r="AX65" s="685"/>
      <c r="AY65" s="685"/>
    </row>
    <row r="66" spans="1:51">
      <c r="A66" s="685"/>
      <c r="B66" s="1206" t="s">
        <v>25</v>
      </c>
      <c r="C66" s="1202"/>
      <c r="D66" s="1202"/>
      <c r="E66" s="1202"/>
      <c r="F66" s="1202"/>
      <c r="G66" s="1202"/>
      <c r="H66" s="1210">
        <v>190.7</v>
      </c>
      <c r="I66" s="1210">
        <v>425.3</v>
      </c>
      <c r="J66" s="1210">
        <f>Interims!K24</f>
        <v>454.69999999999993</v>
      </c>
      <c r="K66" s="1210">
        <f>Interims!P24</f>
        <v>447.70000000000005</v>
      </c>
      <c r="L66" s="1210">
        <f>Interims!U24</f>
        <v>328.9</v>
      </c>
      <c r="M66" s="1191"/>
      <c r="N66" s="1208"/>
      <c r="O66" s="1208"/>
      <c r="P66" s="1208"/>
      <c r="Q66" s="1208"/>
      <c r="R66" s="1208"/>
      <c r="S66" s="1208"/>
      <c r="T66" s="1208"/>
      <c r="U66" s="1208"/>
      <c r="V66" s="1208"/>
      <c r="W66" s="1208"/>
      <c r="X66" s="1208"/>
      <c r="Y66" s="1208"/>
      <c r="Z66" s="1208"/>
      <c r="AA66" s="1208"/>
      <c r="AB66" s="1208"/>
      <c r="AC66" s="1208"/>
      <c r="AD66" s="685"/>
      <c r="AE66" s="685"/>
      <c r="AF66" s="685"/>
      <c r="AG66" s="685"/>
      <c r="AH66" s="685"/>
      <c r="AI66" s="685"/>
      <c r="AJ66" s="685"/>
      <c r="AK66" s="685"/>
      <c r="AL66" s="685"/>
      <c r="AM66" s="685"/>
      <c r="AN66" s="685"/>
      <c r="AO66" s="685"/>
      <c r="AP66" s="685"/>
      <c r="AQ66" s="685"/>
      <c r="AR66" s="685"/>
      <c r="AS66" s="685"/>
      <c r="AT66" s="685"/>
      <c r="AU66" s="685"/>
      <c r="AV66" s="685"/>
      <c r="AW66" s="685"/>
      <c r="AX66" s="685"/>
      <c r="AY66" s="685"/>
    </row>
    <row r="67" spans="1:51">
      <c r="A67" s="685"/>
      <c r="B67" s="1206" t="s">
        <v>128</v>
      </c>
      <c r="C67" s="1202"/>
      <c r="D67" s="1202"/>
      <c r="E67" s="1202"/>
      <c r="F67" s="1202"/>
      <c r="G67" s="1202"/>
      <c r="H67" s="1210">
        <v>4479</v>
      </c>
      <c r="I67" s="1210">
        <v>5075</v>
      </c>
      <c r="J67" s="1210">
        <f>Interims!K25</f>
        <v>5789.8</v>
      </c>
      <c r="K67" s="1210">
        <f>Interims!P25</f>
        <v>6558</v>
      </c>
      <c r="L67" s="1210">
        <f>Interims!U25</f>
        <v>7340.5</v>
      </c>
      <c r="M67" s="1210">
        <f>Interims!Z25</f>
        <v>8211.2999999999993</v>
      </c>
      <c r="N67" s="1210">
        <v>8972.2999999999993</v>
      </c>
      <c r="O67" s="1210">
        <v>9898.5</v>
      </c>
      <c r="P67" s="1210">
        <v>10107</v>
      </c>
      <c r="Q67" s="1210">
        <v>9767</v>
      </c>
      <c r="R67" s="1210">
        <v>9121</v>
      </c>
      <c r="S67" s="1210">
        <v>9135.7999999999993</v>
      </c>
      <c r="T67" s="1210">
        <v>8504.2000000000007</v>
      </c>
      <c r="U67" s="1210">
        <v>6416.33</v>
      </c>
      <c r="V67" s="1210">
        <v>5731.4</v>
      </c>
      <c r="W67" s="1208">
        <f>'SKY Mex'!U125</f>
        <v>4922.7495535325561</v>
      </c>
      <c r="X67" s="1208">
        <f>'SKY Mex'!V125</f>
        <v>4929.4109901492266</v>
      </c>
      <c r="Y67" s="1208">
        <f>'SKY Mex'!W125</f>
        <v>4593.9127511233182</v>
      </c>
      <c r="Z67" s="1208">
        <f>'SKY Mex'!X125</f>
        <v>4309.5155330454008</v>
      </c>
      <c r="AA67" s="1208">
        <f>'SKY Mex'!Y125</f>
        <v>4038.7446351704884</v>
      </c>
      <c r="AB67" s="1208">
        <f>'SKY Mex'!Z125</f>
        <v>3781.0306828921803</v>
      </c>
      <c r="AC67" s="1208">
        <f>'SKY Mex'!AA125</f>
        <v>3535.8184902881126</v>
      </c>
      <c r="AD67" s="685"/>
      <c r="AE67" s="685"/>
      <c r="AF67" s="685"/>
      <c r="AG67" s="685"/>
      <c r="AH67" s="685"/>
      <c r="AI67" s="685"/>
      <c r="AJ67" s="685"/>
      <c r="AK67" s="685"/>
      <c r="AL67" s="685"/>
      <c r="AM67" s="685"/>
      <c r="AN67" s="685"/>
      <c r="AO67" s="685"/>
      <c r="AP67" s="685"/>
      <c r="AQ67" s="685"/>
      <c r="AR67" s="685"/>
      <c r="AS67" s="685"/>
      <c r="AT67" s="685"/>
      <c r="AU67" s="685"/>
      <c r="AV67" s="685"/>
      <c r="AW67" s="685"/>
      <c r="AX67" s="685"/>
      <c r="AY67" s="685"/>
    </row>
    <row r="68" spans="1:51">
      <c r="A68" s="685"/>
      <c r="B68" s="1206" t="s">
        <v>129</v>
      </c>
      <c r="C68" s="1202"/>
      <c r="D68" s="1202"/>
      <c r="E68" s="1202"/>
      <c r="F68" s="1202"/>
      <c r="G68" s="1202"/>
      <c r="H68" s="1210">
        <v>2972</v>
      </c>
      <c r="I68" s="1210">
        <v>3907</v>
      </c>
      <c r="J68" s="1210">
        <v>4779</v>
      </c>
      <c r="K68" s="1210">
        <f>Interims!P26</f>
        <v>5812.7999999999993</v>
      </c>
      <c r="L68" s="1210">
        <f>Interims!U26</f>
        <v>6131.8</v>
      </c>
      <c r="M68" s="1210">
        <f>Interims!Z26</f>
        <v>7882.9</v>
      </c>
      <c r="N68" s="1210">
        <v>11405.6</v>
      </c>
      <c r="O68" s="1210">
        <v>13236.1</v>
      </c>
      <c r="P68" s="1210">
        <v>14035</v>
      </c>
      <c r="Q68" s="1210">
        <v>15303</v>
      </c>
      <c r="R68" s="1210">
        <v>17798</v>
      </c>
      <c r="S68" s="1210">
        <v>18898.3</v>
      </c>
      <c r="T68" s="1210">
        <v>20285</v>
      </c>
      <c r="U68" s="1210">
        <v>19902.8</v>
      </c>
      <c r="V68" s="1210">
        <v>18821</v>
      </c>
      <c r="W68" s="1208">
        <f>'Cable cos'!S208</f>
        <v>18178.931250000001</v>
      </c>
      <c r="X68" s="1208">
        <f>'Cable cos'!T208</f>
        <v>18237.49425</v>
      </c>
      <c r="Y68" s="1208">
        <f>'Cable cos'!U208</f>
        <v>18602.244135000001</v>
      </c>
      <c r="Z68" s="1208">
        <f>'Cable cos'!V208</f>
        <v>19067.300238374999</v>
      </c>
      <c r="AA68" s="1208">
        <f>'Cable cos'!W208</f>
        <v>19686.987496122183</v>
      </c>
      <c r="AB68" s="1208">
        <f>'Cable cos'!X208</f>
        <v>20376.032058486457</v>
      </c>
      <c r="AC68" s="1208">
        <f>'Cable cos'!Y208</f>
        <v>21089.193180533479</v>
      </c>
      <c r="AD68" s="685"/>
      <c r="AE68" s="685"/>
      <c r="AF68" s="685"/>
      <c r="AG68" s="685"/>
      <c r="AH68" s="685"/>
      <c r="AI68" s="685"/>
      <c r="AJ68" s="685"/>
      <c r="AK68" s="685"/>
      <c r="AL68" s="685"/>
      <c r="AM68" s="685"/>
      <c r="AN68" s="685"/>
      <c r="AO68" s="685"/>
      <c r="AP68" s="685"/>
      <c r="AQ68" s="685"/>
      <c r="AR68" s="685"/>
      <c r="AS68" s="685"/>
      <c r="AT68" s="685"/>
      <c r="AU68" s="685"/>
      <c r="AV68" s="685"/>
      <c r="AW68" s="685"/>
      <c r="AX68" s="685"/>
      <c r="AY68" s="685"/>
    </row>
    <row r="69" spans="1:51">
      <c r="A69" s="685"/>
      <c r="B69" s="1206" t="s">
        <v>130</v>
      </c>
      <c r="C69" s="1202"/>
      <c r="D69" s="1202"/>
      <c r="E69" s="1202"/>
      <c r="F69" s="1202"/>
      <c r="G69" s="1202"/>
      <c r="H69" s="1214">
        <f t="shared" ref="H69:M69" si="52">H70-H65-H66-H67-H68</f>
        <v>-313.69999999999982</v>
      </c>
      <c r="I69" s="1214">
        <f t="shared" si="52"/>
        <v>-164.29999999999927</v>
      </c>
      <c r="J69" s="1214">
        <f t="shared" si="52"/>
        <v>-117.60000000000127</v>
      </c>
      <c r="K69" s="1214">
        <f t="shared" si="52"/>
        <v>183.79999999999927</v>
      </c>
      <c r="L69" s="1214">
        <f t="shared" si="52"/>
        <v>493.19999999999982</v>
      </c>
      <c r="M69" s="1214">
        <f t="shared" si="52"/>
        <v>651.20000000000255</v>
      </c>
      <c r="N69" s="1210">
        <v>753.2</v>
      </c>
      <c r="O69" s="1210">
        <v>1040.5999999999999</v>
      </c>
      <c r="P69" s="1210">
        <v>490</v>
      </c>
      <c r="Q69" s="1210">
        <v>754</v>
      </c>
      <c r="R69" s="1210">
        <v>1464</v>
      </c>
      <c r="S69" s="1210">
        <v>116.5</v>
      </c>
      <c r="T69" s="1210">
        <v>907.3</v>
      </c>
      <c r="U69" s="1210">
        <v>1691</v>
      </c>
      <c r="V69" s="1210">
        <v>1952.4</v>
      </c>
      <c r="W69" s="1215"/>
      <c r="X69" s="1215"/>
      <c r="Y69" s="1215"/>
      <c r="Z69" s="1215"/>
      <c r="AA69" s="1215"/>
      <c r="AB69" s="1215"/>
      <c r="AC69" s="1215"/>
      <c r="AD69" s="685"/>
      <c r="AE69" s="685"/>
      <c r="AF69" s="685"/>
      <c r="AG69" s="685"/>
      <c r="AH69" s="685"/>
      <c r="AI69" s="685"/>
      <c r="AJ69" s="685"/>
      <c r="AK69" s="685"/>
      <c r="AL69" s="685"/>
      <c r="AM69" s="685"/>
      <c r="AN69" s="685"/>
      <c r="AO69" s="685"/>
      <c r="AP69" s="685"/>
      <c r="AQ69" s="685"/>
      <c r="AR69" s="685"/>
      <c r="AS69" s="685"/>
      <c r="AT69" s="685"/>
      <c r="AU69" s="685"/>
      <c r="AV69" s="685"/>
      <c r="AW69" s="685"/>
      <c r="AX69" s="685"/>
      <c r="AY69" s="685"/>
    </row>
    <row r="70" spans="1:51">
      <c r="A70" s="685"/>
      <c r="B70" s="1230" t="s">
        <v>136</v>
      </c>
      <c r="C70" s="1217"/>
      <c r="D70" s="1217"/>
      <c r="E70" s="1217"/>
      <c r="F70" s="1217"/>
      <c r="G70" s="1217"/>
      <c r="H70" s="1231">
        <v>20745</v>
      </c>
      <c r="I70" s="1231">
        <v>23063</v>
      </c>
      <c r="J70" s="1231">
        <f>Interims!K28</f>
        <v>25371.5</v>
      </c>
      <c r="K70" s="1231">
        <f>Interims!P28</f>
        <v>28413.5</v>
      </c>
      <c r="L70" s="1231">
        <f>Interims!U28</f>
        <v>29860.399999999998</v>
      </c>
      <c r="M70" s="1231">
        <f>Interims!Z28</f>
        <v>32279.7</v>
      </c>
      <c r="N70" s="1232">
        <f t="shared" ref="N70:S70" si="53">SUM(N65:N69)</f>
        <v>35695.299999999996</v>
      </c>
      <c r="O70" s="1232">
        <f t="shared" si="53"/>
        <v>38923.199999999997</v>
      </c>
      <c r="P70" s="1232">
        <f t="shared" si="53"/>
        <v>37457</v>
      </c>
      <c r="Q70" s="1232">
        <f t="shared" si="53"/>
        <v>40679</v>
      </c>
      <c r="R70" s="1232">
        <f t="shared" si="53"/>
        <v>41015</v>
      </c>
      <c r="S70" s="1232">
        <f t="shared" si="53"/>
        <v>40511.399999999994</v>
      </c>
      <c r="T70" s="1232">
        <f t="shared" ref="T70:AC70" si="54">SUM(T65:T69)</f>
        <v>43475.5</v>
      </c>
      <c r="U70" s="1232">
        <f t="shared" si="54"/>
        <v>28010.129999999997</v>
      </c>
      <c r="V70" s="1232">
        <f t="shared" si="54"/>
        <v>26504.800000000003</v>
      </c>
      <c r="W70" s="1232">
        <f t="shared" si="54"/>
        <v>23101.680803532559</v>
      </c>
      <c r="X70" s="1232">
        <f t="shared" si="54"/>
        <v>23166.905240149226</v>
      </c>
      <c r="Y70" s="1232">
        <f t="shared" si="54"/>
        <v>23196.156886123317</v>
      </c>
      <c r="Z70" s="1232">
        <f t="shared" si="54"/>
        <v>23376.815771420399</v>
      </c>
      <c r="AA70" s="1232">
        <f t="shared" si="54"/>
        <v>23725.732131292672</v>
      </c>
      <c r="AB70" s="1232">
        <f t="shared" si="54"/>
        <v>24157.062741378635</v>
      </c>
      <c r="AC70" s="1232">
        <f t="shared" si="54"/>
        <v>24625.01167082159</v>
      </c>
      <c r="AD70" s="685"/>
      <c r="AE70" s="685"/>
      <c r="AF70" s="685"/>
      <c r="AG70" s="685"/>
      <c r="AH70" s="685"/>
      <c r="AI70" s="685"/>
      <c r="AJ70" s="685"/>
      <c r="AK70" s="685"/>
      <c r="AL70" s="685"/>
      <c r="AM70" s="685"/>
      <c r="AN70" s="685"/>
      <c r="AO70" s="685"/>
      <c r="AP70" s="685"/>
      <c r="AQ70" s="685"/>
      <c r="AR70" s="685"/>
      <c r="AS70" s="685"/>
      <c r="AT70" s="685"/>
      <c r="AU70" s="685"/>
      <c r="AV70" s="685"/>
      <c r="AW70" s="685"/>
      <c r="AX70" s="685"/>
      <c r="AY70" s="685"/>
    </row>
    <row r="71" spans="1:51">
      <c r="A71" s="685"/>
      <c r="B71" s="1206" t="s">
        <v>137</v>
      </c>
      <c r="C71" s="1202"/>
      <c r="D71" s="1202"/>
      <c r="E71" s="1202"/>
      <c r="F71" s="1202"/>
      <c r="G71" s="1202"/>
      <c r="H71" s="1210">
        <v>-658</v>
      </c>
      <c r="I71" s="1210">
        <v>-901</v>
      </c>
      <c r="J71" s="1210">
        <f>Interims!K29</f>
        <v>-1142.5999999999999</v>
      </c>
      <c r="K71" s="1210">
        <f>Interims!P29</f>
        <v>-1149.3</v>
      </c>
      <c r="L71" s="1210">
        <f>Interims!U29</f>
        <v>-1192.5</v>
      </c>
      <c r="M71" s="1210">
        <f>Interims!Z29</f>
        <v>-1478.5</v>
      </c>
      <c r="N71" s="1210">
        <v>-1960.8</v>
      </c>
      <c r="O71" s="1233">
        <v>-2207.9</v>
      </c>
      <c r="P71" s="1233">
        <v>-2291</v>
      </c>
      <c r="Q71" s="1233">
        <v>-2155</v>
      </c>
      <c r="R71" s="1233">
        <v>-1888</v>
      </c>
      <c r="S71" s="1233">
        <v>-1882.9</v>
      </c>
      <c r="T71" s="1233">
        <v>-2203.5</v>
      </c>
      <c r="U71" s="1233">
        <v>-1538.1</v>
      </c>
      <c r="V71" s="1233">
        <v>-1259.9000000000001</v>
      </c>
      <c r="W71" s="1234">
        <v>-750</v>
      </c>
      <c r="X71" s="1234">
        <f>W71*1.02</f>
        <v>-765</v>
      </c>
      <c r="Y71" s="1234">
        <f t="shared" ref="Y71:AC71" si="55">X71*1.02</f>
        <v>-780.30000000000007</v>
      </c>
      <c r="Z71" s="1234">
        <f t="shared" si="55"/>
        <v>-795.90600000000006</v>
      </c>
      <c r="AA71" s="1234">
        <f t="shared" si="55"/>
        <v>-811.82412000000011</v>
      </c>
      <c r="AB71" s="1234">
        <f t="shared" si="55"/>
        <v>-828.06060240000011</v>
      </c>
      <c r="AC71" s="1234">
        <f t="shared" si="55"/>
        <v>-844.62181444800012</v>
      </c>
      <c r="AD71" s="685"/>
      <c r="AE71" s="685"/>
      <c r="AF71" s="685"/>
      <c r="AG71" s="685"/>
      <c r="AH71" s="685"/>
      <c r="AI71" s="685"/>
      <c r="AJ71" s="685"/>
      <c r="AK71" s="685"/>
      <c r="AL71" s="685"/>
      <c r="AM71" s="685"/>
      <c r="AN71" s="685"/>
      <c r="AO71" s="685"/>
      <c r="AP71" s="685"/>
      <c r="AQ71" s="685"/>
      <c r="AR71" s="685"/>
      <c r="AS71" s="685"/>
      <c r="AT71" s="685"/>
      <c r="AU71" s="685"/>
      <c r="AV71" s="685"/>
      <c r="AW71" s="685"/>
      <c r="AX71" s="685"/>
      <c r="AY71" s="685"/>
    </row>
    <row r="72" spans="1:51">
      <c r="A72" s="685"/>
      <c r="B72" s="1206" t="s">
        <v>189</v>
      </c>
      <c r="C72" s="1202"/>
      <c r="D72" s="1202"/>
      <c r="E72" s="1202"/>
      <c r="F72" s="1202"/>
      <c r="G72" s="1202"/>
      <c r="H72" s="1202"/>
      <c r="I72" s="1210">
        <v>-594</v>
      </c>
      <c r="J72" s="1210">
        <v>-594</v>
      </c>
      <c r="K72" s="1210">
        <f>Interims!P31</f>
        <v>-650.4</v>
      </c>
      <c r="L72" s="1210">
        <f>Interims!U31</f>
        <v>-462.32310937500006</v>
      </c>
      <c r="M72" s="1210">
        <f>Interims!Z31</f>
        <v>-793.3000000000003</v>
      </c>
      <c r="N72" s="1210">
        <f>-328.5-1030.7</f>
        <v>-1359.2</v>
      </c>
      <c r="O72" s="1210">
        <v>-3137.4</v>
      </c>
      <c r="P72" s="1210">
        <v>-2386</v>
      </c>
      <c r="Q72" s="1210">
        <f>1562.3-3513.8</f>
        <v>-1951.5000000000002</v>
      </c>
      <c r="R72" s="1210">
        <f>-1095.6-72.2+258.9</f>
        <v>-908.9</v>
      </c>
      <c r="S72" s="1210">
        <f>257.3-71.5-4</f>
        <v>181.8</v>
      </c>
      <c r="T72" s="1210">
        <f>2394-64.4</f>
        <v>2329.6</v>
      </c>
      <c r="U72" s="1210">
        <f>-815.6-120.4</f>
        <v>-936</v>
      </c>
      <c r="V72" s="1210">
        <f>-866.8-160</f>
        <v>-1026.8</v>
      </c>
      <c r="W72" s="1215">
        <f>1500+30*W92</f>
        <v>2011.08</v>
      </c>
      <c r="X72" s="1215">
        <v>-1000</v>
      </c>
      <c r="Y72" s="1215">
        <v>-1000</v>
      </c>
      <c r="Z72" s="1215">
        <v>-1000</v>
      </c>
      <c r="AA72" s="1215">
        <v>-1000</v>
      </c>
      <c r="AB72" s="1215">
        <v>-1000</v>
      </c>
      <c r="AC72" s="1215">
        <v>-1000</v>
      </c>
      <c r="AD72" s="685"/>
      <c r="AE72" s="685"/>
      <c r="AF72" s="685"/>
      <c r="AG72" s="685"/>
      <c r="AH72" s="685"/>
      <c r="AI72" s="685"/>
      <c r="AJ72" s="685"/>
      <c r="AK72" s="685"/>
      <c r="AL72" s="685"/>
      <c r="AM72" s="685"/>
      <c r="AN72" s="685"/>
      <c r="AO72" s="685"/>
      <c r="AP72" s="685"/>
      <c r="AQ72" s="685"/>
      <c r="AR72" s="685"/>
      <c r="AS72" s="685"/>
      <c r="AT72" s="685"/>
      <c r="AU72" s="685"/>
      <c r="AV72" s="685"/>
      <c r="AW72" s="685"/>
      <c r="AX72" s="685"/>
      <c r="AY72" s="685"/>
    </row>
    <row r="73" spans="1:51">
      <c r="A73" s="685"/>
      <c r="B73" s="1186" t="s">
        <v>182</v>
      </c>
      <c r="C73" s="1235"/>
      <c r="D73" s="1235"/>
      <c r="E73" s="1235"/>
      <c r="F73" s="1235"/>
      <c r="G73" s="1235"/>
      <c r="H73" s="1236">
        <f>H70+H71</f>
        <v>20087</v>
      </c>
      <c r="I73" s="1236">
        <f>I70+I71+I72</f>
        <v>21568</v>
      </c>
      <c r="J73" s="1236">
        <f t="shared" ref="J73:Q73" si="56">J70+J71+J72</f>
        <v>23634.9</v>
      </c>
      <c r="K73" s="1236">
        <f t="shared" si="56"/>
        <v>26613.8</v>
      </c>
      <c r="L73" s="1236">
        <f t="shared" si="56"/>
        <v>28205.576890624998</v>
      </c>
      <c r="M73" s="1236">
        <f t="shared" si="56"/>
        <v>30007.9</v>
      </c>
      <c r="N73" s="1236">
        <f t="shared" si="56"/>
        <v>32375.299999999992</v>
      </c>
      <c r="O73" s="1236">
        <f t="shared" si="56"/>
        <v>33577.899999999994</v>
      </c>
      <c r="P73" s="1236">
        <f t="shared" si="56"/>
        <v>32780</v>
      </c>
      <c r="Q73" s="1236">
        <f t="shared" si="56"/>
        <v>36572.5</v>
      </c>
      <c r="R73" s="1236">
        <f t="shared" ref="R73:X73" si="57">R70+R71+R72</f>
        <v>38218.1</v>
      </c>
      <c r="S73" s="1236">
        <f t="shared" si="57"/>
        <v>38810.299999999996</v>
      </c>
      <c r="T73" s="1236">
        <f t="shared" si="57"/>
        <v>43601.599999999999</v>
      </c>
      <c r="U73" s="1236">
        <f t="shared" si="57"/>
        <v>25536.03</v>
      </c>
      <c r="V73" s="1236">
        <f t="shared" si="57"/>
        <v>24218.100000000002</v>
      </c>
      <c r="W73" s="1236">
        <f t="shared" si="57"/>
        <v>24362.760803532561</v>
      </c>
      <c r="X73" s="1236">
        <f t="shared" si="57"/>
        <v>21401.905240149226</v>
      </c>
      <c r="Y73" s="1236">
        <f>Y70+Y71+Y72</f>
        <v>21415.856886123318</v>
      </c>
      <c r="Z73" s="1236">
        <f>Z70+Z71+Z72</f>
        <v>21580.9097714204</v>
      </c>
      <c r="AA73" s="1236">
        <f>AA70+AA71+AA72</f>
        <v>21913.908011292671</v>
      </c>
      <c r="AB73" s="1236">
        <f>AB70+AB71+AB72</f>
        <v>22329.002138978634</v>
      </c>
      <c r="AC73" s="1236">
        <f>AC70+AC71+AC72</f>
        <v>22780.389856373589</v>
      </c>
      <c r="AD73" s="1237"/>
      <c r="AE73" s="685"/>
      <c r="AF73" s="685"/>
      <c r="AG73" s="685"/>
      <c r="AH73" s="685"/>
      <c r="AI73" s="685"/>
      <c r="AJ73" s="685"/>
      <c r="AK73" s="685"/>
      <c r="AL73" s="685"/>
      <c r="AM73" s="685"/>
      <c r="AN73" s="685"/>
      <c r="AO73" s="685"/>
      <c r="AP73" s="685"/>
      <c r="AQ73" s="685"/>
      <c r="AR73" s="685"/>
      <c r="AS73" s="685"/>
      <c r="AT73" s="685"/>
      <c r="AU73" s="685"/>
      <c r="AV73" s="685"/>
      <c r="AW73" s="685"/>
      <c r="AX73" s="685"/>
      <c r="AY73" s="685"/>
    </row>
    <row r="74" spans="1:51">
      <c r="A74" s="685"/>
      <c r="B74" s="1189" t="s">
        <v>181</v>
      </c>
      <c r="C74" s="1202"/>
      <c r="D74" s="1202"/>
      <c r="E74" s="1202"/>
      <c r="F74" s="1202"/>
      <c r="G74" s="1202"/>
      <c r="H74" s="1214"/>
      <c r="I74" s="1192">
        <f t="shared" ref="I74:AC74" si="58">I73/H73-1</f>
        <v>7.372927764225623E-2</v>
      </c>
      <c r="J74" s="1192">
        <f t="shared" si="58"/>
        <v>9.5831787833827953E-2</v>
      </c>
      <c r="K74" s="1192">
        <f t="shared" si="58"/>
        <v>0.12603818928787502</v>
      </c>
      <c r="L74" s="1192">
        <f t="shared" si="58"/>
        <v>5.9810207134080695E-2</v>
      </c>
      <c r="M74" s="1192">
        <f t="shared" si="58"/>
        <v>6.3899530095201218E-2</v>
      </c>
      <c r="N74" s="1192">
        <f t="shared" si="58"/>
        <v>7.8892558292982473E-2</v>
      </c>
      <c r="O74" s="1192">
        <f t="shared" si="58"/>
        <v>3.7145601739597911E-2</v>
      </c>
      <c r="P74" s="1192">
        <f t="shared" si="58"/>
        <v>-2.3762653411916634E-2</v>
      </c>
      <c r="Q74" s="1192">
        <f t="shared" si="58"/>
        <v>0.11569554606467358</v>
      </c>
      <c r="R74" s="1192">
        <f t="shared" si="58"/>
        <v>4.4995556770797585E-2</v>
      </c>
      <c r="S74" s="1192">
        <f t="shared" si="58"/>
        <v>1.549527579863974E-2</v>
      </c>
      <c r="T74" s="1192">
        <f t="shared" si="58"/>
        <v>0.12345434072913641</v>
      </c>
      <c r="U74" s="1192">
        <f t="shared" si="58"/>
        <v>-0.4143327309089575</v>
      </c>
      <c r="V74" s="1192">
        <f t="shared" si="58"/>
        <v>-5.1610606660471348E-2</v>
      </c>
      <c r="W74" s="1192">
        <f t="shared" si="58"/>
        <v>5.9732515569990152E-3</v>
      </c>
      <c r="X74" s="1192">
        <f t="shared" si="58"/>
        <v>-0.12153202123767581</v>
      </c>
      <c r="Y74" s="1192">
        <f t="shared" si="58"/>
        <v>6.5188803602023171E-4</v>
      </c>
      <c r="Z74" s="1192">
        <f t="shared" si="58"/>
        <v>7.707040917145358E-3</v>
      </c>
      <c r="AA74" s="1192">
        <f t="shared" si="58"/>
        <v>1.5430222516071179E-2</v>
      </c>
      <c r="AB74" s="1192">
        <f t="shared" si="58"/>
        <v>1.8942040254620762E-2</v>
      </c>
      <c r="AC74" s="1192">
        <f t="shared" si="58"/>
        <v>2.021531076872396E-2</v>
      </c>
      <c r="AD74" s="685"/>
      <c r="AE74" s="685"/>
      <c r="AF74" s="685"/>
      <c r="AG74" s="685"/>
      <c r="AH74" s="685"/>
      <c r="AI74" s="685"/>
      <c r="AJ74" s="685"/>
      <c r="AK74" s="685"/>
      <c r="AL74" s="685"/>
      <c r="AM74" s="685"/>
      <c r="AN74" s="685"/>
      <c r="AO74" s="685"/>
      <c r="AP74" s="685"/>
      <c r="AQ74" s="685"/>
      <c r="AR74" s="685"/>
      <c r="AS74" s="685"/>
      <c r="AT74" s="685"/>
      <c r="AU74" s="685"/>
      <c r="AV74" s="685"/>
      <c r="AW74" s="685"/>
      <c r="AX74" s="685"/>
      <c r="AY74" s="685"/>
    </row>
    <row r="75" spans="1:51">
      <c r="A75" s="685"/>
      <c r="B75" s="1187" t="s">
        <v>1941</v>
      </c>
      <c r="C75" s="1202"/>
      <c r="D75" s="1202"/>
      <c r="E75" s="1202"/>
      <c r="F75" s="1202"/>
      <c r="G75" s="1202"/>
      <c r="H75" s="1204">
        <f>H73/H92</f>
        <v>1487.9259259259259</v>
      </c>
      <c r="I75" s="1204">
        <f t="shared" ref="I75:S75" si="59">I73/I92</f>
        <v>1707.6801266825019</v>
      </c>
      <c r="J75" s="1204">
        <f t="shared" si="59"/>
        <v>1899.911575562701</v>
      </c>
      <c r="K75" s="1204">
        <f t="shared" si="59"/>
        <v>2022.3252279635258</v>
      </c>
      <c r="L75" s="1204">
        <f t="shared" si="59"/>
        <v>2210.468408356191</v>
      </c>
      <c r="M75" s="1204">
        <f t="shared" si="59"/>
        <v>2254.5379413974456</v>
      </c>
      <c r="N75" s="1204">
        <f t="shared" si="59"/>
        <v>2040.0315059861371</v>
      </c>
      <c r="O75" s="1204">
        <f t="shared" si="59"/>
        <v>1781.3209549071614</v>
      </c>
      <c r="P75" s="1204">
        <f t="shared" si="59"/>
        <v>1734.3915343915346</v>
      </c>
      <c r="Q75" s="1204">
        <f t="shared" si="59"/>
        <v>1899.8701298701299</v>
      </c>
      <c r="R75" s="1204">
        <f t="shared" si="59"/>
        <v>1985.3558441558441</v>
      </c>
      <c r="S75" s="1204">
        <f t="shared" si="59"/>
        <v>1806.810986964618</v>
      </c>
      <c r="T75" s="1204">
        <f t="shared" ref="T75:AC75" si="60">T73/T92</f>
        <v>2149.39511945193</v>
      </c>
      <c r="U75" s="1204">
        <f t="shared" si="60"/>
        <v>1269.8175037294877</v>
      </c>
      <c r="V75" s="1204">
        <f t="shared" si="60"/>
        <v>1368.2542372881358</v>
      </c>
      <c r="W75" s="1204">
        <f t="shared" si="60"/>
        <v>1430.0751821749566</v>
      </c>
      <c r="X75" s="1204">
        <f t="shared" si="60"/>
        <v>1239.1815899571088</v>
      </c>
      <c r="Y75" s="1204">
        <f t="shared" si="60"/>
        <v>1215.6758800098612</v>
      </c>
      <c r="Z75" s="1204">
        <f t="shared" si="60"/>
        <v>1201.0246507442</v>
      </c>
      <c r="AA75" s="1204">
        <f t="shared" si="60"/>
        <v>1195.6438513259504</v>
      </c>
      <c r="AB75" s="1204">
        <f t="shared" si="60"/>
        <v>1194.4037110666241</v>
      </c>
      <c r="AC75" s="1204">
        <f t="shared" si="60"/>
        <v>1194.6558365383853</v>
      </c>
      <c r="AD75" s="685"/>
      <c r="AE75" s="685"/>
      <c r="AF75" s="685"/>
      <c r="AG75" s="685"/>
      <c r="AH75" s="685"/>
      <c r="AI75" s="685"/>
      <c r="AJ75" s="685"/>
      <c r="AK75" s="685"/>
      <c r="AL75" s="685"/>
      <c r="AM75" s="685"/>
      <c r="AN75" s="685"/>
      <c r="AO75" s="685"/>
      <c r="AP75" s="685"/>
      <c r="AQ75" s="685"/>
      <c r="AR75" s="685"/>
      <c r="AS75" s="685"/>
      <c r="AT75" s="685"/>
      <c r="AU75" s="685"/>
      <c r="AV75" s="685"/>
      <c r="AW75" s="685"/>
      <c r="AX75" s="685"/>
      <c r="AY75" s="685"/>
    </row>
    <row r="76" spans="1:51">
      <c r="A76" s="685"/>
      <c r="B76" s="1187"/>
      <c r="C76" s="1202"/>
      <c r="D76" s="1202"/>
      <c r="E76" s="1202"/>
      <c r="F76" s="1202"/>
      <c r="G76" s="1202"/>
      <c r="H76" s="1204"/>
      <c r="I76" s="1204"/>
      <c r="J76" s="1204"/>
      <c r="K76" s="1204"/>
      <c r="L76" s="1204"/>
      <c r="M76" s="1204"/>
      <c r="N76" s="1204"/>
      <c r="O76" s="1204"/>
      <c r="P76" s="1204"/>
      <c r="Q76" s="1204"/>
      <c r="R76" s="1204"/>
      <c r="S76" s="1204"/>
      <c r="T76" s="1204"/>
      <c r="U76" s="1204"/>
      <c r="V76" s="1204"/>
      <c r="W76" s="1204"/>
      <c r="X76" s="1204"/>
      <c r="Y76" s="1204"/>
      <c r="Z76" s="1204"/>
      <c r="AA76" s="1204"/>
      <c r="AB76" s="1204"/>
      <c r="AC76" s="1204"/>
      <c r="AD76" s="685"/>
      <c r="AE76" s="685"/>
      <c r="AF76" s="685"/>
      <c r="AG76" s="685"/>
      <c r="AH76" s="685"/>
      <c r="AI76" s="685"/>
      <c r="AJ76" s="685"/>
      <c r="AK76" s="685"/>
      <c r="AL76" s="685"/>
      <c r="AM76" s="685"/>
      <c r="AN76" s="685"/>
      <c r="AO76" s="685"/>
      <c r="AP76" s="685"/>
      <c r="AQ76" s="685"/>
      <c r="AR76" s="685"/>
      <c r="AS76" s="685"/>
      <c r="AT76" s="685"/>
      <c r="AU76" s="685"/>
      <c r="AV76" s="685"/>
      <c r="AW76" s="685"/>
      <c r="AX76" s="685"/>
      <c r="AY76" s="685"/>
    </row>
    <row r="77" spans="1:51">
      <c r="A77" s="685"/>
      <c r="B77" s="1187" t="s">
        <v>361</v>
      </c>
      <c r="C77" s="1202"/>
      <c r="D77" s="1202"/>
      <c r="E77" s="1202"/>
      <c r="F77" s="1202"/>
      <c r="G77" s="1202"/>
      <c r="H77" s="1202"/>
      <c r="I77" s="1202"/>
      <c r="J77" s="1202"/>
      <c r="K77" s="1205"/>
      <c r="L77" s="1205"/>
      <c r="M77" s="1202"/>
      <c r="N77" s="1202"/>
      <c r="O77" s="1202"/>
      <c r="P77" s="1202"/>
      <c r="Q77" s="1202"/>
      <c r="R77" s="1202"/>
      <c r="S77" s="1238"/>
      <c r="T77" s="1238"/>
      <c r="U77" s="1238"/>
      <c r="V77" s="1202"/>
      <c r="W77" s="1202"/>
      <c r="X77" s="1202"/>
      <c r="Y77" s="1202"/>
      <c r="Z77" s="1202"/>
      <c r="AA77" s="1202"/>
      <c r="AB77" s="1202"/>
      <c r="AC77" s="1202"/>
      <c r="AD77" s="685"/>
      <c r="AE77" s="685"/>
      <c r="AF77" s="685"/>
      <c r="AG77" s="685"/>
      <c r="AH77" s="685"/>
      <c r="AI77" s="685"/>
      <c r="AJ77" s="685"/>
      <c r="AK77" s="685"/>
      <c r="AL77" s="685"/>
      <c r="AM77" s="685"/>
      <c r="AN77" s="685"/>
      <c r="AO77" s="685"/>
      <c r="AP77" s="685"/>
      <c r="AQ77" s="685"/>
      <c r="AR77" s="685"/>
      <c r="AS77" s="685"/>
      <c r="AT77" s="685"/>
      <c r="AU77" s="685"/>
      <c r="AV77" s="685"/>
      <c r="AW77" s="685"/>
      <c r="AX77" s="685"/>
      <c r="AY77" s="685"/>
    </row>
    <row r="78" spans="1:51">
      <c r="A78" s="685"/>
      <c r="B78" s="1239" t="str">
        <f>B65</f>
        <v>Content</v>
      </c>
      <c r="C78" s="1202"/>
      <c r="D78" s="1202"/>
      <c r="E78" s="1202"/>
      <c r="F78" s="1202"/>
      <c r="G78" s="1202"/>
      <c r="H78" s="1240">
        <f t="shared" ref="H78:T78" si="61">H65/H47</f>
        <v>0.48954646623125481</v>
      </c>
      <c r="I78" s="1240">
        <f t="shared" si="61"/>
        <v>0.47272105353172567</v>
      </c>
      <c r="J78" s="1240">
        <f t="shared" si="61"/>
        <v>0.47141330135307769</v>
      </c>
      <c r="K78" s="1240">
        <f t="shared" si="61"/>
        <v>0.46865344848558571</v>
      </c>
      <c r="L78" s="1240">
        <f t="shared" si="61"/>
        <v>0.46025203574153029</v>
      </c>
      <c r="M78" s="1240">
        <f t="shared" si="61"/>
        <v>0.44551610211052511</v>
      </c>
      <c r="N78" s="1240">
        <f t="shared" si="61"/>
        <v>0.42420906077605547</v>
      </c>
      <c r="O78" s="1240">
        <f t="shared" si="61"/>
        <v>0.4019985444316333</v>
      </c>
      <c r="P78" s="1240">
        <f t="shared" si="61"/>
        <v>0.37723916816189662</v>
      </c>
      <c r="Q78" s="1240">
        <f t="shared" si="61"/>
        <v>0.37846169524343332</v>
      </c>
      <c r="R78" s="1240">
        <f t="shared" si="61"/>
        <v>0.36303649332957805</v>
      </c>
      <c r="S78" s="1240">
        <f t="shared" si="61"/>
        <v>0.37901450341888204</v>
      </c>
      <c r="T78" s="1240">
        <f t="shared" si="61"/>
        <v>0.3833687145086932</v>
      </c>
      <c r="U78" s="1240"/>
      <c r="V78" s="1240"/>
      <c r="W78" s="1240"/>
      <c r="X78" s="1240"/>
      <c r="Y78" s="1240"/>
      <c r="Z78" s="1240"/>
      <c r="AA78" s="1240"/>
      <c r="AB78" s="1240"/>
      <c r="AC78" s="1240"/>
      <c r="AD78" s="685"/>
      <c r="AE78" s="685"/>
      <c r="AF78" s="685"/>
      <c r="AG78" s="685"/>
      <c r="AH78" s="685"/>
      <c r="AI78" s="685"/>
      <c r="AJ78" s="685"/>
      <c r="AK78" s="685"/>
      <c r="AL78" s="685"/>
      <c r="AM78" s="685"/>
      <c r="AN78" s="685"/>
      <c r="AO78" s="685"/>
      <c r="AP78" s="685"/>
      <c r="AQ78" s="685"/>
      <c r="AR78" s="685"/>
      <c r="AS78" s="685"/>
      <c r="AT78" s="685"/>
      <c r="AU78" s="685"/>
      <c r="AV78" s="685"/>
      <c r="AW78" s="685"/>
      <c r="AX78" s="685"/>
      <c r="AY78" s="685"/>
    </row>
    <row r="79" spans="1:51">
      <c r="A79" s="685"/>
      <c r="B79" s="1239" t="str">
        <f>B66</f>
        <v>Publishing</v>
      </c>
      <c r="C79" s="1202"/>
      <c r="D79" s="1202"/>
      <c r="E79" s="1202"/>
      <c r="F79" s="1202"/>
      <c r="G79" s="1202"/>
      <c r="H79" s="1240">
        <f t="shared" ref="H79:L82" si="62">H66/H50</f>
        <v>5.6822684992942629E-2</v>
      </c>
      <c r="I79" s="1240">
        <f t="shared" si="62"/>
        <v>0.13168813475352986</v>
      </c>
      <c r="J79" s="1240">
        <f t="shared" si="62"/>
        <v>0.14245880067673411</v>
      </c>
      <c r="K79" s="1240">
        <f t="shared" si="62"/>
        <v>0.12965912711054475</v>
      </c>
      <c r="L79" s="1240">
        <f t="shared" si="62"/>
        <v>0.1021968119814809</v>
      </c>
      <c r="M79" s="1241"/>
      <c r="N79" s="1241"/>
      <c r="O79" s="1241"/>
      <c r="P79" s="1241"/>
      <c r="Q79" s="1241"/>
      <c r="R79" s="1241"/>
      <c r="S79" s="1241"/>
      <c r="T79" s="1241"/>
      <c r="U79" s="1241"/>
      <c r="V79" s="1241"/>
      <c r="W79" s="1241"/>
      <c r="X79" s="1241"/>
      <c r="Y79" s="1241"/>
      <c r="Z79" s="1241"/>
      <c r="AA79" s="1241"/>
      <c r="AB79" s="1241"/>
      <c r="AC79" s="1241"/>
      <c r="AD79" s="685"/>
      <c r="AE79" s="685"/>
      <c r="AF79" s="685"/>
      <c r="AG79" s="685"/>
      <c r="AH79" s="685"/>
      <c r="AI79" s="685"/>
      <c r="AJ79" s="685"/>
      <c r="AK79" s="685"/>
      <c r="AL79" s="685"/>
      <c r="AM79" s="685"/>
      <c r="AN79" s="685"/>
      <c r="AO79" s="685"/>
      <c r="AP79" s="685"/>
      <c r="AQ79" s="685"/>
      <c r="AR79" s="685"/>
      <c r="AS79" s="685"/>
      <c r="AT79" s="685"/>
      <c r="AU79" s="685"/>
      <c r="AV79" s="685"/>
      <c r="AW79" s="685"/>
      <c r="AX79" s="685"/>
      <c r="AY79" s="685"/>
    </row>
    <row r="80" spans="1:51">
      <c r="A80" s="685"/>
      <c r="B80" s="1239" t="str">
        <f>B67</f>
        <v>Sky</v>
      </c>
      <c r="C80" s="1202"/>
      <c r="D80" s="1202"/>
      <c r="E80" s="1202"/>
      <c r="F80" s="1202"/>
      <c r="G80" s="1202"/>
      <c r="H80" s="1240">
        <f t="shared" si="62"/>
        <v>0.44767168743940589</v>
      </c>
      <c r="I80" s="1240">
        <f t="shared" si="62"/>
        <v>0.45118330043918137</v>
      </c>
      <c r="J80" s="1240">
        <f t="shared" si="62"/>
        <v>0.46395602282197573</v>
      </c>
      <c r="K80" s="1240">
        <f t="shared" si="62"/>
        <v>0.45335766726118876</v>
      </c>
      <c r="L80" s="1240">
        <f t="shared" si="62"/>
        <v>0.45597982395656689</v>
      </c>
      <c r="M80" s="1240">
        <f t="shared" ref="M80:X80" si="63">M67/M51</f>
        <v>0.46925736491699283</v>
      </c>
      <c r="N80" s="1240">
        <f t="shared" si="63"/>
        <v>0.46600877762484738</v>
      </c>
      <c r="O80" s="1240">
        <f t="shared" si="63"/>
        <v>0.45113758591143599</v>
      </c>
      <c r="P80" s="1240">
        <f t="shared" si="63"/>
        <v>0.45533180159481013</v>
      </c>
      <c r="Q80" s="1240">
        <f t="shared" si="63"/>
        <v>0.44391418961912554</v>
      </c>
      <c r="R80" s="1240">
        <f t="shared" si="63"/>
        <v>0.42727315313627207</v>
      </c>
      <c r="S80" s="1240">
        <f t="shared" si="63"/>
        <v>0.41273656295319111</v>
      </c>
      <c r="T80" s="1240">
        <f t="shared" si="63"/>
        <v>0.38608773028974064</v>
      </c>
      <c r="U80" s="1240">
        <f t="shared" si="63"/>
        <v>0.31546929544225377</v>
      </c>
      <c r="V80" s="1240">
        <f t="shared" si="63"/>
        <v>0.3259217978754862</v>
      </c>
      <c r="W80" s="1240">
        <f t="shared" si="63"/>
        <v>0.31415821151645751</v>
      </c>
      <c r="X80" s="1240">
        <f t="shared" si="63"/>
        <v>0.34063132590914486</v>
      </c>
      <c r="Y80" s="1240">
        <f t="shared" ref="Y80:AC81" si="64">Y67/Y51</f>
        <v>0.33656204449827654</v>
      </c>
      <c r="Z80" s="1240">
        <f t="shared" si="64"/>
        <v>0.33252627429009646</v>
      </c>
      <c r="AA80" s="1240">
        <f t="shared" si="64"/>
        <v>0.32845603656661654</v>
      </c>
      <c r="AB80" s="1240">
        <f t="shared" si="64"/>
        <v>0.32435137243976675</v>
      </c>
      <c r="AC80" s="1240">
        <f t="shared" si="64"/>
        <v>0.32021154784421013</v>
      </c>
      <c r="AD80" s="685"/>
      <c r="AE80" s="685"/>
      <c r="AF80" s="685"/>
      <c r="AG80" s="685"/>
      <c r="AH80" s="685"/>
      <c r="AI80" s="685"/>
      <c r="AJ80" s="685"/>
      <c r="AK80" s="685"/>
      <c r="AL80" s="685"/>
      <c r="AM80" s="685"/>
      <c r="AN80" s="685"/>
      <c r="AO80" s="685"/>
      <c r="AP80" s="685"/>
      <c r="AQ80" s="685"/>
      <c r="AR80" s="685"/>
      <c r="AS80" s="685"/>
      <c r="AT80" s="685"/>
      <c r="AU80" s="685"/>
      <c r="AV80" s="685"/>
      <c r="AW80" s="685"/>
      <c r="AX80" s="685"/>
      <c r="AY80" s="685"/>
    </row>
    <row r="81" spans="1:51">
      <c r="A81" s="685"/>
      <c r="B81" s="1239" t="str">
        <f>B68</f>
        <v>Cable and Telecom</v>
      </c>
      <c r="C81" s="1202"/>
      <c r="D81" s="1202"/>
      <c r="E81" s="1202"/>
      <c r="F81" s="1202"/>
      <c r="G81" s="1202"/>
      <c r="H81" s="1240">
        <f t="shared" si="62"/>
        <v>0.32158585541621126</v>
      </c>
      <c r="I81" s="1240">
        <f t="shared" si="62"/>
        <v>0.33070372941037057</v>
      </c>
      <c r="J81" s="1240">
        <f t="shared" si="62"/>
        <v>0.350484767590243</v>
      </c>
      <c r="K81" s="1240">
        <f t="shared" si="62"/>
        <v>0.37332374248574213</v>
      </c>
      <c r="L81" s="1240">
        <f t="shared" si="62"/>
        <v>0.35777300627815251</v>
      </c>
      <c r="M81" s="1240">
        <f t="shared" ref="M81:X81" si="65">M68/M52</f>
        <v>0.37650211107502435</v>
      </c>
      <c r="N81" s="1240">
        <f t="shared" si="65"/>
        <v>0.40036084989276299</v>
      </c>
      <c r="O81" s="1240">
        <f t="shared" si="65"/>
        <v>0.4150340528540431</v>
      </c>
      <c r="P81" s="1240">
        <f t="shared" si="65"/>
        <v>0.42468530622125394</v>
      </c>
      <c r="Q81" s="1240">
        <f t="shared" si="65"/>
        <v>0.42234979162641789</v>
      </c>
      <c r="R81" s="1240">
        <f t="shared" si="65"/>
        <v>0.42679008201045515</v>
      </c>
      <c r="S81" s="1240">
        <f t="shared" si="65"/>
        <v>0.41656398579587411</v>
      </c>
      <c r="T81" s="1240">
        <f t="shared" si="65"/>
        <v>0.4224202378547674</v>
      </c>
      <c r="U81" s="1240">
        <f t="shared" si="65"/>
        <v>0.41111464560293148</v>
      </c>
      <c r="V81" s="1240">
        <f t="shared" si="65"/>
        <v>0.38565647251677682</v>
      </c>
      <c r="W81" s="1240">
        <f t="shared" si="65"/>
        <v>0.37250000000000005</v>
      </c>
      <c r="X81" s="1240">
        <f t="shared" si="65"/>
        <v>0.37</v>
      </c>
      <c r="Y81" s="1240">
        <f t="shared" si="64"/>
        <v>0.37</v>
      </c>
      <c r="Z81" s="1240">
        <f t="shared" si="64"/>
        <v>0.37000000000000005</v>
      </c>
      <c r="AA81" s="1240">
        <f t="shared" si="64"/>
        <v>0.37</v>
      </c>
      <c r="AB81" s="1240">
        <f t="shared" si="64"/>
        <v>0.37</v>
      </c>
      <c r="AC81" s="1240">
        <f t="shared" si="64"/>
        <v>0.37</v>
      </c>
      <c r="AD81" s="685"/>
      <c r="AE81" s="685"/>
      <c r="AF81" s="685"/>
      <c r="AG81" s="685"/>
      <c r="AH81" s="685"/>
      <c r="AI81" s="685"/>
      <c r="AJ81" s="685"/>
      <c r="AK81" s="685"/>
      <c r="AL81" s="685"/>
      <c r="AM81" s="685"/>
      <c r="AN81" s="685"/>
      <c r="AO81" s="685"/>
      <c r="AP81" s="685"/>
      <c r="AQ81" s="685"/>
      <c r="AR81" s="685"/>
      <c r="AS81" s="685"/>
      <c r="AT81" s="685"/>
      <c r="AU81" s="685"/>
      <c r="AV81" s="685"/>
      <c r="AW81" s="685"/>
      <c r="AX81" s="685"/>
      <c r="AY81" s="685"/>
    </row>
    <row r="82" spans="1:51">
      <c r="A82" s="685"/>
      <c r="B82" s="1242" t="str">
        <f>B69</f>
        <v>Other Businesses</v>
      </c>
      <c r="C82" s="1243"/>
      <c r="D82" s="1243"/>
      <c r="E82" s="1243"/>
      <c r="F82" s="1243"/>
      <c r="G82" s="1243"/>
      <c r="H82" s="1244">
        <f t="shared" si="62"/>
        <v>-8.3176711591703353E-2</v>
      </c>
      <c r="I82" s="1244">
        <f t="shared" si="62"/>
        <v>-4.3097342811425979E-2</v>
      </c>
      <c r="J82" s="1244">
        <f t="shared" si="62"/>
        <v>-3.0743490536442875E-2</v>
      </c>
      <c r="K82" s="1244">
        <f t="shared" si="62"/>
        <v>4.3643443985372864E-2</v>
      </c>
      <c r="L82" s="1244">
        <f t="shared" si="62"/>
        <v>0.10158599382080326</v>
      </c>
      <c r="M82" s="1244">
        <f t="shared" ref="M82:V82" si="66">M69/M53</f>
        <v>7.9373979181395202E-2</v>
      </c>
      <c r="N82" s="1244">
        <f t="shared" si="66"/>
        <v>9.2709525743756391E-2</v>
      </c>
      <c r="O82" s="1244">
        <f t="shared" si="66"/>
        <v>0.11787093777964047</v>
      </c>
      <c r="P82" s="1244">
        <f t="shared" si="66"/>
        <v>5.8500477554918814E-2</v>
      </c>
      <c r="Q82" s="1244">
        <f t="shared" si="66"/>
        <v>8.7308939323761006E-2</v>
      </c>
      <c r="R82" s="1244">
        <f t="shared" si="66"/>
        <v>0.17853223092119702</v>
      </c>
      <c r="S82" s="1244">
        <f t="shared" si="66"/>
        <v>2.7245088868101029E-2</v>
      </c>
      <c r="T82" s="1244">
        <f t="shared" si="66"/>
        <v>0.1804100137201487</v>
      </c>
      <c r="U82" s="1244">
        <f t="shared" si="66"/>
        <v>0.23041914209407532</v>
      </c>
      <c r="V82" s="1244">
        <f t="shared" si="66"/>
        <v>0.24806240947322949</v>
      </c>
      <c r="W82" s="1244"/>
      <c r="X82" s="1244"/>
      <c r="Y82" s="1244"/>
      <c r="Z82" s="1244"/>
      <c r="AA82" s="1244"/>
      <c r="AB82" s="1244"/>
      <c r="AC82" s="1244"/>
      <c r="AD82" s="685"/>
      <c r="AE82" s="685"/>
      <c r="AF82" s="685"/>
      <c r="AG82" s="685"/>
      <c r="AH82" s="685"/>
      <c r="AI82" s="685"/>
      <c r="AJ82" s="685"/>
      <c r="AK82" s="685"/>
      <c r="AL82" s="685"/>
      <c r="AM82" s="685"/>
      <c r="AN82" s="685"/>
      <c r="AO82" s="685"/>
      <c r="AP82" s="685"/>
      <c r="AQ82" s="685"/>
      <c r="AR82" s="685"/>
      <c r="AS82" s="685"/>
      <c r="AT82" s="685"/>
      <c r="AU82" s="685"/>
      <c r="AV82" s="685"/>
      <c r="AW82" s="685"/>
      <c r="AX82" s="685"/>
      <c r="AY82" s="685"/>
    </row>
    <row r="83" spans="1:51">
      <c r="A83" s="685"/>
      <c r="B83" s="1239" t="s">
        <v>183</v>
      </c>
      <c r="C83" s="1202"/>
      <c r="D83" s="1202"/>
      <c r="E83" s="1202"/>
      <c r="F83" s="1202"/>
      <c r="G83" s="1202"/>
      <c r="H83" s="1240">
        <f t="shared" ref="H83:X83" si="67">H70/H56</f>
        <v>0.39625710723102919</v>
      </c>
      <c r="I83" s="1240">
        <f t="shared" si="67"/>
        <v>0.39862211529154745</v>
      </c>
      <c r="J83" s="1240">
        <f t="shared" si="67"/>
        <v>0.40541533839872801</v>
      </c>
      <c r="K83" s="1240">
        <f t="shared" si="67"/>
        <v>0.41006402041264017</v>
      </c>
      <c r="L83" s="1240">
        <f t="shared" si="67"/>
        <v>0.40464755751176246</v>
      </c>
      <c r="M83" s="1240">
        <f t="shared" si="67"/>
        <v>0.40289995806206819</v>
      </c>
      <c r="N83" s="1240">
        <f t="shared" si="67"/>
        <v>0.40538886112751549</v>
      </c>
      <c r="O83" s="1240">
        <f t="shared" si="67"/>
        <v>0.40423980707756152</v>
      </c>
      <c r="P83" s="1240">
        <f t="shared" si="67"/>
        <v>0.39731636170776985</v>
      </c>
      <c r="Q83" s="1240">
        <f t="shared" si="67"/>
        <v>0.40152995755601617</v>
      </c>
      <c r="R83" s="1240">
        <f t="shared" si="67"/>
        <v>0.4074988127244149</v>
      </c>
      <c r="S83" s="1240">
        <f t="shared" si="67"/>
        <v>0.41704868213670604</v>
      </c>
      <c r="T83" s="1240">
        <f t="shared" si="67"/>
        <v>0.41996468376709062</v>
      </c>
      <c r="U83" s="1240">
        <f t="shared" si="67"/>
        <v>0.37086443716518414</v>
      </c>
      <c r="V83" s="1240">
        <f t="shared" si="67"/>
        <v>0.3592999122924741</v>
      </c>
      <c r="W83" s="1240">
        <f t="shared" si="67"/>
        <v>0.35926762046162836</v>
      </c>
      <c r="X83" s="1240">
        <f t="shared" si="67"/>
        <v>0.36429506222557567</v>
      </c>
      <c r="Y83" s="1240">
        <f>Y70/Y56</f>
        <v>0.36381960609259306</v>
      </c>
      <c r="Z83" s="1240">
        <f>Z70/Z56</f>
        <v>0.36342792749341707</v>
      </c>
      <c r="AA83" s="1240">
        <f>AA70/AA56</f>
        <v>0.36315913650242143</v>
      </c>
      <c r="AB83" s="1240">
        <f>AB70/AB56</f>
        <v>0.36298236375066484</v>
      </c>
      <c r="AC83" s="1240">
        <f>AC70/AC56</f>
        <v>0.36287671636149521</v>
      </c>
      <c r="AD83" s="685"/>
      <c r="AE83" s="685"/>
      <c r="AF83" s="685"/>
      <c r="AG83" s="685"/>
      <c r="AH83" s="685"/>
      <c r="AI83" s="685"/>
      <c r="AJ83" s="685"/>
      <c r="AK83" s="685"/>
      <c r="AL83" s="685"/>
      <c r="AM83" s="685"/>
      <c r="AN83" s="685"/>
      <c r="AO83" s="685"/>
      <c r="AP83" s="685"/>
      <c r="AQ83" s="685"/>
      <c r="AR83" s="685"/>
      <c r="AS83" s="685"/>
      <c r="AT83" s="685"/>
      <c r="AU83" s="685"/>
      <c r="AV83" s="685"/>
      <c r="AW83" s="685"/>
      <c r="AX83" s="685"/>
      <c r="AY83" s="685"/>
    </row>
    <row r="84" spans="1:51">
      <c r="A84" s="685"/>
      <c r="B84" s="1239" t="s">
        <v>182</v>
      </c>
      <c r="C84" s="1202"/>
      <c r="D84" s="1202"/>
      <c r="E84" s="1202"/>
      <c r="F84" s="1202"/>
      <c r="G84" s="1202"/>
      <c r="H84" s="1240">
        <f t="shared" ref="H84:X84" si="68">H73/H56</f>
        <v>0.38368843157144772</v>
      </c>
      <c r="I84" s="1240">
        <f t="shared" si="68"/>
        <v>0.37278245599480098</v>
      </c>
      <c r="J84" s="1240">
        <f t="shared" si="68"/>
        <v>0.37766592363557916</v>
      </c>
      <c r="K84" s="1240">
        <f t="shared" si="68"/>
        <v>0.38409072541073513</v>
      </c>
      <c r="L84" s="1240">
        <f t="shared" si="68"/>
        <v>0.38222253543159562</v>
      </c>
      <c r="M84" s="1240">
        <f t="shared" si="68"/>
        <v>0.37454442425210693</v>
      </c>
      <c r="N84" s="1240">
        <f t="shared" si="68"/>
        <v>0.36768386862308627</v>
      </c>
      <c r="O84" s="1240">
        <f t="shared" si="68"/>
        <v>0.34872579382141378</v>
      </c>
      <c r="P84" s="1240">
        <f t="shared" si="68"/>
        <v>0.3477061787324317</v>
      </c>
      <c r="Q84" s="1240">
        <f t="shared" si="68"/>
        <v>0.36099595301549697</v>
      </c>
      <c r="R84" s="1240">
        <f t="shared" si="68"/>
        <v>0.37971060281806562</v>
      </c>
      <c r="S84" s="1240">
        <f t="shared" si="68"/>
        <v>0.39953653708166598</v>
      </c>
      <c r="T84" s="1240">
        <f t="shared" si="68"/>
        <v>0.4211827846888288</v>
      </c>
      <c r="U84" s="1240">
        <f t="shared" si="68"/>
        <v>0.33810644196878975</v>
      </c>
      <c r="V84" s="1240">
        <f t="shared" si="68"/>
        <v>0.32830133432021247</v>
      </c>
      <c r="W84" s="1240">
        <f t="shared" si="68"/>
        <v>0.37887940605700682</v>
      </c>
      <c r="X84" s="1240">
        <f t="shared" si="68"/>
        <v>0.33654078179135399</v>
      </c>
      <c r="Y84" s="1240">
        <f>Y73/Y56</f>
        <v>0.33589653039059508</v>
      </c>
      <c r="Z84" s="1240">
        <f>Z73/Z56</f>
        <v>0.33550785480537643</v>
      </c>
      <c r="AA84" s="1240">
        <f>AA73/AA56</f>
        <v>0.33542635762452</v>
      </c>
      <c r="AB84" s="1240">
        <f>AB73/AB56</f>
        <v>0.33551405083354779</v>
      </c>
      <c r="AC84" s="1240">
        <f>AC73/AC56</f>
        <v>0.33569417870817031</v>
      </c>
      <c r="AD84" s="685"/>
      <c r="AE84" s="685"/>
      <c r="AF84" s="685"/>
      <c r="AG84" s="685"/>
      <c r="AH84" s="685"/>
      <c r="AI84" s="685"/>
      <c r="AJ84" s="685"/>
      <c r="AK84" s="685"/>
      <c r="AL84" s="685"/>
      <c r="AM84" s="685"/>
      <c r="AN84" s="685"/>
      <c r="AO84" s="685"/>
      <c r="AP84" s="685"/>
      <c r="AQ84" s="685"/>
      <c r="AR84" s="685"/>
      <c r="AS84" s="685"/>
      <c r="AT84" s="685"/>
      <c r="AU84" s="685"/>
      <c r="AV84" s="685"/>
      <c r="AW84" s="685"/>
      <c r="AX84" s="685"/>
      <c r="AY84" s="685"/>
    </row>
    <row r="85" spans="1:51">
      <c r="A85" s="685"/>
      <c r="B85" s="1187"/>
      <c r="C85" s="1202"/>
      <c r="D85" s="1202"/>
      <c r="E85" s="1202"/>
      <c r="F85" s="1202"/>
      <c r="G85" s="1202"/>
      <c r="H85" s="1202"/>
      <c r="I85" s="1202"/>
      <c r="J85" s="1202"/>
      <c r="K85" s="1205"/>
      <c r="L85" s="1205"/>
      <c r="M85" s="1202"/>
      <c r="N85" s="1202"/>
      <c r="O85" s="1202"/>
      <c r="P85" s="1202"/>
      <c r="Q85" s="1202"/>
      <c r="R85" s="1202"/>
      <c r="S85" s="1202"/>
      <c r="T85" s="1202"/>
      <c r="U85" s="1202"/>
      <c r="V85" s="1202"/>
      <c r="W85" s="1202"/>
      <c r="X85" s="1202"/>
      <c r="Y85" s="1202"/>
      <c r="Z85" s="1202"/>
      <c r="AA85" s="1202"/>
      <c r="AB85" s="1202"/>
      <c r="AC85" s="1202"/>
      <c r="AD85" s="685"/>
      <c r="AE85" s="685"/>
      <c r="AF85" s="685"/>
      <c r="AG85" s="685"/>
      <c r="AH85" s="685"/>
      <c r="AI85" s="685"/>
      <c r="AJ85" s="685"/>
      <c r="AK85" s="685"/>
      <c r="AL85" s="685"/>
      <c r="AM85" s="685"/>
      <c r="AN85" s="685"/>
      <c r="AO85" s="685"/>
      <c r="AP85" s="685"/>
      <c r="AQ85" s="685"/>
      <c r="AR85" s="685"/>
      <c r="AS85" s="685"/>
      <c r="AT85" s="685"/>
      <c r="AU85" s="685"/>
      <c r="AV85" s="685"/>
      <c r="AW85" s="685"/>
      <c r="AX85" s="685"/>
      <c r="AY85" s="685"/>
    </row>
    <row r="86" spans="1:51">
      <c r="A86" s="685"/>
      <c r="B86" s="1187" t="s">
        <v>201</v>
      </c>
      <c r="C86" s="1202"/>
      <c r="D86" s="1202"/>
      <c r="E86" s="1202"/>
      <c r="F86" s="1202"/>
      <c r="G86" s="1202"/>
      <c r="H86" s="1202"/>
      <c r="I86" s="1202"/>
      <c r="J86" s="1202"/>
      <c r="K86" s="1202"/>
      <c r="L86" s="1202"/>
      <c r="M86" s="1205"/>
      <c r="N86" s="1205"/>
      <c r="O86" s="1205"/>
      <c r="P86" s="1202"/>
      <c r="Q86" s="1202"/>
      <c r="R86" s="1202"/>
      <c r="S86" s="1202"/>
      <c r="T86" s="1202"/>
      <c r="U86" s="1202"/>
      <c r="V86" s="1202"/>
      <c r="W86" s="1202"/>
      <c r="X86" s="1202"/>
      <c r="Y86" s="1202"/>
      <c r="Z86" s="1202"/>
      <c r="AA86" s="1202"/>
      <c r="AB86" s="1202"/>
      <c r="AC86" s="1202"/>
      <c r="AD86" s="685"/>
      <c r="AE86" s="685"/>
      <c r="AF86" s="685"/>
      <c r="AG86" s="685"/>
      <c r="AH86" s="685"/>
      <c r="AI86" s="685"/>
      <c r="AJ86" s="685"/>
      <c r="AK86" s="685"/>
      <c r="AL86" s="685"/>
      <c r="AM86" s="685"/>
      <c r="AN86" s="685"/>
      <c r="AO86" s="685"/>
      <c r="AP86" s="685"/>
      <c r="AQ86" s="685"/>
      <c r="AR86" s="685"/>
      <c r="AS86" s="685"/>
      <c r="AT86" s="685"/>
      <c r="AU86" s="685"/>
      <c r="AV86" s="685"/>
      <c r="AW86" s="685"/>
      <c r="AX86" s="685"/>
      <c r="AY86" s="685"/>
    </row>
    <row r="87" spans="1:51">
      <c r="A87" s="685"/>
      <c r="B87" s="1239" t="str">
        <f>B95</f>
        <v>Content/other</v>
      </c>
      <c r="C87" s="1202"/>
      <c r="D87" s="1202"/>
      <c r="E87" s="1202"/>
      <c r="F87" s="1202"/>
      <c r="G87" s="1202"/>
      <c r="H87" s="1204">
        <f t="shared" ref="H87:M90" si="69">H95*H$92</f>
        <v>1775.25</v>
      </c>
      <c r="I87" s="1204">
        <f t="shared" si="69"/>
        <v>1717.68</v>
      </c>
      <c r="J87" s="1204">
        <f t="shared" si="69"/>
        <v>1783.8959999999997</v>
      </c>
      <c r="K87" s="1204">
        <f>K95*K$92</f>
        <v>1763.44</v>
      </c>
      <c r="L87" s="1204">
        <f t="shared" si="69"/>
        <v>2044.1519999999991</v>
      </c>
      <c r="M87" s="1204">
        <f t="shared" ref="M87:P89" si="70">M95*M$92</f>
        <v>2414.4339999999997</v>
      </c>
      <c r="N87" s="1204">
        <f t="shared" si="70"/>
        <v>2643.9419999999996</v>
      </c>
      <c r="O87" s="1204">
        <f t="shared" si="70"/>
        <v>2827.5</v>
      </c>
      <c r="P87" s="1204">
        <f t="shared" si="70"/>
        <v>2147.0399999999995</v>
      </c>
      <c r="Q87" s="1204">
        <f t="shared" ref="Q87:S89" si="71">Q95*Q$92</f>
        <v>1824.8999999999999</v>
      </c>
      <c r="R87" s="1204">
        <f t="shared" si="71"/>
        <v>2075.15</v>
      </c>
      <c r="S87" s="1204">
        <f t="shared" si="71"/>
        <v>573.51599999999996</v>
      </c>
      <c r="T87" s="1204">
        <f t="shared" ref="T87:V87" si="72">T95*T$92</f>
        <v>1024.4188144250802</v>
      </c>
      <c r="U87" s="1204">
        <f t="shared" si="72"/>
        <v>341.87</v>
      </c>
      <c r="V87" s="1204">
        <f t="shared" si="72"/>
        <v>819.50999999999988</v>
      </c>
      <c r="W87" s="1204"/>
      <c r="X87" s="1204"/>
      <c r="Y87" s="1204"/>
      <c r="Z87" s="1204"/>
      <c r="AA87" s="1204"/>
      <c r="AB87" s="1204"/>
      <c r="AC87" s="1204"/>
      <c r="AD87" s="1204"/>
      <c r="AE87" s="1204"/>
      <c r="AF87" s="1204"/>
      <c r="AG87" s="1204"/>
      <c r="AH87" s="1204"/>
      <c r="AI87" s="685"/>
      <c r="AJ87" s="685"/>
      <c r="AK87" s="685"/>
      <c r="AL87" s="685"/>
      <c r="AM87" s="685"/>
      <c r="AN87" s="685"/>
      <c r="AO87" s="685"/>
      <c r="AP87" s="685"/>
      <c r="AQ87" s="685"/>
      <c r="AR87" s="685"/>
      <c r="AS87" s="685"/>
      <c r="AT87" s="685"/>
      <c r="AU87" s="685"/>
      <c r="AV87" s="685"/>
      <c r="AW87" s="685"/>
      <c r="AX87" s="685"/>
      <c r="AY87" s="685"/>
    </row>
    <row r="88" spans="1:51">
      <c r="A88" s="685"/>
      <c r="B88" s="1239" t="str">
        <f>B96</f>
        <v>Sky</v>
      </c>
      <c r="C88" s="1202"/>
      <c r="D88" s="1202"/>
      <c r="E88" s="1202"/>
      <c r="F88" s="1202"/>
      <c r="G88" s="1202"/>
      <c r="H88" s="1204">
        <f t="shared" si="69"/>
        <v>1738.8000000000002</v>
      </c>
      <c r="I88" s="1204">
        <f t="shared" si="69"/>
        <v>5519.31</v>
      </c>
      <c r="J88" s="1204">
        <f t="shared" si="69"/>
        <v>3005.5039999999999</v>
      </c>
      <c r="K88" s="1204">
        <f>K96*K$92</f>
        <v>3842.7200000000003</v>
      </c>
      <c r="L88" s="1204">
        <f t="shared" si="69"/>
        <v>5074.652</v>
      </c>
      <c r="M88" s="1204">
        <f t="shared" si="70"/>
        <v>5174.9280000000008</v>
      </c>
      <c r="N88" s="1204">
        <f t="shared" si="70"/>
        <v>5738.5919999999996</v>
      </c>
      <c r="O88" s="1204">
        <f t="shared" si="70"/>
        <v>6533.4100000000008</v>
      </c>
      <c r="P88" s="1204">
        <f t="shared" si="70"/>
        <v>3995.4599999999996</v>
      </c>
      <c r="Q88" s="1204">
        <f t="shared" si="71"/>
        <v>4034.7999999999997</v>
      </c>
      <c r="R88" s="1204">
        <f t="shared" si="71"/>
        <v>4025.1749999999997</v>
      </c>
      <c r="S88" s="1204">
        <f t="shared" si="71"/>
        <v>5374.2960000000003</v>
      </c>
      <c r="T88" s="1204">
        <f t="shared" ref="T88:V88" si="73">T96*T$92</f>
        <v>4951.6956950725162</v>
      </c>
      <c r="U88" s="1204">
        <f t="shared" si="73"/>
        <v>3883.241</v>
      </c>
      <c r="V88" s="1204">
        <f t="shared" si="73"/>
        <v>2640.8399999999997</v>
      </c>
      <c r="W88" s="1197">
        <f>'SKY Mex'!U147</f>
        <v>2251.9050200465481</v>
      </c>
      <c r="X88" s="1197">
        <f>'SKY Mex'!V147</f>
        <v>1941.688477155318</v>
      </c>
      <c r="Y88" s="1197">
        <f>'SKY Mex'!W147</f>
        <v>1829.6112633518183</v>
      </c>
      <c r="Z88" s="1197">
        <f>'SKY Mex'!X147</f>
        <v>1737.3741275341638</v>
      </c>
      <c r="AA88" s="1197">
        <f>'SKY Mex'!Y147</f>
        <v>1649.0110697285515</v>
      </c>
      <c r="AB88" s="1197">
        <f>'SKY Mex'!Z147</f>
        <v>1564.3726586764956</v>
      </c>
      <c r="AC88" s="1197">
        <f>'SKY Mex'!AA147</f>
        <v>1483.3149423248069</v>
      </c>
      <c r="AD88" s="685"/>
      <c r="AE88" s="685"/>
      <c r="AF88" s="685"/>
      <c r="AG88" s="685"/>
      <c r="AH88" s="685"/>
      <c r="AI88" s="685"/>
      <c r="AJ88" s="685"/>
      <c r="AK88" s="685"/>
      <c r="AL88" s="685"/>
      <c r="AM88" s="685"/>
      <c r="AN88" s="685"/>
      <c r="AO88" s="685"/>
      <c r="AP88" s="685"/>
      <c r="AQ88" s="685"/>
      <c r="AR88" s="685"/>
      <c r="AS88" s="685"/>
      <c r="AT88" s="685"/>
      <c r="AU88" s="685"/>
      <c r="AV88" s="685"/>
      <c r="AW88" s="685"/>
      <c r="AX88" s="685"/>
      <c r="AY88" s="685"/>
    </row>
    <row r="89" spans="1:51">
      <c r="A89" s="685"/>
      <c r="B89" s="1242" t="str">
        <f>B97</f>
        <v>Cable and Telecom</v>
      </c>
      <c r="C89" s="1243"/>
      <c r="D89" s="1243"/>
      <c r="E89" s="1243"/>
      <c r="F89" s="1243"/>
      <c r="G89" s="1243"/>
      <c r="H89" s="1245">
        <f t="shared" si="69"/>
        <v>3226.5</v>
      </c>
      <c r="I89" s="1245">
        <f t="shared" si="69"/>
        <v>5531.9400000000005</v>
      </c>
      <c r="J89" s="1245">
        <f t="shared" si="69"/>
        <v>5050.6399999999994</v>
      </c>
      <c r="K89" s="1245">
        <f>K97*K$92</f>
        <v>5987.8</v>
      </c>
      <c r="L89" s="1245">
        <f t="shared" si="69"/>
        <v>7654.7239999999993</v>
      </c>
      <c r="M89" s="1245">
        <f t="shared" si="70"/>
        <v>9355.5990000000002</v>
      </c>
      <c r="N89" s="1245">
        <f t="shared" si="70"/>
        <v>17095.164000000001</v>
      </c>
      <c r="O89" s="1245">
        <f t="shared" si="70"/>
        <v>18552.170000000002</v>
      </c>
      <c r="P89" s="1245">
        <f t="shared" si="70"/>
        <v>10578.33</v>
      </c>
      <c r="Q89" s="1245">
        <f t="shared" si="71"/>
        <v>12801.25</v>
      </c>
      <c r="R89" s="1245">
        <f t="shared" si="71"/>
        <v>12966.800000000001</v>
      </c>
      <c r="S89" s="1245">
        <f t="shared" si="71"/>
        <v>14230.5</v>
      </c>
      <c r="T89" s="1245">
        <f t="shared" ref="T89:V89" si="74">T97*T$92</f>
        <v>17333.977760915466</v>
      </c>
      <c r="U89" s="1245">
        <f t="shared" si="74"/>
        <v>12989.048999999999</v>
      </c>
      <c r="V89" s="1245">
        <f t="shared" si="74"/>
        <v>11204.1</v>
      </c>
      <c r="W89" s="1246">
        <f>'Cable cos'!S228</f>
        <v>10614.543750000001</v>
      </c>
      <c r="X89" s="1246">
        <f>'Cable cos'!T228</f>
        <v>10351.010249999999</v>
      </c>
      <c r="Y89" s="1246">
        <f>'Cable cos'!U228</f>
        <v>10683.721293750001</v>
      </c>
      <c r="Z89" s="1246">
        <f>'Cable cos'!V228</f>
        <v>10821.981216374998</v>
      </c>
      <c r="AA89" s="1246">
        <f>'Cable cos'!W228</f>
        <v>11040.675420122576</v>
      </c>
      <c r="AB89" s="1246">
        <f>'Cable cos'!X228</f>
        <v>11289.423167539793</v>
      </c>
      <c r="AC89" s="1246">
        <f>'Cable cos'!Y228</f>
        <v>11684.552978403684</v>
      </c>
      <c r="AD89" s="685"/>
      <c r="AE89" s="685"/>
      <c r="AF89" s="685"/>
      <c r="AG89" s="685"/>
      <c r="AH89" s="685"/>
      <c r="AI89" s="685"/>
      <c r="AJ89" s="685"/>
      <c r="AK89" s="685"/>
      <c r="AL89" s="685"/>
      <c r="AM89" s="685"/>
      <c r="AN89" s="685"/>
      <c r="AO89" s="685"/>
      <c r="AP89" s="685"/>
      <c r="AQ89" s="685"/>
      <c r="AR89" s="685"/>
      <c r="AS89" s="685"/>
      <c r="AT89" s="685"/>
      <c r="AU89" s="685"/>
      <c r="AV89" s="685"/>
      <c r="AW89" s="685"/>
      <c r="AX89" s="685"/>
      <c r="AY89" s="685"/>
    </row>
    <row r="90" spans="1:51">
      <c r="A90" s="685"/>
      <c r="B90" s="1189" t="s">
        <v>358</v>
      </c>
      <c r="C90" s="1202"/>
      <c r="D90" s="1202"/>
      <c r="E90" s="1202"/>
      <c r="F90" s="1202"/>
      <c r="G90" s="1202"/>
      <c r="H90" s="1204">
        <f t="shared" si="69"/>
        <v>6740.55</v>
      </c>
      <c r="I90" s="1204">
        <f t="shared" si="69"/>
        <v>12768.93</v>
      </c>
      <c r="J90" s="1204">
        <f t="shared" si="69"/>
        <v>9840.0399999999991</v>
      </c>
      <c r="K90" s="1204">
        <f>K98*K$92</f>
        <v>11593.960000000001</v>
      </c>
      <c r="L90" s="1204">
        <f t="shared" si="69"/>
        <v>14773.527999999998</v>
      </c>
      <c r="M90" s="1204">
        <f t="shared" si="69"/>
        <v>16944.960999999999</v>
      </c>
      <c r="N90" s="1197">
        <f t="shared" ref="N90:S90" si="75">SUM(N87:N89)</f>
        <v>25477.698</v>
      </c>
      <c r="O90" s="1197">
        <f t="shared" si="75"/>
        <v>27913.08</v>
      </c>
      <c r="P90" s="1197">
        <f>SUM(P87:P89)</f>
        <v>16720.829999999998</v>
      </c>
      <c r="Q90" s="1197">
        <f>SUM(Q87:Q89)</f>
        <v>18660.95</v>
      </c>
      <c r="R90" s="1197">
        <f>SUM(R87:R89)</f>
        <v>19067.125</v>
      </c>
      <c r="S90" s="1197">
        <f t="shared" si="75"/>
        <v>20178.311999999998</v>
      </c>
      <c r="T90" s="1197">
        <f t="shared" ref="T90:AC90" si="76">SUM(T87:T89)</f>
        <v>23310.092270413064</v>
      </c>
      <c r="U90" s="1197">
        <f t="shared" si="76"/>
        <v>17214.16</v>
      </c>
      <c r="V90" s="1197">
        <f t="shared" si="76"/>
        <v>14664.45</v>
      </c>
      <c r="W90" s="1197">
        <f t="shared" si="76"/>
        <v>12866.448770046549</v>
      </c>
      <c r="X90" s="1197">
        <f t="shared" si="76"/>
        <v>12292.698727155317</v>
      </c>
      <c r="Y90" s="1197">
        <f t="shared" si="76"/>
        <v>12513.332557101819</v>
      </c>
      <c r="Z90" s="1197">
        <f t="shared" si="76"/>
        <v>12559.355343909161</v>
      </c>
      <c r="AA90" s="1197">
        <f t="shared" si="76"/>
        <v>12689.686489851127</v>
      </c>
      <c r="AB90" s="1197">
        <f t="shared" si="76"/>
        <v>12853.795826216288</v>
      </c>
      <c r="AC90" s="1197">
        <f t="shared" si="76"/>
        <v>13167.867920728491</v>
      </c>
      <c r="AD90" s="685"/>
      <c r="AE90" s="685"/>
      <c r="AF90" s="685"/>
      <c r="AG90" s="685"/>
      <c r="AH90" s="685"/>
      <c r="AI90" s="685"/>
      <c r="AJ90" s="685"/>
      <c r="AK90" s="685"/>
      <c r="AL90" s="685"/>
      <c r="AM90" s="685"/>
      <c r="AN90" s="685"/>
      <c r="AO90" s="685"/>
      <c r="AP90" s="685"/>
      <c r="AQ90" s="685"/>
      <c r="AR90" s="685"/>
      <c r="AS90" s="685"/>
      <c r="AT90" s="685"/>
      <c r="AU90" s="685"/>
      <c r="AV90" s="685"/>
      <c r="AW90" s="685"/>
      <c r="AX90" s="685"/>
      <c r="AY90" s="685"/>
    </row>
    <row r="91" spans="1:51">
      <c r="A91" s="685"/>
      <c r="B91" s="1189"/>
      <c r="C91" s="1202"/>
      <c r="D91" s="1202"/>
      <c r="E91" s="1202"/>
      <c r="F91" s="1202"/>
      <c r="G91" s="1202"/>
      <c r="H91" s="1202"/>
      <c r="I91" s="1202"/>
      <c r="J91" s="1197"/>
      <c r="K91" s="1197"/>
      <c r="L91" s="1197"/>
      <c r="M91" s="1197"/>
      <c r="N91" s="1197"/>
      <c r="O91" s="1197"/>
      <c r="P91" s="1197"/>
      <c r="Q91" s="1197"/>
      <c r="R91" s="1197"/>
      <c r="S91" s="1197"/>
      <c r="T91" s="1197"/>
      <c r="U91" s="1197"/>
      <c r="V91" s="1197"/>
      <c r="W91" s="1197"/>
      <c r="X91" s="1197"/>
      <c r="Y91" s="1197"/>
      <c r="Z91" s="1197"/>
      <c r="AA91" s="1197"/>
      <c r="AB91" s="1197"/>
      <c r="AC91" s="1197"/>
      <c r="AD91" s="685"/>
      <c r="AE91" s="685"/>
      <c r="AF91" s="685"/>
      <c r="AG91" s="685"/>
      <c r="AH91" s="685"/>
      <c r="AI91" s="685"/>
      <c r="AJ91" s="685"/>
      <c r="AK91" s="685"/>
      <c r="AL91" s="685"/>
      <c r="AM91" s="685"/>
      <c r="AN91" s="685"/>
      <c r="AO91" s="685"/>
      <c r="AP91" s="685"/>
      <c r="AQ91" s="685"/>
      <c r="AR91" s="685"/>
      <c r="AS91" s="685"/>
      <c r="AT91" s="685"/>
      <c r="AU91" s="685"/>
      <c r="AV91" s="685"/>
      <c r="AW91" s="685"/>
      <c r="AX91" s="685"/>
      <c r="AY91" s="685"/>
    </row>
    <row r="92" spans="1:51">
      <c r="A92" s="685"/>
      <c r="B92" s="1189" t="s">
        <v>1646</v>
      </c>
      <c r="C92" s="1202"/>
      <c r="D92" s="1202"/>
      <c r="E92" s="1202"/>
      <c r="F92" s="1202"/>
      <c r="G92" s="1247">
        <v>11.05</v>
      </c>
      <c r="H92" s="1247">
        <v>13.5</v>
      </c>
      <c r="I92" s="1247">
        <v>12.63</v>
      </c>
      <c r="J92" s="1247">
        <v>12.44</v>
      </c>
      <c r="K92" s="1247">
        <v>13.16</v>
      </c>
      <c r="L92" s="1247">
        <v>12.76</v>
      </c>
      <c r="M92" s="1247">
        <v>13.31</v>
      </c>
      <c r="N92" s="1247">
        <v>15.87</v>
      </c>
      <c r="O92" s="1247">
        <v>18.850000000000001</v>
      </c>
      <c r="P92" s="1247">
        <v>18.899999999999999</v>
      </c>
      <c r="Q92" s="1247">
        <v>19.25</v>
      </c>
      <c r="R92" s="1247">
        <v>19.25</v>
      </c>
      <c r="S92" s="1247">
        <v>21.48</v>
      </c>
      <c r="T92" s="1247">
        <v>20.285521077724361</v>
      </c>
      <c r="U92" s="1247">
        <v>20.11</v>
      </c>
      <c r="V92" s="1247">
        <v>17.7</v>
      </c>
      <c r="W92" s="1203">
        <f>AVERAGE(V93,W93)</f>
        <v>17.036000000000001</v>
      </c>
      <c r="X92" s="1203">
        <f>AVERAGE(W93,X93)</f>
        <v>17.271000000000001</v>
      </c>
      <c r="Y92" s="1203">
        <f>AVERAGE(X93,Y93)</f>
        <v>17.616419999999998</v>
      </c>
      <c r="Z92" s="1203">
        <f t="shared" ref="Z92:AC92" si="77">AVERAGE(Y93,Z93)</f>
        <v>17.968748399999999</v>
      </c>
      <c r="AA92" s="1203">
        <f t="shared" si="77"/>
        <v>18.328123368</v>
      </c>
      <c r="AB92" s="1203">
        <f t="shared" si="77"/>
        <v>18.694685835359998</v>
      </c>
      <c r="AC92" s="1203">
        <f t="shared" si="77"/>
        <v>19.068579552067199</v>
      </c>
      <c r="AD92" s="1203"/>
      <c r="AE92" s="685"/>
      <c r="AF92" s="685"/>
      <c r="AG92" s="685"/>
      <c r="AH92" s="685"/>
      <c r="AI92" s="685"/>
      <c r="AJ92" s="685"/>
      <c r="AK92" s="685"/>
      <c r="AL92" s="685"/>
      <c r="AM92" s="685"/>
      <c r="AN92" s="685"/>
      <c r="AO92" s="685"/>
      <c r="AP92" s="685"/>
      <c r="AQ92" s="685"/>
      <c r="AR92" s="685"/>
      <c r="AS92" s="685"/>
      <c r="AT92" s="685"/>
      <c r="AU92" s="685"/>
      <c r="AV92" s="685"/>
      <c r="AW92" s="685"/>
      <c r="AX92" s="685"/>
      <c r="AY92" s="685"/>
    </row>
    <row r="93" spans="1:51">
      <c r="A93" s="685"/>
      <c r="B93" s="1189" t="s">
        <v>1647</v>
      </c>
      <c r="C93" s="1202"/>
      <c r="D93" s="1202"/>
      <c r="E93" s="1202"/>
      <c r="F93" s="1202"/>
      <c r="G93" s="1202"/>
      <c r="H93" s="1202"/>
      <c r="I93" s="1202"/>
      <c r="J93" s="1247">
        <v>13.9</v>
      </c>
      <c r="K93" s="1247">
        <v>12.92</v>
      </c>
      <c r="L93" s="1247">
        <v>13.09</v>
      </c>
      <c r="M93" s="1202"/>
      <c r="N93" s="1202"/>
      <c r="O93" s="1202"/>
      <c r="P93" s="1205"/>
      <c r="Q93" s="1202"/>
      <c r="R93" s="1202"/>
      <c r="S93" s="1202"/>
      <c r="T93" s="1202"/>
      <c r="U93" s="1247">
        <v>19.498999999999999</v>
      </c>
      <c r="V93" s="1247">
        <v>16.972000000000001</v>
      </c>
      <c r="W93" s="1248">
        <v>17.100000000000001</v>
      </c>
      <c r="X93" s="1248">
        <f t="shared" ref="X93" si="78">W93*1.02</f>
        <v>17.442</v>
      </c>
      <c r="Y93" s="1248">
        <f t="shared" ref="Y93" si="79">X93*1.02</f>
        <v>17.790839999999999</v>
      </c>
      <c r="Z93" s="1248">
        <f t="shared" ref="Z93" si="80">Y93*1.02</f>
        <v>18.146656799999999</v>
      </c>
      <c r="AA93" s="1248">
        <f t="shared" ref="AA93" si="81">Z93*1.02</f>
        <v>18.509589935999998</v>
      </c>
      <c r="AB93" s="1248">
        <f t="shared" ref="AB93" si="82">AA93*1.02</f>
        <v>18.879781734719998</v>
      </c>
      <c r="AC93" s="1248">
        <f t="shared" ref="AC93" si="83">AB93*1.02</f>
        <v>19.257377369414399</v>
      </c>
      <c r="AD93" s="685"/>
      <c r="AE93" s="685"/>
      <c r="AF93" s="685"/>
      <c r="AG93" s="685"/>
      <c r="AH93" s="685"/>
      <c r="AI93" s="685"/>
      <c r="AJ93" s="685"/>
      <c r="AK93" s="685"/>
      <c r="AL93" s="685"/>
      <c r="AM93" s="685"/>
      <c r="AN93" s="685"/>
      <c r="AO93" s="685"/>
      <c r="AP93" s="685"/>
      <c r="AQ93" s="685"/>
      <c r="AR93" s="685"/>
      <c r="AS93" s="685"/>
      <c r="AT93" s="685"/>
      <c r="AU93" s="685"/>
      <c r="AV93" s="685"/>
      <c r="AW93" s="685"/>
      <c r="AX93" s="685"/>
      <c r="AY93" s="685"/>
    </row>
    <row r="94" spans="1:51">
      <c r="A94" s="685"/>
      <c r="B94" s="1189"/>
      <c r="C94" s="1202"/>
      <c r="D94" s="1202"/>
      <c r="E94" s="1202"/>
      <c r="F94" s="1202"/>
      <c r="G94" s="1202"/>
      <c r="H94" s="1202"/>
      <c r="I94" s="1202"/>
      <c r="J94" s="1197"/>
      <c r="K94" s="1197"/>
      <c r="L94" s="1197"/>
      <c r="M94" s="1197"/>
      <c r="N94" s="1197"/>
      <c r="O94" s="1197"/>
      <c r="P94" s="1197"/>
      <c r="Q94" s="1197"/>
      <c r="R94" s="1197"/>
      <c r="S94" s="1197"/>
      <c r="T94" s="1197"/>
      <c r="U94" s="1197"/>
      <c r="V94" s="1197"/>
      <c r="W94" s="1197"/>
      <c r="X94" s="1197"/>
      <c r="Y94" s="1197"/>
      <c r="Z94" s="1197"/>
      <c r="AA94" s="1197"/>
      <c r="AB94" s="1197"/>
      <c r="AC94" s="1197"/>
      <c r="AD94" s="685"/>
      <c r="AE94" s="685"/>
      <c r="AF94" s="685"/>
      <c r="AG94" s="685"/>
      <c r="AH94" s="685"/>
      <c r="AI94" s="685"/>
      <c r="AJ94" s="685"/>
      <c r="AK94" s="685"/>
      <c r="AL94" s="685"/>
      <c r="AM94" s="685"/>
      <c r="AN94" s="685"/>
      <c r="AO94" s="685"/>
      <c r="AP94" s="685"/>
      <c r="AQ94" s="685"/>
      <c r="AR94" s="685"/>
      <c r="AS94" s="685"/>
      <c r="AT94" s="685"/>
      <c r="AU94" s="685"/>
      <c r="AV94" s="685"/>
      <c r="AW94" s="685"/>
      <c r="AX94" s="685"/>
      <c r="AY94" s="685"/>
    </row>
    <row r="95" spans="1:51">
      <c r="A95" s="685"/>
      <c r="B95" s="1189" t="s">
        <v>359</v>
      </c>
      <c r="C95" s="1202"/>
      <c r="D95" s="1202"/>
      <c r="E95" s="1202"/>
      <c r="F95" s="1202"/>
      <c r="G95" s="1202"/>
      <c r="H95" s="1197">
        <f t="shared" ref="H95:M95" si="84">H98-H96-H97</f>
        <v>131.5</v>
      </c>
      <c r="I95" s="1197">
        <f t="shared" si="84"/>
        <v>136</v>
      </c>
      <c r="J95" s="1197">
        <f t="shared" si="84"/>
        <v>143.39999999999998</v>
      </c>
      <c r="K95" s="1197">
        <f t="shared" si="84"/>
        <v>134</v>
      </c>
      <c r="L95" s="1197">
        <f t="shared" si="84"/>
        <v>160.19999999999993</v>
      </c>
      <c r="M95" s="1197">
        <f t="shared" si="84"/>
        <v>181.39999999999998</v>
      </c>
      <c r="N95" s="1249">
        <f>SUM(Interims!AA91:AD91)</f>
        <v>166.6</v>
      </c>
      <c r="O95" s="1249">
        <f>SUM(Interims!AF91:AI91)</f>
        <v>150</v>
      </c>
      <c r="P95" s="1249">
        <f>SUM(Interims!AK91:AN91)</f>
        <v>113.59999999999998</v>
      </c>
      <c r="Q95" s="1249">
        <v>94.8</v>
      </c>
      <c r="R95" s="1249">
        <v>107.8</v>
      </c>
      <c r="S95" s="1249">
        <v>26.7</v>
      </c>
      <c r="T95" s="1249">
        <v>50.5</v>
      </c>
      <c r="U95" s="1249">
        <v>17</v>
      </c>
      <c r="V95" s="1249">
        <v>46.3</v>
      </c>
      <c r="W95" s="1250">
        <v>0.1</v>
      </c>
      <c r="X95" s="1250"/>
      <c r="Y95" s="1250"/>
      <c r="Z95" s="1250"/>
      <c r="AA95" s="1250"/>
      <c r="AB95" s="1250"/>
      <c r="AC95" s="1250"/>
      <c r="AD95" s="685"/>
      <c r="AE95" s="685"/>
      <c r="AF95" s="685"/>
      <c r="AG95" s="685"/>
      <c r="AH95" s="685"/>
      <c r="AI95" s="685"/>
      <c r="AJ95" s="685"/>
      <c r="AK95" s="685"/>
      <c r="AL95" s="685"/>
      <c r="AM95" s="685"/>
      <c r="AN95" s="685"/>
      <c r="AO95" s="685"/>
      <c r="AP95" s="685"/>
      <c r="AQ95" s="685"/>
      <c r="AR95" s="685"/>
      <c r="AS95" s="685"/>
      <c r="AT95" s="685"/>
      <c r="AU95" s="685"/>
      <c r="AV95" s="685"/>
      <c r="AW95" s="685"/>
      <c r="AX95" s="685"/>
      <c r="AY95" s="685"/>
    </row>
    <row r="96" spans="1:51">
      <c r="A96" s="685"/>
      <c r="B96" s="1239" t="str">
        <f>B80</f>
        <v>Sky</v>
      </c>
      <c r="C96" s="1202"/>
      <c r="D96" s="1202"/>
      <c r="E96" s="1202"/>
      <c r="F96" s="1202"/>
      <c r="G96" s="1249">
        <v>114</v>
      </c>
      <c r="H96" s="1249">
        <v>128.80000000000001</v>
      </c>
      <c r="I96" s="1249">
        <f>290+36+111</f>
        <v>437</v>
      </c>
      <c r="J96" s="1249">
        <f>241.6</f>
        <v>241.6</v>
      </c>
      <c r="K96" s="1249">
        <v>292</v>
      </c>
      <c r="L96" s="1249">
        <v>397.7</v>
      </c>
      <c r="M96" s="1249">
        <v>388.8</v>
      </c>
      <c r="N96" s="1249">
        <f>SUM(Interims!AA90:AD90)</f>
        <v>361.6</v>
      </c>
      <c r="O96" s="1249">
        <f>SUM(Interims!AF90:AI90)</f>
        <v>346.6</v>
      </c>
      <c r="P96" s="1249">
        <f>SUM(Interims!AK90:AN90)</f>
        <v>211.4</v>
      </c>
      <c r="Q96" s="1249">
        <v>209.6</v>
      </c>
      <c r="R96" s="1249">
        <v>209.1</v>
      </c>
      <c r="S96" s="1249">
        <v>250.2</v>
      </c>
      <c r="T96" s="1249">
        <v>244.1</v>
      </c>
      <c r="U96" s="1249">
        <v>193.1</v>
      </c>
      <c r="V96" s="1249">
        <v>149.19999999999999</v>
      </c>
      <c r="W96" s="1197">
        <f>W88/W$92</f>
        <v>132.18507983367857</v>
      </c>
      <c r="X96" s="1197">
        <f>X88/X$92</f>
        <v>112.42478589284453</v>
      </c>
      <c r="Y96" s="1197">
        <f t="shared" ref="Y96:AC97" si="85">Y88/Y$92</f>
        <v>103.85829035364839</v>
      </c>
      <c r="Z96" s="1197">
        <f t="shared" si="85"/>
        <v>96.688655707047687</v>
      </c>
      <c r="AA96" s="1197">
        <f t="shared" si="85"/>
        <v>89.971626479099527</v>
      </c>
      <c r="AB96" s="1197">
        <f t="shared" si="85"/>
        <v>83.680072104638867</v>
      </c>
      <c r="AC96" s="1197">
        <f t="shared" si="85"/>
        <v>77.788434019145527</v>
      </c>
      <c r="AD96" s="685"/>
      <c r="AE96" s="685"/>
      <c r="AF96" s="685"/>
      <c r="AG96" s="685"/>
      <c r="AH96" s="685"/>
      <c r="AI96" s="685"/>
      <c r="AJ96" s="685"/>
      <c r="AK96" s="685"/>
      <c r="AL96" s="685"/>
      <c r="AM96" s="685"/>
      <c r="AN96" s="685"/>
      <c r="AO96" s="685"/>
      <c r="AP96" s="685"/>
      <c r="AQ96" s="685"/>
      <c r="AR96" s="685"/>
      <c r="AS96" s="685"/>
      <c r="AT96" s="685"/>
      <c r="AU96" s="685"/>
      <c r="AV96" s="685"/>
      <c r="AW96" s="685"/>
      <c r="AX96" s="685"/>
      <c r="AY96" s="685"/>
    </row>
    <row r="97" spans="1:51">
      <c r="A97" s="685"/>
      <c r="B97" s="1242" t="str">
        <f>B81</f>
        <v>Cable and Telecom</v>
      </c>
      <c r="C97" s="1243"/>
      <c r="D97" s="1243"/>
      <c r="E97" s="1243"/>
      <c r="F97" s="1243"/>
      <c r="G97" s="1243"/>
      <c r="H97" s="1251">
        <v>239</v>
      </c>
      <c r="I97" s="1251">
        <v>438</v>
      </c>
      <c r="J97" s="1251">
        <v>406</v>
      </c>
      <c r="K97" s="1251">
        <v>455</v>
      </c>
      <c r="L97" s="1251">
        <v>599.9</v>
      </c>
      <c r="M97" s="1251">
        <v>702.9</v>
      </c>
      <c r="N97" s="1251">
        <f>SUM(Interims!AA84:AD84)</f>
        <v>1077.2</v>
      </c>
      <c r="O97" s="1251">
        <f>SUM(Interims!AF84:AI84)</f>
        <v>984.2</v>
      </c>
      <c r="P97" s="1251">
        <f>SUM(Interims!AK84:AN84)</f>
        <v>559.70000000000005</v>
      </c>
      <c r="Q97" s="1251">
        <f>665</f>
        <v>665</v>
      </c>
      <c r="R97" s="1251">
        <v>673.6</v>
      </c>
      <c r="S97" s="1251">
        <v>662.5</v>
      </c>
      <c r="T97" s="1251">
        <v>854.5</v>
      </c>
      <c r="U97" s="1251">
        <v>645.9</v>
      </c>
      <c r="V97" s="1251">
        <v>633</v>
      </c>
      <c r="W97" s="1246">
        <f>W89/W$92</f>
        <v>623.06549366048364</v>
      </c>
      <c r="X97" s="1246">
        <f>X89/X$92</f>
        <v>599.32894736842104</v>
      </c>
      <c r="Y97" s="1246">
        <f t="shared" si="85"/>
        <v>606.46381578947376</v>
      </c>
      <c r="Z97" s="1246">
        <f t="shared" si="85"/>
        <v>602.26683436532494</v>
      </c>
      <c r="AA97" s="1246">
        <f t="shared" si="85"/>
        <v>602.38984638214788</v>
      </c>
      <c r="AB97" s="1246">
        <f t="shared" si="85"/>
        <v>603.8840805864977</v>
      </c>
      <c r="AC97" s="1246">
        <f t="shared" si="85"/>
        <v>612.76472883041663</v>
      </c>
      <c r="AD97" s="685"/>
      <c r="AE97" s="685"/>
      <c r="AF97" s="685"/>
      <c r="AG97" s="685"/>
      <c r="AH97" s="685"/>
      <c r="AI97" s="685"/>
      <c r="AJ97" s="685"/>
      <c r="AK97" s="685"/>
      <c r="AL97" s="685"/>
      <c r="AM97" s="685"/>
      <c r="AN97" s="685"/>
      <c r="AO97" s="685"/>
      <c r="AP97" s="685"/>
      <c r="AQ97" s="685"/>
      <c r="AR97" s="685"/>
      <c r="AS97" s="685"/>
      <c r="AT97" s="685"/>
      <c r="AU97" s="685"/>
      <c r="AV97" s="685"/>
      <c r="AW97" s="685"/>
      <c r="AX97" s="685"/>
      <c r="AY97" s="685"/>
    </row>
    <row r="98" spans="1:51">
      <c r="A98" s="685"/>
      <c r="B98" s="1189" t="s">
        <v>618</v>
      </c>
      <c r="C98" s="1202"/>
      <c r="D98" s="1202"/>
      <c r="E98" s="1202"/>
      <c r="F98" s="1202"/>
      <c r="G98" s="1249">
        <v>490</v>
      </c>
      <c r="H98" s="1249">
        <v>499.3</v>
      </c>
      <c r="I98" s="1249">
        <v>1011</v>
      </c>
      <c r="J98" s="1249">
        <v>791</v>
      </c>
      <c r="K98" s="1249">
        <v>881</v>
      </c>
      <c r="L98" s="1249">
        <v>1157.8</v>
      </c>
      <c r="M98" s="1249">
        <v>1273.0999999999999</v>
      </c>
      <c r="N98" s="1197">
        <f t="shared" ref="N98:X98" si="86">SUM(N95:N97)</f>
        <v>1605.4</v>
      </c>
      <c r="O98" s="1197">
        <f t="shared" si="86"/>
        <v>1480.8000000000002</v>
      </c>
      <c r="P98" s="1197">
        <f t="shared" si="86"/>
        <v>884.7</v>
      </c>
      <c r="Q98" s="1197">
        <f t="shared" si="86"/>
        <v>969.4</v>
      </c>
      <c r="R98" s="1197">
        <f t="shared" si="86"/>
        <v>990.5</v>
      </c>
      <c r="S98" s="1197">
        <f t="shared" si="86"/>
        <v>939.4</v>
      </c>
      <c r="T98" s="1197">
        <f t="shared" si="86"/>
        <v>1149.0999999999999</v>
      </c>
      <c r="U98" s="1197">
        <f t="shared" si="86"/>
        <v>856</v>
      </c>
      <c r="V98" s="1197">
        <f t="shared" si="86"/>
        <v>828.5</v>
      </c>
      <c r="W98" s="1197">
        <f t="shared" si="86"/>
        <v>755.35057349416218</v>
      </c>
      <c r="X98" s="1197">
        <f t="shared" si="86"/>
        <v>711.75373326126555</v>
      </c>
      <c r="Y98" s="1197">
        <f>SUM(Y95:Y97)</f>
        <v>710.32210614312214</v>
      </c>
      <c r="Z98" s="1197">
        <f>SUM(Z95:Z97)</f>
        <v>698.95549007237264</v>
      </c>
      <c r="AA98" s="1197">
        <f>SUM(AA95:AA97)</f>
        <v>692.36147286124742</v>
      </c>
      <c r="AB98" s="1197">
        <f>SUM(AB95:AB97)</f>
        <v>687.56415269113654</v>
      </c>
      <c r="AC98" s="1197">
        <f>SUM(AC95:AC97)</f>
        <v>690.55316284956211</v>
      </c>
      <c r="AD98" s="685"/>
      <c r="AE98" s="1197"/>
      <c r="AF98" s="685"/>
      <c r="AG98" s="685"/>
      <c r="AH98" s="685"/>
      <c r="AI98" s="685"/>
      <c r="AJ98" s="685"/>
      <c r="AK98" s="685"/>
      <c r="AL98" s="685"/>
      <c r="AM98" s="685"/>
      <c r="AN98" s="685"/>
      <c r="AO98" s="685"/>
      <c r="AP98" s="685"/>
      <c r="AQ98" s="685"/>
      <c r="AR98" s="685"/>
      <c r="AS98" s="685"/>
      <c r="AT98" s="685"/>
      <c r="AU98" s="685"/>
      <c r="AV98" s="685"/>
      <c r="AW98" s="685"/>
      <c r="AX98" s="685"/>
      <c r="AY98" s="685"/>
    </row>
    <row r="99" spans="1:51">
      <c r="A99" s="685"/>
      <c r="B99" s="1189" t="s">
        <v>7708</v>
      </c>
      <c r="C99" s="1202"/>
      <c r="D99" s="1202"/>
      <c r="E99" s="1202"/>
      <c r="F99" s="1202"/>
      <c r="G99" s="1204">
        <f>G98</f>
        <v>490</v>
      </c>
      <c r="H99" s="1204">
        <f>H98</f>
        <v>499.3</v>
      </c>
      <c r="I99" s="1204">
        <f>I98-111</f>
        <v>900</v>
      </c>
      <c r="J99" s="1204">
        <f>J98+111</f>
        <v>902</v>
      </c>
      <c r="K99" s="1204">
        <f t="shared" ref="K99:P99" si="87">K98</f>
        <v>881</v>
      </c>
      <c r="L99" s="1204">
        <f t="shared" si="87"/>
        <v>1157.8</v>
      </c>
      <c r="M99" s="1204">
        <f t="shared" si="87"/>
        <v>1273.0999999999999</v>
      </c>
      <c r="N99" s="1204">
        <f t="shared" si="87"/>
        <v>1605.4</v>
      </c>
      <c r="O99" s="1204">
        <f t="shared" si="87"/>
        <v>1480.8000000000002</v>
      </c>
      <c r="P99" s="1204">
        <f t="shared" si="87"/>
        <v>884.7</v>
      </c>
      <c r="Q99" s="1204">
        <f>Q98</f>
        <v>969.4</v>
      </c>
      <c r="R99" s="1204">
        <f t="shared" ref="R99:X99" si="88">R98</f>
        <v>990.5</v>
      </c>
      <c r="S99" s="1204">
        <f>S98</f>
        <v>939.4</v>
      </c>
      <c r="T99" s="1204">
        <f t="shared" si="88"/>
        <v>1149.0999999999999</v>
      </c>
      <c r="U99" s="1204">
        <f t="shared" si="88"/>
        <v>856</v>
      </c>
      <c r="V99" s="1204">
        <f t="shared" si="88"/>
        <v>828.5</v>
      </c>
      <c r="W99" s="1204">
        <f t="shared" si="88"/>
        <v>755.35057349416218</v>
      </c>
      <c r="X99" s="1204">
        <f t="shared" si="88"/>
        <v>711.75373326126555</v>
      </c>
      <c r="Y99" s="1204">
        <f>Y98</f>
        <v>710.32210614312214</v>
      </c>
      <c r="Z99" s="1204">
        <f>Z98</f>
        <v>698.95549007237264</v>
      </c>
      <c r="AA99" s="1204">
        <f>AA98</f>
        <v>692.36147286124742</v>
      </c>
      <c r="AB99" s="1204">
        <f>AB98</f>
        <v>687.56415269113654</v>
      </c>
      <c r="AC99" s="1204">
        <f>AC98</f>
        <v>690.55316284956211</v>
      </c>
      <c r="AD99" s="685"/>
      <c r="AE99" s="685"/>
      <c r="AF99" s="685"/>
      <c r="AG99" s="685"/>
      <c r="AH99" s="685"/>
      <c r="AI99" s="685"/>
      <c r="AJ99" s="685"/>
      <c r="AK99" s="685"/>
      <c r="AL99" s="685"/>
      <c r="AM99" s="685"/>
      <c r="AN99" s="685"/>
      <c r="AO99" s="685"/>
      <c r="AP99" s="685"/>
      <c r="AQ99" s="685"/>
      <c r="AR99" s="685"/>
      <c r="AS99" s="685"/>
      <c r="AT99" s="685"/>
      <c r="AU99" s="685"/>
      <c r="AV99" s="685"/>
      <c r="AW99" s="685"/>
      <c r="AX99" s="685"/>
      <c r="AY99" s="685"/>
    </row>
    <row r="100" spans="1:51">
      <c r="A100" s="685"/>
      <c r="B100" s="1189"/>
      <c r="C100" s="1202"/>
      <c r="D100" s="1202"/>
      <c r="E100" s="1202"/>
      <c r="F100" s="1202"/>
      <c r="G100" s="1204"/>
      <c r="H100" s="1204"/>
      <c r="I100" s="1204"/>
      <c r="J100" s="1204"/>
      <c r="K100" s="1204"/>
      <c r="L100" s="1204"/>
      <c r="M100" s="1204"/>
      <c r="N100" s="1204"/>
      <c r="O100" s="1204"/>
      <c r="P100" s="1204"/>
      <c r="Q100" s="1204"/>
      <c r="R100" s="1204"/>
      <c r="S100" s="1204"/>
      <c r="T100" s="1204"/>
      <c r="U100" s="1204"/>
      <c r="V100" s="1204"/>
      <c r="W100" s="1204"/>
      <c r="X100" s="1204"/>
      <c r="Y100" s="1204"/>
      <c r="Z100" s="1204"/>
      <c r="AA100" s="1204"/>
      <c r="AB100" s="1204"/>
      <c r="AC100" s="1204"/>
      <c r="AD100" s="685"/>
      <c r="AE100" s="685"/>
      <c r="AF100" s="685"/>
      <c r="AG100" s="685"/>
      <c r="AH100" s="685"/>
      <c r="AI100" s="685"/>
      <c r="AJ100" s="685"/>
      <c r="AK100" s="685"/>
      <c r="AL100" s="685"/>
      <c r="AM100" s="685"/>
      <c r="AN100" s="685"/>
      <c r="AO100" s="685"/>
      <c r="AP100" s="685"/>
      <c r="AQ100" s="685"/>
      <c r="AR100" s="685"/>
      <c r="AS100" s="685"/>
      <c r="AT100" s="685"/>
      <c r="AU100" s="685"/>
      <c r="AV100" s="685"/>
      <c r="AW100" s="685"/>
      <c r="AX100" s="685"/>
      <c r="AY100" s="685"/>
    </row>
    <row r="101" spans="1:51">
      <c r="A101" s="685"/>
      <c r="B101" s="1189"/>
      <c r="C101" s="1202"/>
      <c r="D101" s="1202"/>
      <c r="E101" s="1202"/>
      <c r="F101" s="1202"/>
      <c r="G101" s="1204"/>
      <c r="H101" s="1204"/>
      <c r="I101" s="1204"/>
      <c r="J101" s="1204"/>
      <c r="K101" s="1204"/>
      <c r="L101" s="1204"/>
      <c r="M101" s="1204"/>
      <c r="N101" s="1204"/>
      <c r="O101" s="1204"/>
      <c r="P101" s="1204"/>
      <c r="Q101" s="1204"/>
      <c r="R101" s="1204"/>
      <c r="S101" s="1204"/>
      <c r="T101" s="1204"/>
      <c r="U101" s="1204"/>
      <c r="V101" s="1204"/>
      <c r="W101" s="1660">
        <v>630</v>
      </c>
      <c r="X101" s="1660" t="s">
        <v>16</v>
      </c>
      <c r="Y101" s="1660"/>
      <c r="Z101" s="1660"/>
      <c r="AA101" s="1204"/>
      <c r="AB101" s="1204"/>
      <c r="AC101" s="1204"/>
      <c r="AD101" s="685"/>
      <c r="AE101" s="685"/>
      <c r="AF101" s="685"/>
      <c r="AG101" s="685"/>
      <c r="AH101" s="685"/>
      <c r="AI101" s="685"/>
      <c r="AJ101" s="685"/>
      <c r="AK101" s="685"/>
      <c r="AL101" s="685"/>
      <c r="AM101" s="685"/>
      <c r="AN101" s="685"/>
      <c r="AO101" s="685"/>
      <c r="AP101" s="685"/>
      <c r="AQ101" s="685"/>
      <c r="AR101" s="685"/>
      <c r="AS101" s="685"/>
      <c r="AT101" s="685"/>
      <c r="AU101" s="685"/>
      <c r="AV101" s="685"/>
      <c r="AW101" s="685"/>
      <c r="AX101" s="685"/>
      <c r="AY101" s="685"/>
    </row>
    <row r="102" spans="1:51">
      <c r="A102" s="685"/>
      <c r="B102" s="1189"/>
      <c r="C102" s="1202"/>
      <c r="D102" s="1202"/>
      <c r="E102" s="1202"/>
      <c r="F102" s="1202"/>
      <c r="G102" s="1204"/>
      <c r="H102" s="1204"/>
      <c r="I102" s="1204"/>
      <c r="J102" s="1204"/>
      <c r="K102" s="1204"/>
      <c r="L102" s="1204"/>
      <c r="M102" s="1204"/>
      <c r="N102" s="1204"/>
      <c r="O102" s="1204"/>
      <c r="P102" s="1204"/>
      <c r="Q102" s="1204"/>
      <c r="R102" s="1204"/>
      <c r="S102" s="1204"/>
      <c r="T102" s="1204"/>
      <c r="U102" s="1204"/>
      <c r="V102" s="1204"/>
      <c r="W102" s="1661" t="s">
        <v>7709</v>
      </c>
      <c r="X102" s="1660" t="s">
        <v>128</v>
      </c>
      <c r="Y102" s="1660" t="s">
        <v>7710</v>
      </c>
      <c r="Z102" s="1660"/>
      <c r="AA102" s="1204"/>
      <c r="AB102" s="1204"/>
      <c r="AC102" s="1204"/>
      <c r="AD102" s="685"/>
      <c r="AE102" s="685"/>
      <c r="AF102" s="685"/>
      <c r="AG102" s="685"/>
      <c r="AH102" s="685"/>
      <c r="AI102" s="685"/>
      <c r="AJ102" s="685"/>
      <c r="AK102" s="685"/>
      <c r="AL102" s="685"/>
      <c r="AM102" s="685"/>
      <c r="AN102" s="685"/>
      <c r="AO102" s="685"/>
      <c r="AP102" s="685"/>
      <c r="AQ102" s="685"/>
      <c r="AR102" s="685"/>
      <c r="AS102" s="685"/>
      <c r="AT102" s="685"/>
      <c r="AU102" s="685"/>
      <c r="AV102" s="685"/>
      <c r="AW102" s="685"/>
      <c r="AX102" s="685"/>
      <c r="AY102" s="685"/>
    </row>
    <row r="103" spans="1:51">
      <c r="A103" s="685"/>
      <c r="B103" s="1187" t="s">
        <v>360</v>
      </c>
      <c r="C103" s="1202"/>
      <c r="D103" s="1202"/>
      <c r="E103" s="1202"/>
      <c r="F103" s="1202"/>
      <c r="G103" s="1202"/>
      <c r="H103" s="1202"/>
      <c r="I103" s="1202"/>
      <c r="J103" s="1202"/>
      <c r="K103" s="1202"/>
      <c r="L103" s="1202"/>
      <c r="M103" s="1202"/>
      <c r="N103" s="1202"/>
      <c r="O103" s="1202"/>
      <c r="P103" s="1202"/>
      <c r="Q103" s="1202"/>
      <c r="R103" s="1202"/>
      <c r="S103" s="1202"/>
      <c r="T103" s="1202"/>
      <c r="U103" s="1202"/>
      <c r="V103" s="1202"/>
      <c r="W103" s="1202"/>
      <c r="X103" s="1202"/>
      <c r="Y103" s="1202"/>
      <c r="Z103" s="1202"/>
      <c r="AA103" s="1202"/>
      <c r="AB103" s="1202"/>
      <c r="AC103" s="1202"/>
      <c r="AD103" s="685"/>
      <c r="AE103" s="685"/>
      <c r="AF103" s="685"/>
      <c r="AG103" s="685"/>
      <c r="AH103" s="685"/>
      <c r="AI103" s="685"/>
      <c r="AJ103" s="685"/>
      <c r="AK103" s="685"/>
      <c r="AL103" s="685"/>
      <c r="AM103" s="685"/>
      <c r="AN103" s="685"/>
      <c r="AO103" s="685"/>
      <c r="AP103" s="685"/>
      <c r="AQ103" s="685"/>
      <c r="AR103" s="685"/>
      <c r="AS103" s="685"/>
      <c r="AT103" s="685"/>
      <c r="AU103" s="685"/>
      <c r="AV103" s="685"/>
      <c r="AW103" s="685"/>
      <c r="AX103" s="685"/>
      <c r="AY103" s="685"/>
    </row>
    <row r="104" spans="1:51">
      <c r="A104" s="685"/>
      <c r="B104" s="1189" t="str">
        <f>B95</f>
        <v>Content/other</v>
      </c>
      <c r="C104" s="1202"/>
      <c r="D104" s="1202"/>
      <c r="E104" s="1202"/>
      <c r="F104" s="1202"/>
      <c r="G104" s="1202"/>
      <c r="H104" s="1240">
        <f t="shared" ref="H104:O104" si="89">H87/(H56-H51-H52)</f>
        <v>5.3623901449628898E-2</v>
      </c>
      <c r="I104" s="1240">
        <f t="shared" si="89"/>
        <v>4.9366564734554995E-2</v>
      </c>
      <c r="J104" s="1240">
        <f t="shared" si="89"/>
        <v>4.8918224472055474E-2</v>
      </c>
      <c r="K104" s="1240">
        <f t="shared" si="89"/>
        <v>4.4923142765433868E-2</v>
      </c>
      <c r="L104" s="1240">
        <f t="shared" si="89"/>
        <v>5.040257418662851E-2</v>
      </c>
      <c r="M104" s="1240">
        <f t="shared" si="89"/>
        <v>5.7924126796008897E-2</v>
      </c>
      <c r="N104" s="1240">
        <f t="shared" si="89"/>
        <v>6.5589900322995165E-2</v>
      </c>
      <c r="O104" s="1240">
        <f t="shared" si="89"/>
        <v>6.66005568301197E-2</v>
      </c>
      <c r="P104" s="1240">
        <f t="shared" ref="P104:V104" si="90">P87/(P56-P51-P52)</f>
        <v>5.5009992313604907E-2</v>
      </c>
      <c r="Q104" s="1240">
        <f t="shared" si="90"/>
        <v>4.2365641323273355E-2</v>
      </c>
      <c r="R104" s="1240">
        <f t="shared" si="90"/>
        <v>5.5187811156972036E-2</v>
      </c>
      <c r="S104" s="1240">
        <f t="shared" si="90"/>
        <v>1.9351677829703231E-2</v>
      </c>
      <c r="T104" s="1240">
        <f t="shared" si="90"/>
        <v>3.0603143737884881E-2</v>
      </c>
      <c r="U104" s="1240">
        <f t="shared" si="90"/>
        <v>5.0454558871277172E-2</v>
      </c>
      <c r="V104" s="1240">
        <f t="shared" si="90"/>
        <v>0.11104170618682402</v>
      </c>
      <c r="W104" s="1240"/>
      <c r="X104" s="1240"/>
      <c r="Y104" s="1240"/>
      <c r="Z104" s="1240"/>
      <c r="AA104" s="1240"/>
      <c r="AB104" s="1240"/>
      <c r="AC104" s="1240"/>
      <c r="AD104" s="685"/>
      <c r="AE104" s="685"/>
      <c r="AF104" s="685"/>
      <c r="AG104" s="685"/>
      <c r="AH104" s="685"/>
      <c r="AI104" s="685"/>
      <c r="AJ104" s="685"/>
      <c r="AK104" s="685"/>
      <c r="AL104" s="685"/>
      <c r="AM104" s="685"/>
      <c r="AN104" s="685"/>
      <c r="AO104" s="685"/>
      <c r="AP104" s="685"/>
      <c r="AQ104" s="685"/>
      <c r="AR104" s="685"/>
      <c r="AS104" s="685"/>
      <c r="AT104" s="685"/>
      <c r="AU104" s="685"/>
      <c r="AV104" s="685"/>
      <c r="AW104" s="685"/>
      <c r="AX104" s="685"/>
      <c r="AY104" s="685"/>
    </row>
    <row r="105" spans="1:51">
      <c r="A105" s="685"/>
      <c r="B105" s="1189" t="str">
        <f>B96</f>
        <v>Sky</v>
      </c>
      <c r="C105" s="1202"/>
      <c r="D105" s="1202"/>
      <c r="E105" s="1202"/>
      <c r="F105" s="1202"/>
      <c r="G105" s="1202"/>
      <c r="H105" s="1205">
        <f t="shared" ref="H105:X105" si="91">H88/H51</f>
        <v>0.17379136640313442</v>
      </c>
      <c r="I105" s="1205">
        <f t="shared" si="91"/>
        <v>0.49068384274817306</v>
      </c>
      <c r="J105" s="1205">
        <f t="shared" si="91"/>
        <v>0.24084107955638179</v>
      </c>
      <c r="K105" s="1205">
        <f t="shared" si="91"/>
        <v>0.26564906604725763</v>
      </c>
      <c r="L105" s="1205">
        <f t="shared" si="91"/>
        <v>0.31522906145369389</v>
      </c>
      <c r="M105" s="1205">
        <f t="shared" si="91"/>
        <v>0.2957355201874447</v>
      </c>
      <c r="N105" s="1205">
        <f t="shared" si="91"/>
        <v>0.29805448360038433</v>
      </c>
      <c r="O105" s="1205">
        <f t="shared" si="91"/>
        <v>0.29776903724500031</v>
      </c>
      <c r="P105" s="1205">
        <f>P88/P51</f>
        <v>0.18</v>
      </c>
      <c r="Q105" s="1205">
        <f>Q88/Q51</f>
        <v>0.18338332878829197</v>
      </c>
      <c r="R105" s="1205">
        <f t="shared" si="91"/>
        <v>0.18855928233475427</v>
      </c>
      <c r="S105" s="1205">
        <f>S88/S51</f>
        <v>0.24279958617013106</v>
      </c>
      <c r="T105" s="1205">
        <f t="shared" si="91"/>
        <v>0.22480526704405204</v>
      </c>
      <c r="U105" s="1205">
        <f t="shared" si="91"/>
        <v>0.19092585672845272</v>
      </c>
      <c r="V105" s="1205">
        <f t="shared" si="91"/>
        <v>0.15017400996292335</v>
      </c>
      <c r="W105" s="1205">
        <f t="shared" si="91"/>
        <v>0.14371124224572585</v>
      </c>
      <c r="X105" s="1205">
        <f t="shared" si="91"/>
        <v>0.13417422929385361</v>
      </c>
      <c r="Y105" s="1205">
        <f t="shared" ref="Y105:AC106" si="92">Y88/Y51</f>
        <v>0.13404209892323066</v>
      </c>
      <c r="Z105" s="1205">
        <f t="shared" si="92"/>
        <v>0.13405742275366248</v>
      </c>
      <c r="AA105" s="1205">
        <f t="shared" si="92"/>
        <v>0.13410791945122638</v>
      </c>
      <c r="AB105" s="1205">
        <f t="shared" si="92"/>
        <v>0.13419791094126843</v>
      </c>
      <c r="AC105" s="1205">
        <f t="shared" si="92"/>
        <v>0.13433228400351763</v>
      </c>
      <c r="AD105" s="685"/>
      <c r="AE105" s="685"/>
      <c r="AF105" s="685"/>
      <c r="AG105" s="685"/>
      <c r="AH105" s="685"/>
      <c r="AI105" s="685"/>
      <c r="AJ105" s="685"/>
      <c r="AK105" s="685"/>
      <c r="AL105" s="685"/>
      <c r="AM105" s="685"/>
      <c r="AN105" s="685"/>
      <c r="AO105" s="685"/>
      <c r="AP105" s="685"/>
      <c r="AQ105" s="685"/>
      <c r="AR105" s="685"/>
      <c r="AS105" s="685"/>
      <c r="AT105" s="685"/>
      <c r="AU105" s="685"/>
      <c r="AV105" s="685"/>
      <c r="AW105" s="685"/>
      <c r="AX105" s="685"/>
      <c r="AY105" s="685"/>
    </row>
    <row r="106" spans="1:51">
      <c r="A106" s="685"/>
      <c r="B106" s="1252" t="str">
        <f>B97</f>
        <v>Cable and Telecom</v>
      </c>
      <c r="C106" s="1243"/>
      <c r="D106" s="1243"/>
      <c r="E106" s="1243"/>
      <c r="F106" s="1243"/>
      <c r="G106" s="1243"/>
      <c r="H106" s="1253">
        <f t="shared" ref="H106:X106" si="93">H89/H52</f>
        <v>0.34912407890323205</v>
      </c>
      <c r="I106" s="1253">
        <f t="shared" si="93"/>
        <v>0.46824499331313169</v>
      </c>
      <c r="J106" s="1253">
        <f t="shared" si="93"/>
        <v>0.37040644205523848</v>
      </c>
      <c r="K106" s="1253">
        <f t="shared" si="93"/>
        <v>0.38456301700662798</v>
      </c>
      <c r="L106" s="1253">
        <f t="shared" si="93"/>
        <v>0.44663126940042475</v>
      </c>
      <c r="M106" s="1253">
        <f t="shared" si="93"/>
        <v>0.44684098160212443</v>
      </c>
      <c r="N106" s="1253">
        <f t="shared" si="93"/>
        <v>0.60007666305114737</v>
      </c>
      <c r="O106" s="1253">
        <f t="shared" si="93"/>
        <v>0.58172590901679444</v>
      </c>
      <c r="P106" s="1253">
        <f>P89/P52</f>
        <v>0.32008986928104577</v>
      </c>
      <c r="Q106" s="1253">
        <f>Q89/Q52</f>
        <v>0.35330361824855794</v>
      </c>
      <c r="R106" s="1253">
        <f t="shared" si="93"/>
        <v>0.310939523284255</v>
      </c>
      <c r="S106" s="1253">
        <f>S89/S52</f>
        <v>0.31367444690094803</v>
      </c>
      <c r="T106" s="1253">
        <f t="shared" si="93"/>
        <v>0.36096736547868669</v>
      </c>
      <c r="U106" s="1253">
        <f t="shared" si="93"/>
        <v>0.26830336818709483</v>
      </c>
      <c r="V106" s="1253">
        <f t="shared" si="93"/>
        <v>0.22958045182111572</v>
      </c>
      <c r="W106" s="1253">
        <f t="shared" si="93"/>
        <v>0.21750000000000003</v>
      </c>
      <c r="X106" s="1253">
        <f t="shared" si="93"/>
        <v>0.21</v>
      </c>
      <c r="Y106" s="1253">
        <f t="shared" si="92"/>
        <v>0.21250000000000002</v>
      </c>
      <c r="Z106" s="1253">
        <f t="shared" si="92"/>
        <v>0.21</v>
      </c>
      <c r="AA106" s="1253">
        <f t="shared" si="92"/>
        <v>0.20749999999999999</v>
      </c>
      <c r="AB106" s="1253">
        <f t="shared" si="92"/>
        <v>0.20499999999999999</v>
      </c>
      <c r="AC106" s="1253">
        <f t="shared" si="92"/>
        <v>0.20499999999999999</v>
      </c>
      <c r="AD106" s="685"/>
      <c r="AE106" s="685"/>
      <c r="AF106" s="685"/>
      <c r="AG106" s="685"/>
      <c r="AH106" s="685"/>
      <c r="AI106" s="685"/>
      <c r="AJ106" s="685"/>
      <c r="AK106" s="685"/>
      <c r="AL106" s="685"/>
      <c r="AM106" s="685"/>
      <c r="AN106" s="685"/>
      <c r="AO106" s="685"/>
      <c r="AP106" s="685"/>
      <c r="AQ106" s="685"/>
      <c r="AR106" s="685"/>
      <c r="AS106" s="685"/>
      <c r="AT106" s="685"/>
      <c r="AU106" s="685"/>
      <c r="AV106" s="685"/>
      <c r="AW106" s="685"/>
      <c r="AX106" s="685"/>
      <c r="AY106" s="685"/>
    </row>
    <row r="107" spans="1:51">
      <c r="A107" s="685"/>
      <c r="B107" s="1189" t="s">
        <v>98</v>
      </c>
      <c r="C107" s="1202"/>
      <c r="D107" s="1202"/>
      <c r="E107" s="1202"/>
      <c r="F107" s="1202"/>
      <c r="G107" s="1205"/>
      <c r="H107" s="1205">
        <f t="shared" ref="H107:X107" si="94">H90/H56</f>
        <v>0.12875347525409081</v>
      </c>
      <c r="I107" s="1205">
        <f t="shared" si="94"/>
        <v>0.22069886340067202</v>
      </c>
      <c r="J107" s="1205">
        <f t="shared" si="94"/>
        <v>0.1572356047713781</v>
      </c>
      <c r="K107" s="1205">
        <f t="shared" si="94"/>
        <v>0.16732418920947204</v>
      </c>
      <c r="L107" s="1205">
        <f t="shared" si="94"/>
        <v>0.20020066780859042</v>
      </c>
      <c r="M107" s="1205">
        <f t="shared" si="94"/>
        <v>0.21149899398889643</v>
      </c>
      <c r="N107" s="1205">
        <f t="shared" si="94"/>
        <v>0.28934831690364787</v>
      </c>
      <c r="O107" s="1205">
        <f t="shared" si="94"/>
        <v>0.28989338168856987</v>
      </c>
      <c r="P107" s="1205">
        <f>P90/P56</f>
        <v>0.17736229116945104</v>
      </c>
      <c r="Q107" s="1205">
        <f>Q90/Q56</f>
        <v>0.18419652551574375</v>
      </c>
      <c r="R107" s="1205">
        <f t="shared" si="94"/>
        <v>0.18943876141821309</v>
      </c>
      <c r="S107" s="1205">
        <f>S90/S56</f>
        <v>0.20772766251828576</v>
      </c>
      <c r="T107" s="1205">
        <f t="shared" si="94"/>
        <v>0.22517085551461685</v>
      </c>
      <c r="U107" s="1205">
        <f t="shared" si="94"/>
        <v>0.22792181827329708</v>
      </c>
      <c r="V107" s="1205">
        <f t="shared" si="94"/>
        <v>0.19879175088351436</v>
      </c>
      <c r="W107" s="1205">
        <f t="shared" si="94"/>
        <v>0.20009359806838062</v>
      </c>
      <c r="X107" s="1205">
        <f t="shared" si="94"/>
        <v>0.19330028768661098</v>
      </c>
      <c r="Y107" s="1205">
        <f>Y90/Y56</f>
        <v>0.19626508581487964</v>
      </c>
      <c r="Z107" s="1205">
        <f>Z90/Z56</f>
        <v>0.19525415813348559</v>
      </c>
      <c r="AA107" s="1205">
        <f>AA90/AA56</f>
        <v>0.19423533750777855</v>
      </c>
      <c r="AB107" s="1205">
        <f>AB90/AB56</f>
        <v>0.19314025227812726</v>
      </c>
      <c r="AC107" s="1205">
        <f>AC90/AC56</f>
        <v>0.19404306225030921</v>
      </c>
      <c r="AD107" s="685"/>
      <c r="AE107" s="685"/>
      <c r="AF107" s="685"/>
      <c r="AG107" s="685"/>
      <c r="AH107" s="685"/>
      <c r="AI107" s="685"/>
      <c r="AJ107" s="685"/>
      <c r="AK107" s="685"/>
      <c r="AL107" s="685"/>
      <c r="AM107" s="685"/>
      <c r="AN107" s="685"/>
      <c r="AO107" s="685"/>
      <c r="AP107" s="685"/>
      <c r="AQ107" s="685"/>
      <c r="AR107" s="685"/>
      <c r="AS107" s="685"/>
      <c r="AT107" s="685"/>
      <c r="AU107" s="685"/>
      <c r="AV107" s="685"/>
      <c r="AW107" s="685"/>
      <c r="AX107" s="685"/>
      <c r="AY107" s="685"/>
    </row>
    <row r="108" spans="1:51">
      <c r="A108" s="685"/>
      <c r="B108" s="1189"/>
      <c r="C108" s="1202"/>
      <c r="D108" s="1202"/>
      <c r="E108" s="1202"/>
      <c r="F108" s="1202"/>
      <c r="G108" s="1202"/>
      <c r="H108" s="1202"/>
      <c r="I108" s="1202"/>
      <c r="J108" s="1202"/>
      <c r="K108" s="1202"/>
      <c r="L108" s="1202"/>
      <c r="M108" s="1202"/>
      <c r="N108" s="1202"/>
      <c r="O108" s="1202"/>
      <c r="P108" s="1202"/>
      <c r="Q108" s="1202"/>
      <c r="R108" s="1202"/>
      <c r="S108" s="1202"/>
      <c r="T108" s="1202"/>
      <c r="U108" s="1202"/>
      <c r="V108" s="1202"/>
      <c r="W108" s="1202"/>
      <c r="X108" s="1202"/>
      <c r="Y108" s="1202"/>
      <c r="Z108" s="1202"/>
      <c r="AA108" s="1202"/>
      <c r="AB108" s="1202"/>
      <c r="AC108" s="1202"/>
      <c r="AD108" s="685"/>
      <c r="AE108" s="685"/>
      <c r="AF108" s="685"/>
      <c r="AG108" s="685"/>
      <c r="AH108" s="685"/>
      <c r="AI108" s="685"/>
      <c r="AJ108" s="685"/>
      <c r="AK108" s="685"/>
      <c r="AL108" s="685"/>
      <c r="AM108" s="685"/>
      <c r="AN108" s="685"/>
      <c r="AO108" s="685"/>
      <c r="AP108" s="685"/>
      <c r="AQ108" s="685"/>
      <c r="AR108" s="685"/>
      <c r="AS108" s="685"/>
      <c r="AT108" s="685"/>
      <c r="AU108" s="685"/>
      <c r="AV108" s="685"/>
      <c r="AW108" s="685"/>
      <c r="AX108" s="685"/>
      <c r="AY108" s="685"/>
    </row>
    <row r="109" spans="1:51">
      <c r="A109" s="685"/>
      <c r="B109" s="1189"/>
      <c r="C109" s="1202"/>
      <c r="D109" s="1202"/>
      <c r="E109" s="1202"/>
      <c r="F109" s="1202"/>
      <c r="G109" s="1202"/>
      <c r="H109" s="1202"/>
      <c r="I109" s="1202"/>
      <c r="J109" s="1202"/>
      <c r="K109" s="1202"/>
      <c r="L109" s="1202"/>
      <c r="M109" s="1202"/>
      <c r="N109" s="1202"/>
      <c r="O109" s="1202"/>
      <c r="P109" s="1202"/>
      <c r="Q109" s="1202"/>
      <c r="R109" s="1202"/>
      <c r="S109" s="1202"/>
      <c r="T109" s="1202"/>
      <c r="U109" s="1202"/>
      <c r="V109" s="1202"/>
      <c r="W109" s="1662" t="s">
        <v>7711</v>
      </c>
      <c r="X109" s="1660"/>
      <c r="Y109" s="1660"/>
      <c r="Z109" s="1660"/>
      <c r="AA109" s="1202"/>
      <c r="AB109" s="1202"/>
      <c r="AC109" s="1202"/>
      <c r="AD109" s="685"/>
      <c r="AE109" s="685"/>
      <c r="AF109" s="685"/>
      <c r="AG109" s="685"/>
      <c r="AH109" s="685"/>
      <c r="AI109" s="685"/>
      <c r="AJ109" s="685"/>
      <c r="AK109" s="685"/>
      <c r="AL109" s="685"/>
      <c r="AM109" s="685"/>
      <c r="AN109" s="685"/>
      <c r="AO109" s="685"/>
      <c r="AP109" s="685"/>
      <c r="AQ109" s="685"/>
      <c r="AR109" s="685"/>
      <c r="AS109" s="685"/>
      <c r="AT109" s="685"/>
      <c r="AU109" s="685"/>
      <c r="AV109" s="685"/>
      <c r="AW109" s="685"/>
      <c r="AX109" s="685"/>
      <c r="AY109" s="685"/>
    </row>
    <row r="110" spans="1:51">
      <c r="A110" s="685"/>
      <c r="B110" s="1189"/>
      <c r="C110" s="1202"/>
      <c r="D110" s="1202"/>
      <c r="E110" s="1202"/>
      <c r="F110" s="1202"/>
      <c r="G110" s="1202"/>
      <c r="H110" s="1202"/>
      <c r="I110" s="1202"/>
      <c r="J110" s="1202"/>
      <c r="K110" s="1202"/>
      <c r="L110" s="1202"/>
      <c r="M110" s="1202"/>
      <c r="N110" s="1202"/>
      <c r="O110" s="1202"/>
      <c r="P110" s="1202"/>
      <c r="Q110" s="1202"/>
      <c r="R110" s="1202"/>
      <c r="S110" s="1202"/>
      <c r="T110" s="1202"/>
      <c r="U110" s="1202"/>
      <c r="V110" s="1202"/>
      <c r="W110" s="1202"/>
      <c r="X110" s="1202"/>
      <c r="Y110" s="1202"/>
      <c r="Z110" s="1202"/>
      <c r="AA110" s="1202"/>
      <c r="AB110" s="1202"/>
      <c r="AC110" s="1202"/>
      <c r="AD110" s="685"/>
      <c r="AE110" s="685"/>
      <c r="AF110" s="685"/>
      <c r="AG110" s="685"/>
      <c r="AH110" s="685"/>
      <c r="AI110" s="685"/>
      <c r="AJ110" s="685"/>
      <c r="AK110" s="685"/>
      <c r="AL110" s="685"/>
      <c r="AM110" s="685"/>
      <c r="AN110" s="685"/>
      <c r="AO110" s="685"/>
      <c r="AP110" s="685"/>
      <c r="AQ110" s="685"/>
      <c r="AR110" s="685"/>
      <c r="AS110" s="685"/>
      <c r="AT110" s="685"/>
      <c r="AU110" s="685"/>
      <c r="AV110" s="685"/>
      <c r="AW110" s="685"/>
      <c r="AX110" s="685"/>
      <c r="AY110" s="685"/>
    </row>
    <row r="111" spans="1:51">
      <c r="A111" s="685"/>
      <c r="B111" s="1187" t="s">
        <v>203</v>
      </c>
      <c r="C111" s="1202"/>
      <c r="D111" s="1202"/>
      <c r="E111" s="1202"/>
      <c r="F111" s="1202"/>
      <c r="G111" s="1202"/>
      <c r="H111" s="1202"/>
      <c r="I111" s="1202"/>
      <c r="J111" s="1202"/>
      <c r="K111" s="1191"/>
      <c r="L111" s="1197"/>
      <c r="M111" s="1191"/>
      <c r="N111" s="1197"/>
      <c r="O111" s="1191"/>
      <c r="P111" s="1191"/>
      <c r="Q111" s="1191"/>
      <c r="R111" s="1191"/>
      <c r="S111" s="1191"/>
      <c r="T111" s="1191"/>
      <c r="U111" s="1191"/>
      <c r="V111" s="1191"/>
      <c r="W111" s="1191"/>
      <c r="X111" s="1191"/>
      <c r="Y111" s="1191"/>
      <c r="Z111" s="1191"/>
      <c r="AA111" s="1191"/>
      <c r="AB111" s="1191"/>
      <c r="AC111" s="1191"/>
      <c r="AD111" s="685"/>
      <c r="AE111" s="685"/>
      <c r="AF111" s="685"/>
      <c r="AG111" s="685"/>
      <c r="AH111" s="685"/>
      <c r="AI111" s="685"/>
      <c r="AJ111" s="685"/>
      <c r="AK111" s="685"/>
      <c r="AL111" s="685"/>
      <c r="AM111" s="685"/>
      <c r="AN111" s="685"/>
      <c r="AO111" s="685"/>
      <c r="AP111" s="685"/>
      <c r="AQ111" s="685"/>
      <c r="AR111" s="685"/>
      <c r="AS111" s="685"/>
      <c r="AT111" s="685"/>
      <c r="AU111" s="685"/>
      <c r="AV111" s="685"/>
      <c r="AW111" s="685"/>
      <c r="AX111" s="685"/>
      <c r="AY111" s="685"/>
    </row>
    <row r="112" spans="1:51">
      <c r="A112" s="685"/>
      <c r="B112" s="1239" t="str">
        <f>B87</f>
        <v>Content/other</v>
      </c>
      <c r="C112" s="1202"/>
      <c r="D112" s="1202"/>
      <c r="E112" s="1202"/>
      <c r="F112" s="1202"/>
      <c r="G112" s="1202"/>
      <c r="H112" s="1197">
        <f>(H65+H66+H69+(H71+H72)*0.7)-H87</f>
        <v>11058.15</v>
      </c>
      <c r="I112" s="1197">
        <f t="shared" ref="I112:S112" si="95">I65-I87</f>
        <v>12102.32</v>
      </c>
      <c r="J112" s="1197">
        <f t="shared" si="95"/>
        <v>12681.704000000002</v>
      </c>
      <c r="K112" s="1197">
        <f t="shared" si="95"/>
        <v>13647.76</v>
      </c>
      <c r="L112" s="1197">
        <f t="shared" si="95"/>
        <v>13521.847999999998</v>
      </c>
      <c r="M112" s="1197">
        <f t="shared" si="95"/>
        <v>13119.866</v>
      </c>
      <c r="N112" s="1197">
        <f t="shared" si="95"/>
        <v>11920.258000000002</v>
      </c>
      <c r="O112" s="1197">
        <f>O65-O87</f>
        <v>11920.5</v>
      </c>
      <c r="P112" s="1197">
        <f>P65-P87</f>
        <v>10677.960000000001</v>
      </c>
      <c r="Q112" s="1197">
        <f t="shared" si="95"/>
        <v>13030.1</v>
      </c>
      <c r="R112" s="1197">
        <f t="shared" si="95"/>
        <v>10556.85</v>
      </c>
      <c r="S112" s="1197">
        <f t="shared" si="95"/>
        <v>11787.284</v>
      </c>
      <c r="T112" s="1197">
        <f t="shared" ref="T112:AC112" si="96">T65-T87</f>
        <v>12754.58118557492</v>
      </c>
      <c r="U112" s="1197">
        <f t="shared" si="96"/>
        <v>-341.87</v>
      </c>
      <c r="V112" s="1197">
        <f t="shared" si="96"/>
        <v>-819.50999999999988</v>
      </c>
      <c r="W112" s="1197">
        <f t="shared" si="96"/>
        <v>0</v>
      </c>
      <c r="X112" s="1197">
        <f t="shared" si="96"/>
        <v>0</v>
      </c>
      <c r="Y112" s="1197">
        <f t="shared" si="96"/>
        <v>0</v>
      </c>
      <c r="Z112" s="1197">
        <f t="shared" si="96"/>
        <v>0</v>
      </c>
      <c r="AA112" s="1197">
        <f t="shared" si="96"/>
        <v>0</v>
      </c>
      <c r="AB112" s="1197">
        <f t="shared" si="96"/>
        <v>0</v>
      </c>
      <c r="AC112" s="1197">
        <f t="shared" si="96"/>
        <v>0</v>
      </c>
      <c r="AD112" s="685"/>
      <c r="AE112" s="685"/>
      <c r="AF112" s="685"/>
      <c r="AG112" s="685"/>
      <c r="AH112" s="685"/>
      <c r="AI112" s="685"/>
      <c r="AJ112" s="685"/>
      <c r="AK112" s="685"/>
      <c r="AL112" s="685"/>
      <c r="AM112" s="685"/>
      <c r="AN112" s="685"/>
      <c r="AO112" s="685"/>
      <c r="AP112" s="685"/>
      <c r="AQ112" s="685"/>
      <c r="AR112" s="685"/>
      <c r="AS112" s="685"/>
      <c r="AT112" s="685"/>
      <c r="AU112" s="685"/>
      <c r="AV112" s="685"/>
      <c r="AW112" s="685"/>
      <c r="AX112" s="685"/>
      <c r="AY112" s="685"/>
    </row>
    <row r="113" spans="1:51">
      <c r="A113" s="685"/>
      <c r="B113" s="1239" t="str">
        <f>B88</f>
        <v>Sky</v>
      </c>
      <c r="C113" s="1202"/>
      <c r="D113" s="1202"/>
      <c r="E113" s="1202"/>
      <c r="F113" s="1202"/>
      <c r="G113" s="1202"/>
      <c r="H113" s="1197">
        <f>H67+(H71+H72)*0.15-H88</f>
        <v>2641.5</v>
      </c>
      <c r="I113" s="1197">
        <f t="shared" ref="I113:S113" si="97">I67-I88</f>
        <v>-444.3100000000004</v>
      </c>
      <c r="J113" s="1197">
        <f t="shared" si="97"/>
        <v>2784.2960000000003</v>
      </c>
      <c r="K113" s="1197">
        <f t="shared" si="97"/>
        <v>2715.2799999999997</v>
      </c>
      <c r="L113" s="1197">
        <f t="shared" si="97"/>
        <v>2265.848</v>
      </c>
      <c r="M113" s="1197">
        <f t="shared" si="97"/>
        <v>3036.3719999999985</v>
      </c>
      <c r="N113" s="1197">
        <f t="shared" si="97"/>
        <v>3233.7079999999996</v>
      </c>
      <c r="O113" s="1197">
        <f>O67-O88</f>
        <v>3365.0899999999992</v>
      </c>
      <c r="P113" s="1197">
        <f>P67-P88</f>
        <v>6111.5400000000009</v>
      </c>
      <c r="Q113" s="1197">
        <f t="shared" si="97"/>
        <v>5732.2000000000007</v>
      </c>
      <c r="R113" s="1197">
        <f t="shared" si="97"/>
        <v>5095.8250000000007</v>
      </c>
      <c r="S113" s="1197">
        <f t="shared" si="97"/>
        <v>3761.503999999999</v>
      </c>
      <c r="T113" s="1197">
        <f t="shared" ref="T113:AC113" si="98">T67-T88</f>
        <v>3552.5043049274846</v>
      </c>
      <c r="U113" s="1197">
        <f t="shared" si="98"/>
        <v>2533.0889999999999</v>
      </c>
      <c r="V113" s="1197">
        <f t="shared" si="98"/>
        <v>3090.56</v>
      </c>
      <c r="W113" s="1197">
        <f t="shared" si="98"/>
        <v>2670.844533486008</v>
      </c>
      <c r="X113" s="1197">
        <f t="shared" si="98"/>
        <v>2987.7225129939088</v>
      </c>
      <c r="Y113" s="1197">
        <f t="shared" si="98"/>
        <v>2764.3014877715</v>
      </c>
      <c r="Z113" s="1197">
        <f t="shared" si="98"/>
        <v>2572.1414055112373</v>
      </c>
      <c r="AA113" s="1197">
        <f t="shared" si="98"/>
        <v>2389.7335654419367</v>
      </c>
      <c r="AB113" s="1197">
        <f t="shared" si="98"/>
        <v>2216.6580242156847</v>
      </c>
      <c r="AC113" s="1197">
        <f t="shared" si="98"/>
        <v>2052.5035479633057</v>
      </c>
      <c r="AD113" s="685"/>
      <c r="AE113" s="685"/>
      <c r="AF113" s="685"/>
      <c r="AG113" s="685"/>
      <c r="AH113" s="685"/>
      <c r="AI113" s="685"/>
      <c r="AJ113" s="685"/>
      <c r="AK113" s="685"/>
      <c r="AL113" s="685"/>
      <c r="AM113" s="685"/>
      <c r="AN113" s="685"/>
      <c r="AO113" s="685"/>
      <c r="AP113" s="685"/>
      <c r="AQ113" s="685"/>
      <c r="AR113" s="685"/>
      <c r="AS113" s="685"/>
      <c r="AT113" s="685"/>
      <c r="AU113" s="685"/>
      <c r="AV113" s="685"/>
      <c r="AW113" s="685"/>
      <c r="AX113" s="685"/>
      <c r="AY113" s="685"/>
    </row>
    <row r="114" spans="1:51">
      <c r="A114" s="685"/>
      <c r="B114" s="1239" t="str">
        <f>B89</f>
        <v>Cable and Telecom</v>
      </c>
      <c r="C114" s="1202"/>
      <c r="D114" s="1202"/>
      <c r="E114" s="1202"/>
      <c r="F114" s="1202"/>
      <c r="G114" s="1202"/>
      <c r="H114" s="1197">
        <f>H68+(H71+H72)*0.15-H89</f>
        <v>-353.19999999999982</v>
      </c>
      <c r="I114" s="1197">
        <f t="shared" ref="I114:R114" si="99">I68-I89</f>
        <v>-1624.9400000000005</v>
      </c>
      <c r="J114" s="1197">
        <f t="shared" si="99"/>
        <v>-271.63999999999942</v>
      </c>
      <c r="K114" s="1197">
        <f t="shared" si="99"/>
        <v>-175.00000000000091</v>
      </c>
      <c r="L114" s="1197">
        <f t="shared" si="99"/>
        <v>-1522.9239999999991</v>
      </c>
      <c r="M114" s="1197">
        <f t="shared" si="99"/>
        <v>-1472.6990000000005</v>
      </c>
      <c r="N114" s="1197">
        <f t="shared" si="99"/>
        <v>-5689.5640000000003</v>
      </c>
      <c r="O114" s="1197">
        <f>O68-O89</f>
        <v>-5316.0700000000015</v>
      </c>
      <c r="P114" s="1197">
        <f>P68-P89</f>
        <v>3456.67</v>
      </c>
      <c r="Q114" s="1197">
        <f t="shared" si="99"/>
        <v>2501.75</v>
      </c>
      <c r="R114" s="1197">
        <f t="shared" si="99"/>
        <v>4831.1999999999989</v>
      </c>
      <c r="S114" s="1197">
        <f>S68-S89</f>
        <v>4667.7999999999993</v>
      </c>
      <c r="T114" s="1197">
        <f t="shared" ref="T114:AC114" si="100">T68-T89</f>
        <v>2951.0222390845338</v>
      </c>
      <c r="U114" s="1197">
        <f t="shared" si="100"/>
        <v>6913.7510000000002</v>
      </c>
      <c r="V114" s="1197">
        <f t="shared" si="100"/>
        <v>7616.9</v>
      </c>
      <c r="W114" s="1197">
        <f t="shared" si="100"/>
        <v>7564.3875000000007</v>
      </c>
      <c r="X114" s="1197">
        <f t="shared" si="100"/>
        <v>7886.4840000000004</v>
      </c>
      <c r="Y114" s="1197">
        <f t="shared" si="100"/>
        <v>7918.5228412500001</v>
      </c>
      <c r="Z114" s="1197">
        <f t="shared" si="100"/>
        <v>8245.3190220000015</v>
      </c>
      <c r="AA114" s="1197">
        <f t="shared" si="100"/>
        <v>8646.3120759996073</v>
      </c>
      <c r="AB114" s="1197">
        <f t="shared" si="100"/>
        <v>9086.6088909466635</v>
      </c>
      <c r="AC114" s="1197">
        <f t="shared" si="100"/>
        <v>9404.6402021297945</v>
      </c>
      <c r="AD114" s="685"/>
      <c r="AE114" s="685"/>
      <c r="AF114" s="685"/>
      <c r="AG114" s="685"/>
      <c r="AH114" s="685"/>
      <c r="AI114" s="685"/>
      <c r="AJ114" s="685"/>
      <c r="AK114" s="685"/>
      <c r="AL114" s="685"/>
      <c r="AM114" s="685"/>
      <c r="AN114" s="685"/>
      <c r="AO114" s="685"/>
      <c r="AP114" s="685"/>
      <c r="AQ114" s="685"/>
      <c r="AR114" s="685"/>
      <c r="AS114" s="685"/>
      <c r="AT114" s="685"/>
      <c r="AU114" s="685"/>
      <c r="AV114" s="685"/>
      <c r="AW114" s="685"/>
      <c r="AX114" s="685"/>
      <c r="AY114" s="685"/>
    </row>
    <row r="115" spans="1:51">
      <c r="A115" s="685"/>
      <c r="B115" s="1239" t="s">
        <v>44</v>
      </c>
      <c r="C115" s="1202"/>
      <c r="D115" s="1202"/>
      <c r="E115" s="1202"/>
      <c r="F115" s="1202"/>
      <c r="G115" s="1202"/>
      <c r="H115" s="1197"/>
      <c r="I115" s="1197">
        <f>I66+I69+I71+I72</f>
        <v>-1233.9999999999993</v>
      </c>
      <c r="J115" s="1197">
        <f t="shared" ref="J115:S115" si="101">J66+J69+J71+J72</f>
        <v>-1399.5000000000014</v>
      </c>
      <c r="K115" s="1197">
        <f t="shared" si="101"/>
        <v>-1168.2000000000007</v>
      </c>
      <c r="L115" s="1197">
        <f t="shared" si="101"/>
        <v>-832.72310937500026</v>
      </c>
      <c r="M115" s="1197">
        <f t="shared" si="101"/>
        <v>-1620.5999999999976</v>
      </c>
      <c r="N115" s="1197">
        <f t="shared" si="101"/>
        <v>-2566.8000000000002</v>
      </c>
      <c r="O115" s="1197">
        <f>O66+O69+O71+O72</f>
        <v>-4304.7000000000007</v>
      </c>
      <c r="P115" s="1197">
        <f>P66+P69+P71+P72</f>
        <v>-4187</v>
      </c>
      <c r="Q115" s="1197">
        <f t="shared" si="101"/>
        <v>-3352.5</v>
      </c>
      <c r="R115" s="1197">
        <f t="shared" si="101"/>
        <v>-1332.9</v>
      </c>
      <c r="S115" s="1197">
        <f t="shared" si="101"/>
        <v>-1584.6000000000001</v>
      </c>
      <c r="T115" s="1197">
        <f t="shared" ref="T115:AC115" si="102">T66+T69+T71+T72</f>
        <v>1033.3999999999999</v>
      </c>
      <c r="U115" s="1197">
        <f t="shared" si="102"/>
        <v>-783.09999999999991</v>
      </c>
      <c r="V115" s="1197">
        <f t="shared" si="102"/>
        <v>-334.29999999999995</v>
      </c>
      <c r="W115" s="1197">
        <f>W66+W69+W71+W72</f>
        <v>1261.08</v>
      </c>
      <c r="X115" s="1197">
        <f t="shared" si="102"/>
        <v>-1765</v>
      </c>
      <c r="Y115" s="1197">
        <f t="shared" si="102"/>
        <v>-1780.3000000000002</v>
      </c>
      <c r="Z115" s="1197">
        <f t="shared" si="102"/>
        <v>-1795.9059999999999</v>
      </c>
      <c r="AA115" s="1197">
        <f t="shared" si="102"/>
        <v>-1811.8241200000002</v>
      </c>
      <c r="AB115" s="1197">
        <f t="shared" si="102"/>
        <v>-1828.0606024000001</v>
      </c>
      <c r="AC115" s="1197">
        <f t="shared" si="102"/>
        <v>-1844.6218144480001</v>
      </c>
      <c r="AD115" s="685"/>
      <c r="AE115" s="685"/>
      <c r="AF115" s="685"/>
      <c r="AG115" s="685"/>
      <c r="AH115" s="685"/>
      <c r="AI115" s="685"/>
      <c r="AJ115" s="685"/>
      <c r="AK115" s="685"/>
      <c r="AL115" s="685"/>
      <c r="AM115" s="685"/>
      <c r="AN115" s="685"/>
      <c r="AO115" s="685"/>
      <c r="AP115" s="685"/>
      <c r="AQ115" s="685"/>
      <c r="AR115" s="685"/>
      <c r="AS115" s="685"/>
      <c r="AT115" s="685"/>
      <c r="AU115" s="685"/>
      <c r="AV115" s="685"/>
      <c r="AW115" s="685"/>
      <c r="AX115" s="685"/>
      <c r="AY115" s="685"/>
    </row>
    <row r="116" spans="1:51">
      <c r="A116" s="685"/>
      <c r="B116" s="1573" t="s">
        <v>362</v>
      </c>
      <c r="C116" s="1574"/>
      <c r="D116" s="1574"/>
      <c r="E116" s="1574"/>
      <c r="F116" s="1574"/>
      <c r="G116" s="1574"/>
      <c r="H116" s="1294">
        <f>SUM(H112:H114)</f>
        <v>13346.45</v>
      </c>
      <c r="I116" s="1294">
        <f>SUM(I112:I115)</f>
        <v>8799.0699999999979</v>
      </c>
      <c r="J116" s="1294">
        <f t="shared" ref="J116:S116" si="103">SUM(J112:J115)</f>
        <v>13794.86</v>
      </c>
      <c r="K116" s="1294">
        <f t="shared" si="103"/>
        <v>15019.84</v>
      </c>
      <c r="L116" s="1294">
        <f t="shared" si="103"/>
        <v>13432.048890624999</v>
      </c>
      <c r="M116" s="1294">
        <f t="shared" si="103"/>
        <v>13062.938999999998</v>
      </c>
      <c r="N116" s="1294">
        <f t="shared" si="103"/>
        <v>6897.6019999999999</v>
      </c>
      <c r="O116" s="1294">
        <f>SUM(O112:O115)</f>
        <v>5664.8199999999979</v>
      </c>
      <c r="P116" s="1294">
        <f>SUM(P112:P115)</f>
        <v>16059.169999999998</v>
      </c>
      <c r="Q116" s="1294">
        <f t="shared" si="103"/>
        <v>17911.550000000003</v>
      </c>
      <c r="R116" s="1294">
        <f t="shared" si="103"/>
        <v>19150.974999999999</v>
      </c>
      <c r="S116" s="1294">
        <f t="shared" si="103"/>
        <v>18631.987999999998</v>
      </c>
      <c r="T116" s="1294">
        <f t="shared" ref="T116:AC116" si="104">SUM(T112:T115)</f>
        <v>20291.507729586941</v>
      </c>
      <c r="U116" s="1294">
        <f t="shared" si="104"/>
        <v>8321.8700000000008</v>
      </c>
      <c r="V116" s="1294">
        <f t="shared" si="104"/>
        <v>9553.6500000000015</v>
      </c>
      <c r="W116" s="1294">
        <f t="shared" si="104"/>
        <v>11496.312033486009</v>
      </c>
      <c r="X116" s="1294">
        <f t="shared" si="104"/>
        <v>9109.2065129939092</v>
      </c>
      <c r="Y116" s="1294">
        <f t="shared" si="104"/>
        <v>8902.5243290215003</v>
      </c>
      <c r="Z116" s="1294">
        <f t="shared" si="104"/>
        <v>9021.5544275112406</v>
      </c>
      <c r="AA116" s="1294">
        <f t="shared" si="104"/>
        <v>9224.2215214415446</v>
      </c>
      <c r="AB116" s="1294">
        <f t="shared" si="104"/>
        <v>9475.2063127623478</v>
      </c>
      <c r="AC116" s="1294">
        <f t="shared" si="104"/>
        <v>9612.5219356450998</v>
      </c>
      <c r="AD116" s="1254"/>
      <c r="AE116" s="685"/>
      <c r="AF116" s="685"/>
      <c r="AG116" s="685"/>
      <c r="AH116" s="685"/>
      <c r="AI116" s="685"/>
      <c r="AJ116" s="685"/>
      <c r="AK116" s="685"/>
      <c r="AL116" s="685"/>
      <c r="AM116" s="685"/>
      <c r="AN116" s="685"/>
      <c r="AO116" s="685"/>
      <c r="AP116" s="685"/>
      <c r="AQ116" s="685"/>
      <c r="AR116" s="685"/>
      <c r="AS116" s="685"/>
      <c r="AT116" s="685"/>
      <c r="AU116" s="685"/>
      <c r="AV116" s="685"/>
      <c r="AW116" s="685"/>
      <c r="AX116" s="685"/>
      <c r="AY116" s="685"/>
    </row>
    <row r="117" spans="1:51">
      <c r="A117" s="685"/>
      <c r="B117" s="1239"/>
      <c r="C117" s="1202"/>
      <c r="D117" s="1202"/>
      <c r="E117" s="1202"/>
      <c r="F117" s="1202"/>
      <c r="G117" s="1202"/>
      <c r="H117" s="1197"/>
      <c r="I117" s="1198"/>
      <c r="J117" s="1198"/>
      <c r="K117" s="1198"/>
      <c r="L117" s="1198"/>
      <c r="M117" s="1198"/>
      <c r="N117" s="1198"/>
      <c r="O117" s="1197"/>
      <c r="P117" s="1197"/>
      <c r="Q117" s="1198"/>
      <c r="R117" s="1197"/>
      <c r="S117" s="1197"/>
      <c r="T117" s="1197"/>
      <c r="U117" s="1197"/>
      <c r="V117" s="1197"/>
      <c r="W117" s="1197"/>
      <c r="X117" s="1197"/>
      <c r="Y117" s="1197"/>
      <c r="Z117" s="1197"/>
      <c r="AA117" s="1197"/>
      <c r="AB117" s="1197"/>
      <c r="AC117" s="1197"/>
      <c r="AD117" s="685"/>
      <c r="AE117" s="685"/>
      <c r="AF117" s="685"/>
      <c r="AG117" s="685"/>
      <c r="AH117" s="685"/>
      <c r="AI117" s="685"/>
      <c r="AJ117" s="685"/>
      <c r="AK117" s="685"/>
      <c r="AL117" s="685"/>
      <c r="AM117" s="685"/>
      <c r="AN117" s="685"/>
      <c r="AO117" s="685"/>
      <c r="AP117" s="685"/>
      <c r="AQ117" s="685"/>
      <c r="AR117" s="685"/>
      <c r="AS117" s="685"/>
      <c r="AT117" s="685"/>
      <c r="AU117" s="685"/>
      <c r="AV117" s="685"/>
      <c r="AW117" s="685"/>
      <c r="AX117" s="685"/>
      <c r="AY117" s="685"/>
    </row>
    <row r="118" spans="1:51">
      <c r="A118" s="685"/>
      <c r="B118" s="1239" t="s">
        <v>1942</v>
      </c>
      <c r="C118" s="1202"/>
      <c r="D118" s="1202"/>
      <c r="E118" s="1202"/>
      <c r="F118" s="1202"/>
      <c r="G118" s="1202"/>
      <c r="H118" s="1197">
        <f>H116/H92</f>
        <v>988.62592592592603</v>
      </c>
      <c r="I118" s="1197">
        <f t="shared" ref="I118:S118" si="105">I116/I92</f>
        <v>696.68012668250174</v>
      </c>
      <c r="J118" s="1197">
        <f t="shared" si="105"/>
        <v>1108.911575562701</v>
      </c>
      <c r="K118" s="1197">
        <f t="shared" si="105"/>
        <v>1141.3252279635258</v>
      </c>
      <c r="L118" s="1197">
        <f t="shared" si="105"/>
        <v>1052.6684083561911</v>
      </c>
      <c r="M118" s="1197">
        <f t="shared" si="105"/>
        <v>981.43794139744534</v>
      </c>
      <c r="N118" s="1197">
        <f t="shared" si="105"/>
        <v>434.63150598613737</v>
      </c>
      <c r="O118" s="1197">
        <f t="shared" si="105"/>
        <v>300.52095490716169</v>
      </c>
      <c r="P118" s="1197">
        <f t="shared" si="105"/>
        <v>849.69153439153433</v>
      </c>
      <c r="Q118" s="1197">
        <f t="shared" si="105"/>
        <v>930.47012987012999</v>
      </c>
      <c r="R118" s="1197">
        <f t="shared" si="105"/>
        <v>994.85584415584412</v>
      </c>
      <c r="S118" s="1197">
        <f t="shared" si="105"/>
        <v>867.41098696461813</v>
      </c>
      <c r="T118" s="1197">
        <f t="shared" ref="T118:AC118" si="106">T116/T92</f>
        <v>1000.2951194519304</v>
      </c>
      <c r="U118" s="1197">
        <f t="shared" si="106"/>
        <v>413.8175037294879</v>
      </c>
      <c r="V118" s="1197">
        <f t="shared" si="106"/>
        <v>539.75423728813564</v>
      </c>
      <c r="W118" s="1197">
        <f t="shared" si="106"/>
        <v>674.82460868079409</v>
      </c>
      <c r="X118" s="1197">
        <f t="shared" si="106"/>
        <v>527.42785669584327</v>
      </c>
      <c r="Y118" s="1197">
        <f t="shared" si="106"/>
        <v>505.35377386673917</v>
      </c>
      <c r="Z118" s="1197">
        <f t="shared" si="106"/>
        <v>502.06916067182738</v>
      </c>
      <c r="AA118" s="1197">
        <f t="shared" si="106"/>
        <v>503.28237846470307</v>
      </c>
      <c r="AB118" s="1197">
        <f t="shared" si="106"/>
        <v>506.83955837548774</v>
      </c>
      <c r="AC118" s="1197">
        <f t="shared" si="106"/>
        <v>504.1026736888233</v>
      </c>
      <c r="AD118" s="685"/>
      <c r="AE118" s="685"/>
      <c r="AF118" s="685"/>
      <c r="AG118" s="685"/>
      <c r="AH118" s="685"/>
      <c r="AI118" s="685"/>
      <c r="AJ118" s="685"/>
      <c r="AK118" s="685"/>
      <c r="AL118" s="685"/>
      <c r="AM118" s="685"/>
      <c r="AN118" s="685"/>
      <c r="AO118" s="685"/>
      <c r="AP118" s="685"/>
      <c r="AQ118" s="685"/>
      <c r="AR118" s="685"/>
      <c r="AS118" s="685"/>
      <c r="AT118" s="685"/>
      <c r="AU118" s="685"/>
      <c r="AV118" s="685"/>
      <c r="AW118" s="685"/>
      <c r="AX118" s="685"/>
      <c r="AY118" s="685"/>
    </row>
    <row r="119" spans="1:51">
      <c r="A119" s="685"/>
      <c r="B119" s="1239"/>
      <c r="C119" s="1202"/>
      <c r="D119" s="1202"/>
      <c r="E119" s="1202"/>
      <c r="F119" s="1202"/>
      <c r="G119" s="1202"/>
      <c r="H119" s="1197"/>
      <c r="I119" s="1197"/>
      <c r="J119" s="1197"/>
      <c r="K119" s="1198"/>
      <c r="L119" s="1197"/>
      <c r="M119" s="1197"/>
      <c r="N119" s="1197"/>
      <c r="O119" s="1197"/>
      <c r="P119" s="1197"/>
      <c r="Q119" s="1197"/>
      <c r="R119" s="1197"/>
      <c r="S119" s="1197"/>
      <c r="T119" s="1197"/>
      <c r="U119" s="1197"/>
      <c r="V119" s="1197"/>
      <c r="W119" s="1197"/>
      <c r="X119" s="1197"/>
      <c r="Y119" s="1197"/>
      <c r="Z119" s="1197"/>
      <c r="AA119" s="1197"/>
      <c r="AB119" s="1197"/>
      <c r="AC119" s="1197"/>
      <c r="AD119" s="685"/>
      <c r="AE119" s="685"/>
      <c r="AF119" s="685"/>
      <c r="AG119" s="685"/>
      <c r="AH119" s="685"/>
      <c r="AI119" s="685"/>
      <c r="AJ119" s="685"/>
      <c r="AK119" s="685"/>
      <c r="AL119" s="685"/>
      <c r="AM119" s="685"/>
      <c r="AN119" s="685"/>
      <c r="AO119" s="685"/>
      <c r="AP119" s="685"/>
      <c r="AQ119" s="685"/>
      <c r="AR119" s="685"/>
      <c r="AS119" s="685"/>
      <c r="AT119" s="685"/>
      <c r="AU119" s="685"/>
      <c r="AV119" s="685"/>
      <c r="AW119" s="685"/>
      <c r="AX119" s="685"/>
      <c r="AY119" s="685"/>
    </row>
    <row r="120" spans="1:51">
      <c r="A120" s="685"/>
      <c r="B120" s="1255" t="s">
        <v>643</v>
      </c>
      <c r="C120" s="1202"/>
      <c r="D120" s="1202"/>
      <c r="E120" s="1202"/>
      <c r="F120" s="1202"/>
      <c r="G120" s="1202"/>
      <c r="H120" s="1197"/>
      <c r="I120" s="1197"/>
      <c r="J120" s="1197"/>
      <c r="K120" s="1197"/>
      <c r="L120" s="1197"/>
      <c r="M120" s="1197"/>
      <c r="N120" s="1197"/>
      <c r="O120" s="1197"/>
      <c r="P120" s="1197"/>
      <c r="Q120" s="1197"/>
      <c r="R120" s="1197"/>
      <c r="S120" s="1197"/>
      <c r="T120" s="1197"/>
      <c r="U120" s="1197"/>
      <c r="V120" s="1197"/>
      <c r="W120" s="1197"/>
      <c r="X120" s="1197"/>
      <c r="Y120" s="1197"/>
      <c r="Z120" s="1197"/>
      <c r="AA120" s="1197"/>
      <c r="AB120" s="1197"/>
      <c r="AC120" s="1197"/>
      <c r="AD120" s="685"/>
      <c r="AE120" s="685"/>
      <c r="AF120" s="685"/>
      <c r="AG120" s="685"/>
      <c r="AH120" s="685"/>
      <c r="AI120" s="685"/>
      <c r="AJ120" s="685"/>
      <c r="AK120" s="685"/>
      <c r="AL120" s="685"/>
      <c r="AM120" s="685"/>
      <c r="AN120" s="685"/>
      <c r="AO120" s="685"/>
      <c r="AP120" s="685"/>
      <c r="AQ120" s="685"/>
      <c r="AR120" s="685"/>
      <c r="AS120" s="685"/>
      <c r="AT120" s="685"/>
      <c r="AU120" s="685"/>
      <c r="AV120" s="685"/>
      <c r="AW120" s="685"/>
      <c r="AX120" s="685"/>
      <c r="AY120" s="685"/>
    </row>
    <row r="121" spans="1:51">
      <c r="A121" s="685"/>
      <c r="B121" s="1239" t="str">
        <f>B112</f>
        <v>Content/other</v>
      </c>
      <c r="C121" s="1202"/>
      <c r="D121" s="1202"/>
      <c r="E121" s="1202"/>
      <c r="F121" s="1202"/>
      <c r="G121" s="1202"/>
      <c r="H121" s="1191">
        <f t="shared" ref="H121:X121" si="107">H112/(H56-H52-H51)</f>
        <v>0.33402683893266522</v>
      </c>
      <c r="I121" s="1191">
        <f t="shared" si="107"/>
        <v>0.34782378773595757</v>
      </c>
      <c r="J121" s="1191">
        <f t="shared" si="107"/>
        <v>0.34775931049801323</v>
      </c>
      <c r="K121" s="1191">
        <f t="shared" si="107"/>
        <v>0.34767288419701137</v>
      </c>
      <c r="L121" s="1191">
        <f t="shared" si="107"/>
        <v>0.33340766584887743</v>
      </c>
      <c r="M121" s="1191">
        <f t="shared" si="107"/>
        <v>0.31475566601971561</v>
      </c>
      <c r="N121" s="1191">
        <f t="shared" si="107"/>
        <v>0.29571319417914083</v>
      </c>
      <c r="O121" s="1191">
        <f t="shared" si="107"/>
        <v>0.28078229449812275</v>
      </c>
      <c r="P121" s="1191">
        <f t="shared" si="107"/>
        <v>0.27358339738662568</v>
      </c>
      <c r="Q121" s="1191">
        <f t="shared" si="107"/>
        <v>0.30249796865931516</v>
      </c>
      <c r="R121" s="1191">
        <f t="shared" si="107"/>
        <v>0.2807553401982894</v>
      </c>
      <c r="S121" s="1191">
        <f t="shared" si="107"/>
        <v>0.39772861167816709</v>
      </c>
      <c r="T121" s="1191">
        <f t="shared" si="107"/>
        <v>0.38102607629061458</v>
      </c>
      <c r="U121" s="1191">
        <f t="shared" si="107"/>
        <v>-5.0454558871277172E-2</v>
      </c>
      <c r="V121" s="1191">
        <f t="shared" si="107"/>
        <v>-0.11104170618682407</v>
      </c>
      <c r="W121" s="1191">
        <f t="shared" si="107"/>
        <v>0</v>
      </c>
      <c r="X121" s="1191">
        <f t="shared" si="107"/>
        <v>0</v>
      </c>
      <c r="Y121" s="1191">
        <f>Y112/(Y56-Y52-Y51)</f>
        <v>0</v>
      </c>
      <c r="Z121" s="1191">
        <f>Z112/(Z56-Z52-Z51)</f>
        <v>0</v>
      </c>
      <c r="AA121" s="1191">
        <f>AA112/(AA56-AA52-AA51)</f>
        <v>0</v>
      </c>
      <c r="AB121" s="1191">
        <f>AB112/(AB56-AB52-AB51)</f>
        <v>0</v>
      </c>
      <c r="AC121" s="1191">
        <f>AC112/(AC56-AC52-AC51)</f>
        <v>0</v>
      </c>
      <c r="AD121" s="685"/>
      <c r="AE121" s="685"/>
      <c r="AF121" s="685"/>
      <c r="AG121" s="685"/>
      <c r="AH121" s="685"/>
      <c r="AI121" s="685"/>
      <c r="AJ121" s="685"/>
      <c r="AK121" s="685"/>
      <c r="AL121" s="685"/>
      <c r="AM121" s="685"/>
      <c r="AN121" s="685"/>
      <c r="AO121" s="685"/>
      <c r="AP121" s="685"/>
      <c r="AQ121" s="685"/>
      <c r="AR121" s="685"/>
      <c r="AS121" s="685"/>
      <c r="AT121" s="685"/>
      <c r="AU121" s="685"/>
      <c r="AV121" s="685"/>
      <c r="AW121" s="685"/>
      <c r="AX121" s="685"/>
      <c r="AY121" s="685"/>
    </row>
    <row r="122" spans="1:51">
      <c r="A122" s="685"/>
      <c r="B122" s="1239" t="str">
        <f>B113</f>
        <v>Sky</v>
      </c>
      <c r="C122" s="1202"/>
      <c r="D122" s="1202"/>
      <c r="E122" s="1202"/>
      <c r="F122" s="1202"/>
      <c r="G122" s="1202"/>
      <c r="H122" s="1191">
        <f t="shared" ref="H122:X122" si="108">H113/H51</f>
        <v>0.26401535217039307</v>
      </c>
      <c r="I122" s="1191">
        <f t="shared" si="108"/>
        <v>-3.9500542308991693E-2</v>
      </c>
      <c r="J122" s="1191">
        <f t="shared" si="108"/>
        <v>0.22311494326559395</v>
      </c>
      <c r="K122" s="1191">
        <f t="shared" si="108"/>
        <v>0.18770860121393115</v>
      </c>
      <c r="L122" s="1191">
        <f t="shared" si="108"/>
        <v>0.14075076250287297</v>
      </c>
      <c r="M122" s="1191">
        <f t="shared" si="108"/>
        <v>0.17352184472954815</v>
      </c>
      <c r="N122" s="1191">
        <f t="shared" si="108"/>
        <v>0.16795429402446307</v>
      </c>
      <c r="O122" s="1191">
        <f t="shared" si="108"/>
        <v>0.15336854866643571</v>
      </c>
      <c r="P122" s="1191">
        <f t="shared" si="108"/>
        <v>0.27533180159481013</v>
      </c>
      <c r="Q122" s="1191">
        <f t="shared" si="108"/>
        <v>0.2605308608308336</v>
      </c>
      <c r="R122" s="1191">
        <f t="shared" si="108"/>
        <v>0.23871387080151782</v>
      </c>
      <c r="S122" s="1191">
        <f t="shared" si="108"/>
        <v>0.16993697678306002</v>
      </c>
      <c r="T122" s="1191">
        <f t="shared" si="108"/>
        <v>0.16128246324568862</v>
      </c>
      <c r="U122" s="1191">
        <f t="shared" si="108"/>
        <v>0.12454343871380107</v>
      </c>
      <c r="V122" s="1191">
        <f t="shared" si="108"/>
        <v>0.17574778791256282</v>
      </c>
      <c r="W122" s="1191">
        <f t="shared" si="108"/>
        <v>0.17044696927073164</v>
      </c>
      <c r="X122" s="1191">
        <f t="shared" si="108"/>
        <v>0.20645709661529127</v>
      </c>
      <c r="Y122" s="1191">
        <f t="shared" ref="Y122:AC123" si="109">Y113/Y51</f>
        <v>0.20251994557504585</v>
      </c>
      <c r="Z122" s="1191">
        <f t="shared" si="109"/>
        <v>0.19846885153643401</v>
      </c>
      <c r="AA122" s="1191">
        <f t="shared" si="109"/>
        <v>0.19434811711539013</v>
      </c>
      <c r="AB122" s="1191">
        <f t="shared" si="109"/>
        <v>0.19015346149849835</v>
      </c>
      <c r="AC122" s="1191">
        <f t="shared" si="109"/>
        <v>0.1858792638406925</v>
      </c>
      <c r="AD122" s="685"/>
      <c r="AE122" s="685"/>
      <c r="AF122" s="685"/>
      <c r="AG122" s="685"/>
      <c r="AH122" s="685"/>
      <c r="AI122" s="685"/>
      <c r="AJ122" s="685"/>
      <c r="AK122" s="685"/>
      <c r="AL122" s="685"/>
      <c r="AM122" s="685"/>
      <c r="AN122" s="685"/>
      <c r="AO122" s="685"/>
      <c r="AP122" s="685"/>
      <c r="AQ122" s="685"/>
      <c r="AR122" s="685"/>
      <c r="AS122" s="685"/>
      <c r="AT122" s="685"/>
      <c r="AU122" s="685"/>
      <c r="AV122" s="685"/>
      <c r="AW122" s="685"/>
      <c r="AX122" s="685"/>
      <c r="AY122" s="685"/>
    </row>
    <row r="123" spans="1:51">
      <c r="A123" s="685"/>
      <c r="B123" s="1242" t="str">
        <f>B114</f>
        <v>Cable and Telecom</v>
      </c>
      <c r="C123" s="1243"/>
      <c r="D123" s="1243"/>
      <c r="E123" s="1243"/>
      <c r="F123" s="1243"/>
      <c r="G123" s="1243"/>
      <c r="H123" s="1256">
        <f t="shared" ref="H123:X123" si="110">H114/H52</f>
        <v>-3.8218076760769097E-2</v>
      </c>
      <c r="I123" s="1256">
        <f t="shared" si="110"/>
        <v>-0.13754126390276111</v>
      </c>
      <c r="J123" s="1256">
        <f t="shared" si="110"/>
        <v>-1.992167446499548E-2</v>
      </c>
      <c r="K123" s="1256">
        <f t="shared" si="110"/>
        <v>-1.1239274520885842E-2</v>
      </c>
      <c r="L123" s="1256">
        <f t="shared" si="110"/>
        <v>-8.8858263122272227E-2</v>
      </c>
      <c r="M123" s="1256">
        <f t="shared" si="110"/>
        <v>-7.0338870527100111E-2</v>
      </c>
      <c r="N123" s="1256">
        <f t="shared" si="110"/>
        <v>-0.19971581315838433</v>
      </c>
      <c r="O123" s="1256">
        <f t="shared" si="110"/>
        <v>-0.16669185616275137</v>
      </c>
      <c r="P123" s="1256">
        <f t="shared" si="110"/>
        <v>0.10459543694020819</v>
      </c>
      <c r="Q123" s="1256">
        <f t="shared" si="110"/>
        <v>6.9046173377859968E-2</v>
      </c>
      <c r="R123" s="1256">
        <f t="shared" si="110"/>
        <v>0.11585055872620016</v>
      </c>
      <c r="S123" s="1256">
        <f t="shared" si="110"/>
        <v>0.10288953889492605</v>
      </c>
      <c r="T123" s="1256">
        <f t="shared" si="110"/>
        <v>6.14528723760807E-2</v>
      </c>
      <c r="U123" s="1256">
        <f t="shared" si="110"/>
        <v>0.14281127741583663</v>
      </c>
      <c r="V123" s="1256">
        <f t="shared" si="110"/>
        <v>0.15607602069566107</v>
      </c>
      <c r="W123" s="1256">
        <f t="shared" si="110"/>
        <v>0.15500000000000003</v>
      </c>
      <c r="X123" s="1256">
        <f t="shared" si="110"/>
        <v>0.16</v>
      </c>
      <c r="Y123" s="1256">
        <f t="shared" si="109"/>
        <v>0.1575</v>
      </c>
      <c r="Z123" s="1256">
        <f t="shared" si="109"/>
        <v>0.16000000000000006</v>
      </c>
      <c r="AA123" s="1256">
        <f t="shared" si="109"/>
        <v>0.16250000000000001</v>
      </c>
      <c r="AB123" s="1256">
        <f t="shared" si="109"/>
        <v>0.16500000000000001</v>
      </c>
      <c r="AC123" s="1256">
        <f t="shared" si="109"/>
        <v>0.16499999999999998</v>
      </c>
      <c r="AD123" s="685"/>
      <c r="AE123" s="685"/>
      <c r="AF123" s="685"/>
      <c r="AG123" s="685"/>
      <c r="AH123" s="685"/>
      <c r="AI123" s="685"/>
      <c r="AJ123" s="685"/>
      <c r="AK123" s="685"/>
      <c r="AL123" s="685"/>
      <c r="AM123" s="685"/>
      <c r="AN123" s="685"/>
      <c r="AO123" s="685"/>
      <c r="AP123" s="685"/>
      <c r="AQ123" s="685"/>
      <c r="AR123" s="685"/>
      <c r="AS123" s="685"/>
      <c r="AT123" s="685"/>
      <c r="AU123" s="685"/>
      <c r="AV123" s="685"/>
      <c r="AW123" s="685"/>
      <c r="AX123" s="685"/>
      <c r="AY123" s="685"/>
    </row>
    <row r="124" spans="1:51">
      <c r="A124" s="685"/>
      <c r="B124" s="1239" t="str">
        <f>B116</f>
        <v>Group OpFCF</v>
      </c>
      <c r="C124" s="1202"/>
      <c r="D124" s="1202"/>
      <c r="E124" s="1202"/>
      <c r="F124" s="1202"/>
      <c r="G124" s="1202"/>
      <c r="H124" s="1191">
        <f t="shared" ref="H124:X124" si="111">H116/H56</f>
        <v>0.25493495631735696</v>
      </c>
      <c r="I124" s="1191">
        <f t="shared" si="111"/>
        <v>0.15208359259412893</v>
      </c>
      <c r="J124" s="1191">
        <f t="shared" si="111"/>
        <v>0.22043031886420106</v>
      </c>
      <c r="K124" s="1191">
        <f t="shared" si="111"/>
        <v>0.2167665362012631</v>
      </c>
      <c r="L124" s="1191">
        <f t="shared" si="111"/>
        <v>0.18202186762300523</v>
      </c>
      <c r="M124" s="1191">
        <f t="shared" si="111"/>
        <v>0.16304543026321044</v>
      </c>
      <c r="N124" s="1191">
        <f t="shared" si="111"/>
        <v>7.8335551719438512E-2</v>
      </c>
      <c r="O124" s="1191">
        <f t="shared" si="111"/>
        <v>5.8832412132843945E-2</v>
      </c>
      <c r="P124" s="1191">
        <f t="shared" si="111"/>
        <v>0.17034388756298063</v>
      </c>
      <c r="Q124" s="1191">
        <f t="shared" si="111"/>
        <v>0.17679942749975325</v>
      </c>
      <c r="R124" s="1191">
        <f t="shared" si="111"/>
        <v>0.19027184139985254</v>
      </c>
      <c r="S124" s="1191">
        <f t="shared" si="111"/>
        <v>0.19180887456338022</v>
      </c>
      <c r="T124" s="1191">
        <f t="shared" si="111"/>
        <v>0.19601192917421201</v>
      </c>
      <c r="U124" s="1191">
        <f t="shared" si="111"/>
        <v>0.11018462369549271</v>
      </c>
      <c r="V124" s="1191">
        <f t="shared" si="111"/>
        <v>0.12950958343669808</v>
      </c>
      <c r="W124" s="1191">
        <f t="shared" si="111"/>
        <v>0.17878580798862612</v>
      </c>
      <c r="X124" s="1191">
        <f t="shared" si="111"/>
        <v>0.14324049410474302</v>
      </c>
      <c r="Y124" s="1191">
        <f>Y116/Y56</f>
        <v>0.13963144457571547</v>
      </c>
      <c r="Z124" s="1191">
        <f>Z116/Z56</f>
        <v>0.14025369667189086</v>
      </c>
      <c r="AA124" s="1191">
        <f>AA116/AA56</f>
        <v>0.14119102011674148</v>
      </c>
      <c r="AB124" s="1191">
        <f>AB116/AB56</f>
        <v>0.14237379855542059</v>
      </c>
      <c r="AC124" s="1191">
        <f>AC116/AC56</f>
        <v>0.1416511164578611</v>
      </c>
      <c r="AD124" s="685"/>
      <c r="AE124" s="685"/>
      <c r="AF124" s="685"/>
      <c r="AG124" s="685"/>
      <c r="AH124" s="685"/>
      <c r="AI124" s="685"/>
      <c r="AJ124" s="685"/>
      <c r="AK124" s="685"/>
      <c r="AL124" s="685"/>
      <c r="AM124" s="685"/>
      <c r="AN124" s="685"/>
      <c r="AO124" s="685"/>
      <c r="AP124" s="685"/>
      <c r="AQ124" s="685"/>
      <c r="AR124" s="685"/>
      <c r="AS124" s="685"/>
      <c r="AT124" s="685"/>
      <c r="AU124" s="685"/>
      <c r="AV124" s="685"/>
      <c r="AW124" s="685"/>
      <c r="AX124" s="685"/>
      <c r="AY124" s="685"/>
    </row>
    <row r="125" spans="1:51">
      <c r="A125" s="685"/>
      <c r="B125" s="1189"/>
      <c r="C125" s="1257"/>
      <c r="D125" s="1257"/>
      <c r="E125" s="1257"/>
      <c r="F125" s="1257"/>
      <c r="G125" s="1257"/>
      <c r="H125" s="1257"/>
      <c r="I125" s="1257"/>
      <c r="J125" s="1257"/>
      <c r="K125" s="1257"/>
      <c r="L125" s="1257"/>
      <c r="M125" s="1257"/>
      <c r="N125" s="1257"/>
      <c r="O125" s="1257"/>
      <c r="P125" s="1257"/>
      <c r="Q125" s="1257"/>
      <c r="R125" s="1257"/>
      <c r="S125" s="1257"/>
      <c r="T125" s="1257"/>
      <c r="U125" s="1257"/>
      <c r="V125" s="1257"/>
      <c r="W125" s="1257"/>
      <c r="X125" s="1257"/>
      <c r="Y125" s="1257"/>
      <c r="Z125" s="1257"/>
      <c r="AA125" s="1257"/>
      <c r="AB125" s="1257"/>
      <c r="AC125" s="1257"/>
      <c r="AD125" s="685"/>
      <c r="AE125" s="685"/>
      <c r="AF125" s="685"/>
      <c r="AG125" s="685"/>
      <c r="AH125" s="685"/>
      <c r="AI125" s="685"/>
      <c r="AJ125" s="685"/>
      <c r="AK125" s="685"/>
      <c r="AL125" s="685"/>
      <c r="AM125" s="685"/>
      <c r="AN125" s="685"/>
      <c r="AO125" s="685"/>
      <c r="AP125" s="685"/>
      <c r="AQ125" s="685"/>
      <c r="AR125" s="685"/>
      <c r="AS125" s="685"/>
      <c r="AT125" s="685"/>
      <c r="AU125" s="685"/>
      <c r="AV125" s="685"/>
      <c r="AW125" s="685"/>
      <c r="AX125" s="685"/>
      <c r="AY125" s="685"/>
    </row>
    <row r="126" spans="1:51">
      <c r="A126" s="685"/>
      <c r="B126" s="1189"/>
      <c r="C126" s="1257"/>
      <c r="D126" s="1257"/>
      <c r="E126" s="1257"/>
      <c r="F126" s="1257"/>
      <c r="G126" s="1257"/>
      <c r="H126" s="1257"/>
      <c r="I126" s="1257"/>
      <c r="J126" s="1257"/>
      <c r="K126" s="1257"/>
      <c r="L126" s="1257"/>
      <c r="M126" s="1257"/>
      <c r="N126" s="1257"/>
      <c r="O126" s="1257"/>
      <c r="P126" s="1257"/>
      <c r="Q126" s="1257"/>
      <c r="R126" s="1257"/>
      <c r="S126" s="1257"/>
      <c r="T126" s="1257"/>
      <c r="U126" s="1257"/>
      <c r="V126" s="1257"/>
      <c r="W126" s="1257"/>
      <c r="X126" s="1257"/>
      <c r="Y126" s="1257"/>
      <c r="Z126" s="1257"/>
      <c r="AA126" s="1257"/>
      <c r="AB126" s="1257"/>
      <c r="AC126" s="1257"/>
      <c r="AD126" s="685"/>
      <c r="AE126" s="685"/>
      <c r="AF126" s="685"/>
      <c r="AG126" s="685"/>
      <c r="AH126" s="685"/>
      <c r="AI126" s="685"/>
      <c r="AJ126" s="685"/>
      <c r="AK126" s="685"/>
      <c r="AL126" s="685"/>
      <c r="AM126" s="685"/>
      <c r="AN126" s="685"/>
      <c r="AO126" s="685"/>
      <c r="AP126" s="685"/>
      <c r="AQ126" s="685"/>
      <c r="AR126" s="685"/>
      <c r="AS126" s="685"/>
      <c r="AT126" s="685"/>
      <c r="AU126" s="685"/>
      <c r="AV126" s="685"/>
      <c r="AW126" s="685"/>
      <c r="AX126" s="685"/>
      <c r="AY126" s="685"/>
    </row>
    <row r="127" spans="1:51">
      <c r="A127" s="685"/>
      <c r="B127" s="1189"/>
      <c r="C127" s="1257"/>
      <c r="D127" s="1257"/>
      <c r="E127" s="1257"/>
      <c r="F127" s="1257"/>
      <c r="G127" s="1257"/>
      <c r="H127" s="1257"/>
      <c r="I127" s="1257"/>
      <c r="J127" s="1257"/>
      <c r="K127" s="1257"/>
      <c r="L127" s="1257"/>
      <c r="M127" s="1257"/>
      <c r="N127" s="1257"/>
      <c r="O127" s="1257"/>
      <c r="P127" s="1257"/>
      <c r="Q127" s="1257"/>
      <c r="R127" s="1257"/>
      <c r="S127" s="1257"/>
      <c r="T127" s="1257"/>
      <c r="U127" s="1257"/>
      <c r="V127" s="1257"/>
      <c r="W127" s="1257"/>
      <c r="X127" s="1257"/>
      <c r="Y127" s="1257"/>
      <c r="Z127" s="1257"/>
      <c r="AA127" s="1257"/>
      <c r="AB127" s="1257"/>
      <c r="AC127" s="1257"/>
      <c r="AD127" s="685"/>
      <c r="AE127" s="685"/>
      <c r="AF127" s="685"/>
      <c r="AG127" s="685"/>
      <c r="AH127" s="685"/>
      <c r="AI127" s="685"/>
      <c r="AJ127" s="685"/>
      <c r="AK127" s="685"/>
      <c r="AL127" s="685"/>
      <c r="AM127" s="685"/>
      <c r="AN127" s="685"/>
      <c r="AO127" s="685"/>
      <c r="AP127" s="685"/>
      <c r="AQ127" s="685"/>
      <c r="AR127" s="685"/>
      <c r="AS127" s="685"/>
      <c r="AT127" s="685"/>
      <c r="AU127" s="685"/>
      <c r="AV127" s="685"/>
      <c r="AW127" s="685"/>
      <c r="AX127" s="685"/>
      <c r="AY127" s="685"/>
    </row>
    <row r="128" spans="1:51">
      <c r="A128" s="685"/>
      <c r="B128" s="1186" t="s">
        <v>204</v>
      </c>
      <c r="C128" s="1186">
        <v>2004</v>
      </c>
      <c r="D128" s="1186">
        <f>C128+1</f>
        <v>2005</v>
      </c>
      <c r="E128" s="1186">
        <f t="shared" ref="E128:AC128" si="112">D128+1</f>
        <v>2006</v>
      </c>
      <c r="F128" s="1186">
        <f t="shared" si="112"/>
        <v>2007</v>
      </c>
      <c r="G128" s="1186">
        <f t="shared" si="112"/>
        <v>2008</v>
      </c>
      <c r="H128" s="1186">
        <f t="shared" si="112"/>
        <v>2009</v>
      </c>
      <c r="I128" s="1186">
        <f t="shared" si="112"/>
        <v>2010</v>
      </c>
      <c r="J128" s="1186">
        <f t="shared" si="112"/>
        <v>2011</v>
      </c>
      <c r="K128" s="1186">
        <f t="shared" si="112"/>
        <v>2012</v>
      </c>
      <c r="L128" s="1186">
        <f t="shared" si="112"/>
        <v>2013</v>
      </c>
      <c r="M128" s="1186">
        <f t="shared" si="112"/>
        <v>2014</v>
      </c>
      <c r="N128" s="1186">
        <f t="shared" si="112"/>
        <v>2015</v>
      </c>
      <c r="O128" s="1186">
        <f t="shared" si="112"/>
        <v>2016</v>
      </c>
      <c r="P128" s="1186">
        <f t="shared" si="112"/>
        <v>2017</v>
      </c>
      <c r="Q128" s="1186">
        <f t="shared" si="112"/>
        <v>2018</v>
      </c>
      <c r="R128" s="1186">
        <f t="shared" si="112"/>
        <v>2019</v>
      </c>
      <c r="S128" s="1186">
        <f t="shared" si="112"/>
        <v>2020</v>
      </c>
      <c r="T128" s="1186">
        <f t="shared" si="112"/>
        <v>2021</v>
      </c>
      <c r="U128" s="1186">
        <f t="shared" si="112"/>
        <v>2022</v>
      </c>
      <c r="V128" s="1186">
        <f t="shared" si="112"/>
        <v>2023</v>
      </c>
      <c r="W128" s="1186">
        <f t="shared" si="112"/>
        <v>2024</v>
      </c>
      <c r="X128" s="1186">
        <f t="shared" si="112"/>
        <v>2025</v>
      </c>
      <c r="Y128" s="1186">
        <f t="shared" si="112"/>
        <v>2026</v>
      </c>
      <c r="Z128" s="1186">
        <f t="shared" si="112"/>
        <v>2027</v>
      </c>
      <c r="AA128" s="1186">
        <f t="shared" si="112"/>
        <v>2028</v>
      </c>
      <c r="AB128" s="1186">
        <f t="shared" si="112"/>
        <v>2029</v>
      </c>
      <c r="AC128" s="1186">
        <f t="shared" si="112"/>
        <v>2030</v>
      </c>
      <c r="AD128" s="685"/>
      <c r="AE128" s="1572" t="s">
        <v>7667</v>
      </c>
      <c r="AF128" s="685"/>
      <c r="AG128" s="685"/>
      <c r="AH128" s="685"/>
      <c r="AI128" s="685"/>
      <c r="AJ128" s="685"/>
      <c r="AK128" s="685"/>
      <c r="AL128" s="685"/>
      <c r="AM128" s="685"/>
      <c r="AN128" s="685"/>
      <c r="AO128" s="685"/>
      <c r="AP128" s="685"/>
      <c r="AQ128" s="685"/>
      <c r="AR128" s="685"/>
      <c r="AS128" s="685"/>
      <c r="AT128" s="685"/>
      <c r="AU128" s="685"/>
      <c r="AV128" s="685"/>
      <c r="AW128" s="685"/>
      <c r="AX128" s="685"/>
      <c r="AY128" s="685"/>
    </row>
    <row r="129" spans="1:51">
      <c r="A129" s="685"/>
      <c r="B129" s="1189"/>
      <c r="C129" s="1187"/>
      <c r="D129" s="1187"/>
      <c r="E129" s="1187"/>
      <c r="F129" s="1187"/>
      <c r="G129" s="1187"/>
      <c r="H129" s="1187"/>
      <c r="I129" s="1187"/>
      <c r="J129" s="1187"/>
      <c r="K129" s="1187"/>
      <c r="L129" s="1187"/>
      <c r="M129" s="1187"/>
      <c r="N129" s="1187"/>
      <c r="O129" s="1187"/>
      <c r="P129" s="1187"/>
      <c r="Q129" s="1187"/>
      <c r="R129" s="1187"/>
      <c r="S129" s="1187"/>
      <c r="T129" s="1187"/>
      <c r="U129" s="1187"/>
      <c r="V129" s="1187"/>
      <c r="W129" s="1187"/>
      <c r="X129" s="1187"/>
      <c r="Y129" s="1187"/>
      <c r="Z129" s="1187"/>
      <c r="AA129" s="1187"/>
      <c r="AB129" s="1187"/>
      <c r="AC129" s="1187"/>
      <c r="AD129" s="685"/>
      <c r="AE129" s="685"/>
      <c r="AF129" s="685"/>
      <c r="AG129" s="685"/>
      <c r="AH129" s="685"/>
      <c r="AI129" s="685"/>
      <c r="AJ129" s="685"/>
      <c r="AK129" s="685"/>
      <c r="AL129" s="685"/>
      <c r="AM129" s="685"/>
      <c r="AN129" s="685"/>
      <c r="AO129" s="685"/>
      <c r="AP129" s="685"/>
      <c r="AQ129" s="685"/>
      <c r="AR129" s="685"/>
      <c r="AS129" s="685"/>
      <c r="AT129" s="685"/>
      <c r="AU129" s="685"/>
      <c r="AV129" s="685"/>
      <c r="AW129" s="685"/>
      <c r="AX129" s="685"/>
      <c r="AY129" s="685"/>
    </row>
    <row r="130" spans="1:51">
      <c r="A130" s="685"/>
      <c r="B130" s="1189" t="s">
        <v>205</v>
      </c>
      <c r="C130" s="1197"/>
      <c r="D130" s="1197">
        <f t="shared" ref="D130:P130" si="113">D275</f>
        <v>0</v>
      </c>
      <c r="E130" s="1197">
        <f t="shared" si="113"/>
        <v>0</v>
      </c>
      <c r="F130" s="1197">
        <f t="shared" si="113"/>
        <v>0</v>
      </c>
      <c r="G130" s="1197">
        <f t="shared" si="113"/>
        <v>0</v>
      </c>
      <c r="H130" s="1197">
        <f t="shared" si="113"/>
        <v>42839.1</v>
      </c>
      <c r="I130" s="1197">
        <f>I275</f>
        <v>35247</v>
      </c>
      <c r="J130" s="1197">
        <f>J275</f>
        <v>25054</v>
      </c>
      <c r="K130" s="1197">
        <f>K275</f>
        <v>27381</v>
      </c>
      <c r="L130" s="1197">
        <f t="shared" si="113"/>
        <v>26184</v>
      </c>
      <c r="M130" s="1197">
        <f t="shared" si="113"/>
        <v>40490.6</v>
      </c>
      <c r="N130" s="1197">
        <f t="shared" si="113"/>
        <v>60734.8</v>
      </c>
      <c r="O130" s="1197">
        <f t="shared" si="113"/>
        <v>59836.499999999993</v>
      </c>
      <c r="P130" s="1197">
        <f t="shared" si="113"/>
        <v>48069</v>
      </c>
      <c r="Q130" s="1197">
        <f>Q275</f>
        <v>46549</v>
      </c>
      <c r="R130" s="1197">
        <f t="shared" ref="R130:X130" si="114">R275</f>
        <v>37891.600000000006</v>
      </c>
      <c r="S130" s="1197">
        <f t="shared" si="114"/>
        <v>35703</v>
      </c>
      <c r="T130" s="1197">
        <f t="shared" si="114"/>
        <v>30252.800000000017</v>
      </c>
      <c r="U130" s="1197">
        <f t="shared" si="114"/>
        <v>51131</v>
      </c>
      <c r="V130" s="1197">
        <f t="shared" si="114"/>
        <v>32586.3</v>
      </c>
      <c r="W130" s="1197">
        <f t="shared" ca="1" si="114"/>
        <v>30081.606941545499</v>
      </c>
      <c r="X130" s="1197">
        <f t="shared" ca="1" si="114"/>
        <v>31865.31280435498</v>
      </c>
      <c r="Y130" s="1197">
        <f ca="1">Y275</f>
        <v>34935.777511351735</v>
      </c>
      <c r="Z130" s="1197">
        <f ca="1">Z275</f>
        <v>38821.119978901741</v>
      </c>
      <c r="AA130" s="1197">
        <f ca="1">AA275</f>
        <v>43786.831000884325</v>
      </c>
      <c r="AB130" s="1197">
        <f ca="1">AB275</f>
        <v>49293.502952308132</v>
      </c>
      <c r="AC130" s="1197">
        <f ca="1">AC275</f>
        <v>55259.613872723348</v>
      </c>
      <c r="AD130" s="685"/>
      <c r="AE130" s="1572">
        <v>1177</v>
      </c>
      <c r="AF130" s="685"/>
      <c r="AG130" s="685"/>
      <c r="AH130" s="685"/>
      <c r="AI130" s="685"/>
      <c r="AJ130" s="685"/>
      <c r="AK130" s="685"/>
      <c r="AL130" s="685"/>
      <c r="AM130" s="685"/>
      <c r="AN130" s="685"/>
      <c r="AO130" s="685"/>
      <c r="AP130" s="685"/>
      <c r="AQ130" s="685"/>
      <c r="AR130" s="685"/>
      <c r="AS130" s="685"/>
      <c r="AT130" s="685"/>
      <c r="AU130" s="685"/>
      <c r="AV130" s="685"/>
      <c r="AW130" s="685"/>
      <c r="AX130" s="685"/>
      <c r="AY130" s="685"/>
    </row>
    <row r="131" spans="1:51">
      <c r="A131" s="685"/>
      <c r="B131" s="1189" t="s">
        <v>206</v>
      </c>
      <c r="C131" s="1197"/>
      <c r="D131" s="1197">
        <f t="shared" ref="D131:P131" si="115">D284</f>
        <v>0</v>
      </c>
      <c r="E131" s="1197">
        <f t="shared" si="115"/>
        <v>0</v>
      </c>
      <c r="F131" s="1197">
        <f t="shared" si="115"/>
        <v>0</v>
      </c>
      <c r="G131" s="1197">
        <f t="shared" si="115"/>
        <v>0</v>
      </c>
      <c r="H131" s="1197">
        <f t="shared" si="115"/>
        <v>0</v>
      </c>
      <c r="I131" s="1197">
        <f>I284</f>
        <v>1255</v>
      </c>
      <c r="J131" s="1197">
        <f>J284</f>
        <v>1384</v>
      </c>
      <c r="K131" s="1197">
        <f>K284</f>
        <v>1509</v>
      </c>
      <c r="L131" s="1197">
        <f t="shared" si="115"/>
        <v>2002</v>
      </c>
      <c r="M131" s="1197">
        <f t="shared" si="115"/>
        <v>3336.7</v>
      </c>
      <c r="N131" s="1197">
        <f t="shared" si="115"/>
        <v>1828.3</v>
      </c>
      <c r="O131" s="1197">
        <f t="shared" si="115"/>
        <v>1899.1</v>
      </c>
      <c r="P131" s="1197">
        <f t="shared" si="115"/>
        <v>1493</v>
      </c>
      <c r="Q131" s="1197">
        <f>Q284</f>
        <v>1026.4000000000001</v>
      </c>
      <c r="R131" s="1197">
        <f t="shared" ref="R131:X131" si="116">R284</f>
        <v>1379</v>
      </c>
      <c r="S131" s="1197">
        <f t="shared" si="116"/>
        <v>1641.3</v>
      </c>
      <c r="T131" s="1197">
        <f t="shared" si="116"/>
        <v>2212.9</v>
      </c>
      <c r="U131" s="1197">
        <f t="shared" si="116"/>
        <v>1448.3</v>
      </c>
      <c r="V131" s="1197">
        <f t="shared" si="116"/>
        <v>1261.3</v>
      </c>
      <c r="W131" s="1197">
        <f t="shared" si="116"/>
        <v>1291.3706446842054</v>
      </c>
      <c r="X131" s="1197">
        <f t="shared" si="116"/>
        <v>1261.3</v>
      </c>
      <c r="Y131" s="1197">
        <f>Y284</f>
        <v>1099.4525144099709</v>
      </c>
      <c r="Z131" s="1197">
        <f>Z284</f>
        <v>1087.3408719872812</v>
      </c>
      <c r="AA131" s="1197">
        <f>AA284</f>
        <v>1090.1365818209918</v>
      </c>
      <c r="AB131" s="1197">
        <f>AB284</f>
        <v>1099.8109320845799</v>
      </c>
      <c r="AC131" s="1197">
        <f>AC284</f>
        <v>1117.0525993026554</v>
      </c>
      <c r="AD131" s="685"/>
      <c r="AE131" s="1572">
        <v>234</v>
      </c>
      <c r="AF131" s="685"/>
      <c r="AG131" s="685"/>
      <c r="AH131" s="685"/>
      <c r="AI131" s="685"/>
      <c r="AJ131" s="685"/>
      <c r="AK131" s="685"/>
      <c r="AL131" s="685"/>
      <c r="AM131" s="685"/>
      <c r="AN131" s="685"/>
      <c r="AO131" s="685"/>
      <c r="AP131" s="685"/>
      <c r="AQ131" s="685"/>
      <c r="AR131" s="685"/>
      <c r="AS131" s="685"/>
      <c r="AT131" s="685"/>
      <c r="AU131" s="685"/>
      <c r="AV131" s="685"/>
      <c r="AW131" s="685"/>
      <c r="AX131" s="685"/>
      <c r="AY131" s="685"/>
    </row>
    <row r="132" spans="1:51">
      <c r="A132" s="685"/>
      <c r="B132" s="1189" t="s">
        <v>207</v>
      </c>
      <c r="C132" s="1197"/>
      <c r="D132" s="1197">
        <f t="shared" ref="D132:P132" si="117">D287</f>
        <v>0</v>
      </c>
      <c r="E132" s="1197">
        <f t="shared" si="117"/>
        <v>0</v>
      </c>
      <c r="F132" s="1197">
        <f t="shared" si="117"/>
        <v>0</v>
      </c>
      <c r="G132" s="1197">
        <f t="shared" si="117"/>
        <v>0</v>
      </c>
      <c r="H132" s="1197">
        <f t="shared" si="117"/>
        <v>0</v>
      </c>
      <c r="I132" s="1197">
        <f>I287</f>
        <v>17701</v>
      </c>
      <c r="J132" s="1197">
        <f>J287</f>
        <v>19244</v>
      </c>
      <c r="K132" s="1197">
        <f>K287</f>
        <v>18982</v>
      </c>
      <c r="L132" s="1197">
        <f t="shared" si="117"/>
        <v>20734</v>
      </c>
      <c r="M132" s="1197">
        <f t="shared" si="117"/>
        <v>21087</v>
      </c>
      <c r="N132" s="1197">
        <f t="shared" si="117"/>
        <v>21702.1</v>
      </c>
      <c r="O132" s="1197">
        <f t="shared" si="117"/>
        <v>24906.400000000001</v>
      </c>
      <c r="P132" s="1197">
        <f t="shared" si="117"/>
        <v>24727.1</v>
      </c>
      <c r="Q132" s="1197">
        <f>Q287</f>
        <v>20281</v>
      </c>
      <c r="R132" s="1197">
        <f t="shared" ref="R132:X132" si="118">R287</f>
        <v>24851</v>
      </c>
      <c r="S132" s="1197">
        <f t="shared" si="118"/>
        <v>25346.2</v>
      </c>
      <c r="T132" s="1197">
        <f t="shared" si="118"/>
        <v>31059.1</v>
      </c>
      <c r="U132" s="1197">
        <f t="shared" si="118"/>
        <v>8760.2999999999993</v>
      </c>
      <c r="V132" s="1197">
        <f t="shared" si="118"/>
        <v>8474</v>
      </c>
      <c r="W132" s="1197">
        <f t="shared" si="118"/>
        <v>8676.0285761150844</v>
      </c>
      <c r="X132" s="1197">
        <f t="shared" si="118"/>
        <v>8474</v>
      </c>
      <c r="Y132" s="1197">
        <f>Y287</f>
        <v>7386.6333204710172</v>
      </c>
      <c r="Z132" s="1197">
        <f>Z287</f>
        <v>7305.2616738446213</v>
      </c>
      <c r="AA132" s="1197">
        <f>AA287</f>
        <v>7324.04455272424</v>
      </c>
      <c r="AB132" s="1197">
        <f>AB287</f>
        <v>7389.041337100397</v>
      </c>
      <c r="AC132" s="1197">
        <f>AC287</f>
        <v>7504.8788761521455</v>
      </c>
      <c r="AD132" s="685"/>
      <c r="AE132" s="1572">
        <v>488</v>
      </c>
      <c r="AF132" s="685"/>
      <c r="AG132" s="685"/>
      <c r="AH132" s="685"/>
      <c r="AI132" s="685"/>
      <c r="AJ132" s="685"/>
      <c r="AK132" s="685"/>
      <c r="AL132" s="685"/>
      <c r="AM132" s="685"/>
      <c r="AN132" s="685"/>
      <c r="AO132" s="685"/>
      <c r="AP132" s="685"/>
      <c r="AQ132" s="685"/>
      <c r="AR132" s="685"/>
      <c r="AS132" s="685"/>
      <c r="AT132" s="685"/>
      <c r="AU132" s="685"/>
      <c r="AV132" s="685"/>
      <c r="AW132" s="685"/>
      <c r="AX132" s="685"/>
      <c r="AY132" s="685"/>
    </row>
    <row r="133" spans="1:51">
      <c r="A133" s="685"/>
      <c r="B133" s="1189" t="s">
        <v>208</v>
      </c>
      <c r="C133" s="1246"/>
      <c r="D133" s="1246">
        <f t="shared" ref="D133:P133" si="119">D290</f>
        <v>0</v>
      </c>
      <c r="E133" s="1246">
        <f t="shared" si="119"/>
        <v>0</v>
      </c>
      <c r="F133" s="1246">
        <f t="shared" si="119"/>
        <v>0</v>
      </c>
      <c r="G133" s="1246">
        <f t="shared" si="119"/>
        <v>0</v>
      </c>
      <c r="H133" s="1246">
        <f t="shared" si="119"/>
        <v>0</v>
      </c>
      <c r="I133" s="1246">
        <f>I290</f>
        <v>5572</v>
      </c>
      <c r="J133" s="1246">
        <f>J290</f>
        <v>4978</v>
      </c>
      <c r="K133" s="1246">
        <f>K290</f>
        <v>6766</v>
      </c>
      <c r="L133" s="1246">
        <f t="shared" si="119"/>
        <v>4554</v>
      </c>
      <c r="M133" s="1246">
        <f t="shared" si="119"/>
        <v>13993.099999999999</v>
      </c>
      <c r="N133" s="1246">
        <f t="shared" si="119"/>
        <v>5672.9000000000051</v>
      </c>
      <c r="O133" s="1246">
        <f t="shared" si="119"/>
        <v>9326.7000000000044</v>
      </c>
      <c r="P133" s="1246">
        <f t="shared" si="119"/>
        <v>12755.900000000001</v>
      </c>
      <c r="Q133" s="1246">
        <f>Q290</f>
        <v>4282.5999999999985</v>
      </c>
      <c r="R133" s="1246">
        <f t="shared" ref="R133:X133" si="120">R290</f>
        <v>3906.3999999999942</v>
      </c>
      <c r="S133" s="1246">
        <f t="shared" si="120"/>
        <v>6828.5</v>
      </c>
      <c r="T133" s="1246">
        <f t="shared" si="120"/>
        <v>9433.8999999999796</v>
      </c>
      <c r="U133" s="1246">
        <f t="shared" si="120"/>
        <v>20194.099999999999</v>
      </c>
      <c r="V133" s="1246">
        <f t="shared" si="120"/>
        <v>20645.599999999999</v>
      </c>
      <c r="W133" s="1246">
        <f t="shared" si="120"/>
        <v>25902.602736000001</v>
      </c>
      <c r="X133" s="1246">
        <f t="shared" si="120"/>
        <v>25299.438984</v>
      </c>
      <c r="Y133" s="1246">
        <f>Y290</f>
        <v>22053.065729105245</v>
      </c>
      <c r="Z133" s="1246">
        <f>Z290</f>
        <v>21810.127682273509</v>
      </c>
      <c r="AA133" s="1246">
        <f>AA290</f>
        <v>21866.204658690644</v>
      </c>
      <c r="AB133" s="1246">
        <f>AB290</f>
        <v>22060.254951407278</v>
      </c>
      <c r="AC133" s="1246">
        <f>AC290</f>
        <v>22406.092188992414</v>
      </c>
      <c r="AD133" s="685"/>
      <c r="AE133" s="685"/>
      <c r="AF133" s="685"/>
      <c r="AG133" s="685"/>
      <c r="AH133" s="685"/>
      <c r="AI133" s="685"/>
      <c r="AJ133" s="685"/>
      <c r="AK133" s="685"/>
      <c r="AL133" s="685"/>
      <c r="AM133" s="685"/>
      <c r="AN133" s="685"/>
      <c r="AO133" s="685"/>
      <c r="AP133" s="685"/>
      <c r="AQ133" s="685"/>
      <c r="AR133" s="685"/>
      <c r="AS133" s="685"/>
      <c r="AT133" s="685"/>
      <c r="AU133" s="685"/>
      <c r="AV133" s="685"/>
      <c r="AW133" s="685"/>
      <c r="AX133" s="685"/>
      <c r="AY133" s="685"/>
    </row>
    <row r="134" spans="1:51">
      <c r="A134" s="685"/>
      <c r="B134" s="1575" t="s">
        <v>209</v>
      </c>
      <c r="C134" s="1197"/>
      <c r="D134" s="1197">
        <f t="shared" ref="D134:Q134" si="121">SUM(D130:D133)</f>
        <v>0</v>
      </c>
      <c r="E134" s="1197">
        <f t="shared" si="121"/>
        <v>0</v>
      </c>
      <c r="F134" s="1197">
        <f t="shared" si="121"/>
        <v>0</v>
      </c>
      <c r="G134" s="1197">
        <f t="shared" si="121"/>
        <v>0</v>
      </c>
      <c r="H134" s="1197">
        <f t="shared" si="121"/>
        <v>42839.1</v>
      </c>
      <c r="I134" s="1197">
        <f t="shared" si="121"/>
        <v>59775</v>
      </c>
      <c r="J134" s="1197">
        <f>SUM(J130:J133)</f>
        <v>50660</v>
      </c>
      <c r="K134" s="1197">
        <f>SUM(K130:K133)</f>
        <v>54638</v>
      </c>
      <c r="L134" s="1197">
        <f t="shared" si="121"/>
        <v>53474</v>
      </c>
      <c r="M134" s="1197">
        <f t="shared" si="121"/>
        <v>78907.399999999994</v>
      </c>
      <c r="N134" s="1197">
        <f t="shared" si="121"/>
        <v>89938.10000000002</v>
      </c>
      <c r="O134" s="1197">
        <f t="shared" si="121"/>
        <v>95968.700000000012</v>
      </c>
      <c r="P134" s="1197">
        <f t="shared" si="121"/>
        <v>87045</v>
      </c>
      <c r="Q134" s="1197">
        <f t="shared" si="121"/>
        <v>72139</v>
      </c>
      <c r="R134" s="1197">
        <f t="shared" ref="R134:X134" si="122">SUM(R130:R133)</f>
        <v>68028</v>
      </c>
      <c r="S134" s="1197">
        <f t="shared" si="122"/>
        <v>69519</v>
      </c>
      <c r="T134" s="1197">
        <f t="shared" si="122"/>
        <v>72958.7</v>
      </c>
      <c r="U134" s="1197">
        <f t="shared" si="122"/>
        <v>81533.700000000012</v>
      </c>
      <c r="V134" s="1197">
        <f t="shared" si="122"/>
        <v>62967.199999999997</v>
      </c>
      <c r="W134" s="1197">
        <f t="shared" ca="1" si="122"/>
        <v>65951.608898344784</v>
      </c>
      <c r="X134" s="1197">
        <f t="shared" ca="1" si="122"/>
        <v>66900.051788354991</v>
      </c>
      <c r="Y134" s="1197">
        <f ca="1">SUM(Y130:Y133)</f>
        <v>65474.929075337961</v>
      </c>
      <c r="Z134" s="1197">
        <f ca="1">SUM(Z130:Z133)</f>
        <v>69023.850207007155</v>
      </c>
      <c r="AA134" s="1197">
        <f ca="1">SUM(AA130:AA133)</f>
        <v>74067.216794120206</v>
      </c>
      <c r="AB134" s="1197">
        <f ca="1">SUM(AB130:AB133)</f>
        <v>79842.610172900386</v>
      </c>
      <c r="AC134" s="1197">
        <f ca="1">SUM(AC130:AC133)</f>
        <v>86287.637537170551</v>
      </c>
      <c r="AD134" s="685"/>
      <c r="AE134" s="685"/>
      <c r="AF134" s="685"/>
      <c r="AG134" s="685"/>
      <c r="AH134" s="685"/>
      <c r="AI134" s="685"/>
      <c r="AJ134" s="685"/>
      <c r="AK134" s="685"/>
      <c r="AL134" s="685"/>
      <c r="AM134" s="685"/>
      <c r="AN134" s="685"/>
      <c r="AO134" s="685"/>
      <c r="AP134" s="685"/>
      <c r="AQ134" s="685"/>
      <c r="AR134" s="685"/>
      <c r="AS134" s="685"/>
      <c r="AT134" s="685"/>
      <c r="AU134" s="685"/>
      <c r="AV134" s="685"/>
      <c r="AW134" s="685"/>
      <c r="AX134" s="685"/>
      <c r="AY134" s="685"/>
    </row>
    <row r="135" spans="1:51">
      <c r="A135" s="685"/>
      <c r="B135" s="1189"/>
      <c r="C135" s="1187"/>
      <c r="D135" s="1188"/>
      <c r="E135" s="1187"/>
      <c r="F135" s="1187"/>
      <c r="G135" s="1187"/>
      <c r="H135" s="1187"/>
      <c r="I135" s="1187"/>
      <c r="J135" s="1187"/>
      <c r="K135" s="1187"/>
      <c r="L135" s="1187"/>
      <c r="M135" s="1187"/>
      <c r="N135" s="1187"/>
      <c r="O135" s="1187"/>
      <c r="P135" s="1187"/>
      <c r="Q135" s="1187"/>
      <c r="R135" s="1187"/>
      <c r="S135" s="1187"/>
      <c r="T135" s="1187"/>
      <c r="U135" s="1187"/>
      <c r="V135" s="1187"/>
      <c r="W135" s="1187"/>
      <c r="X135" s="1187"/>
      <c r="Y135" s="1187"/>
      <c r="Z135" s="1187"/>
      <c r="AA135" s="1187"/>
      <c r="AB135" s="1187"/>
      <c r="AC135" s="1187"/>
      <c r="AD135" s="685"/>
      <c r="AE135" s="685"/>
      <c r="AF135" s="685"/>
      <c r="AG135" s="685"/>
      <c r="AH135" s="685"/>
      <c r="AI135" s="685"/>
      <c r="AJ135" s="685"/>
      <c r="AK135" s="685"/>
      <c r="AL135" s="685"/>
      <c r="AM135" s="685"/>
      <c r="AN135" s="685"/>
      <c r="AO135" s="685"/>
      <c r="AP135" s="685"/>
      <c r="AQ135" s="685"/>
      <c r="AR135" s="685"/>
      <c r="AS135" s="685"/>
      <c r="AT135" s="685"/>
      <c r="AU135" s="685"/>
      <c r="AV135" s="685"/>
      <c r="AW135" s="685"/>
      <c r="AX135" s="685"/>
      <c r="AY135" s="685"/>
    </row>
    <row r="136" spans="1:51">
      <c r="A136" s="685"/>
      <c r="B136" s="1189" t="s">
        <v>210</v>
      </c>
      <c r="C136" s="1197"/>
      <c r="D136" s="1197">
        <f t="shared" ref="D136:P136" si="123">D192</f>
        <v>0</v>
      </c>
      <c r="E136" s="1197">
        <f t="shared" si="123"/>
        <v>0</v>
      </c>
      <c r="F136" s="1197">
        <f t="shared" si="123"/>
        <v>0</v>
      </c>
      <c r="G136" s="1197">
        <f t="shared" si="123"/>
        <v>0</v>
      </c>
      <c r="H136" s="1197">
        <f t="shared" si="123"/>
        <v>0</v>
      </c>
      <c r="I136" s="1197">
        <f t="shared" si="123"/>
        <v>38652</v>
      </c>
      <c r="J136" s="1197">
        <f>J192</f>
        <v>41499</v>
      </c>
      <c r="K136" s="1197">
        <f>K192</f>
        <v>48363</v>
      </c>
      <c r="L136" s="1197">
        <f t="shared" si="123"/>
        <v>53476.5</v>
      </c>
      <c r="M136" s="1197">
        <f t="shared" si="123"/>
        <v>61213</v>
      </c>
      <c r="N136" s="1197">
        <f t="shared" si="123"/>
        <v>76089.3</v>
      </c>
      <c r="O136" s="1197">
        <f t="shared" si="123"/>
        <v>86783.6</v>
      </c>
      <c r="P136" s="1197">
        <f t="shared" si="123"/>
        <v>85720</v>
      </c>
      <c r="Q136" s="1197">
        <f>Q192</f>
        <v>87343</v>
      </c>
      <c r="R136" s="1197">
        <f t="shared" ref="R136:X136" si="124">R192</f>
        <v>83329</v>
      </c>
      <c r="S136" s="1197">
        <f t="shared" si="124"/>
        <v>83284</v>
      </c>
      <c r="T136" s="1197">
        <f t="shared" si="124"/>
        <v>87922.1</v>
      </c>
      <c r="U136" s="1197">
        <f t="shared" si="124"/>
        <v>82236.399999999994</v>
      </c>
      <c r="V136" s="1197">
        <f t="shared" si="124"/>
        <v>77848.100000000006</v>
      </c>
      <c r="W136" s="1197">
        <f t="shared" si="124"/>
        <v>68414.521708436077</v>
      </c>
      <c r="X136" s="1197">
        <f t="shared" si="124"/>
        <v>65308.591609759635</v>
      </c>
      <c r="Y136" s="1197">
        <f>Y192</f>
        <v>62667.747722348257</v>
      </c>
      <c r="Z136" s="1197">
        <f>Z192</f>
        <v>60235.972955221485</v>
      </c>
      <c r="AA136" s="1197">
        <f>AA192</f>
        <v>58070.596976964822</v>
      </c>
      <c r="AB136" s="1197">
        <f>AB192</f>
        <v>56160.424327249493</v>
      </c>
      <c r="AC136" s="1197">
        <f>AC192</f>
        <v>54608.371737314737</v>
      </c>
      <c r="AD136" s="685"/>
      <c r="AE136" s="685"/>
      <c r="AF136" s="685"/>
      <c r="AG136" s="685"/>
      <c r="AH136" s="685"/>
      <c r="AI136" s="685"/>
      <c r="AJ136" s="685"/>
      <c r="AK136" s="685"/>
      <c r="AL136" s="685"/>
      <c r="AM136" s="685"/>
      <c r="AN136" s="685"/>
      <c r="AO136" s="685"/>
      <c r="AP136" s="685"/>
      <c r="AQ136" s="685"/>
      <c r="AR136" s="685"/>
      <c r="AS136" s="685"/>
      <c r="AT136" s="685"/>
      <c r="AU136" s="685"/>
      <c r="AV136" s="685"/>
      <c r="AW136" s="685"/>
      <c r="AX136" s="685"/>
      <c r="AY136" s="685"/>
    </row>
    <row r="137" spans="1:51">
      <c r="A137" s="685"/>
      <c r="B137" s="1189" t="s">
        <v>211</v>
      </c>
      <c r="C137" s="1197"/>
      <c r="D137" s="1197">
        <f t="shared" ref="D137:X137" si="125">D213+D223</f>
        <v>0</v>
      </c>
      <c r="E137" s="1197">
        <f t="shared" si="125"/>
        <v>0</v>
      </c>
      <c r="F137" s="1197">
        <f t="shared" si="125"/>
        <v>0</v>
      </c>
      <c r="G137" s="1197">
        <f t="shared" si="125"/>
        <v>0</v>
      </c>
      <c r="H137" s="1197">
        <f t="shared" si="125"/>
        <v>0</v>
      </c>
      <c r="I137" s="1197">
        <f t="shared" si="125"/>
        <v>10241</v>
      </c>
      <c r="J137" s="1197">
        <f t="shared" si="125"/>
        <v>11861</v>
      </c>
      <c r="K137" s="1197">
        <f t="shared" si="125"/>
        <v>11127</v>
      </c>
      <c r="L137" s="1197">
        <f t="shared" si="125"/>
        <v>11382</v>
      </c>
      <c r="M137" s="1197">
        <f t="shared" si="125"/>
        <v>27052</v>
      </c>
      <c r="N137" s="1197">
        <f t="shared" si="125"/>
        <v>38106.300000000003</v>
      </c>
      <c r="O137" s="1197">
        <f t="shared" si="125"/>
        <v>37624.5</v>
      </c>
      <c r="P137" s="1197">
        <f t="shared" si="125"/>
        <v>35887</v>
      </c>
      <c r="Q137" s="1197">
        <f t="shared" si="125"/>
        <v>43064</v>
      </c>
      <c r="R137" s="1197">
        <f t="shared" si="125"/>
        <v>43329</v>
      </c>
      <c r="S137" s="1197">
        <f t="shared" si="125"/>
        <v>42722</v>
      </c>
      <c r="T137" s="1197">
        <f t="shared" si="125"/>
        <v>42255.9</v>
      </c>
      <c r="U137" s="1197">
        <f t="shared" si="125"/>
        <v>41123.5</v>
      </c>
      <c r="V137" s="1197">
        <f t="shared" si="125"/>
        <v>40398.5</v>
      </c>
      <c r="W137" s="1197">
        <f t="shared" si="125"/>
        <v>37122.671999999999</v>
      </c>
      <c r="X137" s="1197">
        <f t="shared" si="125"/>
        <v>34537.658359999994</v>
      </c>
      <c r="Y137" s="1197">
        <f>Y213+Y223</f>
        <v>31917.469773199991</v>
      </c>
      <c r="Z137" s="1197">
        <f>Z213+Z223</f>
        <v>29318.731004951987</v>
      </c>
      <c r="AA137" s="1197">
        <f>AA213+AA223</f>
        <v>26790.628354209184</v>
      </c>
      <c r="AB137" s="1197">
        <f>AB213+AB223</f>
        <v>24373.83481753571</v>
      </c>
      <c r="AC137" s="1197">
        <f>AC213+AC223</f>
        <v>22099.989898554632</v>
      </c>
      <c r="AD137" s="685"/>
      <c r="AE137" s="685"/>
      <c r="AF137" s="685"/>
      <c r="AG137" s="685"/>
      <c r="AH137" s="685"/>
      <c r="AI137" s="685"/>
      <c r="AJ137" s="685"/>
      <c r="AK137" s="685"/>
      <c r="AL137" s="685"/>
      <c r="AM137" s="685"/>
      <c r="AN137" s="685"/>
      <c r="AO137" s="685"/>
      <c r="AP137" s="685"/>
      <c r="AQ137" s="685"/>
      <c r="AR137" s="685"/>
      <c r="AS137" s="685"/>
      <c r="AT137" s="685"/>
      <c r="AU137" s="685"/>
      <c r="AV137" s="685"/>
      <c r="AW137" s="685"/>
      <c r="AX137" s="685"/>
      <c r="AY137" s="685"/>
    </row>
    <row r="138" spans="1:51">
      <c r="A138" s="685"/>
      <c r="B138" s="1189" t="s">
        <v>212</v>
      </c>
      <c r="C138" s="1197"/>
      <c r="D138" s="1197">
        <f>D277</f>
        <v>0</v>
      </c>
      <c r="E138" s="1197">
        <f>E277</f>
        <v>0</v>
      </c>
      <c r="F138" s="1197">
        <f>F277</f>
        <v>0</v>
      </c>
      <c r="G138" s="1197">
        <f>G277</f>
        <v>0</v>
      </c>
      <c r="H138" s="1197">
        <f>H277</f>
        <v>0</v>
      </c>
      <c r="I138" s="1197">
        <f t="shared" ref="I138:Q138" si="126">I277+I382</f>
        <v>27803.1</v>
      </c>
      <c r="J138" s="1197">
        <f t="shared" si="126"/>
        <v>51041.1</v>
      </c>
      <c r="K138" s="1197">
        <f t="shared" si="126"/>
        <v>50938.1</v>
      </c>
      <c r="L138" s="1197">
        <f t="shared" si="126"/>
        <v>76174.600000000006</v>
      </c>
      <c r="M138" s="1197">
        <f t="shared" si="126"/>
        <v>59721.900000000016</v>
      </c>
      <c r="N138" s="1197">
        <f t="shared" si="126"/>
        <v>77340.099999999977</v>
      </c>
      <c r="O138" s="1197">
        <f t="shared" si="126"/>
        <v>86506.199999999983</v>
      </c>
      <c r="P138" s="1197">
        <f t="shared" si="126"/>
        <v>88568</v>
      </c>
      <c r="Q138" s="1197">
        <f t="shared" si="126"/>
        <v>95296</v>
      </c>
      <c r="R138" s="1197">
        <f t="shared" ref="R138:X138" si="127">R277+R382</f>
        <v>95736</v>
      </c>
      <c r="S138" s="1197">
        <f t="shared" si="127"/>
        <v>76460</v>
      </c>
      <c r="T138" s="1197">
        <f t="shared" si="127"/>
        <v>89763.799999999988</v>
      </c>
      <c r="U138" s="1197">
        <f t="shared" si="127"/>
        <v>92811.499999999971</v>
      </c>
      <c r="V138" s="1197">
        <f t="shared" si="127"/>
        <v>80621.999999999971</v>
      </c>
      <c r="W138" s="1197">
        <f t="shared" ca="1" si="127"/>
        <v>83588.06890159758</v>
      </c>
      <c r="X138" s="1197">
        <f t="shared" ca="1" si="127"/>
        <v>87357.304692098915</v>
      </c>
      <c r="Y138" s="1197">
        <f ca="1">Y277+Y382</f>
        <v>92114.223892820679</v>
      </c>
      <c r="Z138" s="1197">
        <f ca="1">Z277+Z382</f>
        <v>97496.543870884416</v>
      </c>
      <c r="AA138" s="1197">
        <f ca="1">AA277+AA382</f>
        <v>103389.70522999718</v>
      </c>
      <c r="AB138" s="1197">
        <f ca="1">AB277+AB382</f>
        <v>109684.51058298768</v>
      </c>
      <c r="AC138" s="1197">
        <f ca="1">AC277+AC382</f>
        <v>116400.46650991906</v>
      </c>
      <c r="AD138" s="685"/>
      <c r="AE138" s="685"/>
      <c r="AF138" s="685"/>
      <c r="AG138" s="685"/>
      <c r="AH138" s="685"/>
      <c r="AI138" s="685"/>
      <c r="AJ138" s="685"/>
      <c r="AK138" s="685"/>
      <c r="AL138" s="685"/>
      <c r="AM138" s="685"/>
      <c r="AN138" s="685"/>
      <c r="AO138" s="685"/>
      <c r="AP138" s="685"/>
      <c r="AQ138" s="685"/>
      <c r="AR138" s="685"/>
      <c r="AS138" s="685"/>
      <c r="AT138" s="685"/>
      <c r="AU138" s="685"/>
      <c r="AV138" s="685"/>
      <c r="AW138" s="685"/>
      <c r="AX138" s="685"/>
      <c r="AY138" s="685"/>
    </row>
    <row r="139" spans="1:51">
      <c r="A139" s="685"/>
      <c r="B139" s="1189"/>
      <c r="C139" s="1187"/>
      <c r="D139" s="1188"/>
      <c r="E139" s="1187"/>
      <c r="F139" s="1187"/>
      <c r="G139" s="1187"/>
      <c r="H139" s="1187"/>
      <c r="I139" s="1187"/>
      <c r="J139" s="1187"/>
      <c r="K139" s="1187"/>
      <c r="L139" s="1187"/>
      <c r="M139" s="1187"/>
      <c r="N139" s="1187"/>
      <c r="O139" s="1187"/>
      <c r="P139" s="1187"/>
      <c r="Q139" s="1187"/>
      <c r="R139" s="1187"/>
      <c r="S139" s="1187"/>
      <c r="T139" s="1187"/>
      <c r="U139" s="1187"/>
      <c r="V139" s="1187"/>
      <c r="W139" s="1187"/>
      <c r="X139" s="1187"/>
      <c r="Y139" s="1187"/>
      <c r="Z139" s="1187"/>
      <c r="AA139" s="1187"/>
      <c r="AB139" s="1187"/>
      <c r="AC139" s="1187"/>
      <c r="AD139" s="685"/>
      <c r="AE139" s="685"/>
      <c r="AF139" s="685"/>
      <c r="AG139" s="685"/>
      <c r="AH139" s="685"/>
      <c r="AI139" s="685"/>
      <c r="AJ139" s="685"/>
      <c r="AK139" s="685"/>
      <c r="AL139" s="685"/>
      <c r="AM139" s="685"/>
      <c r="AN139" s="685"/>
      <c r="AO139" s="685"/>
      <c r="AP139" s="685"/>
      <c r="AQ139" s="685"/>
      <c r="AR139" s="685"/>
      <c r="AS139" s="685"/>
      <c r="AT139" s="685"/>
      <c r="AU139" s="685"/>
      <c r="AV139" s="685"/>
      <c r="AW139" s="685"/>
      <c r="AX139" s="685"/>
      <c r="AY139" s="685"/>
    </row>
    <row r="140" spans="1:51">
      <c r="A140" s="685"/>
      <c r="B140" s="1187" t="s">
        <v>213</v>
      </c>
      <c r="C140" s="1188"/>
      <c r="D140" s="1188">
        <f t="shared" ref="D140:Q140" si="128">SUM(D134:D138)</f>
        <v>0</v>
      </c>
      <c r="E140" s="1188">
        <f t="shared" si="128"/>
        <v>0</v>
      </c>
      <c r="F140" s="1188">
        <f t="shared" si="128"/>
        <v>0</v>
      </c>
      <c r="G140" s="1188">
        <f t="shared" si="128"/>
        <v>0</v>
      </c>
      <c r="H140" s="1188">
        <f t="shared" si="128"/>
        <v>42839.1</v>
      </c>
      <c r="I140" s="1188">
        <f t="shared" si="128"/>
        <v>136471.1</v>
      </c>
      <c r="J140" s="1188">
        <f>SUM(J134:J138)</f>
        <v>155061.1</v>
      </c>
      <c r="K140" s="1188">
        <f>SUM(K134:K138)</f>
        <v>165066.1</v>
      </c>
      <c r="L140" s="1188">
        <f t="shared" si="128"/>
        <v>194507.1</v>
      </c>
      <c r="M140" s="1188">
        <f>SUM(M134:M138)</f>
        <v>226894.30000000002</v>
      </c>
      <c r="N140" s="1188">
        <f t="shared" si="128"/>
        <v>281473.8</v>
      </c>
      <c r="O140" s="1188">
        <f t="shared" si="128"/>
        <v>306883</v>
      </c>
      <c r="P140" s="1188">
        <f t="shared" si="128"/>
        <v>297220</v>
      </c>
      <c r="Q140" s="1188">
        <f t="shared" si="128"/>
        <v>297842</v>
      </c>
      <c r="R140" s="1188">
        <f t="shared" ref="R140:X140" si="129">SUM(R134:R138)</f>
        <v>290422</v>
      </c>
      <c r="S140" s="1188">
        <f t="shared" si="129"/>
        <v>271985</v>
      </c>
      <c r="T140" s="1188">
        <f t="shared" si="129"/>
        <v>292900.5</v>
      </c>
      <c r="U140" s="1188">
        <f t="shared" si="129"/>
        <v>297705.09999999998</v>
      </c>
      <c r="V140" s="1188">
        <f t="shared" si="129"/>
        <v>261835.79999999996</v>
      </c>
      <c r="W140" s="1188">
        <f t="shared" ca="1" si="129"/>
        <v>255076.87150837845</v>
      </c>
      <c r="X140" s="1188">
        <f t="shared" ca="1" si="129"/>
        <v>254103.60645021353</v>
      </c>
      <c r="Y140" s="1188">
        <f ca="1">SUM(Y134:Y138)</f>
        <v>252174.37046370687</v>
      </c>
      <c r="Z140" s="1188">
        <f ca="1">SUM(Z134:Z138)</f>
        <v>256075.09803806501</v>
      </c>
      <c r="AA140" s="1188">
        <f ca="1">SUM(AA134:AA138)</f>
        <v>262318.14735529141</v>
      </c>
      <c r="AB140" s="1188">
        <f ca="1">SUM(AB134:AB138)</f>
        <v>270061.37990067329</v>
      </c>
      <c r="AC140" s="1188">
        <f ca="1">SUM(AC134:AC138)</f>
        <v>279396.46568295895</v>
      </c>
      <c r="AD140" s="685"/>
      <c r="AE140" s="685"/>
      <c r="AF140" s="685"/>
      <c r="AG140" s="685"/>
      <c r="AH140" s="685"/>
      <c r="AI140" s="685"/>
      <c r="AJ140" s="685"/>
      <c r="AK140" s="685"/>
      <c r="AL140" s="685"/>
      <c r="AM140" s="685"/>
      <c r="AN140" s="685"/>
      <c r="AO140" s="685"/>
      <c r="AP140" s="685"/>
      <c r="AQ140" s="685"/>
      <c r="AR140" s="685"/>
      <c r="AS140" s="685"/>
      <c r="AT140" s="685"/>
      <c r="AU140" s="685"/>
      <c r="AV140" s="685"/>
      <c r="AW140" s="685"/>
      <c r="AX140" s="685"/>
      <c r="AY140" s="685"/>
    </row>
    <row r="141" spans="1:51">
      <c r="A141" s="685"/>
      <c r="B141" s="1189"/>
      <c r="C141" s="1187"/>
      <c r="D141" s="1188"/>
      <c r="E141" s="1187"/>
      <c r="F141" s="1188"/>
      <c r="G141" s="1188"/>
      <c r="H141" s="1188"/>
      <c r="I141" s="1188"/>
      <c r="J141" s="1187"/>
      <c r="K141" s="1187"/>
      <c r="L141" s="1187"/>
      <c r="M141" s="1187"/>
      <c r="N141" s="1187"/>
      <c r="O141" s="1187"/>
      <c r="P141" s="1187"/>
      <c r="Q141" s="1187"/>
      <c r="R141" s="1187"/>
      <c r="S141" s="1187"/>
      <c r="T141" s="1187"/>
      <c r="U141" s="1187"/>
      <c r="V141" s="1187"/>
      <c r="W141" s="1187"/>
      <c r="X141" s="1187"/>
      <c r="Y141" s="1187"/>
      <c r="Z141" s="1187"/>
      <c r="AA141" s="1187"/>
      <c r="AB141" s="1187"/>
      <c r="AC141" s="1187"/>
      <c r="AD141" s="685"/>
      <c r="AE141" s="685"/>
      <c r="AF141" s="685"/>
      <c r="AG141" s="685"/>
      <c r="AH141" s="685"/>
      <c r="AI141" s="685"/>
      <c r="AJ141" s="685"/>
      <c r="AK141" s="685"/>
      <c r="AL141" s="685"/>
      <c r="AM141" s="685"/>
      <c r="AN141" s="685"/>
      <c r="AO141" s="685"/>
      <c r="AP141" s="685"/>
      <c r="AQ141" s="685"/>
      <c r="AR141" s="685"/>
      <c r="AS141" s="685"/>
      <c r="AT141" s="685"/>
      <c r="AU141" s="685"/>
      <c r="AV141" s="685"/>
      <c r="AW141" s="685"/>
      <c r="AX141" s="685"/>
      <c r="AY141" s="685"/>
    </row>
    <row r="142" spans="1:51">
      <c r="A142" s="685"/>
      <c r="B142" s="1189" t="s">
        <v>214</v>
      </c>
      <c r="C142" s="1197"/>
      <c r="D142" s="1197">
        <f t="shared" ref="D142:Q142" si="130">D297</f>
        <v>0</v>
      </c>
      <c r="E142" s="1197">
        <f t="shared" si="130"/>
        <v>0</v>
      </c>
      <c r="F142" s="1197">
        <f t="shared" si="130"/>
        <v>0</v>
      </c>
      <c r="G142" s="1197">
        <f t="shared" si="130"/>
        <v>0</v>
      </c>
      <c r="H142" s="1197">
        <f t="shared" si="130"/>
        <v>0</v>
      </c>
      <c r="I142" s="1197">
        <f t="shared" si="130"/>
        <v>24368</v>
      </c>
      <c r="J142" s="1197">
        <f>J297</f>
        <v>27144</v>
      </c>
      <c r="K142" s="1197">
        <f t="shared" si="130"/>
        <v>27277</v>
      </c>
      <c r="L142" s="1197">
        <f t="shared" si="130"/>
        <v>29674</v>
      </c>
      <c r="M142" s="1197">
        <f t="shared" si="130"/>
        <v>25995.9</v>
      </c>
      <c r="N142" s="1197">
        <f t="shared" si="130"/>
        <v>27452.5</v>
      </c>
      <c r="O142" s="1197">
        <f t="shared" si="130"/>
        <v>30383.9</v>
      </c>
      <c r="P142" s="1197">
        <f t="shared" si="130"/>
        <v>28701</v>
      </c>
      <c r="Q142" s="1197">
        <f t="shared" si="130"/>
        <v>24815</v>
      </c>
      <c r="R142" s="1197">
        <f t="shared" ref="R142:X142" si="131">R297</f>
        <v>20967.099999999999</v>
      </c>
      <c r="S142" s="1197">
        <f t="shared" si="131"/>
        <v>21532</v>
      </c>
      <c r="T142" s="1197">
        <f t="shared" si="131"/>
        <v>29803.699999999997</v>
      </c>
      <c r="U142" s="1197">
        <f t="shared" si="131"/>
        <v>17789.400000000001</v>
      </c>
      <c r="V142" s="1197">
        <f t="shared" si="131"/>
        <v>12062.700000000004</v>
      </c>
      <c r="W142" s="1197">
        <f t="shared" si="131"/>
        <v>12537.415600000002</v>
      </c>
      <c r="X142" s="1197">
        <f t="shared" si="131"/>
        <v>12171.703500000001</v>
      </c>
      <c r="Y142" s="1197">
        <f>Y297</f>
        <v>10224.042019266777</v>
      </c>
      <c r="Z142" s="1197">
        <f>Z297</f>
        <v>10302.194671472793</v>
      </c>
      <c r="AA142" s="1197">
        <f>AA297</f>
        <v>10456.197702429628</v>
      </c>
      <c r="AB142" s="1197">
        <f>AB297</f>
        <v>10677.636814595313</v>
      </c>
      <c r="AC142" s="1197">
        <f>AC297</f>
        <v>10975.692464866825</v>
      </c>
      <c r="AD142" s="685"/>
      <c r="AE142" s="685"/>
      <c r="AF142" s="685"/>
      <c r="AG142" s="685"/>
      <c r="AH142" s="685"/>
      <c r="AI142" s="685"/>
      <c r="AJ142" s="685"/>
      <c r="AK142" s="685"/>
      <c r="AL142" s="685"/>
      <c r="AM142" s="685"/>
      <c r="AN142" s="685"/>
      <c r="AO142" s="685"/>
      <c r="AP142" s="685"/>
      <c r="AQ142" s="685"/>
      <c r="AR142" s="685"/>
      <c r="AS142" s="685"/>
      <c r="AT142" s="685"/>
      <c r="AU142" s="685"/>
      <c r="AV142" s="685"/>
      <c r="AW142" s="685"/>
      <c r="AX142" s="685"/>
      <c r="AY142" s="685"/>
    </row>
    <row r="143" spans="1:51">
      <c r="A143" s="685"/>
      <c r="B143" s="1189" t="s">
        <v>215</v>
      </c>
      <c r="C143" s="1197"/>
      <c r="D143" s="1197">
        <f t="shared" ref="D143:Q143" si="132">D294</f>
        <v>0</v>
      </c>
      <c r="E143" s="1197">
        <f t="shared" si="132"/>
        <v>0</v>
      </c>
      <c r="F143" s="1197">
        <f t="shared" si="132"/>
        <v>0</v>
      </c>
      <c r="G143" s="1197">
        <f t="shared" si="132"/>
        <v>0</v>
      </c>
      <c r="H143" s="1197">
        <f t="shared" si="132"/>
        <v>0</v>
      </c>
      <c r="I143" s="1197">
        <f t="shared" si="132"/>
        <v>7472</v>
      </c>
      <c r="J143" s="1197">
        <f>J294</f>
        <v>7688</v>
      </c>
      <c r="K143" s="1197">
        <f t="shared" si="132"/>
        <v>8594</v>
      </c>
      <c r="L143" s="1197">
        <f t="shared" si="132"/>
        <v>10186</v>
      </c>
      <c r="M143" s="1197">
        <f t="shared" si="132"/>
        <v>17142</v>
      </c>
      <c r="N143" s="1197">
        <f t="shared" si="132"/>
        <v>17361.5</v>
      </c>
      <c r="O143" s="1197">
        <f t="shared" si="132"/>
        <v>22878.1</v>
      </c>
      <c r="P143" s="1197">
        <f t="shared" si="132"/>
        <v>19960</v>
      </c>
      <c r="Q143" s="1197">
        <f t="shared" si="132"/>
        <v>22030</v>
      </c>
      <c r="R143" s="1197">
        <f t="shared" ref="R143:X143" si="133">R294</f>
        <v>20910</v>
      </c>
      <c r="S143" s="1197">
        <f t="shared" si="133"/>
        <v>21890</v>
      </c>
      <c r="T143" s="1197">
        <f t="shared" si="133"/>
        <v>22588.5</v>
      </c>
      <c r="U143" s="1197">
        <f t="shared" si="133"/>
        <v>16180.5</v>
      </c>
      <c r="V143" s="1197">
        <f t="shared" si="133"/>
        <v>13673.6</v>
      </c>
      <c r="W143" s="1197">
        <f t="shared" si="133"/>
        <v>13999.592204197219</v>
      </c>
      <c r="X143" s="1197">
        <f t="shared" si="133"/>
        <v>13673.6</v>
      </c>
      <c r="Y143" s="1197">
        <f>Y294</f>
        <v>11919.031079866947</v>
      </c>
      <c r="Z143" s="1197">
        <f>Z294</f>
        <v>11787.730236426931</v>
      </c>
      <c r="AA143" s="1197">
        <f>AA294</f>
        <v>11818.038186940072</v>
      </c>
      <c r="AB143" s="1197">
        <f>AB294</f>
        <v>11922.916642314844</v>
      </c>
      <c r="AC143" s="1197">
        <f>AC294</f>
        <v>12109.831461051921</v>
      </c>
      <c r="AD143" s="685"/>
      <c r="AE143" s="685"/>
      <c r="AF143" s="685"/>
      <c r="AG143" s="685"/>
      <c r="AH143" s="685"/>
      <c r="AI143" s="685"/>
      <c r="AJ143" s="685"/>
      <c r="AK143" s="685"/>
      <c r="AL143" s="685"/>
      <c r="AM143" s="685"/>
      <c r="AN143" s="685"/>
      <c r="AO143" s="685"/>
      <c r="AP143" s="685"/>
      <c r="AQ143" s="685"/>
      <c r="AR143" s="685"/>
      <c r="AS143" s="685"/>
      <c r="AT143" s="685"/>
      <c r="AU143" s="685"/>
      <c r="AV143" s="685"/>
      <c r="AW143" s="685"/>
      <c r="AX143" s="685"/>
      <c r="AY143" s="685"/>
    </row>
    <row r="144" spans="1:51">
      <c r="A144" s="685"/>
      <c r="B144" s="1189" t="s">
        <v>216</v>
      </c>
      <c r="C144" s="1246"/>
      <c r="D144" s="1246">
        <f t="shared" ref="D144:Q144" si="134">D261</f>
        <v>0</v>
      </c>
      <c r="E144" s="1246">
        <f t="shared" si="134"/>
        <v>0</v>
      </c>
      <c r="F144" s="1246">
        <f t="shared" si="134"/>
        <v>0</v>
      </c>
      <c r="G144" s="1246">
        <f t="shared" si="134"/>
        <v>0</v>
      </c>
      <c r="H144" s="1246">
        <f t="shared" si="134"/>
        <v>1433</v>
      </c>
      <c r="I144" s="1246">
        <f t="shared" si="134"/>
        <v>1469</v>
      </c>
      <c r="J144" s="1246">
        <f>J261</f>
        <v>1170</v>
      </c>
      <c r="K144" s="1246">
        <f t="shared" si="134"/>
        <v>375</v>
      </c>
      <c r="L144" s="1246">
        <f t="shared" si="134"/>
        <v>313</v>
      </c>
      <c r="M144" s="1246">
        <f t="shared" si="134"/>
        <v>337.1</v>
      </c>
      <c r="N144" s="1246">
        <f t="shared" si="134"/>
        <v>4164</v>
      </c>
      <c r="O144" s="1246">
        <f t="shared" si="134"/>
        <v>4164</v>
      </c>
      <c r="P144" s="1246">
        <f t="shared" si="134"/>
        <v>2104</v>
      </c>
      <c r="Q144" s="1246">
        <f t="shared" si="134"/>
        <v>2108</v>
      </c>
      <c r="R144" s="1246">
        <f t="shared" ref="R144:X144" si="135">R261</f>
        <v>491.9</v>
      </c>
      <c r="S144" s="1246">
        <f t="shared" si="135"/>
        <v>617</v>
      </c>
      <c r="T144" s="1246">
        <f t="shared" si="135"/>
        <v>4106.3999999999996</v>
      </c>
      <c r="U144" s="1246">
        <f t="shared" si="135"/>
        <v>1000</v>
      </c>
      <c r="V144" s="1246">
        <f t="shared" si="135"/>
        <v>9988</v>
      </c>
      <c r="W144" s="1246">
        <f t="shared" si="135"/>
        <v>9988</v>
      </c>
      <c r="X144" s="1246">
        <f t="shared" si="135"/>
        <v>9988</v>
      </c>
      <c r="Y144" s="1246">
        <f>Y261</f>
        <v>9988</v>
      </c>
      <c r="Z144" s="1246">
        <f>Z261</f>
        <v>9988</v>
      </c>
      <c r="AA144" s="1246">
        <f>AA261</f>
        <v>9988</v>
      </c>
      <c r="AB144" s="1246">
        <f>AB261</f>
        <v>9988</v>
      </c>
      <c r="AC144" s="1246">
        <f>AC261</f>
        <v>9988</v>
      </c>
      <c r="AD144" s="685"/>
      <c r="AE144" s="685"/>
      <c r="AF144" s="685"/>
      <c r="AG144" s="685"/>
      <c r="AH144" s="685"/>
      <c r="AI144" s="685"/>
      <c r="AJ144" s="685"/>
      <c r="AK144" s="685"/>
      <c r="AL144" s="685"/>
      <c r="AM144" s="685"/>
      <c r="AN144" s="685"/>
      <c r="AO144" s="685"/>
      <c r="AP144" s="685"/>
      <c r="AQ144" s="685"/>
      <c r="AR144" s="685"/>
      <c r="AS144" s="685"/>
      <c r="AT144" s="685"/>
      <c r="AU144" s="685"/>
      <c r="AV144" s="685"/>
      <c r="AW144" s="685"/>
      <c r="AX144" s="685"/>
      <c r="AY144" s="685"/>
    </row>
    <row r="145" spans="1:51">
      <c r="A145" s="685"/>
      <c r="B145" s="1575" t="s">
        <v>217</v>
      </c>
      <c r="C145" s="1197"/>
      <c r="D145" s="1197">
        <f t="shared" ref="D145:Q145" si="136">SUM(D142:D144)</f>
        <v>0</v>
      </c>
      <c r="E145" s="1197">
        <f t="shared" si="136"/>
        <v>0</v>
      </c>
      <c r="F145" s="1197">
        <f t="shared" si="136"/>
        <v>0</v>
      </c>
      <c r="G145" s="1197">
        <f t="shared" si="136"/>
        <v>0</v>
      </c>
      <c r="H145" s="1197">
        <f t="shared" si="136"/>
        <v>1433</v>
      </c>
      <c r="I145" s="1197">
        <f t="shared" si="136"/>
        <v>33309</v>
      </c>
      <c r="J145" s="1197">
        <f>SUM(J142:J144)</f>
        <v>36002</v>
      </c>
      <c r="K145" s="1197">
        <f t="shared" si="136"/>
        <v>36246</v>
      </c>
      <c r="L145" s="1197">
        <f t="shared" si="136"/>
        <v>40173</v>
      </c>
      <c r="M145" s="1197">
        <f t="shared" si="136"/>
        <v>43475</v>
      </c>
      <c r="N145" s="1197">
        <f t="shared" si="136"/>
        <v>48978</v>
      </c>
      <c r="O145" s="1197">
        <f t="shared" si="136"/>
        <v>57426</v>
      </c>
      <c r="P145" s="1197">
        <f t="shared" si="136"/>
        <v>50765</v>
      </c>
      <c r="Q145" s="1197">
        <f t="shared" si="136"/>
        <v>48953</v>
      </c>
      <c r="R145" s="1197">
        <f t="shared" ref="R145:X145" si="137">SUM(R142:R144)</f>
        <v>42369</v>
      </c>
      <c r="S145" s="1197">
        <f t="shared" si="137"/>
        <v>44039</v>
      </c>
      <c r="T145" s="1197">
        <f t="shared" si="137"/>
        <v>56498.6</v>
      </c>
      <c r="U145" s="1197">
        <f t="shared" si="137"/>
        <v>34969.9</v>
      </c>
      <c r="V145" s="1197">
        <f t="shared" si="137"/>
        <v>35724.300000000003</v>
      </c>
      <c r="W145" s="1197">
        <f t="shared" si="137"/>
        <v>36525.007804197223</v>
      </c>
      <c r="X145" s="1197">
        <f t="shared" si="137"/>
        <v>35833.303500000002</v>
      </c>
      <c r="Y145" s="1197">
        <f>SUM(Y142:Y144)</f>
        <v>32131.073099133726</v>
      </c>
      <c r="Z145" s="1197">
        <f>SUM(Z142:Z144)</f>
        <v>32077.924907899724</v>
      </c>
      <c r="AA145" s="1197">
        <f>SUM(AA142:AA144)</f>
        <v>32262.235889369702</v>
      </c>
      <c r="AB145" s="1197">
        <f>SUM(AB142:AB144)</f>
        <v>32588.553456910158</v>
      </c>
      <c r="AC145" s="1197">
        <f>SUM(AC142:AC144)</f>
        <v>33073.523925918744</v>
      </c>
      <c r="AD145" s="685"/>
      <c r="AE145" s="685"/>
      <c r="AF145" s="685"/>
      <c r="AG145" s="685"/>
      <c r="AH145" s="685"/>
      <c r="AI145" s="685"/>
      <c r="AJ145" s="685"/>
      <c r="AK145" s="685"/>
      <c r="AL145" s="685"/>
      <c r="AM145" s="685"/>
      <c r="AN145" s="685"/>
      <c r="AO145" s="685"/>
      <c r="AP145" s="685"/>
      <c r="AQ145" s="685"/>
      <c r="AR145" s="685"/>
      <c r="AS145" s="685"/>
      <c r="AT145" s="685"/>
      <c r="AU145" s="685"/>
      <c r="AV145" s="685"/>
      <c r="AW145" s="685"/>
      <c r="AX145" s="685"/>
      <c r="AY145" s="685"/>
    </row>
    <row r="146" spans="1:51">
      <c r="A146" s="685"/>
      <c r="B146" s="1189"/>
      <c r="C146" s="1187"/>
      <c r="D146" s="1188"/>
      <c r="E146" s="1187"/>
      <c r="F146" s="1187"/>
      <c r="G146" s="1187"/>
      <c r="H146" s="1187"/>
      <c r="I146" s="1187"/>
      <c r="J146" s="1187"/>
      <c r="K146" s="1187"/>
      <c r="L146" s="1187"/>
      <c r="M146" s="1187"/>
      <c r="N146" s="1187"/>
      <c r="O146" s="1187"/>
      <c r="P146" s="1187"/>
      <c r="Q146" s="1187"/>
      <c r="R146" s="1187"/>
      <c r="S146" s="1187"/>
      <c r="T146" s="1187"/>
      <c r="U146" s="1187"/>
      <c r="V146" s="1187"/>
      <c r="W146" s="1187"/>
      <c r="X146" s="1187"/>
      <c r="Y146" s="1187"/>
      <c r="Z146" s="1187"/>
      <c r="AA146" s="1187"/>
      <c r="AB146" s="1187"/>
      <c r="AC146" s="1187"/>
      <c r="AD146" s="685"/>
      <c r="AE146" s="685"/>
      <c r="AF146" s="685"/>
      <c r="AG146" s="685"/>
      <c r="AH146" s="685"/>
      <c r="AI146" s="685"/>
      <c r="AJ146" s="685"/>
      <c r="AK146" s="685"/>
      <c r="AL146" s="685"/>
      <c r="AM146" s="685"/>
      <c r="AN146" s="685"/>
      <c r="AO146" s="685"/>
      <c r="AP146" s="685"/>
      <c r="AQ146" s="685"/>
      <c r="AR146" s="685"/>
      <c r="AS146" s="685"/>
      <c r="AT146" s="685"/>
      <c r="AU146" s="685"/>
      <c r="AV146" s="685"/>
      <c r="AW146" s="685"/>
      <c r="AX146" s="685"/>
      <c r="AY146" s="685"/>
    </row>
    <row r="147" spans="1:51">
      <c r="A147" s="685"/>
      <c r="B147" s="1189" t="s">
        <v>218</v>
      </c>
      <c r="C147" s="1197"/>
      <c r="D147" s="1197">
        <f t="shared" ref="D147:P147" si="138">D262</f>
        <v>0</v>
      </c>
      <c r="E147" s="1197">
        <f t="shared" si="138"/>
        <v>0</v>
      </c>
      <c r="F147" s="1197">
        <f t="shared" si="138"/>
        <v>0</v>
      </c>
      <c r="G147" s="1197">
        <f t="shared" si="138"/>
        <v>0</v>
      </c>
      <c r="H147" s="1197">
        <f t="shared" si="138"/>
        <v>41983</v>
      </c>
      <c r="I147" s="1197">
        <f>I262</f>
        <v>46496</v>
      </c>
      <c r="J147" s="1197">
        <f>J262</f>
        <v>55657</v>
      </c>
      <c r="K147" s="1197">
        <f t="shared" si="138"/>
        <v>52616</v>
      </c>
      <c r="L147" s="1197">
        <f t="shared" si="138"/>
        <v>60864</v>
      </c>
      <c r="M147" s="1197">
        <f t="shared" si="138"/>
        <v>80660.5</v>
      </c>
      <c r="N147" s="1197">
        <f t="shared" si="138"/>
        <v>112051.8</v>
      </c>
      <c r="O147" s="1197">
        <f t="shared" si="138"/>
        <v>134078.39999999999</v>
      </c>
      <c r="P147" s="1197">
        <f t="shared" si="138"/>
        <v>125238</v>
      </c>
      <c r="Q147" s="1197">
        <f>Q262</f>
        <v>127758.7</v>
      </c>
      <c r="R147" s="1197">
        <f t="shared" ref="R147:X147" si="139">R262</f>
        <v>131132.80000000002</v>
      </c>
      <c r="S147" s="1197">
        <f t="shared" si="139"/>
        <v>131229</v>
      </c>
      <c r="T147" s="1197">
        <f t="shared" si="139"/>
        <v>131366.30000000002</v>
      </c>
      <c r="U147" s="1197">
        <f t="shared" si="139"/>
        <v>104240.7</v>
      </c>
      <c r="V147" s="1197">
        <f t="shared" si="139"/>
        <v>78547.899999999994</v>
      </c>
      <c r="W147" s="1197">
        <f t="shared" si="139"/>
        <v>79009.021870415774</v>
      </c>
      <c r="X147" s="1197">
        <f t="shared" si="139"/>
        <v>80233.538187824073</v>
      </c>
      <c r="Y147" s="1197">
        <f>Y262</f>
        <v>81482.544831580555</v>
      </c>
      <c r="Z147" s="1197">
        <f>Z262</f>
        <v>82756.531608212157</v>
      </c>
      <c r="AA147" s="1197">
        <f>AA262</f>
        <v>84055.998120376404</v>
      </c>
      <c r="AB147" s="1197">
        <f>AB262</f>
        <v>85381.45396278394</v>
      </c>
      <c r="AC147" s="1197">
        <f>AC262</f>
        <v>86733.418922039622</v>
      </c>
      <c r="AD147" s="685"/>
      <c r="AE147" s="685"/>
      <c r="AF147" s="685"/>
      <c r="AG147" s="685"/>
      <c r="AH147" s="685"/>
      <c r="AI147" s="685"/>
      <c r="AJ147" s="685"/>
      <c r="AK147" s="685"/>
      <c r="AL147" s="685"/>
      <c r="AM147" s="685"/>
      <c r="AN147" s="685"/>
      <c r="AO147" s="685"/>
      <c r="AP147" s="685"/>
      <c r="AQ147" s="685"/>
      <c r="AR147" s="685"/>
      <c r="AS147" s="685"/>
      <c r="AT147" s="685"/>
      <c r="AU147" s="685"/>
      <c r="AV147" s="685"/>
      <c r="AW147" s="685"/>
      <c r="AX147" s="685"/>
      <c r="AY147" s="685"/>
    </row>
    <row r="148" spans="1:51">
      <c r="A148" s="685"/>
      <c r="B148" s="1189" t="s">
        <v>219</v>
      </c>
      <c r="C148" s="1197"/>
      <c r="D148" s="1197">
        <f>D316</f>
        <v>0</v>
      </c>
      <c r="E148" s="1197">
        <f>E316</f>
        <v>0</v>
      </c>
      <c r="F148" s="1197">
        <f>F316</f>
        <v>0</v>
      </c>
      <c r="G148" s="1197">
        <f>G316</f>
        <v>0</v>
      </c>
      <c r="H148" s="1197">
        <f t="shared" ref="H148:Q148" si="140">H316+H313</f>
        <v>0</v>
      </c>
      <c r="I148" s="1197">
        <f>I316+I313</f>
        <v>4808</v>
      </c>
      <c r="J148" s="1197">
        <f>J316+J313</f>
        <v>4545</v>
      </c>
      <c r="K148" s="1197">
        <f t="shared" si="140"/>
        <v>7670</v>
      </c>
      <c r="L148" s="1197">
        <f t="shared" si="140"/>
        <v>14562</v>
      </c>
      <c r="M148" s="1197">
        <f t="shared" si="140"/>
        <v>14843.5</v>
      </c>
      <c r="N148" s="1197">
        <f t="shared" si="140"/>
        <v>20922.199999999997</v>
      </c>
      <c r="O148" s="1197">
        <f t="shared" si="140"/>
        <v>20584.899999999994</v>
      </c>
      <c r="P148" s="1197">
        <f t="shared" si="140"/>
        <v>21560</v>
      </c>
      <c r="Q148" s="1197">
        <f t="shared" si="140"/>
        <v>16349.300000000003</v>
      </c>
      <c r="R148" s="1197">
        <f t="shared" ref="R148:X148" si="141">R316+R313</f>
        <v>11420.199999999983</v>
      </c>
      <c r="S148" s="1197">
        <f t="shared" si="141"/>
        <v>8407</v>
      </c>
      <c r="T148" s="1197">
        <f t="shared" si="141"/>
        <v>9248.8999999999651</v>
      </c>
      <c r="U148" s="1197">
        <f t="shared" si="141"/>
        <v>16102.800000000003</v>
      </c>
      <c r="V148" s="1197">
        <f t="shared" si="141"/>
        <v>14536.800000000003</v>
      </c>
      <c r="W148" s="1197">
        <f t="shared" si="141"/>
        <v>14536.928396335628</v>
      </c>
      <c r="X148" s="1197">
        <f t="shared" si="141"/>
        <v>14536.925572972377</v>
      </c>
      <c r="Y148" s="1197">
        <f>Y316+Y313</f>
        <v>14536.924310324403</v>
      </c>
      <c r="Z148" s="1197">
        <f>Z316+Z313</f>
        <v>14536.91652201334</v>
      </c>
      <c r="AA148" s="1197">
        <f>AA316+AA313</f>
        <v>14536.901596269676</v>
      </c>
      <c r="AB148" s="1197">
        <f>AB316+AB313</f>
        <v>14536.883416404553</v>
      </c>
      <c r="AC148" s="1197">
        <f>AC316+AC313</f>
        <v>14536.864045302427</v>
      </c>
      <c r="AD148" s="685"/>
      <c r="AE148" s="685"/>
      <c r="AF148" s="685"/>
      <c r="AG148" s="685"/>
      <c r="AH148" s="685"/>
      <c r="AI148" s="685"/>
      <c r="AJ148" s="685"/>
      <c r="AK148" s="685"/>
      <c r="AL148" s="685"/>
      <c r="AM148" s="685"/>
      <c r="AN148" s="685"/>
      <c r="AO148" s="685"/>
      <c r="AP148" s="685"/>
      <c r="AQ148" s="685"/>
      <c r="AR148" s="685"/>
      <c r="AS148" s="685"/>
      <c r="AT148" s="685"/>
      <c r="AU148" s="685"/>
      <c r="AV148" s="685"/>
      <c r="AW148" s="685"/>
      <c r="AX148" s="685"/>
      <c r="AY148" s="685"/>
    </row>
    <row r="149" spans="1:51">
      <c r="A149" s="685"/>
      <c r="B149" s="1189"/>
      <c r="C149" s="1187"/>
      <c r="D149" s="1188"/>
      <c r="E149" s="1187"/>
      <c r="F149" s="1187"/>
      <c r="G149" s="1187"/>
      <c r="H149" s="1187"/>
      <c r="I149" s="1187"/>
      <c r="J149" s="1187"/>
      <c r="K149" s="1187"/>
      <c r="L149" s="1187"/>
      <c r="M149" s="1187"/>
      <c r="N149" s="1187"/>
      <c r="O149" s="1187"/>
      <c r="P149" s="1187"/>
      <c r="Q149" s="1187"/>
      <c r="R149" s="1187"/>
      <c r="S149" s="1187"/>
      <c r="T149" s="1187"/>
      <c r="U149" s="1187"/>
      <c r="V149" s="1187"/>
      <c r="W149" s="1187"/>
      <c r="X149" s="1187"/>
      <c r="Y149" s="1187"/>
      <c r="Z149" s="1187"/>
      <c r="AA149" s="1187"/>
      <c r="AB149" s="1187"/>
      <c r="AC149" s="1187"/>
      <c r="AD149" s="685"/>
      <c r="AE149" s="685"/>
      <c r="AF149" s="685"/>
      <c r="AG149" s="685"/>
      <c r="AH149" s="685"/>
      <c r="AI149" s="685"/>
      <c r="AJ149" s="685"/>
      <c r="AK149" s="685"/>
      <c r="AL149" s="685"/>
      <c r="AM149" s="685"/>
      <c r="AN149" s="685"/>
      <c r="AO149" s="685"/>
      <c r="AP149" s="685"/>
      <c r="AQ149" s="685"/>
      <c r="AR149" s="685"/>
      <c r="AS149" s="685"/>
      <c r="AT149" s="685"/>
      <c r="AU149" s="685"/>
      <c r="AV149" s="685"/>
      <c r="AW149" s="685"/>
      <c r="AX149" s="685"/>
      <c r="AY149" s="685"/>
    </row>
    <row r="150" spans="1:51">
      <c r="A150" s="685"/>
      <c r="B150" s="1189" t="s">
        <v>220</v>
      </c>
      <c r="C150" s="1197"/>
      <c r="D150" s="1197">
        <f t="shared" ref="D150:P150" si="142">D403</f>
        <v>0</v>
      </c>
      <c r="E150" s="1197">
        <f t="shared" si="142"/>
        <v>0</v>
      </c>
      <c r="F150" s="1197">
        <f t="shared" si="142"/>
        <v>0</v>
      </c>
      <c r="G150" s="1197">
        <f t="shared" si="142"/>
        <v>0</v>
      </c>
      <c r="H150" s="1197">
        <f t="shared" si="142"/>
        <v>0</v>
      </c>
      <c r="I150" s="1197">
        <f t="shared" si="142"/>
        <v>6793</v>
      </c>
      <c r="J150" s="1197">
        <f>J403</f>
        <v>7197</v>
      </c>
      <c r="K150" s="1197">
        <f t="shared" si="142"/>
        <v>7891</v>
      </c>
      <c r="L150" s="1197">
        <f t="shared" si="142"/>
        <v>10234</v>
      </c>
      <c r="M150" s="1197">
        <f t="shared" si="142"/>
        <v>11110</v>
      </c>
      <c r="N150" s="1197">
        <f t="shared" si="142"/>
        <v>12138.8</v>
      </c>
      <c r="O150" s="1197">
        <f t="shared" si="142"/>
        <v>12589.5</v>
      </c>
      <c r="P150" s="1197">
        <f t="shared" si="142"/>
        <v>13995</v>
      </c>
      <c r="Q150" s="1197">
        <f>Q403</f>
        <v>15070</v>
      </c>
      <c r="R150" s="1197">
        <f t="shared" ref="R150:X150" si="143">R403</f>
        <v>14874</v>
      </c>
      <c r="S150" s="1197">
        <f t="shared" si="143"/>
        <v>14510.1</v>
      </c>
      <c r="T150" s="1197">
        <f t="shared" si="143"/>
        <v>15299.2</v>
      </c>
      <c r="U150" s="1197">
        <f t="shared" si="143"/>
        <v>15619.3</v>
      </c>
      <c r="V150" s="1197">
        <f t="shared" si="143"/>
        <v>15400.9</v>
      </c>
      <c r="W150" s="1197">
        <f t="shared" si="143"/>
        <v>15495.836994650477</v>
      </c>
      <c r="X150" s="1197">
        <f t="shared" si="143"/>
        <v>15548.05234170824</v>
      </c>
      <c r="Y150" s="1197">
        <f>Y403</f>
        <v>15605.489223471779</v>
      </c>
      <c r="Z150" s="1197">
        <f>Z403</f>
        <v>15668.669793411671</v>
      </c>
      <c r="AA150" s="1197">
        <f>AA403</f>
        <v>15738.168420345552</v>
      </c>
      <c r="AB150" s="1197">
        <f>AB403</f>
        <v>15814.616909972821</v>
      </c>
      <c r="AC150" s="1197">
        <f>AC403</f>
        <v>15898.710248562818</v>
      </c>
      <c r="AD150" s="685"/>
      <c r="AE150" s="685"/>
      <c r="AF150" s="685"/>
      <c r="AG150" s="685"/>
      <c r="AH150" s="685"/>
      <c r="AI150" s="685"/>
      <c r="AJ150" s="685"/>
      <c r="AK150" s="685"/>
      <c r="AL150" s="685"/>
      <c r="AM150" s="685"/>
      <c r="AN150" s="685"/>
      <c r="AO150" s="685"/>
      <c r="AP150" s="685"/>
      <c r="AQ150" s="685"/>
      <c r="AR150" s="685"/>
      <c r="AS150" s="685"/>
      <c r="AT150" s="685"/>
      <c r="AU150" s="685"/>
      <c r="AV150" s="685"/>
      <c r="AW150" s="685"/>
      <c r="AX150" s="685"/>
      <c r="AY150" s="685"/>
    </row>
    <row r="151" spans="1:51">
      <c r="A151" s="685"/>
      <c r="B151" s="1189" t="s">
        <v>221</v>
      </c>
      <c r="C151" s="1197"/>
      <c r="D151" s="1197">
        <f t="shared" ref="D151:P151" si="144">D408</f>
        <v>0</v>
      </c>
      <c r="E151" s="1197">
        <f t="shared" si="144"/>
        <v>0</v>
      </c>
      <c r="F151" s="1197">
        <f t="shared" si="144"/>
        <v>0</v>
      </c>
      <c r="G151" s="1197">
        <f t="shared" si="144"/>
        <v>0</v>
      </c>
      <c r="H151" s="1197">
        <f t="shared" si="144"/>
        <v>0</v>
      </c>
      <c r="I151" s="1197">
        <f t="shared" si="144"/>
        <v>45064</v>
      </c>
      <c r="J151" s="1197">
        <f>J408</f>
        <v>51660</v>
      </c>
      <c r="K151" s="1197">
        <f t="shared" si="144"/>
        <v>60644</v>
      </c>
      <c r="L151" s="1197">
        <f t="shared" si="144"/>
        <v>68675</v>
      </c>
      <c r="M151" s="1197">
        <f t="shared" si="144"/>
        <v>76805</v>
      </c>
      <c r="N151" s="1197">
        <f t="shared" si="144"/>
        <v>87382.5</v>
      </c>
      <c r="O151" s="1197">
        <f t="shared" si="144"/>
        <v>82204.2</v>
      </c>
      <c r="P151" s="1197">
        <f t="shared" si="144"/>
        <v>85662</v>
      </c>
      <c r="Q151" s="1197">
        <f>Q408</f>
        <v>89710</v>
      </c>
      <c r="R151" s="1197">
        <f t="shared" ref="R151:X151" si="145">R408</f>
        <v>90627</v>
      </c>
      <c r="S151" s="1197">
        <f t="shared" si="145"/>
        <v>73801</v>
      </c>
      <c r="T151" s="1197">
        <f t="shared" si="145"/>
        <v>80487.5</v>
      </c>
      <c r="U151" s="1197">
        <f t="shared" si="145"/>
        <v>126772.4</v>
      </c>
      <c r="V151" s="1197">
        <f t="shared" si="145"/>
        <v>117625.9</v>
      </c>
      <c r="W151" s="1197">
        <f t="shared" ca="1" si="145"/>
        <v>118268.55445442518</v>
      </c>
      <c r="X151" s="1197">
        <f t="shared" ca="1" si="145"/>
        <v>116710.2620359914</v>
      </c>
      <c r="Y151" s="1197">
        <f ca="1">Y408</f>
        <v>117176.81292483107</v>
      </c>
      <c r="Z151" s="1197">
        <f ca="1">Z408</f>
        <v>119793.52134385171</v>
      </c>
      <c r="AA151" s="1197">
        <f ca="1">AA408</f>
        <v>124483.29454050999</v>
      </c>
      <c r="AB151" s="1197">
        <f ca="1">AB408</f>
        <v>130498.3051863166</v>
      </c>
      <c r="AC151" s="1197">
        <f ca="1">AC408</f>
        <v>137912.36220174801</v>
      </c>
      <c r="AD151" s="685"/>
      <c r="AE151" s="685"/>
      <c r="AF151" s="685"/>
      <c r="AG151" s="685"/>
      <c r="AH151" s="685"/>
      <c r="AI151" s="685"/>
      <c r="AJ151" s="685"/>
      <c r="AK151" s="685"/>
      <c r="AL151" s="685"/>
      <c r="AM151" s="685"/>
      <c r="AN151" s="685"/>
      <c r="AO151" s="685"/>
      <c r="AP151" s="685"/>
      <c r="AQ151" s="685"/>
      <c r="AR151" s="685"/>
      <c r="AS151" s="685"/>
      <c r="AT151" s="685"/>
      <c r="AU151" s="685"/>
      <c r="AV151" s="685"/>
      <c r="AW151" s="685"/>
      <c r="AX151" s="685"/>
      <c r="AY151" s="685"/>
    </row>
    <row r="152" spans="1:51">
      <c r="A152" s="685"/>
      <c r="B152" s="1189"/>
      <c r="C152" s="1187"/>
      <c r="D152" s="1258"/>
      <c r="E152" s="1187"/>
      <c r="F152" s="1187"/>
      <c r="G152" s="1187"/>
      <c r="H152" s="1187"/>
      <c r="I152" s="1187"/>
      <c r="J152" s="1187"/>
      <c r="K152" s="1187"/>
      <c r="L152" s="1187"/>
      <c r="M152" s="1187"/>
      <c r="N152" s="1187"/>
      <c r="O152" s="1187"/>
      <c r="P152" s="1187"/>
      <c r="Q152" s="1187"/>
      <c r="R152" s="1187"/>
      <c r="S152" s="1187"/>
      <c r="T152" s="1187"/>
      <c r="U152" s="1187"/>
      <c r="V152" s="1187"/>
      <c r="W152" s="1187"/>
      <c r="X152" s="1187"/>
      <c r="Y152" s="1187"/>
      <c r="Z152" s="1187"/>
      <c r="AA152" s="1187"/>
      <c r="AB152" s="1187"/>
      <c r="AC152" s="1187"/>
      <c r="AD152" s="685"/>
      <c r="AE152" s="685"/>
      <c r="AF152" s="685"/>
      <c r="AG152" s="685"/>
      <c r="AH152" s="685"/>
      <c r="AI152" s="685"/>
      <c r="AJ152" s="685"/>
      <c r="AK152" s="685"/>
      <c r="AL152" s="685"/>
      <c r="AM152" s="685"/>
      <c r="AN152" s="685"/>
      <c r="AO152" s="685"/>
      <c r="AP152" s="685"/>
      <c r="AQ152" s="685"/>
      <c r="AR152" s="685"/>
      <c r="AS152" s="685"/>
      <c r="AT152" s="685"/>
      <c r="AU152" s="685"/>
      <c r="AV152" s="685"/>
      <c r="AW152" s="685"/>
      <c r="AX152" s="685"/>
      <c r="AY152" s="685"/>
    </row>
    <row r="153" spans="1:51">
      <c r="A153" s="685"/>
      <c r="B153" s="1187" t="s">
        <v>222</v>
      </c>
      <c r="C153" s="1188"/>
      <c r="D153" s="1188">
        <f t="shared" ref="D153:P153" si="146">SUM(D145:D151)</f>
        <v>0</v>
      </c>
      <c r="E153" s="1188">
        <f t="shared" si="146"/>
        <v>0</v>
      </c>
      <c r="F153" s="1188">
        <f t="shared" si="146"/>
        <v>0</v>
      </c>
      <c r="G153" s="1188">
        <f t="shared" si="146"/>
        <v>0</v>
      </c>
      <c r="H153" s="1188">
        <f t="shared" si="146"/>
        <v>43416</v>
      </c>
      <c r="I153" s="1188">
        <f>SUM(I145:I151)</f>
        <v>136470</v>
      </c>
      <c r="J153" s="1188">
        <f>SUM(J145:J151)</f>
        <v>155061</v>
      </c>
      <c r="K153" s="1188">
        <f t="shared" si="146"/>
        <v>165067</v>
      </c>
      <c r="L153" s="1188">
        <f t="shared" si="146"/>
        <v>194508</v>
      </c>
      <c r="M153" s="1188">
        <f t="shared" si="146"/>
        <v>226894</v>
      </c>
      <c r="N153" s="1188">
        <f t="shared" si="146"/>
        <v>281473.3</v>
      </c>
      <c r="O153" s="1188">
        <f t="shared" si="146"/>
        <v>306883</v>
      </c>
      <c r="P153" s="1188">
        <f t="shared" si="146"/>
        <v>297220</v>
      </c>
      <c r="Q153" s="1188">
        <f>SUM(Q145:Q151)</f>
        <v>297841</v>
      </c>
      <c r="R153" s="1188">
        <f t="shared" ref="R153:X153" si="147">SUM(R145:R151)</f>
        <v>290423</v>
      </c>
      <c r="S153" s="1188">
        <f t="shared" si="147"/>
        <v>271986.09999999998</v>
      </c>
      <c r="T153" s="1188">
        <f t="shared" si="147"/>
        <v>292900.5</v>
      </c>
      <c r="U153" s="1188">
        <f t="shared" si="147"/>
        <v>297705.09999999998</v>
      </c>
      <c r="V153" s="1188">
        <f t="shared" si="147"/>
        <v>261835.8</v>
      </c>
      <c r="W153" s="1188">
        <f t="shared" ca="1" si="147"/>
        <v>263835.34952002426</v>
      </c>
      <c r="X153" s="1188">
        <f t="shared" ca="1" si="147"/>
        <v>262862.08163849608</v>
      </c>
      <c r="Y153" s="1188">
        <f ca="1">SUM(Y145:Y151)</f>
        <v>260932.84438934154</v>
      </c>
      <c r="Z153" s="1188">
        <f ca="1">SUM(Z145:Z151)</f>
        <v>264833.5641753886</v>
      </c>
      <c r="AA153" s="1188">
        <f ca="1">SUM(AA145:AA151)</f>
        <v>271076.59856687131</v>
      </c>
      <c r="AB153" s="1188">
        <f ca="1">SUM(AB145:AB151)</f>
        <v>278819.81293238804</v>
      </c>
      <c r="AC153" s="1188">
        <f ca="1">SUM(AC145:AC151)</f>
        <v>288154.87934357161</v>
      </c>
      <c r="AD153" s="685"/>
      <c r="AE153" s="685"/>
      <c r="AF153" s="685"/>
      <c r="AG153" s="685"/>
      <c r="AH153" s="685"/>
      <c r="AI153" s="685"/>
      <c r="AJ153" s="685"/>
      <c r="AK153" s="685"/>
      <c r="AL153" s="685"/>
      <c r="AM153" s="685"/>
      <c r="AN153" s="685"/>
      <c r="AO153" s="685"/>
      <c r="AP153" s="685"/>
      <c r="AQ153" s="685"/>
      <c r="AR153" s="685"/>
      <c r="AS153" s="685"/>
      <c r="AT153" s="685"/>
      <c r="AU153" s="685"/>
      <c r="AV153" s="685"/>
      <c r="AW153" s="685"/>
      <c r="AX153" s="685"/>
      <c r="AY153" s="685"/>
    </row>
    <row r="154" spans="1:51">
      <c r="A154" s="685"/>
      <c r="B154" s="1189" t="s">
        <v>223</v>
      </c>
      <c r="C154" s="1197"/>
      <c r="D154" s="1197">
        <f t="shared" ref="D154:P154" si="148">D153-D140</f>
        <v>0</v>
      </c>
      <c r="E154" s="1197">
        <f t="shared" si="148"/>
        <v>0</v>
      </c>
      <c r="F154" s="1197">
        <f t="shared" si="148"/>
        <v>0</v>
      </c>
      <c r="G154" s="1197">
        <f t="shared" si="148"/>
        <v>0</v>
      </c>
      <c r="H154" s="1197">
        <f>H153-H140</f>
        <v>576.90000000000146</v>
      </c>
      <c r="I154" s="1197">
        <f>I153-I140</f>
        <v>-1.1000000000058208</v>
      </c>
      <c r="J154" s="1197">
        <f>J153-J140</f>
        <v>-0.10000000000582077</v>
      </c>
      <c r="K154" s="1197">
        <f t="shared" si="148"/>
        <v>0.89999999999417923</v>
      </c>
      <c r="L154" s="1197">
        <f t="shared" si="148"/>
        <v>0.89999999999417923</v>
      </c>
      <c r="M154" s="1197">
        <f>M153-M140</f>
        <v>-0.3000000000174623</v>
      </c>
      <c r="N154" s="1197">
        <f t="shared" si="148"/>
        <v>-0.5</v>
      </c>
      <c r="O154" s="1197">
        <f t="shared" si="148"/>
        <v>0</v>
      </c>
      <c r="P154" s="1197">
        <f t="shared" si="148"/>
        <v>0</v>
      </c>
      <c r="Q154" s="1197">
        <f>Q153-Q140</f>
        <v>-1</v>
      </c>
      <c r="R154" s="1197">
        <f t="shared" ref="R154:X154" si="149">R153-R140</f>
        <v>1</v>
      </c>
      <c r="S154" s="1197">
        <f t="shared" si="149"/>
        <v>1.0999999999767169</v>
      </c>
      <c r="T154" s="1197">
        <f>T153-T140</f>
        <v>0</v>
      </c>
      <c r="U154" s="1197">
        <f t="shared" si="149"/>
        <v>0</v>
      </c>
      <c r="V154" s="1197">
        <f t="shared" si="149"/>
        <v>0</v>
      </c>
      <c r="W154" s="1197">
        <f t="shared" ca="1" si="149"/>
        <v>8758.4780116458132</v>
      </c>
      <c r="X154" s="1197">
        <f t="shared" ca="1" si="149"/>
        <v>8758.4751882825512</v>
      </c>
      <c r="Y154" s="1197">
        <f ca="1">Y153-Y140</f>
        <v>8758.4739256346656</v>
      </c>
      <c r="Z154" s="1197">
        <f ca="1">Z153-Z140</f>
        <v>8758.4661373235867</v>
      </c>
      <c r="AA154" s="1197">
        <f ca="1">AA153-AA140</f>
        <v>8758.4512115799007</v>
      </c>
      <c r="AB154" s="1197">
        <f ca="1">AB153-AB140</f>
        <v>8758.4330317147542</v>
      </c>
      <c r="AC154" s="1197">
        <f ca="1">AC153-AC140</f>
        <v>8758.4136606126558</v>
      </c>
      <c r="AD154" s="685"/>
      <c r="AE154" s="685"/>
      <c r="AF154" s="685"/>
      <c r="AG154" s="685"/>
      <c r="AH154" s="685"/>
      <c r="AI154" s="685"/>
      <c r="AJ154" s="685"/>
      <c r="AK154" s="685"/>
      <c r="AL154" s="685"/>
      <c r="AM154" s="685"/>
      <c r="AN154" s="685"/>
      <c r="AO154" s="685"/>
      <c r="AP154" s="685"/>
      <c r="AQ154" s="685"/>
      <c r="AR154" s="685"/>
      <c r="AS154" s="685"/>
      <c r="AT154" s="685"/>
      <c r="AU154" s="685"/>
      <c r="AV154" s="685"/>
      <c r="AW154" s="685"/>
      <c r="AX154" s="685"/>
      <c r="AY154" s="685"/>
    </row>
    <row r="155" spans="1:51">
      <c r="A155" s="685"/>
      <c r="B155" s="1189"/>
      <c r="C155" s="1197"/>
      <c r="D155" s="1197"/>
      <c r="E155" s="1197"/>
      <c r="F155" s="1197"/>
      <c r="G155" s="1197"/>
      <c r="H155" s="1197"/>
      <c r="I155" s="1197"/>
      <c r="J155" s="1197"/>
      <c r="K155" s="1197"/>
      <c r="L155" s="1197"/>
      <c r="M155" s="1198"/>
      <c r="N155" s="1197"/>
      <c r="O155" s="1197"/>
      <c r="P155" s="1197"/>
      <c r="Q155" s="1197"/>
      <c r="R155" s="1197"/>
      <c r="S155" s="1197"/>
      <c r="T155" s="1197"/>
      <c r="U155" s="1197"/>
      <c r="V155" s="1197"/>
      <c r="W155" s="1197"/>
      <c r="X155" s="1197"/>
      <c r="Y155" s="1197"/>
      <c r="Z155" s="1197"/>
      <c r="AA155" s="1197"/>
      <c r="AB155" s="1197"/>
      <c r="AC155" s="1197"/>
      <c r="AD155" s="685"/>
      <c r="AE155" s="685"/>
      <c r="AF155" s="685"/>
      <c r="AG155" s="685"/>
      <c r="AH155" s="685"/>
      <c r="AI155" s="685"/>
      <c r="AJ155" s="685"/>
      <c r="AK155" s="685"/>
      <c r="AL155" s="685"/>
      <c r="AM155" s="685"/>
      <c r="AN155" s="685"/>
      <c r="AO155" s="685"/>
      <c r="AP155" s="685"/>
      <c r="AQ155" s="685"/>
      <c r="AR155" s="685"/>
      <c r="AS155" s="685"/>
      <c r="AT155" s="685"/>
      <c r="AU155" s="685"/>
      <c r="AV155" s="685"/>
      <c r="AW155" s="685"/>
      <c r="AX155" s="685"/>
      <c r="AY155" s="685"/>
    </row>
    <row r="156" spans="1:51">
      <c r="A156" s="685"/>
      <c r="B156" s="1187" t="s">
        <v>224</v>
      </c>
      <c r="C156" s="1188"/>
      <c r="D156" s="1188">
        <f>D147+D144-D130</f>
        <v>0</v>
      </c>
      <c r="E156" s="1188">
        <f t="shared" ref="E156:P156" si="150">E176</f>
        <v>0</v>
      </c>
      <c r="F156" s="1188">
        <f t="shared" si="150"/>
        <v>0</v>
      </c>
      <c r="G156" s="1188">
        <f t="shared" si="150"/>
        <v>0</v>
      </c>
      <c r="H156" s="1188">
        <f>H176</f>
        <v>576.90000000000146</v>
      </c>
      <c r="I156" s="1188">
        <f>I176</f>
        <v>12718</v>
      </c>
      <c r="J156" s="1188">
        <f>J176</f>
        <v>31773</v>
      </c>
      <c r="K156" s="1188">
        <f t="shared" si="150"/>
        <v>25610</v>
      </c>
      <c r="L156" s="1188">
        <f t="shared" si="150"/>
        <v>34993</v>
      </c>
      <c r="M156" s="1188">
        <f t="shared" si="150"/>
        <v>40507.000000000007</v>
      </c>
      <c r="N156" s="1188">
        <f t="shared" si="150"/>
        <v>55481</v>
      </c>
      <c r="O156" s="1188">
        <f t="shared" si="150"/>
        <v>78405.899999999994</v>
      </c>
      <c r="P156" s="1188">
        <f t="shared" si="150"/>
        <v>79273</v>
      </c>
      <c r="Q156" s="1188">
        <f>Q176</f>
        <v>83317.7</v>
      </c>
      <c r="R156" s="1188">
        <f t="shared" ref="R156:X156" si="151">R176</f>
        <v>93733.1</v>
      </c>
      <c r="S156" s="1188">
        <f t="shared" si="151"/>
        <v>96143</v>
      </c>
      <c r="T156" s="1188">
        <f t="shared" si="151"/>
        <v>105219.9</v>
      </c>
      <c r="U156" s="1188">
        <f t="shared" si="151"/>
        <v>54109.7</v>
      </c>
      <c r="V156" s="1188">
        <f t="shared" si="151"/>
        <v>55949.599999999991</v>
      </c>
      <c r="W156" s="1188">
        <f t="shared" ca="1" si="151"/>
        <v>58915.414928870276</v>
      </c>
      <c r="X156" s="1188">
        <f t="shared" ca="1" si="151"/>
        <v>58356.225383469093</v>
      </c>
      <c r="Y156" s="1188">
        <f ca="1">Y176</f>
        <v>56534.767320228821</v>
      </c>
      <c r="Z156" s="1188">
        <f ca="1">Z176</f>
        <v>53923.411629310416</v>
      </c>
      <c r="AA156" s="1188">
        <f ca="1">AA176</f>
        <v>50257.167119492078</v>
      </c>
      <c r="AB156" s="1188">
        <f ca="1">AB176</f>
        <v>46075.951010475808</v>
      </c>
      <c r="AC156" s="1188">
        <f ca="1">AC176</f>
        <v>41461.805049316274</v>
      </c>
      <c r="AD156" s="685"/>
      <c r="AE156" s="685"/>
      <c r="AF156" s="685"/>
      <c r="AG156" s="685"/>
      <c r="AH156" s="685"/>
      <c r="AI156" s="685"/>
      <c r="AJ156" s="685"/>
      <c r="AK156" s="685"/>
      <c r="AL156" s="685"/>
      <c r="AM156" s="685"/>
      <c r="AN156" s="685"/>
      <c r="AO156" s="685"/>
      <c r="AP156" s="685"/>
      <c r="AQ156" s="685"/>
      <c r="AR156" s="685"/>
      <c r="AS156" s="685"/>
      <c r="AT156" s="685"/>
      <c r="AU156" s="685"/>
      <c r="AV156" s="685"/>
      <c r="AW156" s="685"/>
      <c r="AX156" s="685"/>
      <c r="AY156" s="685"/>
    </row>
    <row r="157" spans="1:51">
      <c r="A157" s="685"/>
      <c r="B157" s="1189" t="s">
        <v>225</v>
      </c>
      <c r="C157" s="1197"/>
      <c r="D157" s="1197">
        <f t="shared" ref="D157:AC157" si="152">D156-C156</f>
        <v>0</v>
      </c>
      <c r="E157" s="1197">
        <f t="shared" si="152"/>
        <v>0</v>
      </c>
      <c r="F157" s="1197">
        <f t="shared" si="152"/>
        <v>0</v>
      </c>
      <c r="G157" s="1197">
        <f t="shared" si="152"/>
        <v>0</v>
      </c>
      <c r="H157" s="1197">
        <f>H156-G156</f>
        <v>576.90000000000146</v>
      </c>
      <c r="I157" s="1197">
        <f>I156-H156</f>
        <v>12141.099999999999</v>
      </c>
      <c r="J157" s="1197">
        <f t="shared" si="152"/>
        <v>19055</v>
      </c>
      <c r="K157" s="1197">
        <f t="shared" si="152"/>
        <v>-6163</v>
      </c>
      <c r="L157" s="1197">
        <f t="shared" si="152"/>
        <v>9383</v>
      </c>
      <c r="M157" s="1197">
        <f t="shared" si="152"/>
        <v>5514.0000000000073</v>
      </c>
      <c r="N157" s="1197">
        <f t="shared" si="152"/>
        <v>14973.999999999993</v>
      </c>
      <c r="O157" s="1197">
        <f t="shared" si="152"/>
        <v>22924.899999999994</v>
      </c>
      <c r="P157" s="1197">
        <f t="shared" si="152"/>
        <v>867.10000000000582</v>
      </c>
      <c r="Q157" s="1197">
        <f>Q156-P156</f>
        <v>4044.6999999999971</v>
      </c>
      <c r="R157" s="1197">
        <f t="shared" si="152"/>
        <v>10415.400000000009</v>
      </c>
      <c r="S157" s="1197">
        <f t="shared" si="152"/>
        <v>2409.8999999999942</v>
      </c>
      <c r="T157" s="1197">
        <f t="shared" si="152"/>
        <v>9076.8999999999942</v>
      </c>
      <c r="U157" s="1197">
        <f t="shared" si="152"/>
        <v>-51110.2</v>
      </c>
      <c r="V157" s="1197">
        <f t="shared" si="152"/>
        <v>1839.8999999999942</v>
      </c>
      <c r="W157" s="1197">
        <f t="shared" ca="1" si="152"/>
        <v>2965.8149288702843</v>
      </c>
      <c r="X157" s="1197">
        <f t="shared" ca="1" si="152"/>
        <v>-559.18954540118284</v>
      </c>
      <c r="Y157" s="1197">
        <f t="shared" ca="1" si="152"/>
        <v>-1821.4580632402722</v>
      </c>
      <c r="Z157" s="1197">
        <f t="shared" ca="1" si="152"/>
        <v>-2611.3556909184044</v>
      </c>
      <c r="AA157" s="1197">
        <f t="shared" ca="1" si="152"/>
        <v>-3666.244509818338</v>
      </c>
      <c r="AB157" s="1197">
        <f t="shared" ca="1" si="152"/>
        <v>-4181.2161090162699</v>
      </c>
      <c r="AC157" s="1197">
        <f t="shared" ca="1" si="152"/>
        <v>-4614.1459611595346</v>
      </c>
      <c r="AD157" s="685"/>
      <c r="AE157" s="685"/>
      <c r="AF157" s="685"/>
      <c r="AG157" s="685"/>
      <c r="AH157" s="685"/>
      <c r="AI157" s="685"/>
      <c r="AJ157" s="685"/>
      <c r="AK157" s="685"/>
      <c r="AL157" s="685"/>
      <c r="AM157" s="685"/>
      <c r="AN157" s="685"/>
      <c r="AO157" s="685"/>
      <c r="AP157" s="685"/>
      <c r="AQ157" s="685"/>
      <c r="AR157" s="685"/>
      <c r="AS157" s="685"/>
      <c r="AT157" s="685"/>
      <c r="AU157" s="685"/>
      <c r="AV157" s="685"/>
      <c r="AW157" s="685"/>
      <c r="AX157" s="685"/>
      <c r="AY157" s="685"/>
    </row>
    <row r="158" spans="1:51">
      <c r="A158" s="685"/>
      <c r="B158" s="1189"/>
      <c r="C158" s="1189"/>
      <c r="D158" s="1189"/>
      <c r="E158" s="1189"/>
      <c r="F158" s="1189"/>
      <c r="G158" s="1189"/>
      <c r="H158" s="1197"/>
      <c r="I158" s="1197"/>
      <c r="J158" s="1197"/>
      <c r="K158" s="1197"/>
      <c r="L158" s="1197"/>
      <c r="M158" s="1197"/>
      <c r="N158" s="1197"/>
      <c r="O158" s="1197"/>
      <c r="P158" s="1197"/>
      <c r="Q158" s="1198"/>
      <c r="R158" s="1197"/>
      <c r="S158" s="1197"/>
      <c r="T158" s="1197"/>
      <c r="U158" s="1197"/>
      <c r="V158" s="1197"/>
      <c r="W158" s="1197"/>
      <c r="X158" s="1197"/>
      <c r="Y158" s="1197"/>
      <c r="Z158" s="1197"/>
      <c r="AA158" s="1197"/>
      <c r="AB158" s="1197"/>
      <c r="AC158" s="1197"/>
      <c r="AD158" s="685"/>
      <c r="AE158" s="685"/>
      <c r="AF158" s="685"/>
      <c r="AG158" s="685"/>
      <c r="AH158" s="685"/>
      <c r="AI158" s="685"/>
      <c r="AJ158" s="685"/>
      <c r="AK158" s="685"/>
      <c r="AL158" s="685"/>
      <c r="AM158" s="685"/>
      <c r="AN158" s="685"/>
      <c r="AO158" s="685"/>
      <c r="AP158" s="685"/>
      <c r="AQ158" s="685"/>
      <c r="AR158" s="685"/>
      <c r="AS158" s="685"/>
      <c r="AT158" s="685"/>
      <c r="AU158" s="685"/>
      <c r="AV158" s="685"/>
      <c r="AW158" s="685"/>
      <c r="AX158" s="685"/>
      <c r="AY158" s="685"/>
    </row>
    <row r="159" spans="1:51">
      <c r="A159" s="685"/>
      <c r="B159" s="1189"/>
      <c r="C159" s="1189"/>
      <c r="D159" s="1189"/>
      <c r="E159" s="1189"/>
      <c r="F159" s="1189"/>
      <c r="G159" s="1189"/>
      <c r="H159" s="1197"/>
      <c r="I159" s="1197"/>
      <c r="J159" s="1197"/>
      <c r="K159" s="1197"/>
      <c r="L159" s="1197"/>
      <c r="M159" s="1197"/>
      <c r="N159" s="1197"/>
      <c r="O159" s="1197"/>
      <c r="P159" s="1197"/>
      <c r="Q159" s="1198"/>
      <c r="R159" s="1197"/>
      <c r="S159" s="1197"/>
      <c r="T159" s="1197"/>
      <c r="U159" s="1197"/>
      <c r="V159" s="1197"/>
      <c r="W159" s="1197"/>
      <c r="X159" s="1197"/>
      <c r="Y159" s="1197"/>
      <c r="Z159" s="1197"/>
      <c r="AA159" s="1197"/>
      <c r="AB159" s="1197"/>
      <c r="AC159" s="1197"/>
      <c r="AD159" s="685"/>
      <c r="AE159" s="685"/>
      <c r="AF159" s="685"/>
      <c r="AG159" s="685"/>
      <c r="AH159" s="685"/>
      <c r="AI159" s="685"/>
      <c r="AJ159" s="685"/>
      <c r="AK159" s="685"/>
      <c r="AL159" s="685"/>
      <c r="AM159" s="685"/>
      <c r="AN159" s="685"/>
      <c r="AO159" s="685"/>
      <c r="AP159" s="685"/>
      <c r="AQ159" s="685"/>
      <c r="AR159" s="685"/>
      <c r="AS159" s="685"/>
      <c r="AT159" s="685"/>
      <c r="AU159" s="685"/>
      <c r="AV159" s="685"/>
      <c r="AW159" s="685"/>
      <c r="AX159" s="685"/>
      <c r="AY159" s="685"/>
    </row>
    <row r="160" spans="1:51">
      <c r="A160" s="685"/>
      <c r="B160" s="1189"/>
      <c r="C160" s="1189"/>
      <c r="D160" s="1189"/>
      <c r="E160" s="1189"/>
      <c r="F160" s="1189"/>
      <c r="G160" s="1189"/>
      <c r="H160" s="1197"/>
      <c r="I160" s="1197"/>
      <c r="J160" s="1197"/>
      <c r="K160" s="1197"/>
      <c r="L160" s="1197"/>
      <c r="M160" s="1197"/>
      <c r="N160" s="1197"/>
      <c r="O160" s="1197"/>
      <c r="P160" s="1197"/>
      <c r="Q160" s="1198"/>
      <c r="R160" s="1197"/>
      <c r="S160" s="1197"/>
      <c r="T160" s="1197"/>
      <c r="U160" s="1197"/>
      <c r="V160" s="1197"/>
      <c r="W160" s="1197"/>
      <c r="X160" s="1197"/>
      <c r="Y160" s="1197"/>
      <c r="Z160" s="1197"/>
      <c r="AA160" s="1197"/>
      <c r="AB160" s="1197"/>
      <c r="AC160" s="1197"/>
      <c r="AD160" s="685"/>
      <c r="AE160" s="685"/>
      <c r="AF160" s="685"/>
      <c r="AG160" s="685"/>
      <c r="AH160" s="685"/>
      <c r="AI160" s="685"/>
      <c r="AJ160" s="685"/>
      <c r="AK160" s="685"/>
      <c r="AL160" s="685"/>
      <c r="AM160" s="685"/>
      <c r="AN160" s="685"/>
      <c r="AO160" s="685"/>
      <c r="AP160" s="685"/>
      <c r="AQ160" s="685"/>
      <c r="AR160" s="685"/>
      <c r="AS160" s="685"/>
      <c r="AT160" s="685"/>
      <c r="AU160" s="685"/>
      <c r="AV160" s="685"/>
      <c r="AW160" s="685"/>
      <c r="AX160" s="685"/>
      <c r="AY160" s="685"/>
    </row>
    <row r="161" spans="1:51">
      <c r="A161" s="685"/>
      <c r="B161" s="1186" t="s">
        <v>226</v>
      </c>
      <c r="C161" s="1186">
        <v>2004</v>
      </c>
      <c r="D161" s="1186">
        <f>C161+1</f>
        <v>2005</v>
      </c>
      <c r="E161" s="1186">
        <f t="shared" ref="E161:AC161" si="153">D161+1</f>
        <v>2006</v>
      </c>
      <c r="F161" s="1186">
        <f t="shared" si="153"/>
        <v>2007</v>
      </c>
      <c r="G161" s="1186">
        <f t="shared" si="153"/>
        <v>2008</v>
      </c>
      <c r="H161" s="1186">
        <f t="shared" si="153"/>
        <v>2009</v>
      </c>
      <c r="I161" s="1186">
        <f t="shared" si="153"/>
        <v>2010</v>
      </c>
      <c r="J161" s="1186">
        <f t="shared" si="153"/>
        <v>2011</v>
      </c>
      <c r="K161" s="1186">
        <f t="shared" si="153"/>
        <v>2012</v>
      </c>
      <c r="L161" s="1186">
        <f>K161+1</f>
        <v>2013</v>
      </c>
      <c r="M161" s="1186">
        <f t="shared" si="153"/>
        <v>2014</v>
      </c>
      <c r="N161" s="1186">
        <f t="shared" si="153"/>
        <v>2015</v>
      </c>
      <c r="O161" s="1186">
        <f t="shared" si="153"/>
        <v>2016</v>
      </c>
      <c r="P161" s="1186">
        <f t="shared" si="153"/>
        <v>2017</v>
      </c>
      <c r="Q161" s="1186">
        <f t="shared" si="153"/>
        <v>2018</v>
      </c>
      <c r="R161" s="1186">
        <f t="shared" si="153"/>
        <v>2019</v>
      </c>
      <c r="S161" s="1186">
        <f t="shared" si="153"/>
        <v>2020</v>
      </c>
      <c r="T161" s="1186">
        <f t="shared" si="153"/>
        <v>2021</v>
      </c>
      <c r="U161" s="1186">
        <f t="shared" si="153"/>
        <v>2022</v>
      </c>
      <c r="V161" s="1186">
        <f t="shared" si="153"/>
        <v>2023</v>
      </c>
      <c r="W161" s="1186">
        <f t="shared" si="153"/>
        <v>2024</v>
      </c>
      <c r="X161" s="1186">
        <f t="shared" si="153"/>
        <v>2025</v>
      </c>
      <c r="Y161" s="1186">
        <f t="shared" si="153"/>
        <v>2026</v>
      </c>
      <c r="Z161" s="1186">
        <f t="shared" si="153"/>
        <v>2027</v>
      </c>
      <c r="AA161" s="1186">
        <f t="shared" si="153"/>
        <v>2028</v>
      </c>
      <c r="AB161" s="1186">
        <f t="shared" si="153"/>
        <v>2029</v>
      </c>
      <c r="AC161" s="1186">
        <f t="shared" si="153"/>
        <v>2030</v>
      </c>
      <c r="AD161" s="685"/>
      <c r="AE161" s="685"/>
      <c r="AF161" s="685"/>
      <c r="AG161" s="685"/>
      <c r="AH161" s="685"/>
      <c r="AI161" s="685"/>
      <c r="AJ161" s="685"/>
      <c r="AK161" s="685"/>
      <c r="AL161" s="685"/>
      <c r="AM161" s="685"/>
      <c r="AN161" s="685"/>
      <c r="AO161" s="685"/>
      <c r="AP161" s="685"/>
      <c r="AQ161" s="685"/>
      <c r="AR161" s="685"/>
      <c r="AS161" s="685"/>
      <c r="AT161" s="685"/>
      <c r="AU161" s="685"/>
      <c r="AV161" s="685"/>
      <c r="AW161" s="685"/>
      <c r="AX161" s="685"/>
      <c r="AY161" s="685"/>
    </row>
    <row r="162" spans="1:51">
      <c r="A162" s="685"/>
      <c r="B162" s="1189" t="s">
        <v>203</v>
      </c>
      <c r="C162" s="1197"/>
      <c r="D162" s="1197"/>
      <c r="E162" s="1197"/>
      <c r="F162" s="1197"/>
      <c r="G162" s="1197"/>
      <c r="H162" s="1197">
        <f t="shared" ref="H162:AC162" si="154">H116</f>
        <v>13346.45</v>
      </c>
      <c r="I162" s="1197">
        <f t="shared" si="154"/>
        <v>8799.0699999999979</v>
      </c>
      <c r="J162" s="1197">
        <f t="shared" si="154"/>
        <v>13794.86</v>
      </c>
      <c r="K162" s="1197">
        <f t="shared" si="154"/>
        <v>15019.84</v>
      </c>
      <c r="L162" s="1197">
        <f t="shared" si="154"/>
        <v>13432.048890624999</v>
      </c>
      <c r="M162" s="1197">
        <f t="shared" si="154"/>
        <v>13062.938999999998</v>
      </c>
      <c r="N162" s="1197">
        <f t="shared" si="154"/>
        <v>6897.6019999999999</v>
      </c>
      <c r="O162" s="1197">
        <f t="shared" si="154"/>
        <v>5664.8199999999979</v>
      </c>
      <c r="P162" s="1197">
        <f t="shared" si="154"/>
        <v>16059.169999999998</v>
      </c>
      <c r="Q162" s="1197">
        <f t="shared" si="154"/>
        <v>17911.550000000003</v>
      </c>
      <c r="R162" s="1197">
        <f t="shared" si="154"/>
        <v>19150.974999999999</v>
      </c>
      <c r="S162" s="1197">
        <f t="shared" si="154"/>
        <v>18631.987999999998</v>
      </c>
      <c r="T162" s="1197">
        <f t="shared" si="154"/>
        <v>20291.507729586941</v>
      </c>
      <c r="U162" s="1197">
        <f t="shared" si="154"/>
        <v>8321.8700000000008</v>
      </c>
      <c r="V162" s="1197">
        <f t="shared" si="154"/>
        <v>9553.6500000000015</v>
      </c>
      <c r="W162" s="1200">
        <f>W116-1500</f>
        <v>9996.3120334860087</v>
      </c>
      <c r="X162" s="1197">
        <f t="shared" si="154"/>
        <v>9109.2065129939092</v>
      </c>
      <c r="Y162" s="1197">
        <f t="shared" si="154"/>
        <v>8902.5243290215003</v>
      </c>
      <c r="Z162" s="1197">
        <f t="shared" si="154"/>
        <v>9021.5544275112406</v>
      </c>
      <c r="AA162" s="1197">
        <f t="shared" si="154"/>
        <v>9224.2215214415446</v>
      </c>
      <c r="AB162" s="1197">
        <f t="shared" si="154"/>
        <v>9475.2063127623478</v>
      </c>
      <c r="AC162" s="1197">
        <f t="shared" si="154"/>
        <v>9612.5219356450998</v>
      </c>
      <c r="AD162" s="685"/>
      <c r="AE162" s="685"/>
      <c r="AF162" s="685"/>
      <c r="AG162" s="685"/>
      <c r="AH162" s="685"/>
      <c r="AI162" s="685"/>
      <c r="AJ162" s="685"/>
      <c r="AK162" s="685"/>
      <c r="AL162" s="685"/>
      <c r="AM162" s="685"/>
      <c r="AN162" s="685"/>
      <c r="AO162" s="685"/>
      <c r="AP162" s="685"/>
      <c r="AQ162" s="685"/>
      <c r="AR162" s="685"/>
      <c r="AS162" s="685"/>
      <c r="AT162" s="685"/>
      <c r="AU162" s="685"/>
      <c r="AV162" s="685"/>
      <c r="AW162" s="685"/>
      <c r="AX162" s="685"/>
      <c r="AY162" s="685"/>
    </row>
    <row r="163" spans="1:51">
      <c r="A163" s="685"/>
      <c r="B163" s="1189" t="s">
        <v>227</v>
      </c>
      <c r="C163" s="1197"/>
      <c r="D163" s="1197"/>
      <c r="E163" s="1197"/>
      <c r="F163" s="1197"/>
      <c r="G163" s="1197"/>
      <c r="H163" s="1197">
        <f>-H236</f>
        <v>-2973</v>
      </c>
      <c r="I163" s="1197">
        <f>-I236</f>
        <v>-3028</v>
      </c>
      <c r="J163" s="1197">
        <f t="shared" ref="J163:P163" si="155">-J236</f>
        <v>-4143</v>
      </c>
      <c r="K163" s="1197">
        <f t="shared" si="155"/>
        <v>-3350.5</v>
      </c>
      <c r="L163" s="1197">
        <f t="shared" si="155"/>
        <v>885</v>
      </c>
      <c r="M163" s="1197">
        <f t="shared" si="155"/>
        <v>-4329</v>
      </c>
      <c r="N163" s="1197">
        <f t="shared" si="155"/>
        <v>1702</v>
      </c>
      <c r="O163" s="1197">
        <f t="shared" si="155"/>
        <v>-9532.1</v>
      </c>
      <c r="P163" s="1197">
        <f t="shared" si="155"/>
        <v>-5305</v>
      </c>
      <c r="Q163" s="1197">
        <f>-Q236</f>
        <v>-8779.6</v>
      </c>
      <c r="R163" s="1197">
        <f t="shared" ref="R163:X163" si="156">-R236</f>
        <v>-8810.8000000000011</v>
      </c>
      <c r="S163" s="1197">
        <f t="shared" si="156"/>
        <v>-5584.2</v>
      </c>
      <c r="T163" s="1197">
        <f t="shared" si="156"/>
        <v>-11918</v>
      </c>
      <c r="U163" s="1197">
        <f t="shared" si="156"/>
        <v>-9206.2000000000007</v>
      </c>
      <c r="V163" s="1197">
        <f t="shared" si="156"/>
        <v>-4624.2999999999993</v>
      </c>
      <c r="W163" s="1197">
        <f t="shared" ca="1" si="156"/>
        <v>-4586.7847606338692</v>
      </c>
      <c r="X163" s="1197">
        <f t="shared" ca="1" si="156"/>
        <v>-4942.0396161709232</v>
      </c>
      <c r="Y163" s="1197">
        <f ca="1">-Y236</f>
        <v>-4872.2733613876389</v>
      </c>
      <c r="Z163" s="1197">
        <f ca="1">-Z236</f>
        <v>-4731.9534104969716</v>
      </c>
      <c r="AA163" s="1197">
        <f ca="1">-AA236</f>
        <v>-4528.2394431840949</v>
      </c>
      <c r="AB163" s="1197">
        <f ca="1">-AB236</f>
        <v>-4270.6216297725532</v>
      </c>
      <c r="AC163" s="1197">
        <f ca="1">-AC236</f>
        <v>-3980.5631004840288</v>
      </c>
      <c r="AD163" s="685"/>
      <c r="AE163" s="685"/>
      <c r="AF163" s="685"/>
      <c r="AG163" s="685"/>
      <c r="AH163" s="685"/>
      <c r="AI163" s="685"/>
      <c r="AJ163" s="685"/>
      <c r="AK163" s="685"/>
      <c r="AL163" s="685"/>
      <c r="AM163" s="685"/>
      <c r="AN163" s="685"/>
      <c r="AO163" s="685"/>
      <c r="AP163" s="685"/>
      <c r="AQ163" s="685"/>
      <c r="AR163" s="685"/>
      <c r="AS163" s="685"/>
      <c r="AT163" s="685"/>
      <c r="AU163" s="685"/>
      <c r="AV163" s="685"/>
      <c r="AW163" s="685"/>
      <c r="AX163" s="685"/>
      <c r="AY163" s="685"/>
    </row>
    <row r="164" spans="1:51">
      <c r="A164" s="685"/>
      <c r="B164" s="1189" t="s">
        <v>228</v>
      </c>
      <c r="C164" s="1197"/>
      <c r="D164" s="1197"/>
      <c r="E164" s="1197"/>
      <c r="F164" s="1197"/>
      <c r="G164" s="1197"/>
      <c r="H164" s="1197">
        <f>-H349</f>
        <v>-3121</v>
      </c>
      <c r="I164" s="1197">
        <f>-I349</f>
        <v>-3259</v>
      </c>
      <c r="J164" s="1197">
        <f>-J349</f>
        <v>-3410</v>
      </c>
      <c r="K164" s="1197">
        <f t="shared" ref="K164:P164" si="157">-K349</f>
        <v>-4053</v>
      </c>
      <c r="L164" s="1197">
        <f>-L349</f>
        <v>-3728.9999999999995</v>
      </c>
      <c r="M164" s="1197">
        <f t="shared" si="157"/>
        <v>-2983</v>
      </c>
      <c r="N164" s="1197">
        <f t="shared" si="157"/>
        <v>-4396.5599999999995</v>
      </c>
      <c r="O164" s="1197">
        <f t="shared" si="157"/>
        <v>-7269</v>
      </c>
      <c r="P164" s="1197">
        <f t="shared" si="157"/>
        <v>-6420</v>
      </c>
      <c r="Q164" s="1197">
        <f>-Q349</f>
        <v>-6723</v>
      </c>
      <c r="R164" s="1197">
        <f t="shared" ref="R164:X164" si="158">-R349</f>
        <v>-4593.5</v>
      </c>
      <c r="S164" s="1197">
        <f t="shared" si="158"/>
        <v>-8681</v>
      </c>
      <c r="T164" s="1197">
        <f t="shared" si="158"/>
        <v>-9166</v>
      </c>
      <c r="U164" s="1197">
        <f t="shared" si="158"/>
        <v>-12188</v>
      </c>
      <c r="V164" s="1197">
        <f t="shared" si="158"/>
        <v>-7014.3090000000002</v>
      </c>
      <c r="W164" s="1197">
        <f t="shared" ca="1" si="158"/>
        <v>746.5544852392967</v>
      </c>
      <c r="X164" s="1197">
        <f t="shared" ca="1" si="158"/>
        <v>455.97547571896786</v>
      </c>
      <c r="Y164" s="1197">
        <f ca="1">-Y349</f>
        <v>369.65278184170018</v>
      </c>
      <c r="Z164" s="1197">
        <f ca="1">-Z349</f>
        <v>228.11978514094324</v>
      </c>
      <c r="AA164" s="1197">
        <f ca="1">-AA349</f>
        <v>15.50624060775117</v>
      </c>
      <c r="AB164" s="1197">
        <f ca="1">-AB349</f>
        <v>-234.07218772027571</v>
      </c>
      <c r="AC164" s="1197">
        <f ca="1">-AC349</f>
        <v>-498.6733193940974</v>
      </c>
      <c r="AD164" s="685"/>
      <c r="AE164" s="685"/>
      <c r="AF164" s="685"/>
      <c r="AG164" s="685"/>
      <c r="AH164" s="685"/>
      <c r="AI164" s="685"/>
      <c r="AJ164" s="685"/>
      <c r="AK164" s="685"/>
      <c r="AL164" s="685"/>
      <c r="AM164" s="685"/>
      <c r="AN164" s="685"/>
      <c r="AO164" s="685"/>
      <c r="AP164" s="685"/>
      <c r="AQ164" s="685"/>
      <c r="AR164" s="685"/>
      <c r="AS164" s="685"/>
      <c r="AT164" s="685"/>
      <c r="AU164" s="685"/>
      <c r="AV164" s="685"/>
      <c r="AW164" s="685"/>
      <c r="AX164" s="685"/>
      <c r="AY164" s="685"/>
    </row>
    <row r="165" spans="1:51">
      <c r="A165" s="685"/>
      <c r="B165" s="1189" t="s">
        <v>229</v>
      </c>
      <c r="C165" s="1197"/>
      <c r="D165" s="1197"/>
      <c r="E165" s="1197"/>
      <c r="F165" s="1197"/>
      <c r="G165" s="1197"/>
      <c r="H165" s="1197">
        <f>H301</f>
        <v>0</v>
      </c>
      <c r="I165" s="1197">
        <f>I301</f>
        <v>7312</v>
      </c>
      <c r="J165" s="1197">
        <f>J301</f>
        <v>1914</v>
      </c>
      <c r="K165" s="1197">
        <f t="shared" ref="K165:P165" si="159">K301</f>
        <v>-612</v>
      </c>
      <c r="L165" s="1197">
        <f>L301</f>
        <v>3956</v>
      </c>
      <c r="M165" s="1197">
        <f t="shared" si="159"/>
        <v>-7848.8999999999978</v>
      </c>
      <c r="N165" s="1197">
        <f t="shared" si="159"/>
        <v>10889.599999999993</v>
      </c>
      <c r="O165" s="1197">
        <f t="shared" si="159"/>
        <v>1519.0999999999976</v>
      </c>
      <c r="P165" s="1197">
        <f t="shared" si="159"/>
        <v>-7444.7999999999938</v>
      </c>
      <c r="Q165" s="1197">
        <f>Q301</f>
        <v>11570.000000000002</v>
      </c>
      <c r="R165" s="1197">
        <f t="shared" ref="R165:X165" si="160">R301</f>
        <v>-9514.2999999999975</v>
      </c>
      <c r="S165" s="1197">
        <f t="shared" si="160"/>
        <v>-2134.7000000000053</v>
      </c>
      <c r="T165" s="1197">
        <f t="shared" si="160"/>
        <v>80.300000000019281</v>
      </c>
      <c r="U165" s="1197">
        <f t="shared" si="160"/>
        <v>-6119.1000000000167</v>
      </c>
      <c r="V165" s="1197">
        <f t="shared" si="160"/>
        <v>-8211.7999999999975</v>
      </c>
      <c r="W165" s="1197">
        <f t="shared" si="160"/>
        <v>-4688.3941526020753</v>
      </c>
      <c r="X165" s="1197">
        <f t="shared" si="160"/>
        <v>143.55866860207107</v>
      </c>
      <c r="Y165" s="1197">
        <f>Y301</f>
        <v>793.35701914749006</v>
      </c>
      <c r="Z165" s="1197">
        <f>Z301</f>
        <v>283.27314464682104</v>
      </c>
      <c r="AA165" s="1197">
        <f>AA301</f>
        <v>106.65541633951261</v>
      </c>
      <c r="AB165" s="1197">
        <f>AB301</f>
        <v>57.59614018407683</v>
      </c>
      <c r="AC165" s="1197">
        <f>AC301</f>
        <v>6.0540251536292544</v>
      </c>
      <c r="AD165" s="685"/>
      <c r="AE165" s="685"/>
      <c r="AF165" s="685"/>
      <c r="AG165" s="685"/>
      <c r="AH165" s="685"/>
      <c r="AI165" s="685"/>
      <c r="AJ165" s="685"/>
      <c r="AK165" s="685"/>
      <c r="AL165" s="685"/>
      <c r="AM165" s="685"/>
      <c r="AN165" s="685"/>
      <c r="AO165" s="685"/>
      <c r="AP165" s="685"/>
      <c r="AQ165" s="685"/>
      <c r="AR165" s="685"/>
      <c r="AS165" s="685"/>
      <c r="AT165" s="685"/>
      <c r="AU165" s="685"/>
      <c r="AV165" s="685"/>
      <c r="AW165" s="685"/>
      <c r="AX165" s="685"/>
      <c r="AY165" s="685"/>
    </row>
    <row r="166" spans="1:51">
      <c r="A166" s="685"/>
      <c r="B166" s="1189" t="s">
        <v>230</v>
      </c>
      <c r="C166" s="1197"/>
      <c r="D166" s="1197"/>
      <c r="E166" s="1197"/>
      <c r="F166" s="1197"/>
      <c r="G166" s="1197"/>
      <c r="H166" s="1197"/>
      <c r="I166" s="1197">
        <f t="shared" ref="I166:P166" si="161">I311+I314</f>
        <v>0</v>
      </c>
      <c r="J166" s="1197">
        <f>J311+J314</f>
        <v>0</v>
      </c>
      <c r="K166" s="1197">
        <f t="shared" si="161"/>
        <v>0</v>
      </c>
      <c r="L166" s="1197">
        <f>L311+L314</f>
        <v>0</v>
      </c>
      <c r="M166" s="1197">
        <f t="shared" si="161"/>
        <v>0</v>
      </c>
      <c r="N166" s="1197">
        <f t="shared" si="161"/>
        <v>0</v>
      </c>
      <c r="O166" s="1197">
        <f t="shared" si="161"/>
        <v>0</v>
      </c>
      <c r="P166" s="1197">
        <f t="shared" si="161"/>
        <v>0</v>
      </c>
      <c r="Q166" s="1197">
        <f>Q311+Q314</f>
        <v>0</v>
      </c>
      <c r="R166" s="1197">
        <f t="shared" ref="R166:X166" si="162">R311+R314</f>
        <v>0</v>
      </c>
      <c r="S166" s="1197">
        <f t="shared" si="162"/>
        <v>0</v>
      </c>
      <c r="T166" s="1197">
        <f t="shared" si="162"/>
        <v>0</v>
      </c>
      <c r="U166" s="1197">
        <f t="shared" si="162"/>
        <v>0</v>
      </c>
      <c r="V166" s="1197">
        <f t="shared" si="162"/>
        <v>0</v>
      </c>
      <c r="W166" s="1197">
        <f t="shared" si="162"/>
        <v>0</v>
      </c>
      <c r="X166" s="1197">
        <f t="shared" si="162"/>
        <v>0</v>
      </c>
      <c r="Y166" s="1197">
        <f>Y311+Y314</f>
        <v>0</v>
      </c>
      <c r="Z166" s="1197">
        <f>Z311+Z314</f>
        <v>0</v>
      </c>
      <c r="AA166" s="1197">
        <f>AA311+AA314</f>
        <v>0</v>
      </c>
      <c r="AB166" s="1197">
        <f>AB311+AB314</f>
        <v>0</v>
      </c>
      <c r="AC166" s="1197">
        <f>AC311+AC314</f>
        <v>0</v>
      </c>
      <c r="AD166" s="685"/>
      <c r="AE166" s="685"/>
      <c r="AF166" s="685"/>
      <c r="AG166" s="685"/>
      <c r="AH166" s="685"/>
      <c r="AI166" s="685"/>
      <c r="AJ166" s="685"/>
      <c r="AK166" s="685"/>
      <c r="AL166" s="685"/>
      <c r="AM166" s="685"/>
      <c r="AN166" s="685"/>
      <c r="AO166" s="685"/>
      <c r="AP166" s="685"/>
      <c r="AQ166" s="685"/>
      <c r="AR166" s="685"/>
      <c r="AS166" s="685"/>
      <c r="AT166" s="685"/>
      <c r="AU166" s="685"/>
      <c r="AV166" s="685"/>
      <c r="AW166" s="685"/>
      <c r="AX166" s="685"/>
      <c r="AY166" s="685"/>
    </row>
    <row r="167" spans="1:51">
      <c r="A167" s="685"/>
      <c r="B167" s="1189" t="s">
        <v>231</v>
      </c>
      <c r="C167" s="1197"/>
      <c r="D167" s="1197"/>
      <c r="E167" s="1197"/>
      <c r="F167" s="1197"/>
      <c r="G167" s="1197"/>
      <c r="H167" s="1197">
        <f>-H520</f>
        <v>0</v>
      </c>
      <c r="I167" s="1197">
        <f t="shared" ref="I167:AC167" si="163">-I520</f>
        <v>-1066.6543162393161</v>
      </c>
      <c r="J167" s="1197">
        <f t="shared" si="163"/>
        <v>-1084.2353846153844</v>
      </c>
      <c r="K167" s="1197">
        <f t="shared" si="163"/>
        <v>-1094.060811965812</v>
      </c>
      <c r="L167" s="1197">
        <f t="shared" si="163"/>
        <v>-1098.0747435897435</v>
      </c>
      <c r="M167" s="1197">
        <f t="shared" si="163"/>
        <v>0</v>
      </c>
      <c r="N167" s="1197">
        <f t="shared" si="163"/>
        <v>-1084.1938034188033</v>
      </c>
      <c r="O167" s="1197">
        <f t="shared" si="163"/>
        <v>-1084.1938034188033</v>
      </c>
      <c r="P167" s="1197">
        <f t="shared" si="163"/>
        <v>-1084.1938034188033</v>
      </c>
      <c r="Q167" s="1197">
        <f t="shared" si="163"/>
        <v>-1068.8679914529912</v>
      </c>
      <c r="R167" s="1197">
        <f t="shared" si="163"/>
        <v>0</v>
      </c>
      <c r="S167" s="1197">
        <f t="shared" si="163"/>
        <v>-1068.8679914529912</v>
      </c>
      <c r="T167" s="1197">
        <f t="shared" si="163"/>
        <v>-1053.3920000000001</v>
      </c>
      <c r="U167" s="1197">
        <f t="shared" si="163"/>
        <v>-1053.3920000000001</v>
      </c>
      <c r="V167" s="1197">
        <f t="shared" si="163"/>
        <v>-1027.354</v>
      </c>
      <c r="W167" s="1197">
        <f t="shared" si="163"/>
        <v>-1078.0036153101805</v>
      </c>
      <c r="X167" s="1197">
        <f t="shared" si="163"/>
        <v>-1078.0036153101805</v>
      </c>
      <c r="Y167" s="1197">
        <f t="shared" si="163"/>
        <v>-1078.0036153101805</v>
      </c>
      <c r="Z167" s="1197">
        <f t="shared" si="163"/>
        <v>-1078.0036153101805</v>
      </c>
      <c r="AA167" s="1197">
        <f t="shared" si="163"/>
        <v>-1078.0036153101805</v>
      </c>
      <c r="AB167" s="1197">
        <f t="shared" si="163"/>
        <v>-1078.0036153101805</v>
      </c>
      <c r="AC167" s="1197">
        <f t="shared" si="163"/>
        <v>-1078.0036153101805</v>
      </c>
      <c r="AD167" s="685"/>
      <c r="AE167" s="685"/>
      <c r="AF167" s="685"/>
      <c r="AG167" s="685"/>
      <c r="AH167" s="685"/>
      <c r="AI167" s="685"/>
      <c r="AJ167" s="685"/>
      <c r="AK167" s="685"/>
      <c r="AL167" s="685"/>
      <c r="AM167" s="685"/>
      <c r="AN167" s="685"/>
      <c r="AO167" s="685"/>
      <c r="AP167" s="685"/>
      <c r="AQ167" s="685"/>
      <c r="AR167" s="685"/>
      <c r="AS167" s="685"/>
      <c r="AT167" s="685"/>
      <c r="AU167" s="685"/>
      <c r="AV167" s="685"/>
      <c r="AW167" s="685"/>
      <c r="AX167" s="685"/>
      <c r="AY167" s="685"/>
    </row>
    <row r="168" spans="1:51">
      <c r="A168" s="685"/>
      <c r="B168" s="1189" t="s">
        <v>963</v>
      </c>
      <c r="C168" s="1197"/>
      <c r="D168" s="1197"/>
      <c r="E168" s="1197"/>
      <c r="F168" s="1197"/>
      <c r="G168" s="1197"/>
      <c r="H168" s="1197">
        <f>-H410</f>
        <v>-76.3</v>
      </c>
      <c r="I168" s="1197">
        <f>-I410</f>
        <v>-243.55799999999999</v>
      </c>
      <c r="J168" s="1197">
        <f>-J410</f>
        <v>-2649</v>
      </c>
      <c r="K168" s="1197" t="e">
        <f>-(#REF!+#REF!)</f>
        <v>#REF!</v>
      </c>
      <c r="L168" s="1197" t="e">
        <f>-(#REF!+#REF!)</f>
        <v>#REF!</v>
      </c>
      <c r="M168" s="1197" t="e">
        <f>-(#REF!+#REF!)</f>
        <v>#REF!</v>
      </c>
      <c r="N168" s="1197">
        <f t="shared" ref="N168:T168" si="164">-N400</f>
        <v>0</v>
      </c>
      <c r="O168" s="1197">
        <f t="shared" si="164"/>
        <v>0</v>
      </c>
      <c r="P168" s="1197">
        <f t="shared" si="164"/>
        <v>0</v>
      </c>
      <c r="Q168" s="1197">
        <f t="shared" si="164"/>
        <v>0</v>
      </c>
      <c r="R168" s="1197">
        <f t="shared" si="164"/>
        <v>0</v>
      </c>
      <c r="S168" s="1197">
        <f t="shared" si="164"/>
        <v>-1420</v>
      </c>
      <c r="T168" s="1197">
        <f t="shared" si="164"/>
        <v>-329</v>
      </c>
      <c r="U168" s="1197">
        <f>-U400</f>
        <v>0</v>
      </c>
      <c r="V168" s="1197">
        <f t="shared" ref="V168:AC168" si="165">-V400</f>
        <v>0</v>
      </c>
      <c r="W168" s="1197">
        <f t="shared" si="165"/>
        <v>0</v>
      </c>
      <c r="X168" s="1197">
        <f t="shared" si="165"/>
        <v>-52.215347057762266</v>
      </c>
      <c r="Y168" s="1197">
        <f t="shared" si="165"/>
        <v>-57.436881763538494</v>
      </c>
      <c r="Z168" s="1197">
        <f t="shared" si="165"/>
        <v>-63.180569939892351</v>
      </c>
      <c r="AA168" s="1197">
        <f t="shared" si="165"/>
        <v>-69.498626933881596</v>
      </c>
      <c r="AB168" s="1197">
        <f t="shared" si="165"/>
        <v>-76.448489627269765</v>
      </c>
      <c r="AC168" s="1197">
        <f t="shared" si="165"/>
        <v>-84.093338589996748</v>
      </c>
      <c r="AD168" s="685"/>
      <c r="AE168" s="685"/>
      <c r="AF168" s="685"/>
      <c r="AG168" s="685"/>
      <c r="AH168" s="685"/>
      <c r="AI168" s="685"/>
      <c r="AJ168" s="685"/>
      <c r="AK168" s="685"/>
      <c r="AL168" s="685"/>
      <c r="AM168" s="685"/>
      <c r="AN168" s="685"/>
      <c r="AO168" s="685"/>
      <c r="AP168" s="685"/>
      <c r="AQ168" s="685"/>
      <c r="AR168" s="685"/>
      <c r="AS168" s="685"/>
      <c r="AT168" s="685"/>
      <c r="AU168" s="685"/>
      <c r="AV168" s="685"/>
      <c r="AW168" s="685"/>
      <c r="AX168" s="685"/>
      <c r="AY168" s="685"/>
    </row>
    <row r="169" spans="1:51">
      <c r="A169" s="685"/>
      <c r="B169" s="1189" t="s">
        <v>232</v>
      </c>
      <c r="C169" s="1197"/>
      <c r="D169" s="1197"/>
      <c r="E169" s="1197"/>
      <c r="F169" s="1197"/>
      <c r="G169" s="1197"/>
      <c r="H169" s="1197">
        <f>-H413</f>
        <v>-705.1</v>
      </c>
      <c r="I169" s="1197">
        <f>-I413</f>
        <v>-1274</v>
      </c>
      <c r="J169" s="1197">
        <f>J413</f>
        <v>0</v>
      </c>
      <c r="K169" s="1197">
        <f t="shared" ref="K169:X169" si="166">K413</f>
        <v>0</v>
      </c>
      <c r="L169" s="1197">
        <f t="shared" si="166"/>
        <v>0</v>
      </c>
      <c r="M169" s="1197">
        <f t="shared" si="166"/>
        <v>0</v>
      </c>
      <c r="N169" s="1197">
        <f t="shared" si="166"/>
        <v>0</v>
      </c>
      <c r="O169" s="1197">
        <f t="shared" si="166"/>
        <v>0</v>
      </c>
      <c r="P169" s="1197">
        <f t="shared" si="166"/>
        <v>0</v>
      </c>
      <c r="Q169" s="1197">
        <f>Q413</f>
        <v>0</v>
      </c>
      <c r="R169" s="1197">
        <f>R413</f>
        <v>-1367.5213675213674</v>
      </c>
      <c r="S169" s="1197">
        <f t="shared" si="166"/>
        <v>394.87179487179486</v>
      </c>
      <c r="T169" s="1197">
        <f t="shared" si="166"/>
        <v>-1278</v>
      </c>
      <c r="U169" s="1197">
        <f t="shared" si="166"/>
        <v>-629</v>
      </c>
      <c r="V169" s="1197">
        <f>V413</f>
        <v>-1197.0820000000001</v>
      </c>
      <c r="W169" s="1197">
        <f t="shared" si="166"/>
        <v>0</v>
      </c>
      <c r="X169" s="1197">
        <f t="shared" si="166"/>
        <v>-500</v>
      </c>
      <c r="Y169" s="1197">
        <f>Y413</f>
        <v>-500</v>
      </c>
      <c r="Z169" s="1197">
        <f>Z413</f>
        <v>-500</v>
      </c>
      <c r="AA169" s="1197">
        <f>AA413</f>
        <v>-500</v>
      </c>
      <c r="AB169" s="1197">
        <f>AB413</f>
        <v>-500</v>
      </c>
      <c r="AC169" s="1197">
        <f>AC413</f>
        <v>-500</v>
      </c>
      <c r="AD169" s="685"/>
      <c r="AE169" s="685"/>
      <c r="AF169" s="685"/>
      <c r="AG169" s="685"/>
      <c r="AH169" s="685"/>
      <c r="AI169" s="685"/>
      <c r="AJ169" s="685"/>
      <c r="AK169" s="685"/>
      <c r="AL169" s="685"/>
      <c r="AM169" s="685"/>
      <c r="AN169" s="685"/>
      <c r="AO169" s="685"/>
      <c r="AP169" s="685"/>
      <c r="AQ169" s="685"/>
      <c r="AR169" s="685"/>
      <c r="AS169" s="685"/>
      <c r="AT169" s="685"/>
      <c r="AU169" s="685"/>
      <c r="AV169" s="685"/>
      <c r="AW169" s="685"/>
      <c r="AX169" s="685"/>
      <c r="AY169" s="685"/>
    </row>
    <row r="170" spans="1:51">
      <c r="A170" s="685"/>
      <c r="B170" s="1189" t="s">
        <v>233</v>
      </c>
      <c r="C170" s="1197"/>
      <c r="D170" s="1197"/>
      <c r="E170" s="1197"/>
      <c r="F170" s="1197"/>
      <c r="G170" s="1197"/>
      <c r="H170" s="1197"/>
      <c r="I170" s="1197"/>
      <c r="J170" s="1197"/>
      <c r="K170" s="1197"/>
      <c r="L170" s="1197">
        <f t="shared" ref="L170:Q170" ca="1" si="167">-L215</f>
        <v>0</v>
      </c>
      <c r="M170" s="1197">
        <f t="shared" ca="1" si="167"/>
        <v>0</v>
      </c>
      <c r="N170" s="1197">
        <f t="shared" si="167"/>
        <v>-1634.8</v>
      </c>
      <c r="O170" s="1197">
        <f t="shared" si="167"/>
        <v>-2788</v>
      </c>
      <c r="P170" s="1197">
        <f t="shared" si="167"/>
        <v>-1649</v>
      </c>
      <c r="Q170" s="1197">
        <f t="shared" si="167"/>
        <v>-7779</v>
      </c>
      <c r="R170" s="1197">
        <f t="shared" ref="R170:X170" si="168">-R215</f>
        <v>-2107</v>
      </c>
      <c r="S170" s="1197">
        <f t="shared" si="168"/>
        <v>-1235</v>
      </c>
      <c r="T170" s="1197">
        <f t="shared" si="168"/>
        <v>-1899.4</v>
      </c>
      <c r="U170" s="1197">
        <f t="shared" si="168"/>
        <v>-1807</v>
      </c>
      <c r="V170" s="1197">
        <f t="shared" si="168"/>
        <v>-1869.7070000000001</v>
      </c>
      <c r="W170" s="1197">
        <f t="shared" si="168"/>
        <v>-1869.7070000000001</v>
      </c>
      <c r="X170" s="1197">
        <f t="shared" si="168"/>
        <v>-1869.7070000000001</v>
      </c>
      <c r="Y170" s="1197">
        <f>-Y215</f>
        <v>-1869.7070000000001</v>
      </c>
      <c r="Z170" s="1197">
        <f>-Z215</f>
        <v>-1869.7070000000001</v>
      </c>
      <c r="AA170" s="1197">
        <f>-AA215</f>
        <v>-1869.7070000000001</v>
      </c>
      <c r="AB170" s="1197">
        <f>-AB215</f>
        <v>-1869.7070000000001</v>
      </c>
      <c r="AC170" s="1197">
        <f>-AC215</f>
        <v>-1869.7070000000001</v>
      </c>
      <c r="AD170" s="685"/>
      <c r="AE170" s="685"/>
      <c r="AF170" s="685"/>
      <c r="AG170" s="685"/>
      <c r="AH170" s="685"/>
      <c r="AI170" s="685"/>
      <c r="AJ170" s="685"/>
      <c r="AK170" s="685"/>
      <c r="AL170" s="685"/>
      <c r="AM170" s="685"/>
      <c r="AN170" s="685"/>
      <c r="AO170" s="685"/>
      <c r="AP170" s="685"/>
      <c r="AQ170" s="685"/>
      <c r="AR170" s="685"/>
      <c r="AS170" s="685"/>
      <c r="AT170" s="685"/>
      <c r="AU170" s="685"/>
      <c r="AV170" s="685"/>
      <c r="AW170" s="685"/>
      <c r="AX170" s="685"/>
      <c r="AY170" s="685"/>
    </row>
    <row r="171" spans="1:51">
      <c r="A171" s="685"/>
      <c r="B171" s="1189" t="s">
        <v>5035</v>
      </c>
      <c r="C171" s="1197"/>
      <c r="D171" s="1197"/>
      <c r="E171" s="1197"/>
      <c r="F171" s="1197"/>
      <c r="G171" s="1197"/>
      <c r="H171" s="1197"/>
      <c r="I171" s="1197"/>
      <c r="J171" s="1197"/>
      <c r="K171" s="1197"/>
      <c r="L171" s="1197"/>
      <c r="M171" s="1197"/>
      <c r="N171" s="1197"/>
      <c r="O171" s="1197"/>
      <c r="P171" s="1197"/>
      <c r="Q171" s="1197"/>
      <c r="R171" s="1197">
        <f>-R200</f>
        <v>-600</v>
      </c>
      <c r="S171" s="1197">
        <f t="shared" ref="S171:X171" si="169">-S200</f>
        <v>-208</v>
      </c>
      <c r="T171" s="1197">
        <f t="shared" si="169"/>
        <v>-216</v>
      </c>
      <c r="U171" s="1197">
        <f t="shared" si="169"/>
        <v>-249</v>
      </c>
      <c r="V171" s="1197">
        <f t="shared" si="169"/>
        <v>-1345.002</v>
      </c>
      <c r="W171" s="1197">
        <f t="shared" si="169"/>
        <v>-1385.3520599999999</v>
      </c>
      <c r="X171" s="1197">
        <f t="shared" si="169"/>
        <v>-1426.9126217999999</v>
      </c>
      <c r="Y171" s="1197">
        <f>-Y200</f>
        <v>-1469.720000454</v>
      </c>
      <c r="Z171" s="1197">
        <f>-Z200</f>
        <v>-1513.8116004676201</v>
      </c>
      <c r="AA171" s="1197">
        <f>-AA200</f>
        <v>-1559.2259484816489</v>
      </c>
      <c r="AB171" s="1197">
        <f>-AB200</f>
        <v>-1606.0027269360983</v>
      </c>
      <c r="AC171" s="1197">
        <f>-AC200</f>
        <v>-1654.1828087441813</v>
      </c>
      <c r="AD171" s="685"/>
      <c r="AE171" s="685"/>
      <c r="AF171" s="685"/>
      <c r="AG171" s="685"/>
      <c r="AH171" s="685"/>
      <c r="AI171" s="685"/>
      <c r="AJ171" s="685"/>
      <c r="AK171" s="685"/>
      <c r="AL171" s="685"/>
      <c r="AM171" s="685"/>
      <c r="AN171" s="685"/>
      <c r="AO171" s="685"/>
      <c r="AP171" s="685"/>
      <c r="AQ171" s="685"/>
      <c r="AR171" s="685"/>
      <c r="AS171" s="685"/>
      <c r="AT171" s="685"/>
      <c r="AU171" s="685"/>
      <c r="AV171" s="685"/>
      <c r="AW171" s="685"/>
      <c r="AX171" s="685"/>
      <c r="AY171" s="685"/>
    </row>
    <row r="172" spans="1:51">
      <c r="A172" s="685"/>
      <c r="B172" s="1189" t="s">
        <v>5257</v>
      </c>
      <c r="C172" s="1197"/>
      <c r="D172" s="1197"/>
      <c r="E172" s="1197"/>
      <c r="F172" s="1197"/>
      <c r="G172" s="1197"/>
      <c r="H172" s="1197"/>
      <c r="I172" s="1197"/>
      <c r="J172" s="1197"/>
      <c r="K172" s="1197"/>
      <c r="L172" s="1197"/>
      <c r="M172" s="1197"/>
      <c r="N172" s="1197"/>
      <c r="O172" s="1197"/>
      <c r="P172" s="1197"/>
      <c r="Q172" s="1197"/>
      <c r="R172" s="1197">
        <f t="shared" ref="R172:X172" si="170">-R271</f>
        <v>-11167.718400000012</v>
      </c>
      <c r="S172" s="1197">
        <f t="shared" ca="1" si="170"/>
        <v>-4029.7317587301604</v>
      </c>
      <c r="T172" s="1197">
        <f t="shared" ca="1" si="170"/>
        <v>-1045.9757769933785</v>
      </c>
      <c r="U172" s="1197">
        <f t="shared" ca="1" si="170"/>
        <v>10019.198651792662</v>
      </c>
      <c r="V172" s="1197">
        <f t="shared" si="170"/>
        <v>9257.3790000000026</v>
      </c>
      <c r="W172" s="1197">
        <f t="shared" si="170"/>
        <v>-276.69772224946206</v>
      </c>
      <c r="X172" s="1197">
        <f t="shared" si="170"/>
        <v>-734.70979044498381</v>
      </c>
      <c r="Y172" s="1197">
        <f>-Y271</f>
        <v>-749.40398625388912</v>
      </c>
      <c r="Z172" s="1197">
        <f>-Z271</f>
        <v>-764.39206597896555</v>
      </c>
      <c r="AA172" s="1197">
        <f>-AA271</f>
        <v>-779.67990729853921</v>
      </c>
      <c r="AB172" s="1197">
        <f>-AB271</f>
        <v>-795.27350544452202</v>
      </c>
      <c r="AC172" s="1197">
        <f>-AC271</f>
        <v>-811.17897555340892</v>
      </c>
      <c r="AD172" s="685"/>
      <c r="AE172" s="685"/>
      <c r="AF172" s="685"/>
      <c r="AG172" s="685"/>
      <c r="AH172" s="685"/>
      <c r="AI172" s="685"/>
      <c r="AJ172" s="685"/>
      <c r="AK172" s="685"/>
      <c r="AL172" s="685"/>
      <c r="AM172" s="685"/>
      <c r="AN172" s="685"/>
      <c r="AO172" s="685"/>
      <c r="AP172" s="685"/>
      <c r="AQ172" s="685"/>
      <c r="AR172" s="685"/>
      <c r="AS172" s="685"/>
      <c r="AT172" s="685"/>
      <c r="AU172" s="685"/>
      <c r="AV172" s="685"/>
      <c r="AW172" s="685"/>
      <c r="AX172" s="685"/>
      <c r="AY172" s="685"/>
    </row>
    <row r="173" spans="1:51">
      <c r="A173" s="685"/>
      <c r="B173" s="1189" t="s">
        <v>6686</v>
      </c>
      <c r="C173" s="1197"/>
      <c r="D173" s="1197"/>
      <c r="E173" s="1197"/>
      <c r="F173" s="1197"/>
      <c r="G173" s="1197"/>
      <c r="H173" s="1197"/>
      <c r="I173" s="1197"/>
      <c r="J173" s="1197"/>
      <c r="K173" s="1197"/>
      <c r="L173" s="1197"/>
      <c r="M173" s="1197"/>
      <c r="N173" s="1197"/>
      <c r="O173" s="1197"/>
      <c r="P173" s="1197"/>
      <c r="Q173" s="1197"/>
      <c r="R173" s="1197"/>
      <c r="S173" s="1197"/>
      <c r="T173" s="1197"/>
      <c r="U173" s="1197">
        <f t="shared" ref="U173:AC173" si="171">U380</f>
        <v>0</v>
      </c>
      <c r="V173" s="1197">
        <f t="shared" si="171"/>
        <v>0</v>
      </c>
      <c r="W173" s="1197">
        <f t="shared" si="171"/>
        <v>1028.0578631999999</v>
      </c>
      <c r="X173" s="1197">
        <f t="shared" si="171"/>
        <v>1454.0368788700841</v>
      </c>
      <c r="Y173" s="1197">
        <f t="shared" si="171"/>
        <v>2352.4687783988288</v>
      </c>
      <c r="Z173" s="1197">
        <f t="shared" si="171"/>
        <v>3599.4565958130279</v>
      </c>
      <c r="AA173" s="1197">
        <f t="shared" si="171"/>
        <v>4704.2158726378711</v>
      </c>
      <c r="AB173" s="1197">
        <f t="shared" si="171"/>
        <v>5078.5428108807491</v>
      </c>
      <c r="AC173" s="1197">
        <f t="shared" si="171"/>
        <v>5471.9721584366953</v>
      </c>
      <c r="AD173" s="685"/>
      <c r="AE173" s="685"/>
      <c r="AF173" s="685"/>
      <c r="AG173" s="685"/>
      <c r="AH173" s="685"/>
      <c r="AI173" s="685"/>
      <c r="AJ173" s="685"/>
      <c r="AK173" s="685"/>
      <c r="AL173" s="685"/>
      <c r="AM173" s="685"/>
      <c r="AN173" s="685"/>
      <c r="AO173" s="685"/>
      <c r="AP173" s="685"/>
      <c r="AQ173" s="685"/>
      <c r="AR173" s="685"/>
      <c r="AS173" s="685"/>
      <c r="AT173" s="685"/>
      <c r="AU173" s="685"/>
      <c r="AV173" s="685"/>
      <c r="AW173" s="685"/>
      <c r="AX173" s="685"/>
      <c r="AY173" s="685"/>
    </row>
    <row r="174" spans="1:51">
      <c r="A174" s="685"/>
      <c r="B174" s="1189" t="s">
        <v>234</v>
      </c>
      <c r="C174" s="1246"/>
      <c r="D174" s="1246"/>
      <c r="E174" s="1246"/>
      <c r="F174" s="1246"/>
      <c r="G174" s="1246"/>
      <c r="H174" s="1246">
        <f t="shared" ref="H174:P174" si="172">-H440</f>
        <v>0</v>
      </c>
      <c r="I174" s="1246">
        <f t="shared" si="172"/>
        <v>-13966</v>
      </c>
      <c r="J174" s="1246">
        <f>-J440</f>
        <v>-19299</v>
      </c>
      <c r="K174" s="1246">
        <f>-K440</f>
        <v>0</v>
      </c>
      <c r="L174" s="1246">
        <f>-L440</f>
        <v>-11122.5</v>
      </c>
      <c r="M174" s="1246">
        <f t="shared" si="172"/>
        <v>-6015</v>
      </c>
      <c r="N174" s="1246">
        <f t="shared" si="172"/>
        <v>-879</v>
      </c>
      <c r="O174" s="1246">
        <f t="shared" si="172"/>
        <v>-6750</v>
      </c>
      <c r="P174" s="1246">
        <f t="shared" si="172"/>
        <v>0</v>
      </c>
      <c r="Q174" s="1246">
        <f>-Q440</f>
        <v>4057.7800000000007</v>
      </c>
      <c r="R174" s="1246">
        <f t="shared" ref="R174:X174" si="173">-R440</f>
        <v>-9500</v>
      </c>
      <c r="S174" s="1246">
        <f t="shared" si="173"/>
        <v>0</v>
      </c>
      <c r="T174" s="1246">
        <f t="shared" si="173"/>
        <v>5206</v>
      </c>
      <c r="U174" s="1246">
        <f t="shared" si="173"/>
        <v>45247.5</v>
      </c>
      <c r="V174" s="1246">
        <f t="shared" si="173"/>
        <v>0</v>
      </c>
      <c r="W174" s="1246">
        <f t="shared" si="173"/>
        <v>-851.80000000000007</v>
      </c>
      <c r="X174" s="1246">
        <f t="shared" si="173"/>
        <v>0</v>
      </c>
      <c r="Y174" s="1246">
        <f>-Y440</f>
        <v>0</v>
      </c>
      <c r="Z174" s="1246">
        <f>-Z440</f>
        <v>0</v>
      </c>
      <c r="AA174" s="1246">
        <f>-AA440</f>
        <v>0</v>
      </c>
      <c r="AB174" s="1246">
        <f>-AB440</f>
        <v>0</v>
      </c>
      <c r="AC174" s="1246">
        <f>-AC440</f>
        <v>0</v>
      </c>
      <c r="AD174" s="685"/>
      <c r="AE174" s="685"/>
      <c r="AF174" s="685"/>
      <c r="AG174" s="685"/>
      <c r="AH174" s="685"/>
      <c r="AI174" s="685"/>
      <c r="AJ174" s="685"/>
      <c r="AK174" s="685"/>
      <c r="AL174" s="685"/>
      <c r="AM174" s="685"/>
      <c r="AN174" s="685"/>
      <c r="AO174" s="685"/>
      <c r="AP174" s="685"/>
      <c r="AQ174" s="685"/>
      <c r="AR174" s="685"/>
      <c r="AS174" s="685"/>
      <c r="AT174" s="685"/>
      <c r="AU174" s="685"/>
      <c r="AV174" s="685"/>
      <c r="AW174" s="685"/>
      <c r="AX174" s="685"/>
      <c r="AY174" s="685"/>
    </row>
    <row r="175" spans="1:51">
      <c r="A175" s="685"/>
      <c r="B175" s="1189" t="s">
        <v>225</v>
      </c>
      <c r="C175" s="1197"/>
      <c r="D175" s="1197">
        <f t="shared" ref="D175:K175" si="174">SUM(D162:D174)</f>
        <v>0</v>
      </c>
      <c r="E175" s="1197">
        <f t="shared" si="174"/>
        <v>0</v>
      </c>
      <c r="F175" s="1197">
        <f t="shared" si="174"/>
        <v>0</v>
      </c>
      <c r="G175" s="1197">
        <f t="shared" si="174"/>
        <v>0</v>
      </c>
      <c r="H175" s="1197">
        <f t="shared" si="174"/>
        <v>6471.05</v>
      </c>
      <c r="I175" s="1197">
        <f t="shared" si="174"/>
        <v>-6726.1423162393185</v>
      </c>
      <c r="J175" s="1197">
        <f>SUM(J162:J174)</f>
        <v>-14876.375384615385</v>
      </c>
      <c r="K175" s="1197" t="e">
        <f t="shared" si="174"/>
        <v>#REF!</v>
      </c>
      <c r="L175" s="1197" t="e">
        <f t="shared" ref="L175:Q175" si="175">SUM(L162:L174)</f>
        <v>#REF!</v>
      </c>
      <c r="M175" s="1197" t="e">
        <f t="shared" si="175"/>
        <v>#REF!</v>
      </c>
      <c r="N175" s="1197">
        <f t="shared" si="175"/>
        <v>11494.648196581191</v>
      </c>
      <c r="O175" s="1197">
        <f t="shared" si="175"/>
        <v>-20239.373803418806</v>
      </c>
      <c r="P175" s="1197">
        <f t="shared" si="175"/>
        <v>-5843.8238034187989</v>
      </c>
      <c r="Q175" s="1197">
        <f t="shared" si="175"/>
        <v>9188.8620085470138</v>
      </c>
      <c r="R175" s="1197">
        <f t="shared" ref="R175:AC175" si="176">SUM(R162:R174)</f>
        <v>-28509.86476752138</v>
      </c>
      <c r="S175" s="1197">
        <f t="shared" ca="1" si="176"/>
        <v>-5334.6399553113652</v>
      </c>
      <c r="T175" s="1197">
        <f t="shared" ca="1" si="176"/>
        <v>-1327.9600474064173</v>
      </c>
      <c r="U175" s="1197">
        <f t="shared" ca="1" si="176"/>
        <v>32336.876651792649</v>
      </c>
      <c r="V175" s="1197">
        <f t="shared" si="176"/>
        <v>-6478.5249999999924</v>
      </c>
      <c r="W175" s="1197">
        <f t="shared" ca="1" si="176"/>
        <v>-2965.8149288702816</v>
      </c>
      <c r="X175" s="1197">
        <f t="shared" ca="1" si="176"/>
        <v>559.1895454011817</v>
      </c>
      <c r="Y175" s="1197">
        <f t="shared" ca="1" si="176"/>
        <v>1821.4580632402713</v>
      </c>
      <c r="Z175" s="1197">
        <f t="shared" ca="1" si="176"/>
        <v>2611.3556909184022</v>
      </c>
      <c r="AA175" s="1197">
        <f t="shared" ca="1" si="176"/>
        <v>3666.2445098183352</v>
      </c>
      <c r="AB175" s="1197">
        <f t="shared" ca="1" si="176"/>
        <v>4181.2161090162735</v>
      </c>
      <c r="AC175" s="1197">
        <f t="shared" ca="1" si="176"/>
        <v>4614.145961159531</v>
      </c>
      <c r="AD175" s="685"/>
      <c r="AE175" s="685"/>
      <c r="AF175" s="685"/>
      <c r="AG175" s="685"/>
      <c r="AH175" s="685"/>
      <c r="AI175" s="685"/>
      <c r="AJ175" s="685"/>
      <c r="AK175" s="685"/>
      <c r="AL175" s="685"/>
      <c r="AM175" s="685"/>
      <c r="AN175" s="685"/>
      <c r="AO175" s="685"/>
      <c r="AP175" s="685"/>
      <c r="AQ175" s="685"/>
      <c r="AR175" s="685"/>
      <c r="AS175" s="685"/>
      <c r="AT175" s="685"/>
      <c r="AU175" s="685"/>
      <c r="AV175" s="685"/>
      <c r="AW175" s="685"/>
      <c r="AX175" s="685"/>
      <c r="AY175" s="685"/>
    </row>
    <row r="176" spans="1:51">
      <c r="A176" s="685"/>
      <c r="B176" s="1187" t="s">
        <v>224</v>
      </c>
      <c r="C176" s="1188"/>
      <c r="D176" s="1188">
        <f t="shared" ref="D176:M176" si="177">D258</f>
        <v>0</v>
      </c>
      <c r="E176" s="1188">
        <f t="shared" si="177"/>
        <v>0</v>
      </c>
      <c r="F176" s="1188">
        <f t="shared" si="177"/>
        <v>0</v>
      </c>
      <c r="G176" s="1188">
        <f t="shared" si="177"/>
        <v>0</v>
      </c>
      <c r="H176" s="1188">
        <f t="shared" si="177"/>
        <v>576.90000000000146</v>
      </c>
      <c r="I176" s="1188">
        <f t="shared" si="177"/>
        <v>12718</v>
      </c>
      <c r="J176" s="1188">
        <f t="shared" si="177"/>
        <v>31773</v>
      </c>
      <c r="K176" s="1188">
        <f t="shared" si="177"/>
        <v>25610</v>
      </c>
      <c r="L176" s="1188">
        <f t="shared" si="177"/>
        <v>34993</v>
      </c>
      <c r="M176" s="1188">
        <f t="shared" si="177"/>
        <v>40507.000000000007</v>
      </c>
      <c r="N176" s="1188">
        <f t="shared" ref="N176:V176" si="178">N258</f>
        <v>55481</v>
      </c>
      <c r="O176" s="1188">
        <f t="shared" si="178"/>
        <v>78405.899999999994</v>
      </c>
      <c r="P176" s="1188">
        <f t="shared" si="178"/>
        <v>79273</v>
      </c>
      <c r="Q176" s="1188">
        <f t="shared" si="178"/>
        <v>83317.7</v>
      </c>
      <c r="R176" s="1188">
        <f t="shared" si="178"/>
        <v>93733.1</v>
      </c>
      <c r="S176" s="1188">
        <f t="shared" si="178"/>
        <v>96143</v>
      </c>
      <c r="T176" s="1188">
        <f t="shared" si="178"/>
        <v>105219.9</v>
      </c>
      <c r="U176" s="1188">
        <f t="shared" si="178"/>
        <v>54109.7</v>
      </c>
      <c r="V176" s="1188">
        <f t="shared" si="178"/>
        <v>55949.599999999991</v>
      </c>
      <c r="W176" s="1188">
        <f t="shared" ref="W176:AC176" ca="1" si="179">V176-W175</f>
        <v>58915.414928870276</v>
      </c>
      <c r="X176" s="1188">
        <f t="shared" ca="1" si="179"/>
        <v>58356.225383469093</v>
      </c>
      <c r="Y176" s="1188">
        <f t="shared" ca="1" si="179"/>
        <v>56534.767320228821</v>
      </c>
      <c r="Z176" s="1188">
        <f t="shared" ca="1" si="179"/>
        <v>53923.411629310416</v>
      </c>
      <c r="AA176" s="1188">
        <f t="shared" ca="1" si="179"/>
        <v>50257.167119492078</v>
      </c>
      <c r="AB176" s="1188">
        <f t="shared" ca="1" si="179"/>
        <v>46075.951010475808</v>
      </c>
      <c r="AC176" s="1188">
        <f t="shared" ca="1" si="179"/>
        <v>41461.805049316274</v>
      </c>
      <c r="AD176" s="685"/>
      <c r="AE176" s="685"/>
      <c r="AF176" s="685"/>
      <c r="AG176" s="685"/>
      <c r="AH176" s="685"/>
      <c r="AI176" s="685"/>
      <c r="AJ176" s="685"/>
      <c r="AK176" s="685"/>
      <c r="AL176" s="685"/>
      <c r="AM176" s="685"/>
      <c r="AN176" s="685"/>
      <c r="AO176" s="685"/>
      <c r="AP176" s="685"/>
      <c r="AQ176" s="685"/>
      <c r="AR176" s="685"/>
      <c r="AS176" s="685"/>
      <c r="AT176" s="685"/>
      <c r="AU176" s="685"/>
      <c r="AV176" s="685"/>
      <c r="AW176" s="685"/>
      <c r="AX176" s="685"/>
      <c r="AY176" s="685"/>
    </row>
    <row r="177" spans="1:51">
      <c r="A177" s="685"/>
      <c r="B177" s="1189" t="s">
        <v>235</v>
      </c>
      <c r="C177" s="1197"/>
      <c r="D177" s="1197">
        <f t="shared" ref="D177:AC177" si="180">D175+D157</f>
        <v>0</v>
      </c>
      <c r="E177" s="1197">
        <f t="shared" si="180"/>
        <v>0</v>
      </c>
      <c r="F177" s="1197">
        <f t="shared" si="180"/>
        <v>0</v>
      </c>
      <c r="G177" s="1197">
        <f t="shared" si="180"/>
        <v>0</v>
      </c>
      <c r="H177" s="1197">
        <f t="shared" si="180"/>
        <v>7047.9500000000016</v>
      </c>
      <c r="I177" s="1197">
        <f t="shared" si="180"/>
        <v>5414.9576837606801</v>
      </c>
      <c r="J177" s="1197">
        <f t="shared" si="180"/>
        <v>4178.624615384615</v>
      </c>
      <c r="K177" s="1197" t="e">
        <f t="shared" si="180"/>
        <v>#REF!</v>
      </c>
      <c r="L177" s="1197" t="e">
        <f t="shared" si="180"/>
        <v>#REF!</v>
      </c>
      <c r="M177" s="1197" t="e">
        <f t="shared" si="180"/>
        <v>#REF!</v>
      </c>
      <c r="N177" s="1197">
        <f t="shared" si="180"/>
        <v>26468.648196581184</v>
      </c>
      <c r="O177" s="1197">
        <f t="shared" si="180"/>
        <v>2685.5261965811878</v>
      </c>
      <c r="P177" s="1197">
        <f t="shared" si="180"/>
        <v>-4976.7238034187931</v>
      </c>
      <c r="Q177" s="1197">
        <f t="shared" si="180"/>
        <v>13233.562008547011</v>
      </c>
      <c r="R177" s="1197">
        <f t="shared" si="180"/>
        <v>-18094.464767521371</v>
      </c>
      <c r="S177" s="1197">
        <f t="shared" ca="1" si="180"/>
        <v>-2924.739955311371</v>
      </c>
      <c r="T177" s="1197">
        <f t="shared" ca="1" si="180"/>
        <v>7748.9399525935769</v>
      </c>
      <c r="U177" s="1197">
        <f t="shared" ca="1" si="180"/>
        <v>-18773.323348207348</v>
      </c>
      <c r="V177" s="1197">
        <f t="shared" si="180"/>
        <v>-4638.6249999999982</v>
      </c>
      <c r="W177" s="1197">
        <f t="shared" ca="1" si="180"/>
        <v>0</v>
      </c>
      <c r="X177" s="1197">
        <f t="shared" ca="1" si="180"/>
        <v>-1.1368683772161603E-12</v>
      </c>
      <c r="Y177" s="1197">
        <f t="shared" ca="1" si="180"/>
        <v>0</v>
      </c>
      <c r="Z177" s="1197">
        <f t="shared" ca="1" si="180"/>
        <v>0</v>
      </c>
      <c r="AA177" s="1197">
        <f t="shared" ca="1" si="180"/>
        <v>0</v>
      </c>
      <c r="AB177" s="1197">
        <f t="shared" ca="1" si="180"/>
        <v>0</v>
      </c>
      <c r="AC177" s="1197">
        <f t="shared" ca="1" si="180"/>
        <v>0</v>
      </c>
      <c r="AD177" s="685"/>
      <c r="AE177" s="685"/>
      <c r="AF177" s="685"/>
      <c r="AG177" s="685"/>
      <c r="AH177" s="685"/>
      <c r="AI177" s="685"/>
      <c r="AJ177" s="685"/>
      <c r="AK177" s="685"/>
      <c r="AL177" s="685"/>
      <c r="AM177" s="685"/>
      <c r="AN177" s="685"/>
      <c r="AO177" s="685"/>
      <c r="AP177" s="685"/>
      <c r="AQ177" s="685"/>
      <c r="AR177" s="685"/>
      <c r="AS177" s="685"/>
      <c r="AT177" s="685"/>
      <c r="AU177" s="685"/>
      <c r="AV177" s="685"/>
      <c r="AW177" s="685"/>
      <c r="AX177" s="685"/>
      <c r="AY177" s="685"/>
    </row>
    <row r="178" spans="1:51">
      <c r="A178" s="685"/>
      <c r="B178" s="1189"/>
      <c r="C178" s="1189"/>
      <c r="D178" s="1257"/>
      <c r="E178" s="1189"/>
      <c r="F178" s="1189"/>
      <c r="G178" s="1189"/>
      <c r="H178" s="1189"/>
      <c r="I178" s="1197"/>
      <c r="J178" s="1198"/>
      <c r="K178" s="1189"/>
      <c r="L178" s="1189"/>
      <c r="M178" s="1189"/>
      <c r="N178" s="1189"/>
      <c r="O178" s="1189"/>
      <c r="P178" s="1189"/>
      <c r="Q178" s="1189"/>
      <c r="R178" s="1189"/>
      <c r="S178" s="1189"/>
      <c r="T178" s="1189"/>
      <c r="U178" s="1189"/>
      <c r="V178" s="1189"/>
      <c r="W178" s="1189"/>
      <c r="X178" s="1189"/>
      <c r="Y178" s="1189"/>
      <c r="Z178" s="1189"/>
      <c r="AA178" s="1189"/>
      <c r="AB178" s="1189"/>
      <c r="AC178" s="1189"/>
      <c r="AD178" s="685"/>
      <c r="AE178" s="685"/>
      <c r="AF178" s="685"/>
      <c r="AG178" s="685"/>
      <c r="AH178" s="685"/>
      <c r="AI178" s="685"/>
      <c r="AJ178" s="685"/>
      <c r="AK178" s="685"/>
      <c r="AL178" s="685"/>
      <c r="AM178" s="685"/>
      <c r="AN178" s="685"/>
      <c r="AO178" s="685"/>
      <c r="AP178" s="685"/>
      <c r="AQ178" s="685"/>
      <c r="AR178" s="685"/>
      <c r="AS178" s="685"/>
      <c r="AT178" s="685"/>
      <c r="AU178" s="685"/>
      <c r="AV178" s="685"/>
      <c r="AW178" s="685"/>
      <c r="AX178" s="685"/>
      <c r="AY178" s="685"/>
    </row>
    <row r="179" spans="1:51">
      <c r="A179" s="685"/>
      <c r="B179" s="1189"/>
      <c r="C179" s="1189"/>
      <c r="D179" s="1257"/>
      <c r="E179" s="1189"/>
      <c r="F179" s="1189"/>
      <c r="G179" s="1189"/>
      <c r="H179" s="1189"/>
      <c r="I179" s="1197"/>
      <c r="J179" s="1198"/>
      <c r="K179" s="1189"/>
      <c r="L179" s="1189"/>
      <c r="M179" s="1189"/>
      <c r="N179" s="1189"/>
      <c r="O179" s="1189"/>
      <c r="P179" s="1189"/>
      <c r="Q179" s="1189"/>
      <c r="R179" s="1189"/>
      <c r="S179" s="1189"/>
      <c r="T179" s="1189"/>
      <c r="U179" s="1189"/>
      <c r="V179" s="1189"/>
      <c r="W179" s="1189"/>
      <c r="X179" s="1189"/>
      <c r="Y179" s="1189"/>
      <c r="Z179" s="1189"/>
      <c r="AA179" s="1189"/>
      <c r="AB179" s="1189"/>
      <c r="AC179" s="1189"/>
      <c r="AD179" s="685"/>
      <c r="AE179" s="685"/>
      <c r="AF179" s="685"/>
      <c r="AG179" s="685"/>
      <c r="AH179" s="685"/>
      <c r="AI179" s="685"/>
      <c r="AJ179" s="685"/>
      <c r="AK179" s="685"/>
      <c r="AL179" s="685"/>
      <c r="AM179" s="685"/>
      <c r="AN179" s="685"/>
      <c r="AO179" s="685"/>
      <c r="AP179" s="685"/>
      <c r="AQ179" s="685"/>
      <c r="AR179" s="685"/>
      <c r="AS179" s="685"/>
      <c r="AT179" s="685"/>
      <c r="AU179" s="685"/>
      <c r="AV179" s="685"/>
      <c r="AW179" s="685"/>
      <c r="AX179" s="685"/>
      <c r="AY179" s="685"/>
    </row>
    <row r="180" spans="1:51">
      <c r="A180" s="685"/>
      <c r="B180" s="1189"/>
      <c r="C180" s="1189"/>
      <c r="D180" s="1257"/>
      <c r="E180" s="1189"/>
      <c r="F180" s="1189"/>
      <c r="G180" s="1189"/>
      <c r="H180" s="1189"/>
      <c r="I180" s="1197"/>
      <c r="J180" s="1198"/>
      <c r="K180" s="1189"/>
      <c r="L180" s="1189"/>
      <c r="M180" s="1189"/>
      <c r="N180" s="1189"/>
      <c r="O180" s="1189"/>
      <c r="P180" s="1189"/>
      <c r="Q180" s="1189"/>
      <c r="R180" s="1189"/>
      <c r="S180" s="1189"/>
      <c r="T180" s="1189"/>
      <c r="U180" s="1189"/>
      <c r="V180" s="1189"/>
      <c r="W180" s="1189"/>
      <c r="X180" s="1189"/>
      <c r="Y180" s="1189"/>
      <c r="Z180" s="1189"/>
      <c r="AA180" s="1189"/>
      <c r="AB180" s="1189"/>
      <c r="AC180" s="1189"/>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row>
    <row r="181" spans="1:51">
      <c r="A181" s="685"/>
      <c r="B181" s="1186" t="s">
        <v>184</v>
      </c>
      <c r="C181" s="1186">
        <v>2004</v>
      </c>
      <c r="D181" s="1186">
        <f>C181+1</f>
        <v>2005</v>
      </c>
      <c r="E181" s="1186">
        <f t="shared" ref="E181:AC181" si="181">D181+1</f>
        <v>2006</v>
      </c>
      <c r="F181" s="1186">
        <f t="shared" si="181"/>
        <v>2007</v>
      </c>
      <c r="G181" s="1186">
        <f t="shared" si="181"/>
        <v>2008</v>
      </c>
      <c r="H181" s="1186">
        <f t="shared" si="181"/>
        <v>2009</v>
      </c>
      <c r="I181" s="1186">
        <f t="shared" si="181"/>
        <v>2010</v>
      </c>
      <c r="J181" s="1186">
        <f t="shared" si="181"/>
        <v>2011</v>
      </c>
      <c r="K181" s="1186">
        <f t="shared" si="181"/>
        <v>2012</v>
      </c>
      <c r="L181" s="1186">
        <f t="shared" si="181"/>
        <v>2013</v>
      </c>
      <c r="M181" s="1186">
        <f t="shared" si="181"/>
        <v>2014</v>
      </c>
      <c r="N181" s="1186">
        <f t="shared" si="181"/>
        <v>2015</v>
      </c>
      <c r="O181" s="1186">
        <f t="shared" si="181"/>
        <v>2016</v>
      </c>
      <c r="P181" s="1186">
        <f t="shared" si="181"/>
        <v>2017</v>
      </c>
      <c r="Q181" s="1186">
        <f t="shared" si="181"/>
        <v>2018</v>
      </c>
      <c r="R181" s="1186">
        <f t="shared" si="181"/>
        <v>2019</v>
      </c>
      <c r="S181" s="1186">
        <f t="shared" si="181"/>
        <v>2020</v>
      </c>
      <c r="T181" s="1186">
        <f t="shared" si="181"/>
        <v>2021</v>
      </c>
      <c r="U181" s="1186">
        <f t="shared" si="181"/>
        <v>2022</v>
      </c>
      <c r="V181" s="1186">
        <f t="shared" si="181"/>
        <v>2023</v>
      </c>
      <c r="W181" s="1186">
        <f t="shared" si="181"/>
        <v>2024</v>
      </c>
      <c r="X181" s="1186">
        <f t="shared" si="181"/>
        <v>2025</v>
      </c>
      <c r="Y181" s="1186">
        <f t="shared" si="181"/>
        <v>2026</v>
      </c>
      <c r="Z181" s="1186">
        <f t="shared" si="181"/>
        <v>2027</v>
      </c>
      <c r="AA181" s="1186">
        <f t="shared" si="181"/>
        <v>2028</v>
      </c>
      <c r="AB181" s="1186">
        <f t="shared" si="181"/>
        <v>2029</v>
      </c>
      <c r="AC181" s="1186">
        <f t="shared" si="181"/>
        <v>2030</v>
      </c>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row>
    <row r="182" spans="1:51">
      <c r="A182" s="685"/>
      <c r="B182" s="1189" t="s">
        <v>184</v>
      </c>
      <c r="C182" s="1259"/>
      <c r="D182" s="1260"/>
      <c r="E182" s="1260"/>
      <c r="F182" s="1260"/>
      <c r="G182" s="1260"/>
      <c r="H182" s="1260">
        <v>4390</v>
      </c>
      <c r="I182" s="1260">
        <v>5697</v>
      </c>
      <c r="J182" s="1260">
        <v>6501</v>
      </c>
      <c r="K182" s="1261">
        <f>K185+K186</f>
        <v>7122.2916099069244</v>
      </c>
      <c r="L182" s="1261">
        <f t="shared" ref="L182:Q182" si="182">L185+L186</f>
        <v>8426.7308289351131</v>
      </c>
      <c r="M182" s="1261">
        <f>M185+M186</f>
        <v>9411.8212326843186</v>
      </c>
      <c r="N182" s="1261">
        <f t="shared" si="182"/>
        <v>11222.332339055185</v>
      </c>
      <c r="O182" s="1261">
        <f t="shared" si="182"/>
        <v>12681.492375298647</v>
      </c>
      <c r="P182" s="1261">
        <f t="shared" si="182"/>
        <v>13775.112009065635</v>
      </c>
      <c r="Q182" s="1261">
        <f t="shared" si="182"/>
        <v>15461.690203840175</v>
      </c>
      <c r="R182" s="1261">
        <f t="shared" ref="R182:X182" si="183">R185+R186</f>
        <v>15598.453258756492</v>
      </c>
      <c r="S182" s="1261">
        <f t="shared" si="183"/>
        <v>15664.841174858946</v>
      </c>
      <c r="T182" s="1261">
        <f t="shared" si="183"/>
        <v>16057.827405879905</v>
      </c>
      <c r="U182" s="1261">
        <f>U185+U186</f>
        <v>15135.795108159535</v>
      </c>
      <c r="V182" s="1261">
        <f t="shared" si="183"/>
        <v>17056.628302968726</v>
      </c>
      <c r="W182" s="1261">
        <f t="shared" si="183"/>
        <v>16645.827061610464</v>
      </c>
      <c r="X182" s="1261">
        <f t="shared" si="183"/>
        <v>15398.62882583176</v>
      </c>
      <c r="Y182" s="1261">
        <f>Y185+Y186</f>
        <v>15154.176444513179</v>
      </c>
      <c r="Z182" s="1261">
        <f>Z185+Z186</f>
        <v>14991.13011103594</v>
      </c>
      <c r="AA182" s="1261">
        <f>AA185+AA186</f>
        <v>14855.062468107748</v>
      </c>
      <c r="AB182" s="1261">
        <f>AB185+AB186</f>
        <v>14763.968475931628</v>
      </c>
      <c r="AC182" s="1261">
        <f>AC185+AC186</f>
        <v>14719.920510663285</v>
      </c>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row>
    <row r="183" spans="1:51">
      <c r="A183" s="685"/>
      <c r="B183" s="1189" t="s">
        <v>181</v>
      </c>
      <c r="C183" s="1191"/>
      <c r="D183" s="1191" t="e">
        <f>D182/#REF!-1</f>
        <v>#REF!</v>
      </c>
      <c r="E183" s="1191" t="e">
        <f t="shared" ref="E183:AC183" si="184">E182/D182-1</f>
        <v>#DIV/0!</v>
      </c>
      <c r="F183" s="1191" t="e">
        <f t="shared" si="184"/>
        <v>#DIV/0!</v>
      </c>
      <c r="G183" s="1191" t="e">
        <f t="shared" si="184"/>
        <v>#DIV/0!</v>
      </c>
      <c r="H183" s="1191" t="e">
        <f t="shared" si="184"/>
        <v>#DIV/0!</v>
      </c>
      <c r="I183" s="1191">
        <f t="shared" si="184"/>
        <v>0.29772209567198171</v>
      </c>
      <c r="J183" s="1191">
        <f>J182/I182-1</f>
        <v>0.1411269088994207</v>
      </c>
      <c r="K183" s="1191">
        <f>K182/J182-1</f>
        <v>9.5568621736182857E-2</v>
      </c>
      <c r="L183" s="1191">
        <f t="shared" si="184"/>
        <v>0.18314880806252676</v>
      </c>
      <c r="M183" s="1191">
        <f t="shared" si="184"/>
        <v>0.1169006609736094</v>
      </c>
      <c r="N183" s="1191">
        <f t="shared" si="184"/>
        <v>0.19236564970906223</v>
      </c>
      <c r="O183" s="1191">
        <f t="shared" si="184"/>
        <v>0.13002288581005517</v>
      </c>
      <c r="P183" s="1191">
        <f t="shared" si="184"/>
        <v>8.6237455450997924E-2</v>
      </c>
      <c r="Q183" s="1191">
        <f t="shared" si="184"/>
        <v>0.1224366229228897</v>
      </c>
      <c r="R183" s="1191">
        <f t="shared" si="184"/>
        <v>8.8452849017988111E-3</v>
      </c>
      <c r="S183" s="1191">
        <f t="shared" si="184"/>
        <v>4.2560576360470836E-3</v>
      </c>
      <c r="T183" s="1191">
        <f t="shared" si="184"/>
        <v>2.5087150685681792E-2</v>
      </c>
      <c r="U183" s="1191">
        <f t="shared" si="184"/>
        <v>-5.7419492339464862E-2</v>
      </c>
      <c r="V183" s="1191">
        <f t="shared" si="184"/>
        <v>0.12690665941782542</v>
      </c>
      <c r="W183" s="1191">
        <f t="shared" si="184"/>
        <v>-2.4084551416692412E-2</v>
      </c>
      <c r="X183" s="1191">
        <f t="shared" si="184"/>
        <v>-7.4925579315614943E-2</v>
      </c>
      <c r="Y183" s="1191">
        <f t="shared" si="184"/>
        <v>-1.5874944716408934E-2</v>
      </c>
      <c r="Z183" s="1191">
        <f t="shared" si="184"/>
        <v>-1.0759168211762038E-2</v>
      </c>
      <c r="AA183" s="1191">
        <f t="shared" si="184"/>
        <v>-9.0765433906829784E-3</v>
      </c>
      <c r="AB183" s="1191">
        <f t="shared" si="184"/>
        <v>-6.1321850629499908E-3</v>
      </c>
      <c r="AC183" s="1191">
        <f t="shared" si="184"/>
        <v>-2.9834773313252017E-3</v>
      </c>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row>
    <row r="184" spans="1:51">
      <c r="A184" s="685"/>
      <c r="B184" s="1189" t="s">
        <v>236</v>
      </c>
      <c r="C184" s="1191"/>
      <c r="D184" s="1191" t="e">
        <f t="shared" ref="D184:Q184" si="185">D182/D192</f>
        <v>#DIV/0!</v>
      </c>
      <c r="E184" s="1191" t="e">
        <f t="shared" si="185"/>
        <v>#DIV/0!</v>
      </c>
      <c r="F184" s="1191" t="e">
        <f t="shared" si="185"/>
        <v>#DIV/0!</v>
      </c>
      <c r="G184" s="1191" t="e">
        <f t="shared" si="185"/>
        <v>#DIV/0!</v>
      </c>
      <c r="H184" s="1191" t="e">
        <f t="shared" si="185"/>
        <v>#DIV/0!</v>
      </c>
      <c r="I184" s="1191">
        <f t="shared" si="185"/>
        <v>0.14739211425023285</v>
      </c>
      <c r="J184" s="1191">
        <f>J182/J192</f>
        <v>0.15665437721390876</v>
      </c>
      <c r="K184" s="1191">
        <f t="shared" si="185"/>
        <v>0.14726736575288804</v>
      </c>
      <c r="L184" s="1191">
        <f t="shared" si="185"/>
        <v>0.15757820405103387</v>
      </c>
      <c r="M184" s="1191">
        <f t="shared" si="185"/>
        <v>0.15375526820584384</v>
      </c>
      <c r="N184" s="1191">
        <f t="shared" si="185"/>
        <v>0.14748896808165121</v>
      </c>
      <c r="O184" s="1191">
        <f t="shared" si="185"/>
        <v>0.14612775196348901</v>
      </c>
      <c r="P184" s="1191">
        <f t="shared" si="185"/>
        <v>0.16069892684397613</v>
      </c>
      <c r="Q184" s="1191">
        <f t="shared" si="185"/>
        <v>0.17702266013120885</v>
      </c>
      <c r="R184" s="1191">
        <f t="shared" ref="R184:X184" si="186">R182/R192</f>
        <v>0.1871911730460763</v>
      </c>
      <c r="S184" s="1191">
        <f t="shared" si="186"/>
        <v>0.18808944304859213</v>
      </c>
      <c r="T184" s="1191">
        <f t="shared" si="186"/>
        <v>0.18263698667206429</v>
      </c>
      <c r="U184" s="1191">
        <f t="shared" si="186"/>
        <v>0.18405225798015887</v>
      </c>
      <c r="V184" s="1191">
        <f t="shared" si="186"/>
        <v>0.21910140777962114</v>
      </c>
      <c r="W184" s="1191">
        <f t="shared" si="186"/>
        <v>0.24330838900767898</v>
      </c>
      <c r="X184" s="1191">
        <f t="shared" si="186"/>
        <v>0.23578258918587072</v>
      </c>
      <c r="Y184" s="1191">
        <f>Y182/Y192</f>
        <v>0.24181779296831141</v>
      </c>
      <c r="Z184" s="1191">
        <f>Z182/Z192</f>
        <v>0.24887337873964649</v>
      </c>
      <c r="AA184" s="1191">
        <f>AA182/AA192</f>
        <v>0.25581039702416675</v>
      </c>
      <c r="AB184" s="1191">
        <f>AB182/AB192</f>
        <v>0.26288919025791674</v>
      </c>
      <c r="AC184" s="1191">
        <f>AC182/AC192</f>
        <v>0.26955428338847426</v>
      </c>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row>
    <row r="185" spans="1:51">
      <c r="A185" s="685"/>
      <c r="B185" s="1189" t="s">
        <v>237</v>
      </c>
      <c r="C185" s="1259"/>
      <c r="D185" s="1260">
        <v>0</v>
      </c>
      <c r="E185" s="1260">
        <v>0</v>
      </c>
      <c r="F185" s="1260">
        <v>0</v>
      </c>
      <c r="G185" s="1260">
        <v>0</v>
      </c>
      <c r="H185" s="1260">
        <v>0</v>
      </c>
      <c r="I185" s="1260">
        <v>0</v>
      </c>
      <c r="J185" s="1260">
        <v>0</v>
      </c>
      <c r="K185" s="1260">
        <v>0</v>
      </c>
      <c r="L185" s="1260">
        <v>0</v>
      </c>
      <c r="M185" s="1260">
        <v>0</v>
      </c>
      <c r="N185" s="1260">
        <v>0</v>
      </c>
      <c r="O185" s="1260">
        <v>0</v>
      </c>
      <c r="P185" s="1260">
        <v>0</v>
      </c>
      <c r="Q185" s="1260">
        <v>0</v>
      </c>
      <c r="R185" s="1260">
        <v>0</v>
      </c>
      <c r="S185" s="1260">
        <v>0</v>
      </c>
      <c r="T185" s="1260">
        <v>0</v>
      </c>
      <c r="U185" s="1260">
        <v>0</v>
      </c>
      <c r="V185" s="1260">
        <v>0</v>
      </c>
      <c r="W185" s="1260">
        <v>0</v>
      </c>
      <c r="X185" s="1260">
        <v>0</v>
      </c>
      <c r="Y185" s="1260">
        <v>0</v>
      </c>
      <c r="Z185" s="1260">
        <v>0</v>
      </c>
      <c r="AA185" s="1260">
        <v>0</v>
      </c>
      <c r="AB185" s="1260">
        <v>0</v>
      </c>
      <c r="AC185" s="1260">
        <v>0</v>
      </c>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row>
    <row r="186" spans="1:51">
      <c r="A186" s="685"/>
      <c r="B186" s="1189" t="s">
        <v>238</v>
      </c>
      <c r="C186" s="1197"/>
      <c r="D186" s="1197">
        <f t="shared" ref="D186:J186" si="187">D182-D185</f>
        <v>0</v>
      </c>
      <c r="E186" s="1197">
        <f t="shared" si="187"/>
        <v>0</v>
      </c>
      <c r="F186" s="1197">
        <f t="shared" si="187"/>
        <v>0</v>
      </c>
      <c r="G186" s="1197">
        <f t="shared" si="187"/>
        <v>0</v>
      </c>
      <c r="H186" s="1197">
        <f t="shared" si="187"/>
        <v>4390</v>
      </c>
      <c r="I186" s="1197">
        <f t="shared" si="187"/>
        <v>5697</v>
      </c>
      <c r="J186" s="1197">
        <f t="shared" si="187"/>
        <v>6501</v>
      </c>
      <c r="K186" s="1261">
        <f>J192/K187*2</f>
        <v>7122.2916099069244</v>
      </c>
      <c r="L186" s="1261">
        <f t="shared" ref="L186:AC186" si="188">K192/L187*2</f>
        <v>8426.7308289351131</v>
      </c>
      <c r="M186" s="1261">
        <f t="shared" si="188"/>
        <v>9411.8212326843186</v>
      </c>
      <c r="N186" s="1261">
        <f t="shared" si="188"/>
        <v>11222.332339055185</v>
      </c>
      <c r="O186" s="1261">
        <f t="shared" si="188"/>
        <v>12681.492375298647</v>
      </c>
      <c r="P186" s="1261">
        <f t="shared" si="188"/>
        <v>13775.112009065635</v>
      </c>
      <c r="Q186" s="1261">
        <f t="shared" si="188"/>
        <v>15461.690203840175</v>
      </c>
      <c r="R186" s="1261">
        <f t="shared" si="188"/>
        <v>15598.453258756492</v>
      </c>
      <c r="S186" s="1261">
        <f t="shared" si="188"/>
        <v>15664.841174858946</v>
      </c>
      <c r="T186" s="1261">
        <f t="shared" si="188"/>
        <v>16057.827405879905</v>
      </c>
      <c r="U186" s="1261">
        <f t="shared" si="188"/>
        <v>15135.795108159535</v>
      </c>
      <c r="V186" s="1261">
        <f t="shared" si="188"/>
        <v>17056.628302968726</v>
      </c>
      <c r="W186" s="1261">
        <f t="shared" si="188"/>
        <v>16645.827061610464</v>
      </c>
      <c r="X186" s="1261">
        <f t="shared" si="188"/>
        <v>15398.62882583176</v>
      </c>
      <c r="Y186" s="1261">
        <f t="shared" si="188"/>
        <v>15154.176444513179</v>
      </c>
      <c r="Z186" s="1261">
        <f t="shared" si="188"/>
        <v>14991.13011103594</v>
      </c>
      <c r="AA186" s="1261">
        <f t="shared" si="188"/>
        <v>14855.062468107748</v>
      </c>
      <c r="AB186" s="1261">
        <f t="shared" si="188"/>
        <v>14763.968475931628</v>
      </c>
      <c r="AC186" s="1261">
        <f t="shared" si="188"/>
        <v>14719.920510663285</v>
      </c>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row>
    <row r="187" spans="1:51">
      <c r="A187" s="685"/>
      <c r="B187" s="1189" t="s">
        <v>239</v>
      </c>
      <c r="C187" s="1262"/>
      <c r="D187" s="1262" t="e">
        <f>#REF!/D186*2</f>
        <v>#REF!</v>
      </c>
      <c r="E187" s="1262" t="e">
        <f t="shared" ref="E187:J187" si="189">D192/E186*2</f>
        <v>#DIV/0!</v>
      </c>
      <c r="F187" s="1262" t="e">
        <f t="shared" si="189"/>
        <v>#DIV/0!</v>
      </c>
      <c r="G187" s="1262" t="e">
        <f t="shared" si="189"/>
        <v>#DIV/0!</v>
      </c>
      <c r="H187" s="1262">
        <f t="shared" si="189"/>
        <v>0</v>
      </c>
      <c r="I187" s="1262">
        <f t="shared" si="189"/>
        <v>0</v>
      </c>
      <c r="J187" s="1262">
        <f t="shared" si="189"/>
        <v>11.891093677895709</v>
      </c>
      <c r="K187" s="1262">
        <f>J187*(1+K188)</f>
        <v>11.653271804337795</v>
      </c>
      <c r="L187" s="1262">
        <f t="shared" ref="L187:AC187" si="190">K187*(1+L188)</f>
        <v>11.478472727272727</v>
      </c>
      <c r="M187" s="1262">
        <f t="shared" si="190"/>
        <v>11.363688</v>
      </c>
      <c r="N187" s="1262">
        <f t="shared" si="190"/>
        <v>10.90914048</v>
      </c>
      <c r="O187" s="1262">
        <f t="shared" si="190"/>
        <v>12.000054528</v>
      </c>
      <c r="P187" s="1262">
        <f t="shared" si="190"/>
        <v>12.600057254399999</v>
      </c>
      <c r="Q187" s="1262">
        <f t="shared" si="190"/>
        <v>11.088050383872</v>
      </c>
      <c r="R187" s="1262">
        <f t="shared" si="190"/>
        <v>11.19893088771072</v>
      </c>
      <c r="S187" s="1262">
        <f t="shared" si="190"/>
        <v>10.638984343325184</v>
      </c>
      <c r="T187" s="1262">
        <f t="shared" si="190"/>
        <v>10.373009734742054</v>
      </c>
      <c r="U187" s="1262">
        <f t="shared" si="190"/>
        <v>11.617770902911101</v>
      </c>
      <c r="V187" s="1262">
        <f t="shared" si="190"/>
        <v>9.6427498494162123</v>
      </c>
      <c r="W187" s="1262">
        <f t="shared" si="190"/>
        <v>9.3534673539337252</v>
      </c>
      <c r="X187" s="1262">
        <f t="shared" si="190"/>
        <v>8.8857939862370383</v>
      </c>
      <c r="Y187" s="1262">
        <f t="shared" si="190"/>
        <v>8.6192201666499262</v>
      </c>
      <c r="Z187" s="1262">
        <f t="shared" si="190"/>
        <v>8.3606435616504289</v>
      </c>
      <c r="AA187" s="1262">
        <f t="shared" si="190"/>
        <v>8.1098242548009161</v>
      </c>
      <c r="AB187" s="1262">
        <f t="shared" si="190"/>
        <v>7.8665295271568887</v>
      </c>
      <c r="AC187" s="1262">
        <f t="shared" si="190"/>
        <v>7.6305336413421818</v>
      </c>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row>
    <row r="188" spans="1:51">
      <c r="A188" s="685"/>
      <c r="B188" s="1189" t="s">
        <v>181</v>
      </c>
      <c r="C188" s="1263"/>
      <c r="D188" s="1263" t="e">
        <f>D187/#REF!-1</f>
        <v>#REF!</v>
      </c>
      <c r="E188" s="1263" t="e">
        <f t="shared" ref="E188:J188" si="191">E187/D187-1</f>
        <v>#DIV/0!</v>
      </c>
      <c r="F188" s="1263" t="e">
        <f t="shared" si="191"/>
        <v>#DIV/0!</v>
      </c>
      <c r="G188" s="1263" t="e">
        <f t="shared" si="191"/>
        <v>#DIV/0!</v>
      </c>
      <c r="H188" s="1263" t="e">
        <f t="shared" si="191"/>
        <v>#DIV/0!</v>
      </c>
      <c r="I188" s="1263" t="e">
        <f t="shared" si="191"/>
        <v>#DIV/0!</v>
      </c>
      <c r="J188" s="1263" t="e">
        <f t="shared" si="191"/>
        <v>#DIV/0!</v>
      </c>
      <c r="K188" s="1264">
        <v>-0.02</v>
      </c>
      <c r="L188" s="1264">
        <v>-1.4999999999999999E-2</v>
      </c>
      <c r="M188" s="1264">
        <v>-0.01</v>
      </c>
      <c r="N188" s="1264">
        <v>-0.04</v>
      </c>
      <c r="O188" s="1264">
        <v>0.1</v>
      </c>
      <c r="P188" s="1264">
        <v>0.05</v>
      </c>
      <c r="Q188" s="1264">
        <v>-0.12</v>
      </c>
      <c r="R188" s="1264">
        <v>0.01</v>
      </c>
      <c r="S188" s="1264">
        <v>-0.05</v>
      </c>
      <c r="T188" s="1264">
        <v>-2.5000000000000001E-2</v>
      </c>
      <c r="U188" s="1264">
        <v>0.12</v>
      </c>
      <c r="V188" s="1264">
        <v>-0.17</v>
      </c>
      <c r="W188" s="1264">
        <v>-0.03</v>
      </c>
      <c r="X188" s="1264">
        <v>-0.05</v>
      </c>
      <c r="Y188" s="1264">
        <v>-0.03</v>
      </c>
      <c r="Z188" s="1264">
        <v>-0.03</v>
      </c>
      <c r="AA188" s="1264">
        <v>-0.03</v>
      </c>
      <c r="AB188" s="1264">
        <v>-0.03</v>
      </c>
      <c r="AC188" s="1264">
        <v>-0.03</v>
      </c>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row>
    <row r="189" spans="1:51">
      <c r="A189" s="685"/>
      <c r="B189" s="1189"/>
      <c r="C189" s="1189"/>
      <c r="D189" s="1189"/>
      <c r="E189" s="1189"/>
      <c r="F189" s="1265"/>
      <c r="G189" s="1189"/>
      <c r="H189" s="1189"/>
      <c r="I189" s="1189"/>
      <c r="J189" s="1189"/>
      <c r="K189" s="1189"/>
      <c r="L189" s="1189"/>
      <c r="M189" s="1189"/>
      <c r="N189" s="1189"/>
      <c r="O189" s="1189"/>
      <c r="P189" s="1189"/>
      <c r="Q189" s="1189"/>
      <c r="R189" s="1189"/>
      <c r="S189" s="1189"/>
      <c r="T189" s="1189"/>
      <c r="U189" s="1189"/>
      <c r="V189" s="1189"/>
      <c r="W189" s="1189"/>
      <c r="X189" s="1189"/>
      <c r="Y189" s="1189"/>
      <c r="Z189" s="1189"/>
      <c r="AA189" s="1189"/>
      <c r="AB189" s="1189"/>
      <c r="AC189" s="1189"/>
      <c r="AD189" s="685"/>
      <c r="AE189" s="685"/>
      <c r="AF189" s="685"/>
      <c r="AG189" s="685"/>
      <c r="AH189" s="685"/>
      <c r="AI189" s="685"/>
      <c r="AJ189" s="685"/>
      <c r="AK189" s="685"/>
      <c r="AL189" s="685"/>
      <c r="AM189" s="685"/>
      <c r="AN189" s="685"/>
      <c r="AO189" s="685"/>
      <c r="AP189" s="685"/>
      <c r="AQ189" s="685"/>
      <c r="AR189" s="685"/>
      <c r="AS189" s="685"/>
      <c r="AT189" s="685"/>
      <c r="AU189" s="685"/>
      <c r="AV189" s="685"/>
      <c r="AW189" s="685"/>
      <c r="AX189" s="685"/>
      <c r="AY189" s="685"/>
    </row>
    <row r="190" spans="1:51">
      <c r="A190" s="685"/>
      <c r="B190" s="1189" t="s">
        <v>240</v>
      </c>
      <c r="C190" s="1259">
        <f>C191+C192</f>
        <v>0</v>
      </c>
      <c r="D190" s="1259">
        <f>D191+D192</f>
        <v>0</v>
      </c>
      <c r="E190" s="1259">
        <f>E191+E192</f>
        <v>0</v>
      </c>
      <c r="F190" s="1259">
        <f>F191+F192</f>
        <v>0</v>
      </c>
      <c r="G190" s="1259">
        <f>G191+G192</f>
        <v>0</v>
      </c>
      <c r="H190" s="1199"/>
      <c r="I190" s="1199">
        <v>68605</v>
      </c>
      <c r="J190" s="1199">
        <v>76040</v>
      </c>
      <c r="K190" s="1197">
        <f>J190+K90</f>
        <v>87633.96</v>
      </c>
      <c r="L190" s="1197">
        <f>K190+L90</f>
        <v>102407.48800000001</v>
      </c>
      <c r="M190" s="1197">
        <f>L190+M90</f>
        <v>119352.44900000001</v>
      </c>
      <c r="N190" s="1197">
        <f t="shared" ref="N190:AC190" si="192">M190+N90+N440</f>
        <v>145709.147</v>
      </c>
      <c r="O190" s="1197">
        <f t="shared" si="192"/>
        <v>180372.22700000001</v>
      </c>
      <c r="P190" s="1197">
        <f t="shared" si="192"/>
        <v>197093.057</v>
      </c>
      <c r="Q190" s="1197">
        <f t="shared" si="192"/>
        <v>211696.22700000001</v>
      </c>
      <c r="R190" s="1197">
        <f t="shared" si="192"/>
        <v>240263.35200000001</v>
      </c>
      <c r="S190" s="1197">
        <f t="shared" si="192"/>
        <v>260441.66400000002</v>
      </c>
      <c r="T190" s="1197">
        <f t="shared" si="192"/>
        <v>278545.75627041305</v>
      </c>
      <c r="U190" s="1267">
        <v>232638</v>
      </c>
      <c r="V190" s="1267">
        <v>242172</v>
      </c>
      <c r="W190" s="1267">
        <f>V190+W90+W440-6506</f>
        <v>249384.24877004654</v>
      </c>
      <c r="X190" s="1197">
        <f t="shared" si="192"/>
        <v>261676.94749720185</v>
      </c>
      <c r="Y190" s="1197">
        <f t="shared" si="192"/>
        <v>274190.28005430364</v>
      </c>
      <c r="Z190" s="1197">
        <f t="shared" si="192"/>
        <v>286749.63539821282</v>
      </c>
      <c r="AA190" s="1197">
        <f t="shared" si="192"/>
        <v>299439.32188806392</v>
      </c>
      <c r="AB190" s="1197">
        <f t="shared" si="192"/>
        <v>312293.1177142802</v>
      </c>
      <c r="AC190" s="1197">
        <f t="shared" si="192"/>
        <v>325460.98563500872</v>
      </c>
      <c r="AD190" s="685"/>
      <c r="AE190" s="685"/>
      <c r="AF190" s="685"/>
      <c r="AG190" s="685"/>
      <c r="AH190" s="685"/>
      <c r="AI190" s="685"/>
      <c r="AJ190" s="685"/>
      <c r="AK190" s="685"/>
      <c r="AL190" s="685"/>
      <c r="AM190" s="685"/>
      <c r="AN190" s="685"/>
      <c r="AO190" s="685"/>
      <c r="AP190" s="685"/>
      <c r="AQ190" s="685"/>
      <c r="AR190" s="685"/>
      <c r="AS190" s="685"/>
      <c r="AT190" s="685"/>
      <c r="AU190" s="685"/>
      <c r="AV190" s="685"/>
      <c r="AW190" s="685"/>
      <c r="AX190" s="685"/>
      <c r="AY190" s="685"/>
    </row>
    <row r="191" spans="1:51">
      <c r="A191" s="685"/>
      <c r="B191" s="1189" t="s">
        <v>241</v>
      </c>
      <c r="C191" s="1260"/>
      <c r="D191" s="1260"/>
      <c r="E191" s="1199"/>
      <c r="F191" s="1199"/>
      <c r="G191" s="1199"/>
      <c r="H191" s="1197"/>
      <c r="I191" s="1197">
        <f t="shared" ref="I191:V191" si="193">I190-I192</f>
        <v>29953</v>
      </c>
      <c r="J191" s="1197">
        <f t="shared" si="193"/>
        <v>34541</v>
      </c>
      <c r="K191" s="1197">
        <f t="shared" si="193"/>
        <v>39270.960000000006</v>
      </c>
      <c r="L191" s="1197">
        <f t="shared" si="193"/>
        <v>48930.988000000012</v>
      </c>
      <c r="M191" s="1197">
        <f t="shared" si="193"/>
        <v>58139.449000000008</v>
      </c>
      <c r="N191" s="1197">
        <f t="shared" si="193"/>
        <v>69619.846999999994</v>
      </c>
      <c r="O191" s="1197">
        <f t="shared" si="193"/>
        <v>93588.627000000008</v>
      </c>
      <c r="P191" s="1197">
        <f t="shared" si="193"/>
        <v>111373.057</v>
      </c>
      <c r="Q191" s="1197">
        <f t="shared" si="193"/>
        <v>124353.22700000001</v>
      </c>
      <c r="R191" s="1197">
        <f t="shared" si="193"/>
        <v>156934.35200000001</v>
      </c>
      <c r="S191" s="1197">
        <f t="shared" si="193"/>
        <v>177157.66400000002</v>
      </c>
      <c r="T191" s="1197">
        <f t="shared" si="193"/>
        <v>190623.65627041305</v>
      </c>
      <c r="U191" s="1197">
        <f t="shared" si="193"/>
        <v>150401.60000000001</v>
      </c>
      <c r="V191" s="1197">
        <f t="shared" si="193"/>
        <v>164323.9</v>
      </c>
      <c r="W191" s="1197">
        <f t="shared" ref="W191:AC191" si="194">V191+W182</f>
        <v>180969.72706161047</v>
      </c>
      <c r="X191" s="1197">
        <f t="shared" si="194"/>
        <v>196368.35588744222</v>
      </c>
      <c r="Y191" s="1197">
        <f t="shared" si="194"/>
        <v>211522.53233195539</v>
      </c>
      <c r="Z191" s="1197">
        <f t="shared" si="194"/>
        <v>226513.66244299134</v>
      </c>
      <c r="AA191" s="1197">
        <f t="shared" si="194"/>
        <v>241368.7249110991</v>
      </c>
      <c r="AB191" s="1197">
        <f t="shared" si="194"/>
        <v>256132.69338703071</v>
      </c>
      <c r="AC191" s="1197">
        <f t="shared" si="194"/>
        <v>270852.61389769398</v>
      </c>
      <c r="AD191" s="685"/>
      <c r="AE191" s="685"/>
      <c r="AF191" s="685"/>
      <c r="AG191" s="685"/>
      <c r="AH191" s="685"/>
      <c r="AI191" s="685"/>
      <c r="AJ191" s="685"/>
      <c r="AK191" s="685"/>
      <c r="AL191" s="685"/>
      <c r="AM191" s="685"/>
      <c r="AN191" s="685"/>
      <c r="AO191" s="685"/>
      <c r="AP191" s="685"/>
      <c r="AQ191" s="685"/>
      <c r="AR191" s="685"/>
      <c r="AS191" s="685"/>
      <c r="AT191" s="685"/>
      <c r="AU191" s="685"/>
      <c r="AV191" s="685"/>
      <c r="AW191" s="685"/>
      <c r="AX191" s="685"/>
      <c r="AY191" s="685"/>
    </row>
    <row r="192" spans="1:51">
      <c r="A192" s="685"/>
      <c r="B192" s="1189" t="s">
        <v>210</v>
      </c>
      <c r="C192" s="1266"/>
      <c r="D192" s="1266"/>
      <c r="E192" s="1266"/>
      <c r="F192" s="1266"/>
      <c r="G192" s="1266"/>
      <c r="H192" s="1266"/>
      <c r="I192" s="1266">
        <v>38652</v>
      </c>
      <c r="J192" s="1266">
        <v>41499</v>
      </c>
      <c r="K192" s="1266">
        <v>48363</v>
      </c>
      <c r="L192" s="1266">
        <v>53476.5</v>
      </c>
      <c r="M192" s="1266">
        <v>61213</v>
      </c>
      <c r="N192" s="1266">
        <v>76089.3</v>
      </c>
      <c r="O192" s="1266">
        <v>86783.6</v>
      </c>
      <c r="P192" s="1266">
        <v>85720</v>
      </c>
      <c r="Q192" s="1266">
        <v>87343</v>
      </c>
      <c r="R192" s="1266">
        <v>83329</v>
      </c>
      <c r="S192" s="1266">
        <v>83284</v>
      </c>
      <c r="T192" s="1266">
        <v>87922.1</v>
      </c>
      <c r="U192" s="1266">
        <v>82236.399999999994</v>
      </c>
      <c r="V192" s="1266">
        <v>77848.100000000006</v>
      </c>
      <c r="W192" s="1188">
        <f t="shared" ref="W192:AC192" si="195">W190-W191</f>
        <v>68414.521708436077</v>
      </c>
      <c r="X192" s="1188">
        <f t="shared" si="195"/>
        <v>65308.591609759635</v>
      </c>
      <c r="Y192" s="1188">
        <f t="shared" si="195"/>
        <v>62667.747722348257</v>
      </c>
      <c r="Z192" s="1188">
        <f t="shared" si="195"/>
        <v>60235.972955221485</v>
      </c>
      <c r="AA192" s="1188">
        <f t="shared" si="195"/>
        <v>58070.596976964822</v>
      </c>
      <c r="AB192" s="1188">
        <f t="shared" si="195"/>
        <v>56160.424327249493</v>
      </c>
      <c r="AC192" s="1188">
        <f t="shared" si="195"/>
        <v>54608.371737314737</v>
      </c>
      <c r="AD192" s="685"/>
      <c r="AE192" s="685"/>
      <c r="AF192" s="685"/>
      <c r="AG192" s="685"/>
      <c r="AH192" s="685"/>
      <c r="AI192" s="685"/>
      <c r="AJ192" s="685"/>
      <c r="AK192" s="685"/>
      <c r="AL192" s="685"/>
      <c r="AM192" s="685"/>
      <c r="AN192" s="685"/>
      <c r="AO192" s="685"/>
      <c r="AP192" s="685"/>
      <c r="AQ192" s="685"/>
      <c r="AR192" s="685"/>
      <c r="AS192" s="685"/>
      <c r="AT192" s="685"/>
      <c r="AU192" s="685"/>
      <c r="AV192" s="685"/>
      <c r="AW192" s="685"/>
      <c r="AX192" s="685"/>
      <c r="AY192" s="685"/>
    </row>
    <row r="193" spans="1:51">
      <c r="A193" s="685"/>
      <c r="B193" s="1189" t="s">
        <v>181</v>
      </c>
      <c r="C193" s="1192"/>
      <c r="D193" s="1192" t="e">
        <f>D192/#REF!-1</f>
        <v>#REF!</v>
      </c>
      <c r="E193" s="1192" t="e">
        <f t="shared" ref="E193:AC193" si="196">E192/D192-1</f>
        <v>#DIV/0!</v>
      </c>
      <c r="F193" s="1192" t="e">
        <f t="shared" si="196"/>
        <v>#DIV/0!</v>
      </c>
      <c r="G193" s="1192" t="e">
        <f t="shared" si="196"/>
        <v>#DIV/0!</v>
      </c>
      <c r="H193" s="1192" t="e">
        <f t="shared" si="196"/>
        <v>#DIV/0!</v>
      </c>
      <c r="I193" s="1192" t="e">
        <f t="shared" si="196"/>
        <v>#DIV/0!</v>
      </c>
      <c r="J193" s="1192">
        <f t="shared" si="196"/>
        <v>7.3657249301459116E-2</v>
      </c>
      <c r="K193" s="1192">
        <f t="shared" si="196"/>
        <v>0.165401575941589</v>
      </c>
      <c r="L193" s="1192">
        <f t="shared" si="196"/>
        <v>0.10573165436387311</v>
      </c>
      <c r="M193" s="1192">
        <f t="shared" si="196"/>
        <v>0.14467102372069984</v>
      </c>
      <c r="N193" s="1192">
        <f t="shared" si="196"/>
        <v>0.24302517439106075</v>
      </c>
      <c r="O193" s="1192">
        <f t="shared" si="196"/>
        <v>0.14054932822354793</v>
      </c>
      <c r="P193" s="1192">
        <f t="shared" si="196"/>
        <v>-1.2255771827856976E-2</v>
      </c>
      <c r="Q193" s="1192">
        <f t="shared" si="196"/>
        <v>1.8933737750816526E-2</v>
      </c>
      <c r="R193" s="1192">
        <f t="shared" si="196"/>
        <v>-4.5956745245755215E-2</v>
      </c>
      <c r="S193" s="1192">
        <f t="shared" si="196"/>
        <v>-5.4002808146025316E-4</v>
      </c>
      <c r="T193" s="1192">
        <f t="shared" si="196"/>
        <v>5.5690168579799249E-2</v>
      </c>
      <c r="U193" s="1192">
        <f t="shared" si="196"/>
        <v>-6.4667472683204941E-2</v>
      </c>
      <c r="V193" s="1192">
        <f t="shared" si="196"/>
        <v>-5.3362014874191788E-2</v>
      </c>
      <c r="W193" s="1192">
        <f t="shared" si="196"/>
        <v>-0.12117930034983415</v>
      </c>
      <c r="X193" s="1192">
        <f t="shared" si="196"/>
        <v>-4.539869637491678E-2</v>
      </c>
      <c r="Y193" s="1192">
        <f t="shared" si="196"/>
        <v>-4.0436393165409146E-2</v>
      </c>
      <c r="Z193" s="1192">
        <f t="shared" si="196"/>
        <v>-3.8804247088962573E-2</v>
      </c>
      <c r="AA193" s="1192">
        <f t="shared" si="196"/>
        <v>-3.5948219511061419E-2</v>
      </c>
      <c r="AB193" s="1192">
        <f t="shared" si="196"/>
        <v>-3.2893973011385524E-2</v>
      </c>
      <c r="AC193" s="1192">
        <f t="shared" si="196"/>
        <v>-2.7636055256471503E-2</v>
      </c>
      <c r="AD193" s="685"/>
      <c r="AE193" s="685"/>
      <c r="AF193" s="685"/>
      <c r="AG193" s="685"/>
      <c r="AH193" s="685"/>
      <c r="AI193" s="685"/>
      <c r="AJ193" s="685"/>
      <c r="AK193" s="685"/>
      <c r="AL193" s="685"/>
      <c r="AM193" s="685"/>
      <c r="AN193" s="685"/>
      <c r="AO193" s="685"/>
      <c r="AP193" s="685"/>
      <c r="AQ193" s="685"/>
      <c r="AR193" s="685"/>
      <c r="AS193" s="685"/>
      <c r="AT193" s="685"/>
      <c r="AU193" s="685"/>
      <c r="AV193" s="685"/>
      <c r="AW193" s="685"/>
      <c r="AX193" s="685"/>
      <c r="AY193" s="685"/>
    </row>
    <row r="194" spans="1:51">
      <c r="A194" s="685"/>
      <c r="B194" s="1189"/>
      <c r="C194" s="1189"/>
      <c r="D194" s="1189"/>
      <c r="E194" s="1189"/>
      <c r="F194" s="1189"/>
      <c r="G194" s="1189"/>
      <c r="H194" s="1189"/>
      <c r="I194" s="1189"/>
      <c r="J194" s="1189"/>
      <c r="K194" s="1189"/>
      <c r="L194" s="1189"/>
      <c r="M194" s="1189"/>
      <c r="N194" s="1189"/>
      <c r="O194" s="1189"/>
      <c r="P194" s="1189"/>
      <c r="Q194" s="1189"/>
      <c r="R194" s="1189"/>
      <c r="S194" s="1189"/>
      <c r="T194" s="1189"/>
      <c r="U194" s="1189"/>
      <c r="V194" s="1189"/>
      <c r="W194" s="1189"/>
      <c r="X194" s="1189"/>
      <c r="Y194" s="1189"/>
      <c r="Z194" s="1189"/>
      <c r="AA194" s="1189"/>
      <c r="AB194" s="1189"/>
      <c r="AC194" s="1189"/>
      <c r="AD194" s="685"/>
      <c r="AE194" s="685"/>
      <c r="AF194" s="685"/>
      <c r="AG194" s="685"/>
      <c r="AH194" s="685"/>
      <c r="AI194" s="685"/>
      <c r="AJ194" s="685"/>
      <c r="AK194" s="685"/>
      <c r="AL194" s="685"/>
      <c r="AM194" s="685"/>
      <c r="AN194" s="685"/>
      <c r="AO194" s="685"/>
      <c r="AP194" s="685"/>
      <c r="AQ194" s="685"/>
      <c r="AR194" s="685"/>
      <c r="AS194" s="685"/>
      <c r="AT194" s="685"/>
      <c r="AU194" s="685"/>
      <c r="AV194" s="685"/>
      <c r="AW194" s="685"/>
      <c r="AX194" s="685"/>
      <c r="AY194" s="685"/>
    </row>
    <row r="195" spans="1:51">
      <c r="A195" s="685"/>
      <c r="B195" s="1189" t="s">
        <v>242</v>
      </c>
      <c r="C195" s="1191"/>
      <c r="D195" s="1191"/>
      <c r="E195" s="1191"/>
      <c r="F195" s="1191"/>
      <c r="G195" s="1191"/>
      <c r="H195" s="1191"/>
      <c r="I195" s="1191">
        <f t="shared" ref="I195:AC195" si="197">I90/I182</f>
        <v>2.241342812006319</v>
      </c>
      <c r="J195" s="1191">
        <f t="shared" si="197"/>
        <v>1.5136194431625902</v>
      </c>
      <c r="K195" s="1191">
        <f t="shared" si="197"/>
        <v>1.6278412391698622</v>
      </c>
      <c r="L195" s="1191">
        <f t="shared" si="197"/>
        <v>1.753174309219858</v>
      </c>
      <c r="M195" s="1191">
        <f t="shared" si="197"/>
        <v>1.800391293149028</v>
      </c>
      <c r="N195" s="1191">
        <f t="shared" si="197"/>
        <v>2.270267644038154</v>
      </c>
      <c r="O195" s="1191">
        <f t="shared" si="197"/>
        <v>2.2010879456403609</v>
      </c>
      <c r="P195" s="1191">
        <f t="shared" si="197"/>
        <v>1.2138434873702468</v>
      </c>
      <c r="Q195" s="1191">
        <f t="shared" si="197"/>
        <v>1.2069152695457082</v>
      </c>
      <c r="R195" s="1191">
        <f t="shared" si="197"/>
        <v>1.2223728009247521</v>
      </c>
      <c r="S195" s="1191">
        <f t="shared" si="197"/>
        <v>1.2881274552840587</v>
      </c>
      <c r="T195" s="1191">
        <f t="shared" si="197"/>
        <v>1.4516342517093932</v>
      </c>
      <c r="U195" s="1191">
        <f t="shared" si="197"/>
        <v>1.1373145498461485</v>
      </c>
      <c r="V195" s="1191">
        <f t="shared" si="197"/>
        <v>0.8597508100383261</v>
      </c>
      <c r="W195" s="1191">
        <f t="shared" si="197"/>
        <v>0.77295340882880326</v>
      </c>
      <c r="X195" s="1191">
        <f t="shared" si="197"/>
        <v>0.79829826838438156</v>
      </c>
      <c r="Y195" s="1191">
        <f t="shared" si="197"/>
        <v>0.82573491228106155</v>
      </c>
      <c r="Z195" s="1191">
        <f t="shared" si="197"/>
        <v>0.83778576070548594</v>
      </c>
      <c r="AA195" s="1191">
        <f t="shared" si="197"/>
        <v>0.85423312874614599</v>
      </c>
      <c r="AB195" s="1191">
        <f t="shared" si="197"/>
        <v>0.87061929502021607</v>
      </c>
      <c r="AC195" s="1191">
        <f t="shared" si="197"/>
        <v>0.89456107532574858</v>
      </c>
      <c r="AD195" s="685"/>
      <c r="AE195" s="685"/>
      <c r="AF195" s="685"/>
      <c r="AG195" s="685"/>
      <c r="AH195" s="685"/>
      <c r="AI195" s="685"/>
      <c r="AJ195" s="685"/>
      <c r="AK195" s="685"/>
      <c r="AL195" s="685"/>
      <c r="AM195" s="685"/>
      <c r="AN195" s="685"/>
      <c r="AO195" s="685"/>
      <c r="AP195" s="685"/>
      <c r="AQ195" s="685"/>
      <c r="AR195" s="685"/>
      <c r="AS195" s="685"/>
      <c r="AT195" s="685"/>
      <c r="AU195" s="685"/>
      <c r="AV195" s="685"/>
      <c r="AW195" s="685"/>
      <c r="AX195" s="685"/>
      <c r="AY195" s="685"/>
    </row>
    <row r="196" spans="1:51">
      <c r="A196" s="685"/>
      <c r="B196" s="1189"/>
      <c r="C196" s="1191"/>
      <c r="D196" s="1191"/>
      <c r="E196" s="1191"/>
      <c r="F196" s="1191"/>
      <c r="G196" s="1191"/>
      <c r="H196" s="1191"/>
      <c r="I196" s="1191"/>
      <c r="J196" s="1191"/>
      <c r="K196" s="1191"/>
      <c r="L196" s="1191"/>
      <c r="M196" s="1191"/>
      <c r="N196" s="1191"/>
      <c r="O196" s="1191"/>
      <c r="P196" s="1191"/>
      <c r="Q196" s="1191"/>
      <c r="R196" s="1191"/>
      <c r="S196" s="1191"/>
      <c r="T196" s="1191"/>
      <c r="U196" s="1191"/>
      <c r="V196" s="1191"/>
      <c r="W196" s="1191"/>
      <c r="X196" s="1191"/>
      <c r="Y196" s="1191"/>
      <c r="Z196" s="1191"/>
      <c r="AA196" s="1191"/>
      <c r="AB196" s="1191"/>
      <c r="AC196" s="1191"/>
      <c r="AD196" s="685"/>
      <c r="AE196" s="685"/>
      <c r="AF196" s="685"/>
      <c r="AG196" s="685"/>
      <c r="AH196" s="685"/>
      <c r="AI196" s="685"/>
      <c r="AJ196" s="685"/>
      <c r="AK196" s="685"/>
      <c r="AL196" s="685"/>
      <c r="AM196" s="685"/>
      <c r="AN196" s="685"/>
      <c r="AO196" s="685"/>
      <c r="AP196" s="685"/>
      <c r="AQ196" s="685"/>
      <c r="AR196" s="685"/>
      <c r="AS196" s="685"/>
      <c r="AT196" s="685"/>
      <c r="AU196" s="685"/>
      <c r="AV196" s="685"/>
      <c r="AW196" s="685"/>
      <c r="AX196" s="685"/>
      <c r="AY196" s="685"/>
    </row>
    <row r="197" spans="1:51">
      <c r="A197" s="685"/>
      <c r="B197" s="1189" t="s">
        <v>5031</v>
      </c>
      <c r="C197" s="1191"/>
      <c r="D197" s="1191"/>
      <c r="E197" s="1191"/>
      <c r="F197" s="1191"/>
      <c r="G197" s="1191"/>
      <c r="H197" s="1191"/>
      <c r="I197" s="1191"/>
      <c r="J197" s="1191"/>
      <c r="K197" s="1191"/>
      <c r="L197" s="1191"/>
      <c r="M197" s="1191"/>
      <c r="N197" s="1191"/>
      <c r="O197" s="1191"/>
      <c r="P197" s="1191"/>
      <c r="Q197" s="1260">
        <v>4700</v>
      </c>
      <c r="R197" s="1200">
        <f>Q197</f>
        <v>4700</v>
      </c>
      <c r="S197" s="1200">
        <f t="shared" ref="S197:AC197" si="198">R197</f>
        <v>4700</v>
      </c>
      <c r="T197" s="1267">
        <f>1478.4+8202.2</f>
        <v>9680.6</v>
      </c>
      <c r="U197" s="1267">
        <f>1373.2+6995.8</f>
        <v>8369</v>
      </c>
      <c r="V197" s="1267">
        <f>1280.9+6010.6</f>
        <v>7291.5</v>
      </c>
      <c r="W197" s="1197">
        <f t="shared" si="198"/>
        <v>7291.5</v>
      </c>
      <c r="X197" s="1197">
        <f t="shared" si="198"/>
        <v>7291.5</v>
      </c>
      <c r="Y197" s="1197">
        <f t="shared" si="198"/>
        <v>7291.5</v>
      </c>
      <c r="Z197" s="1197">
        <f t="shared" si="198"/>
        <v>7291.5</v>
      </c>
      <c r="AA197" s="1197">
        <f t="shared" si="198"/>
        <v>7291.5</v>
      </c>
      <c r="AB197" s="1197">
        <f t="shared" si="198"/>
        <v>7291.5</v>
      </c>
      <c r="AC197" s="1197">
        <f t="shared" si="198"/>
        <v>7291.5</v>
      </c>
      <c r="AD197" s="685"/>
      <c r="AE197" s="685"/>
      <c r="AF197" s="685"/>
      <c r="AG197" s="685"/>
      <c r="AH197" s="685"/>
      <c r="AI197" s="685"/>
      <c r="AJ197" s="685"/>
      <c r="AK197" s="685"/>
      <c r="AL197" s="685"/>
      <c r="AM197" s="685"/>
      <c r="AN197" s="685"/>
      <c r="AO197" s="685"/>
      <c r="AP197" s="685"/>
      <c r="AQ197" s="685"/>
      <c r="AR197" s="685"/>
      <c r="AS197" s="685"/>
      <c r="AT197" s="685"/>
      <c r="AU197" s="685"/>
      <c r="AV197" s="685"/>
      <c r="AW197" s="685"/>
      <c r="AX197" s="685"/>
      <c r="AY197" s="685"/>
    </row>
    <row r="198" spans="1:51">
      <c r="A198" s="685"/>
      <c r="B198" s="1189"/>
      <c r="C198" s="1191"/>
      <c r="D198" s="1191"/>
      <c r="E198" s="1191"/>
      <c r="F198" s="1191"/>
      <c r="G198" s="1191"/>
      <c r="H198" s="1191"/>
      <c r="I198" s="1191"/>
      <c r="J198" s="1191"/>
      <c r="K198" s="1191"/>
      <c r="L198" s="1191"/>
      <c r="M198" s="1191"/>
      <c r="N198" s="1191"/>
      <c r="O198" s="1191"/>
      <c r="P198" s="1191"/>
      <c r="Q198" s="1191"/>
      <c r="R198" s="1197"/>
      <c r="S198" s="1197"/>
      <c r="T198" s="1197"/>
      <c r="U198" s="1197"/>
      <c r="V198" s="1197"/>
      <c r="W198" s="1197"/>
      <c r="X198" s="1197"/>
      <c r="Y198" s="1197"/>
      <c r="Z198" s="1197"/>
      <c r="AA198" s="1197"/>
      <c r="AB198" s="1197"/>
      <c r="AC198" s="1197"/>
      <c r="AD198" s="685"/>
      <c r="AE198" s="685"/>
      <c r="AF198" s="685"/>
      <c r="AG198" s="685"/>
      <c r="AH198" s="685"/>
      <c r="AI198" s="685"/>
      <c r="AJ198" s="685"/>
      <c r="AK198" s="685"/>
      <c r="AL198" s="685"/>
      <c r="AM198" s="685"/>
      <c r="AN198" s="685"/>
      <c r="AO198" s="685"/>
      <c r="AP198" s="685"/>
      <c r="AQ198" s="685"/>
      <c r="AR198" s="685"/>
      <c r="AS198" s="685"/>
      <c r="AT198" s="685"/>
      <c r="AU198" s="685"/>
      <c r="AV198" s="685"/>
      <c r="AW198" s="685"/>
      <c r="AX198" s="685"/>
      <c r="AY198" s="685"/>
    </row>
    <row r="199" spans="1:51">
      <c r="A199" s="685"/>
      <c r="B199" s="1189" t="s">
        <v>5033</v>
      </c>
      <c r="C199" s="1191"/>
      <c r="D199" s="1191"/>
      <c r="E199" s="1191"/>
      <c r="F199" s="1191"/>
      <c r="G199" s="1191"/>
      <c r="H199" s="1191"/>
      <c r="I199" s="1191"/>
      <c r="J199" s="1191"/>
      <c r="K199" s="1191"/>
      <c r="L199" s="1191"/>
      <c r="M199" s="1191"/>
      <c r="N199" s="1191"/>
      <c r="O199" s="1191"/>
      <c r="P199" s="1191"/>
      <c r="Q199" s="1268"/>
      <c r="R199" s="1260">
        <v>200</v>
      </c>
      <c r="S199" s="1260">
        <v>461</v>
      </c>
      <c r="T199" s="1260">
        <v>431</v>
      </c>
      <c r="U199" s="1260">
        <v>450</v>
      </c>
      <c r="V199" s="1260">
        <v>448.6</v>
      </c>
      <c r="W199" s="1200">
        <f t="shared" ref="W199:AC200" si="199">V199*1.03</f>
        <v>462.05800000000005</v>
      </c>
      <c r="X199" s="1200">
        <f t="shared" si="199"/>
        <v>475.91974000000005</v>
      </c>
      <c r="Y199" s="1200">
        <f t="shared" si="199"/>
        <v>490.19733220000006</v>
      </c>
      <c r="Z199" s="1200">
        <f t="shared" si="199"/>
        <v>504.90325216600007</v>
      </c>
      <c r="AA199" s="1200">
        <f t="shared" si="199"/>
        <v>520.05034973098009</v>
      </c>
      <c r="AB199" s="1200">
        <f t="shared" si="199"/>
        <v>535.65186022290948</v>
      </c>
      <c r="AC199" s="1200">
        <f t="shared" si="199"/>
        <v>551.72141602959675</v>
      </c>
      <c r="AD199" s="685"/>
      <c r="AE199" s="685"/>
      <c r="AF199" s="685"/>
      <c r="AG199" s="685"/>
      <c r="AH199" s="685"/>
      <c r="AI199" s="685"/>
      <c r="AJ199" s="685"/>
      <c r="AK199" s="685"/>
      <c r="AL199" s="685"/>
      <c r="AM199" s="685"/>
      <c r="AN199" s="685"/>
      <c r="AO199" s="685"/>
      <c r="AP199" s="685"/>
      <c r="AQ199" s="685"/>
      <c r="AR199" s="685"/>
      <c r="AS199" s="685"/>
      <c r="AT199" s="685"/>
      <c r="AU199" s="685"/>
      <c r="AV199" s="685"/>
      <c r="AW199" s="685"/>
      <c r="AX199" s="685"/>
      <c r="AY199" s="685"/>
    </row>
    <row r="200" spans="1:51">
      <c r="A200" s="685"/>
      <c r="B200" s="1189" t="s">
        <v>5034</v>
      </c>
      <c r="C200" s="1191"/>
      <c r="D200" s="1191"/>
      <c r="E200" s="1191"/>
      <c r="F200" s="1191"/>
      <c r="G200" s="1191"/>
      <c r="H200" s="1191"/>
      <c r="I200" s="1191"/>
      <c r="J200" s="1191"/>
      <c r="K200" s="1191"/>
      <c r="L200" s="1191"/>
      <c r="M200" s="1191"/>
      <c r="N200" s="1191"/>
      <c r="O200" s="1191"/>
      <c r="P200" s="1191"/>
      <c r="Q200" s="1268"/>
      <c r="R200" s="1197">
        <f>R201-R199</f>
        <v>600</v>
      </c>
      <c r="S200" s="1197">
        <f>S201-S199</f>
        <v>208</v>
      </c>
      <c r="T200" s="1197">
        <f>T201-T199</f>
        <v>216</v>
      </c>
      <c r="U200" s="1197">
        <f>U201-U199</f>
        <v>249</v>
      </c>
      <c r="V200" s="1197">
        <f>V201-V199</f>
        <v>1345.002</v>
      </c>
      <c r="W200" s="1200">
        <f t="shared" si="199"/>
        <v>1385.3520599999999</v>
      </c>
      <c r="X200" s="1200">
        <f t="shared" si="199"/>
        <v>1426.9126217999999</v>
      </c>
      <c r="Y200" s="1200">
        <f t="shared" si="199"/>
        <v>1469.720000454</v>
      </c>
      <c r="Z200" s="1200">
        <f t="shared" si="199"/>
        <v>1513.8116004676201</v>
      </c>
      <c r="AA200" s="1200">
        <f t="shared" si="199"/>
        <v>1559.2259484816489</v>
      </c>
      <c r="AB200" s="1200">
        <f t="shared" si="199"/>
        <v>1606.0027269360983</v>
      </c>
      <c r="AC200" s="1200">
        <f t="shared" si="199"/>
        <v>1654.1828087441813</v>
      </c>
      <c r="AD200" s="685"/>
      <c r="AE200" s="685"/>
      <c r="AF200" s="685"/>
      <c r="AG200" s="685"/>
      <c r="AH200" s="685"/>
      <c r="AI200" s="685"/>
      <c r="AJ200" s="685"/>
      <c r="AK200" s="685"/>
      <c r="AL200" s="685"/>
      <c r="AM200" s="685"/>
      <c r="AN200" s="685"/>
      <c r="AO200" s="685"/>
      <c r="AP200" s="685"/>
      <c r="AQ200" s="685"/>
      <c r="AR200" s="685"/>
      <c r="AS200" s="685"/>
      <c r="AT200" s="685"/>
      <c r="AU200" s="685"/>
      <c r="AV200" s="685"/>
      <c r="AW200" s="685"/>
      <c r="AX200" s="685"/>
      <c r="AY200" s="685"/>
    </row>
    <row r="201" spans="1:51">
      <c r="A201" s="685"/>
      <c r="B201" s="1189" t="s">
        <v>5032</v>
      </c>
      <c r="C201" s="1191"/>
      <c r="D201" s="1191"/>
      <c r="E201" s="1191"/>
      <c r="F201" s="1191"/>
      <c r="G201" s="1191"/>
      <c r="H201" s="1191"/>
      <c r="I201" s="1191"/>
      <c r="J201" s="1191"/>
      <c r="K201" s="1191"/>
      <c r="L201" s="1191"/>
      <c r="M201" s="1191"/>
      <c r="N201" s="1191"/>
      <c r="O201" s="1191"/>
      <c r="P201" s="1191"/>
      <c r="Q201" s="1191"/>
      <c r="R201" s="1260">
        <v>800</v>
      </c>
      <c r="S201" s="1260">
        <f>669</f>
        <v>669</v>
      </c>
      <c r="T201" s="1260">
        <f>647</f>
        <v>647</v>
      </c>
      <c r="U201" s="1260">
        <f>699</f>
        <v>699</v>
      </c>
      <c r="V201" s="1260">
        <f>1793.602</f>
        <v>1793.6020000000001</v>
      </c>
      <c r="W201" s="1197">
        <f t="shared" ref="W201:AC201" si="200">W199+W200</f>
        <v>1847.4100599999999</v>
      </c>
      <c r="X201" s="1197">
        <f t="shared" si="200"/>
        <v>1902.8323617999999</v>
      </c>
      <c r="Y201" s="1197">
        <f t="shared" si="200"/>
        <v>1959.9173326540001</v>
      </c>
      <c r="Z201" s="1197">
        <f t="shared" si="200"/>
        <v>2018.7148526336202</v>
      </c>
      <c r="AA201" s="1197">
        <f t="shared" si="200"/>
        <v>2079.2762982126287</v>
      </c>
      <c r="AB201" s="1197">
        <f t="shared" si="200"/>
        <v>2141.6545871590079</v>
      </c>
      <c r="AC201" s="1197">
        <f t="shared" si="200"/>
        <v>2205.904224773778</v>
      </c>
      <c r="AD201" s="685"/>
      <c r="AE201" s="685"/>
      <c r="AF201" s="685"/>
      <c r="AG201" s="685"/>
      <c r="AH201" s="685"/>
      <c r="AI201" s="685"/>
      <c r="AJ201" s="685"/>
      <c r="AK201" s="685"/>
      <c r="AL201" s="685"/>
      <c r="AM201" s="685"/>
      <c r="AN201" s="685"/>
      <c r="AO201" s="685"/>
      <c r="AP201" s="685"/>
      <c r="AQ201" s="685"/>
      <c r="AR201" s="685"/>
      <c r="AS201" s="685"/>
      <c r="AT201" s="685"/>
      <c r="AU201" s="685"/>
      <c r="AV201" s="685"/>
      <c r="AW201" s="685"/>
      <c r="AX201" s="685"/>
      <c r="AY201" s="685"/>
    </row>
    <row r="202" spans="1:51">
      <c r="A202" s="685"/>
      <c r="B202" s="1189"/>
      <c r="C202" s="1189"/>
      <c r="D202" s="1189"/>
      <c r="E202" s="1189"/>
      <c r="F202" s="1189"/>
      <c r="G202" s="1189"/>
      <c r="H202" s="1189"/>
      <c r="I202" s="1189"/>
      <c r="J202" s="1189"/>
      <c r="K202" s="1189"/>
      <c r="L202" s="1189"/>
      <c r="M202" s="1189"/>
      <c r="N202" s="1189"/>
      <c r="O202" s="1189"/>
      <c r="P202" s="1189"/>
      <c r="Q202" s="1189"/>
      <c r="R202" s="1189"/>
      <c r="S202" s="1189"/>
      <c r="T202" s="1189"/>
      <c r="U202" s="1189"/>
      <c r="V202" s="1189"/>
      <c r="W202" s="1189"/>
      <c r="X202" s="1189"/>
      <c r="Y202" s="1189"/>
      <c r="Z202" s="1189"/>
      <c r="AA202" s="1189"/>
      <c r="AB202" s="1189"/>
      <c r="AC202" s="1189"/>
      <c r="AD202" s="685"/>
      <c r="AE202" s="685"/>
      <c r="AF202" s="685"/>
      <c r="AG202" s="685"/>
      <c r="AH202" s="685"/>
      <c r="AI202" s="685"/>
      <c r="AJ202" s="685"/>
      <c r="AK202" s="685"/>
      <c r="AL202" s="685"/>
      <c r="AM202" s="685"/>
      <c r="AN202" s="685"/>
      <c r="AO202" s="685"/>
      <c r="AP202" s="685"/>
      <c r="AQ202" s="685"/>
      <c r="AR202" s="685"/>
      <c r="AS202" s="685"/>
      <c r="AT202" s="685"/>
      <c r="AU202" s="685"/>
      <c r="AV202" s="685"/>
      <c r="AW202" s="685"/>
      <c r="AX202" s="685"/>
      <c r="AY202" s="685"/>
    </row>
    <row r="203" spans="1:51">
      <c r="A203" s="685"/>
      <c r="B203" s="1189"/>
      <c r="C203" s="1189"/>
      <c r="D203" s="1189"/>
      <c r="E203" s="1189"/>
      <c r="F203" s="1189"/>
      <c r="G203" s="1189"/>
      <c r="H203" s="1189"/>
      <c r="I203" s="1189"/>
      <c r="J203" s="1189"/>
      <c r="K203" s="1189"/>
      <c r="L203" s="1189"/>
      <c r="M203" s="1189"/>
      <c r="N203" s="1189"/>
      <c r="O203" s="1189"/>
      <c r="P203" s="1189"/>
      <c r="Q203" s="1189"/>
      <c r="R203" s="1189"/>
      <c r="S203" s="1189"/>
      <c r="T203" s="1189"/>
      <c r="U203" s="1189"/>
      <c r="V203" s="1189"/>
      <c r="W203" s="1189"/>
      <c r="X203" s="1189"/>
      <c r="Y203" s="1189"/>
      <c r="Z203" s="1189"/>
      <c r="AA203" s="1189"/>
      <c r="AB203" s="1189"/>
      <c r="AC203" s="1189"/>
      <c r="AD203" s="685"/>
      <c r="AE203" s="685"/>
      <c r="AF203" s="685"/>
      <c r="AG203" s="685"/>
      <c r="AH203" s="685"/>
      <c r="AI203" s="685"/>
      <c r="AJ203" s="685"/>
      <c r="AK203" s="685"/>
      <c r="AL203" s="685"/>
      <c r="AM203" s="685"/>
      <c r="AN203" s="685"/>
      <c r="AO203" s="685"/>
      <c r="AP203" s="685"/>
      <c r="AQ203" s="685"/>
      <c r="AR203" s="685"/>
      <c r="AS203" s="685"/>
      <c r="AT203" s="685"/>
      <c r="AU203" s="685"/>
      <c r="AV203" s="685"/>
      <c r="AW203" s="685"/>
      <c r="AX203" s="685"/>
      <c r="AY203" s="685"/>
    </row>
    <row r="204" spans="1:51">
      <c r="A204" s="685"/>
      <c r="B204" s="1189"/>
      <c r="C204" s="1189"/>
      <c r="D204" s="1189"/>
      <c r="E204" s="1189"/>
      <c r="F204" s="1189"/>
      <c r="G204" s="1189"/>
      <c r="H204" s="1189"/>
      <c r="I204" s="1189"/>
      <c r="J204" s="1189"/>
      <c r="K204" s="1189"/>
      <c r="L204" s="1189"/>
      <c r="M204" s="1189"/>
      <c r="N204" s="1189"/>
      <c r="O204" s="1189"/>
      <c r="P204" s="1189"/>
      <c r="Q204" s="1189"/>
      <c r="R204" s="1189"/>
      <c r="S204" s="1189"/>
      <c r="T204" s="1189"/>
      <c r="U204" s="1189"/>
      <c r="V204" s="1189"/>
      <c r="W204" s="1189"/>
      <c r="X204" s="1189"/>
      <c r="Y204" s="1189"/>
      <c r="Z204" s="1189"/>
      <c r="AA204" s="1189"/>
      <c r="AB204" s="1189"/>
      <c r="AC204" s="1189"/>
      <c r="AD204" s="685"/>
      <c r="AE204" s="685"/>
      <c r="AF204" s="685"/>
      <c r="AG204" s="685"/>
      <c r="AH204" s="685"/>
      <c r="AI204" s="685"/>
      <c r="AJ204" s="685"/>
      <c r="AK204" s="685"/>
      <c r="AL204" s="685"/>
      <c r="AM204" s="685"/>
      <c r="AN204" s="685"/>
      <c r="AO204" s="685"/>
      <c r="AP204" s="685"/>
      <c r="AQ204" s="685"/>
      <c r="AR204" s="685"/>
      <c r="AS204" s="685"/>
      <c r="AT204" s="685"/>
      <c r="AU204" s="685"/>
      <c r="AV204" s="685"/>
      <c r="AW204" s="685"/>
      <c r="AX204" s="685"/>
      <c r="AY204" s="685"/>
    </row>
    <row r="205" spans="1:51">
      <c r="A205" s="685"/>
      <c r="B205" s="1186" t="s">
        <v>185</v>
      </c>
      <c r="C205" s="1186">
        <v>2004</v>
      </c>
      <c r="D205" s="1186">
        <f>C205+1</f>
        <v>2005</v>
      </c>
      <c r="E205" s="1186">
        <f t="shared" ref="E205:AC205" si="201">D205+1</f>
        <v>2006</v>
      </c>
      <c r="F205" s="1186">
        <f t="shared" si="201"/>
        <v>2007</v>
      </c>
      <c r="G205" s="1186">
        <f t="shared" si="201"/>
        <v>2008</v>
      </c>
      <c r="H205" s="1186">
        <f t="shared" si="201"/>
        <v>2009</v>
      </c>
      <c r="I205" s="1186">
        <f t="shared" si="201"/>
        <v>2010</v>
      </c>
      <c r="J205" s="1186">
        <f t="shared" si="201"/>
        <v>2011</v>
      </c>
      <c r="K205" s="1186">
        <f t="shared" si="201"/>
        <v>2012</v>
      </c>
      <c r="L205" s="1186">
        <f t="shared" si="201"/>
        <v>2013</v>
      </c>
      <c r="M205" s="1186">
        <f t="shared" si="201"/>
        <v>2014</v>
      </c>
      <c r="N205" s="1186">
        <f t="shared" si="201"/>
        <v>2015</v>
      </c>
      <c r="O205" s="1186">
        <f t="shared" si="201"/>
        <v>2016</v>
      </c>
      <c r="P205" s="1186">
        <f t="shared" si="201"/>
        <v>2017</v>
      </c>
      <c r="Q205" s="1186">
        <f t="shared" si="201"/>
        <v>2018</v>
      </c>
      <c r="R205" s="1186">
        <f t="shared" si="201"/>
        <v>2019</v>
      </c>
      <c r="S205" s="1186">
        <f t="shared" si="201"/>
        <v>2020</v>
      </c>
      <c r="T205" s="1186">
        <f t="shared" si="201"/>
        <v>2021</v>
      </c>
      <c r="U205" s="1186">
        <f t="shared" si="201"/>
        <v>2022</v>
      </c>
      <c r="V205" s="1186">
        <f t="shared" si="201"/>
        <v>2023</v>
      </c>
      <c r="W205" s="1186">
        <f t="shared" si="201"/>
        <v>2024</v>
      </c>
      <c r="X205" s="1186">
        <f t="shared" si="201"/>
        <v>2025</v>
      </c>
      <c r="Y205" s="1186">
        <f t="shared" si="201"/>
        <v>2026</v>
      </c>
      <c r="Z205" s="1186">
        <f t="shared" si="201"/>
        <v>2027</v>
      </c>
      <c r="AA205" s="1186">
        <f t="shared" si="201"/>
        <v>2028</v>
      </c>
      <c r="AB205" s="1186">
        <f t="shared" si="201"/>
        <v>2029</v>
      </c>
      <c r="AC205" s="1186">
        <f t="shared" si="201"/>
        <v>2030</v>
      </c>
      <c r="AD205" s="685"/>
      <c r="AE205" s="685"/>
      <c r="AF205" s="685"/>
      <c r="AG205" s="685"/>
      <c r="AH205" s="685"/>
      <c r="AI205" s="685"/>
      <c r="AJ205" s="685"/>
      <c r="AK205" s="685"/>
      <c r="AL205" s="685"/>
      <c r="AM205" s="685"/>
      <c r="AN205" s="685"/>
      <c r="AO205" s="685"/>
      <c r="AP205" s="685"/>
      <c r="AQ205" s="685"/>
      <c r="AR205" s="685"/>
      <c r="AS205" s="685"/>
      <c r="AT205" s="685"/>
      <c r="AU205" s="685"/>
      <c r="AV205" s="685"/>
      <c r="AW205" s="685"/>
      <c r="AX205" s="685"/>
      <c r="AY205" s="685"/>
    </row>
    <row r="206" spans="1:51">
      <c r="A206" s="685"/>
      <c r="B206" s="1189" t="s">
        <v>185</v>
      </c>
      <c r="C206" s="1259"/>
      <c r="D206" s="1260"/>
      <c r="E206" s="1260"/>
      <c r="F206" s="1260"/>
      <c r="G206" s="1260"/>
      <c r="H206" s="1260">
        <f>4930-H182</f>
        <v>540</v>
      </c>
      <c r="I206" s="1260">
        <f>6579-I182</f>
        <v>882</v>
      </c>
      <c r="J206" s="1260">
        <f>7429.7-J182</f>
        <v>928.69999999999982</v>
      </c>
      <c r="K206" s="1260">
        <f>8474-K182</f>
        <v>1351.7083900930756</v>
      </c>
      <c r="L206" s="1260">
        <f>9846-L182</f>
        <v>1419.2691710648869</v>
      </c>
      <c r="M206" s="1260">
        <f>11563-M182</f>
        <v>2151.1787673156814</v>
      </c>
      <c r="N206" s="1260">
        <f>14660.9-N182</f>
        <v>3438.5676609448146</v>
      </c>
      <c r="O206" s="1260">
        <f>16979.8-O182</f>
        <v>4298.3076247013523</v>
      </c>
      <c r="P206" s="1260">
        <f>18536-P182</f>
        <v>4760.887990934365</v>
      </c>
      <c r="Q206" s="1260">
        <f>19834-Q182</f>
        <v>4372.3097961598251</v>
      </c>
      <c r="R206" s="1260">
        <f>21008-R182</f>
        <v>5409.5467412435082</v>
      </c>
      <c r="S206" s="1260">
        <f>21261-S182</f>
        <v>5596.158825141054</v>
      </c>
      <c r="T206" s="1260">
        <f>21418.3-T182</f>
        <v>5360.4725941200941</v>
      </c>
      <c r="U206" s="1260">
        <f>21117.4-U182</f>
        <v>5981.6048918404667</v>
      </c>
      <c r="V206" s="1260">
        <f>21554.4-V182</f>
        <v>4497.7716970312758</v>
      </c>
      <c r="W206" s="1197">
        <f t="shared" ref="W206:AC206" si="202">W208+W207</f>
        <v>4443.835</v>
      </c>
      <c r="X206" s="1197">
        <f t="shared" si="202"/>
        <v>4454.7206399999995</v>
      </c>
      <c r="Y206" s="1197">
        <f t="shared" si="202"/>
        <v>4489.8955867999994</v>
      </c>
      <c r="Z206" s="1197">
        <f t="shared" si="202"/>
        <v>4468.4457682479988</v>
      </c>
      <c r="AA206" s="1197">
        <f t="shared" si="202"/>
        <v>4397.8096507427981</v>
      </c>
      <c r="AB206" s="1197">
        <f t="shared" si="202"/>
        <v>4286.5005366734695</v>
      </c>
      <c r="AC206" s="1197">
        <f t="shared" si="202"/>
        <v>4143.5519189810711</v>
      </c>
      <c r="AD206" s="685"/>
      <c r="AE206" s="685"/>
      <c r="AF206" s="685"/>
      <c r="AG206" s="685"/>
      <c r="AH206" s="685"/>
      <c r="AI206" s="685"/>
      <c r="AJ206" s="685"/>
      <c r="AK206" s="685"/>
      <c r="AL206" s="685"/>
      <c r="AM206" s="685"/>
      <c r="AN206" s="685"/>
      <c r="AO206" s="685"/>
      <c r="AP206" s="685"/>
      <c r="AQ206" s="685"/>
      <c r="AR206" s="685"/>
      <c r="AS206" s="685"/>
      <c r="AT206" s="685"/>
      <c r="AU206" s="685"/>
      <c r="AV206" s="685"/>
      <c r="AW206" s="685"/>
      <c r="AX206" s="685"/>
      <c r="AY206" s="685"/>
    </row>
    <row r="207" spans="1:51">
      <c r="A207" s="685"/>
      <c r="B207" s="1189" t="s">
        <v>243</v>
      </c>
      <c r="C207" s="1259"/>
      <c r="D207" s="1260">
        <v>0</v>
      </c>
      <c r="E207" s="1260">
        <v>0</v>
      </c>
      <c r="F207" s="1260">
        <v>0</v>
      </c>
      <c r="G207" s="1260">
        <v>0</v>
      </c>
      <c r="H207" s="1260">
        <v>0</v>
      </c>
      <c r="I207" s="1260">
        <v>0</v>
      </c>
      <c r="J207" s="1260">
        <v>0</v>
      </c>
      <c r="K207" s="1260">
        <v>0</v>
      </c>
      <c r="L207" s="1260">
        <v>0</v>
      </c>
      <c r="M207" s="1260">
        <v>0</v>
      </c>
      <c r="N207" s="1260">
        <v>0</v>
      </c>
      <c r="O207" s="1260">
        <v>0</v>
      </c>
      <c r="P207" s="1260">
        <v>0</v>
      </c>
      <c r="Q207" s="1260">
        <v>0</v>
      </c>
      <c r="R207" s="1260">
        <v>0</v>
      </c>
      <c r="S207" s="1260">
        <v>0</v>
      </c>
      <c r="T207" s="1260">
        <v>0</v>
      </c>
      <c r="U207" s="1260">
        <v>0</v>
      </c>
      <c r="V207" s="1260">
        <v>0</v>
      </c>
      <c r="W207" s="1260">
        <v>0</v>
      </c>
      <c r="X207" s="1260">
        <v>0</v>
      </c>
      <c r="Y207" s="1260">
        <v>0</v>
      </c>
      <c r="Z207" s="1260">
        <v>0</v>
      </c>
      <c r="AA207" s="1260">
        <v>0</v>
      </c>
      <c r="AB207" s="1260">
        <v>0</v>
      </c>
      <c r="AC207" s="1260">
        <v>0</v>
      </c>
      <c r="AD207" s="685"/>
      <c r="AE207" s="685"/>
      <c r="AF207" s="685"/>
      <c r="AG207" s="685"/>
      <c r="AH207" s="685"/>
      <c r="AI207" s="685"/>
      <c r="AJ207" s="685"/>
      <c r="AK207" s="685"/>
      <c r="AL207" s="685"/>
      <c r="AM207" s="685"/>
      <c r="AN207" s="685"/>
      <c r="AO207" s="685"/>
      <c r="AP207" s="685"/>
      <c r="AQ207" s="685"/>
      <c r="AR207" s="685"/>
      <c r="AS207" s="685"/>
      <c r="AT207" s="685"/>
      <c r="AU207" s="685"/>
      <c r="AV207" s="685"/>
      <c r="AW207" s="685"/>
      <c r="AX207" s="685"/>
      <c r="AY207" s="685"/>
    </row>
    <row r="208" spans="1:51">
      <c r="A208" s="685"/>
      <c r="B208" s="1189" t="s">
        <v>244</v>
      </c>
      <c r="C208" s="1197"/>
      <c r="D208" s="1197">
        <f t="shared" ref="D208:I208" si="203">D206-D207</f>
        <v>0</v>
      </c>
      <c r="E208" s="1197">
        <f t="shared" si="203"/>
        <v>0</v>
      </c>
      <c r="F208" s="1197">
        <f t="shared" si="203"/>
        <v>0</v>
      </c>
      <c r="G208" s="1197">
        <f t="shared" si="203"/>
        <v>0</v>
      </c>
      <c r="H208" s="1197">
        <f t="shared" si="203"/>
        <v>540</v>
      </c>
      <c r="I208" s="1197">
        <f t="shared" si="203"/>
        <v>882</v>
      </c>
      <c r="J208" s="1197">
        <f t="shared" ref="J208:O208" si="204">J206-J207</f>
        <v>928.69999999999982</v>
      </c>
      <c r="K208" s="1197">
        <f t="shared" si="204"/>
        <v>1351.7083900930756</v>
      </c>
      <c r="L208" s="1197">
        <f t="shared" si="204"/>
        <v>1419.2691710648869</v>
      </c>
      <c r="M208" s="1197">
        <f t="shared" si="204"/>
        <v>2151.1787673156814</v>
      </c>
      <c r="N208" s="1197">
        <f t="shared" si="204"/>
        <v>3438.5676609448146</v>
      </c>
      <c r="O208" s="1197">
        <f t="shared" si="204"/>
        <v>4298.3076247013523</v>
      </c>
      <c r="P208" s="1197">
        <f t="shared" ref="P208:U208" si="205">P206-P207</f>
        <v>4760.887990934365</v>
      </c>
      <c r="Q208" s="1197">
        <f t="shared" si="205"/>
        <v>4372.3097961598251</v>
      </c>
      <c r="R208" s="1197">
        <f t="shared" si="205"/>
        <v>5409.5467412435082</v>
      </c>
      <c r="S208" s="1197">
        <f t="shared" si="205"/>
        <v>5596.158825141054</v>
      </c>
      <c r="T208" s="1197">
        <f t="shared" si="205"/>
        <v>5360.4725941200941</v>
      </c>
      <c r="U208" s="1197">
        <f t="shared" si="205"/>
        <v>5981.6048918404667</v>
      </c>
      <c r="V208" s="1197">
        <f t="shared" ref="V208" si="206">V206-V207</f>
        <v>4497.7716970312758</v>
      </c>
      <c r="W208" s="1261">
        <f t="shared" ref="W208:AC208" si="207">W209*V213</f>
        <v>4443.835</v>
      </c>
      <c r="X208" s="1261">
        <f t="shared" si="207"/>
        <v>4454.7206399999995</v>
      </c>
      <c r="Y208" s="1261">
        <f t="shared" si="207"/>
        <v>4489.8955867999994</v>
      </c>
      <c r="Z208" s="1261">
        <f t="shared" si="207"/>
        <v>4468.4457682479988</v>
      </c>
      <c r="AA208" s="1261">
        <f t="shared" si="207"/>
        <v>4397.8096507427981</v>
      </c>
      <c r="AB208" s="1261">
        <f t="shared" si="207"/>
        <v>4286.5005366734695</v>
      </c>
      <c r="AC208" s="1261">
        <f t="shared" si="207"/>
        <v>4143.5519189810711</v>
      </c>
      <c r="AD208" s="685"/>
      <c r="AE208" s="685"/>
      <c r="AF208" s="685"/>
      <c r="AG208" s="685"/>
      <c r="AH208" s="685"/>
      <c r="AI208" s="685"/>
      <c r="AJ208" s="685"/>
      <c r="AK208" s="685"/>
      <c r="AL208" s="685"/>
      <c r="AM208" s="685"/>
      <c r="AN208" s="685"/>
      <c r="AO208" s="685"/>
      <c r="AP208" s="685"/>
      <c r="AQ208" s="685"/>
      <c r="AR208" s="685"/>
      <c r="AS208" s="685"/>
      <c r="AT208" s="685"/>
      <c r="AU208" s="685"/>
      <c r="AV208" s="685"/>
      <c r="AW208" s="685"/>
      <c r="AX208" s="685"/>
      <c r="AY208" s="685"/>
    </row>
    <row r="209" spans="1:51">
      <c r="A209" s="685"/>
      <c r="B209" s="1189" t="s">
        <v>245</v>
      </c>
      <c r="C209" s="1191"/>
      <c r="D209" s="1191" t="e">
        <f>D208/#REF!</f>
        <v>#REF!</v>
      </c>
      <c r="E209" s="1191" t="e">
        <f t="shared" ref="E209:S209" si="208">E208/D213</f>
        <v>#DIV/0!</v>
      </c>
      <c r="F209" s="1191" t="e">
        <f t="shared" si="208"/>
        <v>#DIV/0!</v>
      </c>
      <c r="G209" s="1191" t="e">
        <f t="shared" si="208"/>
        <v>#DIV/0!</v>
      </c>
      <c r="H209" s="1191" t="e">
        <f t="shared" si="208"/>
        <v>#DIV/0!</v>
      </c>
      <c r="I209" s="1191" t="e">
        <f t="shared" si="208"/>
        <v>#DIV/0!</v>
      </c>
      <c r="J209" s="1191">
        <f t="shared" si="208"/>
        <v>9.068450346645833E-2</v>
      </c>
      <c r="K209" s="1191">
        <f t="shared" si="208"/>
        <v>0.11396243066293531</v>
      </c>
      <c r="L209" s="1191">
        <f t="shared" si="208"/>
        <v>0.12755182628425335</v>
      </c>
      <c r="M209" s="1191">
        <f t="shared" si="208"/>
        <v>0.18899831025440883</v>
      </c>
      <c r="N209" s="1191">
        <f t="shared" si="208"/>
        <v>0.12710955422685252</v>
      </c>
      <c r="O209" s="1191">
        <f t="shared" si="208"/>
        <v>0.11279782148099794</v>
      </c>
      <c r="P209" s="1191">
        <f t="shared" si="208"/>
        <v>0.12653691054856184</v>
      </c>
      <c r="Q209" s="1191">
        <f t="shared" si="208"/>
        <v>0.12183547792124795</v>
      </c>
      <c r="R209" s="1191">
        <f t="shared" si="208"/>
        <v>0.12561644857058119</v>
      </c>
      <c r="S209" s="1191">
        <f t="shared" si="208"/>
        <v>0.12915504223824814</v>
      </c>
      <c r="T209" s="1191">
        <f>T208/S213</f>
        <v>0.12547335316979763</v>
      </c>
      <c r="U209" s="1191">
        <f>U208/T213</f>
        <v>0.14155667946583711</v>
      </c>
      <c r="V209" s="1191">
        <f>V208/U213</f>
        <v>0.10937229800555098</v>
      </c>
      <c r="W209" s="1264">
        <v>0.11</v>
      </c>
      <c r="X209" s="1264">
        <v>0.12</v>
      </c>
      <c r="Y209" s="1264">
        <v>0.13</v>
      </c>
      <c r="Z209" s="1264">
        <v>0.14000000000000001</v>
      </c>
      <c r="AA209" s="1264">
        <v>0.15</v>
      </c>
      <c r="AB209" s="1264">
        <v>0.16</v>
      </c>
      <c r="AC209" s="1264">
        <v>0.17</v>
      </c>
      <c r="AD209" s="685"/>
      <c r="AE209" s="685"/>
      <c r="AF209" s="685"/>
      <c r="AG209" s="685"/>
      <c r="AH209" s="685"/>
      <c r="AI209" s="685"/>
      <c r="AJ209" s="685"/>
      <c r="AK209" s="685"/>
      <c r="AL209" s="685"/>
      <c r="AM209" s="685"/>
      <c r="AN209" s="685"/>
      <c r="AO209" s="685"/>
      <c r="AP209" s="685"/>
      <c r="AQ209" s="685"/>
      <c r="AR209" s="685"/>
      <c r="AS209" s="685"/>
      <c r="AT209" s="685"/>
      <c r="AU209" s="685"/>
      <c r="AV209" s="685"/>
      <c r="AW209" s="685"/>
      <c r="AX209" s="685"/>
      <c r="AY209" s="685"/>
    </row>
    <row r="210" spans="1:51">
      <c r="A210" s="685"/>
      <c r="B210" s="1189"/>
      <c r="C210" s="1189"/>
      <c r="D210" s="1189"/>
      <c r="E210" s="1189"/>
      <c r="F210" s="1189"/>
      <c r="G210" s="1189"/>
      <c r="H210" s="1189"/>
      <c r="I210" s="1189"/>
      <c r="J210" s="1189"/>
      <c r="K210" s="1189"/>
      <c r="L210" s="1189"/>
      <c r="M210" s="1189"/>
      <c r="N210" s="1189"/>
      <c r="O210" s="1189"/>
      <c r="P210" s="1189"/>
      <c r="Q210" s="1189"/>
      <c r="R210" s="1189"/>
      <c r="S210" s="1189"/>
      <c r="T210" s="1189"/>
      <c r="U210" s="1189"/>
      <c r="V210" s="1189"/>
      <c r="W210" s="1189"/>
      <c r="X210" s="1189"/>
      <c r="Y210" s="1189"/>
      <c r="Z210" s="1189"/>
      <c r="AA210" s="1189"/>
      <c r="AB210" s="1189"/>
      <c r="AC210" s="1189"/>
      <c r="AD210" s="685"/>
      <c r="AE210" s="685"/>
      <c r="AF210" s="685"/>
      <c r="AG210" s="685"/>
      <c r="AH210" s="685"/>
      <c r="AI210" s="685"/>
      <c r="AJ210" s="685"/>
      <c r="AK210" s="685"/>
      <c r="AL210" s="685"/>
      <c r="AM210" s="685"/>
      <c r="AN210" s="685"/>
      <c r="AO210" s="685"/>
      <c r="AP210" s="685"/>
      <c r="AQ210" s="685"/>
      <c r="AR210" s="685"/>
      <c r="AS210" s="685"/>
      <c r="AT210" s="685"/>
      <c r="AU210" s="685"/>
      <c r="AV210" s="685"/>
      <c r="AW210" s="685"/>
      <c r="AX210" s="685"/>
      <c r="AY210" s="685"/>
    </row>
    <row r="211" spans="1:51">
      <c r="A211" s="685"/>
      <c r="B211" s="1189" t="s">
        <v>246</v>
      </c>
      <c r="C211" s="1259">
        <f>C212+C213</f>
        <v>0</v>
      </c>
      <c r="D211" s="1259">
        <f>D212+D213</f>
        <v>0</v>
      </c>
      <c r="E211" s="1259">
        <f>E212+E213</f>
        <v>0</v>
      </c>
      <c r="F211" s="1259">
        <f>F212+F213</f>
        <v>0</v>
      </c>
      <c r="G211" s="1259">
        <f>G212+G213</f>
        <v>0</v>
      </c>
      <c r="H211" s="1197"/>
      <c r="I211" s="1197">
        <f>I212+I213</f>
        <v>13221</v>
      </c>
      <c r="J211" s="1197">
        <f>J212+J213</f>
        <v>15749</v>
      </c>
      <c r="K211" s="1197">
        <f t="shared" ref="K211:AC211" si="209">J211+K215+K216</f>
        <v>15749.4</v>
      </c>
      <c r="L211" s="1197">
        <f t="shared" ca="1" si="209"/>
        <v>15370.176890625</v>
      </c>
      <c r="M211" s="1197">
        <f t="shared" ca="1" si="209"/>
        <v>15660.176890625</v>
      </c>
      <c r="N211" s="1197">
        <f t="shared" ca="1" si="209"/>
        <v>16263.976890624999</v>
      </c>
      <c r="O211" s="1197">
        <f t="shared" ca="1" si="209"/>
        <v>19051.976890624999</v>
      </c>
      <c r="P211" s="1197">
        <f t="shared" ca="1" si="209"/>
        <v>20700.976890624999</v>
      </c>
      <c r="Q211" s="1197">
        <f t="shared" ca="1" si="209"/>
        <v>28479.976890624999</v>
      </c>
      <c r="R211" s="1197">
        <f ca="1">Q211+R215+R216</f>
        <v>30586.976890624999</v>
      </c>
      <c r="S211" s="1197">
        <f t="shared" ca="1" si="209"/>
        <v>31821.976890624999</v>
      </c>
      <c r="T211" s="1197">
        <f t="shared" ca="1" si="209"/>
        <v>33721.376890624997</v>
      </c>
      <c r="U211" s="1267">
        <v>67311</v>
      </c>
      <c r="V211" s="1267">
        <v>66614</v>
      </c>
      <c r="W211" s="1197">
        <f t="shared" si="209"/>
        <v>67782.006999999998</v>
      </c>
      <c r="X211" s="1197">
        <f t="shared" si="209"/>
        <v>69651.713999999993</v>
      </c>
      <c r="Y211" s="1197">
        <f t="shared" si="209"/>
        <v>71521.420999999988</v>
      </c>
      <c r="Z211" s="1197">
        <f t="shared" si="209"/>
        <v>73391.127999999982</v>
      </c>
      <c r="AA211" s="1197">
        <f t="shared" si="209"/>
        <v>75260.834999999977</v>
      </c>
      <c r="AB211" s="1197">
        <f t="shared" si="209"/>
        <v>77130.541999999972</v>
      </c>
      <c r="AC211" s="1197">
        <f t="shared" si="209"/>
        <v>79000.248999999967</v>
      </c>
      <c r="AD211" s="685"/>
      <c r="AE211" s="685"/>
      <c r="AF211" s="685"/>
      <c r="AG211" s="685"/>
      <c r="AH211" s="685"/>
      <c r="AI211" s="685"/>
      <c r="AJ211" s="685"/>
      <c r="AK211" s="685"/>
      <c r="AL211" s="685"/>
      <c r="AM211" s="685"/>
      <c r="AN211" s="685"/>
      <c r="AO211" s="685"/>
      <c r="AP211" s="685"/>
      <c r="AQ211" s="685"/>
      <c r="AR211" s="685"/>
      <c r="AS211" s="685"/>
      <c r="AT211" s="685"/>
      <c r="AU211" s="685"/>
      <c r="AV211" s="685"/>
      <c r="AW211" s="685"/>
      <c r="AX211" s="685"/>
      <c r="AY211" s="685"/>
    </row>
    <row r="212" spans="1:51">
      <c r="A212" s="685"/>
      <c r="B212" s="1189" t="s">
        <v>247</v>
      </c>
      <c r="C212" s="1260"/>
      <c r="D212" s="1260"/>
      <c r="E212" s="1260"/>
      <c r="F212" s="1260"/>
      <c r="G212" s="1260"/>
      <c r="H212" s="1260"/>
      <c r="I212" s="1260">
        <v>2980</v>
      </c>
      <c r="J212" s="1260">
        <v>3888</v>
      </c>
      <c r="K212" s="1197">
        <f t="shared" ref="K212:P212" si="210">K211-K213</f>
        <v>4622.3999999999996</v>
      </c>
      <c r="L212" s="1197">
        <f t="shared" ca="1" si="210"/>
        <v>3988.1768906249999</v>
      </c>
      <c r="M212" s="1197">
        <f t="shared" ca="1" si="210"/>
        <v>-11391.823109375</v>
      </c>
      <c r="N212" s="1197">
        <f t="shared" ca="1" si="210"/>
        <v>-21842.323109375004</v>
      </c>
      <c r="O212" s="1197">
        <f t="shared" ca="1" si="210"/>
        <v>-18572.523109375001</v>
      </c>
      <c r="P212" s="1197">
        <f t="shared" ca="1" si="210"/>
        <v>-15186.023109375001</v>
      </c>
      <c r="Q212" s="1197">
        <f t="shared" ref="Q212:V212" ca="1" si="211">Q211-Q213</f>
        <v>-14584.023109375001</v>
      </c>
      <c r="R212" s="1197">
        <f t="shared" ca="1" si="211"/>
        <v>-12742.023109375001</v>
      </c>
      <c r="S212" s="1197">
        <f t="shared" ca="1" si="211"/>
        <v>-10900.023109375001</v>
      </c>
      <c r="T212" s="1197">
        <f t="shared" ca="1" si="211"/>
        <v>-8534.5231093750044</v>
      </c>
      <c r="U212" s="1197">
        <f t="shared" si="211"/>
        <v>26187.5</v>
      </c>
      <c r="V212" s="1197">
        <f t="shared" si="211"/>
        <v>26215.5</v>
      </c>
      <c r="W212" s="1197">
        <f t="shared" ref="W212:AC212" si="212">V212+W206</f>
        <v>30659.334999999999</v>
      </c>
      <c r="X212" s="1197">
        <f t="shared" si="212"/>
        <v>35114.055639999999</v>
      </c>
      <c r="Y212" s="1197">
        <f t="shared" si="212"/>
        <v>39603.951226799996</v>
      </c>
      <c r="Z212" s="1197">
        <f t="shared" si="212"/>
        <v>44072.396995047995</v>
      </c>
      <c r="AA212" s="1197">
        <f t="shared" si="212"/>
        <v>48470.206645790793</v>
      </c>
      <c r="AB212" s="1197">
        <f t="shared" si="212"/>
        <v>52756.707182464263</v>
      </c>
      <c r="AC212" s="1197">
        <f t="shared" si="212"/>
        <v>56900.259101445336</v>
      </c>
      <c r="AD212" s="685"/>
      <c r="AE212" s="685"/>
      <c r="AF212" s="685"/>
      <c r="AG212" s="685"/>
      <c r="AH212" s="685"/>
      <c r="AI212" s="685"/>
      <c r="AJ212" s="685"/>
      <c r="AK212" s="685"/>
      <c r="AL212" s="685"/>
      <c r="AM212" s="685"/>
      <c r="AN212" s="685"/>
      <c r="AO212" s="685"/>
      <c r="AP212" s="685"/>
      <c r="AQ212" s="685"/>
      <c r="AR212" s="685"/>
      <c r="AS212" s="685"/>
      <c r="AT212" s="685"/>
      <c r="AU212" s="685"/>
      <c r="AV212" s="685"/>
      <c r="AW212" s="685"/>
      <c r="AX212" s="685"/>
      <c r="AY212" s="685"/>
    </row>
    <row r="213" spans="1:51">
      <c r="A213" s="685"/>
      <c r="B213" s="1187" t="s">
        <v>211</v>
      </c>
      <c r="C213" s="1266"/>
      <c r="D213" s="1266"/>
      <c r="E213" s="1266"/>
      <c r="F213" s="1266"/>
      <c r="G213" s="1266"/>
      <c r="H213" s="1266"/>
      <c r="I213" s="1266">
        <v>10241</v>
      </c>
      <c r="J213" s="1266">
        <v>11861</v>
      </c>
      <c r="K213" s="1266">
        <v>11127</v>
      </c>
      <c r="L213" s="1266">
        <v>11382</v>
      </c>
      <c r="M213" s="1266">
        <v>27052</v>
      </c>
      <c r="N213" s="1266">
        <v>38106.300000000003</v>
      </c>
      <c r="O213" s="1266">
        <v>37624.5</v>
      </c>
      <c r="P213" s="1266">
        <v>35887</v>
      </c>
      <c r="Q213" s="1266">
        <v>43064</v>
      </c>
      <c r="R213" s="1266">
        <v>43329</v>
      </c>
      <c r="S213" s="1266">
        <v>42722</v>
      </c>
      <c r="T213" s="1266">
        <v>42255.9</v>
      </c>
      <c r="U213" s="1266">
        <v>41123.5</v>
      </c>
      <c r="V213" s="1266">
        <v>40398.5</v>
      </c>
      <c r="W213" s="1188">
        <f t="shared" ref="W213:AC213" si="213">W211-W212</f>
        <v>37122.671999999999</v>
      </c>
      <c r="X213" s="1188">
        <f t="shared" si="213"/>
        <v>34537.658359999994</v>
      </c>
      <c r="Y213" s="1188">
        <f t="shared" si="213"/>
        <v>31917.469773199991</v>
      </c>
      <c r="Z213" s="1188">
        <f t="shared" si="213"/>
        <v>29318.731004951987</v>
      </c>
      <c r="AA213" s="1188">
        <f t="shared" si="213"/>
        <v>26790.628354209184</v>
      </c>
      <c r="AB213" s="1188">
        <f t="shared" si="213"/>
        <v>24373.83481753571</v>
      </c>
      <c r="AC213" s="1188">
        <f t="shared" si="213"/>
        <v>22099.989898554632</v>
      </c>
      <c r="AD213" s="685"/>
      <c r="AE213" s="685"/>
      <c r="AF213" s="685"/>
      <c r="AG213" s="685"/>
      <c r="AH213" s="685"/>
      <c r="AI213" s="685"/>
      <c r="AJ213" s="685"/>
      <c r="AK213" s="685"/>
      <c r="AL213" s="685"/>
      <c r="AM213" s="685"/>
      <c r="AN213" s="685"/>
      <c r="AO213" s="685"/>
      <c r="AP213" s="685"/>
      <c r="AQ213" s="685"/>
      <c r="AR213" s="685"/>
      <c r="AS213" s="685"/>
      <c r="AT213" s="685"/>
      <c r="AU213" s="685"/>
      <c r="AV213" s="685"/>
      <c r="AW213" s="685"/>
      <c r="AX213" s="685"/>
      <c r="AY213" s="685"/>
    </row>
    <row r="214" spans="1:51">
      <c r="A214" s="685"/>
      <c r="B214" s="1189"/>
      <c r="C214" s="1189"/>
      <c r="D214" s="1189"/>
      <c r="E214" s="1189"/>
      <c r="F214" s="1189"/>
      <c r="G214" s="1189"/>
      <c r="H214" s="1189"/>
      <c r="I214" s="1189"/>
      <c r="J214" s="1189"/>
      <c r="K214" s="1189"/>
      <c r="L214" s="1189"/>
      <c r="M214" s="1189"/>
      <c r="N214" s="1189"/>
      <c r="O214" s="1189"/>
      <c r="P214" s="1189"/>
      <c r="Q214" s="1189"/>
      <c r="R214" s="1189"/>
      <c r="S214" s="1189"/>
      <c r="T214" s="1189"/>
      <c r="U214" s="1189"/>
      <c r="V214" s="1189"/>
      <c r="W214" s="1189"/>
      <c r="X214" s="1189"/>
      <c r="Y214" s="1189"/>
      <c r="Z214" s="1189"/>
      <c r="AA214" s="1189"/>
      <c r="AB214" s="1189"/>
      <c r="AC214" s="1189"/>
      <c r="AD214" s="685"/>
      <c r="AE214" s="685"/>
      <c r="AF214" s="685"/>
      <c r="AG214" s="685"/>
      <c r="AH214" s="685"/>
      <c r="AI214" s="685"/>
      <c r="AJ214" s="685"/>
      <c r="AK214" s="685"/>
      <c r="AL214" s="685"/>
      <c r="AM214" s="685"/>
      <c r="AN214" s="685"/>
      <c r="AO214" s="685"/>
      <c r="AP214" s="685"/>
      <c r="AQ214" s="685"/>
      <c r="AR214" s="685"/>
      <c r="AS214" s="685"/>
      <c r="AT214" s="685"/>
      <c r="AU214" s="685"/>
      <c r="AV214" s="685"/>
      <c r="AW214" s="685"/>
      <c r="AX214" s="685"/>
      <c r="AY214" s="685"/>
    </row>
    <row r="215" spans="1:51">
      <c r="A215" s="685"/>
      <c r="B215" s="1189" t="s">
        <v>248</v>
      </c>
      <c r="C215" s="1260">
        <v>0</v>
      </c>
      <c r="D215" s="1260">
        <v>0</v>
      </c>
      <c r="E215" s="1260">
        <v>0</v>
      </c>
      <c r="F215" s="1260">
        <v>0</v>
      </c>
      <c r="G215" s="1260">
        <v>0</v>
      </c>
      <c r="H215" s="1260">
        <v>0</v>
      </c>
      <c r="I215" s="1260">
        <f>-I170</f>
        <v>0</v>
      </c>
      <c r="J215" s="1260">
        <f>-J170</f>
        <v>0</v>
      </c>
      <c r="K215" s="1260">
        <f>-K170</f>
        <v>0</v>
      </c>
      <c r="L215" s="1260">
        <f ca="1">-L170</f>
        <v>0</v>
      </c>
      <c r="M215" s="1260">
        <f ca="1">-M170</f>
        <v>0</v>
      </c>
      <c r="N215" s="1260">
        <f>Analysis!C2181</f>
        <v>1634.8</v>
      </c>
      <c r="O215" s="1260">
        <f>Analysis!D2181</f>
        <v>2788</v>
      </c>
      <c r="P215" s="1260">
        <f>Analysis!E2181</f>
        <v>1649</v>
      </c>
      <c r="Q215" s="1260">
        <f>Analysis!F2181</f>
        <v>7779</v>
      </c>
      <c r="R215" s="1260">
        <v>2107</v>
      </c>
      <c r="S215" s="1260">
        <v>1235</v>
      </c>
      <c r="T215" s="1260">
        <v>1899.4</v>
      </c>
      <c r="U215" s="1260">
        <v>1807</v>
      </c>
      <c r="V215" s="1260">
        <v>1869.7070000000001</v>
      </c>
      <c r="W215" s="1270">
        <f t="shared" ref="W215:AC215" si="214">V215</f>
        <v>1869.7070000000001</v>
      </c>
      <c r="X215" s="1270">
        <f t="shared" si="214"/>
        <v>1869.7070000000001</v>
      </c>
      <c r="Y215" s="1270">
        <f t="shared" si="214"/>
        <v>1869.7070000000001</v>
      </c>
      <c r="Z215" s="1270">
        <f t="shared" si="214"/>
        <v>1869.7070000000001</v>
      </c>
      <c r="AA215" s="1270">
        <f t="shared" si="214"/>
        <v>1869.7070000000001</v>
      </c>
      <c r="AB215" s="1270">
        <f t="shared" si="214"/>
        <v>1869.7070000000001</v>
      </c>
      <c r="AC215" s="1270">
        <f t="shared" si="214"/>
        <v>1869.7070000000001</v>
      </c>
      <c r="AD215" s="685"/>
      <c r="AE215" s="685"/>
      <c r="AF215" s="685"/>
      <c r="AG215" s="685"/>
      <c r="AH215" s="685"/>
      <c r="AI215" s="685"/>
      <c r="AJ215" s="685"/>
      <c r="AK215" s="685"/>
      <c r="AL215" s="685"/>
      <c r="AM215" s="685"/>
      <c r="AN215" s="685"/>
      <c r="AO215" s="685"/>
      <c r="AP215" s="685"/>
      <c r="AQ215" s="685"/>
      <c r="AR215" s="685"/>
      <c r="AS215" s="685"/>
      <c r="AT215" s="685"/>
      <c r="AU215" s="685"/>
      <c r="AV215" s="685"/>
      <c r="AW215" s="685"/>
      <c r="AX215" s="685"/>
      <c r="AY215" s="685"/>
    </row>
    <row r="216" spans="1:51">
      <c r="A216" s="685"/>
      <c r="B216" s="1189" t="s">
        <v>44</v>
      </c>
      <c r="C216" s="1260"/>
      <c r="D216" s="1260"/>
      <c r="E216" s="1260"/>
      <c r="F216" s="1260"/>
      <c r="G216" s="1260"/>
      <c r="H216" s="1260"/>
      <c r="I216" s="1260">
        <v>0</v>
      </c>
      <c r="J216" s="1260">
        <f>J21+J22</f>
        <v>46</v>
      </c>
      <c r="K216" s="1260">
        <f>-K21-K22</f>
        <v>0.39999999999997726</v>
      </c>
      <c r="L216" s="1260">
        <f t="shared" ref="L216:AC216" si="215">L21+L22</f>
        <v>-379.22310937500009</v>
      </c>
      <c r="M216" s="1260">
        <f t="shared" si="215"/>
        <v>290</v>
      </c>
      <c r="N216" s="1260">
        <f t="shared" si="215"/>
        <v>-1031</v>
      </c>
      <c r="O216" s="1260">
        <f t="shared" si="215"/>
        <v>0</v>
      </c>
      <c r="P216" s="1260">
        <f t="shared" si="215"/>
        <v>0</v>
      </c>
      <c r="Q216" s="1260">
        <f t="shared" si="215"/>
        <v>0</v>
      </c>
      <c r="R216" s="1260">
        <f t="shared" si="215"/>
        <v>0</v>
      </c>
      <c r="S216" s="1260">
        <f t="shared" si="215"/>
        <v>0</v>
      </c>
      <c r="T216" s="1260">
        <f t="shared" si="215"/>
        <v>0</v>
      </c>
      <c r="U216" s="1260">
        <f t="shared" si="215"/>
        <v>0</v>
      </c>
      <c r="V216" s="1260">
        <f t="shared" si="215"/>
        <v>0</v>
      </c>
      <c r="W216" s="1260">
        <v>-701.7</v>
      </c>
      <c r="X216" s="1260">
        <f t="shared" si="215"/>
        <v>0</v>
      </c>
      <c r="Y216" s="1260">
        <f t="shared" si="215"/>
        <v>0</v>
      </c>
      <c r="Z216" s="1260">
        <f t="shared" si="215"/>
        <v>0</v>
      </c>
      <c r="AA216" s="1260">
        <f t="shared" si="215"/>
        <v>0</v>
      </c>
      <c r="AB216" s="1260">
        <f t="shared" si="215"/>
        <v>0</v>
      </c>
      <c r="AC216" s="1260">
        <f t="shared" si="215"/>
        <v>0</v>
      </c>
      <c r="AD216" s="685"/>
      <c r="AE216" s="685"/>
      <c r="AF216" s="685"/>
      <c r="AG216" s="685"/>
      <c r="AH216" s="685"/>
      <c r="AI216" s="685"/>
      <c r="AJ216" s="685"/>
      <c r="AK216" s="685"/>
      <c r="AL216" s="685"/>
      <c r="AM216" s="685"/>
      <c r="AN216" s="685"/>
      <c r="AO216" s="685"/>
      <c r="AP216" s="685"/>
      <c r="AQ216" s="685"/>
      <c r="AR216" s="685"/>
      <c r="AS216" s="685"/>
      <c r="AT216" s="685"/>
      <c r="AU216" s="685"/>
      <c r="AV216" s="685"/>
      <c r="AW216" s="685"/>
      <c r="AX216" s="685"/>
      <c r="AY216" s="685"/>
    </row>
    <row r="217" spans="1:51">
      <c r="A217" s="685"/>
      <c r="B217" s="1189"/>
      <c r="C217" s="1189"/>
      <c r="D217" s="1189"/>
      <c r="E217" s="1189"/>
      <c r="F217" s="1189"/>
      <c r="G217" s="1189"/>
      <c r="H217" s="1189"/>
      <c r="I217" s="1189"/>
      <c r="J217" s="1189"/>
      <c r="K217" s="1189"/>
      <c r="L217" s="1189"/>
      <c r="M217" s="1189"/>
      <c r="N217" s="1189"/>
      <c r="O217" s="1189"/>
      <c r="P217" s="1189"/>
      <c r="Q217" s="1189"/>
      <c r="R217" s="1189"/>
      <c r="S217" s="1189"/>
      <c r="T217" s="1189"/>
      <c r="U217" s="1189"/>
      <c r="V217" s="1189"/>
      <c r="W217" s="1189"/>
      <c r="X217" s="1189"/>
      <c r="Y217" s="1189"/>
      <c r="Z217" s="1189"/>
      <c r="AA217" s="1189"/>
      <c r="AB217" s="1189"/>
      <c r="AC217" s="1189"/>
      <c r="AD217" s="685"/>
      <c r="AE217" s="685"/>
      <c r="AF217" s="685"/>
      <c r="AG217" s="685"/>
      <c r="AH217" s="685"/>
      <c r="AI217" s="685"/>
      <c r="AJ217" s="685"/>
      <c r="AK217" s="685"/>
      <c r="AL217" s="685"/>
      <c r="AM217" s="685"/>
      <c r="AN217" s="685"/>
      <c r="AO217" s="685"/>
      <c r="AP217" s="685"/>
      <c r="AQ217" s="685"/>
      <c r="AR217" s="685"/>
      <c r="AS217" s="685"/>
      <c r="AT217" s="685"/>
      <c r="AU217" s="685"/>
      <c r="AV217" s="685"/>
      <c r="AW217" s="685"/>
      <c r="AX217" s="685"/>
      <c r="AY217" s="685"/>
    </row>
    <row r="218" spans="1:51">
      <c r="A218" s="685"/>
      <c r="B218" s="1189" t="s">
        <v>5258</v>
      </c>
      <c r="C218" s="1189"/>
      <c r="D218" s="1189"/>
      <c r="E218" s="1189"/>
      <c r="F218" s="1189"/>
      <c r="G218" s="1189"/>
      <c r="H218" s="1189"/>
      <c r="I218" s="1197">
        <f t="shared" ref="I218:R218" si="216">I215*0.72</f>
        <v>0</v>
      </c>
      <c r="J218" s="1197">
        <f t="shared" si="216"/>
        <v>0</v>
      </c>
      <c r="K218" s="1197">
        <f t="shared" si="216"/>
        <v>0</v>
      </c>
      <c r="L218" s="1197">
        <f t="shared" ca="1" si="216"/>
        <v>0</v>
      </c>
      <c r="M218" s="1197">
        <f t="shared" ca="1" si="216"/>
        <v>0</v>
      </c>
      <c r="N218" s="1197">
        <f t="shared" si="216"/>
        <v>1177.0559999999998</v>
      </c>
      <c r="O218" s="1197">
        <f t="shared" si="216"/>
        <v>2007.36</v>
      </c>
      <c r="P218" s="1197">
        <f t="shared" si="216"/>
        <v>1187.28</v>
      </c>
      <c r="Q218" s="1197">
        <f t="shared" si="216"/>
        <v>5600.88</v>
      </c>
      <c r="R218" s="1197">
        <f t="shared" si="216"/>
        <v>1517.04</v>
      </c>
      <c r="S218" s="1197">
        <f t="shared" ref="S218:X218" si="217">S215*0.72</f>
        <v>889.19999999999993</v>
      </c>
      <c r="T218" s="1197">
        <f t="shared" si="217"/>
        <v>1367.568</v>
      </c>
      <c r="U218" s="1197">
        <f t="shared" si="217"/>
        <v>1301.04</v>
      </c>
      <c r="V218" s="1197">
        <f t="shared" si="217"/>
        <v>1346.18904</v>
      </c>
      <c r="W218" s="1197">
        <f t="shared" si="217"/>
        <v>1346.18904</v>
      </c>
      <c r="X218" s="1197">
        <f t="shared" si="217"/>
        <v>1346.18904</v>
      </c>
      <c r="Y218" s="1197">
        <f>Y215*0.72</f>
        <v>1346.18904</v>
      </c>
      <c r="Z218" s="1197">
        <f>Z215*0.72</f>
        <v>1346.18904</v>
      </c>
      <c r="AA218" s="1197">
        <f>AA215*0.72</f>
        <v>1346.18904</v>
      </c>
      <c r="AB218" s="1197">
        <f>AB215*0.72</f>
        <v>1346.18904</v>
      </c>
      <c r="AC218" s="1197">
        <f>AC215*0.72</f>
        <v>1346.18904</v>
      </c>
      <c r="AD218" s="685"/>
      <c r="AE218" s="685"/>
      <c r="AF218" s="685"/>
      <c r="AG218" s="685"/>
      <c r="AH218" s="685"/>
      <c r="AI218" s="685"/>
      <c r="AJ218" s="685"/>
      <c r="AK218" s="685"/>
      <c r="AL218" s="685"/>
      <c r="AM218" s="685"/>
      <c r="AN218" s="685"/>
      <c r="AO218" s="685"/>
      <c r="AP218" s="685"/>
      <c r="AQ218" s="685"/>
      <c r="AR218" s="685"/>
      <c r="AS218" s="685"/>
      <c r="AT218" s="685"/>
      <c r="AU218" s="685"/>
      <c r="AV218" s="685"/>
      <c r="AW218" s="685"/>
      <c r="AX218" s="685"/>
      <c r="AY218" s="685"/>
    </row>
    <row r="219" spans="1:51">
      <c r="A219" s="685"/>
      <c r="B219" s="1189" t="s">
        <v>5077</v>
      </c>
      <c r="C219" s="1189"/>
      <c r="D219" s="1189"/>
      <c r="E219" s="1189"/>
      <c r="F219" s="1189"/>
      <c r="G219" s="1189"/>
      <c r="H219" s="1189"/>
      <c r="I219" s="1197">
        <f ca="1">NPV(SOP!$L$56,Master!I218:$X218)</f>
        <v>8806.2792123920262</v>
      </c>
      <c r="J219" s="1197">
        <f ca="1">NPV(SOP!$L$56,Master!J218:$X218)</f>
        <v>9503.2081492607304</v>
      </c>
      <c r="K219" s="1197">
        <f ca="1">NPV(SOP!$L$56,Master!K218:$X218)</f>
        <v>10255.292042193227</v>
      </c>
      <c r="L219" s="1197">
        <f ca="1">NPV(SOP!$L$56,Master!L218:$X218)</f>
        <v>11066.895854412396</v>
      </c>
      <c r="M219" s="1197">
        <f ca="1">NPV(SOP!$L$56,Master!M218:$X218)</f>
        <v>11942.729992330595</v>
      </c>
      <c r="N219" s="1197">
        <f>NPV(SOP!$L$56,Master!N218:$AC218)</f>
        <v>15218.66781276503</v>
      </c>
      <c r="O219" s="1197">
        <f>NPV(SOP!$L$56,Master!O218:$AC218)</f>
        <v>15246.017183467256</v>
      </c>
      <c r="P219" s="1197">
        <f>NPV(SOP!$L$56,Master!P218:$AC218)</f>
        <v>14445.226983366856</v>
      </c>
      <c r="Q219" s="1197">
        <f>NPV(SOP!$L$56,Master!Q218:$AC218)</f>
        <v>14401.14224683051</v>
      </c>
      <c r="R219" s="1197">
        <f>NPV(SOP!$L$56,Master!R218:$AC218)</f>
        <v>9939.9686442446746</v>
      </c>
      <c r="S219" s="1197">
        <f>NPV(SOP!$L$56,Master!S218:$AC218)</f>
        <v>9209.5777627501975</v>
      </c>
      <c r="T219" s="1197">
        <f>NPV(SOP!$L$56,Master!T218:$AC218)</f>
        <v>9049.2237468942494</v>
      </c>
      <c r="U219" s="1197">
        <f>NPV(SOP!$L$56,Master!U218:$AC218)</f>
        <v>8397.8113142234615</v>
      </c>
      <c r="V219" s="1197">
        <f>NPV(SOP!$L$56,Master!V218:$AC218)</f>
        <v>7761.3741016311069</v>
      </c>
      <c r="W219" s="1197">
        <f>NPV(SOP!$L$56,Master!W218:$AC218)</f>
        <v>7029.4202080341929</v>
      </c>
      <c r="X219" s="1197">
        <f>NPV(SOP!$L$56,Master!X218:$AC218)</f>
        <v>6239.5394832980182</v>
      </c>
      <c r="Y219" s="1197">
        <f>NPV(SOP!$L$56,Master!Y218:$AC218)</f>
        <v>5387.1475980062241</v>
      </c>
      <c r="Z219" s="1197">
        <f>NPV(SOP!$L$56,Master!Z218:$AC218)</f>
        <v>4467.2974189124361</v>
      </c>
      <c r="AA219" s="1197">
        <f>NPV(SOP!$L$56,Master!AA218:$AC218)</f>
        <v>3474.6502966451667</v>
      </c>
      <c r="AB219" s="1197">
        <f>NPV(SOP!$L$56,Master!AB218:$AC218)</f>
        <v>2403.4450811216648</v>
      </c>
      <c r="AC219" s="1197">
        <f>NPV(SOP!$L$56,Master!AC218:$AC218)</f>
        <v>1247.4646848416332</v>
      </c>
      <c r="AD219" s="685"/>
      <c r="AE219" s="685"/>
      <c r="AF219" s="685"/>
      <c r="AG219" s="685"/>
      <c r="AH219" s="685"/>
      <c r="AI219" s="685"/>
      <c r="AJ219" s="685"/>
      <c r="AK219" s="685"/>
      <c r="AL219" s="685"/>
      <c r="AM219" s="685"/>
      <c r="AN219" s="685"/>
      <c r="AO219" s="685"/>
      <c r="AP219" s="685"/>
      <c r="AQ219" s="685"/>
      <c r="AR219" s="685"/>
      <c r="AS219" s="685"/>
      <c r="AT219" s="685"/>
      <c r="AU219" s="685"/>
      <c r="AV219" s="685"/>
      <c r="AW219" s="685"/>
      <c r="AX219" s="685"/>
      <c r="AY219" s="685"/>
    </row>
    <row r="220" spans="1:51">
      <c r="A220" s="685"/>
      <c r="B220" s="1189"/>
      <c r="C220" s="1189"/>
      <c r="D220" s="1189"/>
      <c r="E220" s="1189"/>
      <c r="F220" s="1189"/>
      <c r="G220" s="1189"/>
      <c r="H220" s="1189"/>
      <c r="I220" s="1189"/>
      <c r="J220" s="1189"/>
      <c r="K220" s="1189"/>
      <c r="L220" s="1189"/>
      <c r="M220" s="1189"/>
      <c r="N220" s="1189"/>
      <c r="O220" s="1189"/>
      <c r="P220" s="1189"/>
      <c r="Q220" s="1189"/>
      <c r="R220" s="1189"/>
      <c r="S220" s="1189"/>
      <c r="T220" s="1189"/>
      <c r="U220" s="1189"/>
      <c r="V220" s="1189"/>
      <c r="W220" s="1189"/>
      <c r="X220" s="1189"/>
      <c r="Y220" s="1189"/>
      <c r="Z220" s="1189"/>
      <c r="AA220" s="1189"/>
      <c r="AB220" s="1189"/>
      <c r="AC220" s="1189"/>
      <c r="AD220" s="685"/>
      <c r="AE220" s="685"/>
      <c r="AF220" s="685"/>
      <c r="AG220" s="685"/>
      <c r="AH220" s="685"/>
      <c r="AI220" s="685"/>
      <c r="AJ220" s="685"/>
      <c r="AK220" s="685"/>
      <c r="AL220" s="685"/>
      <c r="AM220" s="685"/>
      <c r="AN220" s="685"/>
      <c r="AO220" s="685"/>
      <c r="AP220" s="685"/>
      <c r="AQ220" s="685"/>
      <c r="AR220" s="685"/>
      <c r="AS220" s="685"/>
      <c r="AT220" s="685"/>
      <c r="AU220" s="685"/>
      <c r="AV220" s="685"/>
      <c r="AW220" s="685"/>
      <c r="AX220" s="685"/>
      <c r="AY220" s="685"/>
    </row>
    <row r="221" spans="1:51">
      <c r="A221" s="685"/>
      <c r="B221" s="1189" t="s">
        <v>249</v>
      </c>
      <c r="C221" s="1259">
        <f t="shared" ref="C221:H221" si="218">C222+C223</f>
        <v>0</v>
      </c>
      <c r="D221" s="1259">
        <f t="shared" si="218"/>
        <v>0</v>
      </c>
      <c r="E221" s="1259">
        <f t="shared" si="218"/>
        <v>0</v>
      </c>
      <c r="F221" s="1259">
        <f t="shared" si="218"/>
        <v>0</v>
      </c>
      <c r="G221" s="1259">
        <f t="shared" si="218"/>
        <v>0</v>
      </c>
      <c r="H221" s="1197">
        <f t="shared" si="218"/>
        <v>0</v>
      </c>
      <c r="I221" s="1197">
        <f t="shared" ref="I221:AC221" si="219">H221+I225</f>
        <v>0</v>
      </c>
      <c r="J221" s="1197">
        <f t="shared" si="219"/>
        <v>0</v>
      </c>
      <c r="K221" s="1197">
        <f t="shared" si="219"/>
        <v>0</v>
      </c>
      <c r="L221" s="1197">
        <f t="shared" si="219"/>
        <v>0</v>
      </c>
      <c r="M221" s="1197">
        <f t="shared" si="219"/>
        <v>0</v>
      </c>
      <c r="N221" s="1197">
        <f t="shared" si="219"/>
        <v>0</v>
      </c>
      <c r="O221" s="1197">
        <f t="shared" si="219"/>
        <v>0</v>
      </c>
      <c r="P221" s="1197">
        <f t="shared" si="219"/>
        <v>0</v>
      </c>
      <c r="Q221" s="1197">
        <f t="shared" si="219"/>
        <v>0</v>
      </c>
      <c r="R221" s="1197">
        <f t="shared" si="219"/>
        <v>0</v>
      </c>
      <c r="S221" s="1197">
        <f t="shared" si="219"/>
        <v>0</v>
      </c>
      <c r="T221" s="1197">
        <f t="shared" si="219"/>
        <v>0</v>
      </c>
      <c r="U221" s="1197">
        <f t="shared" si="219"/>
        <v>0</v>
      </c>
      <c r="V221" s="1197">
        <f t="shared" si="219"/>
        <v>0</v>
      </c>
      <c r="W221" s="1197">
        <f t="shared" si="219"/>
        <v>0</v>
      </c>
      <c r="X221" s="1197">
        <f t="shared" si="219"/>
        <v>0</v>
      </c>
      <c r="Y221" s="1197">
        <f t="shared" si="219"/>
        <v>0</v>
      </c>
      <c r="Z221" s="1197">
        <f t="shared" si="219"/>
        <v>0</v>
      </c>
      <c r="AA221" s="1197">
        <f t="shared" si="219"/>
        <v>0</v>
      </c>
      <c r="AB221" s="1197">
        <f t="shared" si="219"/>
        <v>0</v>
      </c>
      <c r="AC221" s="1197">
        <f t="shared" si="219"/>
        <v>0</v>
      </c>
      <c r="AD221" s="685"/>
      <c r="AE221" s="685"/>
      <c r="AF221" s="685"/>
      <c r="AG221" s="685"/>
      <c r="AH221" s="685"/>
      <c r="AI221" s="685"/>
      <c r="AJ221" s="685"/>
      <c r="AK221" s="685"/>
      <c r="AL221" s="685"/>
      <c r="AM221" s="685"/>
      <c r="AN221" s="685"/>
      <c r="AO221" s="685"/>
      <c r="AP221" s="685"/>
      <c r="AQ221" s="685"/>
      <c r="AR221" s="685"/>
      <c r="AS221" s="685"/>
      <c r="AT221" s="685"/>
      <c r="AU221" s="685"/>
      <c r="AV221" s="685"/>
      <c r="AW221" s="685"/>
      <c r="AX221" s="685"/>
      <c r="AY221" s="685"/>
    </row>
    <row r="222" spans="1:51">
      <c r="A222" s="685"/>
      <c r="B222" s="1189" t="s">
        <v>250</v>
      </c>
      <c r="C222" s="1260"/>
      <c r="D222" s="1260"/>
      <c r="E222" s="1260"/>
      <c r="F222" s="1260"/>
      <c r="G222" s="1260"/>
      <c r="H222" s="1260"/>
      <c r="I222" s="1260"/>
      <c r="J222" s="1260"/>
      <c r="K222" s="1197">
        <f t="shared" ref="K222:AC222" si="220">J222</f>
        <v>0</v>
      </c>
      <c r="L222" s="1197">
        <f t="shared" si="220"/>
        <v>0</v>
      </c>
      <c r="M222" s="1197">
        <f t="shared" si="220"/>
        <v>0</v>
      </c>
      <c r="N222" s="1197">
        <f t="shared" si="220"/>
        <v>0</v>
      </c>
      <c r="O222" s="1197">
        <f t="shared" si="220"/>
        <v>0</v>
      </c>
      <c r="P222" s="1197">
        <f t="shared" si="220"/>
        <v>0</v>
      </c>
      <c r="Q222" s="1197">
        <f t="shared" si="220"/>
        <v>0</v>
      </c>
      <c r="R222" s="1197">
        <f t="shared" si="220"/>
        <v>0</v>
      </c>
      <c r="S222" s="1197">
        <f t="shared" si="220"/>
        <v>0</v>
      </c>
      <c r="T222" s="1197">
        <f t="shared" si="220"/>
        <v>0</v>
      </c>
      <c r="U222" s="1197">
        <f t="shared" si="220"/>
        <v>0</v>
      </c>
      <c r="V222" s="1197">
        <f t="shared" si="220"/>
        <v>0</v>
      </c>
      <c r="W222" s="1197">
        <f t="shared" si="220"/>
        <v>0</v>
      </c>
      <c r="X222" s="1197">
        <f t="shared" si="220"/>
        <v>0</v>
      </c>
      <c r="Y222" s="1197">
        <f t="shared" si="220"/>
        <v>0</v>
      </c>
      <c r="Z222" s="1197">
        <f t="shared" si="220"/>
        <v>0</v>
      </c>
      <c r="AA222" s="1197">
        <f t="shared" si="220"/>
        <v>0</v>
      </c>
      <c r="AB222" s="1197">
        <f t="shared" si="220"/>
        <v>0</v>
      </c>
      <c r="AC222" s="1197">
        <f t="shared" si="220"/>
        <v>0</v>
      </c>
      <c r="AD222" s="685"/>
      <c r="AE222" s="685"/>
      <c r="AF222" s="685"/>
      <c r="AG222" s="685"/>
      <c r="AH222" s="685"/>
      <c r="AI222" s="685"/>
      <c r="AJ222" s="685"/>
      <c r="AK222" s="685"/>
      <c r="AL222" s="685"/>
      <c r="AM222" s="685"/>
      <c r="AN222" s="685"/>
      <c r="AO222" s="685"/>
      <c r="AP222" s="685"/>
      <c r="AQ222" s="685"/>
      <c r="AR222" s="685"/>
      <c r="AS222" s="685"/>
      <c r="AT222" s="685"/>
      <c r="AU222" s="685"/>
      <c r="AV222" s="685"/>
      <c r="AW222" s="685"/>
      <c r="AX222" s="685"/>
      <c r="AY222" s="685"/>
    </row>
    <row r="223" spans="1:51">
      <c r="A223" s="685"/>
      <c r="B223" s="1187" t="s">
        <v>251</v>
      </c>
      <c r="C223" s="1266"/>
      <c r="D223" s="1266"/>
      <c r="E223" s="1266"/>
      <c r="F223" s="1266"/>
      <c r="G223" s="1266"/>
      <c r="H223" s="1266"/>
      <c r="I223" s="1266"/>
      <c r="J223" s="1266"/>
      <c r="K223" s="1188">
        <f t="shared" ref="K223:Q223" si="221">K221-K222</f>
        <v>0</v>
      </c>
      <c r="L223" s="1188">
        <f t="shared" si="221"/>
        <v>0</v>
      </c>
      <c r="M223" s="1188">
        <f t="shared" si="221"/>
        <v>0</v>
      </c>
      <c r="N223" s="1188">
        <f t="shared" si="221"/>
        <v>0</v>
      </c>
      <c r="O223" s="1188">
        <f t="shared" si="221"/>
        <v>0</v>
      </c>
      <c r="P223" s="1188">
        <f t="shared" si="221"/>
        <v>0</v>
      </c>
      <c r="Q223" s="1188">
        <f t="shared" si="221"/>
        <v>0</v>
      </c>
      <c r="R223" s="1188">
        <f t="shared" ref="R223:X223" si="222">R221-R222</f>
        <v>0</v>
      </c>
      <c r="S223" s="1188">
        <f t="shared" si="222"/>
        <v>0</v>
      </c>
      <c r="T223" s="1188">
        <f t="shared" si="222"/>
        <v>0</v>
      </c>
      <c r="U223" s="1188">
        <f t="shared" si="222"/>
        <v>0</v>
      </c>
      <c r="V223" s="1188">
        <f t="shared" si="222"/>
        <v>0</v>
      </c>
      <c r="W223" s="1188">
        <f t="shared" si="222"/>
        <v>0</v>
      </c>
      <c r="X223" s="1188">
        <f t="shared" si="222"/>
        <v>0</v>
      </c>
      <c r="Y223" s="1188">
        <f>Y221-Y222</f>
        <v>0</v>
      </c>
      <c r="Z223" s="1188">
        <f>Z221-Z222</f>
        <v>0</v>
      </c>
      <c r="AA223" s="1188">
        <f>AA221-AA222</f>
        <v>0</v>
      </c>
      <c r="AB223" s="1188">
        <f>AB221-AB222</f>
        <v>0</v>
      </c>
      <c r="AC223" s="1188">
        <f>AC221-AC222</f>
        <v>0</v>
      </c>
      <c r="AD223" s="685"/>
      <c r="AE223" s="685"/>
      <c r="AF223" s="685"/>
      <c r="AG223" s="685"/>
      <c r="AH223" s="685"/>
      <c r="AI223" s="685"/>
      <c r="AJ223" s="685"/>
      <c r="AK223" s="685"/>
      <c r="AL223" s="685"/>
      <c r="AM223" s="685"/>
      <c r="AN223" s="685"/>
      <c r="AO223" s="685"/>
      <c r="AP223" s="685"/>
      <c r="AQ223" s="685"/>
      <c r="AR223" s="685"/>
      <c r="AS223" s="685"/>
      <c r="AT223" s="685"/>
      <c r="AU223" s="685"/>
      <c r="AV223" s="685"/>
      <c r="AW223" s="685"/>
      <c r="AX223" s="685"/>
      <c r="AY223" s="685"/>
    </row>
    <row r="224" spans="1:51">
      <c r="A224" s="685"/>
      <c r="B224" s="1189"/>
      <c r="C224" s="1189"/>
      <c r="D224" s="1189"/>
      <c r="E224" s="1189"/>
      <c r="F224" s="1189"/>
      <c r="G224" s="1189"/>
      <c r="H224" s="1189"/>
      <c r="I224" s="1189"/>
      <c r="J224" s="1189"/>
      <c r="K224" s="1189"/>
      <c r="L224" s="1189"/>
      <c r="M224" s="1189"/>
      <c r="N224" s="1189"/>
      <c r="O224" s="1189"/>
      <c r="P224" s="1189"/>
      <c r="Q224" s="1189"/>
      <c r="R224" s="1189"/>
      <c r="S224" s="1189"/>
      <c r="T224" s="1189"/>
      <c r="U224" s="1189"/>
      <c r="V224" s="1189"/>
      <c r="W224" s="1189"/>
      <c r="X224" s="1189"/>
      <c r="Y224" s="1189"/>
      <c r="Z224" s="1189"/>
      <c r="AA224" s="1189"/>
      <c r="AB224" s="1189"/>
      <c r="AC224" s="1189"/>
      <c r="AD224" s="685"/>
      <c r="AE224" s="685"/>
      <c r="AF224" s="685"/>
      <c r="AG224" s="685"/>
      <c r="AH224" s="685"/>
      <c r="AI224" s="685"/>
      <c r="AJ224" s="685"/>
      <c r="AK224" s="685"/>
      <c r="AL224" s="685"/>
      <c r="AM224" s="685"/>
      <c r="AN224" s="685"/>
      <c r="AO224" s="685"/>
      <c r="AP224" s="685"/>
      <c r="AQ224" s="685"/>
      <c r="AR224" s="685"/>
      <c r="AS224" s="685"/>
      <c r="AT224" s="685"/>
      <c r="AU224" s="685"/>
      <c r="AV224" s="685"/>
      <c r="AW224" s="685"/>
      <c r="AX224" s="685"/>
      <c r="AY224" s="685"/>
    </row>
    <row r="225" spans="1:51">
      <c r="A225" s="685"/>
      <c r="B225" s="1189" t="s">
        <v>252</v>
      </c>
      <c r="C225" s="1260">
        <v>0</v>
      </c>
      <c r="D225" s="1260">
        <v>0</v>
      </c>
      <c r="E225" s="1260">
        <v>0</v>
      </c>
      <c r="F225" s="1260">
        <v>0</v>
      </c>
      <c r="G225" s="1260">
        <v>0</v>
      </c>
      <c r="H225" s="1260">
        <v>0</v>
      </c>
      <c r="I225" s="1260">
        <v>0</v>
      </c>
      <c r="J225" s="1260">
        <v>0</v>
      </c>
      <c r="K225" s="1260">
        <v>0</v>
      </c>
      <c r="L225" s="1260">
        <v>0</v>
      </c>
      <c r="M225" s="1260">
        <v>0</v>
      </c>
      <c r="N225" s="1260">
        <v>0</v>
      </c>
      <c r="O225" s="1260">
        <v>0</v>
      </c>
      <c r="P225" s="1260">
        <v>0</v>
      </c>
      <c r="Q225" s="1260">
        <v>0</v>
      </c>
      <c r="R225" s="1260">
        <v>0</v>
      </c>
      <c r="S225" s="1260">
        <v>0</v>
      </c>
      <c r="T225" s="1260">
        <v>0</v>
      </c>
      <c r="U225" s="1260">
        <v>0</v>
      </c>
      <c r="V225" s="1260">
        <v>0</v>
      </c>
      <c r="W225" s="1260">
        <v>0</v>
      </c>
      <c r="X225" s="1260">
        <v>0</v>
      </c>
      <c r="Y225" s="1260">
        <v>0</v>
      </c>
      <c r="Z225" s="1260">
        <v>0</v>
      </c>
      <c r="AA225" s="1260">
        <v>0</v>
      </c>
      <c r="AB225" s="1260">
        <v>0</v>
      </c>
      <c r="AC225" s="1260">
        <v>0</v>
      </c>
      <c r="AD225" s="685"/>
      <c r="AE225" s="685"/>
      <c r="AF225" s="685"/>
      <c r="AG225" s="685"/>
      <c r="AH225" s="685"/>
      <c r="AI225" s="685"/>
      <c r="AJ225" s="685"/>
      <c r="AK225" s="685"/>
      <c r="AL225" s="685"/>
      <c r="AM225" s="685"/>
      <c r="AN225" s="685"/>
      <c r="AO225" s="685"/>
      <c r="AP225" s="685"/>
      <c r="AQ225" s="685"/>
      <c r="AR225" s="685"/>
      <c r="AS225" s="685"/>
      <c r="AT225" s="685"/>
      <c r="AU225" s="685"/>
      <c r="AV225" s="685"/>
      <c r="AW225" s="685"/>
      <c r="AX225" s="685"/>
      <c r="AY225" s="685"/>
    </row>
    <row r="226" spans="1:51">
      <c r="A226" s="685"/>
      <c r="B226" s="1189" t="s">
        <v>253</v>
      </c>
      <c r="C226" s="1260">
        <v>0</v>
      </c>
      <c r="D226" s="1260">
        <v>0</v>
      </c>
      <c r="E226" s="1260">
        <v>0</v>
      </c>
      <c r="F226" s="1260">
        <v>0</v>
      </c>
      <c r="G226" s="1260">
        <v>0</v>
      </c>
      <c r="H226" s="1260">
        <v>0</v>
      </c>
      <c r="I226" s="1260">
        <v>0</v>
      </c>
      <c r="J226" s="1260">
        <v>0</v>
      </c>
      <c r="K226" s="1260">
        <v>0</v>
      </c>
      <c r="L226" s="1260">
        <v>0</v>
      </c>
      <c r="M226" s="1260">
        <v>0</v>
      </c>
      <c r="N226" s="1260">
        <v>0</v>
      </c>
      <c r="O226" s="1260">
        <v>0</v>
      </c>
      <c r="P226" s="1260">
        <v>0</v>
      </c>
      <c r="Q226" s="1260">
        <v>0</v>
      </c>
      <c r="R226" s="1260">
        <v>0</v>
      </c>
      <c r="S226" s="1260">
        <v>0</v>
      </c>
      <c r="T226" s="1260">
        <v>0</v>
      </c>
      <c r="U226" s="1260">
        <v>0</v>
      </c>
      <c r="V226" s="1260">
        <v>0</v>
      </c>
      <c r="W226" s="1260">
        <v>0</v>
      </c>
      <c r="X226" s="1260">
        <v>0</v>
      </c>
      <c r="Y226" s="1260">
        <v>0</v>
      </c>
      <c r="Z226" s="1260">
        <v>0</v>
      </c>
      <c r="AA226" s="1260">
        <v>0</v>
      </c>
      <c r="AB226" s="1260">
        <v>0</v>
      </c>
      <c r="AC226" s="1260">
        <v>0</v>
      </c>
      <c r="AD226" s="685"/>
      <c r="AE226" s="685"/>
      <c r="AF226" s="685"/>
      <c r="AG226" s="685"/>
      <c r="AH226" s="685"/>
      <c r="AI226" s="685"/>
      <c r="AJ226" s="685"/>
      <c r="AK226" s="685"/>
      <c r="AL226" s="685"/>
      <c r="AM226" s="685"/>
      <c r="AN226" s="685"/>
      <c r="AO226" s="685"/>
      <c r="AP226" s="685"/>
      <c r="AQ226" s="685"/>
      <c r="AR226" s="685"/>
      <c r="AS226" s="685"/>
      <c r="AT226" s="685"/>
      <c r="AU226" s="685"/>
      <c r="AV226" s="685"/>
      <c r="AW226" s="685"/>
      <c r="AX226" s="685"/>
      <c r="AY226" s="685"/>
    </row>
    <row r="227" spans="1:51">
      <c r="A227" s="685"/>
      <c r="B227" s="1189"/>
      <c r="C227" s="1189"/>
      <c r="D227" s="1189"/>
      <c r="E227" s="1189"/>
      <c r="F227" s="1189"/>
      <c r="G227" s="1189"/>
      <c r="H227" s="1189"/>
      <c r="I227" s="1189"/>
      <c r="J227" s="1189"/>
      <c r="K227" s="1189"/>
      <c r="L227" s="1189"/>
      <c r="M227" s="1189"/>
      <c r="N227" s="1189"/>
      <c r="O227" s="1189"/>
      <c r="P227" s="1189"/>
      <c r="Q227" s="1189"/>
      <c r="R227" s="1189"/>
      <c r="S227" s="1189"/>
      <c r="T227" s="1189"/>
      <c r="U227" s="1189"/>
      <c r="V227" s="1189"/>
      <c r="W227" s="1189"/>
      <c r="X227" s="1189"/>
      <c r="Y227" s="1189"/>
      <c r="Z227" s="1189"/>
      <c r="AA227" s="1189"/>
      <c r="AB227" s="1189"/>
      <c r="AC227" s="1189"/>
      <c r="AD227" s="685"/>
      <c r="AE227" s="685"/>
      <c r="AF227" s="685"/>
      <c r="AG227" s="685"/>
      <c r="AH227" s="685"/>
      <c r="AI227" s="685"/>
      <c r="AJ227" s="685"/>
      <c r="AK227" s="685"/>
      <c r="AL227" s="685"/>
      <c r="AM227" s="685"/>
      <c r="AN227" s="685"/>
      <c r="AO227" s="685"/>
      <c r="AP227" s="685"/>
      <c r="AQ227" s="685"/>
      <c r="AR227" s="685"/>
      <c r="AS227" s="685"/>
      <c r="AT227" s="685"/>
      <c r="AU227" s="685"/>
      <c r="AV227" s="685"/>
      <c r="AW227" s="685"/>
      <c r="AX227" s="685"/>
      <c r="AY227" s="685"/>
    </row>
    <row r="228" spans="1:51">
      <c r="A228" s="685"/>
      <c r="B228" s="1187" t="s">
        <v>254</v>
      </c>
      <c r="C228" s="1189"/>
      <c r="D228" s="1189"/>
      <c r="E228" s="1189"/>
      <c r="F228" s="1189"/>
      <c r="G228" s="1189"/>
      <c r="H228" s="1189"/>
      <c r="I228" s="1189"/>
      <c r="J228" s="1189"/>
      <c r="K228" s="1189"/>
      <c r="L228" s="1189"/>
      <c r="M228" s="1189"/>
      <c r="N228" s="1189"/>
      <c r="O228" s="1189"/>
      <c r="P228" s="1189"/>
      <c r="Q228" s="1189"/>
      <c r="R228" s="1189"/>
      <c r="S228" s="1189"/>
      <c r="T228" s="1189"/>
      <c r="U228" s="1189"/>
      <c r="V228" s="1189"/>
      <c r="W228" s="1189"/>
      <c r="X228" s="1189"/>
      <c r="Y228" s="1189"/>
      <c r="Z228" s="1189"/>
      <c r="AA228" s="1189"/>
      <c r="AB228" s="1189"/>
      <c r="AC228" s="1189"/>
      <c r="AD228" s="685"/>
      <c r="AE228" s="685"/>
      <c r="AF228" s="685"/>
      <c r="AG228" s="685"/>
      <c r="AH228" s="685"/>
      <c r="AI228" s="685"/>
      <c r="AJ228" s="685"/>
      <c r="AK228" s="685"/>
      <c r="AL228" s="685"/>
      <c r="AM228" s="685"/>
      <c r="AN228" s="685"/>
      <c r="AO228" s="685"/>
      <c r="AP228" s="685"/>
      <c r="AQ228" s="685"/>
      <c r="AR228" s="685"/>
      <c r="AS228" s="685"/>
      <c r="AT228" s="685"/>
      <c r="AU228" s="685"/>
      <c r="AV228" s="685"/>
      <c r="AW228" s="685"/>
      <c r="AX228" s="685"/>
      <c r="AY228" s="685"/>
    </row>
    <row r="229" spans="1:51">
      <c r="A229" s="685"/>
      <c r="B229" s="1189" t="s">
        <v>255</v>
      </c>
      <c r="C229" s="1197">
        <f t="shared" ref="C229:X229" si="223">C192</f>
        <v>0</v>
      </c>
      <c r="D229" s="1197">
        <f t="shared" si="223"/>
        <v>0</v>
      </c>
      <c r="E229" s="1197">
        <f t="shared" si="223"/>
        <v>0</v>
      </c>
      <c r="F229" s="1197">
        <f t="shared" si="223"/>
        <v>0</v>
      </c>
      <c r="G229" s="1197">
        <f t="shared" si="223"/>
        <v>0</v>
      </c>
      <c r="H229" s="1197">
        <f t="shared" si="223"/>
        <v>0</v>
      </c>
      <c r="I229" s="1197">
        <f t="shared" si="223"/>
        <v>38652</v>
      </c>
      <c r="J229" s="1197">
        <f t="shared" si="223"/>
        <v>41499</v>
      </c>
      <c r="K229" s="1197">
        <f t="shared" si="223"/>
        <v>48363</v>
      </c>
      <c r="L229" s="1197">
        <f t="shared" si="223"/>
        <v>53476.5</v>
      </c>
      <c r="M229" s="1197">
        <f t="shared" si="223"/>
        <v>61213</v>
      </c>
      <c r="N229" s="1197">
        <f t="shared" si="223"/>
        <v>76089.3</v>
      </c>
      <c r="O229" s="1197">
        <f t="shared" si="223"/>
        <v>86783.6</v>
      </c>
      <c r="P229" s="1197">
        <f t="shared" si="223"/>
        <v>85720</v>
      </c>
      <c r="Q229" s="1197">
        <f t="shared" si="223"/>
        <v>87343</v>
      </c>
      <c r="R229" s="1197">
        <f t="shared" si="223"/>
        <v>83329</v>
      </c>
      <c r="S229" s="1197">
        <f t="shared" si="223"/>
        <v>83284</v>
      </c>
      <c r="T229" s="1197">
        <f t="shared" si="223"/>
        <v>87922.1</v>
      </c>
      <c r="U229" s="1197">
        <f t="shared" si="223"/>
        <v>82236.399999999994</v>
      </c>
      <c r="V229" s="1197">
        <f t="shared" si="223"/>
        <v>77848.100000000006</v>
      </c>
      <c r="W229" s="1197">
        <f t="shared" si="223"/>
        <v>68414.521708436077</v>
      </c>
      <c r="X229" s="1197">
        <f t="shared" si="223"/>
        <v>65308.591609759635</v>
      </c>
      <c r="Y229" s="1197">
        <f>Y192</f>
        <v>62667.747722348257</v>
      </c>
      <c r="Z229" s="1197">
        <f>Z192</f>
        <v>60235.972955221485</v>
      </c>
      <c r="AA229" s="1197">
        <f>AA192</f>
        <v>58070.596976964822</v>
      </c>
      <c r="AB229" s="1197">
        <f>AB192</f>
        <v>56160.424327249493</v>
      </c>
      <c r="AC229" s="1197">
        <f>AC192</f>
        <v>54608.371737314737</v>
      </c>
      <c r="AD229" s="685"/>
      <c r="AE229" s="685"/>
      <c r="AF229" s="685"/>
      <c r="AG229" s="685"/>
      <c r="AH229" s="685"/>
      <c r="AI229" s="685"/>
      <c r="AJ229" s="685"/>
      <c r="AK229" s="685"/>
      <c r="AL229" s="685"/>
      <c r="AM229" s="685"/>
      <c r="AN229" s="685"/>
      <c r="AO229" s="685"/>
      <c r="AP229" s="685"/>
      <c r="AQ229" s="685"/>
      <c r="AR229" s="685"/>
      <c r="AS229" s="685"/>
      <c r="AT229" s="685"/>
      <c r="AU229" s="685"/>
      <c r="AV229" s="685"/>
      <c r="AW229" s="685"/>
      <c r="AX229" s="685"/>
      <c r="AY229" s="685"/>
    </row>
    <row r="230" spans="1:51">
      <c r="A230" s="685"/>
      <c r="B230" s="1189" t="s">
        <v>256</v>
      </c>
      <c r="C230" s="1246">
        <f t="shared" ref="C230:X230" si="224">C213</f>
        <v>0</v>
      </c>
      <c r="D230" s="1246">
        <f t="shared" si="224"/>
        <v>0</v>
      </c>
      <c r="E230" s="1246">
        <f t="shared" si="224"/>
        <v>0</v>
      </c>
      <c r="F230" s="1246">
        <f t="shared" si="224"/>
        <v>0</v>
      </c>
      <c r="G230" s="1246">
        <f t="shared" si="224"/>
        <v>0</v>
      </c>
      <c r="H230" s="1246">
        <f t="shared" si="224"/>
        <v>0</v>
      </c>
      <c r="I230" s="1246">
        <f t="shared" si="224"/>
        <v>10241</v>
      </c>
      <c r="J230" s="1246">
        <f t="shared" si="224"/>
        <v>11861</v>
      </c>
      <c r="K230" s="1246">
        <f t="shared" si="224"/>
        <v>11127</v>
      </c>
      <c r="L230" s="1246">
        <f t="shared" si="224"/>
        <v>11382</v>
      </c>
      <c r="M230" s="1246">
        <f t="shared" si="224"/>
        <v>27052</v>
      </c>
      <c r="N230" s="1246">
        <f t="shared" si="224"/>
        <v>38106.300000000003</v>
      </c>
      <c r="O230" s="1246">
        <f t="shared" si="224"/>
        <v>37624.5</v>
      </c>
      <c r="P230" s="1246">
        <f t="shared" si="224"/>
        <v>35887</v>
      </c>
      <c r="Q230" s="1246">
        <f t="shared" si="224"/>
        <v>43064</v>
      </c>
      <c r="R230" s="1246">
        <f t="shared" si="224"/>
        <v>43329</v>
      </c>
      <c r="S230" s="1246">
        <f t="shared" si="224"/>
        <v>42722</v>
      </c>
      <c r="T230" s="1246">
        <f t="shared" si="224"/>
        <v>42255.9</v>
      </c>
      <c r="U230" s="1246">
        <f t="shared" si="224"/>
        <v>41123.5</v>
      </c>
      <c r="V230" s="1246">
        <f t="shared" si="224"/>
        <v>40398.5</v>
      </c>
      <c r="W230" s="1246">
        <f t="shared" si="224"/>
        <v>37122.671999999999</v>
      </c>
      <c r="X230" s="1246">
        <f t="shared" si="224"/>
        <v>34537.658359999994</v>
      </c>
      <c r="Y230" s="1246">
        <f>Y213</f>
        <v>31917.469773199991</v>
      </c>
      <c r="Z230" s="1246">
        <f>Z213</f>
        <v>29318.731004951987</v>
      </c>
      <c r="AA230" s="1246">
        <f>AA213</f>
        <v>26790.628354209184</v>
      </c>
      <c r="AB230" s="1246">
        <f>AB213</f>
        <v>24373.83481753571</v>
      </c>
      <c r="AC230" s="1246">
        <f>AC213</f>
        <v>22099.989898554632</v>
      </c>
      <c r="AD230" s="685"/>
      <c r="AE230" s="685"/>
      <c r="AF230" s="685"/>
      <c r="AG230" s="685"/>
      <c r="AH230" s="685"/>
      <c r="AI230" s="685"/>
      <c r="AJ230" s="685"/>
      <c r="AK230" s="685"/>
      <c r="AL230" s="685"/>
      <c r="AM230" s="685"/>
      <c r="AN230" s="685"/>
      <c r="AO230" s="685"/>
      <c r="AP230" s="685"/>
      <c r="AQ230" s="685"/>
      <c r="AR230" s="685"/>
      <c r="AS230" s="685"/>
      <c r="AT230" s="685"/>
      <c r="AU230" s="685"/>
      <c r="AV230" s="685"/>
      <c r="AW230" s="685"/>
      <c r="AX230" s="685"/>
      <c r="AY230" s="685"/>
    </row>
    <row r="231" spans="1:51">
      <c r="A231" s="685"/>
      <c r="B231" s="1189" t="s">
        <v>98</v>
      </c>
      <c r="C231" s="1197">
        <f t="shared" ref="C231:Q231" si="225">C229+C230</f>
        <v>0</v>
      </c>
      <c r="D231" s="1197">
        <f t="shared" si="225"/>
        <v>0</v>
      </c>
      <c r="E231" s="1197">
        <f t="shared" si="225"/>
        <v>0</v>
      </c>
      <c r="F231" s="1197">
        <f t="shared" si="225"/>
        <v>0</v>
      </c>
      <c r="G231" s="1197">
        <f t="shared" si="225"/>
        <v>0</v>
      </c>
      <c r="H231" s="1197">
        <f t="shared" si="225"/>
        <v>0</v>
      </c>
      <c r="I231" s="1197">
        <f t="shared" si="225"/>
        <v>48893</v>
      </c>
      <c r="J231" s="1197">
        <f t="shared" si="225"/>
        <v>53360</v>
      </c>
      <c r="K231" s="1197">
        <f t="shared" si="225"/>
        <v>59490</v>
      </c>
      <c r="L231" s="1197">
        <f t="shared" si="225"/>
        <v>64858.5</v>
      </c>
      <c r="M231" s="1197">
        <f t="shared" si="225"/>
        <v>88265</v>
      </c>
      <c r="N231" s="1197">
        <f t="shared" si="225"/>
        <v>114195.6</v>
      </c>
      <c r="O231" s="1197">
        <f t="shared" si="225"/>
        <v>124408.1</v>
      </c>
      <c r="P231" s="1197">
        <f t="shared" si="225"/>
        <v>121607</v>
      </c>
      <c r="Q231" s="1197">
        <f t="shared" si="225"/>
        <v>130407</v>
      </c>
      <c r="R231" s="1197">
        <f t="shared" ref="R231:X231" si="226">R229+R230</f>
        <v>126658</v>
      </c>
      <c r="S231" s="1197">
        <f t="shared" si="226"/>
        <v>126006</v>
      </c>
      <c r="T231" s="1197">
        <f t="shared" si="226"/>
        <v>130178</v>
      </c>
      <c r="U231" s="1197">
        <f t="shared" si="226"/>
        <v>123359.9</v>
      </c>
      <c r="V231" s="1197">
        <f t="shared" si="226"/>
        <v>118246.6</v>
      </c>
      <c r="W231" s="1197">
        <f t="shared" si="226"/>
        <v>105537.19370843607</v>
      </c>
      <c r="X231" s="1197">
        <f t="shared" si="226"/>
        <v>99846.249969759636</v>
      </c>
      <c r="Y231" s="1197">
        <f>Y229+Y230</f>
        <v>94585.217495548248</v>
      </c>
      <c r="Z231" s="1197">
        <f>Z229+Z230</f>
        <v>89554.703960173472</v>
      </c>
      <c r="AA231" s="1197">
        <f>AA229+AA230</f>
        <v>84861.225331174006</v>
      </c>
      <c r="AB231" s="1197">
        <f>AB229+AB230</f>
        <v>80534.259144785203</v>
      </c>
      <c r="AC231" s="1197">
        <f>AC229+AC230</f>
        <v>76708.361635869369</v>
      </c>
      <c r="AD231" s="685"/>
      <c r="AE231" s="685"/>
      <c r="AF231" s="685"/>
      <c r="AG231" s="685"/>
      <c r="AH231" s="685"/>
      <c r="AI231" s="685"/>
      <c r="AJ231" s="685"/>
      <c r="AK231" s="685"/>
      <c r="AL231" s="685"/>
      <c r="AM231" s="685"/>
      <c r="AN231" s="685"/>
      <c r="AO231" s="685"/>
      <c r="AP231" s="685"/>
      <c r="AQ231" s="685"/>
      <c r="AR231" s="685"/>
      <c r="AS231" s="685"/>
      <c r="AT231" s="685"/>
      <c r="AU231" s="685"/>
      <c r="AV231" s="685"/>
      <c r="AW231" s="685"/>
      <c r="AX231" s="685"/>
      <c r="AY231" s="685"/>
    </row>
    <row r="232" spans="1:51">
      <c r="A232" s="685"/>
      <c r="B232" s="1189"/>
      <c r="C232" s="1189"/>
      <c r="D232" s="1189"/>
      <c r="E232" s="1189"/>
      <c r="F232" s="1189"/>
      <c r="G232" s="1189"/>
      <c r="H232" s="1189"/>
      <c r="I232" s="1189"/>
      <c r="J232" s="1189"/>
      <c r="K232" s="1189"/>
      <c r="L232" s="1189"/>
      <c r="M232" s="1189"/>
      <c r="N232" s="1189"/>
      <c r="O232" s="1189"/>
      <c r="P232" s="1189"/>
      <c r="Q232" s="1189"/>
      <c r="R232" s="1189"/>
      <c r="S232" s="1189"/>
      <c r="T232" s="1189"/>
      <c r="U232" s="1189"/>
      <c r="V232" s="1271"/>
      <c r="W232" s="1271"/>
      <c r="X232" s="1271"/>
      <c r="Y232" s="1271"/>
      <c r="Z232" s="1271"/>
      <c r="AA232" s="1271"/>
      <c r="AB232" s="1271"/>
      <c r="AC232" s="1271"/>
      <c r="AD232" s="685"/>
      <c r="AE232" s="685"/>
      <c r="AF232" s="685"/>
      <c r="AG232" s="685"/>
      <c r="AH232" s="685"/>
      <c r="AI232" s="685"/>
      <c r="AJ232" s="685"/>
      <c r="AK232" s="685"/>
      <c r="AL232" s="685"/>
      <c r="AM232" s="685"/>
      <c r="AN232" s="685"/>
      <c r="AO232" s="685"/>
      <c r="AP232" s="685"/>
      <c r="AQ232" s="685"/>
      <c r="AR232" s="685"/>
      <c r="AS232" s="685"/>
      <c r="AT232" s="685"/>
      <c r="AU232" s="685"/>
      <c r="AV232" s="685"/>
      <c r="AW232" s="685"/>
      <c r="AX232" s="685"/>
      <c r="AY232" s="685"/>
    </row>
    <row r="233" spans="1:51">
      <c r="A233" s="685"/>
      <c r="B233" s="1189"/>
      <c r="C233" s="1189"/>
      <c r="D233" s="1189"/>
      <c r="E233" s="1189"/>
      <c r="F233" s="1189"/>
      <c r="G233" s="1189"/>
      <c r="H233" s="1189"/>
      <c r="I233" s="1189"/>
      <c r="J233" s="1189"/>
      <c r="K233" s="1189"/>
      <c r="L233" s="1189"/>
      <c r="M233" s="1189"/>
      <c r="N233" s="1189"/>
      <c r="O233" s="1189"/>
      <c r="P233" s="1189"/>
      <c r="Q233" s="1189"/>
      <c r="R233" s="1189"/>
      <c r="S233" s="1189"/>
      <c r="T233" s="1189"/>
      <c r="U233" s="1189"/>
      <c r="V233" s="1271"/>
      <c r="W233" s="1271"/>
      <c r="X233" s="1271"/>
      <c r="Y233" s="1271"/>
      <c r="Z233" s="1271"/>
      <c r="AA233" s="1271"/>
      <c r="AB233" s="1271"/>
      <c r="AC233" s="1271"/>
      <c r="AD233" s="685"/>
      <c r="AE233" s="685"/>
      <c r="AF233" s="685"/>
      <c r="AG233" s="685"/>
      <c r="AH233" s="685"/>
      <c r="AI233" s="685"/>
      <c r="AJ233" s="685"/>
      <c r="AK233" s="685"/>
      <c r="AL233" s="685"/>
      <c r="AM233" s="685"/>
      <c r="AN233" s="685"/>
      <c r="AO233" s="685"/>
      <c r="AP233" s="685"/>
      <c r="AQ233" s="685"/>
      <c r="AR233" s="685"/>
      <c r="AS233" s="685"/>
      <c r="AT233" s="685"/>
      <c r="AU233" s="685"/>
      <c r="AV233" s="685"/>
      <c r="AW233" s="685"/>
      <c r="AX233" s="685"/>
      <c r="AY233" s="685"/>
    </row>
    <row r="234" spans="1:51">
      <c r="A234" s="685"/>
      <c r="B234" s="1189"/>
      <c r="C234" s="1189"/>
      <c r="D234" s="1189"/>
      <c r="E234" s="1189"/>
      <c r="F234" s="1189"/>
      <c r="G234" s="1189"/>
      <c r="H234" s="1189"/>
      <c r="I234" s="1189"/>
      <c r="J234" s="1189"/>
      <c r="K234" s="1189"/>
      <c r="L234" s="1189"/>
      <c r="M234" s="1189"/>
      <c r="N234" s="1189"/>
      <c r="O234" s="1189"/>
      <c r="P234" s="1189"/>
      <c r="Q234" s="1189"/>
      <c r="R234" s="1189"/>
      <c r="S234" s="1189"/>
      <c r="T234" s="1189"/>
      <c r="U234" s="1189"/>
      <c r="V234" s="1271"/>
      <c r="W234" s="1271"/>
      <c r="X234" s="1271"/>
      <c r="Y234" s="1271"/>
      <c r="Z234" s="1271"/>
      <c r="AA234" s="1271"/>
      <c r="AB234" s="1271"/>
      <c r="AC234" s="1271"/>
      <c r="AD234" s="685"/>
      <c r="AE234" s="685"/>
      <c r="AF234" s="685"/>
      <c r="AG234" s="685"/>
      <c r="AH234" s="685"/>
      <c r="AI234" s="685"/>
      <c r="AJ234" s="685"/>
      <c r="AK234" s="685"/>
      <c r="AL234" s="685"/>
      <c r="AM234" s="685"/>
      <c r="AN234" s="685"/>
      <c r="AO234" s="685"/>
      <c r="AP234" s="685"/>
      <c r="AQ234" s="685"/>
      <c r="AR234" s="685"/>
      <c r="AS234" s="685"/>
      <c r="AT234" s="685"/>
      <c r="AU234" s="685"/>
      <c r="AV234" s="685"/>
      <c r="AW234" s="685"/>
      <c r="AX234" s="685"/>
      <c r="AY234" s="685"/>
    </row>
    <row r="235" spans="1:51">
      <c r="A235" s="685"/>
      <c r="B235" s="1186" t="s">
        <v>257</v>
      </c>
      <c r="C235" s="1186">
        <v>2004</v>
      </c>
      <c r="D235" s="1186">
        <f>C235+1</f>
        <v>2005</v>
      </c>
      <c r="E235" s="1186">
        <f t="shared" ref="E235:AC235" si="227">D235+1</f>
        <v>2006</v>
      </c>
      <c r="F235" s="1186">
        <f t="shared" si="227"/>
        <v>2007</v>
      </c>
      <c r="G235" s="1186">
        <f t="shared" si="227"/>
        <v>2008</v>
      </c>
      <c r="H235" s="1186">
        <f t="shared" si="227"/>
        <v>2009</v>
      </c>
      <c r="I235" s="1186">
        <f t="shared" si="227"/>
        <v>2010</v>
      </c>
      <c r="J235" s="1186">
        <f t="shared" si="227"/>
        <v>2011</v>
      </c>
      <c r="K235" s="1186">
        <f t="shared" si="227"/>
        <v>2012</v>
      </c>
      <c r="L235" s="1186">
        <f t="shared" si="227"/>
        <v>2013</v>
      </c>
      <c r="M235" s="1186">
        <f t="shared" si="227"/>
        <v>2014</v>
      </c>
      <c r="N235" s="1186">
        <f t="shared" si="227"/>
        <v>2015</v>
      </c>
      <c r="O235" s="1186">
        <f t="shared" si="227"/>
        <v>2016</v>
      </c>
      <c r="P235" s="1186">
        <f t="shared" si="227"/>
        <v>2017</v>
      </c>
      <c r="Q235" s="1186">
        <f t="shared" si="227"/>
        <v>2018</v>
      </c>
      <c r="R235" s="1186">
        <f t="shared" si="227"/>
        <v>2019</v>
      </c>
      <c r="S235" s="1186">
        <f t="shared" si="227"/>
        <v>2020</v>
      </c>
      <c r="T235" s="1186">
        <f t="shared" si="227"/>
        <v>2021</v>
      </c>
      <c r="U235" s="1186">
        <f t="shared" si="227"/>
        <v>2022</v>
      </c>
      <c r="V235" s="1186">
        <f t="shared" si="227"/>
        <v>2023</v>
      </c>
      <c r="W235" s="1186">
        <f t="shared" si="227"/>
        <v>2024</v>
      </c>
      <c r="X235" s="1186">
        <f t="shared" si="227"/>
        <v>2025</v>
      </c>
      <c r="Y235" s="1186">
        <f t="shared" si="227"/>
        <v>2026</v>
      </c>
      <c r="Z235" s="1186">
        <f t="shared" si="227"/>
        <v>2027</v>
      </c>
      <c r="AA235" s="1186">
        <f t="shared" si="227"/>
        <v>2028</v>
      </c>
      <c r="AB235" s="1186">
        <f t="shared" si="227"/>
        <v>2029</v>
      </c>
      <c r="AC235" s="1186">
        <f t="shared" si="227"/>
        <v>2030</v>
      </c>
      <c r="AD235" s="685"/>
      <c r="AE235" s="685"/>
      <c r="AF235" s="685"/>
      <c r="AG235" s="685"/>
      <c r="AH235" s="685"/>
      <c r="AI235" s="685"/>
      <c r="AJ235" s="685"/>
      <c r="AK235" s="685"/>
      <c r="AL235" s="685"/>
      <c r="AM235" s="685"/>
      <c r="AN235" s="685"/>
      <c r="AO235" s="685"/>
      <c r="AP235" s="685"/>
      <c r="AQ235" s="685"/>
      <c r="AR235" s="685"/>
      <c r="AS235" s="685"/>
      <c r="AT235" s="685"/>
      <c r="AU235" s="685"/>
      <c r="AV235" s="685"/>
      <c r="AW235" s="685"/>
      <c r="AX235" s="685"/>
      <c r="AY235" s="685"/>
    </row>
    <row r="236" spans="1:51">
      <c r="A236" s="685"/>
      <c r="B236" s="1189" t="s">
        <v>258</v>
      </c>
      <c r="C236" s="1259"/>
      <c r="D236" s="1259">
        <f>SUM(D246:D247)+SUM(D241:D242)</f>
        <v>0</v>
      </c>
      <c r="E236" s="1259">
        <f>SUM(E246:E247)+SUM(E241:E242)</f>
        <v>0</v>
      </c>
      <c r="F236" s="1259">
        <f>SUM(F246:F247)+SUM(F241:F242)</f>
        <v>0</v>
      </c>
      <c r="G236" s="1259">
        <f>SUM(G246:G247)+SUM(G241:G242)</f>
        <v>0</v>
      </c>
      <c r="H236" s="1259">
        <f>H238-H237</f>
        <v>2973</v>
      </c>
      <c r="I236" s="1259">
        <f t="shared" ref="I236:Q236" si="228">I238-I237</f>
        <v>3028</v>
      </c>
      <c r="J236" s="1259">
        <f t="shared" si="228"/>
        <v>4143</v>
      </c>
      <c r="K236" s="1259">
        <f t="shared" si="228"/>
        <v>3350.5</v>
      </c>
      <c r="L236" s="1259">
        <f t="shared" si="228"/>
        <v>-885</v>
      </c>
      <c r="M236" s="1259">
        <f>M238-M237</f>
        <v>4329</v>
      </c>
      <c r="N236" s="1259">
        <f t="shared" si="228"/>
        <v>-1702</v>
      </c>
      <c r="O236" s="1259">
        <f t="shared" si="228"/>
        <v>9532.1</v>
      </c>
      <c r="P236" s="1259">
        <f t="shared" si="228"/>
        <v>5305</v>
      </c>
      <c r="Q236" s="1259">
        <f t="shared" si="228"/>
        <v>8779.6</v>
      </c>
      <c r="R236" s="1259">
        <f t="shared" ref="R236:X236" si="229">R238-R237</f>
        <v>8810.8000000000011</v>
      </c>
      <c r="S236" s="1259">
        <f t="shared" si="229"/>
        <v>5584.2</v>
      </c>
      <c r="T236" s="1259">
        <f t="shared" si="229"/>
        <v>11918</v>
      </c>
      <c r="U236" s="1259">
        <f t="shared" si="229"/>
        <v>9206.2000000000007</v>
      </c>
      <c r="V236" s="1259">
        <f t="shared" si="229"/>
        <v>4624.2999999999993</v>
      </c>
      <c r="W236" s="1259">
        <f t="shared" ca="1" si="229"/>
        <v>4586.7847606338692</v>
      </c>
      <c r="X236" s="1259">
        <f t="shared" ca="1" si="229"/>
        <v>4942.0396161709232</v>
      </c>
      <c r="Y236" s="1259">
        <f ca="1">Y238-Y237</f>
        <v>4872.2733613876389</v>
      </c>
      <c r="Z236" s="1259">
        <f ca="1">Z238-Z237</f>
        <v>4731.9534104969716</v>
      </c>
      <c r="AA236" s="1259">
        <f ca="1">AA238-AA237</f>
        <v>4528.2394431840949</v>
      </c>
      <c r="AB236" s="1259">
        <f ca="1">AB238-AB237</f>
        <v>4270.6216297725532</v>
      </c>
      <c r="AC236" s="1259">
        <f ca="1">AC238-AC237</f>
        <v>3980.5631004840288</v>
      </c>
      <c r="AD236" s="685"/>
      <c r="AE236" s="685"/>
      <c r="AF236" s="685"/>
      <c r="AG236" s="685"/>
      <c r="AH236" s="685"/>
      <c r="AI236" s="685"/>
      <c r="AJ236" s="685"/>
      <c r="AK236" s="685"/>
      <c r="AL236" s="685"/>
      <c r="AM236" s="685"/>
      <c r="AN236" s="685"/>
      <c r="AO236" s="685"/>
      <c r="AP236" s="685"/>
      <c r="AQ236" s="685"/>
      <c r="AR236" s="685"/>
      <c r="AS236" s="685"/>
      <c r="AT236" s="685"/>
      <c r="AU236" s="685"/>
      <c r="AV236" s="685"/>
      <c r="AW236" s="685"/>
      <c r="AX236" s="685"/>
      <c r="AY236" s="685"/>
    </row>
    <row r="237" spans="1:51">
      <c r="A237" s="685"/>
      <c r="B237" s="1189" t="s">
        <v>259</v>
      </c>
      <c r="C237" s="1259"/>
      <c r="D237" s="1259">
        <f>D242+D247</f>
        <v>0</v>
      </c>
      <c r="E237" s="1259">
        <f>E242+E247</f>
        <v>0</v>
      </c>
      <c r="F237" s="1259">
        <f>F242+F247</f>
        <v>0</v>
      </c>
      <c r="G237" s="1259">
        <f>G242+G247</f>
        <v>0</v>
      </c>
      <c r="H237" s="1260">
        <v>-890</v>
      </c>
      <c r="I237" s="1260">
        <v>-461</v>
      </c>
      <c r="J237" s="1260">
        <v>-977</v>
      </c>
      <c r="K237" s="1260">
        <f>127.4-152.9</f>
        <v>-25.5</v>
      </c>
      <c r="L237" s="1260">
        <v>4558</v>
      </c>
      <c r="M237" s="1260">
        <v>-105</v>
      </c>
      <c r="N237" s="1260">
        <f>2195+4718</f>
        <v>6913</v>
      </c>
      <c r="O237" s="1260">
        <f>-2490.3-43.4</f>
        <v>-2533.7000000000003</v>
      </c>
      <c r="P237" s="1260">
        <v>1672</v>
      </c>
      <c r="Q237" s="1260">
        <f>220-859.6</f>
        <v>-639.6</v>
      </c>
      <c r="R237" s="1260">
        <v>0</v>
      </c>
      <c r="S237" s="1260"/>
      <c r="T237" s="1260"/>
      <c r="U237" s="1260">
        <v>0</v>
      </c>
      <c r="V237" s="1260"/>
      <c r="W237" s="1260">
        <v>91.5</v>
      </c>
      <c r="X237" s="1260">
        <v>0</v>
      </c>
      <c r="Y237" s="1260">
        <v>0</v>
      </c>
      <c r="Z237" s="1260">
        <v>0</v>
      </c>
      <c r="AA237" s="1260">
        <v>0</v>
      </c>
      <c r="AB237" s="1260">
        <v>0</v>
      </c>
      <c r="AC237" s="1260">
        <v>0</v>
      </c>
      <c r="AD237" s="685"/>
      <c r="AE237" s="685"/>
      <c r="AF237" s="685"/>
      <c r="AG237" s="685"/>
      <c r="AH237" s="685"/>
      <c r="AI237" s="685"/>
      <c r="AJ237" s="685"/>
      <c r="AK237" s="685"/>
      <c r="AL237" s="685"/>
      <c r="AM237" s="685"/>
      <c r="AN237" s="685"/>
      <c r="AO237" s="685"/>
      <c r="AP237" s="685"/>
      <c r="AQ237" s="685"/>
      <c r="AR237" s="685"/>
      <c r="AS237" s="685"/>
      <c r="AT237" s="685"/>
      <c r="AU237" s="685"/>
      <c r="AV237" s="685"/>
      <c r="AW237" s="685"/>
      <c r="AX237" s="685"/>
      <c r="AY237" s="685"/>
    </row>
    <row r="238" spans="1:51">
      <c r="A238" s="685"/>
      <c r="B238" s="1189" t="s">
        <v>260</v>
      </c>
      <c r="C238" s="1197"/>
      <c r="D238" s="1197">
        <f>D236-D237</f>
        <v>0</v>
      </c>
      <c r="E238" s="1197">
        <f>E236-E237</f>
        <v>0</v>
      </c>
      <c r="F238" s="1197">
        <f>F236-F237</f>
        <v>0</v>
      </c>
      <c r="G238" s="1197">
        <f>G236-G237</f>
        <v>0</v>
      </c>
      <c r="H238" s="1197">
        <f>SUM(H246:H247)-SUM(H241:H242)</f>
        <v>2083</v>
      </c>
      <c r="I238" s="1197">
        <f t="shared" ref="I238:Q238" si="230">SUM(I246:I247)-SUM(I241:I242)</f>
        <v>2567</v>
      </c>
      <c r="J238" s="1197">
        <f t="shared" si="230"/>
        <v>3166</v>
      </c>
      <c r="K238" s="1197">
        <f t="shared" si="230"/>
        <v>3325</v>
      </c>
      <c r="L238" s="1197">
        <f t="shared" si="230"/>
        <v>3673</v>
      </c>
      <c r="M238" s="1197">
        <f t="shared" si="230"/>
        <v>4224</v>
      </c>
      <c r="N238" s="1197">
        <f t="shared" si="230"/>
        <v>5211</v>
      </c>
      <c r="O238" s="1197">
        <f t="shared" si="230"/>
        <v>6998.4</v>
      </c>
      <c r="P238" s="1197">
        <f t="shared" si="230"/>
        <v>6977</v>
      </c>
      <c r="Q238" s="1197">
        <f t="shared" si="230"/>
        <v>8140</v>
      </c>
      <c r="R238" s="1197">
        <f>SUM(R246:R247)-SUM(R241:R242)</f>
        <v>8810.8000000000011</v>
      </c>
      <c r="S238" s="1197">
        <f t="shared" ref="S238:X238" si="231">SUM(S246:S247)-SUM(S241:S242)</f>
        <v>5584.2</v>
      </c>
      <c r="T238" s="1197">
        <f t="shared" si="231"/>
        <v>11918</v>
      </c>
      <c r="U238" s="1197">
        <f>SUM(U246:U247)-SUM(U241:U242)</f>
        <v>9206.2000000000007</v>
      </c>
      <c r="V238" s="1197">
        <f t="shared" si="231"/>
        <v>4624.2999999999993</v>
      </c>
      <c r="W238" s="1197">
        <f t="shared" ca="1" si="231"/>
        <v>4678.2847606338692</v>
      </c>
      <c r="X238" s="1197">
        <f t="shared" ca="1" si="231"/>
        <v>4942.0396161709232</v>
      </c>
      <c r="Y238" s="1197">
        <f ca="1">SUM(Y246:Y247)-SUM(Y241:Y242)</f>
        <v>4872.2733613876389</v>
      </c>
      <c r="Z238" s="1197">
        <f ca="1">SUM(Z246:Z247)-SUM(Z241:Z242)</f>
        <v>4731.9534104969716</v>
      </c>
      <c r="AA238" s="1197">
        <f ca="1">SUM(AA246:AA247)-SUM(AA241:AA242)</f>
        <v>4528.2394431840949</v>
      </c>
      <c r="AB238" s="1197">
        <f ca="1">SUM(AB246:AB247)-SUM(AB241:AB242)</f>
        <v>4270.6216297725532</v>
      </c>
      <c r="AC238" s="1197">
        <f ca="1">SUM(AC246:AC247)-SUM(AC241:AC242)</f>
        <v>3980.5631004840288</v>
      </c>
      <c r="AD238" s="685"/>
      <c r="AE238" s="685"/>
      <c r="AF238" s="685"/>
      <c r="AG238" s="685"/>
      <c r="AH238" s="685"/>
      <c r="AI238" s="685"/>
      <c r="AJ238" s="685"/>
      <c r="AK238" s="685"/>
      <c r="AL238" s="685"/>
      <c r="AM238" s="685"/>
      <c r="AN238" s="685"/>
      <c r="AO238" s="685"/>
      <c r="AP238" s="685"/>
      <c r="AQ238" s="685"/>
      <c r="AR238" s="685"/>
      <c r="AS238" s="685"/>
      <c r="AT238" s="685"/>
      <c r="AU238" s="685"/>
      <c r="AV238" s="685"/>
      <c r="AW238" s="685"/>
      <c r="AX238" s="685"/>
      <c r="AY238" s="685"/>
    </row>
    <row r="239" spans="1:51">
      <c r="A239" s="685"/>
      <c r="B239" s="1189" t="s">
        <v>181</v>
      </c>
      <c r="C239" s="1191"/>
      <c r="D239" s="1191" t="e">
        <f>D238/#REF!-1</f>
        <v>#REF!</v>
      </c>
      <c r="E239" s="1191" t="e">
        <f t="shared" ref="E239:AC239" si="232">E238/D238-1</f>
        <v>#DIV/0!</v>
      </c>
      <c r="F239" s="1191" t="e">
        <f t="shared" si="232"/>
        <v>#DIV/0!</v>
      </c>
      <c r="G239" s="1191" t="e">
        <f t="shared" si="232"/>
        <v>#DIV/0!</v>
      </c>
      <c r="H239" s="1191" t="e">
        <f t="shared" si="232"/>
        <v>#DIV/0!</v>
      </c>
      <c r="I239" s="1191">
        <f t="shared" si="232"/>
        <v>0.2323571771483437</v>
      </c>
      <c r="J239" s="1191">
        <f t="shared" si="232"/>
        <v>0.23334631865991429</v>
      </c>
      <c r="K239" s="1191">
        <f t="shared" si="232"/>
        <v>5.0221099178774375E-2</v>
      </c>
      <c r="L239" s="1191">
        <f t="shared" si="232"/>
        <v>0.10466165413533846</v>
      </c>
      <c r="M239" s="1191">
        <f t="shared" si="232"/>
        <v>0.15001361285053094</v>
      </c>
      <c r="N239" s="1191">
        <f t="shared" si="232"/>
        <v>0.23366477272727271</v>
      </c>
      <c r="O239" s="1191">
        <f t="shared" si="232"/>
        <v>0.34300518134715019</v>
      </c>
      <c r="P239" s="1191">
        <f t="shared" si="232"/>
        <v>-3.0578417924096435E-3</v>
      </c>
      <c r="Q239" s="1191">
        <f t="shared" si="232"/>
        <v>0.16669055467966176</v>
      </c>
      <c r="R239" s="1191">
        <f t="shared" si="232"/>
        <v>8.2407862407862575E-2</v>
      </c>
      <c r="S239" s="1191">
        <f t="shared" si="232"/>
        <v>-0.36620965179098386</v>
      </c>
      <c r="T239" s="1191">
        <f t="shared" si="232"/>
        <v>1.134235879803732</v>
      </c>
      <c r="U239" s="1191">
        <f t="shared" si="232"/>
        <v>-0.22753817754656813</v>
      </c>
      <c r="V239" s="1191">
        <f t="shared" si="232"/>
        <v>-0.49769720405813489</v>
      </c>
      <c r="W239" s="1191">
        <f t="shared" ca="1" si="232"/>
        <v>1.1674147575605032E-2</v>
      </c>
      <c r="X239" s="1191">
        <f t="shared" ca="1" si="232"/>
        <v>5.6378538082260121E-2</v>
      </c>
      <c r="Y239" s="1191">
        <f t="shared" ca="1" si="232"/>
        <v>-1.4116895088214343E-2</v>
      </c>
      <c r="Z239" s="1191">
        <f t="shared" ca="1" si="232"/>
        <v>-2.8799687637128701E-2</v>
      </c>
      <c r="AA239" s="1191">
        <f t="shared" ca="1" si="232"/>
        <v>-4.3050712811536718E-2</v>
      </c>
      <c r="AB239" s="1191">
        <f t="shared" ca="1" si="232"/>
        <v>-5.6891384972874603E-2</v>
      </c>
      <c r="AC239" s="1191">
        <f t="shared" ca="1" si="232"/>
        <v>-6.7919510187085419E-2</v>
      </c>
      <c r="AD239" s="685"/>
      <c r="AE239" s="685"/>
      <c r="AF239" s="685"/>
      <c r="AG239" s="685"/>
      <c r="AH239" s="685"/>
      <c r="AI239" s="685"/>
      <c r="AJ239" s="685"/>
      <c r="AK239" s="685"/>
      <c r="AL239" s="685"/>
      <c r="AM239" s="685"/>
      <c r="AN239" s="685"/>
      <c r="AO239" s="685"/>
      <c r="AP239" s="685"/>
      <c r="AQ239" s="685"/>
      <c r="AR239" s="685"/>
      <c r="AS239" s="685"/>
      <c r="AT239" s="685"/>
      <c r="AU239" s="685"/>
      <c r="AV239" s="685"/>
      <c r="AW239" s="685"/>
      <c r="AX239" s="685"/>
      <c r="AY239" s="685"/>
    </row>
    <row r="240" spans="1:51">
      <c r="A240" s="685"/>
      <c r="B240" s="1189"/>
      <c r="C240" s="1189"/>
      <c r="D240" s="1189"/>
      <c r="E240" s="1189"/>
      <c r="F240" s="1189"/>
      <c r="G240" s="1189"/>
      <c r="H240" s="1189"/>
      <c r="I240" s="1189"/>
      <c r="J240" s="1189"/>
      <c r="K240" s="1189"/>
      <c r="L240" s="1189"/>
      <c r="M240" s="1189"/>
      <c r="N240" s="1198"/>
      <c r="O240" s="1189"/>
      <c r="P240" s="1189"/>
      <c r="Q240" s="1189"/>
      <c r="R240" s="1189"/>
      <c r="S240" s="1189"/>
      <c r="T240" s="1189"/>
      <c r="U240" s="1189"/>
      <c r="V240" s="1189"/>
      <c r="W240" s="1189"/>
      <c r="X240" s="1189"/>
      <c r="Y240" s="1189"/>
      <c r="Z240" s="1189"/>
      <c r="AA240" s="1189"/>
      <c r="AB240" s="1189"/>
      <c r="AC240" s="1189"/>
      <c r="AD240" s="685"/>
      <c r="AE240" s="685"/>
      <c r="AF240" s="685"/>
      <c r="AG240" s="685"/>
      <c r="AH240" s="685"/>
      <c r="AI240" s="685"/>
      <c r="AJ240" s="685"/>
      <c r="AK240" s="685"/>
      <c r="AL240" s="685"/>
      <c r="AM240" s="685"/>
      <c r="AN240" s="685"/>
      <c r="AO240" s="685"/>
      <c r="AP240" s="685"/>
      <c r="AQ240" s="685"/>
      <c r="AR240" s="685"/>
      <c r="AS240" s="685"/>
      <c r="AT240" s="685"/>
      <c r="AU240" s="685"/>
      <c r="AV240" s="685"/>
      <c r="AW240" s="685"/>
      <c r="AX240" s="685"/>
      <c r="AY240" s="685"/>
    </row>
    <row r="241" spans="1:51">
      <c r="A241" s="685"/>
      <c r="B241" s="1189" t="s">
        <v>261</v>
      </c>
      <c r="C241" s="1260"/>
      <c r="D241" s="1260"/>
      <c r="E241" s="1260"/>
      <c r="F241" s="1260"/>
      <c r="G241" s="1260"/>
      <c r="H241" s="1260">
        <v>1053</v>
      </c>
      <c r="I241" s="1260">
        <v>1048</v>
      </c>
      <c r="J241" s="1260">
        <v>1147</v>
      </c>
      <c r="K241" s="1260">
        <v>1044</v>
      </c>
      <c r="L241" s="1260">
        <v>1130</v>
      </c>
      <c r="M241" s="1260">
        <v>1328</v>
      </c>
      <c r="N241" s="1260">
        <v>1028</v>
      </c>
      <c r="O241" s="1260">
        <v>1499.5</v>
      </c>
      <c r="P241" s="1260">
        <v>2269</v>
      </c>
      <c r="Q241" s="1260">
        <v>1567</v>
      </c>
      <c r="R241" s="1260">
        <v>2464.4</v>
      </c>
      <c r="S241" s="1260">
        <v>1131.8</v>
      </c>
      <c r="T241" s="1260">
        <v>560</v>
      </c>
      <c r="U241" s="1272">
        <v>2151.1</v>
      </c>
      <c r="V241" s="1272">
        <v>3307.4</v>
      </c>
      <c r="W241" s="1273">
        <f t="shared" ref="W241:AC241" ca="1" si="233">W243*AVERAGE(V257:W257)</f>
        <v>2334.3795335725699</v>
      </c>
      <c r="X241" s="1273">
        <f t="shared" ca="1" si="233"/>
        <v>2137.2084677245798</v>
      </c>
      <c r="Y241" s="1273">
        <f t="shared" ca="1" si="233"/>
        <v>2304.6804661407054</v>
      </c>
      <c r="Z241" s="1273">
        <f t="shared" ca="1" si="233"/>
        <v>2544.6602755368704</v>
      </c>
      <c r="AA241" s="1273">
        <f t="shared" ca="1" si="233"/>
        <v>2850.0272985253559</v>
      </c>
      <c r="AB241" s="1273">
        <f t="shared" ca="1" si="233"/>
        <v>3211.3312287260183</v>
      </c>
      <c r="AC241" s="1273">
        <f t="shared" ca="1" si="233"/>
        <v>3607.1495971394461</v>
      </c>
      <c r="AD241" s="685"/>
      <c r="AE241" s="685"/>
      <c r="AF241" s="685"/>
      <c r="AG241" s="685"/>
      <c r="AH241" s="685"/>
      <c r="AI241" s="685"/>
      <c r="AJ241" s="685"/>
      <c r="AK241" s="685"/>
      <c r="AL241" s="685"/>
      <c r="AM241" s="685"/>
      <c r="AN241" s="685"/>
      <c r="AO241" s="685"/>
      <c r="AP241" s="685"/>
      <c r="AQ241" s="685"/>
      <c r="AR241" s="685"/>
      <c r="AS241" s="685"/>
      <c r="AT241" s="685"/>
      <c r="AU241" s="685"/>
      <c r="AV241" s="685"/>
      <c r="AW241" s="685"/>
      <c r="AX241" s="685"/>
      <c r="AY241" s="685"/>
    </row>
    <row r="242" spans="1:51">
      <c r="A242" s="685"/>
      <c r="B242" s="1189" t="s">
        <v>262</v>
      </c>
      <c r="C242" s="1260"/>
      <c r="D242" s="1260"/>
      <c r="E242" s="1260"/>
      <c r="F242" s="1260"/>
      <c r="G242" s="1260"/>
      <c r="H242" s="1260">
        <v>0</v>
      </c>
      <c r="I242" s="1260">
        <v>0</v>
      </c>
      <c r="J242" s="1260">
        <v>0</v>
      </c>
      <c r="K242" s="1260">
        <v>0</v>
      </c>
      <c r="L242" s="1260">
        <v>0</v>
      </c>
      <c r="M242" s="1260">
        <v>0</v>
      </c>
      <c r="N242" s="1260">
        <v>0</v>
      </c>
      <c r="O242" s="1260">
        <v>0</v>
      </c>
      <c r="P242" s="1260">
        <v>0</v>
      </c>
      <c r="Q242" s="1260">
        <v>0</v>
      </c>
      <c r="R242" s="1260">
        <v>0</v>
      </c>
      <c r="S242" s="1260">
        <f>89+3697</f>
        <v>3786</v>
      </c>
      <c r="T242" s="1260">
        <v>0</v>
      </c>
      <c r="U242" s="1260">
        <v>0</v>
      </c>
      <c r="V242" s="1260">
        <v>0</v>
      </c>
      <c r="W242" s="1260">
        <v>0</v>
      </c>
      <c r="X242" s="1260">
        <v>0</v>
      </c>
      <c r="Y242" s="1260">
        <v>0</v>
      </c>
      <c r="Z242" s="1260">
        <v>0</v>
      </c>
      <c r="AA242" s="1260">
        <v>0</v>
      </c>
      <c r="AB242" s="1260">
        <v>0</v>
      </c>
      <c r="AC242" s="1260">
        <v>0</v>
      </c>
      <c r="AD242" s="685"/>
      <c r="AE242" s="685"/>
      <c r="AF242" s="685"/>
      <c r="AG242" s="685"/>
      <c r="AH242" s="685"/>
      <c r="AI242" s="685"/>
      <c r="AJ242" s="685"/>
      <c r="AK242" s="685"/>
      <c r="AL242" s="685"/>
      <c r="AM242" s="685"/>
      <c r="AN242" s="685"/>
      <c r="AO242" s="685"/>
      <c r="AP242" s="685"/>
      <c r="AQ242" s="685"/>
      <c r="AR242" s="685"/>
      <c r="AS242" s="685"/>
      <c r="AT242" s="685"/>
      <c r="AU242" s="685"/>
      <c r="AV242" s="685"/>
      <c r="AW242" s="685"/>
      <c r="AX242" s="685"/>
      <c r="AY242" s="685"/>
    </row>
    <row r="243" spans="1:51">
      <c r="A243" s="685"/>
      <c r="B243" s="1189" t="s">
        <v>263</v>
      </c>
      <c r="C243" s="1192"/>
      <c r="D243" s="1192" t="e">
        <f>D241/AVERAGE(D275:D275)</f>
        <v>#DIV/0!</v>
      </c>
      <c r="E243" s="1192" t="e">
        <f t="shared" ref="E243:V243" si="234">E241/AVERAGE(D275:E275)</f>
        <v>#DIV/0!</v>
      </c>
      <c r="F243" s="1192" t="e">
        <f t="shared" si="234"/>
        <v>#DIV/0!</v>
      </c>
      <c r="G243" s="1192" t="e">
        <f t="shared" si="234"/>
        <v>#DIV/0!</v>
      </c>
      <c r="H243" s="1192">
        <f t="shared" si="234"/>
        <v>2.4580348326645518E-2</v>
      </c>
      <c r="I243" s="1192">
        <f t="shared" si="234"/>
        <v>2.6842165250921736E-2</v>
      </c>
      <c r="J243" s="1192">
        <f t="shared" si="234"/>
        <v>3.8042486857597715E-2</v>
      </c>
      <c r="K243" s="1192">
        <f t="shared" si="234"/>
        <v>3.982073042814914E-2</v>
      </c>
      <c r="L243" s="1192">
        <f t="shared" si="234"/>
        <v>4.2191729674227574E-2</v>
      </c>
      <c r="M243" s="1192">
        <f t="shared" si="234"/>
        <v>3.9835259604107109E-2</v>
      </c>
      <c r="N243" s="1192">
        <f t="shared" si="234"/>
        <v>2.0311107686410725E-2</v>
      </c>
      <c r="O243" s="1192">
        <f t="shared" si="234"/>
        <v>2.4873249272422213E-2</v>
      </c>
      <c r="P243" s="1192">
        <f t="shared" si="234"/>
        <v>4.2055316920824239E-2</v>
      </c>
      <c r="Q243" s="1192">
        <f t="shared" si="234"/>
        <v>3.3122661650003174E-2</v>
      </c>
      <c r="R243" s="1192">
        <f t="shared" si="234"/>
        <v>5.8370025793279531E-2</v>
      </c>
      <c r="S243" s="1192">
        <f t="shared" si="234"/>
        <v>3.0757691461058282E-2</v>
      </c>
      <c r="T243" s="1192">
        <f t="shared" si="234"/>
        <v>1.6981069140242399E-2</v>
      </c>
      <c r="U243" s="1192">
        <f t="shared" si="234"/>
        <v>5.2863100518776449E-2</v>
      </c>
      <c r="V243" s="1192">
        <f t="shared" si="234"/>
        <v>7.9013537225878047E-2</v>
      </c>
      <c r="W243" s="1274">
        <v>7.4499999999999997E-2</v>
      </c>
      <c r="X243" s="1274">
        <f t="shared" ref="X243:AC243" si="235">X248-1%</f>
        <v>6.9001282920641616E-2</v>
      </c>
      <c r="Y243" s="1274">
        <f t="shared" si="235"/>
        <v>6.9001282920641616E-2</v>
      </c>
      <c r="Z243" s="1274">
        <f t="shared" si="235"/>
        <v>6.9001282920641616E-2</v>
      </c>
      <c r="AA243" s="1274">
        <f t="shared" si="235"/>
        <v>6.9001282920641616E-2</v>
      </c>
      <c r="AB243" s="1274">
        <f t="shared" si="235"/>
        <v>6.9001282920641616E-2</v>
      </c>
      <c r="AC243" s="1274">
        <f t="shared" si="235"/>
        <v>6.9001282920641616E-2</v>
      </c>
      <c r="AD243" s="685"/>
      <c r="AE243" s="685"/>
      <c r="AF243" s="685"/>
      <c r="AG243" s="685"/>
      <c r="AH243" s="685"/>
      <c r="AI243" s="685"/>
      <c r="AJ243" s="685"/>
      <c r="AK243" s="685"/>
      <c r="AL243" s="685"/>
      <c r="AM243" s="685"/>
      <c r="AN243" s="685"/>
      <c r="AO243" s="685"/>
      <c r="AP243" s="685"/>
      <c r="AQ243" s="685"/>
      <c r="AR243" s="685"/>
      <c r="AS243" s="685"/>
      <c r="AT243" s="685"/>
      <c r="AU243" s="685"/>
      <c r="AV243" s="685"/>
      <c r="AW243" s="685"/>
      <c r="AX243" s="685"/>
      <c r="AY243" s="685"/>
    </row>
    <row r="244" spans="1:51">
      <c r="A244" s="685"/>
      <c r="B244" s="1189" t="s">
        <v>264</v>
      </c>
      <c r="C244" s="1192"/>
      <c r="D244" s="1192" t="e">
        <f>D243-#REF!</f>
        <v>#DIV/0!</v>
      </c>
      <c r="E244" s="1192" t="e">
        <f t="shared" ref="E244:U244" si="236">E243-D243</f>
        <v>#DIV/0!</v>
      </c>
      <c r="F244" s="1192" t="e">
        <f t="shared" si="236"/>
        <v>#DIV/0!</v>
      </c>
      <c r="G244" s="1192" t="e">
        <f t="shared" si="236"/>
        <v>#DIV/0!</v>
      </c>
      <c r="H244" s="1192" t="e">
        <f t="shared" si="236"/>
        <v>#DIV/0!</v>
      </c>
      <c r="I244" s="1192">
        <f t="shared" si="236"/>
        <v>2.2618169242762179E-3</v>
      </c>
      <c r="J244" s="1192">
        <f t="shared" si="236"/>
        <v>1.1200321606675979E-2</v>
      </c>
      <c r="K244" s="1192">
        <f t="shared" si="236"/>
        <v>1.7782435705514243E-3</v>
      </c>
      <c r="L244" s="1192">
        <f t="shared" si="236"/>
        <v>2.370999246078434E-3</v>
      </c>
      <c r="M244" s="1192">
        <f t="shared" si="236"/>
        <v>-2.3564700701204644E-3</v>
      </c>
      <c r="N244" s="1192">
        <f t="shared" si="236"/>
        <v>-1.9524151917696384E-2</v>
      </c>
      <c r="O244" s="1192">
        <f t="shared" si="236"/>
        <v>4.5621415860114881E-3</v>
      </c>
      <c r="P244" s="1192">
        <f t="shared" si="236"/>
        <v>1.7182067648402025E-2</v>
      </c>
      <c r="Q244" s="1192">
        <f t="shared" si="236"/>
        <v>-8.9326552708210646E-3</v>
      </c>
      <c r="R244" s="1192">
        <f t="shared" si="236"/>
        <v>2.5247364143276357E-2</v>
      </c>
      <c r="S244" s="1192">
        <f t="shared" si="236"/>
        <v>-2.7612334332221249E-2</v>
      </c>
      <c r="T244" s="1192">
        <f t="shared" si="236"/>
        <v>-1.3776622320815883E-2</v>
      </c>
      <c r="U244" s="1192">
        <f t="shared" si="236"/>
        <v>3.5882031378534046E-2</v>
      </c>
      <c r="V244" s="1192">
        <f t="shared" ref="V244:AC244" si="237">V243-U243</f>
        <v>2.6150436707101599E-2</v>
      </c>
      <c r="W244" s="1192">
        <f t="shared" si="237"/>
        <v>-4.5135372258780504E-3</v>
      </c>
      <c r="X244" s="1192">
        <f t="shared" si="237"/>
        <v>-5.4987170793583812E-3</v>
      </c>
      <c r="Y244" s="1192">
        <f t="shared" si="237"/>
        <v>0</v>
      </c>
      <c r="Z244" s="1192">
        <f t="shared" si="237"/>
        <v>0</v>
      </c>
      <c r="AA244" s="1192">
        <f t="shared" si="237"/>
        <v>0</v>
      </c>
      <c r="AB244" s="1192">
        <f t="shared" si="237"/>
        <v>0</v>
      </c>
      <c r="AC244" s="1192">
        <f t="shared" si="237"/>
        <v>0</v>
      </c>
      <c r="AD244" s="685"/>
      <c r="AE244" s="685"/>
      <c r="AF244" s="685"/>
      <c r="AG244" s="685"/>
      <c r="AH244" s="685"/>
      <c r="AI244" s="685"/>
      <c r="AJ244" s="685"/>
      <c r="AK244" s="685"/>
      <c r="AL244" s="685"/>
      <c r="AM244" s="685"/>
      <c r="AN244" s="685"/>
      <c r="AO244" s="685"/>
      <c r="AP244" s="685"/>
      <c r="AQ244" s="685"/>
      <c r="AR244" s="685"/>
      <c r="AS244" s="685"/>
      <c r="AT244" s="685"/>
      <c r="AU244" s="685"/>
      <c r="AV244" s="685"/>
      <c r="AW244" s="685"/>
      <c r="AX244" s="685"/>
      <c r="AY244" s="685"/>
    </row>
    <row r="245" spans="1:51">
      <c r="A245" s="685"/>
      <c r="B245" s="1189"/>
      <c r="C245" s="1189"/>
      <c r="D245" s="1189"/>
      <c r="E245" s="1189"/>
      <c r="F245" s="1189"/>
      <c r="G245" s="1189"/>
      <c r="H245" s="1189"/>
      <c r="I245" s="1189"/>
      <c r="J245" s="1189"/>
      <c r="K245" s="1189"/>
      <c r="L245" s="1189"/>
      <c r="M245" s="1189"/>
      <c r="N245" s="1189"/>
      <c r="O245" s="1189"/>
      <c r="P245" s="1189"/>
      <c r="Q245" s="1189"/>
      <c r="R245" s="1189"/>
      <c r="S245" s="1189"/>
      <c r="T245" s="1189"/>
      <c r="U245" s="1189"/>
      <c r="V245" s="1189"/>
      <c r="W245" s="1189"/>
      <c r="X245" s="1189"/>
      <c r="Y245" s="1189"/>
      <c r="Z245" s="1189"/>
      <c r="AA245" s="1189"/>
      <c r="AB245" s="1189"/>
      <c r="AC245" s="1189"/>
      <c r="AD245" s="685"/>
      <c r="AE245" s="685"/>
      <c r="AF245" s="685"/>
      <c r="AG245" s="685"/>
      <c r="AH245" s="685"/>
      <c r="AI245" s="685"/>
      <c r="AJ245" s="685"/>
      <c r="AK245" s="685"/>
      <c r="AL245" s="685"/>
      <c r="AM245" s="685"/>
      <c r="AN245" s="685"/>
      <c r="AO245" s="685"/>
      <c r="AP245" s="685"/>
      <c r="AQ245" s="685"/>
      <c r="AR245" s="685"/>
      <c r="AS245" s="685"/>
      <c r="AT245" s="685"/>
      <c r="AU245" s="685"/>
      <c r="AV245" s="685"/>
      <c r="AW245" s="685"/>
      <c r="AX245" s="685"/>
      <c r="AY245" s="685"/>
    </row>
    <row r="246" spans="1:51">
      <c r="A246" s="685"/>
      <c r="B246" s="1189" t="s">
        <v>265</v>
      </c>
      <c r="C246" s="1260"/>
      <c r="D246" s="1260"/>
      <c r="E246" s="1260"/>
      <c r="F246" s="1260"/>
      <c r="G246" s="1260"/>
      <c r="H246" s="1260">
        <v>3136</v>
      </c>
      <c r="I246" s="1260">
        <v>3615</v>
      </c>
      <c r="J246" s="1260">
        <v>4313</v>
      </c>
      <c r="K246" s="1260">
        <v>4369</v>
      </c>
      <c r="L246" s="1260">
        <v>4803</v>
      </c>
      <c r="M246" s="1260">
        <v>5552</v>
      </c>
      <c r="N246" s="1260">
        <v>6239</v>
      </c>
      <c r="O246" s="1260">
        <v>8497.9</v>
      </c>
      <c r="P246" s="1260">
        <v>9246</v>
      </c>
      <c r="Q246" s="1260">
        <v>9707</v>
      </c>
      <c r="R246" s="1260">
        <v>11275.2</v>
      </c>
      <c r="S246" s="1260">
        <v>10502</v>
      </c>
      <c r="T246" s="1260">
        <v>9106</v>
      </c>
      <c r="U246" s="1260">
        <v>9455.6</v>
      </c>
      <c r="V246" s="1260">
        <v>7654.3</v>
      </c>
      <c r="W246" s="1197">
        <f t="shared" ref="W246:AC246" si="238">W248*AVERAGE(V256:W256)</f>
        <v>7012.6642942064391</v>
      </c>
      <c r="X246" s="1197">
        <f t="shared" si="238"/>
        <v>7079.2480838955034</v>
      </c>
      <c r="Y246" s="1197">
        <f t="shared" si="238"/>
        <v>7176.9538275283439</v>
      </c>
      <c r="Z246" s="1197">
        <f t="shared" si="238"/>
        <v>7276.613686033842</v>
      </c>
      <c r="AA246" s="1197">
        <f t="shared" si="238"/>
        <v>7378.2667417094508</v>
      </c>
      <c r="AB246" s="1197">
        <f t="shared" si="238"/>
        <v>7481.9528584985719</v>
      </c>
      <c r="AC246" s="1197">
        <f t="shared" si="238"/>
        <v>7587.7126976234749</v>
      </c>
      <c r="AD246" s="685"/>
      <c r="AE246" s="685"/>
      <c r="AF246" s="685"/>
      <c r="AG246" s="685"/>
      <c r="AH246" s="685"/>
      <c r="AI246" s="685"/>
      <c r="AJ246" s="685"/>
      <c r="AK246" s="685"/>
      <c r="AL246" s="685"/>
      <c r="AM246" s="685"/>
      <c r="AN246" s="685"/>
      <c r="AO246" s="685"/>
      <c r="AP246" s="685"/>
      <c r="AQ246" s="685"/>
      <c r="AR246" s="685"/>
      <c r="AS246" s="685"/>
      <c r="AT246" s="685"/>
      <c r="AU246" s="685"/>
      <c r="AV246" s="685"/>
      <c r="AW246" s="685"/>
      <c r="AX246" s="685"/>
      <c r="AY246" s="685"/>
    </row>
    <row r="247" spans="1:51">
      <c r="A247" s="685"/>
      <c r="B247" s="1189" t="s">
        <v>266</v>
      </c>
      <c r="C247" s="1260"/>
      <c r="D247" s="1260"/>
      <c r="E247" s="1260"/>
      <c r="F247" s="1260"/>
      <c r="G247" s="1260"/>
      <c r="H247" s="1260"/>
      <c r="I247" s="1260">
        <v>0</v>
      </c>
      <c r="J247" s="1260">
        <v>0</v>
      </c>
      <c r="K247" s="1260">
        <v>0</v>
      </c>
      <c r="L247" s="1260">
        <v>0</v>
      </c>
      <c r="M247" s="1260">
        <v>0</v>
      </c>
      <c r="N247" s="1260">
        <v>0</v>
      </c>
      <c r="O247" s="1260">
        <v>0</v>
      </c>
      <c r="P247" s="1260">
        <v>0</v>
      </c>
      <c r="Q247" s="1260">
        <v>0</v>
      </c>
      <c r="R247" s="1260">
        <v>0</v>
      </c>
      <c r="S247" s="1260">
        <v>0</v>
      </c>
      <c r="T247" s="1260">
        <f>2189+1183</f>
        <v>3372</v>
      </c>
      <c r="U247" s="1260">
        <f>110.7+1791</f>
        <v>1901.7</v>
      </c>
      <c r="V247" s="1260">
        <f>134.9+142.5</f>
        <v>277.39999999999998</v>
      </c>
      <c r="W247" s="1260">
        <v>0</v>
      </c>
      <c r="X247" s="1260">
        <v>0</v>
      </c>
      <c r="Y247" s="1260">
        <v>0</v>
      </c>
      <c r="Z247" s="1260">
        <v>0</v>
      </c>
      <c r="AA247" s="1260">
        <v>0</v>
      </c>
      <c r="AB247" s="1260">
        <v>0</v>
      </c>
      <c r="AC247" s="1260">
        <v>0</v>
      </c>
      <c r="AD247" s="685"/>
      <c r="AE247" s="685"/>
      <c r="AF247" s="685"/>
      <c r="AG247" s="685"/>
      <c r="AH247" s="685"/>
      <c r="AI247" s="685"/>
      <c r="AJ247" s="685"/>
      <c r="AK247" s="685"/>
      <c r="AL247" s="685"/>
      <c r="AM247" s="685"/>
      <c r="AN247" s="685"/>
      <c r="AO247" s="685"/>
      <c r="AP247" s="685"/>
      <c r="AQ247" s="685"/>
      <c r="AR247" s="685"/>
      <c r="AS247" s="685"/>
      <c r="AT247" s="685"/>
      <c r="AU247" s="685"/>
      <c r="AV247" s="685"/>
      <c r="AW247" s="685"/>
      <c r="AX247" s="685"/>
      <c r="AY247" s="685"/>
    </row>
    <row r="248" spans="1:51">
      <c r="A248" s="685"/>
      <c r="B248" s="1189" t="s">
        <v>267</v>
      </c>
      <c r="C248" s="1192"/>
      <c r="D248" s="1192" t="e">
        <f>D246/AVERAGE(D256:D256)</f>
        <v>#DIV/0!</v>
      </c>
      <c r="E248" s="1192" t="e">
        <f t="shared" ref="E248:V248" si="239">E246/AVERAGE(D256:E256)</f>
        <v>#DIV/0!</v>
      </c>
      <c r="F248" s="1192" t="e">
        <f t="shared" si="239"/>
        <v>#DIV/0!</v>
      </c>
      <c r="G248" s="1192" t="e">
        <f t="shared" si="239"/>
        <v>#DIV/0!</v>
      </c>
      <c r="H248" s="1192">
        <f t="shared" si="239"/>
        <v>0.14446287083103004</v>
      </c>
      <c r="I248" s="1192">
        <f t="shared" si="239"/>
        <v>7.9119291756492044E-2</v>
      </c>
      <c r="J248" s="1192">
        <f t="shared" si="239"/>
        <v>8.2315443927017326E-2</v>
      </c>
      <c r="K248" s="1192">
        <f t="shared" si="239"/>
        <v>7.9568012529822069E-2</v>
      </c>
      <c r="L248" s="1192">
        <f t="shared" si="239"/>
        <v>8.4139163338238385E-2</v>
      </c>
      <c r="M248" s="1192">
        <f t="shared" si="239"/>
        <v>7.8101151682508682E-2</v>
      </c>
      <c r="N248" s="1192">
        <f t="shared" si="239"/>
        <v>6.3271562682860286E-2</v>
      </c>
      <c r="O248" s="1192">
        <f t="shared" si="239"/>
        <v>6.6792109666735044E-2</v>
      </c>
      <c r="P248" s="1192">
        <f t="shared" si="239"/>
        <v>6.9627583547828859E-2</v>
      </c>
      <c r="Q248" s="1192">
        <f t="shared" si="239"/>
        <v>7.5479561927726396E-2</v>
      </c>
      <c r="R248" s="1192">
        <f t="shared" si="239"/>
        <v>8.6237635348619487E-2</v>
      </c>
      <c r="S248" s="1192">
        <f t="shared" si="239"/>
        <v>7.9720439502381099E-2</v>
      </c>
      <c r="T248" s="1192">
        <f t="shared" si="239"/>
        <v>6.81284175031526E-2</v>
      </c>
      <c r="U248" s="1192">
        <f t="shared" si="239"/>
        <v>7.8563137739735292E-2</v>
      </c>
      <c r="V248" s="1192">
        <f t="shared" si="239"/>
        <v>7.9001282920641611E-2</v>
      </c>
      <c r="W248" s="1192">
        <f t="shared" ref="W248:AC248" si="240">V248+W249</f>
        <v>7.9001282920641611E-2</v>
      </c>
      <c r="X248" s="1192">
        <f t="shared" si="240"/>
        <v>7.9001282920641611E-2</v>
      </c>
      <c r="Y248" s="1192">
        <f t="shared" si="240"/>
        <v>7.9001282920641611E-2</v>
      </c>
      <c r="Z248" s="1192">
        <f t="shared" si="240"/>
        <v>7.9001282920641611E-2</v>
      </c>
      <c r="AA248" s="1192">
        <f t="shared" si="240"/>
        <v>7.9001282920641611E-2</v>
      </c>
      <c r="AB248" s="1192">
        <f t="shared" si="240"/>
        <v>7.9001282920641611E-2</v>
      </c>
      <c r="AC248" s="1192">
        <f t="shared" si="240"/>
        <v>7.9001282920641611E-2</v>
      </c>
      <c r="AD248" s="685"/>
      <c r="AE248" s="685"/>
      <c r="AF248" s="685"/>
      <c r="AG248" s="685"/>
      <c r="AH248" s="685"/>
      <c r="AI248" s="685"/>
      <c r="AJ248" s="685"/>
      <c r="AK248" s="685"/>
      <c r="AL248" s="685"/>
      <c r="AM248" s="685"/>
      <c r="AN248" s="685"/>
      <c r="AO248" s="685"/>
      <c r="AP248" s="685"/>
      <c r="AQ248" s="685"/>
      <c r="AR248" s="685"/>
      <c r="AS248" s="685"/>
      <c r="AT248" s="685"/>
      <c r="AU248" s="685"/>
      <c r="AV248" s="685"/>
      <c r="AW248" s="685"/>
      <c r="AX248" s="685"/>
      <c r="AY248" s="685"/>
    </row>
    <row r="249" spans="1:51">
      <c r="A249" s="685"/>
      <c r="B249" s="1189" t="s">
        <v>264</v>
      </c>
      <c r="C249" s="1192"/>
      <c r="D249" s="1192" t="e">
        <f>D248-#REF!</f>
        <v>#DIV/0!</v>
      </c>
      <c r="E249" s="1192" t="e">
        <f t="shared" ref="E249:V249" si="241">E248-D248</f>
        <v>#DIV/0!</v>
      </c>
      <c r="F249" s="1192" t="e">
        <f t="shared" si="241"/>
        <v>#DIV/0!</v>
      </c>
      <c r="G249" s="1192" t="e">
        <f t="shared" si="241"/>
        <v>#DIV/0!</v>
      </c>
      <c r="H249" s="1192" t="e">
        <f t="shared" si="241"/>
        <v>#DIV/0!</v>
      </c>
      <c r="I249" s="1192">
        <f t="shared" si="241"/>
        <v>-6.5343579074538E-2</v>
      </c>
      <c r="J249" s="1192">
        <f t="shared" si="241"/>
        <v>3.1961521705252821E-3</v>
      </c>
      <c r="K249" s="1192">
        <f t="shared" si="241"/>
        <v>-2.7474313971952574E-3</v>
      </c>
      <c r="L249" s="1192">
        <f t="shared" si="241"/>
        <v>4.571150808416316E-3</v>
      </c>
      <c r="M249" s="1192">
        <f t="shared" si="241"/>
        <v>-6.0380116557297026E-3</v>
      </c>
      <c r="N249" s="1192">
        <f t="shared" si="241"/>
        <v>-1.4829588999648396E-2</v>
      </c>
      <c r="O249" s="1192">
        <f t="shared" si="241"/>
        <v>3.5205469838747588E-3</v>
      </c>
      <c r="P249" s="1192">
        <f t="shared" si="241"/>
        <v>2.835473881093814E-3</v>
      </c>
      <c r="Q249" s="1192">
        <f t="shared" si="241"/>
        <v>5.8519783798975378E-3</v>
      </c>
      <c r="R249" s="1192">
        <f t="shared" si="241"/>
        <v>1.0758073420893091E-2</v>
      </c>
      <c r="S249" s="1192">
        <f t="shared" si="241"/>
        <v>-6.5171958462383883E-3</v>
      </c>
      <c r="T249" s="1192">
        <f t="shared" si="241"/>
        <v>-1.15920219992285E-2</v>
      </c>
      <c r="U249" s="1192">
        <f t="shared" si="241"/>
        <v>1.0434720236582692E-2</v>
      </c>
      <c r="V249" s="1192">
        <f t="shared" si="241"/>
        <v>4.381451809063186E-4</v>
      </c>
      <c r="W249" s="1275">
        <v>0</v>
      </c>
      <c r="X249" s="1275">
        <v>0</v>
      </c>
      <c r="Y249" s="1275">
        <v>0</v>
      </c>
      <c r="Z249" s="1275">
        <v>0</v>
      </c>
      <c r="AA249" s="1275">
        <v>0</v>
      </c>
      <c r="AB249" s="1275">
        <v>0</v>
      </c>
      <c r="AC249" s="1275">
        <v>0</v>
      </c>
      <c r="AD249" s="685"/>
      <c r="AE249" s="685"/>
      <c r="AF249" s="685"/>
      <c r="AG249" s="685"/>
      <c r="AH249" s="685"/>
      <c r="AI249" s="685"/>
      <c r="AJ249" s="685"/>
      <c r="AK249" s="685"/>
      <c r="AL249" s="685"/>
      <c r="AM249" s="685"/>
      <c r="AN249" s="685"/>
      <c r="AO249" s="685"/>
      <c r="AP249" s="685"/>
      <c r="AQ249" s="685"/>
      <c r="AR249" s="685"/>
      <c r="AS249" s="685"/>
      <c r="AT249" s="685"/>
      <c r="AU249" s="685"/>
      <c r="AV249" s="685"/>
      <c r="AW249" s="685"/>
      <c r="AX249" s="685"/>
      <c r="AY249" s="685"/>
    </row>
    <row r="250" spans="1:51">
      <c r="A250" s="685"/>
      <c r="B250" s="1189"/>
      <c r="C250" s="1189"/>
      <c r="D250" s="1189"/>
      <c r="E250" s="1189"/>
      <c r="F250" s="1189"/>
      <c r="G250" s="1189"/>
      <c r="H250" s="1189"/>
      <c r="I250" s="1189"/>
      <c r="J250" s="1189"/>
      <c r="K250" s="1189"/>
      <c r="L250" s="1189"/>
      <c r="M250" s="1189"/>
      <c r="N250" s="1189"/>
      <c r="O250" s="1189"/>
      <c r="P250" s="1189"/>
      <c r="Q250" s="1189"/>
      <c r="R250" s="1189"/>
      <c r="S250" s="1189"/>
      <c r="T250" s="1189"/>
      <c r="U250" s="1189"/>
      <c r="V250" s="1189"/>
      <c r="W250" s="1189"/>
      <c r="X250" s="1189"/>
      <c r="Y250" s="1189"/>
      <c r="Z250" s="1189"/>
      <c r="AA250" s="1189"/>
      <c r="AB250" s="1189"/>
      <c r="AC250" s="1189"/>
      <c r="AD250" s="685"/>
      <c r="AE250" s="685"/>
      <c r="AF250" s="685"/>
      <c r="AG250" s="685"/>
      <c r="AH250" s="685"/>
      <c r="AI250" s="685"/>
      <c r="AJ250" s="685"/>
      <c r="AK250" s="685"/>
      <c r="AL250" s="685"/>
      <c r="AM250" s="685"/>
      <c r="AN250" s="685"/>
      <c r="AO250" s="685"/>
      <c r="AP250" s="685"/>
      <c r="AQ250" s="685"/>
      <c r="AR250" s="685"/>
      <c r="AS250" s="685"/>
      <c r="AT250" s="685"/>
      <c r="AU250" s="685"/>
      <c r="AV250" s="685"/>
      <c r="AW250" s="685"/>
      <c r="AX250" s="685"/>
      <c r="AY250" s="685"/>
    </row>
    <row r="251" spans="1:51">
      <c r="A251" s="685"/>
      <c r="B251" s="1189"/>
      <c r="C251" s="1189"/>
      <c r="D251" s="1189"/>
      <c r="E251" s="1189"/>
      <c r="F251" s="1189"/>
      <c r="G251" s="1189"/>
      <c r="H251" s="1189"/>
      <c r="I251" s="1189"/>
      <c r="J251" s="1189"/>
      <c r="K251" s="1189"/>
      <c r="L251" s="1189"/>
      <c r="M251" s="1189"/>
      <c r="N251" s="1189"/>
      <c r="O251" s="1189"/>
      <c r="P251" s="1189"/>
      <c r="Q251" s="1189"/>
      <c r="R251" s="1189"/>
      <c r="S251" s="1189"/>
      <c r="T251" s="1189"/>
      <c r="U251" s="1189"/>
      <c r="V251" s="1189"/>
      <c r="W251" s="1189"/>
      <c r="X251" s="1189"/>
      <c r="Y251" s="1189"/>
      <c r="Z251" s="1189"/>
      <c r="AA251" s="1189"/>
      <c r="AB251" s="1189"/>
      <c r="AC251" s="1189"/>
      <c r="AD251" s="685"/>
      <c r="AE251" s="685"/>
      <c r="AF251" s="685"/>
      <c r="AG251" s="685"/>
      <c r="AH251" s="685"/>
      <c r="AI251" s="685"/>
      <c r="AJ251" s="685"/>
      <c r="AK251" s="685"/>
      <c r="AL251" s="685"/>
      <c r="AM251" s="685"/>
      <c r="AN251" s="685"/>
      <c r="AO251" s="685"/>
      <c r="AP251" s="685"/>
      <c r="AQ251" s="685"/>
      <c r="AR251" s="685"/>
      <c r="AS251" s="685"/>
      <c r="AT251" s="685"/>
      <c r="AU251" s="685"/>
      <c r="AV251" s="685"/>
      <c r="AW251" s="685"/>
      <c r="AX251" s="685"/>
      <c r="AY251" s="685"/>
    </row>
    <row r="252" spans="1:51">
      <c r="A252" s="685"/>
      <c r="B252" s="1189" t="s">
        <v>268</v>
      </c>
      <c r="C252" s="1192"/>
      <c r="D252" s="1192" t="e">
        <f t="shared" ref="D252:Q252" si="242">D238/D254</f>
        <v>#DIV/0!</v>
      </c>
      <c r="E252" s="1192" t="e">
        <f t="shared" si="242"/>
        <v>#DIV/0!</v>
      </c>
      <c r="F252" s="1192" t="e">
        <f t="shared" si="242"/>
        <v>#DIV/0!</v>
      </c>
      <c r="G252" s="1192" t="e">
        <f t="shared" si="242"/>
        <v>#DIV/0!</v>
      </c>
      <c r="H252" s="1192">
        <f t="shared" si="242"/>
        <v>7.2213555208874842</v>
      </c>
      <c r="I252" s="1192">
        <f t="shared" si="242"/>
        <v>0.38616311517950486</v>
      </c>
      <c r="J252" s="1192">
        <f t="shared" si="242"/>
        <v>0.14232091883751771</v>
      </c>
      <c r="K252" s="1192">
        <f t="shared" si="242"/>
        <v>0.11588798076085252</v>
      </c>
      <c r="L252" s="1192">
        <f t="shared" si="242"/>
        <v>0.12121512136362886</v>
      </c>
      <c r="M252" s="1192">
        <f t="shared" si="242"/>
        <v>0.11189403973509934</v>
      </c>
      <c r="N252" s="1192">
        <f t="shared" si="242"/>
        <v>0.10857607200900113</v>
      </c>
      <c r="O252" s="1192">
        <f t="shared" si="242"/>
        <v>0.10454196788483414</v>
      </c>
      <c r="P252" s="1192">
        <f t="shared" si="242"/>
        <v>8.8496304832162073E-2</v>
      </c>
      <c r="Q252" s="1192">
        <f t="shared" si="242"/>
        <v>0.10012872814988802</v>
      </c>
      <c r="R252" s="1192">
        <f t="shared" ref="R252:X252" si="243">R238/R254</f>
        <v>9.9528496905972763E-2</v>
      </c>
      <c r="S252" s="1192">
        <f t="shared" si="243"/>
        <v>5.8819409077814425E-2</v>
      </c>
      <c r="T252" s="1192">
        <f t="shared" si="243"/>
        <v>0.11837334484157708</v>
      </c>
      <c r="U252" s="1192">
        <f t="shared" si="243"/>
        <v>0.11556170353782351</v>
      </c>
      <c r="V252" s="1192">
        <f t="shared" si="243"/>
        <v>8.4032880456263115E-2</v>
      </c>
      <c r="W252" s="1192">
        <f t="shared" ca="1" si="243"/>
        <v>8.1457087060509761E-2</v>
      </c>
      <c r="X252" s="1192">
        <f t="shared" ca="1" si="243"/>
        <v>8.4283627363075597E-2</v>
      </c>
      <c r="Y252" s="1192">
        <f ca="1">Y238/Y254</f>
        <v>8.4815584698674451E-2</v>
      </c>
      <c r="Z252" s="1192">
        <f ca="1">Z238/Z254</f>
        <v>8.5678642459942722E-2</v>
      </c>
      <c r="AA252" s="1192">
        <f ca="1">AA238/AA254</f>
        <v>8.6930587208628743E-2</v>
      </c>
      <c r="AB252" s="1192">
        <f ca="1">AB238/AB254</f>
        <v>8.8663622909223E-2</v>
      </c>
      <c r="AC252" s="1192">
        <f ca="1">AC238/AC254</f>
        <v>9.0945056845302991E-2</v>
      </c>
      <c r="AD252" s="685"/>
      <c r="AE252" s="685"/>
      <c r="AF252" s="685"/>
      <c r="AG252" s="685"/>
      <c r="AH252" s="685"/>
      <c r="AI252" s="685"/>
      <c r="AJ252" s="685"/>
      <c r="AK252" s="685"/>
      <c r="AL252" s="685"/>
      <c r="AM252" s="685"/>
      <c r="AN252" s="685"/>
      <c r="AO252" s="685"/>
      <c r="AP252" s="685"/>
      <c r="AQ252" s="685"/>
      <c r="AR252" s="685"/>
      <c r="AS252" s="685"/>
      <c r="AT252" s="685"/>
      <c r="AU252" s="685"/>
      <c r="AV252" s="685"/>
      <c r="AW252" s="685"/>
      <c r="AX252" s="685"/>
      <c r="AY252" s="685"/>
    </row>
    <row r="253" spans="1:51">
      <c r="A253" s="685"/>
      <c r="B253" s="1189" t="s">
        <v>264</v>
      </c>
      <c r="C253" s="1192"/>
      <c r="D253" s="1192" t="e">
        <f>D252-#REF!</f>
        <v>#DIV/0!</v>
      </c>
      <c r="E253" s="1192" t="e">
        <f t="shared" ref="E253:AC253" si="244">E252-D252</f>
        <v>#DIV/0!</v>
      </c>
      <c r="F253" s="1192" t="e">
        <f t="shared" si="244"/>
        <v>#DIV/0!</v>
      </c>
      <c r="G253" s="1192" t="e">
        <f t="shared" si="244"/>
        <v>#DIV/0!</v>
      </c>
      <c r="H253" s="1192" t="e">
        <f t="shared" si="244"/>
        <v>#DIV/0!</v>
      </c>
      <c r="I253" s="1192">
        <f t="shared" si="244"/>
        <v>-6.8351924057079794</v>
      </c>
      <c r="J253" s="1192">
        <f t="shared" si="244"/>
        <v>-0.24384219634198714</v>
      </c>
      <c r="K253" s="1192">
        <f t="shared" si="244"/>
        <v>-2.6432938076665191E-2</v>
      </c>
      <c r="L253" s="1192">
        <f t="shared" si="244"/>
        <v>5.3271406027763368E-3</v>
      </c>
      <c r="M253" s="1192">
        <f t="shared" si="244"/>
        <v>-9.3210816285295151E-3</v>
      </c>
      <c r="N253" s="1192">
        <f t="shared" si="244"/>
        <v>-3.3179677260982143E-3</v>
      </c>
      <c r="O253" s="1192">
        <f t="shared" si="244"/>
        <v>-4.0341041241669928E-3</v>
      </c>
      <c r="P253" s="1192">
        <f t="shared" si="244"/>
        <v>-1.6045663052672063E-2</v>
      </c>
      <c r="Q253" s="1192">
        <f t="shared" si="244"/>
        <v>1.1632423317725946E-2</v>
      </c>
      <c r="R253" s="1192">
        <f t="shared" si="244"/>
        <v>-6.0023124391525573E-4</v>
      </c>
      <c r="S253" s="1192">
        <f t="shared" si="244"/>
        <v>-4.0709087828158338E-2</v>
      </c>
      <c r="T253" s="1192">
        <f t="shared" si="244"/>
        <v>5.9553935763762653E-2</v>
      </c>
      <c r="U253" s="1192">
        <f t="shared" si="244"/>
        <v>-2.8116413037535676E-3</v>
      </c>
      <c r="V253" s="1192">
        <f t="shared" si="244"/>
        <v>-3.1528823081560395E-2</v>
      </c>
      <c r="W253" s="1192">
        <f t="shared" ca="1" si="244"/>
        <v>-2.5757933957533535E-3</v>
      </c>
      <c r="X253" s="1192">
        <f t="shared" ca="1" si="244"/>
        <v>2.8265403025658359E-3</v>
      </c>
      <c r="Y253" s="1192">
        <f t="shared" ca="1" si="244"/>
        <v>5.3195733559885383E-4</v>
      </c>
      <c r="Z253" s="1192">
        <f t="shared" ca="1" si="244"/>
        <v>8.6305776126827105E-4</v>
      </c>
      <c r="AA253" s="1192">
        <f t="shared" ca="1" si="244"/>
        <v>1.2519447486860208E-3</v>
      </c>
      <c r="AB253" s="1192">
        <f t="shared" ca="1" si="244"/>
        <v>1.733035700594257E-3</v>
      </c>
      <c r="AC253" s="1192">
        <f t="shared" ca="1" si="244"/>
        <v>2.2814339360799907E-3</v>
      </c>
      <c r="AD253" s="685"/>
      <c r="AE253" s="685"/>
      <c r="AF253" s="685"/>
      <c r="AG253" s="685"/>
      <c r="AH253" s="685"/>
      <c r="AI253" s="685"/>
      <c r="AJ253" s="685"/>
      <c r="AK253" s="685"/>
      <c r="AL253" s="685"/>
      <c r="AM253" s="685"/>
      <c r="AN253" s="685"/>
      <c r="AO253" s="685"/>
      <c r="AP253" s="685"/>
      <c r="AQ253" s="685"/>
      <c r="AR253" s="685"/>
      <c r="AS253" s="685"/>
      <c r="AT253" s="685"/>
      <c r="AU253" s="685"/>
      <c r="AV253" s="685"/>
      <c r="AW253" s="685"/>
      <c r="AX253" s="685"/>
      <c r="AY253" s="685"/>
    </row>
    <row r="254" spans="1:51">
      <c r="A254" s="685"/>
      <c r="B254" s="1189" t="s">
        <v>269</v>
      </c>
      <c r="C254" s="1197"/>
      <c r="D254" s="1197">
        <f>AVERAGE(D258:D258)</f>
        <v>0</v>
      </c>
      <c r="E254" s="1197">
        <f t="shared" ref="E254:AC254" si="245">AVERAGE(D258:E258)</f>
        <v>0</v>
      </c>
      <c r="F254" s="1197">
        <f t="shared" si="245"/>
        <v>0</v>
      </c>
      <c r="G254" s="1197">
        <f t="shared" si="245"/>
        <v>0</v>
      </c>
      <c r="H254" s="1197">
        <f t="shared" si="245"/>
        <v>288.45000000000073</v>
      </c>
      <c r="I254" s="1197">
        <f t="shared" si="245"/>
        <v>6647.4500000000007</v>
      </c>
      <c r="J254" s="1197">
        <f t="shared" si="245"/>
        <v>22245.5</v>
      </c>
      <c r="K254" s="1197">
        <f t="shared" si="245"/>
        <v>28691.5</v>
      </c>
      <c r="L254" s="1197">
        <f t="shared" si="245"/>
        <v>30301.5</v>
      </c>
      <c r="M254" s="1197">
        <f t="shared" si="245"/>
        <v>37750</v>
      </c>
      <c r="N254" s="1197">
        <f t="shared" si="245"/>
        <v>47994</v>
      </c>
      <c r="O254" s="1197">
        <f t="shared" si="245"/>
        <v>66943.45</v>
      </c>
      <c r="P254" s="1197">
        <f t="shared" si="245"/>
        <v>78839.45</v>
      </c>
      <c r="Q254" s="1197">
        <f t="shared" si="245"/>
        <v>81295.350000000006</v>
      </c>
      <c r="R254" s="1197">
        <f t="shared" si="245"/>
        <v>88525.4</v>
      </c>
      <c r="S254" s="1197">
        <f t="shared" si="245"/>
        <v>94938.05</v>
      </c>
      <c r="T254" s="1197">
        <f t="shared" si="245"/>
        <v>100681.45</v>
      </c>
      <c r="U254" s="1197">
        <f t="shared" si="245"/>
        <v>79664.799999999988</v>
      </c>
      <c r="V254" s="1197">
        <f t="shared" si="245"/>
        <v>55029.649999999994</v>
      </c>
      <c r="W254" s="1197">
        <f t="shared" ca="1" si="245"/>
        <v>57432.507464435133</v>
      </c>
      <c r="X254" s="1197">
        <f t="shared" ca="1" si="245"/>
        <v>58635.820156169684</v>
      </c>
      <c r="Y254" s="1197">
        <f t="shared" ca="1" si="245"/>
        <v>57445.496351848953</v>
      </c>
      <c r="Z254" s="1197">
        <f t="shared" ca="1" si="245"/>
        <v>55229.089474769615</v>
      </c>
      <c r="AA254" s="1197">
        <f t="shared" ca="1" si="245"/>
        <v>52090.289374401247</v>
      </c>
      <c r="AB254" s="1197">
        <f t="shared" ca="1" si="245"/>
        <v>48166.559064983943</v>
      </c>
      <c r="AC254" s="1197">
        <f t="shared" ca="1" si="245"/>
        <v>43768.878029896041</v>
      </c>
      <c r="AD254" s="685"/>
      <c r="AE254" s="685"/>
      <c r="AF254" s="685"/>
      <c r="AG254" s="685"/>
      <c r="AH254" s="685"/>
      <c r="AI254" s="685"/>
      <c r="AJ254" s="685"/>
      <c r="AK254" s="685"/>
      <c r="AL254" s="685"/>
      <c r="AM254" s="685"/>
      <c r="AN254" s="685"/>
      <c r="AO254" s="685"/>
      <c r="AP254" s="685"/>
      <c r="AQ254" s="685"/>
      <c r="AR254" s="685"/>
      <c r="AS254" s="685"/>
      <c r="AT254" s="685"/>
      <c r="AU254" s="685"/>
      <c r="AV254" s="685"/>
      <c r="AW254" s="685"/>
      <c r="AX254" s="685"/>
      <c r="AY254" s="685"/>
    </row>
    <row r="255" spans="1:51">
      <c r="A255" s="685"/>
      <c r="B255" s="1189"/>
      <c r="C255" s="1189"/>
      <c r="D255" s="1189"/>
      <c r="E255" s="1189"/>
      <c r="F255" s="1189"/>
      <c r="G255" s="1189"/>
      <c r="H255" s="1189"/>
      <c r="I255" s="1189"/>
      <c r="J255" s="1189"/>
      <c r="K255" s="1189"/>
      <c r="L255" s="1198"/>
      <c r="M255" s="1198"/>
      <c r="N255" s="1189"/>
      <c r="O255" s="1189"/>
      <c r="P255" s="1189"/>
      <c r="Q255" s="1189"/>
      <c r="R255" s="1189"/>
      <c r="S255" s="1189"/>
      <c r="T255" s="1189"/>
      <c r="U255" s="1189"/>
      <c r="V255" s="1189"/>
      <c r="W255" s="1189"/>
      <c r="X255" s="1189"/>
      <c r="Y255" s="1189"/>
      <c r="Z255" s="1189"/>
      <c r="AA255" s="1189"/>
      <c r="AB255" s="1189"/>
      <c r="AC255" s="1189"/>
      <c r="AD255" s="685"/>
      <c r="AE255" s="685"/>
      <c r="AF255" s="685"/>
      <c r="AG255" s="685"/>
      <c r="AH255" s="685"/>
      <c r="AI255" s="685"/>
      <c r="AJ255" s="685"/>
      <c r="AK255" s="685"/>
      <c r="AL255" s="685"/>
      <c r="AM255" s="685"/>
      <c r="AN255" s="685"/>
      <c r="AO255" s="685"/>
      <c r="AP255" s="685"/>
      <c r="AQ255" s="685"/>
      <c r="AR255" s="685"/>
      <c r="AS255" s="685"/>
      <c r="AT255" s="685"/>
      <c r="AU255" s="685"/>
      <c r="AV255" s="685"/>
      <c r="AW255" s="685"/>
      <c r="AX255" s="685"/>
      <c r="AY255" s="685"/>
    </row>
    <row r="256" spans="1:51">
      <c r="A256" s="685"/>
      <c r="B256" s="1189" t="s">
        <v>270</v>
      </c>
      <c r="C256" s="1259"/>
      <c r="D256" s="1197">
        <f>D262</f>
        <v>0</v>
      </c>
      <c r="E256" s="1197">
        <f>E262</f>
        <v>0</v>
      </c>
      <c r="F256" s="1197">
        <f>F262</f>
        <v>0</v>
      </c>
      <c r="G256" s="1197">
        <f>G262</f>
        <v>0</v>
      </c>
      <c r="H256" s="1197">
        <f t="shared" ref="H256:S256" si="246">H262+H261</f>
        <v>43416</v>
      </c>
      <c r="I256" s="1197">
        <f t="shared" si="246"/>
        <v>47965</v>
      </c>
      <c r="J256" s="1197">
        <f t="shared" si="246"/>
        <v>56827</v>
      </c>
      <c r="K256" s="1197">
        <f t="shared" si="246"/>
        <v>52991</v>
      </c>
      <c r="L256" s="1197">
        <f t="shared" si="246"/>
        <v>61177</v>
      </c>
      <c r="M256" s="1197">
        <f t="shared" si="246"/>
        <v>80997.600000000006</v>
      </c>
      <c r="N256" s="1197">
        <f>N262+N261</f>
        <v>116215.8</v>
      </c>
      <c r="O256" s="1197">
        <f t="shared" si="246"/>
        <v>138242.4</v>
      </c>
      <c r="P256" s="1197">
        <f>P262+P261</f>
        <v>127342</v>
      </c>
      <c r="Q256" s="1197">
        <f t="shared" si="246"/>
        <v>129866.7</v>
      </c>
      <c r="R256" s="1197">
        <f t="shared" si="246"/>
        <v>131624.70000000001</v>
      </c>
      <c r="S256" s="1197">
        <f t="shared" si="246"/>
        <v>131846</v>
      </c>
      <c r="T256" s="1197">
        <f t="shared" ref="T256:AC256" si="247">T262+T261</f>
        <v>135472.70000000001</v>
      </c>
      <c r="U256" s="1197">
        <f t="shared" si="247"/>
        <v>105240.7</v>
      </c>
      <c r="V256" s="1197">
        <f t="shared" si="247"/>
        <v>88535.9</v>
      </c>
      <c r="W256" s="1197">
        <f t="shared" si="247"/>
        <v>88997.021870415774</v>
      </c>
      <c r="X256" s="1197">
        <f t="shared" si="247"/>
        <v>90221.538187824073</v>
      </c>
      <c r="Y256" s="1197">
        <f t="shared" si="247"/>
        <v>91470.544831580555</v>
      </c>
      <c r="Z256" s="1197">
        <f t="shared" si="247"/>
        <v>92744.531608212157</v>
      </c>
      <c r="AA256" s="1197">
        <f t="shared" si="247"/>
        <v>94043.998120376404</v>
      </c>
      <c r="AB256" s="1197">
        <f t="shared" si="247"/>
        <v>95369.45396278394</v>
      </c>
      <c r="AC256" s="1197">
        <f t="shared" si="247"/>
        <v>96721.418922039622</v>
      </c>
      <c r="AD256" s="685" t="s">
        <v>7715</v>
      </c>
      <c r="AE256" s="685"/>
      <c r="AF256" s="685"/>
      <c r="AG256" s="685"/>
      <c r="AH256" s="685"/>
      <c r="AI256" s="685"/>
      <c r="AJ256" s="685"/>
      <c r="AK256" s="685"/>
      <c r="AL256" s="685"/>
      <c r="AM256" s="685"/>
      <c r="AN256" s="685"/>
      <c r="AO256" s="685"/>
      <c r="AP256" s="685"/>
      <c r="AQ256" s="685"/>
      <c r="AR256" s="685"/>
      <c r="AS256" s="685"/>
      <c r="AT256" s="685"/>
      <c r="AU256" s="685"/>
      <c r="AV256" s="685"/>
      <c r="AW256" s="685"/>
      <c r="AX256" s="685"/>
      <c r="AY256" s="685"/>
    </row>
    <row r="257" spans="1:51">
      <c r="A257" s="685"/>
      <c r="B257" s="1189" t="s">
        <v>1079</v>
      </c>
      <c r="C257" s="1276"/>
      <c r="D257" s="1276">
        <f t="shared" ref="D257:K257" si="248">D275</f>
        <v>0</v>
      </c>
      <c r="E257" s="1276">
        <f t="shared" si="248"/>
        <v>0</v>
      </c>
      <c r="F257" s="1276">
        <f t="shared" si="248"/>
        <v>0</v>
      </c>
      <c r="G257" s="1276">
        <f t="shared" si="248"/>
        <v>0</v>
      </c>
      <c r="H257" s="1276">
        <f t="shared" si="248"/>
        <v>42839.1</v>
      </c>
      <c r="I257" s="1276">
        <f t="shared" si="248"/>
        <v>35247</v>
      </c>
      <c r="J257" s="1276">
        <f t="shared" si="248"/>
        <v>25054</v>
      </c>
      <c r="K257" s="1276">
        <f t="shared" si="248"/>
        <v>27381</v>
      </c>
      <c r="L257" s="1276">
        <f t="shared" ref="L257:V257" si="249">L275</f>
        <v>26184</v>
      </c>
      <c r="M257" s="1276">
        <f t="shared" si="249"/>
        <v>40490.6</v>
      </c>
      <c r="N257" s="1276">
        <f t="shared" si="249"/>
        <v>60734.8</v>
      </c>
      <c r="O257" s="1276">
        <f t="shared" si="249"/>
        <v>59836.499999999993</v>
      </c>
      <c r="P257" s="1276">
        <f t="shared" si="249"/>
        <v>48069</v>
      </c>
      <c r="Q257" s="1276">
        <f t="shared" si="249"/>
        <v>46549</v>
      </c>
      <c r="R257" s="1276">
        <f t="shared" si="249"/>
        <v>37891.600000000006</v>
      </c>
      <c r="S257" s="1276">
        <f t="shared" si="249"/>
        <v>35703</v>
      </c>
      <c r="T257" s="1276">
        <f t="shared" si="249"/>
        <v>30252.800000000017</v>
      </c>
      <c r="U257" s="1276">
        <f t="shared" si="249"/>
        <v>51131</v>
      </c>
      <c r="V257" s="1276">
        <f t="shared" si="249"/>
        <v>32586.3</v>
      </c>
      <c r="W257" s="1276">
        <f t="shared" ref="W257:AC257" ca="1" si="250">W256-W258</f>
        <v>30081.606941545499</v>
      </c>
      <c r="X257" s="1276">
        <f t="shared" ca="1" si="250"/>
        <v>31865.31280435498</v>
      </c>
      <c r="Y257" s="1276">
        <f t="shared" ca="1" si="250"/>
        <v>34935.777511351735</v>
      </c>
      <c r="Z257" s="1276">
        <f t="shared" ca="1" si="250"/>
        <v>38821.119978901741</v>
      </c>
      <c r="AA257" s="1276">
        <f t="shared" ca="1" si="250"/>
        <v>43786.831000884325</v>
      </c>
      <c r="AB257" s="1276">
        <f t="shared" ca="1" si="250"/>
        <v>49293.502952308132</v>
      </c>
      <c r="AC257" s="1276">
        <f t="shared" ca="1" si="250"/>
        <v>55259.613872723348</v>
      </c>
      <c r="AD257" s="1282"/>
      <c r="AE257" s="685"/>
      <c r="AF257" s="685"/>
      <c r="AG257" s="685"/>
      <c r="AH257" s="685"/>
      <c r="AI257" s="685"/>
      <c r="AJ257" s="685"/>
      <c r="AK257" s="685"/>
      <c r="AL257" s="685"/>
      <c r="AM257" s="685"/>
      <c r="AN257" s="685"/>
      <c r="AO257" s="685"/>
      <c r="AP257" s="685"/>
      <c r="AQ257" s="685"/>
      <c r="AR257" s="685"/>
      <c r="AS257" s="685"/>
      <c r="AT257" s="685"/>
      <c r="AU257" s="685"/>
      <c r="AV257" s="685"/>
      <c r="AW257" s="685"/>
      <c r="AX257" s="685"/>
      <c r="AY257" s="685"/>
    </row>
    <row r="258" spans="1:51">
      <c r="A258" s="685"/>
      <c r="B258" s="1187" t="s">
        <v>224</v>
      </c>
      <c r="C258" s="1188"/>
      <c r="D258" s="1188">
        <f t="shared" ref="D258:K258" si="251">D256-D257</f>
        <v>0</v>
      </c>
      <c r="E258" s="1188">
        <f t="shared" si="251"/>
        <v>0</v>
      </c>
      <c r="F258" s="1188">
        <f t="shared" si="251"/>
        <v>0</v>
      </c>
      <c r="G258" s="1188">
        <f t="shared" si="251"/>
        <v>0</v>
      </c>
      <c r="H258" s="1188">
        <f t="shared" si="251"/>
        <v>576.90000000000146</v>
      </c>
      <c r="I258" s="1188">
        <f t="shared" si="251"/>
        <v>12718</v>
      </c>
      <c r="J258" s="1188">
        <f t="shared" si="251"/>
        <v>31773</v>
      </c>
      <c r="K258" s="1188">
        <f t="shared" si="251"/>
        <v>25610</v>
      </c>
      <c r="L258" s="1188">
        <f t="shared" ref="L258:V258" si="252">L256-L257</f>
        <v>34993</v>
      </c>
      <c r="M258" s="1188">
        <f t="shared" si="252"/>
        <v>40507.000000000007</v>
      </c>
      <c r="N258" s="1188">
        <f t="shared" si="252"/>
        <v>55481</v>
      </c>
      <c r="O258" s="1188">
        <f t="shared" si="252"/>
        <v>78405.899999999994</v>
      </c>
      <c r="P258" s="1188">
        <f t="shared" si="252"/>
        <v>79273</v>
      </c>
      <c r="Q258" s="1188">
        <f t="shared" si="252"/>
        <v>83317.7</v>
      </c>
      <c r="R258" s="1188">
        <f t="shared" si="252"/>
        <v>93733.1</v>
      </c>
      <c r="S258" s="1188">
        <f t="shared" si="252"/>
        <v>96143</v>
      </c>
      <c r="T258" s="1188">
        <f t="shared" si="252"/>
        <v>105219.9</v>
      </c>
      <c r="U258" s="1188">
        <f t="shared" si="252"/>
        <v>54109.7</v>
      </c>
      <c r="V258" s="1188">
        <f t="shared" si="252"/>
        <v>55949.599999999991</v>
      </c>
      <c r="W258" s="1188">
        <f t="shared" ref="W258:AC258" ca="1" si="253">W176</f>
        <v>58915.414928870276</v>
      </c>
      <c r="X258" s="1188">
        <f t="shared" ca="1" si="253"/>
        <v>58356.225383469093</v>
      </c>
      <c r="Y258" s="1188">
        <f t="shared" ca="1" si="253"/>
        <v>56534.767320228821</v>
      </c>
      <c r="Z258" s="1188">
        <f t="shared" ca="1" si="253"/>
        <v>53923.411629310416</v>
      </c>
      <c r="AA258" s="1188">
        <f t="shared" ca="1" si="253"/>
        <v>50257.167119492078</v>
      </c>
      <c r="AB258" s="1188">
        <f t="shared" ca="1" si="253"/>
        <v>46075.951010475808</v>
      </c>
      <c r="AC258" s="1188">
        <f t="shared" ca="1" si="253"/>
        <v>41461.805049316274</v>
      </c>
      <c r="AD258" s="685"/>
      <c r="AE258" s="685"/>
      <c r="AF258" s="685"/>
      <c r="AG258" s="685"/>
      <c r="AH258" s="685"/>
      <c r="AI258" s="685"/>
      <c r="AJ258" s="685"/>
      <c r="AK258" s="685"/>
      <c r="AL258" s="685"/>
      <c r="AM258" s="685"/>
      <c r="AN258" s="685"/>
      <c r="AO258" s="685"/>
      <c r="AP258" s="685"/>
      <c r="AQ258" s="685"/>
      <c r="AR258" s="685"/>
      <c r="AS258" s="685"/>
      <c r="AT258" s="685"/>
      <c r="AU258" s="685"/>
      <c r="AV258" s="685"/>
      <c r="AW258" s="685"/>
      <c r="AX258" s="685"/>
      <c r="AY258" s="685"/>
    </row>
    <row r="259" spans="1:51">
      <c r="A259" s="685"/>
      <c r="B259" s="1189" t="s">
        <v>271</v>
      </c>
      <c r="C259" s="1191"/>
      <c r="D259" s="1191">
        <v>0</v>
      </c>
      <c r="E259" s="1191">
        <v>0</v>
      </c>
      <c r="F259" s="1191">
        <v>0</v>
      </c>
      <c r="G259" s="1191">
        <v>0</v>
      </c>
      <c r="H259" s="1191">
        <v>0</v>
      </c>
      <c r="I259" s="1191">
        <v>6.2926463499544747</v>
      </c>
      <c r="J259" s="1191">
        <f t="shared" ref="J259:AC259" si="254">J257/J5</f>
        <v>0.40034195409186418</v>
      </c>
      <c r="K259" s="1191">
        <f t="shared" si="254"/>
        <v>0.39516296629836173</v>
      </c>
      <c r="L259" s="1191">
        <f t="shared" si="254"/>
        <v>0.3548275189176297</v>
      </c>
      <c r="M259" s="1191">
        <f t="shared" si="254"/>
        <v>0.50538453089427648</v>
      </c>
      <c r="N259" s="1191">
        <f t="shared" si="254"/>
        <v>0.68976059601144779</v>
      </c>
      <c r="O259" s="1191">
        <f t="shared" si="254"/>
        <v>0.62143644962892342</v>
      </c>
      <c r="P259" s="1191">
        <f t="shared" si="254"/>
        <v>0.50988066825775658</v>
      </c>
      <c r="Q259" s="1191">
        <f t="shared" si="254"/>
        <v>0.4594709308064357</v>
      </c>
      <c r="R259" s="1191">
        <f t="shared" si="254"/>
        <v>0.37646670760035217</v>
      </c>
      <c r="S259" s="1191">
        <f t="shared" si="254"/>
        <v>0.36754812468408443</v>
      </c>
      <c r="T259" s="1191">
        <f t="shared" si="254"/>
        <v>0.29223603144458477</v>
      </c>
      <c r="U259" s="1191">
        <f t="shared" si="254"/>
        <v>0.67699327124483288</v>
      </c>
      <c r="V259" s="1191">
        <f t="shared" si="254"/>
        <v>0.44174091983098335</v>
      </c>
      <c r="W259" s="1191">
        <f t="shared" ca="1" si="254"/>
        <v>0.46781649514863277</v>
      </c>
      <c r="X259" s="1191">
        <f t="shared" ca="1" si="254"/>
        <v>0.50107582305737253</v>
      </c>
      <c r="Y259" s="1191">
        <f t="shared" ca="1" si="254"/>
        <v>0.54794942434288241</v>
      </c>
      <c r="Z259" s="1191">
        <f t="shared" ca="1" si="254"/>
        <v>0.60353297535733152</v>
      </c>
      <c r="AA259" s="1191">
        <f t="shared" ca="1" si="254"/>
        <v>0.67022537591096987</v>
      </c>
      <c r="AB259" s="1191">
        <f t="shared" ca="1" si="254"/>
        <v>0.74068078601836063</v>
      </c>
      <c r="AC259" s="1191">
        <f t="shared" ca="1" si="254"/>
        <v>0.81431137973015821</v>
      </c>
      <c r="AD259" s="685"/>
      <c r="AE259" s="685"/>
      <c r="AF259" s="685"/>
      <c r="AG259" s="685"/>
      <c r="AH259" s="685"/>
      <c r="AI259" s="685"/>
      <c r="AJ259" s="685"/>
      <c r="AK259" s="685"/>
      <c r="AL259" s="685"/>
      <c r="AM259" s="685"/>
      <c r="AN259" s="685"/>
      <c r="AO259" s="685"/>
      <c r="AP259" s="685"/>
      <c r="AQ259" s="685"/>
      <c r="AR259" s="685"/>
      <c r="AS259" s="685"/>
      <c r="AT259" s="685"/>
      <c r="AU259" s="685"/>
      <c r="AV259" s="685"/>
      <c r="AW259" s="685"/>
      <c r="AX259" s="685"/>
      <c r="AY259" s="685"/>
    </row>
    <row r="260" spans="1:51">
      <c r="A260" s="685"/>
      <c r="B260" s="1189"/>
      <c r="C260" s="1189"/>
      <c r="D260" s="1189"/>
      <c r="E260" s="1189"/>
      <c r="F260" s="1189"/>
      <c r="G260" s="1189"/>
      <c r="H260" s="1197"/>
      <c r="I260" s="1197"/>
      <c r="J260" s="1189"/>
      <c r="K260" s="1189"/>
      <c r="L260" s="1189"/>
      <c r="M260" s="1189"/>
      <c r="N260" s="1189"/>
      <c r="O260" s="1189"/>
      <c r="P260" s="1189"/>
      <c r="Q260" s="1189"/>
      <c r="R260" s="1189"/>
      <c r="S260" s="1189"/>
      <c r="T260" s="1189"/>
      <c r="U260" s="1189"/>
      <c r="V260" s="1189"/>
      <c r="W260" s="1189"/>
      <c r="X260" s="1189"/>
      <c r="Y260" s="1189"/>
      <c r="Z260" s="1189"/>
      <c r="AA260" s="1189"/>
      <c r="AB260" s="1189"/>
      <c r="AC260" s="1189"/>
      <c r="AD260" s="685"/>
      <c r="AE260" s="685"/>
      <c r="AF260" s="685"/>
      <c r="AG260" s="685"/>
      <c r="AH260" s="685"/>
      <c r="AI260" s="685"/>
      <c r="AJ260" s="685"/>
      <c r="AK260" s="685"/>
      <c r="AL260" s="685"/>
      <c r="AM260" s="685"/>
      <c r="AN260" s="685"/>
      <c r="AO260" s="685"/>
      <c r="AP260" s="685"/>
      <c r="AQ260" s="685"/>
      <c r="AR260" s="685"/>
      <c r="AS260" s="685"/>
      <c r="AT260" s="685"/>
      <c r="AU260" s="685"/>
      <c r="AV260" s="685"/>
      <c r="AW260" s="685"/>
      <c r="AX260" s="685"/>
      <c r="AY260" s="685"/>
    </row>
    <row r="261" spans="1:51">
      <c r="A261" s="685"/>
      <c r="B261" s="1277" t="s">
        <v>272</v>
      </c>
      <c r="C261" s="1259"/>
      <c r="D261" s="1260"/>
      <c r="E261" s="1260"/>
      <c r="F261" s="1260"/>
      <c r="G261" s="1260"/>
      <c r="H261" s="1260">
        <v>1433</v>
      </c>
      <c r="I261" s="1260">
        <v>1469</v>
      </c>
      <c r="J261" s="1260">
        <v>1170</v>
      </c>
      <c r="K261" s="1260">
        <v>375</v>
      </c>
      <c r="L261" s="1260">
        <v>313</v>
      </c>
      <c r="M261" s="1260">
        <v>337.1</v>
      </c>
      <c r="N261" s="1260">
        <v>4164</v>
      </c>
      <c r="O261" s="1260">
        <f t="shared" ref="O261:AC261" si="255">N261</f>
        <v>4164</v>
      </c>
      <c r="P261" s="1260">
        <v>2104</v>
      </c>
      <c r="Q261" s="1260">
        <v>2108</v>
      </c>
      <c r="R261" s="1260">
        <v>491.9</v>
      </c>
      <c r="S261" s="1260">
        <v>617</v>
      </c>
      <c r="T261" s="1260">
        <v>4106.3999999999996</v>
      </c>
      <c r="U261" s="1260">
        <v>1000</v>
      </c>
      <c r="V261" s="1260">
        <v>9988</v>
      </c>
      <c r="W261" s="1260">
        <f t="shared" si="255"/>
        <v>9988</v>
      </c>
      <c r="X261" s="1260">
        <f t="shared" si="255"/>
        <v>9988</v>
      </c>
      <c r="Y261" s="1260">
        <f t="shared" si="255"/>
        <v>9988</v>
      </c>
      <c r="Z261" s="1260">
        <f t="shared" si="255"/>
        <v>9988</v>
      </c>
      <c r="AA261" s="1260">
        <f t="shared" si="255"/>
        <v>9988</v>
      </c>
      <c r="AB261" s="1260">
        <f t="shared" si="255"/>
        <v>9988</v>
      </c>
      <c r="AC261" s="1260">
        <f t="shared" si="255"/>
        <v>9988</v>
      </c>
      <c r="AD261" s="685"/>
      <c r="AE261" s="685"/>
      <c r="AF261" s="685"/>
      <c r="AG261" s="685"/>
      <c r="AH261" s="685"/>
      <c r="AI261" s="685"/>
      <c r="AJ261" s="685"/>
      <c r="AK261" s="685"/>
      <c r="AL261" s="685"/>
      <c r="AM261" s="685"/>
      <c r="AN261" s="685"/>
      <c r="AO261" s="685"/>
      <c r="AP261" s="685"/>
      <c r="AQ261" s="685"/>
      <c r="AR261" s="685"/>
      <c r="AS261" s="685"/>
      <c r="AT261" s="685"/>
      <c r="AU261" s="685"/>
      <c r="AV261" s="685"/>
      <c r="AW261" s="685"/>
      <c r="AX261" s="685"/>
      <c r="AY261" s="685"/>
    </row>
    <row r="262" spans="1:51">
      <c r="A262" s="685"/>
      <c r="B262" s="1277" t="s">
        <v>273</v>
      </c>
      <c r="C262" s="1259"/>
      <c r="D262" s="1260"/>
      <c r="E262" s="1260"/>
      <c r="F262" s="1260"/>
      <c r="G262" s="1260"/>
      <c r="H262" s="1260">
        <v>41983</v>
      </c>
      <c r="I262" s="1260">
        <v>46496</v>
      </c>
      <c r="J262" s="1260">
        <v>55657</v>
      </c>
      <c r="K262" s="1260">
        <v>52616</v>
      </c>
      <c r="L262" s="1260">
        <v>60864</v>
      </c>
      <c r="M262" s="1260">
        <v>80660.5</v>
      </c>
      <c r="N262" s="1260">
        <f>110410.6+5805.2-N261</f>
        <v>112051.8</v>
      </c>
      <c r="O262" s="1260">
        <f>126997.6+6391.8+4853-O261</f>
        <v>134078.39999999999</v>
      </c>
      <c r="P262" s="1260">
        <f>122300.1+5041.9-P261</f>
        <v>125238</v>
      </c>
      <c r="Q262" s="1260">
        <f>121972+5317.9+2576.8-Q261</f>
        <v>127758.7</v>
      </c>
      <c r="R262" s="1260">
        <f>120937+9363.6+1324.1-R261</f>
        <v>131132.80000000002</v>
      </c>
      <c r="S262" s="1260">
        <f>122553+9293-S261</f>
        <v>131229</v>
      </c>
      <c r="T262" s="1260">
        <f>125792.1+9680.6-T261</f>
        <v>131366.30000000002</v>
      </c>
      <c r="U262" s="1260">
        <f>104240.7</f>
        <v>104240.7</v>
      </c>
      <c r="V262" s="1260">
        <v>78547.899999999994</v>
      </c>
      <c r="W262" s="1259">
        <f t="shared" ref="W262:AC262" si="256">W264+W265-W261</f>
        <v>79009.021870415774</v>
      </c>
      <c r="X262" s="1259">
        <f t="shared" si="256"/>
        <v>80233.538187824073</v>
      </c>
      <c r="Y262" s="1259">
        <f t="shared" si="256"/>
        <v>81482.544831580555</v>
      </c>
      <c r="Z262" s="1259">
        <f t="shared" si="256"/>
        <v>82756.531608212157</v>
      </c>
      <c r="AA262" s="1259">
        <f t="shared" si="256"/>
        <v>84055.998120376404</v>
      </c>
      <c r="AB262" s="1259">
        <f t="shared" si="256"/>
        <v>85381.45396278394</v>
      </c>
      <c r="AC262" s="1259">
        <f t="shared" si="256"/>
        <v>86733.418922039622</v>
      </c>
      <c r="AD262" s="685"/>
      <c r="AE262" s="685"/>
      <c r="AF262" s="685"/>
      <c r="AG262" s="685"/>
      <c r="AH262" s="685"/>
      <c r="AI262" s="685"/>
      <c r="AJ262" s="685"/>
      <c r="AK262" s="685"/>
      <c r="AL262" s="685"/>
      <c r="AM262" s="685"/>
      <c r="AN262" s="685"/>
      <c r="AO262" s="685"/>
      <c r="AP262" s="685"/>
      <c r="AQ262" s="685"/>
      <c r="AR262" s="685"/>
      <c r="AS262" s="685"/>
      <c r="AT262" s="685"/>
      <c r="AU262" s="685"/>
      <c r="AV262" s="685"/>
      <c r="AW262" s="685"/>
      <c r="AX262" s="685"/>
      <c r="AY262" s="685"/>
    </row>
    <row r="263" spans="1:51">
      <c r="A263" s="685"/>
      <c r="B263" s="1277"/>
      <c r="C263" s="1259"/>
      <c r="D263" s="1260"/>
      <c r="E263" s="1260"/>
      <c r="F263" s="1260"/>
      <c r="G263" s="1260"/>
      <c r="H263" s="1260"/>
      <c r="I263" s="1259"/>
      <c r="J263" s="1259"/>
      <c r="K263" s="1259"/>
      <c r="L263" s="1259"/>
      <c r="M263" s="1259"/>
      <c r="N263" s="1259"/>
      <c r="O263" s="1259"/>
      <c r="P263" s="1259"/>
      <c r="Q263" s="1259"/>
      <c r="R263" s="1259"/>
      <c r="S263" s="1259"/>
      <c r="T263" s="1259"/>
      <c r="U263" s="1259"/>
      <c r="V263" s="1259"/>
      <c r="W263" s="1259"/>
      <c r="X263" s="1259"/>
      <c r="Y263" s="1259"/>
      <c r="Z263" s="1259"/>
      <c r="AA263" s="1259"/>
      <c r="AB263" s="1259"/>
      <c r="AC263" s="1259"/>
      <c r="AD263" s="685"/>
      <c r="AE263" s="685"/>
      <c r="AF263" s="685"/>
      <c r="AG263" s="685"/>
      <c r="AH263" s="685"/>
      <c r="AI263" s="685"/>
      <c r="AJ263" s="685"/>
      <c r="AK263" s="685"/>
      <c r="AL263" s="685"/>
      <c r="AM263" s="685"/>
      <c r="AN263" s="685"/>
      <c r="AO263" s="685"/>
      <c r="AP263" s="685"/>
      <c r="AQ263" s="685"/>
      <c r="AR263" s="685"/>
      <c r="AS263" s="685"/>
      <c r="AT263" s="685"/>
      <c r="AU263" s="685"/>
      <c r="AV263" s="685"/>
      <c r="AW263" s="685"/>
      <c r="AX263" s="685"/>
      <c r="AY263" s="685"/>
    </row>
    <row r="264" spans="1:51">
      <c r="A264" s="685"/>
      <c r="B264" s="1277" t="s">
        <v>5250</v>
      </c>
      <c r="C264" s="1259"/>
      <c r="D264" s="1260"/>
      <c r="E264" s="1260"/>
      <c r="F264" s="1260"/>
      <c r="G264" s="1260"/>
      <c r="H264" s="1260"/>
      <c r="I264" s="1259"/>
      <c r="J264" s="1259"/>
      <c r="K264" s="1259"/>
      <c r="L264" s="1259"/>
      <c r="M264" s="1259"/>
      <c r="N264" s="1259"/>
      <c r="O264" s="1259"/>
      <c r="P264" s="1259"/>
      <c r="Q264" s="1259">
        <f>Q262-Q265</f>
        <v>55170.7</v>
      </c>
      <c r="R264" s="1259">
        <f>R262-R265</f>
        <v>44585.152000000002</v>
      </c>
      <c r="S264" s="1259">
        <f t="shared" ref="S264:AC264" si="257">R264</f>
        <v>44585.152000000002</v>
      </c>
      <c r="T264" s="1259">
        <f t="shared" si="257"/>
        <v>44585.152000000002</v>
      </c>
      <c r="U264" s="1286">
        <v>29047.031999999999</v>
      </c>
      <c r="V264" s="1286">
        <v>27771.205999999998</v>
      </c>
      <c r="W264" s="1259">
        <f t="shared" si="257"/>
        <v>27771.205999999998</v>
      </c>
      <c r="X264" s="1259">
        <f t="shared" si="257"/>
        <v>27771.205999999998</v>
      </c>
      <c r="Y264" s="1259">
        <f t="shared" si="257"/>
        <v>27771.205999999998</v>
      </c>
      <c r="Z264" s="1259">
        <f t="shared" si="257"/>
        <v>27771.205999999998</v>
      </c>
      <c r="AA264" s="1259">
        <f t="shared" si="257"/>
        <v>27771.205999999998</v>
      </c>
      <c r="AB264" s="1259">
        <f t="shared" si="257"/>
        <v>27771.205999999998</v>
      </c>
      <c r="AC264" s="1259">
        <f t="shared" si="257"/>
        <v>27771.205999999998</v>
      </c>
      <c r="AD264" s="685"/>
      <c r="AE264" s="685"/>
      <c r="AF264" s="685"/>
      <c r="AG264" s="685"/>
      <c r="AH264" s="685"/>
      <c r="AI264" s="685"/>
      <c r="AJ264" s="685"/>
      <c r="AK264" s="685"/>
      <c r="AL264" s="685"/>
      <c r="AM264" s="685"/>
      <c r="AN264" s="685"/>
      <c r="AO264" s="685"/>
      <c r="AP264" s="685"/>
      <c r="AQ264" s="685"/>
      <c r="AR264" s="685"/>
      <c r="AS264" s="685"/>
      <c r="AT264" s="685"/>
      <c r="AU264" s="685"/>
      <c r="AV264" s="685"/>
      <c r="AW264" s="685"/>
      <c r="AX264" s="685"/>
      <c r="AY264" s="685"/>
    </row>
    <row r="265" spans="1:51">
      <c r="A265" s="685"/>
      <c r="B265" s="1277" t="s">
        <v>5249</v>
      </c>
      <c r="C265" s="1259"/>
      <c r="D265" s="1259"/>
      <c r="E265" s="1259"/>
      <c r="F265" s="1259"/>
      <c r="G265" s="1259"/>
      <c r="H265" s="1259"/>
      <c r="I265" s="1259"/>
      <c r="J265" s="1259"/>
      <c r="K265" s="1259"/>
      <c r="L265" s="1259"/>
      <c r="M265" s="1259"/>
      <c r="N265" s="1259"/>
      <c r="O265" s="1259"/>
      <c r="P265" s="1259"/>
      <c r="Q265" s="1286">
        <f>6031+11786+11705+19368+5867+17831</f>
        <v>72588</v>
      </c>
      <c r="R265" s="1259">
        <f>R266*R262</f>
        <v>86547.648000000016</v>
      </c>
      <c r="S265" s="1259">
        <f t="shared" ref="S265:X265" ca="1" si="258">S268*S267</f>
        <v>91584.812698412716</v>
      </c>
      <c r="T265" s="1259">
        <f t="shared" ca="1" si="258"/>
        <v>92892.282419654439</v>
      </c>
      <c r="U265" s="1286">
        <v>76193.618000000002</v>
      </c>
      <c r="V265" s="1286">
        <v>60764.652999999998</v>
      </c>
      <c r="W265" s="1259">
        <f t="shared" si="258"/>
        <v>61225.815870415769</v>
      </c>
      <c r="X265" s="1259">
        <f t="shared" si="258"/>
        <v>62450.332187824075</v>
      </c>
      <c r="Y265" s="1259">
        <f>Y268*Y267</f>
        <v>63699.338831580557</v>
      </c>
      <c r="Z265" s="1259">
        <f>Z268*Z267</f>
        <v>64973.325608212166</v>
      </c>
      <c r="AA265" s="1259">
        <f>AA268*AA267</f>
        <v>66272.792120376398</v>
      </c>
      <c r="AB265" s="1259">
        <f>AB268*AB267</f>
        <v>67598.247962783935</v>
      </c>
      <c r="AC265" s="1259">
        <f>AC268*AC267</f>
        <v>68950.212922039616</v>
      </c>
      <c r="AD265" s="685"/>
      <c r="AE265" s="685"/>
      <c r="AF265" s="685"/>
      <c r="AG265" s="685"/>
      <c r="AH265" s="685"/>
      <c r="AI265" s="685"/>
      <c r="AJ265" s="685"/>
      <c r="AK265" s="685"/>
      <c r="AL265" s="685"/>
      <c r="AM265" s="685"/>
      <c r="AN265" s="685"/>
      <c r="AO265" s="685"/>
      <c r="AP265" s="685"/>
      <c r="AQ265" s="685"/>
      <c r="AR265" s="685"/>
      <c r="AS265" s="685"/>
      <c r="AT265" s="685"/>
      <c r="AU265" s="685"/>
      <c r="AV265" s="685"/>
      <c r="AW265" s="685"/>
      <c r="AX265" s="685"/>
      <c r="AY265" s="685"/>
    </row>
    <row r="266" spans="1:51">
      <c r="A266" s="685"/>
      <c r="B266" s="1277" t="s">
        <v>5251</v>
      </c>
      <c r="C266" s="1259"/>
      <c r="D266" s="1259"/>
      <c r="E266" s="1259"/>
      <c r="F266" s="1259"/>
      <c r="G266" s="1259"/>
      <c r="H266" s="1259"/>
      <c r="I266" s="1259"/>
      <c r="J266" s="1259"/>
      <c r="K266" s="1259"/>
      <c r="L266" s="1259"/>
      <c r="M266" s="1259"/>
      <c r="N266" s="1259"/>
      <c r="O266" s="1259"/>
      <c r="P266" s="1259"/>
      <c r="Q266" s="1278">
        <f>Q265/Q262</f>
        <v>0.56816482947932312</v>
      </c>
      <c r="R266" s="1279">
        <v>0.66</v>
      </c>
      <c r="S266" s="1279">
        <f t="shared" ref="S266:T266" si="259">R266</f>
        <v>0.66</v>
      </c>
      <c r="T266" s="1279">
        <f t="shared" si="259"/>
        <v>0.66</v>
      </c>
      <c r="U266" s="1278">
        <f>U265/U262</f>
        <v>0.73093923966358632</v>
      </c>
      <c r="V266" s="1278">
        <f>V265/V262</f>
        <v>0.77359996893615235</v>
      </c>
      <c r="W266" s="1278">
        <f t="shared" ref="W266:AC266" si="260">W265/W262</f>
        <v>0.77492183070983223</v>
      </c>
      <c r="X266" s="1278">
        <f t="shared" si="260"/>
        <v>0.7783569514487807</v>
      </c>
      <c r="Y266" s="1278">
        <f t="shared" si="260"/>
        <v>0.78175441087711728</v>
      </c>
      <c r="Z266" s="1278">
        <f t="shared" si="260"/>
        <v>0.7851141697891636</v>
      </c>
      <c r="AA266" s="1278">
        <f t="shared" si="260"/>
        <v>0.78843620446297336</v>
      </c>
      <c r="AB266" s="1278">
        <f t="shared" si="260"/>
        <v>0.79172050633207358</v>
      </c>
      <c r="AC266" s="1278">
        <f t="shared" si="260"/>
        <v>0.79496708165067898</v>
      </c>
      <c r="AD266" s="685"/>
      <c r="AE266" s="685"/>
      <c r="AF266" s="685"/>
      <c r="AG266" s="685"/>
      <c r="AH266" s="685"/>
      <c r="AI266" s="685"/>
      <c r="AJ266" s="685"/>
      <c r="AK266" s="685"/>
      <c r="AL266" s="685"/>
      <c r="AM266" s="685"/>
      <c r="AN266" s="685"/>
      <c r="AO266" s="685"/>
      <c r="AP266" s="685"/>
      <c r="AQ266" s="685"/>
      <c r="AR266" s="685"/>
      <c r="AS266" s="685"/>
      <c r="AT266" s="685"/>
      <c r="AU266" s="685"/>
      <c r="AV266" s="685"/>
      <c r="AW266" s="685"/>
      <c r="AX266" s="685"/>
      <c r="AY266" s="685"/>
    </row>
    <row r="267" spans="1:51">
      <c r="A267" s="685"/>
      <c r="B267" s="1277" t="s">
        <v>5253</v>
      </c>
      <c r="C267" s="1259"/>
      <c r="D267" s="1259"/>
      <c r="E267" s="1259"/>
      <c r="F267" s="1259"/>
      <c r="G267" s="1259"/>
      <c r="H267" s="1259"/>
      <c r="I267" s="1259"/>
      <c r="J267" s="1259"/>
      <c r="K267" s="1259"/>
      <c r="L267" s="1259"/>
      <c r="M267" s="1259"/>
      <c r="N267" s="1259"/>
      <c r="O267" s="1259"/>
      <c r="P267" s="1259"/>
      <c r="Q267" s="1280">
        <v>19.7</v>
      </c>
      <c r="R267" s="1280">
        <v>18.899999999999999</v>
      </c>
      <c r="S267" s="1280">
        <v>20</v>
      </c>
      <c r="T267" s="1280">
        <v>20.285521077724361</v>
      </c>
      <c r="U267" s="1280">
        <v>19.45</v>
      </c>
      <c r="V267" s="1280">
        <v>16.9712</v>
      </c>
      <c r="W267" s="1281">
        <f>W93</f>
        <v>17.100000000000001</v>
      </c>
      <c r="X267" s="1281">
        <f t="shared" ref="X267:AC267" si="261">X93</f>
        <v>17.442</v>
      </c>
      <c r="Y267" s="1281">
        <f t="shared" si="261"/>
        <v>17.790839999999999</v>
      </c>
      <c r="Z267" s="1281">
        <f t="shared" si="261"/>
        <v>18.146656799999999</v>
      </c>
      <c r="AA267" s="1281">
        <f t="shared" si="261"/>
        <v>18.509589935999998</v>
      </c>
      <c r="AB267" s="1281">
        <f t="shared" si="261"/>
        <v>18.879781734719998</v>
      </c>
      <c r="AC267" s="1281">
        <f t="shared" si="261"/>
        <v>19.257377369414399</v>
      </c>
      <c r="AD267" s="685"/>
      <c r="AE267" s="685"/>
      <c r="AF267" s="685"/>
      <c r="AG267" s="685"/>
      <c r="AH267" s="685"/>
      <c r="AI267" s="685"/>
      <c r="AJ267" s="685"/>
      <c r="AK267" s="685"/>
      <c r="AL267" s="685"/>
      <c r="AM267" s="685"/>
      <c r="AN267" s="685"/>
      <c r="AO267" s="685"/>
      <c r="AP267" s="685"/>
      <c r="AQ267" s="685"/>
      <c r="AR267" s="685"/>
      <c r="AS267" s="685"/>
      <c r="AT267" s="685"/>
      <c r="AU267" s="685"/>
      <c r="AV267" s="685"/>
      <c r="AW267" s="685"/>
      <c r="AX267" s="685"/>
      <c r="AY267" s="685"/>
    </row>
    <row r="268" spans="1:51">
      <c r="A268" s="685"/>
      <c r="B268" s="1277" t="s">
        <v>5254</v>
      </c>
      <c r="C268" s="1259"/>
      <c r="D268" s="1259"/>
      <c r="E268" s="1259"/>
      <c r="F268" s="1259"/>
      <c r="G268" s="1259"/>
      <c r="H268" s="1259"/>
      <c r="I268" s="1259"/>
      <c r="J268" s="1259"/>
      <c r="K268" s="1259"/>
      <c r="L268" s="1259"/>
      <c r="M268" s="1259"/>
      <c r="N268" s="1259"/>
      <c r="O268" s="1259"/>
      <c r="P268" s="1259"/>
      <c r="Q268" s="1278"/>
      <c r="R268" s="1259">
        <f>R265/R267</f>
        <v>4579.2406349206358</v>
      </c>
      <c r="S268" s="1259">
        <f t="shared" ref="S268:V268" ca="1" si="262">S265/S267</f>
        <v>4579.2406349206358</v>
      </c>
      <c r="T268" s="1259">
        <f t="shared" ca="1" si="262"/>
        <v>4579.2406349206358</v>
      </c>
      <c r="U268" s="1259">
        <f t="shared" si="262"/>
        <v>3917.4096658097687</v>
      </c>
      <c r="V268" s="1259">
        <f t="shared" si="262"/>
        <v>3580.4570684453661</v>
      </c>
      <c r="W268" s="1286">
        <f>V268</f>
        <v>3580.4570684453661</v>
      </c>
      <c r="X268" s="1286">
        <f t="shared" ref="X268:AC268" si="263">W268</f>
        <v>3580.4570684453661</v>
      </c>
      <c r="Y268" s="1286">
        <f t="shared" si="263"/>
        <v>3580.4570684453661</v>
      </c>
      <c r="Z268" s="1286">
        <f t="shared" si="263"/>
        <v>3580.4570684453661</v>
      </c>
      <c r="AA268" s="1286">
        <f t="shared" si="263"/>
        <v>3580.4570684453661</v>
      </c>
      <c r="AB268" s="1286">
        <f t="shared" si="263"/>
        <v>3580.4570684453661</v>
      </c>
      <c r="AC268" s="1286">
        <f t="shared" si="263"/>
        <v>3580.4570684453661</v>
      </c>
      <c r="AD268" s="685"/>
      <c r="AE268" s="685"/>
      <c r="AF268" s="685"/>
      <c r="AG268" s="685"/>
      <c r="AH268" s="685"/>
      <c r="AI268" s="685"/>
      <c r="AJ268" s="685"/>
      <c r="AK268" s="685"/>
      <c r="AL268" s="685"/>
      <c r="AM268" s="685"/>
      <c r="AN268" s="685"/>
      <c r="AO268" s="685"/>
      <c r="AP268" s="685"/>
      <c r="AQ268" s="685"/>
      <c r="AR268" s="685"/>
      <c r="AS268" s="685"/>
      <c r="AT268" s="685"/>
      <c r="AU268" s="685"/>
      <c r="AV268" s="685"/>
      <c r="AW268" s="685"/>
      <c r="AX268" s="685"/>
      <c r="AY268" s="685"/>
    </row>
    <row r="269" spans="1:51">
      <c r="A269" s="685"/>
      <c r="B269" s="1277" t="s">
        <v>5252</v>
      </c>
      <c r="C269" s="1259"/>
      <c r="D269" s="1259"/>
      <c r="E269" s="1259"/>
      <c r="F269" s="1259"/>
      <c r="G269" s="1259"/>
      <c r="H269" s="1259"/>
      <c r="I269" s="1259"/>
      <c r="J269" s="1259"/>
      <c r="K269" s="1259"/>
      <c r="L269" s="1259"/>
      <c r="M269" s="1259"/>
      <c r="N269" s="1259"/>
      <c r="O269" s="1259"/>
      <c r="P269" s="1259"/>
      <c r="Q269" s="1278"/>
      <c r="R269" s="1259">
        <f t="shared" ref="R269:AC269" si="264">R265-Q265</f>
        <v>13959.648000000016</v>
      </c>
      <c r="S269" s="1259">
        <f t="shared" ca="1" si="264"/>
        <v>5037.1646984127001</v>
      </c>
      <c r="T269" s="1259">
        <f t="shared" ca="1" si="264"/>
        <v>1307.4697212417232</v>
      </c>
      <c r="U269" s="1259">
        <f t="shared" ca="1" si="264"/>
        <v>-16698.664419654437</v>
      </c>
      <c r="V269" s="1259">
        <f t="shared" si="264"/>
        <v>-15428.965000000004</v>
      </c>
      <c r="W269" s="1259">
        <f t="shared" si="264"/>
        <v>461.16287041577016</v>
      </c>
      <c r="X269" s="1259">
        <f t="shared" si="264"/>
        <v>1224.5163174083063</v>
      </c>
      <c r="Y269" s="1259">
        <f t="shared" si="264"/>
        <v>1249.0066437564819</v>
      </c>
      <c r="Z269" s="1259">
        <f t="shared" si="264"/>
        <v>1273.9867766316092</v>
      </c>
      <c r="AA269" s="1259">
        <f t="shared" si="264"/>
        <v>1299.466512164232</v>
      </c>
      <c r="AB269" s="1259">
        <f t="shared" si="264"/>
        <v>1325.4558424075367</v>
      </c>
      <c r="AC269" s="1259">
        <f t="shared" si="264"/>
        <v>1351.9649592556816</v>
      </c>
      <c r="AD269" s="685"/>
      <c r="AE269" s="685"/>
      <c r="AF269" s="685"/>
      <c r="AG269" s="685"/>
      <c r="AH269" s="685"/>
      <c r="AI269" s="685"/>
      <c r="AJ269" s="685"/>
      <c r="AK269" s="685"/>
      <c r="AL269" s="685"/>
      <c r="AM269" s="685"/>
      <c r="AN269" s="685"/>
      <c r="AO269" s="685"/>
      <c r="AP269" s="685"/>
      <c r="AQ269" s="685"/>
      <c r="AR269" s="685"/>
      <c r="AS269" s="685"/>
      <c r="AT269" s="685"/>
      <c r="AU269" s="685"/>
      <c r="AV269" s="685"/>
      <c r="AW269" s="685"/>
      <c r="AX269" s="685"/>
      <c r="AY269" s="685"/>
    </row>
    <row r="270" spans="1:51">
      <c r="A270" s="685"/>
      <c r="B270" s="1277" t="s">
        <v>5255</v>
      </c>
      <c r="C270" s="1259"/>
      <c r="D270" s="1259"/>
      <c r="E270" s="1259"/>
      <c r="F270" s="1259"/>
      <c r="G270" s="1259"/>
      <c r="H270" s="1259"/>
      <c r="I270" s="1259"/>
      <c r="J270" s="1259"/>
      <c r="K270" s="1259"/>
      <c r="L270" s="1259"/>
      <c r="M270" s="1259"/>
      <c r="N270" s="1259"/>
      <c r="O270" s="1259"/>
      <c r="P270" s="1259"/>
      <c r="Q270" s="1279">
        <v>0.2</v>
      </c>
      <c r="R270" s="1279">
        <v>0.2</v>
      </c>
      <c r="S270" s="1279">
        <v>0.2</v>
      </c>
      <c r="T270" s="1279">
        <v>0.2</v>
      </c>
      <c r="U270" s="1279">
        <v>0.4</v>
      </c>
      <c r="V270" s="1279">
        <v>0.4</v>
      </c>
      <c r="W270" s="1279">
        <v>0.4</v>
      </c>
      <c r="X270" s="1279">
        <v>0.4</v>
      </c>
      <c r="Y270" s="1279">
        <v>0.4</v>
      </c>
      <c r="Z270" s="1279">
        <v>0.4</v>
      </c>
      <c r="AA270" s="1279">
        <v>0.4</v>
      </c>
      <c r="AB270" s="1279">
        <v>0.4</v>
      </c>
      <c r="AC270" s="1279">
        <v>0.4</v>
      </c>
      <c r="AD270" s="685"/>
      <c r="AE270" s="685"/>
      <c r="AF270" s="685"/>
      <c r="AG270" s="685"/>
      <c r="AH270" s="685"/>
      <c r="AI270" s="685"/>
      <c r="AJ270" s="685"/>
      <c r="AK270" s="685"/>
      <c r="AL270" s="685"/>
      <c r="AM270" s="685"/>
      <c r="AN270" s="685"/>
      <c r="AO270" s="685"/>
      <c r="AP270" s="685"/>
      <c r="AQ270" s="685"/>
      <c r="AR270" s="685"/>
      <c r="AS270" s="685"/>
      <c r="AT270" s="685"/>
      <c r="AU270" s="685"/>
      <c r="AV270" s="685"/>
      <c r="AW270" s="685"/>
      <c r="AX270" s="685"/>
      <c r="AY270" s="685"/>
    </row>
    <row r="271" spans="1:51">
      <c r="A271" s="685"/>
      <c r="B271" s="1277" t="s">
        <v>5256</v>
      </c>
      <c r="C271" s="1259"/>
      <c r="D271" s="1259"/>
      <c r="E271" s="1259"/>
      <c r="F271" s="1259"/>
      <c r="G271" s="1259"/>
      <c r="H271" s="1259"/>
      <c r="I271" s="1259"/>
      <c r="J271" s="1259"/>
      <c r="K271" s="1259"/>
      <c r="L271" s="1259"/>
      <c r="M271" s="1259"/>
      <c r="N271" s="1259"/>
      <c r="O271" s="1259"/>
      <c r="P271" s="1259"/>
      <c r="Q271" s="1259"/>
      <c r="R271" s="1259">
        <f t="shared" ref="R271:X271" si="265">R269*(1-R270)</f>
        <v>11167.718400000012</v>
      </c>
      <c r="S271" s="1259">
        <f t="shared" ca="1" si="265"/>
        <v>4029.7317587301604</v>
      </c>
      <c r="T271" s="1259">
        <f t="shared" ca="1" si="265"/>
        <v>1045.9757769933785</v>
      </c>
      <c r="U271" s="1259">
        <f t="shared" ca="1" si="265"/>
        <v>-10019.198651792662</v>
      </c>
      <c r="V271" s="1259">
        <f t="shared" si="265"/>
        <v>-9257.3790000000026</v>
      </c>
      <c r="W271" s="1259">
        <f t="shared" si="265"/>
        <v>276.69772224946206</v>
      </c>
      <c r="X271" s="1259">
        <f t="shared" si="265"/>
        <v>734.70979044498381</v>
      </c>
      <c r="Y271" s="1259">
        <f>Y269*(1-Y270)</f>
        <v>749.40398625388912</v>
      </c>
      <c r="Z271" s="1259">
        <f>Z269*(1-Z270)</f>
        <v>764.39206597896555</v>
      </c>
      <c r="AA271" s="1259">
        <f>AA269*(1-AA270)</f>
        <v>779.67990729853921</v>
      </c>
      <c r="AB271" s="1259">
        <f>AB269*(1-AB270)</f>
        <v>795.27350544452202</v>
      </c>
      <c r="AC271" s="1259">
        <f>AC269*(1-AC270)</f>
        <v>811.17897555340892</v>
      </c>
      <c r="AD271" s="685"/>
      <c r="AE271" s="685"/>
      <c r="AF271" s="685"/>
      <c r="AG271" s="685"/>
      <c r="AH271" s="685"/>
      <c r="AI271" s="685"/>
      <c r="AJ271" s="685"/>
      <c r="AK271" s="685"/>
      <c r="AL271" s="685"/>
      <c r="AM271" s="685"/>
      <c r="AN271" s="685"/>
      <c r="AO271" s="685"/>
      <c r="AP271" s="685"/>
      <c r="AQ271" s="685"/>
      <c r="AR271" s="685"/>
      <c r="AS271" s="685"/>
      <c r="AT271" s="685"/>
      <c r="AU271" s="685"/>
      <c r="AV271" s="685"/>
      <c r="AW271" s="685"/>
      <c r="AX271" s="685"/>
      <c r="AY271" s="685"/>
    </row>
    <row r="272" spans="1:51">
      <c r="A272" s="685"/>
      <c r="B272" s="1189"/>
      <c r="C272" s="1189"/>
      <c r="D272" s="1189"/>
      <c r="E272" s="1189"/>
      <c r="F272" s="1189"/>
      <c r="G272" s="1189"/>
      <c r="H272" s="1189"/>
      <c r="I272" s="1189"/>
      <c r="J272" s="1189"/>
      <c r="K272" s="1189"/>
      <c r="L272" s="1189"/>
      <c r="M272" s="1189"/>
      <c r="N272" s="1189"/>
      <c r="O272" s="1189"/>
      <c r="P272" s="1189"/>
      <c r="Q272" s="1189"/>
      <c r="R272" s="1189"/>
      <c r="S272" s="1189"/>
      <c r="T272" s="1189"/>
      <c r="U272" s="1189"/>
      <c r="V272" s="1189"/>
      <c r="W272" s="1189"/>
      <c r="X272" s="1189"/>
      <c r="Y272" s="1189"/>
      <c r="Z272" s="1189"/>
      <c r="AA272" s="1189"/>
      <c r="AB272" s="1189"/>
      <c r="AC272" s="1189"/>
      <c r="AD272" s="685"/>
      <c r="AE272" s="685"/>
      <c r="AF272" s="685"/>
      <c r="AG272" s="685"/>
      <c r="AH272" s="685"/>
      <c r="AI272" s="685"/>
      <c r="AJ272" s="685"/>
      <c r="AK272" s="685"/>
      <c r="AL272" s="685"/>
      <c r="AM272" s="685"/>
      <c r="AN272" s="685"/>
      <c r="AO272" s="685"/>
      <c r="AP272" s="685"/>
      <c r="AQ272" s="685"/>
      <c r="AR272" s="685"/>
      <c r="AS272" s="685"/>
      <c r="AT272" s="685"/>
      <c r="AU272" s="685"/>
      <c r="AV272" s="685"/>
      <c r="AW272" s="685"/>
      <c r="AX272" s="685"/>
      <c r="AY272" s="685"/>
    </row>
    <row r="273" spans="1:51">
      <c r="A273" s="685"/>
      <c r="B273" s="1189" t="s">
        <v>7682</v>
      </c>
      <c r="C273" s="1189"/>
      <c r="D273" s="1189"/>
      <c r="E273" s="1189"/>
      <c r="F273" s="1189"/>
      <c r="G273" s="1189"/>
      <c r="H273" s="1189"/>
      <c r="I273" s="1189"/>
      <c r="J273" s="1189"/>
      <c r="K273" s="1189"/>
      <c r="L273" s="1189"/>
      <c r="M273" s="1189"/>
      <c r="N273" s="1189"/>
      <c r="O273" s="1189"/>
      <c r="P273" s="1189"/>
      <c r="Q273" s="1189"/>
      <c r="R273" s="1189"/>
      <c r="S273" s="1189"/>
      <c r="T273" s="1189"/>
      <c r="U273" s="1260">
        <v>8369</v>
      </c>
      <c r="V273" s="1260">
        <v>7291.5</v>
      </c>
      <c r="W273" s="1267">
        <v>6000</v>
      </c>
      <c r="X273" s="1267">
        <f t="shared" ref="X273:AC273" si="266">W273</f>
        <v>6000</v>
      </c>
      <c r="Y273" s="1267">
        <f t="shared" si="266"/>
        <v>6000</v>
      </c>
      <c r="Z273" s="1267">
        <f t="shared" si="266"/>
        <v>6000</v>
      </c>
      <c r="AA273" s="1267">
        <f t="shared" si="266"/>
        <v>6000</v>
      </c>
      <c r="AB273" s="1267">
        <f t="shared" si="266"/>
        <v>6000</v>
      </c>
      <c r="AC273" s="1267">
        <f t="shared" si="266"/>
        <v>6000</v>
      </c>
      <c r="AD273" s="685"/>
      <c r="AE273" s="685"/>
      <c r="AF273" s="685"/>
      <c r="AG273" s="685"/>
      <c r="AH273" s="685"/>
      <c r="AI273" s="685"/>
      <c r="AJ273" s="685"/>
      <c r="AK273" s="685"/>
      <c r="AL273" s="685"/>
      <c r="AM273" s="685"/>
      <c r="AN273" s="685"/>
      <c r="AO273" s="685"/>
      <c r="AP273" s="685"/>
      <c r="AQ273" s="685"/>
      <c r="AR273" s="685"/>
      <c r="AS273" s="685"/>
      <c r="AT273" s="685"/>
      <c r="AU273" s="685"/>
      <c r="AV273" s="685"/>
      <c r="AW273" s="685"/>
      <c r="AX273" s="685"/>
      <c r="AY273" s="685"/>
    </row>
    <row r="274" spans="1:51">
      <c r="A274" s="685"/>
      <c r="B274" s="1189"/>
      <c r="C274" s="1189"/>
      <c r="D274" s="1189"/>
      <c r="E274" s="1189"/>
      <c r="F274" s="1189"/>
      <c r="G274" s="1189"/>
      <c r="H274" s="1189"/>
      <c r="I274" s="1189"/>
      <c r="J274" s="1189"/>
      <c r="K274" s="1189"/>
      <c r="L274" s="1189"/>
      <c r="M274" s="1189"/>
      <c r="N274" s="1189"/>
      <c r="O274" s="1189"/>
      <c r="P274" s="1189"/>
      <c r="Q274" s="1189"/>
      <c r="R274" s="1189"/>
      <c r="S274" s="1189"/>
      <c r="T274" s="1189"/>
      <c r="U274" s="1189"/>
      <c r="V274" s="1189"/>
      <c r="W274" s="1189"/>
      <c r="X274" s="1189"/>
      <c r="Y274" s="1189"/>
      <c r="Z274" s="1189"/>
      <c r="AA274" s="1189"/>
      <c r="AB274" s="1189"/>
      <c r="AC274" s="1189"/>
      <c r="AD274" s="685"/>
      <c r="AE274" s="685"/>
      <c r="AF274" s="685"/>
      <c r="AG274" s="685"/>
      <c r="AH274" s="685"/>
      <c r="AI274" s="685"/>
      <c r="AJ274" s="685"/>
      <c r="AK274" s="685"/>
      <c r="AL274" s="685"/>
      <c r="AM274" s="685"/>
      <c r="AN274" s="685"/>
      <c r="AO274" s="685"/>
      <c r="AP274" s="685"/>
      <c r="AQ274" s="685"/>
      <c r="AR274" s="685"/>
      <c r="AS274" s="685"/>
      <c r="AT274" s="685"/>
      <c r="AU274" s="685"/>
      <c r="AV274" s="685"/>
      <c r="AW274" s="685"/>
      <c r="AX274" s="685"/>
      <c r="AY274" s="685"/>
    </row>
    <row r="275" spans="1:51">
      <c r="A275" s="685"/>
      <c r="B275" s="1189" t="s">
        <v>274</v>
      </c>
      <c r="C275" s="1282"/>
      <c r="D275" s="1283"/>
      <c r="E275" s="1283"/>
      <c r="F275" s="1283"/>
      <c r="G275" s="1283"/>
      <c r="H275" s="1283">
        <f>38843+3996.1</f>
        <v>42839.1</v>
      </c>
      <c r="I275" s="1283">
        <f>31389+3858</f>
        <v>35247</v>
      </c>
      <c r="J275" s="1283">
        <f>21698+3356</f>
        <v>25054</v>
      </c>
      <c r="K275" s="1283">
        <f>24381+3000</f>
        <v>27381</v>
      </c>
      <c r="L275" s="1260">
        <f>16692+3722+4647+1123</f>
        <v>26184</v>
      </c>
      <c r="M275" s="1260">
        <f>29729+4788.6+4807+429+737</f>
        <v>40490.6</v>
      </c>
      <c r="N275" s="1260">
        <f>N261+N262-49675.8-5805.2</f>
        <v>60734.8</v>
      </c>
      <c r="O275" s="1260">
        <f>47546.1+5498.2+6792.2</f>
        <v>59836.499999999993</v>
      </c>
      <c r="P275" s="1260">
        <f>38735+6014+3320</f>
        <v>48069</v>
      </c>
      <c r="Q275" s="1260">
        <f>32068+31+14450</f>
        <v>46549</v>
      </c>
      <c r="R275" s="1260">
        <f>R261+R262-93733.1</f>
        <v>37891.600000000006</v>
      </c>
      <c r="S275" s="1260">
        <f>S261+S262-96143</f>
        <v>35703</v>
      </c>
      <c r="T275" s="1260">
        <f>T261+T262-105219.9</f>
        <v>30252.800000000017</v>
      </c>
      <c r="U275" s="1260">
        <v>51131</v>
      </c>
      <c r="V275" s="1260">
        <v>32586.3</v>
      </c>
      <c r="W275" s="1197">
        <f t="shared" ref="W275:AC275" ca="1" si="267">W257</f>
        <v>30081.606941545499</v>
      </c>
      <c r="X275" s="1197">
        <f t="shared" ca="1" si="267"/>
        <v>31865.31280435498</v>
      </c>
      <c r="Y275" s="1197">
        <f t="shared" ca="1" si="267"/>
        <v>34935.777511351735</v>
      </c>
      <c r="Z275" s="1197">
        <f t="shared" ca="1" si="267"/>
        <v>38821.119978901741</v>
      </c>
      <c r="AA275" s="1197">
        <f t="shared" ca="1" si="267"/>
        <v>43786.831000884325</v>
      </c>
      <c r="AB275" s="1197">
        <f t="shared" ca="1" si="267"/>
        <v>49293.502952308132</v>
      </c>
      <c r="AC275" s="1197">
        <f t="shared" ca="1" si="267"/>
        <v>55259.613872723348</v>
      </c>
      <c r="AD275" s="685"/>
      <c r="AE275" s="685"/>
      <c r="AF275" s="685"/>
      <c r="AG275" s="685"/>
      <c r="AH275" s="685"/>
      <c r="AI275" s="685"/>
      <c r="AJ275" s="685"/>
      <c r="AK275" s="685"/>
      <c r="AL275" s="685"/>
      <c r="AM275" s="685"/>
      <c r="AN275" s="685"/>
      <c r="AO275" s="685"/>
      <c r="AP275" s="685"/>
      <c r="AQ275" s="685"/>
      <c r="AR275" s="685"/>
      <c r="AS275" s="685"/>
      <c r="AT275" s="685"/>
      <c r="AU275" s="685"/>
      <c r="AV275" s="685"/>
      <c r="AW275" s="685"/>
      <c r="AX275" s="685"/>
      <c r="AY275" s="685"/>
    </row>
    <row r="276" spans="1:51">
      <c r="A276" s="685"/>
      <c r="B276" s="1189"/>
      <c r="C276" s="1189"/>
      <c r="D276" s="1189"/>
      <c r="E276" s="1189"/>
      <c r="F276" s="1189"/>
      <c r="G276" s="1189"/>
      <c r="H276" s="1189"/>
      <c r="I276" s="1189"/>
      <c r="J276" s="1189"/>
      <c r="K276" s="1189"/>
      <c r="L276" s="1189"/>
      <c r="M276" s="1189"/>
      <c r="N276" s="1189"/>
      <c r="O276" s="1189"/>
      <c r="P276" s="1189"/>
      <c r="Q276" s="1189"/>
      <c r="R276" s="1189"/>
      <c r="S276" s="1189"/>
      <c r="T276" s="1189"/>
      <c r="U276" s="1189"/>
      <c r="V276" s="1189"/>
      <c r="W276" s="1189"/>
      <c r="X276" s="1189"/>
      <c r="Y276" s="1189"/>
      <c r="Z276" s="1189"/>
      <c r="AA276" s="1189"/>
      <c r="AB276" s="1189"/>
      <c r="AC276" s="1189"/>
      <c r="AD276" s="685"/>
      <c r="AE276" s="685"/>
      <c r="AF276" s="685"/>
      <c r="AG276" s="685"/>
      <c r="AH276" s="685"/>
      <c r="AI276" s="685"/>
      <c r="AJ276" s="685"/>
      <c r="AK276" s="685"/>
      <c r="AL276" s="685"/>
      <c r="AM276" s="685"/>
      <c r="AN276" s="685"/>
      <c r="AO276" s="685"/>
      <c r="AP276" s="685"/>
      <c r="AQ276" s="685"/>
      <c r="AR276" s="685"/>
      <c r="AS276" s="685"/>
      <c r="AT276" s="685"/>
      <c r="AU276" s="685"/>
      <c r="AV276" s="685"/>
      <c r="AW276" s="685"/>
      <c r="AX276" s="685"/>
      <c r="AY276" s="685"/>
    </row>
    <row r="277" spans="1:51">
      <c r="A277" s="685"/>
      <c r="B277" s="1189" t="s">
        <v>275</v>
      </c>
      <c r="C277" s="1259"/>
      <c r="D277" s="1259">
        <f t="shared" ref="D277:Q277" si="268">D278+D279</f>
        <v>0</v>
      </c>
      <c r="E277" s="1197">
        <f t="shared" si="268"/>
        <v>0</v>
      </c>
      <c r="F277" s="1197">
        <f t="shared" si="268"/>
        <v>0</v>
      </c>
      <c r="G277" s="1197">
        <f t="shared" si="268"/>
        <v>0</v>
      </c>
      <c r="H277" s="1197">
        <f>H278+H279</f>
        <v>0</v>
      </c>
      <c r="I277" s="1197">
        <f>I278+I279</f>
        <v>27803</v>
      </c>
      <c r="J277" s="1197">
        <f>J278+J279</f>
        <v>51041</v>
      </c>
      <c r="K277" s="1197">
        <f t="shared" si="268"/>
        <v>50938</v>
      </c>
      <c r="L277" s="1197">
        <f t="shared" si="268"/>
        <v>76174.5</v>
      </c>
      <c r="M277" s="1197">
        <f>M278+M279</f>
        <v>59721.800000000017</v>
      </c>
      <c r="N277" s="1197">
        <f t="shared" si="268"/>
        <v>77339.999999999971</v>
      </c>
      <c r="O277" s="1197">
        <f t="shared" si="268"/>
        <v>86506.099999999977</v>
      </c>
      <c r="P277" s="1197">
        <f t="shared" si="268"/>
        <v>87053</v>
      </c>
      <c r="Q277" s="1197">
        <f t="shared" si="268"/>
        <v>95180</v>
      </c>
      <c r="R277" s="1197">
        <f t="shared" ref="R277:X277" si="269">R278+R279</f>
        <v>95734</v>
      </c>
      <c r="S277" s="1197">
        <f t="shared" si="269"/>
        <v>76460</v>
      </c>
      <c r="T277" s="1197">
        <f t="shared" si="269"/>
        <v>89763.799999999988</v>
      </c>
      <c r="U277" s="1197">
        <f t="shared" si="269"/>
        <v>89421.999999999971</v>
      </c>
      <c r="V277" s="1197">
        <f t="shared" si="269"/>
        <v>78035.399999999965</v>
      </c>
      <c r="W277" s="1197">
        <f t="shared" ca="1" si="269"/>
        <v>79697.44978224943</v>
      </c>
      <c r="X277" s="1197">
        <f t="shared" ca="1" si="269"/>
        <v>81859.072194494423</v>
      </c>
      <c r="Y277" s="1197">
        <f ca="1">Y278+Y279</f>
        <v>84078.196181202307</v>
      </c>
      <c r="Z277" s="1197">
        <f ca="1">Z278+Z279</f>
        <v>86356.399847648892</v>
      </c>
      <c r="AA277" s="1197">
        <f ca="1">AA278+AA279</f>
        <v>88695.305703429083</v>
      </c>
      <c r="AB277" s="1197">
        <f ca="1">AB278+AB279</f>
        <v>91096.581935809707</v>
      </c>
      <c r="AC277" s="1197">
        <f ca="1">AC278+AC279</f>
        <v>93561.943720107301</v>
      </c>
      <c r="AD277" s="685"/>
      <c r="AE277" s="685"/>
      <c r="AF277" s="685"/>
      <c r="AG277" s="685"/>
      <c r="AH277" s="685"/>
      <c r="AI277" s="685"/>
      <c r="AJ277" s="685"/>
      <c r="AK277" s="685"/>
      <c r="AL277" s="685"/>
      <c r="AM277" s="685"/>
      <c r="AN277" s="685"/>
      <c r="AO277" s="685"/>
      <c r="AP277" s="685"/>
      <c r="AQ277" s="685"/>
      <c r="AR277" s="685"/>
      <c r="AS277" s="685"/>
      <c r="AT277" s="685"/>
      <c r="AU277" s="685"/>
      <c r="AV277" s="685"/>
      <c r="AW277" s="685"/>
      <c r="AX277" s="685"/>
      <c r="AY277" s="685"/>
    </row>
    <row r="278" spans="1:51">
      <c r="A278" s="685"/>
      <c r="B278" s="1189" t="s">
        <v>276</v>
      </c>
      <c r="C278" s="1259"/>
      <c r="D278" s="1260"/>
      <c r="E278" s="1260"/>
      <c r="F278" s="1260"/>
      <c r="G278" s="1260"/>
      <c r="H278" s="1260"/>
      <c r="I278" s="1260">
        <v>0</v>
      </c>
      <c r="J278" s="1260">
        <v>0</v>
      </c>
      <c r="K278" s="1260">
        <v>0</v>
      </c>
      <c r="L278" s="1260">
        <v>0</v>
      </c>
      <c r="M278" s="1260">
        <v>0</v>
      </c>
      <c r="N278" s="1260">
        <v>0</v>
      </c>
      <c r="O278" s="1260">
        <v>0</v>
      </c>
      <c r="P278" s="1260">
        <v>0</v>
      </c>
      <c r="Q278" s="1260">
        <v>0</v>
      </c>
      <c r="R278" s="1260">
        <v>0</v>
      </c>
      <c r="S278" s="1260">
        <v>0</v>
      </c>
      <c r="T278" s="1260">
        <v>33173.1</v>
      </c>
      <c r="U278" s="1260">
        <v>18452.8</v>
      </c>
      <c r="V278" s="1260">
        <v>18497</v>
      </c>
      <c r="W278" s="1197">
        <f t="shared" ref="W278:AC278" ca="1" si="270">V278-(W321-W349)</f>
        <v>18497</v>
      </c>
      <c r="X278" s="1197">
        <f t="shared" ca="1" si="270"/>
        <v>18497</v>
      </c>
      <c r="Y278" s="1197">
        <f t="shared" ca="1" si="270"/>
        <v>18497</v>
      </c>
      <c r="Z278" s="1197">
        <f t="shared" ca="1" si="270"/>
        <v>18497</v>
      </c>
      <c r="AA278" s="1197">
        <f t="shared" ca="1" si="270"/>
        <v>18497</v>
      </c>
      <c r="AB278" s="1197">
        <f t="shared" ca="1" si="270"/>
        <v>18497</v>
      </c>
      <c r="AC278" s="1197">
        <f t="shared" ca="1" si="270"/>
        <v>18497</v>
      </c>
      <c r="AD278" s="685"/>
      <c r="AE278" s="685"/>
      <c r="AF278" s="685"/>
      <c r="AG278" s="685"/>
      <c r="AH278" s="685"/>
      <c r="AI278" s="685"/>
      <c r="AJ278" s="685"/>
      <c r="AK278" s="685"/>
      <c r="AL278" s="685"/>
      <c r="AM278" s="685"/>
      <c r="AN278" s="685"/>
      <c r="AO278" s="685"/>
      <c r="AP278" s="685"/>
      <c r="AQ278" s="685"/>
      <c r="AR278" s="685"/>
      <c r="AS278" s="685"/>
      <c r="AT278" s="685"/>
      <c r="AU278" s="685"/>
      <c r="AV278" s="685"/>
      <c r="AW278" s="685"/>
      <c r="AX278" s="685"/>
      <c r="AY278" s="685"/>
    </row>
    <row r="279" spans="1:51">
      <c r="A279" s="685"/>
      <c r="B279" s="1189" t="s">
        <v>44</v>
      </c>
      <c r="C279" s="1259"/>
      <c r="D279" s="1260"/>
      <c r="E279" s="1260"/>
      <c r="F279" s="1260"/>
      <c r="G279" s="1260"/>
      <c r="H279" s="1260"/>
      <c r="I279" s="1260">
        <f>(136471-I134)-I136-I137-I278</f>
        <v>27803</v>
      </c>
      <c r="J279" s="1260">
        <f>(155061-J134)-J136-J137-J278</f>
        <v>51041</v>
      </c>
      <c r="K279" s="1260">
        <f>(165066-K134)-K136-K137-K278</f>
        <v>50938</v>
      </c>
      <c r="L279" s="1260">
        <f>(194507-L134)-L136-L137-L278</f>
        <v>76174.5</v>
      </c>
      <c r="M279" s="1260">
        <f>(226894.2-M134)-M136-M137-M278</f>
        <v>59721.800000000017</v>
      </c>
      <c r="N279" s="1260">
        <f>(281473.7-N134)-N136-N137-N278</f>
        <v>77339.999999999971</v>
      </c>
      <c r="O279" s="1260">
        <f>(306883-O134)-O136-O137-O278-O382</f>
        <v>86506.099999999977</v>
      </c>
      <c r="P279" s="1260">
        <f>(297220-P134)-P136-P137-P278-P382</f>
        <v>87053</v>
      </c>
      <c r="Q279" s="1260">
        <f>(297842-Q134)-Q136-Q137-Q278-Q382</f>
        <v>95180</v>
      </c>
      <c r="R279" s="1260">
        <f>(290422-R134)-R136-R137-R278-R382</f>
        <v>95734</v>
      </c>
      <c r="S279" s="1260">
        <f>(271985-S134)-S136-S137-S278-S382</f>
        <v>76460</v>
      </c>
      <c r="T279" s="1260">
        <f>(292900.5-T134)-T136-T137-T278-T382</f>
        <v>56590.69999999999</v>
      </c>
      <c r="U279" s="1260">
        <f>(297705.1-U134)-U136-U137-U278-U382</f>
        <v>70969.199999999968</v>
      </c>
      <c r="V279" s="1260">
        <f>(261835.8-V134)-V136-V137-V278-V382</f>
        <v>59538.399999999972</v>
      </c>
      <c r="W279" s="1197">
        <f t="shared" ref="W279:AC279" si="271">V279+W433+W432+W200+W271</f>
        <v>61200.44978224943</v>
      </c>
      <c r="X279" s="1197">
        <f t="shared" si="271"/>
        <v>63362.072194494416</v>
      </c>
      <c r="Y279" s="1197">
        <f t="shared" si="271"/>
        <v>65581.196181202307</v>
      </c>
      <c r="Z279" s="1197">
        <f t="shared" si="271"/>
        <v>67859.399847648892</v>
      </c>
      <c r="AA279" s="1197">
        <f t="shared" si="271"/>
        <v>70198.305703429083</v>
      </c>
      <c r="AB279" s="1197">
        <f t="shared" si="271"/>
        <v>72599.581935809707</v>
      </c>
      <c r="AC279" s="1197">
        <f t="shared" si="271"/>
        <v>75064.943720107301</v>
      </c>
      <c r="AD279" s="685"/>
      <c r="AE279" s="685"/>
      <c r="AF279" s="685"/>
      <c r="AG279" s="685"/>
      <c r="AH279" s="685"/>
      <c r="AI279" s="685"/>
      <c r="AJ279" s="685"/>
      <c r="AK279" s="685"/>
      <c r="AL279" s="685"/>
      <c r="AM279" s="685"/>
      <c r="AN279" s="685"/>
      <c r="AO279" s="685"/>
      <c r="AP279" s="685"/>
      <c r="AQ279" s="685"/>
      <c r="AR279" s="685"/>
      <c r="AS279" s="685"/>
      <c r="AT279" s="685"/>
      <c r="AU279" s="685"/>
      <c r="AV279" s="685"/>
      <c r="AW279" s="685"/>
      <c r="AX279" s="685"/>
      <c r="AY279" s="685"/>
    </row>
    <row r="280" spans="1:51">
      <c r="A280" s="685"/>
      <c r="B280" s="1189"/>
      <c r="C280" s="1189"/>
      <c r="D280" s="1189"/>
      <c r="E280" s="1189"/>
      <c r="F280" s="1189"/>
      <c r="G280" s="1189"/>
      <c r="H280" s="1189"/>
      <c r="I280" s="1189"/>
      <c r="J280" s="1189"/>
      <c r="K280" s="1189"/>
      <c r="L280" s="1189"/>
      <c r="M280" s="1189"/>
      <c r="N280" s="1189"/>
      <c r="O280" s="1189"/>
      <c r="P280" s="1189"/>
      <c r="Q280" s="1189"/>
      <c r="R280" s="1189"/>
      <c r="S280" s="1189"/>
      <c r="T280" s="1189"/>
      <c r="U280" s="1189"/>
      <c r="V280" s="1189"/>
      <c r="W280" s="1189"/>
      <c r="X280" s="1189"/>
      <c r="Y280" s="1189"/>
      <c r="Z280" s="1189"/>
      <c r="AA280" s="1189"/>
      <c r="AB280" s="1189"/>
      <c r="AC280" s="1189"/>
      <c r="AD280" s="685"/>
      <c r="AE280" s="685"/>
      <c r="AF280" s="685"/>
      <c r="AG280" s="685"/>
      <c r="AH280" s="685"/>
      <c r="AI280" s="685"/>
      <c r="AJ280" s="685"/>
      <c r="AK280" s="685"/>
      <c r="AL280" s="685"/>
      <c r="AM280" s="685"/>
      <c r="AN280" s="685"/>
      <c r="AO280" s="685"/>
      <c r="AP280" s="685"/>
      <c r="AQ280" s="685"/>
      <c r="AR280" s="685"/>
      <c r="AS280" s="685"/>
      <c r="AT280" s="685"/>
      <c r="AU280" s="685"/>
      <c r="AV280" s="685"/>
      <c r="AW280" s="685"/>
      <c r="AX280" s="685"/>
      <c r="AY280" s="685"/>
    </row>
    <row r="281" spans="1:51">
      <c r="A281" s="685"/>
      <c r="B281" s="1189"/>
      <c r="C281" s="1189"/>
      <c r="D281" s="1189"/>
      <c r="E281" s="1189"/>
      <c r="F281" s="1189"/>
      <c r="G281" s="1189"/>
      <c r="H281" s="1189"/>
      <c r="I281" s="1189"/>
      <c r="J281" s="1189"/>
      <c r="K281" s="1189"/>
      <c r="L281" s="1189"/>
      <c r="M281" s="1189"/>
      <c r="N281" s="1189"/>
      <c r="O281" s="1189"/>
      <c r="P281" s="1189"/>
      <c r="Q281" s="1189"/>
      <c r="R281" s="1189"/>
      <c r="S281" s="1189"/>
      <c r="T281" s="1189"/>
      <c r="U281" s="1189"/>
      <c r="V281" s="1189"/>
      <c r="W281" s="1189"/>
      <c r="X281" s="1189"/>
      <c r="Y281" s="1189"/>
      <c r="Z281" s="1189"/>
      <c r="AA281" s="1189"/>
      <c r="AB281" s="1189"/>
      <c r="AC281" s="1189"/>
      <c r="AD281" s="685"/>
      <c r="AE281" s="685"/>
      <c r="AF281" s="685"/>
      <c r="AG281" s="685"/>
      <c r="AH281" s="685"/>
      <c r="AI281" s="685"/>
      <c r="AJ281" s="685"/>
      <c r="AK281" s="685"/>
      <c r="AL281" s="685"/>
      <c r="AM281" s="685"/>
      <c r="AN281" s="685"/>
      <c r="AO281" s="685"/>
      <c r="AP281" s="685"/>
      <c r="AQ281" s="685"/>
      <c r="AR281" s="685"/>
      <c r="AS281" s="685"/>
      <c r="AT281" s="685"/>
      <c r="AU281" s="685"/>
      <c r="AV281" s="685"/>
      <c r="AW281" s="685"/>
      <c r="AX281" s="685"/>
      <c r="AY281" s="685"/>
    </row>
    <row r="282" spans="1:51">
      <c r="A282" s="685"/>
      <c r="B282" s="1189"/>
      <c r="C282" s="1189"/>
      <c r="D282" s="1189"/>
      <c r="E282" s="1189"/>
      <c r="F282" s="1189"/>
      <c r="G282" s="1189"/>
      <c r="H282" s="1189"/>
      <c r="I282" s="1189"/>
      <c r="J282" s="1189"/>
      <c r="K282" s="1189"/>
      <c r="L282" s="1189"/>
      <c r="M282" s="1189"/>
      <c r="N282" s="1189"/>
      <c r="O282" s="1189"/>
      <c r="P282" s="1189"/>
      <c r="Q282" s="1189"/>
      <c r="R282" s="1189"/>
      <c r="S282" s="1189"/>
      <c r="T282" s="1189"/>
      <c r="U282" s="1189"/>
      <c r="V282" s="1189"/>
      <c r="W282" s="1189"/>
      <c r="X282" s="1189"/>
      <c r="Y282" s="1189"/>
      <c r="Z282" s="1189"/>
      <c r="AA282" s="1189"/>
      <c r="AB282" s="1189"/>
      <c r="AC282" s="1189"/>
      <c r="AD282" s="685"/>
      <c r="AE282" s="685"/>
      <c r="AF282" s="685"/>
      <c r="AG282" s="685"/>
      <c r="AH282" s="685"/>
      <c r="AI282" s="685"/>
      <c r="AJ282" s="685"/>
      <c r="AK282" s="685"/>
      <c r="AL282" s="685"/>
      <c r="AM282" s="685"/>
      <c r="AN282" s="685"/>
      <c r="AO282" s="685"/>
      <c r="AP282" s="685"/>
      <c r="AQ282" s="685"/>
      <c r="AR282" s="685"/>
      <c r="AS282" s="685"/>
      <c r="AT282" s="685"/>
      <c r="AU282" s="685"/>
      <c r="AV282" s="685"/>
      <c r="AW282" s="685"/>
      <c r="AX282" s="685"/>
      <c r="AY282" s="685"/>
    </row>
    <row r="283" spans="1:51">
      <c r="A283" s="685"/>
      <c r="B283" s="1186" t="s">
        <v>277</v>
      </c>
      <c r="C283" s="1186">
        <v>2004</v>
      </c>
      <c r="D283" s="1186">
        <f>C283+1</f>
        <v>2005</v>
      </c>
      <c r="E283" s="1186">
        <f t="shared" ref="E283:AC283" si="272">D283+1</f>
        <v>2006</v>
      </c>
      <c r="F283" s="1186">
        <f t="shared" si="272"/>
        <v>2007</v>
      </c>
      <c r="G283" s="1186">
        <f t="shared" si="272"/>
        <v>2008</v>
      </c>
      <c r="H283" s="1186">
        <f t="shared" si="272"/>
        <v>2009</v>
      </c>
      <c r="I283" s="1186">
        <f t="shared" si="272"/>
        <v>2010</v>
      </c>
      <c r="J283" s="1186">
        <f t="shared" si="272"/>
        <v>2011</v>
      </c>
      <c r="K283" s="1186">
        <f t="shared" si="272"/>
        <v>2012</v>
      </c>
      <c r="L283" s="1186">
        <f t="shared" si="272"/>
        <v>2013</v>
      </c>
      <c r="M283" s="1186">
        <f t="shared" si="272"/>
        <v>2014</v>
      </c>
      <c r="N283" s="1186">
        <f t="shared" si="272"/>
        <v>2015</v>
      </c>
      <c r="O283" s="1186">
        <f t="shared" si="272"/>
        <v>2016</v>
      </c>
      <c r="P283" s="1186">
        <f t="shared" si="272"/>
        <v>2017</v>
      </c>
      <c r="Q283" s="1186">
        <f t="shared" si="272"/>
        <v>2018</v>
      </c>
      <c r="R283" s="1186">
        <f t="shared" si="272"/>
        <v>2019</v>
      </c>
      <c r="S283" s="1186">
        <f t="shared" si="272"/>
        <v>2020</v>
      </c>
      <c r="T283" s="1186">
        <f t="shared" si="272"/>
        <v>2021</v>
      </c>
      <c r="U283" s="1186">
        <f t="shared" si="272"/>
        <v>2022</v>
      </c>
      <c r="V283" s="1186">
        <f t="shared" si="272"/>
        <v>2023</v>
      </c>
      <c r="W283" s="1186">
        <f t="shared" si="272"/>
        <v>2024</v>
      </c>
      <c r="X283" s="1186">
        <f t="shared" si="272"/>
        <v>2025</v>
      </c>
      <c r="Y283" s="1186">
        <f t="shared" si="272"/>
        <v>2026</v>
      </c>
      <c r="Z283" s="1186">
        <f t="shared" si="272"/>
        <v>2027</v>
      </c>
      <c r="AA283" s="1186">
        <f t="shared" si="272"/>
        <v>2028</v>
      </c>
      <c r="AB283" s="1186">
        <f t="shared" si="272"/>
        <v>2029</v>
      </c>
      <c r="AC283" s="1186">
        <f t="shared" si="272"/>
        <v>2030</v>
      </c>
      <c r="AD283" s="685"/>
      <c r="AE283" s="685"/>
      <c r="AF283" s="685"/>
      <c r="AG283" s="685"/>
      <c r="AH283" s="685"/>
      <c r="AI283" s="685"/>
      <c r="AJ283" s="685"/>
      <c r="AK283" s="685"/>
      <c r="AL283" s="685"/>
      <c r="AM283" s="685"/>
      <c r="AN283" s="685"/>
      <c r="AO283" s="685"/>
      <c r="AP283" s="685"/>
      <c r="AQ283" s="685"/>
      <c r="AR283" s="685"/>
      <c r="AS283" s="685"/>
      <c r="AT283" s="685"/>
      <c r="AU283" s="685"/>
      <c r="AV283" s="685"/>
      <c r="AW283" s="685"/>
      <c r="AX283" s="685"/>
      <c r="AY283" s="685"/>
    </row>
    <row r="284" spans="1:51">
      <c r="A284" s="685"/>
      <c r="B284" s="1189" t="s">
        <v>206</v>
      </c>
      <c r="C284" s="1259"/>
      <c r="D284" s="1260"/>
      <c r="E284" s="1260"/>
      <c r="F284" s="1260"/>
      <c r="G284" s="1260"/>
      <c r="H284" s="1260"/>
      <c r="I284" s="1260">
        <v>1255</v>
      </c>
      <c r="J284" s="1260">
        <v>1384</v>
      </c>
      <c r="K284" s="1260">
        <v>1509</v>
      </c>
      <c r="L284" s="1260">
        <v>2002</v>
      </c>
      <c r="M284" s="1260">
        <v>3336.7</v>
      </c>
      <c r="N284" s="1260">
        <v>1828.3</v>
      </c>
      <c r="O284" s="1260">
        <v>1899.1</v>
      </c>
      <c r="P284" s="1260">
        <v>1493</v>
      </c>
      <c r="Q284" s="1260">
        <v>1026.4000000000001</v>
      </c>
      <c r="R284" s="1260">
        <v>1379</v>
      </c>
      <c r="S284" s="1260">
        <v>1641.3</v>
      </c>
      <c r="T284" s="1260">
        <v>2212.9</v>
      </c>
      <c r="U284" s="1260">
        <v>1448.3</v>
      </c>
      <c r="V284" s="1260">
        <v>1261.3</v>
      </c>
      <c r="W284" s="1197">
        <f t="shared" ref="W284:AC284" si="273">W285*U5</f>
        <v>1291.3706446842054</v>
      </c>
      <c r="X284" s="1197">
        <f t="shared" si="273"/>
        <v>1261.3</v>
      </c>
      <c r="Y284" s="1197">
        <f t="shared" si="273"/>
        <v>1099.4525144099709</v>
      </c>
      <c r="Z284" s="1197">
        <f t="shared" si="273"/>
        <v>1087.3408719872812</v>
      </c>
      <c r="AA284" s="1197">
        <f t="shared" si="273"/>
        <v>1090.1365818209918</v>
      </c>
      <c r="AB284" s="1197">
        <f t="shared" si="273"/>
        <v>1099.8109320845799</v>
      </c>
      <c r="AC284" s="1197">
        <f t="shared" si="273"/>
        <v>1117.0525993026554</v>
      </c>
      <c r="AD284" s="685"/>
      <c r="AE284" s="685"/>
      <c r="AF284" s="685"/>
      <c r="AG284" s="685"/>
      <c r="AH284" s="685"/>
      <c r="AI284" s="685"/>
      <c r="AJ284" s="685"/>
      <c r="AK284" s="685"/>
      <c r="AL284" s="685"/>
      <c r="AM284" s="685"/>
      <c r="AN284" s="685"/>
      <c r="AO284" s="685"/>
      <c r="AP284" s="685"/>
      <c r="AQ284" s="685"/>
      <c r="AR284" s="685"/>
      <c r="AS284" s="685"/>
      <c r="AT284" s="685"/>
      <c r="AU284" s="685"/>
      <c r="AV284" s="685"/>
      <c r="AW284" s="685"/>
      <c r="AX284" s="685"/>
      <c r="AY284" s="685"/>
    </row>
    <row r="285" spans="1:51">
      <c r="A285" s="685"/>
      <c r="B285" s="1189" t="s">
        <v>278</v>
      </c>
      <c r="C285" s="1192"/>
      <c r="D285" s="1192"/>
      <c r="E285" s="1192"/>
      <c r="F285" s="1192"/>
      <c r="G285" s="1192"/>
      <c r="H285" s="1192">
        <f t="shared" ref="H285:V285" si="274">H284/H5</f>
        <v>0</v>
      </c>
      <c r="I285" s="1192">
        <f t="shared" si="274"/>
        <v>2.1691486566833978E-2</v>
      </c>
      <c r="J285" s="1192">
        <f t="shared" si="274"/>
        <v>2.2115161828975015E-2</v>
      </c>
      <c r="K285" s="1192">
        <f t="shared" si="274"/>
        <v>2.1777908628035053E-2</v>
      </c>
      <c r="L285" s="1192">
        <f t="shared" si="274"/>
        <v>2.7129723986904011E-2</v>
      </c>
      <c r="M285" s="1192">
        <f t="shared" si="274"/>
        <v>4.1647112273834726E-2</v>
      </c>
      <c r="N285" s="1192">
        <f t="shared" si="274"/>
        <v>2.0763866805978286E-2</v>
      </c>
      <c r="O285" s="1192">
        <f t="shared" si="274"/>
        <v>1.9723245201345139E-2</v>
      </c>
      <c r="P285" s="1192">
        <f t="shared" si="274"/>
        <v>1.5836648103951207E-2</v>
      </c>
      <c r="Q285" s="1192">
        <f t="shared" si="274"/>
        <v>1.01312802290001E-2</v>
      </c>
      <c r="R285" s="1192">
        <f t="shared" si="274"/>
        <v>1.3700862190588033E-2</v>
      </c>
      <c r="S285" s="1192">
        <f t="shared" si="274"/>
        <v>1.6896527940060718E-2</v>
      </c>
      <c r="T285" s="1192">
        <f t="shared" si="274"/>
        <v>2.1376173907331597E-2</v>
      </c>
      <c r="U285" s="1192">
        <f t="shared" si="274"/>
        <v>1.9176025400322535E-2</v>
      </c>
      <c r="V285" s="1192">
        <f t="shared" si="274"/>
        <v>1.7098222939788171E-2</v>
      </c>
      <c r="W285" s="1284">
        <f t="shared" ref="W285:AC285" si="275">V285</f>
        <v>1.7098222939788171E-2</v>
      </c>
      <c r="X285" s="1284">
        <f t="shared" si="275"/>
        <v>1.7098222939788171E-2</v>
      </c>
      <c r="Y285" s="1284">
        <f t="shared" si="275"/>
        <v>1.7098222939788171E-2</v>
      </c>
      <c r="Z285" s="1284">
        <f t="shared" si="275"/>
        <v>1.7098222939788171E-2</v>
      </c>
      <c r="AA285" s="1284">
        <f t="shared" si="275"/>
        <v>1.7098222939788171E-2</v>
      </c>
      <c r="AB285" s="1284">
        <f t="shared" si="275"/>
        <v>1.7098222939788171E-2</v>
      </c>
      <c r="AC285" s="1284">
        <f t="shared" si="275"/>
        <v>1.7098222939788171E-2</v>
      </c>
      <c r="AD285" s="685"/>
      <c r="AE285" s="685"/>
      <c r="AF285" s="685"/>
      <c r="AG285" s="685"/>
      <c r="AH285" s="685"/>
      <c r="AI285" s="685"/>
      <c r="AJ285" s="685"/>
      <c r="AK285" s="685"/>
      <c r="AL285" s="685"/>
      <c r="AM285" s="685"/>
      <c r="AN285" s="685"/>
      <c r="AO285" s="685"/>
      <c r="AP285" s="685"/>
      <c r="AQ285" s="685"/>
      <c r="AR285" s="685"/>
      <c r="AS285" s="685"/>
      <c r="AT285" s="685"/>
      <c r="AU285" s="685"/>
      <c r="AV285" s="685"/>
      <c r="AW285" s="685"/>
      <c r="AX285" s="685"/>
      <c r="AY285" s="685"/>
    </row>
    <row r="286" spans="1:51">
      <c r="A286" s="685"/>
      <c r="B286" s="1189" t="s">
        <v>279</v>
      </c>
      <c r="C286" s="1197"/>
      <c r="D286" s="1197" t="e">
        <f>#REF!-D284</f>
        <v>#REF!</v>
      </c>
      <c r="E286" s="1197">
        <f t="shared" ref="E286:AC286" si="276">D284-E284</f>
        <v>0</v>
      </c>
      <c r="F286" s="1197">
        <f t="shared" si="276"/>
        <v>0</v>
      </c>
      <c r="G286" s="1197">
        <f t="shared" si="276"/>
        <v>0</v>
      </c>
      <c r="H286" s="1197">
        <f t="shared" si="276"/>
        <v>0</v>
      </c>
      <c r="I286" s="1197">
        <f t="shared" si="276"/>
        <v>-1255</v>
      </c>
      <c r="J286" s="1197">
        <f t="shared" si="276"/>
        <v>-129</v>
      </c>
      <c r="K286" s="1197">
        <f t="shared" si="276"/>
        <v>-125</v>
      </c>
      <c r="L286" s="1197">
        <f t="shared" si="276"/>
        <v>-493</v>
      </c>
      <c r="M286" s="1197">
        <f t="shared" si="276"/>
        <v>-1334.6999999999998</v>
      </c>
      <c r="N286" s="1197">
        <f t="shared" si="276"/>
        <v>1508.3999999999999</v>
      </c>
      <c r="O286" s="1197">
        <f t="shared" si="276"/>
        <v>-70.799999999999955</v>
      </c>
      <c r="P286" s="1197">
        <f t="shared" si="276"/>
        <v>406.09999999999991</v>
      </c>
      <c r="Q286" s="1197">
        <f t="shared" si="276"/>
        <v>466.59999999999991</v>
      </c>
      <c r="R286" s="1197">
        <f t="shared" si="276"/>
        <v>-352.59999999999991</v>
      </c>
      <c r="S286" s="1197">
        <f t="shared" si="276"/>
        <v>-262.29999999999995</v>
      </c>
      <c r="T286" s="1197">
        <f t="shared" si="276"/>
        <v>-571.60000000000014</v>
      </c>
      <c r="U286" s="1197">
        <f t="shared" si="276"/>
        <v>764.60000000000014</v>
      </c>
      <c r="V286" s="1197">
        <f t="shared" si="276"/>
        <v>187</v>
      </c>
      <c r="W286" s="1197">
        <f t="shared" si="276"/>
        <v>-30.07064468420549</v>
      </c>
      <c r="X286" s="1197">
        <f t="shared" si="276"/>
        <v>30.07064468420549</v>
      </c>
      <c r="Y286" s="1197">
        <f t="shared" si="276"/>
        <v>161.84748559002901</v>
      </c>
      <c r="Z286" s="1197">
        <f t="shared" si="276"/>
        <v>12.111642422689783</v>
      </c>
      <c r="AA286" s="1197">
        <f t="shared" si="276"/>
        <v>-2.795709833710589</v>
      </c>
      <c r="AB286" s="1197">
        <f t="shared" si="276"/>
        <v>-9.6743502635881669</v>
      </c>
      <c r="AC286" s="1197">
        <f t="shared" si="276"/>
        <v>-17.241667218075463</v>
      </c>
      <c r="AD286" s="685"/>
      <c r="AE286" s="685"/>
      <c r="AF286" s="685"/>
      <c r="AG286" s="685"/>
      <c r="AH286" s="685"/>
      <c r="AI286" s="685"/>
      <c r="AJ286" s="685"/>
      <c r="AK286" s="685"/>
      <c r="AL286" s="685"/>
      <c r="AM286" s="685"/>
      <c r="AN286" s="685"/>
      <c r="AO286" s="685"/>
      <c r="AP286" s="685"/>
      <c r="AQ286" s="685"/>
      <c r="AR286" s="685"/>
      <c r="AS286" s="685"/>
      <c r="AT286" s="685"/>
      <c r="AU286" s="685"/>
      <c r="AV286" s="685"/>
      <c r="AW286" s="685"/>
      <c r="AX286" s="685"/>
      <c r="AY286" s="685"/>
    </row>
    <row r="287" spans="1:51">
      <c r="A287" s="685"/>
      <c r="B287" s="1189" t="s">
        <v>207</v>
      </c>
      <c r="C287" s="1197"/>
      <c r="D287" s="1260"/>
      <c r="E287" s="1260"/>
      <c r="F287" s="1260"/>
      <c r="G287" s="1260"/>
      <c r="H287" s="1260"/>
      <c r="I287" s="1260">
        <v>17701</v>
      </c>
      <c r="J287" s="1260">
        <v>19244</v>
      </c>
      <c r="K287" s="1260">
        <v>18982</v>
      </c>
      <c r="L287" s="1260">
        <v>20734</v>
      </c>
      <c r="M287" s="1260">
        <v>21087</v>
      </c>
      <c r="N287" s="1260">
        <v>21702.1</v>
      </c>
      <c r="O287" s="1260">
        <v>24906.400000000001</v>
      </c>
      <c r="P287" s="1260">
        <v>24727.1</v>
      </c>
      <c r="Q287" s="1260">
        <v>20281</v>
      </c>
      <c r="R287" s="1260">
        <f>14331+10520</f>
        <v>24851</v>
      </c>
      <c r="S287" s="1260">
        <f>12694.7+12651.5</f>
        <v>25346.2</v>
      </c>
      <c r="T287" s="1260">
        <f>13312.9+17746.2</f>
        <v>31059.1</v>
      </c>
      <c r="U287" s="1260">
        <f>8457.3+303</f>
        <v>8760.2999999999993</v>
      </c>
      <c r="V287" s="1260">
        <f>8131.5+342.5</f>
        <v>8474</v>
      </c>
      <c r="W287" s="1197">
        <f t="shared" ref="W287:AC287" si="277">W288*U5</f>
        <v>8676.0285761150844</v>
      </c>
      <c r="X287" s="1197">
        <f t="shared" si="277"/>
        <v>8474</v>
      </c>
      <c r="Y287" s="1197">
        <f t="shared" si="277"/>
        <v>7386.6333204710172</v>
      </c>
      <c r="Z287" s="1197">
        <f t="shared" si="277"/>
        <v>7305.2616738446213</v>
      </c>
      <c r="AA287" s="1197">
        <f t="shared" si="277"/>
        <v>7324.04455272424</v>
      </c>
      <c r="AB287" s="1197">
        <f t="shared" si="277"/>
        <v>7389.041337100397</v>
      </c>
      <c r="AC287" s="1197">
        <f t="shared" si="277"/>
        <v>7504.8788761521455</v>
      </c>
      <c r="AD287" s="685"/>
      <c r="AE287" s="685"/>
      <c r="AF287" s="685"/>
      <c r="AG287" s="685"/>
      <c r="AH287" s="685"/>
      <c r="AI287" s="685"/>
      <c r="AJ287" s="685"/>
      <c r="AK287" s="685"/>
      <c r="AL287" s="685"/>
      <c r="AM287" s="685"/>
      <c r="AN287" s="685"/>
      <c r="AO287" s="685"/>
      <c r="AP287" s="685"/>
      <c r="AQ287" s="685"/>
      <c r="AR287" s="685"/>
      <c r="AS287" s="685"/>
      <c r="AT287" s="685"/>
      <c r="AU287" s="685"/>
      <c r="AV287" s="685"/>
      <c r="AW287" s="685"/>
      <c r="AX287" s="685"/>
      <c r="AY287" s="685"/>
    </row>
    <row r="288" spans="1:51">
      <c r="A288" s="685"/>
      <c r="B288" s="1189" t="s">
        <v>278</v>
      </c>
      <c r="C288" s="1192"/>
      <c r="D288" s="1192"/>
      <c r="E288" s="1192"/>
      <c r="F288" s="1192"/>
      <c r="G288" s="1192"/>
      <c r="H288" s="1192">
        <f t="shared" ref="H288:V288" si="278">H287/H5</f>
        <v>0</v>
      </c>
      <c r="I288" s="1192">
        <f t="shared" si="278"/>
        <v>0.30594502288408626</v>
      </c>
      <c r="J288" s="1192">
        <f t="shared" si="278"/>
        <v>0.30750301606704855</v>
      </c>
      <c r="K288" s="1192">
        <f t="shared" si="278"/>
        <v>0.27394848348400358</v>
      </c>
      <c r="L288" s="1192">
        <f t="shared" si="278"/>
        <v>0.28097287569653734</v>
      </c>
      <c r="M288" s="1192">
        <f t="shared" si="278"/>
        <v>0.26319796700882697</v>
      </c>
      <c r="N288" s="1192">
        <f t="shared" si="278"/>
        <v>0.24646913187661834</v>
      </c>
      <c r="O288" s="1192">
        <f t="shared" si="278"/>
        <v>0.25866728149269791</v>
      </c>
      <c r="P288" s="1192">
        <f t="shared" si="278"/>
        <v>0.26228692654468311</v>
      </c>
      <c r="Q288" s="1192">
        <f t="shared" si="278"/>
        <v>0.20018754318428586</v>
      </c>
      <c r="R288" s="1192">
        <f t="shared" si="278"/>
        <v>0.24690364488636926</v>
      </c>
      <c r="S288" s="1192">
        <f t="shared" si="278"/>
        <v>0.26092900534598606</v>
      </c>
      <c r="T288" s="1192">
        <f t="shared" si="278"/>
        <v>0.30002472909087746</v>
      </c>
      <c r="U288" s="1192">
        <f t="shared" si="278"/>
        <v>0.11598959836666815</v>
      </c>
      <c r="V288" s="1192">
        <f t="shared" si="278"/>
        <v>0.11487381367776497</v>
      </c>
      <c r="W288" s="1284">
        <f t="shared" ref="W288:AC288" si="279">V288</f>
        <v>0.11487381367776497</v>
      </c>
      <c r="X288" s="1284">
        <f t="shared" si="279"/>
        <v>0.11487381367776497</v>
      </c>
      <c r="Y288" s="1284">
        <f t="shared" si="279"/>
        <v>0.11487381367776497</v>
      </c>
      <c r="Z288" s="1284">
        <f t="shared" si="279"/>
        <v>0.11487381367776497</v>
      </c>
      <c r="AA288" s="1284">
        <f t="shared" si="279"/>
        <v>0.11487381367776497</v>
      </c>
      <c r="AB288" s="1284">
        <f t="shared" si="279"/>
        <v>0.11487381367776497</v>
      </c>
      <c r="AC288" s="1284">
        <f t="shared" si="279"/>
        <v>0.11487381367776497</v>
      </c>
      <c r="AD288" s="685"/>
      <c r="AE288" s="685"/>
      <c r="AF288" s="685"/>
      <c r="AG288" s="685"/>
      <c r="AH288" s="685"/>
      <c r="AI288" s="685"/>
      <c r="AJ288" s="685"/>
      <c r="AK288" s="685"/>
      <c r="AL288" s="685"/>
      <c r="AM288" s="685"/>
      <c r="AN288" s="685"/>
      <c r="AO288" s="685"/>
      <c r="AP288" s="685"/>
      <c r="AQ288" s="685"/>
      <c r="AR288" s="685"/>
      <c r="AS288" s="685"/>
      <c r="AT288" s="685"/>
      <c r="AU288" s="685"/>
      <c r="AV288" s="685"/>
      <c r="AW288" s="685"/>
      <c r="AX288" s="685"/>
      <c r="AY288" s="685"/>
    </row>
    <row r="289" spans="1:51">
      <c r="A289" s="685"/>
      <c r="B289" s="1189" t="s">
        <v>280</v>
      </c>
      <c r="C289" s="1197"/>
      <c r="D289" s="1197" t="e">
        <f>#REF!-D287</f>
        <v>#REF!</v>
      </c>
      <c r="E289" s="1197">
        <f t="shared" ref="E289:AC289" si="280">D287-E287</f>
        <v>0</v>
      </c>
      <c r="F289" s="1197">
        <f t="shared" si="280"/>
        <v>0</v>
      </c>
      <c r="G289" s="1197">
        <f t="shared" si="280"/>
        <v>0</v>
      </c>
      <c r="H289" s="1197">
        <f t="shared" si="280"/>
        <v>0</v>
      </c>
      <c r="I289" s="1197">
        <f t="shared" si="280"/>
        <v>-17701</v>
      </c>
      <c r="J289" s="1197">
        <f t="shared" si="280"/>
        <v>-1543</v>
      </c>
      <c r="K289" s="1197">
        <f t="shared" si="280"/>
        <v>262</v>
      </c>
      <c r="L289" s="1197">
        <f t="shared" si="280"/>
        <v>-1752</v>
      </c>
      <c r="M289" s="1197">
        <f t="shared" si="280"/>
        <v>-353</v>
      </c>
      <c r="N289" s="1197">
        <f t="shared" si="280"/>
        <v>-615.09999999999854</v>
      </c>
      <c r="O289" s="1197">
        <f t="shared" si="280"/>
        <v>-3204.3000000000029</v>
      </c>
      <c r="P289" s="1197">
        <f t="shared" si="280"/>
        <v>179.30000000000291</v>
      </c>
      <c r="Q289" s="1197">
        <f t="shared" si="280"/>
        <v>4446.0999999999985</v>
      </c>
      <c r="R289" s="1197">
        <f t="shared" si="280"/>
        <v>-4570</v>
      </c>
      <c r="S289" s="1197">
        <f t="shared" si="280"/>
        <v>-495.20000000000073</v>
      </c>
      <c r="T289" s="1197">
        <f t="shared" si="280"/>
        <v>-5712.8999999999978</v>
      </c>
      <c r="U289" s="1197">
        <f t="shared" si="280"/>
        <v>22298.799999999999</v>
      </c>
      <c r="V289" s="1197">
        <f t="shared" si="280"/>
        <v>286.29999999999927</v>
      </c>
      <c r="W289" s="1197">
        <f t="shared" si="280"/>
        <v>-202.02857611508443</v>
      </c>
      <c r="X289" s="1197">
        <f t="shared" si="280"/>
        <v>202.02857611508443</v>
      </c>
      <c r="Y289" s="1197">
        <f t="shared" si="280"/>
        <v>1087.3666795289828</v>
      </c>
      <c r="Z289" s="1197">
        <f t="shared" si="280"/>
        <v>81.371646626395886</v>
      </c>
      <c r="AA289" s="1197">
        <f t="shared" si="280"/>
        <v>-18.782878879618693</v>
      </c>
      <c r="AB289" s="1197">
        <f t="shared" si="280"/>
        <v>-64.996784376156938</v>
      </c>
      <c r="AC289" s="1197">
        <f t="shared" si="280"/>
        <v>-115.83753905174854</v>
      </c>
      <c r="AD289" s="685"/>
      <c r="AE289" s="685"/>
      <c r="AF289" s="685"/>
      <c r="AG289" s="685"/>
      <c r="AH289" s="685"/>
      <c r="AI289" s="685"/>
      <c r="AJ289" s="685"/>
      <c r="AK289" s="685"/>
      <c r="AL289" s="685"/>
      <c r="AM289" s="685"/>
      <c r="AN289" s="685"/>
      <c r="AO289" s="685"/>
      <c r="AP289" s="685"/>
      <c r="AQ289" s="685"/>
      <c r="AR289" s="685"/>
      <c r="AS289" s="685"/>
      <c r="AT289" s="685"/>
      <c r="AU289" s="685"/>
      <c r="AV289" s="685"/>
      <c r="AW289" s="685"/>
      <c r="AX289" s="685"/>
      <c r="AY289" s="685"/>
    </row>
    <row r="290" spans="1:51">
      <c r="A290" s="685"/>
      <c r="B290" s="1189" t="s">
        <v>281</v>
      </c>
      <c r="C290" s="1259"/>
      <c r="D290" s="1260"/>
      <c r="E290" s="1260"/>
      <c r="F290" s="1260"/>
      <c r="G290" s="1260"/>
      <c r="H290" s="1260"/>
      <c r="I290" s="1260">
        <f>59775-I130-I131-I132</f>
        <v>5572</v>
      </c>
      <c r="J290" s="1260">
        <f>50660-J130-J131-J132</f>
        <v>4978</v>
      </c>
      <c r="K290" s="1260">
        <f>54638-K130-K131-K132</f>
        <v>6766</v>
      </c>
      <c r="L290" s="1260">
        <f>53474-L130-L131-L132</f>
        <v>4554</v>
      </c>
      <c r="M290" s="1260">
        <f>78907.4-M130-M131-M132</f>
        <v>13993.099999999999</v>
      </c>
      <c r="N290" s="1260">
        <f>89938.1-N130-N131-N132</f>
        <v>5672.9000000000051</v>
      </c>
      <c r="O290" s="1260">
        <f>95968.7-O130-O131-O132</f>
        <v>9326.7000000000044</v>
      </c>
      <c r="P290" s="1260">
        <f>87045-P130-P131-P132</f>
        <v>12755.900000000001</v>
      </c>
      <c r="Q290" s="1260">
        <f>72139-Q130-Q131-Q132</f>
        <v>4282.5999999999985</v>
      </c>
      <c r="R290" s="1260">
        <f>68028-R130-R131-R132</f>
        <v>3906.3999999999942</v>
      </c>
      <c r="S290" s="1260">
        <f>69519-S130-S131-S132</f>
        <v>6828.5</v>
      </c>
      <c r="T290" s="1260">
        <f>72958.7-T130-T131-T132</f>
        <v>9433.8999999999796</v>
      </c>
      <c r="U290" s="1260">
        <f>81533.7-U130-U131-U132</f>
        <v>20194.099999999999</v>
      </c>
      <c r="V290" s="1260">
        <f>62967.2-V130-V131-V132</f>
        <v>20645.599999999999</v>
      </c>
      <c r="W290" s="1197">
        <f t="shared" ref="W290:AC290" si="281">W291*U5</f>
        <v>25902.602736000001</v>
      </c>
      <c r="X290" s="1197">
        <f t="shared" si="281"/>
        <v>25299.438984</v>
      </c>
      <c r="Y290" s="1197">
        <f t="shared" si="281"/>
        <v>22053.065729105245</v>
      </c>
      <c r="Z290" s="1197">
        <f t="shared" si="281"/>
        <v>21810.127682273509</v>
      </c>
      <c r="AA290" s="1197">
        <f t="shared" si="281"/>
        <v>21866.204658690644</v>
      </c>
      <c r="AB290" s="1197">
        <f t="shared" si="281"/>
        <v>22060.254951407278</v>
      </c>
      <c r="AC290" s="1197">
        <f t="shared" si="281"/>
        <v>22406.092188992414</v>
      </c>
      <c r="AD290" s="685"/>
      <c r="AE290" s="685"/>
      <c r="AF290" s="685"/>
      <c r="AG290" s="685"/>
      <c r="AH290" s="685"/>
      <c r="AI290" s="685"/>
      <c r="AJ290" s="685"/>
      <c r="AK290" s="685"/>
      <c r="AL290" s="685"/>
      <c r="AM290" s="685"/>
      <c r="AN290" s="685"/>
      <c r="AO290" s="685"/>
      <c r="AP290" s="685"/>
      <c r="AQ290" s="685"/>
      <c r="AR290" s="685"/>
      <c r="AS290" s="685"/>
      <c r="AT290" s="685"/>
      <c r="AU290" s="685"/>
      <c r="AV290" s="685"/>
      <c r="AW290" s="685"/>
      <c r="AX290" s="685"/>
      <c r="AY290" s="685"/>
    </row>
    <row r="291" spans="1:51">
      <c r="A291" s="685"/>
      <c r="B291" s="1189" t="s">
        <v>278</v>
      </c>
      <c r="C291" s="1192"/>
      <c r="D291" s="1192"/>
      <c r="E291" s="1192"/>
      <c r="F291" s="1192"/>
      <c r="G291" s="1192"/>
      <c r="H291" s="1192">
        <f t="shared" ref="H291:V291" si="282">H290/H5</f>
        <v>0</v>
      </c>
      <c r="I291" s="1192">
        <f t="shared" si="282"/>
        <v>9.6306743546134596E-2</v>
      </c>
      <c r="J291" s="1192">
        <f t="shared" si="282"/>
        <v>7.9544274266356657E-2</v>
      </c>
      <c r="K291" s="1192">
        <f t="shared" si="282"/>
        <v>9.7647004491242667E-2</v>
      </c>
      <c r="L291" s="1192">
        <f t="shared" si="282"/>
        <v>6.1712668849331104E-2</v>
      </c>
      <c r="M291" s="1192">
        <f t="shared" si="282"/>
        <v>0.17465526021488198</v>
      </c>
      <c r="N291" s="1192">
        <f t="shared" si="282"/>
        <v>6.442670240312548E-2</v>
      </c>
      <c r="O291" s="1192">
        <f t="shared" si="282"/>
        <v>9.6863140971715972E-2</v>
      </c>
      <c r="P291" s="1192">
        <f t="shared" si="282"/>
        <v>0.1353052240784938</v>
      </c>
      <c r="Q291" s="1192">
        <f t="shared" si="282"/>
        <v>4.2272233738031767E-2</v>
      </c>
      <c r="R291" s="1192">
        <f t="shared" si="282"/>
        <v>3.8811492430248742E-2</v>
      </c>
      <c r="S291" s="1192">
        <f t="shared" si="282"/>
        <v>7.0296680094257366E-2</v>
      </c>
      <c r="T291" s="1192">
        <f t="shared" si="282"/>
        <v>9.1129597823839809E-2</v>
      </c>
      <c r="U291" s="1192">
        <f t="shared" si="282"/>
        <v>0.26737732136757114</v>
      </c>
      <c r="V291" s="1192">
        <f t="shared" si="282"/>
        <v>0.27987241062847112</v>
      </c>
      <c r="W291" s="1284">
        <v>0.34295999999999999</v>
      </c>
      <c r="X291" s="1284">
        <f t="shared" ref="X291:AC291" si="283">W291</f>
        <v>0.34295999999999999</v>
      </c>
      <c r="Y291" s="1284">
        <f t="shared" si="283"/>
        <v>0.34295999999999999</v>
      </c>
      <c r="Z291" s="1284">
        <f t="shared" si="283"/>
        <v>0.34295999999999999</v>
      </c>
      <c r="AA291" s="1284">
        <f t="shared" si="283"/>
        <v>0.34295999999999999</v>
      </c>
      <c r="AB291" s="1284">
        <f t="shared" si="283"/>
        <v>0.34295999999999999</v>
      </c>
      <c r="AC291" s="1284">
        <f t="shared" si="283"/>
        <v>0.34295999999999999</v>
      </c>
      <c r="AD291" s="1653"/>
      <c r="AE291" s="685"/>
      <c r="AF291" s="685"/>
      <c r="AG291" s="685"/>
      <c r="AH291" s="685"/>
      <c r="AI291" s="685"/>
      <c r="AJ291" s="685"/>
      <c r="AK291" s="685"/>
      <c r="AL291" s="685"/>
      <c r="AM291" s="685"/>
      <c r="AN291" s="685"/>
      <c r="AO291" s="685"/>
      <c r="AP291" s="685"/>
      <c r="AQ291" s="685"/>
      <c r="AR291" s="685"/>
      <c r="AS291" s="685"/>
      <c r="AT291" s="685"/>
      <c r="AU291" s="685"/>
      <c r="AV291" s="685"/>
      <c r="AW291" s="685"/>
      <c r="AX291" s="685"/>
      <c r="AY291" s="685"/>
    </row>
    <row r="292" spans="1:51">
      <c r="A292" s="685"/>
      <c r="B292" s="1189" t="s">
        <v>282</v>
      </c>
      <c r="C292" s="1197"/>
      <c r="D292" s="1197" t="e">
        <f>#REF!-D290</f>
        <v>#REF!</v>
      </c>
      <c r="E292" s="1197">
        <f t="shared" ref="E292:AC292" si="284">D290-E290</f>
        <v>0</v>
      </c>
      <c r="F292" s="1197">
        <f t="shared" si="284"/>
        <v>0</v>
      </c>
      <c r="G292" s="1197">
        <f t="shared" si="284"/>
        <v>0</v>
      </c>
      <c r="H292" s="1197">
        <f t="shared" si="284"/>
        <v>0</v>
      </c>
      <c r="I292" s="1197">
        <f t="shared" si="284"/>
        <v>-5572</v>
      </c>
      <c r="J292" s="1197">
        <f t="shared" si="284"/>
        <v>594</v>
      </c>
      <c r="K292" s="1197">
        <f t="shared" si="284"/>
        <v>-1788</v>
      </c>
      <c r="L292" s="1197">
        <f t="shared" si="284"/>
        <v>2212</v>
      </c>
      <c r="M292" s="1197">
        <f t="shared" si="284"/>
        <v>-9439.0999999999985</v>
      </c>
      <c r="N292" s="1197">
        <f>M290-N290</f>
        <v>8320.1999999999935</v>
      </c>
      <c r="O292" s="1197">
        <f t="shared" si="284"/>
        <v>-3653.7999999999993</v>
      </c>
      <c r="P292" s="1197">
        <f t="shared" si="284"/>
        <v>-3429.1999999999971</v>
      </c>
      <c r="Q292" s="1197">
        <f t="shared" si="284"/>
        <v>8473.3000000000029</v>
      </c>
      <c r="R292" s="1197">
        <f t="shared" si="284"/>
        <v>376.20000000000437</v>
      </c>
      <c r="S292" s="1197">
        <f t="shared" si="284"/>
        <v>-2922.1000000000058</v>
      </c>
      <c r="T292" s="1197">
        <f t="shared" si="284"/>
        <v>-2605.3999999999796</v>
      </c>
      <c r="U292" s="1197">
        <f t="shared" si="284"/>
        <v>-10760.200000000019</v>
      </c>
      <c r="V292" s="1197">
        <f t="shared" si="284"/>
        <v>-451.5</v>
      </c>
      <c r="W292" s="1197">
        <f t="shared" si="284"/>
        <v>-5257.0027360000022</v>
      </c>
      <c r="X292" s="1197">
        <f t="shared" si="284"/>
        <v>603.16375200000039</v>
      </c>
      <c r="Y292" s="1197">
        <f t="shared" si="284"/>
        <v>3246.3732548947555</v>
      </c>
      <c r="Z292" s="1197">
        <f t="shared" si="284"/>
        <v>242.93804683173585</v>
      </c>
      <c r="AA292" s="1197">
        <f t="shared" si="284"/>
        <v>-56.076976417134574</v>
      </c>
      <c r="AB292" s="1197">
        <f t="shared" si="284"/>
        <v>-194.05029271663443</v>
      </c>
      <c r="AC292" s="1197">
        <f t="shared" si="284"/>
        <v>-345.83723758513588</v>
      </c>
      <c r="AD292" s="685"/>
      <c r="AE292" s="685"/>
      <c r="AF292" s="685"/>
      <c r="AG292" s="685"/>
      <c r="AH292" s="685"/>
      <c r="AI292" s="685"/>
      <c r="AJ292" s="685"/>
      <c r="AK292" s="685"/>
      <c r="AL292" s="685"/>
      <c r="AM292" s="685"/>
      <c r="AN292" s="685"/>
      <c r="AO292" s="685"/>
      <c r="AP292" s="685"/>
      <c r="AQ292" s="685"/>
      <c r="AR292" s="685"/>
      <c r="AS292" s="685"/>
      <c r="AT292" s="685"/>
      <c r="AU292" s="685"/>
      <c r="AV292" s="685"/>
      <c r="AW292" s="685"/>
      <c r="AX292" s="685"/>
      <c r="AY292" s="685"/>
    </row>
    <row r="293" spans="1:51">
      <c r="A293" s="685"/>
      <c r="B293" s="1189"/>
      <c r="C293" s="1189"/>
      <c r="D293" s="1189"/>
      <c r="E293" s="1189"/>
      <c r="F293" s="1189"/>
      <c r="G293" s="1189"/>
      <c r="H293" s="1189"/>
      <c r="I293" s="1189"/>
      <c r="J293" s="1189"/>
      <c r="K293" s="1189"/>
      <c r="L293" s="1189"/>
      <c r="M293" s="1189"/>
      <c r="N293" s="1189"/>
      <c r="O293" s="1189"/>
      <c r="P293" s="1189"/>
      <c r="Q293" s="1189"/>
      <c r="R293" s="1189"/>
      <c r="S293" s="1189"/>
      <c r="T293" s="1189"/>
      <c r="U293" s="1189"/>
      <c r="V293" s="1189"/>
      <c r="W293" s="1189"/>
      <c r="X293" s="1189"/>
      <c r="Y293" s="1189"/>
      <c r="Z293" s="1189"/>
      <c r="AA293" s="1189"/>
      <c r="AB293" s="1189"/>
      <c r="AC293" s="1189"/>
      <c r="AD293" s="685"/>
      <c r="AE293" s="685"/>
      <c r="AF293" s="685"/>
      <c r="AG293" s="685"/>
      <c r="AH293" s="685"/>
      <c r="AI293" s="685"/>
      <c r="AJ293" s="685"/>
      <c r="AK293" s="685"/>
      <c r="AL293" s="685"/>
      <c r="AM293" s="685"/>
      <c r="AN293" s="685"/>
      <c r="AO293" s="685"/>
      <c r="AP293" s="685"/>
      <c r="AQ293" s="685"/>
      <c r="AR293" s="685"/>
      <c r="AS293" s="685"/>
      <c r="AT293" s="685"/>
      <c r="AU293" s="685"/>
      <c r="AV293" s="685"/>
      <c r="AW293" s="685"/>
      <c r="AX293" s="685"/>
      <c r="AY293" s="685"/>
    </row>
    <row r="294" spans="1:51">
      <c r="A294" s="685"/>
      <c r="B294" s="1189" t="s">
        <v>215</v>
      </c>
      <c r="C294" s="1259"/>
      <c r="D294" s="1260"/>
      <c r="E294" s="1260"/>
      <c r="F294" s="1260"/>
      <c r="G294" s="1260"/>
      <c r="H294" s="1260"/>
      <c r="I294" s="1260">
        <v>7472</v>
      </c>
      <c r="J294" s="1260">
        <v>7688</v>
      </c>
      <c r="K294" s="1260">
        <v>8594</v>
      </c>
      <c r="L294" s="1260">
        <v>10186</v>
      </c>
      <c r="M294" s="1260">
        <v>17142</v>
      </c>
      <c r="N294" s="1260">
        <v>17361.5</v>
      </c>
      <c r="O294" s="1260">
        <v>22878.1</v>
      </c>
      <c r="P294" s="1260">
        <v>19960</v>
      </c>
      <c r="Q294" s="1260">
        <v>22030</v>
      </c>
      <c r="R294" s="1260">
        <v>20910</v>
      </c>
      <c r="S294" s="1260">
        <v>21890</v>
      </c>
      <c r="T294" s="1260">
        <v>22588.5</v>
      </c>
      <c r="U294" s="1260">
        <v>16180.5</v>
      </c>
      <c r="V294" s="1260">
        <v>13673.6</v>
      </c>
      <c r="W294" s="1197">
        <f t="shared" ref="W294:AC294" si="285">W295*U5</f>
        <v>13999.592204197219</v>
      </c>
      <c r="X294" s="1197">
        <f t="shared" si="285"/>
        <v>13673.6</v>
      </c>
      <c r="Y294" s="1197">
        <f t="shared" si="285"/>
        <v>11919.031079866947</v>
      </c>
      <c r="Z294" s="1197">
        <f t="shared" si="285"/>
        <v>11787.730236426931</v>
      </c>
      <c r="AA294" s="1197">
        <f t="shared" si="285"/>
        <v>11818.038186940072</v>
      </c>
      <c r="AB294" s="1197">
        <f t="shared" si="285"/>
        <v>11922.916642314844</v>
      </c>
      <c r="AC294" s="1197">
        <f t="shared" si="285"/>
        <v>12109.831461051921</v>
      </c>
      <c r="AD294" s="685"/>
      <c r="AE294" s="685"/>
      <c r="AF294" s="685"/>
      <c r="AG294" s="685"/>
      <c r="AH294" s="685"/>
      <c r="AI294" s="685"/>
      <c r="AJ294" s="685"/>
      <c r="AK294" s="685"/>
      <c r="AL294" s="685"/>
      <c r="AM294" s="685"/>
      <c r="AN294" s="685"/>
      <c r="AO294" s="685"/>
      <c r="AP294" s="685"/>
      <c r="AQ294" s="685"/>
      <c r="AR294" s="685"/>
      <c r="AS294" s="685"/>
      <c r="AT294" s="685"/>
      <c r="AU294" s="685"/>
      <c r="AV294" s="685"/>
      <c r="AW294" s="685"/>
      <c r="AX294" s="685"/>
      <c r="AY294" s="685"/>
    </row>
    <row r="295" spans="1:51">
      <c r="A295" s="685"/>
      <c r="B295" s="1189" t="s">
        <v>278</v>
      </c>
      <c r="C295" s="1192"/>
      <c r="D295" s="1192"/>
      <c r="E295" s="1192"/>
      <c r="F295" s="1192"/>
      <c r="G295" s="1192"/>
      <c r="H295" s="1192">
        <f t="shared" ref="H295:V295" si="286">H294/H5</f>
        <v>0</v>
      </c>
      <c r="I295" s="1192">
        <f t="shared" si="286"/>
        <v>0.12914644432460834</v>
      </c>
      <c r="J295" s="1192">
        <f t="shared" si="286"/>
        <v>0.12284780646037566</v>
      </c>
      <c r="K295" s="1192">
        <f t="shared" si="286"/>
        <v>0.12402872548000879</v>
      </c>
      <c r="L295" s="1192">
        <f t="shared" si="286"/>
        <v>0.13803365061468745</v>
      </c>
      <c r="M295" s="1192">
        <f t="shared" si="286"/>
        <v>0.21395834165435157</v>
      </c>
      <c r="N295" s="1192">
        <f t="shared" si="286"/>
        <v>0.19717326125471313</v>
      </c>
      <c r="O295" s="1192">
        <f t="shared" si="286"/>
        <v>0.23760222002048034</v>
      </c>
      <c r="P295" s="1192">
        <f t="shared" si="286"/>
        <v>0.2117210289047998</v>
      </c>
      <c r="Q295" s="1192">
        <f t="shared" si="286"/>
        <v>0.21745138683249432</v>
      </c>
      <c r="R295" s="1192">
        <f t="shared" si="286"/>
        <v>0.20774838898128772</v>
      </c>
      <c r="S295" s="1192">
        <f t="shared" si="286"/>
        <v>0.22534880680431921</v>
      </c>
      <c r="T295" s="1192">
        <f t="shared" si="286"/>
        <v>0.21820041768980059</v>
      </c>
      <c r="U295" s="1192">
        <f t="shared" si="286"/>
        <v>0.21423577918243372</v>
      </c>
      <c r="V295" s="1192">
        <f t="shared" si="286"/>
        <v>0.18535975675056493</v>
      </c>
      <c r="W295" s="1284">
        <f t="shared" ref="W295:AC295" si="287">V295</f>
        <v>0.18535975675056493</v>
      </c>
      <c r="X295" s="1284">
        <f t="shared" si="287"/>
        <v>0.18535975675056493</v>
      </c>
      <c r="Y295" s="1284">
        <f t="shared" si="287"/>
        <v>0.18535975675056493</v>
      </c>
      <c r="Z295" s="1284">
        <f t="shared" si="287"/>
        <v>0.18535975675056493</v>
      </c>
      <c r="AA295" s="1284">
        <f t="shared" si="287"/>
        <v>0.18535975675056493</v>
      </c>
      <c r="AB295" s="1284">
        <f t="shared" si="287"/>
        <v>0.18535975675056493</v>
      </c>
      <c r="AC295" s="1284">
        <f t="shared" si="287"/>
        <v>0.18535975675056493</v>
      </c>
      <c r="AD295" s="685"/>
      <c r="AE295" s="685"/>
      <c r="AF295" s="685"/>
      <c r="AG295" s="685"/>
      <c r="AH295" s="685"/>
      <c r="AI295" s="685"/>
      <c r="AJ295" s="685"/>
      <c r="AK295" s="685"/>
      <c r="AL295" s="685"/>
      <c r="AM295" s="685"/>
      <c r="AN295" s="685"/>
      <c r="AO295" s="685"/>
      <c r="AP295" s="685"/>
      <c r="AQ295" s="685"/>
      <c r="AR295" s="685"/>
      <c r="AS295" s="685"/>
      <c r="AT295" s="685"/>
      <c r="AU295" s="685"/>
      <c r="AV295" s="685"/>
      <c r="AW295" s="685"/>
      <c r="AX295" s="685"/>
      <c r="AY295" s="685"/>
    </row>
    <row r="296" spans="1:51">
      <c r="A296" s="685"/>
      <c r="B296" s="1189" t="s">
        <v>283</v>
      </c>
      <c r="C296" s="1197"/>
      <c r="D296" s="1197" t="e">
        <f>#REF!-D294</f>
        <v>#REF!</v>
      </c>
      <c r="E296" s="1197">
        <f t="shared" ref="E296:AC296" si="288">D294-E294</f>
        <v>0</v>
      </c>
      <c r="F296" s="1197">
        <f t="shared" si="288"/>
        <v>0</v>
      </c>
      <c r="G296" s="1197">
        <f t="shared" si="288"/>
        <v>0</v>
      </c>
      <c r="H296" s="1197">
        <f t="shared" si="288"/>
        <v>0</v>
      </c>
      <c r="I296" s="1197">
        <f t="shared" si="288"/>
        <v>-7472</v>
      </c>
      <c r="J296" s="1197">
        <f t="shared" si="288"/>
        <v>-216</v>
      </c>
      <c r="K296" s="1197">
        <f t="shared" si="288"/>
        <v>-906</v>
      </c>
      <c r="L296" s="1197">
        <f t="shared" si="288"/>
        <v>-1592</v>
      </c>
      <c r="M296" s="1197">
        <f t="shared" si="288"/>
        <v>-6956</v>
      </c>
      <c r="N296" s="1197">
        <f t="shared" si="288"/>
        <v>-219.5</v>
      </c>
      <c r="O296" s="1197">
        <f t="shared" si="288"/>
        <v>-5516.5999999999985</v>
      </c>
      <c r="P296" s="1197">
        <f t="shared" si="288"/>
        <v>2918.0999999999985</v>
      </c>
      <c r="Q296" s="1197">
        <f t="shared" si="288"/>
        <v>-2070</v>
      </c>
      <c r="R296" s="1197">
        <f t="shared" si="288"/>
        <v>1120</v>
      </c>
      <c r="S296" s="1197">
        <f t="shared" si="288"/>
        <v>-980</v>
      </c>
      <c r="T296" s="1197">
        <f t="shared" si="288"/>
        <v>-698.5</v>
      </c>
      <c r="U296" s="1197">
        <f t="shared" si="288"/>
        <v>6408</v>
      </c>
      <c r="V296" s="1197">
        <f t="shared" si="288"/>
        <v>2506.8999999999996</v>
      </c>
      <c r="W296" s="1197">
        <f t="shared" si="288"/>
        <v>-325.9922041972186</v>
      </c>
      <c r="X296" s="1197">
        <f t="shared" si="288"/>
        <v>325.9922041972186</v>
      </c>
      <c r="Y296" s="1197">
        <f t="shared" si="288"/>
        <v>1754.5689201330533</v>
      </c>
      <c r="Z296" s="1197">
        <f t="shared" si="288"/>
        <v>131.30084344001625</v>
      </c>
      <c r="AA296" s="1197">
        <f t="shared" si="288"/>
        <v>-30.307950513140895</v>
      </c>
      <c r="AB296" s="1197">
        <f t="shared" si="288"/>
        <v>-104.87845537477187</v>
      </c>
      <c r="AC296" s="1197">
        <f t="shared" si="288"/>
        <v>-186.91481873707744</v>
      </c>
      <c r="AD296" s="685"/>
      <c r="AE296" s="685"/>
      <c r="AF296" s="685"/>
      <c r="AG296" s="685"/>
      <c r="AH296" s="685"/>
      <c r="AI296" s="685"/>
      <c r="AJ296" s="685"/>
      <c r="AK296" s="685"/>
      <c r="AL296" s="685"/>
      <c r="AM296" s="685"/>
      <c r="AN296" s="685"/>
      <c r="AO296" s="685"/>
      <c r="AP296" s="685"/>
      <c r="AQ296" s="685"/>
      <c r="AR296" s="685"/>
      <c r="AS296" s="685"/>
      <c r="AT296" s="685"/>
      <c r="AU296" s="685"/>
      <c r="AV296" s="685"/>
      <c r="AW296" s="685"/>
      <c r="AX296" s="685"/>
      <c r="AY296" s="685"/>
    </row>
    <row r="297" spans="1:51">
      <c r="A297" s="685"/>
      <c r="B297" s="1189" t="s">
        <v>214</v>
      </c>
      <c r="C297" s="1259"/>
      <c r="D297" s="1260"/>
      <c r="E297" s="1260"/>
      <c r="F297" s="1260"/>
      <c r="G297" s="1260"/>
      <c r="H297" s="1260"/>
      <c r="I297" s="1260">
        <f>33309-I143-I144</f>
        <v>24368</v>
      </c>
      <c r="J297" s="1260">
        <f>36002-J143-J144</f>
        <v>27144</v>
      </c>
      <c r="K297" s="1260">
        <f>36246-K143-K144</f>
        <v>27277</v>
      </c>
      <c r="L297" s="1260">
        <f>40173-L143-L144</f>
        <v>29674</v>
      </c>
      <c r="M297" s="1260">
        <f>43475-M143-M144</f>
        <v>25995.9</v>
      </c>
      <c r="N297" s="1260">
        <f>48978-N143-N144</f>
        <v>27452.5</v>
      </c>
      <c r="O297" s="1260">
        <f>57426-O143-O144</f>
        <v>30383.9</v>
      </c>
      <c r="P297" s="1260">
        <f>50765-P143-P144</f>
        <v>28701</v>
      </c>
      <c r="Q297" s="1260">
        <f>48953-Q143-Q144</f>
        <v>24815</v>
      </c>
      <c r="R297" s="1260">
        <f>42369-R143-R144</f>
        <v>20967.099999999999</v>
      </c>
      <c r="S297" s="1260">
        <f>44039-S143-S144</f>
        <v>21532</v>
      </c>
      <c r="T297" s="1260">
        <f>56498.6-T143-T144</f>
        <v>29803.699999999997</v>
      </c>
      <c r="U297" s="1260">
        <f>34969.9-U143-U144</f>
        <v>17789.400000000001</v>
      </c>
      <c r="V297" s="1260">
        <f>35724.3-V143-V144</f>
        <v>12062.700000000004</v>
      </c>
      <c r="W297" s="1197">
        <f t="shared" ref="W297:AC297" si="289">W298*U5</f>
        <v>12537.415600000002</v>
      </c>
      <c r="X297" s="1197">
        <f t="shared" si="289"/>
        <v>12171.703500000001</v>
      </c>
      <c r="Y297" s="1197">
        <f t="shared" si="289"/>
        <v>10224.042019266777</v>
      </c>
      <c r="Z297" s="1197">
        <f t="shared" si="289"/>
        <v>10302.194671472793</v>
      </c>
      <c r="AA297" s="1197">
        <f t="shared" si="289"/>
        <v>10456.197702429628</v>
      </c>
      <c r="AB297" s="1197">
        <f t="shared" si="289"/>
        <v>10677.636814595313</v>
      </c>
      <c r="AC297" s="1197">
        <f t="shared" si="289"/>
        <v>10975.692464866825</v>
      </c>
      <c r="AD297" s="685"/>
      <c r="AE297" s="685"/>
      <c r="AF297" s="685"/>
      <c r="AG297" s="685"/>
      <c r="AH297" s="685"/>
      <c r="AI297" s="685"/>
      <c r="AJ297" s="685"/>
      <c r="AK297" s="685"/>
      <c r="AL297" s="685"/>
      <c r="AM297" s="685"/>
      <c r="AN297" s="685"/>
      <c r="AO297" s="685"/>
      <c r="AP297" s="685"/>
      <c r="AQ297" s="685"/>
      <c r="AR297" s="685"/>
      <c r="AS297" s="685"/>
      <c r="AT297" s="685"/>
      <c r="AU297" s="685"/>
      <c r="AV297" s="685"/>
      <c r="AW297" s="685"/>
      <c r="AX297" s="685"/>
      <c r="AY297" s="685"/>
    </row>
    <row r="298" spans="1:51">
      <c r="A298" s="685"/>
      <c r="B298" s="1189" t="s">
        <v>278</v>
      </c>
      <c r="C298" s="1192"/>
      <c r="D298" s="1192"/>
      <c r="E298" s="1192"/>
      <c r="F298" s="1192"/>
      <c r="G298" s="1192"/>
      <c r="H298" s="1192">
        <f t="shared" ref="H298:V298" si="290">H297/H5</f>
        <v>0</v>
      </c>
      <c r="I298" s="1192">
        <f t="shared" si="290"/>
        <v>0.42117780451044651</v>
      </c>
      <c r="J298" s="1192">
        <f t="shared" si="290"/>
        <v>0.43373840511972384</v>
      </c>
      <c r="K298" s="1192">
        <f t="shared" si="290"/>
        <v>0.39366203687668139</v>
      </c>
      <c r="L298" s="1192">
        <f t="shared" si="290"/>
        <v>0.40212159320049434</v>
      </c>
      <c r="M298" s="1192">
        <f t="shared" si="290"/>
        <v>0.32446853656588254</v>
      </c>
      <c r="N298" s="1192">
        <f t="shared" si="290"/>
        <v>0.31177599600236222</v>
      </c>
      <c r="O298" s="1192">
        <f t="shared" si="290"/>
        <v>0.31555426774427398</v>
      </c>
      <c r="P298" s="1192">
        <f t="shared" si="290"/>
        <v>0.30443914081145584</v>
      </c>
      <c r="Q298" s="1192">
        <f t="shared" si="290"/>
        <v>0.24494126937123681</v>
      </c>
      <c r="R298" s="1192">
        <f t="shared" si="290"/>
        <v>0.20831569806836717</v>
      </c>
      <c r="S298" s="1192">
        <f t="shared" si="290"/>
        <v>0.22166333979491096</v>
      </c>
      <c r="T298" s="1192">
        <f t="shared" si="290"/>
        <v>0.28789781475978971</v>
      </c>
      <c r="U298" s="1192">
        <f t="shared" si="290"/>
        <v>0.23553820773078624</v>
      </c>
      <c r="V298" s="1192">
        <f t="shared" si="290"/>
        <v>0.16352234508505736</v>
      </c>
      <c r="W298" s="1264">
        <v>0.16600000000000001</v>
      </c>
      <c r="X298" s="1264">
        <v>0.16500000000000001</v>
      </c>
      <c r="Y298" s="1264">
        <v>0.159</v>
      </c>
      <c r="Z298" s="1264">
        <v>0.16200000000000001</v>
      </c>
      <c r="AA298" s="1264">
        <v>0.16400000000000001</v>
      </c>
      <c r="AB298" s="1264">
        <v>0.16600000000000001</v>
      </c>
      <c r="AC298" s="1264">
        <v>0.16800000000000001</v>
      </c>
      <c r="AD298" s="685"/>
      <c r="AE298" s="685"/>
      <c r="AF298" s="685"/>
      <c r="AG298" s="685"/>
      <c r="AH298" s="685"/>
      <c r="AI298" s="685"/>
      <c r="AJ298" s="685"/>
      <c r="AK298" s="685"/>
      <c r="AL298" s="685"/>
      <c r="AM298" s="685"/>
      <c r="AN298" s="685"/>
      <c r="AO298" s="685"/>
      <c r="AP298" s="685"/>
      <c r="AQ298" s="685"/>
      <c r="AR298" s="685"/>
      <c r="AS298" s="685"/>
      <c r="AT298" s="685"/>
      <c r="AU298" s="685"/>
      <c r="AV298" s="685"/>
      <c r="AW298" s="685"/>
      <c r="AX298" s="685"/>
      <c r="AY298" s="685"/>
    </row>
    <row r="299" spans="1:51">
      <c r="A299" s="685"/>
      <c r="B299" s="1189" t="s">
        <v>284</v>
      </c>
      <c r="C299" s="1197"/>
      <c r="D299" s="1197" t="e">
        <f>#REF!-D297</f>
        <v>#REF!</v>
      </c>
      <c r="E299" s="1197">
        <f t="shared" ref="E299:AC299" si="291">D297-E297</f>
        <v>0</v>
      </c>
      <c r="F299" s="1197">
        <f t="shared" si="291"/>
        <v>0</v>
      </c>
      <c r="G299" s="1197">
        <f t="shared" si="291"/>
        <v>0</v>
      </c>
      <c r="H299" s="1197">
        <f t="shared" si="291"/>
        <v>0</v>
      </c>
      <c r="I299" s="1197">
        <f t="shared" si="291"/>
        <v>-24368</v>
      </c>
      <c r="J299" s="1197">
        <f t="shared" si="291"/>
        <v>-2776</v>
      </c>
      <c r="K299" s="1197">
        <f t="shared" si="291"/>
        <v>-133</v>
      </c>
      <c r="L299" s="1197">
        <f t="shared" si="291"/>
        <v>-2397</v>
      </c>
      <c r="M299" s="1197">
        <f t="shared" si="291"/>
        <v>3678.0999999999985</v>
      </c>
      <c r="N299" s="1197">
        <f t="shared" si="291"/>
        <v>-1456.5999999999985</v>
      </c>
      <c r="O299" s="1197">
        <f t="shared" si="291"/>
        <v>-2931.4000000000015</v>
      </c>
      <c r="P299" s="1197">
        <f t="shared" si="291"/>
        <v>1682.9000000000015</v>
      </c>
      <c r="Q299" s="1197">
        <f t="shared" si="291"/>
        <v>3886</v>
      </c>
      <c r="R299" s="1197">
        <f t="shared" si="291"/>
        <v>3847.9000000000015</v>
      </c>
      <c r="S299" s="1197">
        <f t="shared" si="291"/>
        <v>-564.90000000000146</v>
      </c>
      <c r="T299" s="1197">
        <f t="shared" si="291"/>
        <v>-8271.6999999999971</v>
      </c>
      <c r="U299" s="1197">
        <f t="shared" si="291"/>
        <v>12014.299999999996</v>
      </c>
      <c r="V299" s="1197">
        <f t="shared" si="291"/>
        <v>5726.6999999999971</v>
      </c>
      <c r="W299" s="1197">
        <f t="shared" si="291"/>
        <v>-474.71559999999772</v>
      </c>
      <c r="X299" s="1197">
        <f t="shared" si="291"/>
        <v>365.71210000000065</v>
      </c>
      <c r="Y299" s="1197">
        <f t="shared" si="291"/>
        <v>1947.6614807332244</v>
      </c>
      <c r="Z299" s="1197">
        <f t="shared" si="291"/>
        <v>-78.152652206015773</v>
      </c>
      <c r="AA299" s="1197">
        <f t="shared" si="291"/>
        <v>-154.00303095683557</v>
      </c>
      <c r="AB299" s="1197">
        <f t="shared" si="291"/>
        <v>-221.43911216568449</v>
      </c>
      <c r="AC299" s="1197">
        <f t="shared" si="291"/>
        <v>-298.05565027151169</v>
      </c>
      <c r="AD299" s="685"/>
      <c r="AE299" s="685"/>
      <c r="AF299" s="685"/>
      <c r="AG299" s="685"/>
      <c r="AH299" s="685"/>
      <c r="AI299" s="685"/>
      <c r="AJ299" s="685"/>
      <c r="AK299" s="685"/>
      <c r="AL299" s="685"/>
      <c r="AM299" s="685"/>
      <c r="AN299" s="685"/>
      <c r="AO299" s="685"/>
      <c r="AP299" s="685"/>
      <c r="AQ299" s="685"/>
      <c r="AR299" s="685"/>
      <c r="AS299" s="685"/>
      <c r="AT299" s="685"/>
      <c r="AU299" s="685"/>
      <c r="AV299" s="685"/>
      <c r="AW299" s="685"/>
      <c r="AX299" s="685"/>
      <c r="AY299" s="685"/>
    </row>
    <row r="300" spans="1:51">
      <c r="A300" s="685"/>
      <c r="B300" s="1189"/>
      <c r="C300" s="1197"/>
      <c r="D300" s="1197"/>
      <c r="E300" s="1197"/>
      <c r="F300" s="1197"/>
      <c r="G300" s="1197"/>
      <c r="H300" s="1197"/>
      <c r="I300" s="1197"/>
      <c r="J300" s="1197"/>
      <c r="K300" s="1197"/>
      <c r="L300" s="1197"/>
      <c r="M300" s="1197"/>
      <c r="N300" s="1197"/>
      <c r="O300" s="1197"/>
      <c r="P300" s="1197"/>
      <c r="Q300" s="1197"/>
      <c r="R300" s="1197"/>
      <c r="S300" s="1197"/>
      <c r="T300" s="1197"/>
      <c r="U300" s="1197"/>
      <c r="V300" s="1197"/>
      <c r="W300" s="1197"/>
      <c r="X300" s="1197"/>
      <c r="Y300" s="1197"/>
      <c r="Z300" s="1197"/>
      <c r="AA300" s="1197"/>
      <c r="AB300" s="1197"/>
      <c r="AC300" s="1197"/>
      <c r="AD300" s="685"/>
      <c r="AE300" s="685"/>
      <c r="AF300" s="685"/>
      <c r="AG300" s="685"/>
      <c r="AH300" s="685"/>
      <c r="AI300" s="685"/>
      <c r="AJ300" s="685"/>
      <c r="AK300" s="685"/>
      <c r="AL300" s="685"/>
      <c r="AM300" s="685"/>
      <c r="AN300" s="685"/>
      <c r="AO300" s="685"/>
      <c r="AP300" s="685"/>
      <c r="AQ300" s="685"/>
      <c r="AR300" s="685"/>
      <c r="AS300" s="685"/>
      <c r="AT300" s="685"/>
      <c r="AU300" s="685"/>
      <c r="AV300" s="685"/>
      <c r="AW300" s="685"/>
      <c r="AX300" s="685"/>
      <c r="AY300" s="685"/>
    </row>
    <row r="301" spans="1:51">
      <c r="A301" s="685"/>
      <c r="B301" s="1187" t="s">
        <v>285</v>
      </c>
      <c r="C301" s="1188"/>
      <c r="D301" s="1188" t="e">
        <f t="shared" ref="D301:Q301" si="292">D286+D289+D292-D296-D299</f>
        <v>#REF!</v>
      </c>
      <c r="E301" s="1188">
        <f t="shared" si="292"/>
        <v>0</v>
      </c>
      <c r="F301" s="1188">
        <f t="shared" si="292"/>
        <v>0</v>
      </c>
      <c r="G301" s="1188">
        <f t="shared" si="292"/>
        <v>0</v>
      </c>
      <c r="H301" s="1188">
        <f t="shared" si="292"/>
        <v>0</v>
      </c>
      <c r="I301" s="1188">
        <f t="shared" si="292"/>
        <v>7312</v>
      </c>
      <c r="J301" s="1188">
        <f>J286+J289+J292-J296-J299</f>
        <v>1914</v>
      </c>
      <c r="K301" s="1188">
        <f t="shared" si="292"/>
        <v>-612</v>
      </c>
      <c r="L301" s="1188">
        <f t="shared" si="292"/>
        <v>3956</v>
      </c>
      <c r="M301" s="1188">
        <f>M286+M289+M292-M296-M299</f>
        <v>-7848.8999999999978</v>
      </c>
      <c r="N301" s="1188">
        <f t="shared" si="292"/>
        <v>10889.599999999993</v>
      </c>
      <c r="O301" s="1188">
        <f t="shared" si="292"/>
        <v>1519.0999999999976</v>
      </c>
      <c r="P301" s="1188">
        <f t="shared" si="292"/>
        <v>-7444.7999999999938</v>
      </c>
      <c r="Q301" s="1188">
        <f t="shared" si="292"/>
        <v>11570.000000000002</v>
      </c>
      <c r="R301" s="1188">
        <f t="shared" ref="R301:X301" si="293">R286+R289+R292-R296-R299</f>
        <v>-9514.2999999999975</v>
      </c>
      <c r="S301" s="1188">
        <f t="shared" si="293"/>
        <v>-2134.7000000000053</v>
      </c>
      <c r="T301" s="1188">
        <f t="shared" si="293"/>
        <v>80.300000000019281</v>
      </c>
      <c r="U301" s="1188">
        <f t="shared" si="293"/>
        <v>-6119.1000000000167</v>
      </c>
      <c r="V301" s="1188">
        <f t="shared" si="293"/>
        <v>-8211.7999999999975</v>
      </c>
      <c r="W301" s="1188">
        <f t="shared" si="293"/>
        <v>-4688.3941526020753</v>
      </c>
      <c r="X301" s="1188">
        <f t="shared" si="293"/>
        <v>143.55866860207107</v>
      </c>
      <c r="Y301" s="1188">
        <f t="shared" ref="Y301:AD301" si="294">Y286+Y289+Y292-Y296-Y299</f>
        <v>793.35701914749006</v>
      </c>
      <c r="Z301" s="1188">
        <f t="shared" si="294"/>
        <v>283.27314464682104</v>
      </c>
      <c r="AA301" s="1188">
        <f t="shared" si="294"/>
        <v>106.65541633951261</v>
      </c>
      <c r="AB301" s="1188">
        <f t="shared" si="294"/>
        <v>57.59614018407683</v>
      </c>
      <c r="AC301" s="1188">
        <f t="shared" si="294"/>
        <v>6.0540251536292544</v>
      </c>
      <c r="AD301" s="1188">
        <f t="shared" si="294"/>
        <v>0</v>
      </c>
      <c r="AE301" s="685"/>
      <c r="AF301" s="685"/>
      <c r="AG301" s="685"/>
      <c r="AH301" s="685"/>
      <c r="AI301" s="685"/>
      <c r="AJ301" s="685"/>
      <c r="AK301" s="685"/>
      <c r="AL301" s="685"/>
      <c r="AM301" s="685"/>
      <c r="AN301" s="685"/>
      <c r="AO301" s="685"/>
      <c r="AP301" s="685"/>
      <c r="AQ301" s="685"/>
      <c r="AR301" s="685"/>
      <c r="AS301" s="685"/>
      <c r="AT301" s="685"/>
      <c r="AU301" s="685"/>
      <c r="AV301" s="685"/>
      <c r="AW301" s="685"/>
      <c r="AX301" s="685"/>
      <c r="AY301" s="685"/>
    </row>
    <row r="302" spans="1:51">
      <c r="A302" s="685"/>
      <c r="B302" s="1187"/>
      <c r="C302" s="1188"/>
      <c r="D302" s="1188"/>
      <c r="E302" s="1188"/>
      <c r="F302" s="1188"/>
      <c r="G302" s="1188"/>
      <c r="H302" s="1188"/>
      <c r="I302" s="1188"/>
      <c r="J302" s="1188"/>
      <c r="K302" s="1188"/>
      <c r="L302" s="1188"/>
      <c r="M302" s="1188"/>
      <c r="N302" s="1188"/>
      <c r="O302" s="1188"/>
      <c r="P302" s="1188"/>
      <c r="Q302" s="1188"/>
      <c r="R302" s="1188"/>
      <c r="S302" s="1188"/>
      <c r="T302" s="1188"/>
      <c r="U302" s="1188"/>
      <c r="V302" s="1188"/>
      <c r="W302" s="1188"/>
      <c r="X302" s="1188"/>
      <c r="Y302" s="1188"/>
      <c r="Z302" s="1188"/>
      <c r="AA302" s="1188"/>
      <c r="AB302" s="1188"/>
      <c r="AC302" s="1188"/>
      <c r="AD302" s="685"/>
      <c r="AE302" s="685"/>
      <c r="AF302" s="685"/>
      <c r="AG302" s="685"/>
      <c r="AH302" s="685"/>
      <c r="AI302" s="685"/>
      <c r="AJ302" s="685"/>
      <c r="AK302" s="685"/>
      <c r="AL302" s="685"/>
      <c r="AM302" s="685"/>
      <c r="AN302" s="685"/>
      <c r="AO302" s="685"/>
      <c r="AP302" s="685"/>
      <c r="AQ302" s="685"/>
      <c r="AR302" s="685"/>
      <c r="AS302" s="685"/>
      <c r="AT302" s="685"/>
      <c r="AU302" s="685"/>
      <c r="AV302" s="685"/>
      <c r="AW302" s="685"/>
      <c r="AX302" s="685"/>
      <c r="AY302" s="685"/>
    </row>
    <row r="303" spans="1:51">
      <c r="A303" s="685"/>
      <c r="B303" s="1187"/>
      <c r="C303" s="1188"/>
      <c r="D303" s="1188"/>
      <c r="E303" s="1188"/>
      <c r="F303" s="1188"/>
      <c r="G303" s="1188"/>
      <c r="H303" s="1188"/>
      <c r="I303" s="1188"/>
      <c r="J303" s="1188"/>
      <c r="K303" s="1188"/>
      <c r="L303" s="1188"/>
      <c r="M303" s="1188"/>
      <c r="N303" s="1188"/>
      <c r="O303" s="1188"/>
      <c r="P303" s="1188"/>
      <c r="Q303" s="1188"/>
      <c r="R303" s="1188"/>
      <c r="S303" s="1188"/>
      <c r="T303" s="1188"/>
      <c r="U303" s="1188"/>
      <c r="V303" s="1188"/>
      <c r="W303" s="1188"/>
      <c r="X303" s="1188"/>
      <c r="Y303" s="1188"/>
      <c r="Z303" s="1188"/>
      <c r="AA303" s="1188"/>
      <c r="AB303" s="1188"/>
      <c r="AC303" s="1188"/>
      <c r="AD303" s="685"/>
      <c r="AE303" s="685"/>
      <c r="AF303" s="685"/>
      <c r="AG303" s="685"/>
      <c r="AH303" s="685"/>
      <c r="AI303" s="685"/>
      <c r="AJ303" s="685"/>
      <c r="AK303" s="685"/>
      <c r="AL303" s="685"/>
      <c r="AM303" s="685"/>
      <c r="AN303" s="685"/>
      <c r="AO303" s="685"/>
      <c r="AP303" s="685"/>
      <c r="AQ303" s="685"/>
      <c r="AR303" s="685"/>
      <c r="AS303" s="685"/>
      <c r="AT303" s="685"/>
      <c r="AU303" s="685"/>
      <c r="AV303" s="685"/>
      <c r="AW303" s="685"/>
      <c r="AX303" s="685"/>
      <c r="AY303" s="685"/>
    </row>
    <row r="304" spans="1:51">
      <c r="A304" s="685"/>
      <c r="B304" s="1187"/>
      <c r="C304" s="1188"/>
      <c r="D304" s="1188"/>
      <c r="E304" s="1188"/>
      <c r="F304" s="1188"/>
      <c r="G304" s="1188"/>
      <c r="H304" s="1188"/>
      <c r="I304" s="1188"/>
      <c r="J304" s="1188"/>
      <c r="K304" s="1188"/>
      <c r="L304" s="1188"/>
      <c r="M304" s="1188"/>
      <c r="N304" s="1188"/>
      <c r="O304" s="1188"/>
      <c r="P304" s="1188"/>
      <c r="Q304" s="1188"/>
      <c r="R304" s="1188"/>
      <c r="S304" s="1188"/>
      <c r="T304" s="1188"/>
      <c r="U304" s="1188"/>
      <c r="V304" s="1188"/>
      <c r="W304" s="1188"/>
      <c r="X304" s="1188"/>
      <c r="Y304" s="1188"/>
      <c r="Z304" s="1188"/>
      <c r="AA304" s="1188"/>
      <c r="AB304" s="1188"/>
      <c r="AC304" s="1188"/>
      <c r="AD304" s="685"/>
      <c r="AE304" s="685"/>
      <c r="AF304" s="685"/>
      <c r="AG304" s="685"/>
      <c r="AH304" s="685"/>
      <c r="AI304" s="685"/>
      <c r="AJ304" s="685"/>
      <c r="AK304" s="685"/>
      <c r="AL304" s="685"/>
      <c r="AM304" s="685"/>
      <c r="AN304" s="685"/>
      <c r="AO304" s="685"/>
      <c r="AP304" s="685"/>
      <c r="AQ304" s="685"/>
      <c r="AR304" s="685"/>
      <c r="AS304" s="685"/>
      <c r="AT304" s="685"/>
      <c r="AU304" s="685"/>
      <c r="AV304" s="685"/>
      <c r="AW304" s="685"/>
      <c r="AX304" s="685"/>
      <c r="AY304" s="685"/>
    </row>
    <row r="305" spans="1:51">
      <c r="A305" s="685"/>
      <c r="B305" s="1186" t="s">
        <v>286</v>
      </c>
      <c r="C305" s="1186">
        <v>2004</v>
      </c>
      <c r="D305" s="1186">
        <f>C305+1</f>
        <v>2005</v>
      </c>
      <c r="E305" s="1186">
        <f t="shared" ref="E305:AC305" si="295">D305+1</f>
        <v>2006</v>
      </c>
      <c r="F305" s="1186">
        <f t="shared" si="295"/>
        <v>2007</v>
      </c>
      <c r="G305" s="1186">
        <f t="shared" si="295"/>
        <v>2008</v>
      </c>
      <c r="H305" s="1186">
        <f t="shared" si="295"/>
        <v>2009</v>
      </c>
      <c r="I305" s="1186">
        <f t="shared" si="295"/>
        <v>2010</v>
      </c>
      <c r="J305" s="1186">
        <f t="shared" si="295"/>
        <v>2011</v>
      </c>
      <c r="K305" s="1186">
        <f t="shared" si="295"/>
        <v>2012</v>
      </c>
      <c r="L305" s="1186">
        <f t="shared" si="295"/>
        <v>2013</v>
      </c>
      <c r="M305" s="1186">
        <f t="shared" si="295"/>
        <v>2014</v>
      </c>
      <c r="N305" s="1186">
        <f t="shared" si="295"/>
        <v>2015</v>
      </c>
      <c r="O305" s="1186">
        <f t="shared" si="295"/>
        <v>2016</v>
      </c>
      <c r="P305" s="1186">
        <f t="shared" si="295"/>
        <v>2017</v>
      </c>
      <c r="Q305" s="1186">
        <f t="shared" si="295"/>
        <v>2018</v>
      </c>
      <c r="R305" s="1186">
        <f t="shared" si="295"/>
        <v>2019</v>
      </c>
      <c r="S305" s="1186">
        <f t="shared" si="295"/>
        <v>2020</v>
      </c>
      <c r="T305" s="1186">
        <f t="shared" si="295"/>
        <v>2021</v>
      </c>
      <c r="U305" s="1186">
        <f t="shared" si="295"/>
        <v>2022</v>
      </c>
      <c r="V305" s="1186">
        <f t="shared" si="295"/>
        <v>2023</v>
      </c>
      <c r="W305" s="1186">
        <f t="shared" si="295"/>
        <v>2024</v>
      </c>
      <c r="X305" s="1186">
        <f t="shared" si="295"/>
        <v>2025</v>
      </c>
      <c r="Y305" s="1186">
        <f t="shared" si="295"/>
        <v>2026</v>
      </c>
      <c r="Z305" s="1186">
        <f t="shared" si="295"/>
        <v>2027</v>
      </c>
      <c r="AA305" s="1186">
        <f t="shared" si="295"/>
        <v>2028</v>
      </c>
      <c r="AB305" s="1186">
        <f t="shared" si="295"/>
        <v>2029</v>
      </c>
      <c r="AC305" s="1186">
        <f t="shared" si="295"/>
        <v>2030</v>
      </c>
      <c r="AD305" s="685"/>
      <c r="AE305" s="685"/>
      <c r="AF305" s="685"/>
      <c r="AG305" s="685"/>
      <c r="AH305" s="685"/>
      <c r="AI305" s="685"/>
      <c r="AJ305" s="685"/>
      <c r="AK305" s="685"/>
      <c r="AL305" s="685"/>
      <c r="AM305" s="685"/>
      <c r="AN305" s="685"/>
      <c r="AO305" s="685"/>
      <c r="AP305" s="685"/>
      <c r="AQ305" s="685"/>
      <c r="AR305" s="685"/>
      <c r="AS305" s="685"/>
      <c r="AT305" s="685"/>
      <c r="AU305" s="685"/>
      <c r="AV305" s="685"/>
      <c r="AW305" s="685"/>
      <c r="AX305" s="685"/>
      <c r="AY305" s="685"/>
    </row>
    <row r="306" spans="1:51">
      <c r="A306" s="685"/>
      <c r="B306" s="1189" t="s">
        <v>286</v>
      </c>
      <c r="C306" s="1197"/>
      <c r="D306" s="1197">
        <f t="shared" ref="D306:O306" si="296">D310</f>
        <v>0</v>
      </c>
      <c r="E306" s="1197">
        <f t="shared" si="296"/>
        <v>0</v>
      </c>
      <c r="F306" s="1197">
        <f t="shared" si="296"/>
        <v>0</v>
      </c>
      <c r="G306" s="1197">
        <f t="shared" si="296"/>
        <v>0</v>
      </c>
      <c r="H306" s="1197">
        <f t="shared" si="296"/>
        <v>0</v>
      </c>
      <c r="I306" s="1197">
        <f>I310</f>
        <v>0</v>
      </c>
      <c r="J306" s="1197">
        <f>J310</f>
        <v>0</v>
      </c>
      <c r="K306" s="1197">
        <f>K310</f>
        <v>0</v>
      </c>
      <c r="L306" s="1197">
        <f>L310</f>
        <v>0</v>
      </c>
      <c r="M306" s="1197">
        <f>M310</f>
        <v>0</v>
      </c>
      <c r="N306" s="1197">
        <f t="shared" si="296"/>
        <v>0</v>
      </c>
      <c r="O306" s="1197">
        <f t="shared" si="296"/>
        <v>0</v>
      </c>
      <c r="P306" s="1197">
        <f>P310</f>
        <v>0</v>
      </c>
      <c r="Q306" s="1197">
        <f>Q310</f>
        <v>0</v>
      </c>
      <c r="R306" s="1197">
        <f t="shared" ref="R306:X306" si="297">R310</f>
        <v>0</v>
      </c>
      <c r="S306" s="1197">
        <f t="shared" si="297"/>
        <v>0</v>
      </c>
      <c r="T306" s="1197">
        <f t="shared" si="297"/>
        <v>0</v>
      </c>
      <c r="U306" s="1197">
        <f t="shared" si="297"/>
        <v>0</v>
      </c>
      <c r="V306" s="1197">
        <f t="shared" si="297"/>
        <v>0</v>
      </c>
      <c r="W306" s="1197">
        <f t="shared" si="297"/>
        <v>0</v>
      </c>
      <c r="X306" s="1197">
        <f t="shared" si="297"/>
        <v>0</v>
      </c>
      <c r="Y306" s="1197">
        <f>Y310</f>
        <v>0</v>
      </c>
      <c r="Z306" s="1197">
        <f>Z310</f>
        <v>0</v>
      </c>
      <c r="AA306" s="1197">
        <f>AA310</f>
        <v>0</v>
      </c>
      <c r="AB306" s="1197">
        <f>AB310</f>
        <v>0</v>
      </c>
      <c r="AC306" s="1197">
        <f>AC310</f>
        <v>0</v>
      </c>
      <c r="AD306" s="685"/>
      <c r="AE306" s="685"/>
      <c r="AF306" s="685"/>
      <c r="AG306" s="685"/>
      <c r="AH306" s="685"/>
      <c r="AI306" s="685"/>
      <c r="AJ306" s="685"/>
      <c r="AK306" s="685"/>
      <c r="AL306" s="685"/>
      <c r="AM306" s="685"/>
      <c r="AN306" s="685"/>
      <c r="AO306" s="685"/>
      <c r="AP306" s="685"/>
      <c r="AQ306" s="685"/>
      <c r="AR306" s="685"/>
      <c r="AS306" s="685"/>
      <c r="AT306" s="685"/>
      <c r="AU306" s="685"/>
      <c r="AV306" s="685"/>
      <c r="AW306" s="685"/>
      <c r="AX306" s="685"/>
      <c r="AY306" s="685"/>
    </row>
    <row r="307" spans="1:51">
      <c r="A307" s="685"/>
      <c r="B307" s="1189" t="s">
        <v>264</v>
      </c>
      <c r="C307" s="1197"/>
      <c r="D307" s="1197" t="e">
        <f>#REF!-D306</f>
        <v>#REF!</v>
      </c>
      <c r="E307" s="1197">
        <f t="shared" ref="E307:AC307" si="298">D306-E306</f>
        <v>0</v>
      </c>
      <c r="F307" s="1197">
        <f t="shared" si="298"/>
        <v>0</v>
      </c>
      <c r="G307" s="1197">
        <f t="shared" si="298"/>
        <v>0</v>
      </c>
      <c r="H307" s="1197">
        <f t="shared" si="298"/>
        <v>0</v>
      </c>
      <c r="I307" s="1197">
        <f t="shared" si="298"/>
        <v>0</v>
      </c>
      <c r="J307" s="1197">
        <f t="shared" si="298"/>
        <v>0</v>
      </c>
      <c r="K307" s="1197">
        <f t="shared" si="298"/>
        <v>0</v>
      </c>
      <c r="L307" s="1197">
        <f t="shared" si="298"/>
        <v>0</v>
      </c>
      <c r="M307" s="1197">
        <f t="shared" si="298"/>
        <v>0</v>
      </c>
      <c r="N307" s="1197">
        <f t="shared" si="298"/>
        <v>0</v>
      </c>
      <c r="O307" s="1197">
        <f t="shared" si="298"/>
        <v>0</v>
      </c>
      <c r="P307" s="1197">
        <f t="shared" si="298"/>
        <v>0</v>
      </c>
      <c r="Q307" s="1197">
        <f t="shared" si="298"/>
        <v>0</v>
      </c>
      <c r="R307" s="1197">
        <f t="shared" si="298"/>
        <v>0</v>
      </c>
      <c r="S307" s="1197">
        <f t="shared" si="298"/>
        <v>0</v>
      </c>
      <c r="T307" s="1197">
        <f t="shared" si="298"/>
        <v>0</v>
      </c>
      <c r="U307" s="1197">
        <f t="shared" si="298"/>
        <v>0</v>
      </c>
      <c r="V307" s="1197">
        <f t="shared" si="298"/>
        <v>0</v>
      </c>
      <c r="W307" s="1197">
        <f t="shared" si="298"/>
        <v>0</v>
      </c>
      <c r="X307" s="1197">
        <f t="shared" si="298"/>
        <v>0</v>
      </c>
      <c r="Y307" s="1197">
        <f t="shared" si="298"/>
        <v>0</v>
      </c>
      <c r="Z307" s="1197">
        <f t="shared" si="298"/>
        <v>0</v>
      </c>
      <c r="AA307" s="1197">
        <f t="shared" si="298"/>
        <v>0</v>
      </c>
      <c r="AB307" s="1197">
        <f t="shared" si="298"/>
        <v>0</v>
      </c>
      <c r="AC307" s="1197">
        <f t="shared" si="298"/>
        <v>0</v>
      </c>
      <c r="AD307" s="685"/>
      <c r="AE307" s="685"/>
      <c r="AF307" s="685"/>
      <c r="AG307" s="685"/>
      <c r="AH307" s="685"/>
      <c r="AI307" s="685"/>
      <c r="AJ307" s="685"/>
      <c r="AK307" s="685"/>
      <c r="AL307" s="685"/>
      <c r="AM307" s="685"/>
      <c r="AN307" s="685"/>
      <c r="AO307" s="685"/>
      <c r="AP307" s="685"/>
      <c r="AQ307" s="685"/>
      <c r="AR307" s="685"/>
      <c r="AS307" s="685"/>
      <c r="AT307" s="685"/>
      <c r="AU307" s="685"/>
      <c r="AV307" s="685"/>
      <c r="AW307" s="685"/>
      <c r="AX307" s="685"/>
      <c r="AY307" s="685"/>
    </row>
    <row r="308" spans="1:51">
      <c r="A308" s="685"/>
      <c r="B308" s="1189" t="s">
        <v>287</v>
      </c>
      <c r="C308" s="1197"/>
      <c r="D308" s="1199">
        <v>0</v>
      </c>
      <c r="E308" s="1199">
        <v>0</v>
      </c>
      <c r="F308" s="1199">
        <v>0</v>
      </c>
      <c r="G308" s="1199">
        <v>0</v>
      </c>
      <c r="H308" s="1199">
        <v>0</v>
      </c>
      <c r="I308" s="1199">
        <v>0</v>
      </c>
      <c r="J308" s="1199">
        <v>0</v>
      </c>
      <c r="K308" s="1199">
        <v>0</v>
      </c>
      <c r="L308" s="1199">
        <v>0</v>
      </c>
      <c r="M308" s="1199">
        <v>0</v>
      </c>
      <c r="N308" s="1199">
        <v>0</v>
      </c>
      <c r="O308" s="1199">
        <v>0</v>
      </c>
      <c r="P308" s="1199">
        <v>0</v>
      </c>
      <c r="Q308" s="1199">
        <v>0</v>
      </c>
      <c r="R308" s="1199">
        <v>0</v>
      </c>
      <c r="S308" s="1199">
        <v>0</v>
      </c>
      <c r="T308" s="1199">
        <v>0</v>
      </c>
      <c r="U308" s="1199">
        <v>0</v>
      </c>
      <c r="V308" s="1199">
        <v>0</v>
      </c>
      <c r="W308" s="1199">
        <v>0</v>
      </c>
      <c r="X308" s="1199">
        <v>0</v>
      </c>
      <c r="Y308" s="1199">
        <v>0</v>
      </c>
      <c r="Z308" s="1199">
        <v>0</v>
      </c>
      <c r="AA308" s="1199">
        <v>0</v>
      </c>
      <c r="AB308" s="1199">
        <v>0</v>
      </c>
      <c r="AC308" s="1199">
        <v>0</v>
      </c>
      <c r="AD308" s="685"/>
      <c r="AE308" s="685"/>
      <c r="AF308" s="685"/>
      <c r="AG308" s="685"/>
      <c r="AH308" s="685"/>
      <c r="AI308" s="685"/>
      <c r="AJ308" s="685"/>
      <c r="AK308" s="685"/>
      <c r="AL308" s="685"/>
      <c r="AM308" s="685"/>
      <c r="AN308" s="685"/>
      <c r="AO308" s="685"/>
      <c r="AP308" s="685"/>
      <c r="AQ308" s="685"/>
      <c r="AR308" s="685"/>
      <c r="AS308" s="685"/>
      <c r="AT308" s="685"/>
      <c r="AU308" s="685"/>
      <c r="AV308" s="685"/>
      <c r="AW308" s="685"/>
      <c r="AX308" s="685"/>
      <c r="AY308" s="685"/>
    </row>
    <row r="309" spans="1:51">
      <c r="A309" s="685"/>
      <c r="B309" s="1187"/>
      <c r="C309" s="1188"/>
      <c r="D309" s="1188"/>
      <c r="E309" s="1188"/>
      <c r="F309" s="1188"/>
      <c r="G309" s="1188"/>
      <c r="H309" s="1188"/>
      <c r="I309" s="1188"/>
      <c r="J309" s="1188"/>
      <c r="K309" s="1188"/>
      <c r="L309" s="1188"/>
      <c r="M309" s="1188"/>
      <c r="N309" s="1188"/>
      <c r="O309" s="1188"/>
      <c r="P309" s="1188"/>
      <c r="Q309" s="1188"/>
      <c r="R309" s="1188"/>
      <c r="S309" s="1188"/>
      <c r="T309" s="1188"/>
      <c r="U309" s="1188"/>
      <c r="V309" s="1188"/>
      <c r="W309" s="1188"/>
      <c r="X309" s="1188"/>
      <c r="Y309" s="1188"/>
      <c r="Z309" s="1188"/>
      <c r="AA309" s="1188"/>
      <c r="AB309" s="1188"/>
      <c r="AC309" s="1188"/>
      <c r="AD309" s="685"/>
      <c r="AE309" s="685"/>
      <c r="AF309" s="685"/>
      <c r="AG309" s="685"/>
      <c r="AH309" s="685"/>
      <c r="AI309" s="685"/>
      <c r="AJ309" s="685"/>
      <c r="AK309" s="685"/>
      <c r="AL309" s="685"/>
      <c r="AM309" s="685"/>
      <c r="AN309" s="685"/>
      <c r="AO309" s="685"/>
      <c r="AP309" s="685"/>
      <c r="AQ309" s="685"/>
      <c r="AR309" s="685"/>
      <c r="AS309" s="685"/>
      <c r="AT309" s="685"/>
      <c r="AU309" s="685"/>
      <c r="AV309" s="685"/>
      <c r="AW309" s="685"/>
      <c r="AX309" s="685"/>
      <c r="AY309" s="685"/>
    </row>
    <row r="310" spans="1:51">
      <c r="A310" s="685"/>
      <c r="B310" s="1189" t="s">
        <v>288</v>
      </c>
      <c r="C310" s="1259"/>
      <c r="D310" s="1260"/>
      <c r="E310" s="1260"/>
      <c r="F310" s="1260"/>
      <c r="G310" s="1260"/>
      <c r="H310" s="1260"/>
      <c r="I310" s="1260"/>
      <c r="J310" s="1260"/>
      <c r="K310" s="1260"/>
      <c r="L310" s="1260"/>
      <c r="M310" s="1260"/>
      <c r="N310" s="1260"/>
      <c r="O310" s="1260"/>
      <c r="P310" s="1260"/>
      <c r="Q310" s="1260"/>
      <c r="R310" s="1260"/>
      <c r="S310" s="1260"/>
      <c r="T310" s="1260"/>
      <c r="U310" s="1260"/>
      <c r="V310" s="1260"/>
      <c r="W310" s="1197">
        <f t="shared" ref="W310:AC310" si="299">V310+W311</f>
        <v>0</v>
      </c>
      <c r="X310" s="1197">
        <f t="shared" si="299"/>
        <v>0</v>
      </c>
      <c r="Y310" s="1197">
        <f t="shared" si="299"/>
        <v>0</v>
      </c>
      <c r="Z310" s="1197">
        <f t="shared" si="299"/>
        <v>0</v>
      </c>
      <c r="AA310" s="1197">
        <f t="shared" si="299"/>
        <v>0</v>
      </c>
      <c r="AB310" s="1197">
        <f t="shared" si="299"/>
        <v>0</v>
      </c>
      <c r="AC310" s="1197">
        <f t="shared" si="299"/>
        <v>0</v>
      </c>
      <c r="AD310" s="685"/>
      <c r="AE310" s="685"/>
      <c r="AF310" s="685"/>
      <c r="AG310" s="685"/>
      <c r="AH310" s="685"/>
      <c r="AI310" s="685"/>
      <c r="AJ310" s="685"/>
      <c r="AK310" s="685"/>
      <c r="AL310" s="685"/>
      <c r="AM310" s="685"/>
      <c r="AN310" s="685"/>
      <c r="AO310" s="685"/>
      <c r="AP310" s="685"/>
      <c r="AQ310" s="685"/>
      <c r="AR310" s="685"/>
      <c r="AS310" s="685"/>
      <c r="AT310" s="685"/>
      <c r="AU310" s="685"/>
      <c r="AV310" s="685"/>
      <c r="AW310" s="685"/>
      <c r="AX310" s="685"/>
      <c r="AY310" s="685"/>
    </row>
    <row r="311" spans="1:51">
      <c r="A311" s="685"/>
      <c r="B311" s="1189" t="s">
        <v>289</v>
      </c>
      <c r="C311" s="1197"/>
      <c r="D311" s="1197"/>
      <c r="E311" s="1197"/>
      <c r="F311" s="1197"/>
      <c r="G311" s="1197"/>
      <c r="H311" s="1197"/>
      <c r="I311" s="1197"/>
      <c r="J311" s="1197"/>
      <c r="K311" s="1197"/>
      <c r="L311" s="1197"/>
      <c r="M311" s="1197"/>
      <c r="N311" s="1197"/>
      <c r="O311" s="1197"/>
      <c r="P311" s="1197"/>
      <c r="Q311" s="1197"/>
      <c r="R311" s="1197"/>
      <c r="S311" s="1197"/>
      <c r="T311" s="1197"/>
      <c r="U311" s="1197"/>
      <c r="V311" s="1197"/>
      <c r="W311" s="1199"/>
      <c r="X311" s="1199"/>
      <c r="Y311" s="1199"/>
      <c r="Z311" s="1199"/>
      <c r="AA311" s="1199"/>
      <c r="AB311" s="1199"/>
      <c r="AC311" s="1199"/>
      <c r="AD311" s="685"/>
      <c r="AE311" s="685"/>
      <c r="AF311" s="685"/>
      <c r="AG311" s="685"/>
      <c r="AH311" s="685"/>
      <c r="AI311" s="685"/>
      <c r="AJ311" s="685"/>
      <c r="AK311" s="685"/>
      <c r="AL311" s="685"/>
      <c r="AM311" s="685"/>
      <c r="AN311" s="685"/>
      <c r="AO311" s="685"/>
      <c r="AP311" s="685"/>
      <c r="AQ311" s="685"/>
      <c r="AR311" s="685"/>
      <c r="AS311" s="685"/>
      <c r="AT311" s="685"/>
      <c r="AU311" s="685"/>
      <c r="AV311" s="685"/>
      <c r="AW311" s="685"/>
      <c r="AX311" s="685"/>
      <c r="AY311" s="685"/>
    </row>
    <row r="312" spans="1:51">
      <c r="A312" s="685"/>
      <c r="B312" s="1187"/>
      <c r="C312" s="1188"/>
      <c r="D312" s="1188"/>
      <c r="E312" s="1188"/>
      <c r="F312" s="1188"/>
      <c r="G312" s="1188"/>
      <c r="H312" s="1188"/>
      <c r="I312" s="1188"/>
      <c r="J312" s="1188"/>
      <c r="K312" s="1188"/>
      <c r="L312" s="1188"/>
      <c r="M312" s="1188"/>
      <c r="N312" s="1188"/>
      <c r="O312" s="1188"/>
      <c r="P312" s="1188"/>
      <c r="Q312" s="1188"/>
      <c r="R312" s="1188"/>
      <c r="S312" s="1188"/>
      <c r="T312" s="1188"/>
      <c r="U312" s="1188"/>
      <c r="V312" s="1188"/>
      <c r="W312" s="1188"/>
      <c r="X312" s="1188"/>
      <c r="Y312" s="1188"/>
      <c r="Z312" s="1188"/>
      <c r="AA312" s="1188"/>
      <c r="AB312" s="1188"/>
      <c r="AC312" s="1188"/>
      <c r="AD312" s="685"/>
      <c r="AE312" s="685"/>
      <c r="AF312" s="685"/>
      <c r="AG312" s="685"/>
      <c r="AH312" s="685"/>
      <c r="AI312" s="685"/>
      <c r="AJ312" s="685"/>
      <c r="AK312" s="685"/>
      <c r="AL312" s="685"/>
      <c r="AM312" s="685"/>
      <c r="AN312" s="685"/>
      <c r="AO312" s="685"/>
      <c r="AP312" s="685"/>
      <c r="AQ312" s="685"/>
      <c r="AR312" s="685"/>
      <c r="AS312" s="685"/>
      <c r="AT312" s="685"/>
      <c r="AU312" s="685"/>
      <c r="AV312" s="685"/>
      <c r="AW312" s="685"/>
      <c r="AX312" s="685"/>
      <c r="AY312" s="685"/>
    </row>
    <row r="313" spans="1:51">
      <c r="A313" s="685"/>
      <c r="B313" s="1189" t="s">
        <v>290</v>
      </c>
      <c r="C313" s="1259"/>
      <c r="D313" s="1260"/>
      <c r="E313" s="1260"/>
      <c r="F313" s="1260"/>
      <c r="G313" s="1260"/>
      <c r="H313" s="1260"/>
      <c r="I313" s="1260"/>
      <c r="J313" s="1260"/>
      <c r="K313" s="1260"/>
      <c r="L313" s="1260"/>
      <c r="M313" s="1260"/>
      <c r="N313" s="1260"/>
      <c r="O313" s="1260"/>
      <c r="P313" s="1260"/>
      <c r="Q313" s="1260"/>
      <c r="R313" s="1260"/>
      <c r="S313" s="1260"/>
      <c r="T313" s="1260"/>
      <c r="U313" s="1260"/>
      <c r="V313" s="1260"/>
      <c r="W313" s="1197">
        <f t="shared" ref="W313:AC313" si="300">V313-W9+W314</f>
        <v>0.12839633562477148</v>
      </c>
      <c r="X313" s="1197">
        <f t="shared" si="300"/>
        <v>0.12557297237378706</v>
      </c>
      <c r="Y313" s="1197">
        <f t="shared" si="300"/>
        <v>0.12431032439940859</v>
      </c>
      <c r="Z313" s="1197">
        <f t="shared" si="300"/>
        <v>0.11652201333633072</v>
      </c>
      <c r="AA313" s="1197">
        <f t="shared" si="300"/>
        <v>0.10159626967286539</v>
      </c>
      <c r="AB313" s="1197">
        <f t="shared" si="300"/>
        <v>8.3416404550091583E-2</v>
      </c>
      <c r="AC313" s="1197">
        <f t="shared" si="300"/>
        <v>6.404530242344908E-2</v>
      </c>
      <c r="AD313" s="685"/>
      <c r="AE313" s="685"/>
      <c r="AF313" s="685"/>
      <c r="AG313" s="685"/>
      <c r="AH313" s="685"/>
      <c r="AI313" s="685"/>
      <c r="AJ313" s="685"/>
      <c r="AK313" s="685"/>
      <c r="AL313" s="685"/>
      <c r="AM313" s="685"/>
      <c r="AN313" s="685"/>
      <c r="AO313" s="685"/>
      <c r="AP313" s="685"/>
      <c r="AQ313" s="685"/>
      <c r="AR313" s="685"/>
      <c r="AS313" s="685"/>
      <c r="AT313" s="685"/>
      <c r="AU313" s="685"/>
      <c r="AV313" s="685"/>
      <c r="AW313" s="685"/>
      <c r="AX313" s="685"/>
      <c r="AY313" s="685"/>
    </row>
    <row r="314" spans="1:51">
      <c r="A314" s="685"/>
      <c r="B314" s="1189" t="s">
        <v>291</v>
      </c>
      <c r="C314" s="1259"/>
      <c r="D314" s="1259"/>
      <c r="E314" s="1259"/>
      <c r="F314" s="1259"/>
      <c r="G314" s="1259"/>
      <c r="H314" s="1259"/>
      <c r="I314" s="1259"/>
      <c r="J314" s="1259"/>
      <c r="K314" s="1259"/>
      <c r="L314" s="1259"/>
      <c r="M314" s="1259"/>
      <c r="N314" s="1259"/>
      <c r="O314" s="1259"/>
      <c r="P314" s="1259"/>
      <c r="Q314" s="1259"/>
      <c r="R314" s="1259"/>
      <c r="S314" s="1259"/>
      <c r="T314" s="1259"/>
      <c r="U314" s="1259"/>
      <c r="V314" s="1259"/>
      <c r="W314" s="1199"/>
      <c r="X314" s="1199"/>
      <c r="Y314" s="1199"/>
      <c r="Z314" s="1199"/>
      <c r="AA314" s="1199"/>
      <c r="AB314" s="1199"/>
      <c r="AC314" s="1199"/>
      <c r="AD314" s="685"/>
      <c r="AE314" s="685"/>
      <c r="AF314" s="685"/>
      <c r="AG314" s="685"/>
      <c r="AH314" s="685"/>
      <c r="AI314" s="685"/>
      <c r="AJ314" s="685"/>
      <c r="AK314" s="685"/>
      <c r="AL314" s="685"/>
      <c r="AM314" s="685"/>
      <c r="AN314" s="685"/>
      <c r="AO314" s="685"/>
      <c r="AP314" s="685"/>
      <c r="AQ314" s="685"/>
      <c r="AR314" s="685"/>
      <c r="AS314" s="685"/>
      <c r="AT314" s="685"/>
      <c r="AU314" s="685"/>
      <c r="AV314" s="685"/>
      <c r="AW314" s="685"/>
      <c r="AX314" s="685"/>
      <c r="AY314" s="685"/>
    </row>
    <row r="315" spans="1:51">
      <c r="A315" s="685"/>
      <c r="B315" s="1187"/>
      <c r="C315" s="1188"/>
      <c r="D315" s="1188"/>
      <c r="E315" s="1188"/>
      <c r="F315" s="1188"/>
      <c r="G315" s="1188"/>
      <c r="H315" s="1188"/>
      <c r="I315" s="1188"/>
      <c r="J315" s="1188"/>
      <c r="K315" s="1188"/>
      <c r="L315" s="1188"/>
      <c r="M315" s="1188"/>
      <c r="N315" s="1188"/>
      <c r="O315" s="1188"/>
      <c r="P315" s="1188"/>
      <c r="Q315" s="1188"/>
      <c r="R315" s="1188"/>
      <c r="S315" s="1188"/>
      <c r="T315" s="1188"/>
      <c r="U315" s="1188"/>
      <c r="V315" s="1188"/>
      <c r="W315" s="1188"/>
      <c r="X315" s="1188"/>
      <c r="Y315" s="1188"/>
      <c r="Z315" s="1188"/>
      <c r="AA315" s="1188"/>
      <c r="AB315" s="1188"/>
      <c r="AC315" s="1188"/>
      <c r="AD315" s="685"/>
      <c r="AE315" s="685"/>
      <c r="AF315" s="685"/>
      <c r="AG315" s="685"/>
      <c r="AH315" s="685"/>
      <c r="AI315" s="685"/>
      <c r="AJ315" s="685"/>
      <c r="AK315" s="685"/>
      <c r="AL315" s="685"/>
      <c r="AM315" s="685"/>
      <c r="AN315" s="685"/>
      <c r="AO315" s="685"/>
      <c r="AP315" s="685"/>
      <c r="AQ315" s="685"/>
      <c r="AR315" s="685"/>
      <c r="AS315" s="685"/>
      <c r="AT315" s="685"/>
      <c r="AU315" s="685"/>
      <c r="AV315" s="685"/>
      <c r="AW315" s="685"/>
      <c r="AX315" s="685"/>
      <c r="AY315" s="685"/>
    </row>
    <row r="316" spans="1:51">
      <c r="A316" s="685"/>
      <c r="B316" s="1189" t="s">
        <v>219</v>
      </c>
      <c r="C316" s="1197"/>
      <c r="D316" s="1199"/>
      <c r="E316" s="1199"/>
      <c r="F316" s="1199"/>
      <c r="G316" s="1199"/>
      <c r="H316" s="1199"/>
      <c r="I316" s="1199">
        <f>(84613-I145)-I147-I313</f>
        <v>4808</v>
      </c>
      <c r="J316" s="1199">
        <f>(96204-J145)-J147-J313</f>
        <v>4545</v>
      </c>
      <c r="K316" s="1199">
        <f>(96532-K145)-K147-K313</f>
        <v>7670</v>
      </c>
      <c r="L316" s="1199">
        <f>(115599-L145)-L147-L313</f>
        <v>14562</v>
      </c>
      <c r="M316" s="1199">
        <f>(138979-M145)-M147-M313</f>
        <v>14843.5</v>
      </c>
      <c r="N316" s="1199">
        <f>(181952-N145)-N147-N313</f>
        <v>20922.199999999997</v>
      </c>
      <c r="O316" s="1199">
        <f>(212089.3-O145)-O147-O313</f>
        <v>20584.899999999994</v>
      </c>
      <c r="P316" s="1199">
        <f>(197563-P145)-P147-P313</f>
        <v>21560</v>
      </c>
      <c r="Q316" s="1199">
        <f>(193061-Q145)-Q147-Q313</f>
        <v>16349.300000000003</v>
      </c>
      <c r="R316" s="1199">
        <f>(184922-R145)-R147-R313</f>
        <v>11420.199999999983</v>
      </c>
      <c r="S316" s="1199">
        <f>(183675-S145)-S147-S313</f>
        <v>8407</v>
      </c>
      <c r="T316" s="1199">
        <f>(197113.8-T145)-T147-T313</f>
        <v>9248.8999999999651</v>
      </c>
      <c r="U316" s="1199">
        <f>(155313.4-U145)-U147-U313</f>
        <v>16102.800000000003</v>
      </c>
      <c r="V316" s="1199">
        <f>(128809-V145)-V147-V313</f>
        <v>14536.800000000003</v>
      </c>
      <c r="W316" s="1197">
        <f t="shared" ref="W316:AC316" si="301">V316</f>
        <v>14536.800000000003</v>
      </c>
      <c r="X316" s="1197">
        <f t="shared" si="301"/>
        <v>14536.800000000003</v>
      </c>
      <c r="Y316" s="1197">
        <f t="shared" si="301"/>
        <v>14536.800000000003</v>
      </c>
      <c r="Z316" s="1197">
        <f t="shared" si="301"/>
        <v>14536.800000000003</v>
      </c>
      <c r="AA316" s="1197">
        <f t="shared" si="301"/>
        <v>14536.800000000003</v>
      </c>
      <c r="AB316" s="1197">
        <f t="shared" si="301"/>
        <v>14536.800000000003</v>
      </c>
      <c r="AC316" s="1197">
        <f t="shared" si="301"/>
        <v>14536.800000000003</v>
      </c>
      <c r="AD316" s="685"/>
      <c r="AE316" s="685"/>
      <c r="AF316" s="685"/>
      <c r="AG316" s="685"/>
      <c r="AH316" s="685"/>
      <c r="AI316" s="685"/>
      <c r="AJ316" s="685"/>
      <c r="AK316" s="685"/>
      <c r="AL316" s="685"/>
      <c r="AM316" s="685"/>
      <c r="AN316" s="685"/>
      <c r="AO316" s="685"/>
      <c r="AP316" s="685"/>
      <c r="AQ316" s="685"/>
      <c r="AR316" s="685"/>
      <c r="AS316" s="685"/>
      <c r="AT316" s="685"/>
      <c r="AU316" s="685"/>
      <c r="AV316" s="685"/>
      <c r="AW316" s="685"/>
      <c r="AX316" s="685"/>
      <c r="AY316" s="685"/>
    </row>
    <row r="317" spans="1:51">
      <c r="A317" s="685"/>
      <c r="B317" s="1187"/>
      <c r="C317" s="1188"/>
      <c r="D317" s="1188"/>
      <c r="E317" s="1188"/>
      <c r="F317" s="1188"/>
      <c r="G317" s="1188"/>
      <c r="H317" s="1188"/>
      <c r="I317" s="1188"/>
      <c r="J317" s="1188"/>
      <c r="K317" s="1188"/>
      <c r="L317" s="1188"/>
      <c r="M317" s="1188"/>
      <c r="N317" s="1188"/>
      <c r="O317" s="1188"/>
      <c r="P317" s="1188"/>
      <c r="Q317" s="1188"/>
      <c r="R317" s="1188"/>
      <c r="S317" s="1188"/>
      <c r="T317" s="1188"/>
      <c r="U317" s="1188"/>
      <c r="V317" s="1188"/>
      <c r="W317" s="1188"/>
      <c r="X317" s="1188"/>
      <c r="Y317" s="1188"/>
      <c r="Z317" s="1188"/>
      <c r="AA317" s="1188"/>
      <c r="AB317" s="1188"/>
      <c r="AC317" s="1188"/>
      <c r="AD317" s="685"/>
      <c r="AE317" s="685"/>
      <c r="AF317" s="685"/>
      <c r="AG317" s="685"/>
      <c r="AH317" s="685"/>
      <c r="AI317" s="685"/>
      <c r="AJ317" s="685"/>
      <c r="AK317" s="685"/>
      <c r="AL317" s="685"/>
      <c r="AM317" s="685"/>
      <c r="AN317" s="685"/>
      <c r="AO317" s="685"/>
      <c r="AP317" s="685"/>
      <c r="AQ317" s="685"/>
      <c r="AR317" s="685"/>
      <c r="AS317" s="685"/>
      <c r="AT317" s="685"/>
      <c r="AU317" s="685"/>
      <c r="AV317" s="685"/>
      <c r="AW317" s="685"/>
      <c r="AX317" s="685"/>
      <c r="AY317" s="685"/>
    </row>
    <row r="318" spans="1:51">
      <c r="A318" s="685"/>
      <c r="B318" s="1187"/>
      <c r="C318" s="1188"/>
      <c r="D318" s="1188"/>
      <c r="E318" s="1188"/>
      <c r="F318" s="1188"/>
      <c r="G318" s="1188"/>
      <c r="H318" s="1188"/>
      <c r="I318" s="1188"/>
      <c r="J318" s="1188"/>
      <c r="K318" s="1188"/>
      <c r="L318" s="1188"/>
      <c r="M318" s="1188"/>
      <c r="N318" s="1188"/>
      <c r="O318" s="1188"/>
      <c r="P318" s="1188"/>
      <c r="Q318" s="1188"/>
      <c r="R318" s="1188"/>
      <c r="S318" s="1188"/>
      <c r="T318" s="1188"/>
      <c r="U318" s="1188"/>
      <c r="V318" s="1188"/>
      <c r="W318" s="1188"/>
      <c r="X318" s="1188"/>
      <c r="Y318" s="1188"/>
      <c r="Z318" s="1188"/>
      <c r="AA318" s="1188"/>
      <c r="AB318" s="1188"/>
      <c r="AC318" s="1188"/>
      <c r="AD318" s="685"/>
      <c r="AE318" s="685"/>
      <c r="AF318" s="685"/>
      <c r="AG318" s="685"/>
      <c r="AH318" s="685"/>
      <c r="AI318" s="685"/>
      <c r="AJ318" s="685"/>
      <c r="AK318" s="685"/>
      <c r="AL318" s="685"/>
      <c r="AM318" s="685"/>
      <c r="AN318" s="685"/>
      <c r="AO318" s="685"/>
      <c r="AP318" s="685"/>
      <c r="AQ318" s="685"/>
      <c r="AR318" s="685"/>
      <c r="AS318" s="685"/>
      <c r="AT318" s="685"/>
      <c r="AU318" s="685"/>
      <c r="AV318" s="685"/>
      <c r="AW318" s="685"/>
      <c r="AX318" s="685"/>
      <c r="AY318" s="685"/>
    </row>
    <row r="319" spans="1:51">
      <c r="A319" s="685"/>
      <c r="B319" s="1187"/>
      <c r="C319" s="1188"/>
      <c r="D319" s="1188"/>
      <c r="E319" s="1188"/>
      <c r="F319" s="1188"/>
      <c r="G319" s="1188"/>
      <c r="H319" s="1188"/>
      <c r="I319" s="1188"/>
      <c r="J319" s="1188"/>
      <c r="K319" s="1188"/>
      <c r="L319" s="1188"/>
      <c r="M319" s="1188"/>
      <c r="N319" s="1188"/>
      <c r="O319" s="1188"/>
      <c r="P319" s="1188"/>
      <c r="Q319" s="1188"/>
      <c r="R319" s="1188"/>
      <c r="S319" s="1188"/>
      <c r="T319" s="1188"/>
      <c r="U319" s="1188"/>
      <c r="V319" s="1188"/>
      <c r="W319" s="1188"/>
      <c r="X319" s="1188"/>
      <c r="Y319" s="1188"/>
      <c r="Z319" s="1188"/>
      <c r="AA319" s="1188"/>
      <c r="AB319" s="1188"/>
      <c r="AC319" s="1188"/>
      <c r="AD319" s="685"/>
      <c r="AE319" s="685"/>
      <c r="AF319" s="685"/>
      <c r="AG319" s="685"/>
      <c r="AH319" s="685"/>
      <c r="AI319" s="685"/>
      <c r="AJ319" s="685"/>
      <c r="AK319" s="685"/>
      <c r="AL319" s="685"/>
      <c r="AM319" s="685"/>
      <c r="AN319" s="685"/>
      <c r="AO319" s="685"/>
      <c r="AP319" s="685"/>
      <c r="AQ319" s="685"/>
      <c r="AR319" s="685"/>
      <c r="AS319" s="685"/>
      <c r="AT319" s="685"/>
      <c r="AU319" s="685"/>
      <c r="AV319" s="685"/>
      <c r="AW319" s="685"/>
      <c r="AX319" s="685"/>
      <c r="AY319" s="685"/>
    </row>
    <row r="320" spans="1:51">
      <c r="A320" s="685"/>
      <c r="B320" s="1186" t="s">
        <v>192</v>
      </c>
      <c r="C320" s="1186">
        <v>2004</v>
      </c>
      <c r="D320" s="1186">
        <f>C320+1</f>
        <v>2005</v>
      </c>
      <c r="E320" s="1186">
        <f t="shared" ref="E320:AC320" si="302">D320+1</f>
        <v>2006</v>
      </c>
      <c r="F320" s="1186">
        <f t="shared" si="302"/>
        <v>2007</v>
      </c>
      <c r="G320" s="1186">
        <f t="shared" si="302"/>
        <v>2008</v>
      </c>
      <c r="H320" s="1186">
        <f t="shared" si="302"/>
        <v>2009</v>
      </c>
      <c r="I320" s="1186">
        <f t="shared" si="302"/>
        <v>2010</v>
      </c>
      <c r="J320" s="1186">
        <f t="shared" si="302"/>
        <v>2011</v>
      </c>
      <c r="K320" s="1186">
        <f t="shared" si="302"/>
        <v>2012</v>
      </c>
      <c r="L320" s="1186">
        <f t="shared" si="302"/>
        <v>2013</v>
      </c>
      <c r="M320" s="1186">
        <f t="shared" si="302"/>
        <v>2014</v>
      </c>
      <c r="N320" s="1186">
        <f t="shared" si="302"/>
        <v>2015</v>
      </c>
      <c r="O320" s="1186">
        <f t="shared" si="302"/>
        <v>2016</v>
      </c>
      <c r="P320" s="1186">
        <f t="shared" si="302"/>
        <v>2017</v>
      </c>
      <c r="Q320" s="1186">
        <f t="shared" si="302"/>
        <v>2018</v>
      </c>
      <c r="R320" s="1186">
        <f t="shared" si="302"/>
        <v>2019</v>
      </c>
      <c r="S320" s="1186">
        <f t="shared" si="302"/>
        <v>2020</v>
      </c>
      <c r="T320" s="1186">
        <f t="shared" si="302"/>
        <v>2021</v>
      </c>
      <c r="U320" s="1186">
        <f t="shared" si="302"/>
        <v>2022</v>
      </c>
      <c r="V320" s="1186">
        <f t="shared" si="302"/>
        <v>2023</v>
      </c>
      <c r="W320" s="1186">
        <f t="shared" si="302"/>
        <v>2024</v>
      </c>
      <c r="X320" s="1186">
        <f t="shared" si="302"/>
        <v>2025</v>
      </c>
      <c r="Y320" s="1186">
        <f t="shared" si="302"/>
        <v>2026</v>
      </c>
      <c r="Z320" s="1186">
        <f t="shared" si="302"/>
        <v>2027</v>
      </c>
      <c r="AA320" s="1186">
        <f t="shared" si="302"/>
        <v>2028</v>
      </c>
      <c r="AB320" s="1186">
        <f t="shared" si="302"/>
        <v>2029</v>
      </c>
      <c r="AC320" s="1186">
        <f t="shared" si="302"/>
        <v>2030</v>
      </c>
      <c r="AD320" s="685"/>
      <c r="AE320" s="685"/>
      <c r="AF320" s="685"/>
      <c r="AG320" s="685"/>
      <c r="AH320" s="685"/>
      <c r="AI320" s="685"/>
      <c r="AJ320" s="685"/>
      <c r="AK320" s="685"/>
      <c r="AL320" s="685"/>
      <c r="AM320" s="685"/>
      <c r="AN320" s="685"/>
      <c r="AO320" s="685"/>
      <c r="AP320" s="685"/>
      <c r="AQ320" s="685"/>
      <c r="AR320" s="685"/>
      <c r="AS320" s="685"/>
      <c r="AT320" s="685"/>
      <c r="AU320" s="685"/>
      <c r="AV320" s="685"/>
      <c r="AW320" s="685"/>
      <c r="AX320" s="685"/>
      <c r="AY320" s="685"/>
    </row>
    <row r="321" spans="1:51">
      <c r="A321" s="685"/>
      <c r="B321" s="1189" t="s">
        <v>192</v>
      </c>
      <c r="C321" s="1259"/>
      <c r="D321" s="1260"/>
      <c r="E321" s="1260"/>
      <c r="F321" s="1260"/>
      <c r="G321" s="1260"/>
      <c r="H321" s="1260">
        <v>3121</v>
      </c>
      <c r="I321" s="1260">
        <v>3259</v>
      </c>
      <c r="J321" s="1260">
        <v>3410</v>
      </c>
      <c r="K321" s="1260">
        <v>4053</v>
      </c>
      <c r="L321" s="1260">
        <v>3729</v>
      </c>
      <c r="M321" s="1260">
        <v>2983</v>
      </c>
      <c r="N321" s="1260">
        <v>6332.2</v>
      </c>
      <c r="O321" s="1260">
        <v>2872.2</v>
      </c>
      <c r="P321" s="1260">
        <v>4274</v>
      </c>
      <c r="Q321" s="1260">
        <v>4391</v>
      </c>
      <c r="R321" s="1260">
        <v>2776.5</v>
      </c>
      <c r="S321" s="1260">
        <v>5004.6000000000004</v>
      </c>
      <c r="T321" s="1260">
        <v>7493.9</v>
      </c>
      <c r="U321" s="1260">
        <v>-967.4</v>
      </c>
      <c r="V321" s="1260">
        <v>2440.9</v>
      </c>
      <c r="W321" s="1197">
        <f t="shared" ref="W321:AC321" ca="1" si="303">W322+W323</f>
        <v>-746.5544852392967</v>
      </c>
      <c r="X321" s="1197">
        <f t="shared" ca="1" si="303"/>
        <v>-455.97547571896786</v>
      </c>
      <c r="Y321" s="1197">
        <f t="shared" ca="1" si="303"/>
        <v>-369.65278184170018</v>
      </c>
      <c r="Z321" s="1197">
        <f t="shared" ca="1" si="303"/>
        <v>-228.11978514094324</v>
      </c>
      <c r="AA321" s="1197">
        <f t="shared" ca="1" si="303"/>
        <v>-15.50624060775117</v>
      </c>
      <c r="AB321" s="1197">
        <f t="shared" ca="1" si="303"/>
        <v>234.07218772027571</v>
      </c>
      <c r="AC321" s="1197">
        <f t="shared" ca="1" si="303"/>
        <v>498.6733193940974</v>
      </c>
      <c r="AD321" s="685"/>
      <c r="AE321" s="685"/>
      <c r="AF321" s="685"/>
      <c r="AG321" s="685"/>
      <c r="AH321" s="685"/>
      <c r="AI321" s="685"/>
      <c r="AJ321" s="685"/>
      <c r="AK321" s="685"/>
      <c r="AL321" s="685"/>
      <c r="AM321" s="685"/>
      <c r="AN321" s="685"/>
      <c r="AO321" s="685"/>
      <c r="AP321" s="685"/>
      <c r="AQ321" s="685"/>
      <c r="AR321" s="685"/>
      <c r="AS321" s="685"/>
      <c r="AT321" s="685"/>
      <c r="AU321" s="685"/>
      <c r="AV321" s="685"/>
      <c r="AW321" s="685"/>
      <c r="AX321" s="685"/>
      <c r="AY321" s="685"/>
    </row>
    <row r="322" spans="1:51">
      <c r="A322" s="685"/>
      <c r="B322" s="1189" t="s">
        <v>292</v>
      </c>
      <c r="C322" s="1189"/>
      <c r="D322" s="1189"/>
      <c r="E322" s="1189"/>
      <c r="F322" s="1189"/>
      <c r="G322" s="1189"/>
      <c r="H322" s="1189"/>
      <c r="I322" s="1189"/>
      <c r="J322" s="1189"/>
      <c r="K322" s="1189"/>
      <c r="L322" s="1189"/>
      <c r="M322" s="1189"/>
      <c r="N322" s="1260">
        <f>0.28*N237</f>
        <v>1935.64</v>
      </c>
      <c r="O322" s="1260">
        <v>0</v>
      </c>
      <c r="P322" s="1260"/>
      <c r="Q322" s="1260"/>
      <c r="R322" s="1260"/>
      <c r="S322" s="1260">
        <f>0.28*S377</f>
        <v>-1527.5119999999999</v>
      </c>
      <c r="T322" s="1260"/>
      <c r="U322" s="1260"/>
      <c r="V322" s="1260"/>
      <c r="W322" s="1260"/>
      <c r="X322" s="1260"/>
      <c r="Y322" s="1260"/>
      <c r="Z322" s="1260"/>
      <c r="AA322" s="1260"/>
      <c r="AB322" s="1260"/>
      <c r="AC322" s="1260"/>
      <c r="AD322" s="685"/>
      <c r="AE322" s="685"/>
      <c r="AF322" s="685"/>
      <c r="AG322" s="685"/>
      <c r="AH322" s="685"/>
      <c r="AI322" s="685"/>
      <c r="AJ322" s="685"/>
      <c r="AK322" s="685"/>
      <c r="AL322" s="685"/>
      <c r="AM322" s="685"/>
      <c r="AN322" s="685"/>
      <c r="AO322" s="685"/>
      <c r="AP322" s="685"/>
      <c r="AQ322" s="685"/>
      <c r="AR322" s="685"/>
      <c r="AS322" s="685"/>
      <c r="AT322" s="685"/>
      <c r="AU322" s="685"/>
      <c r="AV322" s="685"/>
      <c r="AW322" s="685"/>
      <c r="AX322" s="685"/>
      <c r="AY322" s="685"/>
    </row>
    <row r="323" spans="1:51">
      <c r="A323" s="685"/>
      <c r="B323" s="1189" t="s">
        <v>293</v>
      </c>
      <c r="C323" s="1197"/>
      <c r="D323" s="1197">
        <f t="shared" ref="D323:I323" si="304">D321</f>
        <v>0</v>
      </c>
      <c r="E323" s="1197">
        <f t="shared" si="304"/>
        <v>0</v>
      </c>
      <c r="F323" s="1197">
        <f t="shared" si="304"/>
        <v>0</v>
      </c>
      <c r="G323" s="1197">
        <f t="shared" si="304"/>
        <v>0</v>
      </c>
      <c r="H323" s="1197">
        <f t="shared" si="304"/>
        <v>3121</v>
      </c>
      <c r="I323" s="1197">
        <f t="shared" si="304"/>
        <v>3259</v>
      </c>
      <c r="J323" s="1197">
        <f>J321</f>
        <v>3410</v>
      </c>
      <c r="K323" s="1197">
        <f>K321</f>
        <v>4053</v>
      </c>
      <c r="L323" s="1197">
        <f>L321</f>
        <v>3729</v>
      </c>
      <c r="M323" s="1197">
        <f>M321</f>
        <v>2983</v>
      </c>
      <c r="N323" s="1197">
        <f t="shared" ref="N323:S323" si="305">N321-N322</f>
        <v>4396.5599999999995</v>
      </c>
      <c r="O323" s="1197">
        <f t="shared" si="305"/>
        <v>2872.2</v>
      </c>
      <c r="P323" s="1197">
        <f t="shared" si="305"/>
        <v>4274</v>
      </c>
      <c r="Q323" s="1197">
        <f t="shared" si="305"/>
        <v>4391</v>
      </c>
      <c r="R323" s="1197">
        <f t="shared" si="305"/>
        <v>2776.5</v>
      </c>
      <c r="S323" s="1197">
        <f t="shared" si="305"/>
        <v>6532.1120000000001</v>
      </c>
      <c r="T323" s="1197">
        <f>T321-T322</f>
        <v>7493.9</v>
      </c>
      <c r="U323" s="1197">
        <f t="shared" ref="U323:AC323" si="306">U333</f>
        <v>-967.4</v>
      </c>
      <c r="V323" s="1197">
        <f t="shared" si="306"/>
        <v>2440.9</v>
      </c>
      <c r="W323" s="1197">
        <f t="shared" ca="1" si="306"/>
        <v>-746.5544852392967</v>
      </c>
      <c r="X323" s="1197">
        <f t="shared" ca="1" si="306"/>
        <v>-455.97547571896786</v>
      </c>
      <c r="Y323" s="1197">
        <f t="shared" ca="1" si="306"/>
        <v>-369.65278184170018</v>
      </c>
      <c r="Z323" s="1197">
        <f t="shared" ca="1" si="306"/>
        <v>-228.11978514094324</v>
      </c>
      <c r="AA323" s="1197">
        <f t="shared" ca="1" si="306"/>
        <v>-15.50624060775117</v>
      </c>
      <c r="AB323" s="1197">
        <f t="shared" ca="1" si="306"/>
        <v>234.07218772027571</v>
      </c>
      <c r="AC323" s="1197">
        <f t="shared" ca="1" si="306"/>
        <v>498.6733193940974</v>
      </c>
      <c r="AD323" s="685"/>
      <c r="AE323" s="685"/>
      <c r="AF323" s="685"/>
      <c r="AG323" s="685"/>
      <c r="AH323" s="685"/>
      <c r="AI323" s="685"/>
      <c r="AJ323" s="685"/>
      <c r="AK323" s="685"/>
      <c r="AL323" s="685"/>
      <c r="AM323" s="685"/>
      <c r="AN323" s="685"/>
      <c r="AO323" s="685"/>
      <c r="AP323" s="685"/>
      <c r="AQ323" s="685"/>
      <c r="AR323" s="685"/>
      <c r="AS323" s="685"/>
      <c r="AT323" s="685"/>
      <c r="AU323" s="685"/>
      <c r="AV323" s="685"/>
      <c r="AW323" s="685"/>
      <c r="AX323" s="685"/>
      <c r="AY323" s="685"/>
    </row>
    <row r="324" spans="1:51">
      <c r="A324" s="685"/>
      <c r="B324" s="1189"/>
      <c r="C324" s="1189"/>
      <c r="D324" s="1189"/>
      <c r="E324" s="1189"/>
      <c r="F324" s="1189"/>
      <c r="G324" s="1189"/>
      <c r="H324" s="1189"/>
      <c r="I324" s="1189"/>
      <c r="J324" s="1189"/>
      <c r="K324" s="1189"/>
      <c r="L324" s="1189"/>
      <c r="M324" s="1189"/>
      <c r="N324" s="1189"/>
      <c r="O324" s="1189"/>
      <c r="P324" s="1189"/>
      <c r="Q324" s="1189"/>
      <c r="R324" s="1189"/>
      <c r="S324" s="1189"/>
      <c r="T324" s="1189"/>
      <c r="U324" s="1189"/>
      <c r="V324" s="1189"/>
      <c r="W324" s="1189"/>
      <c r="X324" s="1189"/>
      <c r="Y324" s="1189"/>
      <c r="Z324" s="1189"/>
      <c r="AA324" s="1189"/>
      <c r="AB324" s="1189"/>
      <c r="AC324" s="1189"/>
      <c r="AD324" s="685"/>
      <c r="AE324" s="685"/>
      <c r="AF324" s="685"/>
      <c r="AG324" s="685"/>
      <c r="AH324" s="685"/>
      <c r="AI324" s="685"/>
      <c r="AJ324" s="685"/>
      <c r="AK324" s="685"/>
      <c r="AL324" s="685"/>
      <c r="AM324" s="685"/>
      <c r="AN324" s="685"/>
      <c r="AO324" s="685"/>
      <c r="AP324" s="685"/>
      <c r="AQ324" s="685"/>
      <c r="AR324" s="685"/>
      <c r="AS324" s="685"/>
      <c r="AT324" s="685"/>
      <c r="AU324" s="685"/>
      <c r="AV324" s="685"/>
      <c r="AW324" s="685"/>
      <c r="AX324" s="685"/>
      <c r="AY324" s="685"/>
    </row>
    <row r="325" spans="1:51">
      <c r="A325" s="685"/>
      <c r="B325" s="1189" t="s">
        <v>183</v>
      </c>
      <c r="C325" s="1197"/>
      <c r="D325" s="1197"/>
      <c r="E325" s="1197"/>
      <c r="F325" s="1197"/>
      <c r="G325" s="1197"/>
      <c r="H325" s="1197">
        <f>H13</f>
        <v>20087</v>
      </c>
      <c r="I325" s="1197">
        <f t="shared" ref="I325:AC325" si="307">I8</f>
        <v>23062.899999999998</v>
      </c>
      <c r="J325" s="1197">
        <f t="shared" si="307"/>
        <v>25371.5</v>
      </c>
      <c r="K325" s="1197">
        <f t="shared" si="307"/>
        <v>28413.5</v>
      </c>
      <c r="L325" s="1197">
        <f t="shared" si="307"/>
        <v>29860.399999999998</v>
      </c>
      <c r="M325" s="1197">
        <f t="shared" si="307"/>
        <v>32279.7</v>
      </c>
      <c r="N325" s="1197">
        <f t="shared" si="307"/>
        <v>35695.299999999996</v>
      </c>
      <c r="O325" s="1197">
        <f t="shared" si="307"/>
        <v>38923.199999999997</v>
      </c>
      <c r="P325" s="1197">
        <f t="shared" si="307"/>
        <v>37457</v>
      </c>
      <c r="Q325" s="1197">
        <f t="shared" si="307"/>
        <v>40679</v>
      </c>
      <c r="R325" s="1197">
        <f t="shared" si="307"/>
        <v>41015</v>
      </c>
      <c r="S325" s="1197">
        <f t="shared" si="307"/>
        <v>40511.399999999994</v>
      </c>
      <c r="T325" s="1197">
        <f t="shared" si="307"/>
        <v>43475.5</v>
      </c>
      <c r="U325" s="1197">
        <f t="shared" si="307"/>
        <v>28010.129999999997</v>
      </c>
      <c r="V325" s="1197">
        <f t="shared" si="307"/>
        <v>26504.800000000003</v>
      </c>
      <c r="W325" s="1197">
        <f t="shared" si="307"/>
        <v>23101.680803532559</v>
      </c>
      <c r="X325" s="1197">
        <f t="shared" si="307"/>
        <v>23166.905240149226</v>
      </c>
      <c r="Y325" s="1197">
        <f t="shared" si="307"/>
        <v>23196.156886123317</v>
      </c>
      <c r="Z325" s="1197">
        <f t="shared" si="307"/>
        <v>23376.815771420399</v>
      </c>
      <c r="AA325" s="1197">
        <f t="shared" si="307"/>
        <v>23725.732131292672</v>
      </c>
      <c r="AB325" s="1197">
        <f t="shared" si="307"/>
        <v>24157.062741378635</v>
      </c>
      <c r="AC325" s="1197">
        <f t="shared" si="307"/>
        <v>24625.01167082159</v>
      </c>
      <c r="AD325" s="685"/>
      <c r="AE325" s="685"/>
      <c r="AF325" s="685"/>
      <c r="AG325" s="685"/>
      <c r="AH325" s="685"/>
      <c r="AI325" s="685"/>
      <c r="AJ325" s="685"/>
      <c r="AK325" s="685"/>
      <c r="AL325" s="685"/>
      <c r="AM325" s="685"/>
      <c r="AN325" s="685"/>
      <c r="AO325" s="685"/>
      <c r="AP325" s="685"/>
      <c r="AQ325" s="685"/>
      <c r="AR325" s="685"/>
      <c r="AS325" s="685"/>
      <c r="AT325" s="685"/>
      <c r="AU325" s="685"/>
      <c r="AV325" s="685"/>
      <c r="AW325" s="685"/>
      <c r="AX325" s="685"/>
      <c r="AY325" s="685"/>
    </row>
    <row r="326" spans="1:51">
      <c r="A326" s="685"/>
      <c r="B326" s="1189" t="s">
        <v>294</v>
      </c>
      <c r="C326" s="1197"/>
      <c r="D326" s="1197">
        <f t="shared" ref="D326:X326" si="308">-D186</f>
        <v>0</v>
      </c>
      <c r="E326" s="1197">
        <f t="shared" si="308"/>
        <v>0</v>
      </c>
      <c r="F326" s="1197">
        <f t="shared" si="308"/>
        <v>0</v>
      </c>
      <c r="G326" s="1197">
        <f t="shared" si="308"/>
        <v>0</v>
      </c>
      <c r="H326" s="1197">
        <f t="shared" si="308"/>
        <v>-4390</v>
      </c>
      <c r="I326" s="1197">
        <f t="shared" si="308"/>
        <v>-5697</v>
      </c>
      <c r="J326" s="1197">
        <f t="shared" si="308"/>
        <v>-6501</v>
      </c>
      <c r="K326" s="1197">
        <f t="shared" si="308"/>
        <v>-7122.2916099069244</v>
      </c>
      <c r="L326" s="1197">
        <f t="shared" si="308"/>
        <v>-8426.7308289351131</v>
      </c>
      <c r="M326" s="1197">
        <f t="shared" si="308"/>
        <v>-9411.8212326843186</v>
      </c>
      <c r="N326" s="1197">
        <f t="shared" si="308"/>
        <v>-11222.332339055185</v>
      </c>
      <c r="O326" s="1197">
        <f t="shared" si="308"/>
        <v>-12681.492375298647</v>
      </c>
      <c r="P326" s="1197">
        <f t="shared" si="308"/>
        <v>-13775.112009065635</v>
      </c>
      <c r="Q326" s="1197">
        <f t="shared" si="308"/>
        <v>-15461.690203840175</v>
      </c>
      <c r="R326" s="1197">
        <f t="shared" si="308"/>
        <v>-15598.453258756492</v>
      </c>
      <c r="S326" s="1197">
        <f t="shared" si="308"/>
        <v>-15664.841174858946</v>
      </c>
      <c r="T326" s="1197">
        <f t="shared" si="308"/>
        <v>-16057.827405879905</v>
      </c>
      <c r="U326" s="1197">
        <f t="shared" si="308"/>
        <v>-15135.795108159535</v>
      </c>
      <c r="V326" s="1197">
        <f t="shared" si="308"/>
        <v>-17056.628302968726</v>
      </c>
      <c r="W326" s="1197">
        <f t="shared" si="308"/>
        <v>-16645.827061610464</v>
      </c>
      <c r="X326" s="1197">
        <f t="shared" si="308"/>
        <v>-15398.62882583176</v>
      </c>
      <c r="Y326" s="1197">
        <f>-Y186</f>
        <v>-15154.176444513179</v>
      </c>
      <c r="Z326" s="1197">
        <f>-Z186</f>
        <v>-14991.13011103594</v>
      </c>
      <c r="AA326" s="1197">
        <f>-AA186</f>
        <v>-14855.062468107748</v>
      </c>
      <c r="AB326" s="1197">
        <f>-AB186</f>
        <v>-14763.968475931628</v>
      </c>
      <c r="AC326" s="1197">
        <f>-AC186</f>
        <v>-14719.920510663285</v>
      </c>
      <c r="AD326" s="685"/>
      <c r="AE326" s="685"/>
      <c r="AF326" s="685"/>
      <c r="AG326" s="685"/>
      <c r="AH326" s="685"/>
      <c r="AI326" s="685"/>
      <c r="AJ326" s="685"/>
      <c r="AK326" s="685"/>
      <c r="AL326" s="685"/>
      <c r="AM326" s="685"/>
      <c r="AN326" s="685"/>
      <c r="AO326" s="685"/>
      <c r="AP326" s="685"/>
      <c r="AQ326" s="685"/>
      <c r="AR326" s="685"/>
      <c r="AS326" s="685"/>
      <c r="AT326" s="685"/>
      <c r="AU326" s="685"/>
      <c r="AV326" s="685"/>
      <c r="AW326" s="685"/>
      <c r="AX326" s="685"/>
      <c r="AY326" s="685"/>
    </row>
    <row r="327" spans="1:51">
      <c r="A327" s="685"/>
      <c r="B327" s="1189" t="s">
        <v>295</v>
      </c>
      <c r="C327" s="1197"/>
      <c r="D327" s="1197">
        <f t="shared" ref="D327:X327" si="309">-D208</f>
        <v>0</v>
      </c>
      <c r="E327" s="1197">
        <f t="shared" si="309"/>
        <v>0</v>
      </c>
      <c r="F327" s="1197">
        <f t="shared" si="309"/>
        <v>0</v>
      </c>
      <c r="G327" s="1197">
        <f t="shared" si="309"/>
        <v>0</v>
      </c>
      <c r="H327" s="1197">
        <f t="shared" si="309"/>
        <v>-540</v>
      </c>
      <c r="I327" s="1197">
        <f t="shared" si="309"/>
        <v>-882</v>
      </c>
      <c r="J327" s="1197">
        <f t="shared" si="309"/>
        <v>-928.69999999999982</v>
      </c>
      <c r="K327" s="1197">
        <f t="shared" si="309"/>
        <v>-1351.7083900930756</v>
      </c>
      <c r="L327" s="1197">
        <f t="shared" si="309"/>
        <v>-1419.2691710648869</v>
      </c>
      <c r="M327" s="1197">
        <f t="shared" si="309"/>
        <v>-2151.1787673156814</v>
      </c>
      <c r="N327" s="1197">
        <f t="shared" si="309"/>
        <v>-3438.5676609448146</v>
      </c>
      <c r="O327" s="1197">
        <f t="shared" si="309"/>
        <v>-4298.3076247013523</v>
      </c>
      <c r="P327" s="1197">
        <f t="shared" si="309"/>
        <v>-4760.887990934365</v>
      </c>
      <c r="Q327" s="1197">
        <f t="shared" si="309"/>
        <v>-4372.3097961598251</v>
      </c>
      <c r="R327" s="1197">
        <f t="shared" si="309"/>
        <v>-5409.5467412435082</v>
      </c>
      <c r="S327" s="1197">
        <f>-S208</f>
        <v>-5596.158825141054</v>
      </c>
      <c r="T327" s="1197">
        <f>-T208</f>
        <v>-5360.4725941200941</v>
      </c>
      <c r="U327" s="1197">
        <f t="shared" si="309"/>
        <v>-5981.6048918404667</v>
      </c>
      <c r="V327" s="1197">
        <f t="shared" si="309"/>
        <v>-4497.7716970312758</v>
      </c>
      <c r="W327" s="1197">
        <f t="shared" si="309"/>
        <v>-4443.835</v>
      </c>
      <c r="X327" s="1197">
        <f t="shared" si="309"/>
        <v>-4454.7206399999995</v>
      </c>
      <c r="Y327" s="1197">
        <f>-Y208</f>
        <v>-4489.8955867999994</v>
      </c>
      <c r="Z327" s="1197">
        <f>-Z208</f>
        <v>-4468.4457682479988</v>
      </c>
      <c r="AA327" s="1197">
        <f>-AA208</f>
        <v>-4397.8096507427981</v>
      </c>
      <c r="AB327" s="1197">
        <f>-AB208</f>
        <v>-4286.5005366734695</v>
      </c>
      <c r="AC327" s="1197">
        <f>-AC208</f>
        <v>-4143.5519189810711</v>
      </c>
      <c r="AD327" s="685"/>
      <c r="AE327" s="685"/>
      <c r="AF327" s="685"/>
      <c r="AG327" s="685"/>
      <c r="AH327" s="685"/>
      <c r="AI327" s="685"/>
      <c r="AJ327" s="685"/>
      <c r="AK327" s="685"/>
      <c r="AL327" s="685"/>
      <c r="AM327" s="685"/>
      <c r="AN327" s="685"/>
      <c r="AO327" s="685"/>
      <c r="AP327" s="685"/>
      <c r="AQ327" s="685"/>
      <c r="AR327" s="685"/>
      <c r="AS327" s="685"/>
      <c r="AT327" s="685"/>
      <c r="AU327" s="685"/>
      <c r="AV327" s="685"/>
      <c r="AW327" s="685"/>
      <c r="AX327" s="685"/>
      <c r="AY327" s="685"/>
    </row>
    <row r="328" spans="1:51">
      <c r="A328" s="685"/>
      <c r="B328" s="1189" t="s">
        <v>296</v>
      </c>
      <c r="C328" s="1197"/>
      <c r="D328" s="1197">
        <f>D238</f>
        <v>0</v>
      </c>
      <c r="E328" s="1197">
        <f>E238</f>
        <v>0</v>
      </c>
      <c r="F328" s="1197">
        <f>F238</f>
        <v>0</v>
      </c>
      <c r="G328" s="1197">
        <f>G238</f>
        <v>0</v>
      </c>
      <c r="H328" s="1197">
        <f>-H238</f>
        <v>-2083</v>
      </c>
      <c r="I328" s="1197">
        <f t="shared" ref="I328:P328" si="310">-I238</f>
        <v>-2567</v>
      </c>
      <c r="J328" s="1197">
        <f t="shared" si="310"/>
        <v>-3166</v>
      </c>
      <c r="K328" s="1197">
        <f t="shared" si="310"/>
        <v>-3325</v>
      </c>
      <c r="L328" s="1197">
        <f>-L238</f>
        <v>-3673</v>
      </c>
      <c r="M328" s="1197">
        <f t="shared" si="310"/>
        <v>-4224</v>
      </c>
      <c r="N328" s="1197">
        <f t="shared" si="310"/>
        <v>-5211</v>
      </c>
      <c r="O328" s="1197">
        <f t="shared" si="310"/>
        <v>-6998.4</v>
      </c>
      <c r="P328" s="1197">
        <f t="shared" si="310"/>
        <v>-6977</v>
      </c>
      <c r="Q328" s="1197">
        <f>-Q238</f>
        <v>-8140</v>
      </c>
      <c r="R328" s="1197">
        <f t="shared" ref="R328:X328" si="311">-R238</f>
        <v>-8810.8000000000011</v>
      </c>
      <c r="S328" s="1197">
        <f t="shared" si="311"/>
        <v>-5584.2</v>
      </c>
      <c r="T328" s="1197">
        <f t="shared" si="311"/>
        <v>-11918</v>
      </c>
      <c r="U328" s="1197">
        <f t="shared" si="311"/>
        <v>-9206.2000000000007</v>
      </c>
      <c r="V328" s="1197">
        <f t="shared" si="311"/>
        <v>-4624.2999999999993</v>
      </c>
      <c r="W328" s="1197">
        <f t="shared" ca="1" si="311"/>
        <v>-4678.2847606338692</v>
      </c>
      <c r="X328" s="1197">
        <f t="shared" ca="1" si="311"/>
        <v>-4942.0396161709232</v>
      </c>
      <c r="Y328" s="1197">
        <f ca="1">-Y238</f>
        <v>-4872.2733613876389</v>
      </c>
      <c r="Z328" s="1197">
        <f ca="1">-Z238</f>
        <v>-4731.9534104969716</v>
      </c>
      <c r="AA328" s="1197">
        <f ca="1">-AA238</f>
        <v>-4528.2394431840949</v>
      </c>
      <c r="AB328" s="1197">
        <f ca="1">-AB238</f>
        <v>-4270.6216297725532</v>
      </c>
      <c r="AC328" s="1197">
        <f ca="1">-AC238</f>
        <v>-3980.5631004840288</v>
      </c>
      <c r="AD328" s="685"/>
      <c r="AE328" s="685"/>
      <c r="AF328" s="685"/>
      <c r="AG328" s="685"/>
      <c r="AH328" s="685"/>
      <c r="AI328" s="685"/>
      <c r="AJ328" s="685"/>
      <c r="AK328" s="685"/>
      <c r="AL328" s="685"/>
      <c r="AM328" s="685"/>
      <c r="AN328" s="685"/>
      <c r="AO328" s="685"/>
      <c r="AP328" s="685"/>
      <c r="AQ328" s="685"/>
      <c r="AR328" s="685"/>
      <c r="AS328" s="685"/>
      <c r="AT328" s="685"/>
      <c r="AU328" s="685"/>
      <c r="AV328" s="685"/>
      <c r="AW328" s="685"/>
      <c r="AX328" s="685"/>
      <c r="AY328" s="685"/>
    </row>
    <row r="329" spans="1:51">
      <c r="A329" s="685"/>
      <c r="B329" s="1189" t="s">
        <v>692</v>
      </c>
      <c r="C329" s="1197"/>
      <c r="D329" s="1197"/>
      <c r="E329" s="1197"/>
      <c r="F329" s="1197"/>
      <c r="G329" s="1197"/>
      <c r="H329" s="1197"/>
      <c r="I329" s="1197">
        <f t="shared" ref="I329:U329" si="312">I23</f>
        <v>-212</v>
      </c>
      <c r="J329" s="1197">
        <f t="shared" si="312"/>
        <v>-449</v>
      </c>
      <c r="K329" s="1197">
        <f t="shared" si="312"/>
        <v>-666.6</v>
      </c>
      <c r="L329" s="1197">
        <f t="shared" si="312"/>
        <v>-5659.9</v>
      </c>
      <c r="M329" s="1197">
        <f t="shared" si="312"/>
        <v>-4185.3999999999996</v>
      </c>
      <c r="N329" s="1197">
        <f t="shared" si="312"/>
        <v>35.4</v>
      </c>
      <c r="O329" s="1197">
        <f t="shared" si="312"/>
        <v>1139.4000000000001</v>
      </c>
      <c r="P329" s="1197">
        <f t="shared" si="312"/>
        <v>1913</v>
      </c>
      <c r="Q329" s="1197">
        <f t="shared" si="312"/>
        <v>532.9</v>
      </c>
      <c r="R329" s="1197">
        <f t="shared" si="312"/>
        <v>581.1</v>
      </c>
      <c r="S329" s="1197">
        <f t="shared" si="312"/>
        <v>-5769.4</v>
      </c>
      <c r="T329" s="1197">
        <f t="shared" si="312"/>
        <v>3558.8</v>
      </c>
      <c r="U329" s="1197">
        <f t="shared" si="312"/>
        <v>-8453.2999999999993</v>
      </c>
      <c r="V329" s="1200"/>
      <c r="W329" s="1200"/>
      <c r="X329" s="1200"/>
      <c r="Y329" s="1200"/>
      <c r="Z329" s="1200"/>
      <c r="AA329" s="1200"/>
      <c r="AB329" s="1200"/>
      <c r="AC329" s="1200"/>
      <c r="AD329" s="685"/>
      <c r="AE329" s="685"/>
      <c r="AF329" s="685"/>
      <c r="AG329" s="685"/>
      <c r="AH329" s="685"/>
      <c r="AI329" s="685"/>
      <c r="AJ329" s="685"/>
      <c r="AK329" s="685"/>
      <c r="AL329" s="685"/>
      <c r="AM329" s="685"/>
      <c r="AN329" s="685"/>
      <c r="AO329" s="685"/>
      <c r="AP329" s="685"/>
      <c r="AQ329" s="685"/>
      <c r="AR329" s="685"/>
      <c r="AS329" s="685"/>
      <c r="AT329" s="685"/>
      <c r="AU329" s="685"/>
      <c r="AV329" s="685"/>
      <c r="AW329" s="685"/>
      <c r="AX329" s="685"/>
      <c r="AY329" s="685"/>
    </row>
    <row r="330" spans="1:51">
      <c r="A330" s="685"/>
      <c r="B330" s="1189" t="s">
        <v>297</v>
      </c>
      <c r="C330" s="1189"/>
      <c r="D330" s="1189"/>
      <c r="E330" s="1189"/>
      <c r="F330" s="1189"/>
      <c r="G330" s="1189"/>
      <c r="H330" s="1189"/>
      <c r="I330" s="1189"/>
      <c r="J330" s="1197">
        <f>J21</f>
        <v>0</v>
      </c>
      <c r="K330" s="1189"/>
      <c r="L330" s="1189"/>
      <c r="M330" s="1189"/>
      <c r="N330" s="1189"/>
      <c r="O330" s="1189"/>
      <c r="P330" s="1189"/>
      <c r="Q330" s="1189"/>
      <c r="R330" s="1189"/>
      <c r="S330" s="1189"/>
      <c r="T330" s="1189"/>
      <c r="U330" s="1189"/>
      <c r="V330" s="1189"/>
      <c r="W330" s="1189"/>
      <c r="X330" s="1189"/>
      <c r="Y330" s="1189"/>
      <c r="Z330" s="1189"/>
      <c r="AA330" s="1189"/>
      <c r="AB330" s="1189"/>
      <c r="AC330" s="1189"/>
      <c r="AD330" s="685"/>
      <c r="AE330" s="685"/>
      <c r="AF330" s="685"/>
      <c r="AG330" s="685"/>
      <c r="AH330" s="685"/>
      <c r="AI330" s="685"/>
      <c r="AJ330" s="685"/>
      <c r="AK330" s="685"/>
      <c r="AL330" s="685"/>
      <c r="AM330" s="685"/>
      <c r="AN330" s="685"/>
      <c r="AO330" s="685"/>
      <c r="AP330" s="685"/>
      <c r="AQ330" s="685"/>
      <c r="AR330" s="685"/>
      <c r="AS330" s="685"/>
      <c r="AT330" s="685"/>
      <c r="AU330" s="685"/>
      <c r="AV330" s="685"/>
      <c r="AW330" s="685"/>
      <c r="AX330" s="685"/>
      <c r="AY330" s="685"/>
    </row>
    <row r="331" spans="1:51">
      <c r="A331" s="685"/>
      <c r="B331" s="1575" t="s">
        <v>298</v>
      </c>
      <c r="C331" s="1303"/>
      <c r="D331" s="1303">
        <f t="shared" ref="D331:O331" si="313">SUM(D325:D330)</f>
        <v>0</v>
      </c>
      <c r="E331" s="1303">
        <f t="shared" si="313"/>
        <v>0</v>
      </c>
      <c r="F331" s="1303">
        <f t="shared" si="313"/>
        <v>0</v>
      </c>
      <c r="G331" s="1303">
        <f t="shared" si="313"/>
        <v>0</v>
      </c>
      <c r="H331" s="1303">
        <f t="shared" si="313"/>
        <v>13074</v>
      </c>
      <c r="I331" s="1303">
        <f t="shared" si="313"/>
        <v>13704.899999999998</v>
      </c>
      <c r="J331" s="1303">
        <f t="shared" si="313"/>
        <v>14326.8</v>
      </c>
      <c r="K331" s="1303">
        <f t="shared" si="313"/>
        <v>15947.9</v>
      </c>
      <c r="L331" s="1303">
        <f>SUM(L325:L330)</f>
        <v>10681.499999999998</v>
      </c>
      <c r="M331" s="1303">
        <f>SUM(M325:M330)</f>
        <v>12307.300000000005</v>
      </c>
      <c r="N331" s="1303">
        <f>SUM(N325:N330)</f>
        <v>15858.799999999994</v>
      </c>
      <c r="O331" s="1303">
        <f t="shared" si="313"/>
        <v>16084.399999999998</v>
      </c>
      <c r="P331" s="1303">
        <f>SUM(P325:P330)</f>
        <v>13857</v>
      </c>
      <c r="Q331" s="1303">
        <f>SUM(Q325:Q330)</f>
        <v>13237.9</v>
      </c>
      <c r="R331" s="1303">
        <f>SUM(R325:R330)</f>
        <v>11777.3</v>
      </c>
      <c r="S331" s="1303">
        <f t="shared" ref="S331:X331" si="314">SUM(S325:S330)</f>
        <v>7896.7999999999938</v>
      </c>
      <c r="T331" s="1303">
        <f t="shared" si="314"/>
        <v>13697.999999999996</v>
      </c>
      <c r="U331" s="1303">
        <f t="shared" si="314"/>
        <v>-10766.770000000004</v>
      </c>
      <c r="V331" s="1303">
        <f t="shared" si="314"/>
        <v>326.10000000000218</v>
      </c>
      <c r="W331" s="1303">
        <f t="shared" ca="1" si="314"/>
        <v>-2666.2660187117735</v>
      </c>
      <c r="X331" s="1303">
        <f t="shared" ca="1" si="314"/>
        <v>-1628.4838418534564</v>
      </c>
      <c r="Y331" s="1303">
        <f ca="1">SUM(Y325:Y330)</f>
        <v>-1320.1885065775004</v>
      </c>
      <c r="Z331" s="1303">
        <f ca="1">SUM(Z325:Z330)</f>
        <v>-814.71351836051144</v>
      </c>
      <c r="AA331" s="1303">
        <f ca="1">SUM(AA325:AA330)</f>
        <v>-55.379430741968463</v>
      </c>
      <c r="AB331" s="1303">
        <f ca="1">SUM(AB325:AB330)</f>
        <v>835.9720990009846</v>
      </c>
      <c r="AC331" s="1303">
        <f ca="1">SUM(AC325:AC330)</f>
        <v>1780.9761406932048</v>
      </c>
      <c r="AD331" s="685"/>
      <c r="AE331" s="685"/>
      <c r="AF331" s="685"/>
      <c r="AG331" s="685"/>
      <c r="AH331" s="685"/>
      <c r="AI331" s="685"/>
      <c r="AJ331" s="685"/>
      <c r="AK331" s="685"/>
      <c r="AL331" s="685"/>
      <c r="AM331" s="685"/>
      <c r="AN331" s="685"/>
      <c r="AO331" s="685"/>
      <c r="AP331" s="685"/>
      <c r="AQ331" s="685"/>
      <c r="AR331" s="685"/>
      <c r="AS331" s="685"/>
      <c r="AT331" s="685"/>
      <c r="AU331" s="685"/>
      <c r="AV331" s="685"/>
      <c r="AW331" s="685"/>
      <c r="AX331" s="685"/>
      <c r="AY331" s="685"/>
    </row>
    <row r="332" spans="1:51">
      <c r="A332" s="685"/>
      <c r="B332" s="1189" t="s">
        <v>299</v>
      </c>
      <c r="C332" s="1191"/>
      <c r="D332" s="1191">
        <v>0.28000000000000003</v>
      </c>
      <c r="E332" s="1191">
        <v>0.28000000000000003</v>
      </c>
      <c r="F332" s="1191">
        <v>0.28000000000000003</v>
      </c>
      <c r="G332" s="1191">
        <v>0.28000000000000003</v>
      </c>
      <c r="H332" s="1191">
        <v>0.28000000000000003</v>
      </c>
      <c r="I332" s="1191">
        <v>0.28000000000000003</v>
      </c>
      <c r="J332" s="1191">
        <v>0.28000000000000003</v>
      </c>
      <c r="K332" s="1191">
        <v>0.25</v>
      </c>
      <c r="L332" s="1191">
        <v>0.25</v>
      </c>
      <c r="M332" s="1191">
        <v>0.25</v>
      </c>
      <c r="N332" s="1191">
        <v>0.25</v>
      </c>
      <c r="O332" s="1191">
        <v>0.25</v>
      </c>
      <c r="P332" s="1191">
        <f t="shared" ref="P332:R332" si="315">P323/P331</f>
        <v>0.30843616944504582</v>
      </c>
      <c r="Q332" s="1191">
        <f t="shared" si="315"/>
        <v>0.33169913656999978</v>
      </c>
      <c r="R332" s="1191">
        <f t="shared" si="315"/>
        <v>0.23575012948638485</v>
      </c>
      <c r="S332" s="1191">
        <f t="shared" ref="S332:V332" si="316">S323/S331</f>
        <v>0.82718468240299936</v>
      </c>
      <c r="T332" s="1191">
        <f t="shared" si="316"/>
        <v>0.54707986567382116</v>
      </c>
      <c r="U332" s="1191">
        <f t="shared" si="316"/>
        <v>8.9850530846298349E-2</v>
      </c>
      <c r="V332" s="1191">
        <f t="shared" si="316"/>
        <v>7.4851272615761539</v>
      </c>
      <c r="W332" s="1285">
        <v>0.28000000000000003</v>
      </c>
      <c r="X332" s="1285">
        <v>0.28000000000000003</v>
      </c>
      <c r="Y332" s="1285">
        <v>0.28000000000000003</v>
      </c>
      <c r="Z332" s="1285">
        <v>0.28000000000000003</v>
      </c>
      <c r="AA332" s="1285">
        <v>0.28000000000000003</v>
      </c>
      <c r="AB332" s="1285">
        <v>0.28000000000000003</v>
      </c>
      <c r="AC332" s="1285">
        <v>0.28000000000000003</v>
      </c>
      <c r="AD332" s="685"/>
      <c r="AE332" s="685"/>
      <c r="AF332" s="685"/>
      <c r="AG332" s="685"/>
      <c r="AH332" s="685"/>
      <c r="AI332" s="685"/>
      <c r="AJ332" s="685"/>
      <c r="AK332" s="685"/>
      <c r="AL332" s="685"/>
      <c r="AM332" s="685"/>
      <c r="AN332" s="685"/>
      <c r="AO332" s="685"/>
      <c r="AP332" s="685"/>
      <c r="AQ332" s="685"/>
      <c r="AR332" s="685"/>
      <c r="AS332" s="685"/>
      <c r="AT332" s="685"/>
      <c r="AU332" s="685"/>
      <c r="AV332" s="685"/>
      <c r="AW332" s="685"/>
      <c r="AX332" s="685"/>
      <c r="AY332" s="685"/>
    </row>
    <row r="333" spans="1:51">
      <c r="A333" s="685"/>
      <c r="B333" s="1189" t="s">
        <v>192</v>
      </c>
      <c r="C333" s="1197"/>
      <c r="D333" s="1197">
        <f>D331*D332</f>
        <v>0</v>
      </c>
      <c r="E333" s="1197">
        <f>E331*E332</f>
        <v>0</v>
      </c>
      <c r="F333" s="1197">
        <f>F331*F332</f>
        <v>0</v>
      </c>
      <c r="G333" s="1197">
        <f>G331*G332</f>
        <v>0</v>
      </c>
      <c r="H333" s="1197">
        <f t="shared" ref="H333:O333" si="317">H321</f>
        <v>3121</v>
      </c>
      <c r="I333" s="1197">
        <f t="shared" si="317"/>
        <v>3259</v>
      </c>
      <c r="J333" s="1197">
        <f t="shared" si="317"/>
        <v>3410</v>
      </c>
      <c r="K333" s="1197">
        <f t="shared" si="317"/>
        <v>4053</v>
      </c>
      <c r="L333" s="1197">
        <f t="shared" si="317"/>
        <v>3729</v>
      </c>
      <c r="M333" s="1197">
        <f t="shared" si="317"/>
        <v>2983</v>
      </c>
      <c r="N333" s="1197">
        <f t="shared" si="317"/>
        <v>6332.2</v>
      </c>
      <c r="O333" s="1197">
        <f t="shared" si="317"/>
        <v>2872.2</v>
      </c>
      <c r="P333" s="1197">
        <f>P321</f>
        <v>4274</v>
      </c>
      <c r="Q333" s="1197">
        <f>Q321</f>
        <v>4391</v>
      </c>
      <c r="R333" s="1197">
        <f>R321</f>
        <v>2776.5</v>
      </c>
      <c r="S333" s="1197">
        <f t="shared" ref="S333:V333" si="318">S321</f>
        <v>5004.6000000000004</v>
      </c>
      <c r="T333" s="1197">
        <f t="shared" si="318"/>
        <v>7493.9</v>
      </c>
      <c r="U333" s="1197">
        <f t="shared" si="318"/>
        <v>-967.4</v>
      </c>
      <c r="V333" s="1197">
        <f t="shared" si="318"/>
        <v>2440.9</v>
      </c>
      <c r="W333" s="1197">
        <f ca="1">W332*W331</f>
        <v>-746.5544852392967</v>
      </c>
      <c r="X333" s="1197">
        <f t="shared" ref="X333:AC333" ca="1" si="319">X332*X331</f>
        <v>-455.97547571896786</v>
      </c>
      <c r="Y333" s="1197">
        <f t="shared" ca="1" si="319"/>
        <v>-369.65278184170018</v>
      </c>
      <c r="Z333" s="1197">
        <f t="shared" ca="1" si="319"/>
        <v>-228.11978514094324</v>
      </c>
      <c r="AA333" s="1197">
        <f t="shared" ca="1" si="319"/>
        <v>-15.50624060775117</v>
      </c>
      <c r="AB333" s="1197">
        <f t="shared" ca="1" si="319"/>
        <v>234.07218772027571</v>
      </c>
      <c r="AC333" s="1197">
        <f t="shared" ca="1" si="319"/>
        <v>498.6733193940974</v>
      </c>
      <c r="AD333" s="685"/>
      <c r="AE333" s="685"/>
      <c r="AF333" s="685"/>
      <c r="AG333" s="685"/>
      <c r="AH333" s="685"/>
      <c r="AI333" s="685"/>
      <c r="AJ333" s="685"/>
      <c r="AK333" s="685"/>
      <c r="AL333" s="685"/>
      <c r="AM333" s="685"/>
      <c r="AN333" s="685"/>
      <c r="AO333" s="685"/>
      <c r="AP333" s="685"/>
      <c r="AQ333" s="685"/>
      <c r="AR333" s="685"/>
      <c r="AS333" s="685"/>
      <c r="AT333" s="685"/>
      <c r="AU333" s="685"/>
      <c r="AV333" s="685"/>
      <c r="AW333" s="685"/>
      <c r="AX333" s="685"/>
      <c r="AY333" s="685"/>
    </row>
    <row r="334" spans="1:51">
      <c r="A334" s="685"/>
      <c r="B334" s="1189" t="s">
        <v>299</v>
      </c>
      <c r="C334" s="1191"/>
      <c r="D334" s="1191" t="e">
        <f t="shared" ref="D334:O334" si="320">D323/D331</f>
        <v>#DIV/0!</v>
      </c>
      <c r="E334" s="1191" t="e">
        <f t="shared" si="320"/>
        <v>#DIV/0!</v>
      </c>
      <c r="F334" s="1191" t="e">
        <f t="shared" si="320"/>
        <v>#DIV/0!</v>
      </c>
      <c r="G334" s="1191" t="e">
        <f t="shared" si="320"/>
        <v>#DIV/0!</v>
      </c>
      <c r="H334" s="1191">
        <f t="shared" si="320"/>
        <v>0.23871806639131099</v>
      </c>
      <c r="I334" s="1191">
        <f t="shared" si="320"/>
        <v>0.2377981597822677</v>
      </c>
      <c r="J334" s="1191">
        <f t="shared" si="320"/>
        <v>0.23801546751542565</v>
      </c>
      <c r="K334" s="1191">
        <f t="shared" si="320"/>
        <v>0.25414004351670128</v>
      </c>
      <c r="L334" s="1191">
        <f>L323/L331</f>
        <v>0.34910827131020927</v>
      </c>
      <c r="M334" s="1191">
        <f>M323/M331</f>
        <v>0.24237647575016444</v>
      </c>
      <c r="N334" s="1191">
        <f t="shared" si="320"/>
        <v>0.27723156859283182</v>
      </c>
      <c r="O334" s="1191">
        <f t="shared" si="320"/>
        <v>0.17857054039939321</v>
      </c>
      <c r="P334" s="1191">
        <f>P321/P331</f>
        <v>0.30843616944504582</v>
      </c>
      <c r="Q334" s="1191">
        <f>Q321/Q331</f>
        <v>0.33169913656999978</v>
      </c>
      <c r="R334" s="1191">
        <f>R321/R331</f>
        <v>0.23575012948638485</v>
      </c>
      <c r="S334" s="1191">
        <f t="shared" ref="S334:X334" si="321">S321/S331</f>
        <v>0.63375037990071981</v>
      </c>
      <c r="T334" s="1191">
        <f t="shared" si="321"/>
        <v>0.54707986567382116</v>
      </c>
      <c r="U334" s="1191">
        <f t="shared" si="321"/>
        <v>8.9850530846298349E-2</v>
      </c>
      <c r="V334" s="1191">
        <f t="shared" si="321"/>
        <v>7.4851272615761539</v>
      </c>
      <c r="W334" s="1191">
        <f t="shared" ca="1" si="321"/>
        <v>0.28000000000000003</v>
      </c>
      <c r="X334" s="1191">
        <f t="shared" ca="1" si="321"/>
        <v>0.28000000000000003</v>
      </c>
      <c r="Y334" s="1191">
        <f ca="1">Y321/Y331</f>
        <v>0.28000000000000003</v>
      </c>
      <c r="Z334" s="1191">
        <f ca="1">Z321/Z331</f>
        <v>0.28000000000000003</v>
      </c>
      <c r="AA334" s="1191">
        <f ca="1">AA321/AA331</f>
        <v>0.28000000000000003</v>
      </c>
      <c r="AB334" s="1191">
        <f ca="1">AB321/AB331</f>
        <v>0.28000000000000003</v>
      </c>
      <c r="AC334" s="1191">
        <f ca="1">AC321/AC331</f>
        <v>0.28000000000000003</v>
      </c>
      <c r="AD334" s="685"/>
      <c r="AE334" s="685"/>
      <c r="AF334" s="685"/>
      <c r="AG334" s="685"/>
      <c r="AH334" s="685"/>
      <c r="AI334" s="685"/>
      <c r="AJ334" s="685"/>
      <c r="AK334" s="685"/>
      <c r="AL334" s="685"/>
      <c r="AM334" s="685"/>
      <c r="AN334" s="685"/>
      <c r="AO334" s="685"/>
      <c r="AP334" s="685"/>
      <c r="AQ334" s="685"/>
      <c r="AR334" s="685"/>
      <c r="AS334" s="685"/>
      <c r="AT334" s="685"/>
      <c r="AU334" s="685"/>
      <c r="AV334" s="685"/>
      <c r="AW334" s="685"/>
      <c r="AX334" s="685"/>
      <c r="AY334" s="685"/>
    </row>
    <row r="335" spans="1:51">
      <c r="A335" s="685"/>
      <c r="B335" s="1189"/>
      <c r="C335" s="1191"/>
      <c r="D335" s="1191"/>
      <c r="E335" s="1191"/>
      <c r="F335" s="1191"/>
      <c r="G335" s="1191"/>
      <c r="H335" s="1191"/>
      <c r="I335" s="1191"/>
      <c r="J335" s="1191"/>
      <c r="K335" s="1191"/>
      <c r="L335" s="1191"/>
      <c r="M335" s="1191"/>
      <c r="N335" s="1191"/>
      <c r="O335" s="1191"/>
      <c r="P335" s="1191"/>
      <c r="Q335" s="1191"/>
      <c r="R335" s="1191"/>
      <c r="S335" s="1191"/>
      <c r="T335" s="1191"/>
      <c r="U335" s="1191"/>
      <c r="V335" s="1191"/>
      <c r="W335" s="1191"/>
      <c r="X335" s="1191"/>
      <c r="Y335" s="1191"/>
      <c r="Z335" s="1191"/>
      <c r="AA335" s="1191"/>
      <c r="AB335" s="1191"/>
      <c r="AC335" s="1191"/>
      <c r="AD335" s="685"/>
      <c r="AE335" s="685"/>
      <c r="AF335" s="685"/>
      <c r="AG335" s="685"/>
      <c r="AH335" s="685"/>
      <c r="AI335" s="685"/>
      <c r="AJ335" s="685"/>
      <c r="AK335" s="685"/>
      <c r="AL335" s="685"/>
      <c r="AM335" s="685"/>
      <c r="AN335" s="685"/>
      <c r="AO335" s="685"/>
      <c r="AP335" s="685"/>
      <c r="AQ335" s="685"/>
      <c r="AR335" s="685"/>
      <c r="AS335" s="685"/>
      <c r="AT335" s="685"/>
      <c r="AU335" s="685"/>
      <c r="AV335" s="685"/>
      <c r="AW335" s="685"/>
      <c r="AX335" s="685"/>
      <c r="AY335" s="685"/>
    </row>
    <row r="336" spans="1:51">
      <c r="A336" s="685"/>
      <c r="B336" s="1189" t="s">
        <v>300</v>
      </c>
      <c r="C336" s="1197"/>
      <c r="D336" s="1197">
        <f t="shared" ref="D336:P336" si="322">D331</f>
        <v>0</v>
      </c>
      <c r="E336" s="1197">
        <f t="shared" si="322"/>
        <v>0</v>
      </c>
      <c r="F336" s="1197">
        <f t="shared" si="322"/>
        <v>0</v>
      </c>
      <c r="G336" s="1197">
        <f t="shared" si="322"/>
        <v>0</v>
      </c>
      <c r="H336" s="1197">
        <f t="shared" si="322"/>
        <v>13074</v>
      </c>
      <c r="I336" s="1197">
        <f t="shared" si="322"/>
        <v>13704.899999999998</v>
      </c>
      <c r="J336" s="1197">
        <f t="shared" si="322"/>
        <v>14326.8</v>
      </c>
      <c r="K336" s="1197">
        <f t="shared" si="322"/>
        <v>15947.9</v>
      </c>
      <c r="L336" s="1197">
        <f>L331</f>
        <v>10681.499999999998</v>
      </c>
      <c r="M336" s="1197">
        <f>M331</f>
        <v>12307.300000000005</v>
      </c>
      <c r="N336" s="1197">
        <f t="shared" si="322"/>
        <v>15858.799999999994</v>
      </c>
      <c r="O336" s="1197">
        <f t="shared" si="322"/>
        <v>16084.399999999998</v>
      </c>
      <c r="P336" s="1197">
        <f t="shared" si="322"/>
        <v>13857</v>
      </c>
      <c r="Q336" s="1197">
        <f>Q331</f>
        <v>13237.9</v>
      </c>
      <c r="R336" s="1197">
        <f t="shared" ref="R336:X336" si="323">R331</f>
        <v>11777.3</v>
      </c>
      <c r="S336" s="1197">
        <f t="shared" si="323"/>
        <v>7896.7999999999938</v>
      </c>
      <c r="T336" s="1197">
        <f t="shared" si="323"/>
        <v>13697.999999999996</v>
      </c>
      <c r="U336" s="1197">
        <f t="shared" si="323"/>
        <v>-10766.770000000004</v>
      </c>
      <c r="V336" s="1197">
        <f t="shared" si="323"/>
        <v>326.10000000000218</v>
      </c>
      <c r="W336" s="1197">
        <f t="shared" ca="1" si="323"/>
        <v>-2666.2660187117735</v>
      </c>
      <c r="X336" s="1197">
        <f t="shared" ca="1" si="323"/>
        <v>-1628.4838418534564</v>
      </c>
      <c r="Y336" s="1197">
        <f ca="1">Y331</f>
        <v>-1320.1885065775004</v>
      </c>
      <c r="Z336" s="1197">
        <f ca="1">Z331</f>
        <v>-814.71351836051144</v>
      </c>
      <c r="AA336" s="1197">
        <f ca="1">AA331</f>
        <v>-55.379430741968463</v>
      </c>
      <c r="AB336" s="1197">
        <f ca="1">AB331</f>
        <v>835.9720990009846</v>
      </c>
      <c r="AC336" s="1197">
        <f ca="1">AC331</f>
        <v>1780.9761406932048</v>
      </c>
      <c r="AD336" s="685"/>
      <c r="AE336" s="685"/>
      <c r="AF336" s="685"/>
      <c r="AG336" s="685"/>
      <c r="AH336" s="685"/>
      <c r="AI336" s="685"/>
      <c r="AJ336" s="685"/>
      <c r="AK336" s="685"/>
      <c r="AL336" s="685"/>
      <c r="AM336" s="685"/>
      <c r="AN336" s="685"/>
      <c r="AO336" s="685"/>
      <c r="AP336" s="685"/>
      <c r="AQ336" s="685"/>
      <c r="AR336" s="685"/>
      <c r="AS336" s="685"/>
      <c r="AT336" s="685"/>
      <c r="AU336" s="685"/>
      <c r="AV336" s="685"/>
      <c r="AW336" s="685"/>
      <c r="AX336" s="685"/>
      <c r="AY336" s="685"/>
    </row>
    <row r="337" spans="1:51">
      <c r="A337" s="685"/>
      <c r="B337" s="1189"/>
      <c r="C337" s="1191"/>
      <c r="D337" s="1191"/>
      <c r="E337" s="1191"/>
      <c r="F337" s="1191"/>
      <c r="G337" s="1191"/>
      <c r="H337" s="1191"/>
      <c r="I337" s="1191"/>
      <c r="J337" s="1191"/>
      <c r="K337" s="1191"/>
      <c r="L337" s="1191"/>
      <c r="M337" s="1191"/>
      <c r="N337" s="1191"/>
      <c r="O337" s="1191"/>
      <c r="P337" s="1191"/>
      <c r="Q337" s="1191"/>
      <c r="R337" s="1191"/>
      <c r="S337" s="1191"/>
      <c r="T337" s="1191"/>
      <c r="U337" s="1191"/>
      <c r="V337" s="1191"/>
      <c r="W337" s="1191"/>
      <c r="X337" s="1191"/>
      <c r="Y337" s="1191"/>
      <c r="Z337" s="1191"/>
      <c r="AA337" s="1191"/>
      <c r="AB337" s="1191"/>
      <c r="AC337" s="1191"/>
      <c r="AD337" s="685"/>
      <c r="AE337" s="685"/>
      <c r="AF337" s="685"/>
      <c r="AG337" s="685"/>
      <c r="AH337" s="685"/>
      <c r="AI337" s="685"/>
      <c r="AJ337" s="685"/>
      <c r="AK337" s="685"/>
      <c r="AL337" s="685"/>
      <c r="AM337" s="685"/>
      <c r="AN337" s="685"/>
      <c r="AO337" s="685"/>
      <c r="AP337" s="685"/>
      <c r="AQ337" s="685"/>
      <c r="AR337" s="685"/>
      <c r="AS337" s="685"/>
      <c r="AT337" s="685"/>
      <c r="AU337" s="685"/>
      <c r="AV337" s="685"/>
      <c r="AW337" s="685"/>
      <c r="AX337" s="685"/>
      <c r="AY337" s="685"/>
    </row>
    <row r="338" spans="1:51">
      <c r="A338" s="685"/>
      <c r="B338" s="1189" t="s">
        <v>301</v>
      </c>
      <c r="C338" s="1259"/>
      <c r="D338" s="1197">
        <v>0</v>
      </c>
      <c r="E338" s="1197">
        <v>0</v>
      </c>
      <c r="F338" s="1197">
        <v>0</v>
      </c>
      <c r="G338" s="1197">
        <v>0</v>
      </c>
      <c r="H338" s="1197">
        <v>0</v>
      </c>
      <c r="I338" s="1197">
        <v>0</v>
      </c>
      <c r="J338" s="1197">
        <v>0</v>
      </c>
      <c r="K338" s="1197">
        <v>0</v>
      </c>
      <c r="L338" s="1197">
        <v>0</v>
      </c>
      <c r="M338" s="1197">
        <v>0</v>
      </c>
      <c r="N338" s="1197">
        <v>0</v>
      </c>
      <c r="O338" s="1197">
        <v>0</v>
      </c>
      <c r="P338" s="1197">
        <v>0</v>
      </c>
      <c r="Q338" s="1197">
        <v>0</v>
      </c>
      <c r="R338" s="1197">
        <v>0</v>
      </c>
      <c r="S338" s="1197">
        <v>0</v>
      </c>
      <c r="T338" s="1197">
        <v>0</v>
      </c>
      <c r="U338" s="1197">
        <v>0</v>
      </c>
      <c r="V338" s="1197">
        <v>0</v>
      </c>
      <c r="W338" s="1197">
        <v>0</v>
      </c>
      <c r="X338" s="1197">
        <v>0</v>
      </c>
      <c r="Y338" s="1197">
        <v>0</v>
      </c>
      <c r="Z338" s="1197">
        <v>0</v>
      </c>
      <c r="AA338" s="1197">
        <v>0</v>
      </c>
      <c r="AB338" s="1197">
        <v>0</v>
      </c>
      <c r="AC338" s="1197">
        <v>0</v>
      </c>
      <c r="AD338" s="685"/>
      <c r="AE338" s="685"/>
      <c r="AF338" s="685"/>
      <c r="AG338" s="685"/>
      <c r="AH338" s="685"/>
      <c r="AI338" s="685"/>
      <c r="AJ338" s="685"/>
      <c r="AK338" s="685"/>
      <c r="AL338" s="685"/>
      <c r="AM338" s="685"/>
      <c r="AN338" s="685"/>
      <c r="AO338" s="685"/>
      <c r="AP338" s="685"/>
      <c r="AQ338" s="685"/>
      <c r="AR338" s="685"/>
      <c r="AS338" s="685"/>
      <c r="AT338" s="685"/>
      <c r="AU338" s="685"/>
      <c r="AV338" s="685"/>
      <c r="AW338" s="685"/>
      <c r="AX338" s="685"/>
      <c r="AY338" s="685"/>
    </row>
    <row r="339" spans="1:51">
      <c r="A339" s="685"/>
      <c r="B339" s="1189" t="s">
        <v>302</v>
      </c>
      <c r="C339" s="1191"/>
      <c r="D339" s="1245">
        <v>0</v>
      </c>
      <c r="E339" s="1245">
        <f t="shared" ref="E339:AC339" si="324">D338</f>
        <v>0</v>
      </c>
      <c r="F339" s="1245">
        <f t="shared" si="324"/>
        <v>0</v>
      </c>
      <c r="G339" s="1245">
        <f t="shared" si="324"/>
        <v>0</v>
      </c>
      <c r="H339" s="1245">
        <f t="shared" si="324"/>
        <v>0</v>
      </c>
      <c r="I339" s="1245">
        <f t="shared" si="324"/>
        <v>0</v>
      </c>
      <c r="J339" s="1245">
        <f>I338</f>
        <v>0</v>
      </c>
      <c r="K339" s="1245">
        <f t="shared" si="324"/>
        <v>0</v>
      </c>
      <c r="L339" s="1245">
        <f t="shared" si="324"/>
        <v>0</v>
      </c>
      <c r="M339" s="1245">
        <f t="shared" si="324"/>
        <v>0</v>
      </c>
      <c r="N339" s="1245">
        <f t="shared" si="324"/>
        <v>0</v>
      </c>
      <c r="O339" s="1245">
        <f t="shared" si="324"/>
        <v>0</v>
      </c>
      <c r="P339" s="1245">
        <f t="shared" si="324"/>
        <v>0</v>
      </c>
      <c r="Q339" s="1245">
        <f t="shared" si="324"/>
        <v>0</v>
      </c>
      <c r="R339" s="1245">
        <f t="shared" si="324"/>
        <v>0</v>
      </c>
      <c r="S339" s="1245">
        <f t="shared" si="324"/>
        <v>0</v>
      </c>
      <c r="T339" s="1245">
        <f t="shared" si="324"/>
        <v>0</v>
      </c>
      <c r="U339" s="1245">
        <f t="shared" si="324"/>
        <v>0</v>
      </c>
      <c r="V339" s="1245">
        <f t="shared" si="324"/>
        <v>0</v>
      </c>
      <c r="W339" s="1245">
        <f t="shared" si="324"/>
        <v>0</v>
      </c>
      <c r="X339" s="1245">
        <f t="shared" si="324"/>
        <v>0</v>
      </c>
      <c r="Y339" s="1245">
        <f t="shared" si="324"/>
        <v>0</v>
      </c>
      <c r="Z339" s="1245">
        <f t="shared" si="324"/>
        <v>0</v>
      </c>
      <c r="AA339" s="1245">
        <f t="shared" si="324"/>
        <v>0</v>
      </c>
      <c r="AB339" s="1245">
        <f t="shared" si="324"/>
        <v>0</v>
      </c>
      <c r="AC339" s="1245">
        <f t="shared" si="324"/>
        <v>0</v>
      </c>
      <c r="AD339" s="685"/>
      <c r="AE339" s="685"/>
      <c r="AF339" s="685"/>
      <c r="AG339" s="685"/>
      <c r="AH339" s="685"/>
      <c r="AI339" s="685"/>
      <c r="AJ339" s="685"/>
      <c r="AK339" s="685"/>
      <c r="AL339" s="685"/>
      <c r="AM339" s="685"/>
      <c r="AN339" s="685"/>
      <c r="AO339" s="685"/>
      <c r="AP339" s="685"/>
      <c r="AQ339" s="685"/>
      <c r="AR339" s="685"/>
      <c r="AS339" s="685"/>
      <c r="AT339" s="685"/>
      <c r="AU339" s="685"/>
      <c r="AV339" s="685"/>
      <c r="AW339" s="685"/>
      <c r="AX339" s="685"/>
      <c r="AY339" s="685"/>
    </row>
    <row r="340" spans="1:51">
      <c r="A340" s="685"/>
      <c r="B340" s="1575" t="s">
        <v>303</v>
      </c>
      <c r="C340" s="1191"/>
      <c r="D340" s="1197">
        <f t="shared" ref="D340:Q340" si="325">D336-D339</f>
        <v>0</v>
      </c>
      <c r="E340" s="1197">
        <f t="shared" si="325"/>
        <v>0</v>
      </c>
      <c r="F340" s="1197">
        <f t="shared" si="325"/>
        <v>0</v>
      </c>
      <c r="G340" s="1197">
        <f t="shared" si="325"/>
        <v>0</v>
      </c>
      <c r="H340" s="1197">
        <f t="shared" si="325"/>
        <v>13074</v>
      </c>
      <c r="I340" s="1197">
        <f t="shared" si="325"/>
        <v>13704.899999999998</v>
      </c>
      <c r="J340" s="1197">
        <f t="shared" si="325"/>
        <v>14326.8</v>
      </c>
      <c r="K340" s="1197">
        <f t="shared" si="325"/>
        <v>15947.9</v>
      </c>
      <c r="L340" s="1197">
        <f t="shared" si="325"/>
        <v>10681.499999999998</v>
      </c>
      <c r="M340" s="1197">
        <f t="shared" si="325"/>
        <v>12307.300000000005</v>
      </c>
      <c r="N340" s="1197">
        <f t="shared" si="325"/>
        <v>15858.799999999994</v>
      </c>
      <c r="O340" s="1197">
        <f t="shared" si="325"/>
        <v>16084.399999999998</v>
      </c>
      <c r="P340" s="1197">
        <f t="shared" si="325"/>
        <v>13857</v>
      </c>
      <c r="Q340" s="1197">
        <f t="shared" si="325"/>
        <v>13237.9</v>
      </c>
      <c r="R340" s="1197">
        <f t="shared" ref="R340:X340" si="326">R336-R339</f>
        <v>11777.3</v>
      </c>
      <c r="S340" s="1197">
        <f t="shared" si="326"/>
        <v>7896.7999999999938</v>
      </c>
      <c r="T340" s="1197">
        <f t="shared" si="326"/>
        <v>13697.999999999996</v>
      </c>
      <c r="U340" s="1197">
        <f t="shared" si="326"/>
        <v>-10766.770000000004</v>
      </c>
      <c r="V340" s="1197">
        <f t="shared" si="326"/>
        <v>326.10000000000218</v>
      </c>
      <c r="W340" s="1197">
        <f t="shared" ca="1" si="326"/>
        <v>-2666.2660187117735</v>
      </c>
      <c r="X340" s="1197">
        <f t="shared" ca="1" si="326"/>
        <v>-1628.4838418534564</v>
      </c>
      <c r="Y340" s="1197">
        <f ca="1">Y336-Y339</f>
        <v>-1320.1885065775004</v>
      </c>
      <c r="Z340" s="1197">
        <f ca="1">Z336-Z339</f>
        <v>-814.71351836051144</v>
      </c>
      <c r="AA340" s="1197">
        <f ca="1">AA336-AA339</f>
        <v>-55.379430741968463</v>
      </c>
      <c r="AB340" s="1197">
        <f ca="1">AB336-AB339</f>
        <v>835.9720990009846</v>
      </c>
      <c r="AC340" s="1197">
        <f ca="1">AC336-AC339</f>
        <v>1780.9761406932048</v>
      </c>
      <c r="AD340" s="685"/>
      <c r="AE340" s="685"/>
      <c r="AF340" s="685"/>
      <c r="AG340" s="685"/>
      <c r="AH340" s="685"/>
      <c r="AI340" s="685"/>
      <c r="AJ340" s="685"/>
      <c r="AK340" s="685"/>
      <c r="AL340" s="685"/>
      <c r="AM340" s="685"/>
      <c r="AN340" s="685"/>
      <c r="AO340" s="685"/>
      <c r="AP340" s="685"/>
      <c r="AQ340" s="685"/>
      <c r="AR340" s="685"/>
      <c r="AS340" s="685"/>
      <c r="AT340" s="685"/>
      <c r="AU340" s="685"/>
      <c r="AV340" s="685"/>
      <c r="AW340" s="685"/>
      <c r="AX340" s="685"/>
      <c r="AY340" s="685"/>
    </row>
    <row r="341" spans="1:51">
      <c r="A341" s="685"/>
      <c r="B341" s="1189"/>
      <c r="C341" s="1191"/>
      <c r="D341" s="1191"/>
      <c r="E341" s="1197"/>
      <c r="F341" s="1197"/>
      <c r="G341" s="1197"/>
      <c r="H341" s="1197"/>
      <c r="I341" s="1197"/>
      <c r="J341" s="1197"/>
      <c r="K341" s="1197"/>
      <c r="L341" s="1197"/>
      <c r="M341" s="1197"/>
      <c r="N341" s="1197"/>
      <c r="O341" s="1197"/>
      <c r="P341" s="1197"/>
      <c r="Q341" s="1197"/>
      <c r="R341" s="1197"/>
      <c r="S341" s="1197"/>
      <c r="T341" s="1197"/>
      <c r="U341" s="1197"/>
      <c r="V341" s="1197"/>
      <c r="W341" s="1197"/>
      <c r="X341" s="1197"/>
      <c r="Y341" s="1197"/>
      <c r="Z341" s="1197"/>
      <c r="AA341" s="1197"/>
      <c r="AB341" s="1197"/>
      <c r="AC341" s="1197"/>
      <c r="AD341" s="685"/>
      <c r="AE341" s="685"/>
      <c r="AF341" s="685"/>
      <c r="AG341" s="685"/>
      <c r="AH341" s="685"/>
      <c r="AI341" s="685"/>
      <c r="AJ341" s="685"/>
      <c r="AK341" s="685"/>
      <c r="AL341" s="685"/>
      <c r="AM341" s="685"/>
      <c r="AN341" s="685"/>
      <c r="AO341" s="685"/>
      <c r="AP341" s="685"/>
      <c r="AQ341" s="685"/>
      <c r="AR341" s="685"/>
      <c r="AS341" s="685"/>
      <c r="AT341" s="685"/>
      <c r="AU341" s="685"/>
      <c r="AV341" s="685"/>
      <c r="AW341" s="685"/>
      <c r="AX341" s="685"/>
      <c r="AY341" s="685"/>
    </row>
    <row r="342" spans="1:51">
      <c r="A342" s="685"/>
      <c r="B342" s="1189" t="s">
        <v>304</v>
      </c>
      <c r="C342" s="1191"/>
      <c r="D342" s="1197" t="e">
        <f t="shared" ref="D342:Q342" si="327">D340*D334+D341</f>
        <v>#DIV/0!</v>
      </c>
      <c r="E342" s="1197" t="e">
        <f t="shared" si="327"/>
        <v>#DIV/0!</v>
      </c>
      <c r="F342" s="1197" t="e">
        <f t="shared" si="327"/>
        <v>#DIV/0!</v>
      </c>
      <c r="G342" s="1197" t="e">
        <f t="shared" si="327"/>
        <v>#DIV/0!</v>
      </c>
      <c r="H342" s="1197">
        <f t="shared" si="327"/>
        <v>3121</v>
      </c>
      <c r="I342" s="1197">
        <f t="shared" si="327"/>
        <v>3259</v>
      </c>
      <c r="J342" s="1197">
        <f t="shared" si="327"/>
        <v>3410</v>
      </c>
      <c r="K342" s="1197">
        <f t="shared" si="327"/>
        <v>4053</v>
      </c>
      <c r="L342" s="1197">
        <f t="shared" si="327"/>
        <v>3728.9999999999995</v>
      </c>
      <c r="M342" s="1197">
        <f t="shared" si="327"/>
        <v>2983</v>
      </c>
      <c r="N342" s="1197">
        <f t="shared" si="327"/>
        <v>4396.5599999999995</v>
      </c>
      <c r="O342" s="1197">
        <f t="shared" si="327"/>
        <v>2872.2</v>
      </c>
      <c r="P342" s="1197">
        <f t="shared" si="327"/>
        <v>4274</v>
      </c>
      <c r="Q342" s="1197">
        <f t="shared" si="327"/>
        <v>4391</v>
      </c>
      <c r="R342" s="1197">
        <f t="shared" ref="R342:X342" si="328">R340*R334+R341</f>
        <v>2776.5</v>
      </c>
      <c r="S342" s="1197">
        <f t="shared" si="328"/>
        <v>5004.6000000000004</v>
      </c>
      <c r="T342" s="1197">
        <f t="shared" si="328"/>
        <v>7493.9000000000005</v>
      </c>
      <c r="U342" s="1197">
        <f t="shared" si="328"/>
        <v>-967.40000000000009</v>
      </c>
      <c r="V342" s="1197">
        <f t="shared" si="328"/>
        <v>2440.9</v>
      </c>
      <c r="W342" s="1197">
        <f t="shared" ca="1" si="328"/>
        <v>-746.5544852392967</v>
      </c>
      <c r="X342" s="1197">
        <f t="shared" ca="1" si="328"/>
        <v>-455.97547571896786</v>
      </c>
      <c r="Y342" s="1197">
        <f ca="1">Y340*Y334+Y341</f>
        <v>-369.65278184170018</v>
      </c>
      <c r="Z342" s="1197">
        <f ca="1">Z340*Z334+Z341</f>
        <v>-228.11978514094324</v>
      </c>
      <c r="AA342" s="1197">
        <f ca="1">AA340*AA334+AA341</f>
        <v>-15.50624060775117</v>
      </c>
      <c r="AB342" s="1197">
        <f ca="1">AB340*AB334+AB341</f>
        <v>234.07218772027571</v>
      </c>
      <c r="AC342" s="1197">
        <f ca="1">AC340*AC334+AC341</f>
        <v>498.6733193940974</v>
      </c>
      <c r="AD342" s="685"/>
      <c r="AE342" s="685"/>
      <c r="AF342" s="685"/>
      <c r="AG342" s="685"/>
      <c r="AH342" s="685"/>
      <c r="AI342" s="685"/>
      <c r="AJ342" s="685"/>
      <c r="AK342" s="685"/>
      <c r="AL342" s="685"/>
      <c r="AM342" s="685"/>
      <c r="AN342" s="685"/>
      <c r="AO342" s="685"/>
      <c r="AP342" s="685"/>
      <c r="AQ342" s="685"/>
      <c r="AR342" s="685"/>
      <c r="AS342" s="685"/>
      <c r="AT342" s="685"/>
      <c r="AU342" s="685"/>
      <c r="AV342" s="685"/>
      <c r="AW342" s="685"/>
      <c r="AX342" s="685"/>
      <c r="AY342" s="685"/>
    </row>
    <row r="343" spans="1:51">
      <c r="A343" s="685"/>
      <c r="B343" s="1189" t="s">
        <v>305</v>
      </c>
      <c r="C343" s="1191"/>
      <c r="D343" s="1197">
        <f t="shared" ref="D343:Q343" si="329">D338*0.39</f>
        <v>0</v>
      </c>
      <c r="E343" s="1197">
        <f t="shared" si="329"/>
        <v>0</v>
      </c>
      <c r="F343" s="1197">
        <f t="shared" si="329"/>
        <v>0</v>
      </c>
      <c r="G343" s="1197">
        <f t="shared" si="329"/>
        <v>0</v>
      </c>
      <c r="H343" s="1197">
        <f t="shared" si="329"/>
        <v>0</v>
      </c>
      <c r="I343" s="1197">
        <f t="shared" si="329"/>
        <v>0</v>
      </c>
      <c r="J343" s="1197">
        <f>J338*0.39</f>
        <v>0</v>
      </c>
      <c r="K343" s="1197">
        <f t="shared" si="329"/>
        <v>0</v>
      </c>
      <c r="L343" s="1197">
        <f t="shared" si="329"/>
        <v>0</v>
      </c>
      <c r="M343" s="1197">
        <f t="shared" si="329"/>
        <v>0</v>
      </c>
      <c r="N343" s="1197">
        <f t="shared" si="329"/>
        <v>0</v>
      </c>
      <c r="O343" s="1197">
        <f t="shared" si="329"/>
        <v>0</v>
      </c>
      <c r="P343" s="1197">
        <f t="shared" si="329"/>
        <v>0</v>
      </c>
      <c r="Q343" s="1197">
        <f t="shared" si="329"/>
        <v>0</v>
      </c>
      <c r="R343" s="1197">
        <f t="shared" ref="R343:X343" si="330">R338*0.39</f>
        <v>0</v>
      </c>
      <c r="S343" s="1197">
        <f t="shared" si="330"/>
        <v>0</v>
      </c>
      <c r="T343" s="1197">
        <f t="shared" si="330"/>
        <v>0</v>
      </c>
      <c r="U343" s="1197">
        <f t="shared" si="330"/>
        <v>0</v>
      </c>
      <c r="V343" s="1197">
        <f t="shared" si="330"/>
        <v>0</v>
      </c>
      <c r="W343" s="1197">
        <f t="shared" si="330"/>
        <v>0</v>
      </c>
      <c r="X343" s="1197">
        <f t="shared" si="330"/>
        <v>0</v>
      </c>
      <c r="Y343" s="1197">
        <f>Y338*0.39</f>
        <v>0</v>
      </c>
      <c r="Z343" s="1197">
        <f>Z338*0.39</f>
        <v>0</v>
      </c>
      <c r="AA343" s="1197">
        <f>AA338*0.39</f>
        <v>0</v>
      </c>
      <c r="AB343" s="1197">
        <f>AB338*0.39</f>
        <v>0</v>
      </c>
      <c r="AC343" s="1197">
        <f>AC338*0.39</f>
        <v>0</v>
      </c>
      <c r="AD343" s="685"/>
      <c r="AE343" s="685"/>
      <c r="AF343" s="685"/>
      <c r="AG343" s="685"/>
      <c r="AH343" s="685"/>
      <c r="AI343" s="685"/>
      <c r="AJ343" s="685"/>
      <c r="AK343" s="685"/>
      <c r="AL343" s="685"/>
      <c r="AM343" s="685"/>
      <c r="AN343" s="685"/>
      <c r="AO343" s="685"/>
      <c r="AP343" s="685"/>
      <c r="AQ343" s="685"/>
      <c r="AR343" s="685"/>
      <c r="AS343" s="685"/>
      <c r="AT343" s="685"/>
      <c r="AU343" s="685"/>
      <c r="AV343" s="685"/>
      <c r="AW343" s="685"/>
      <c r="AX343" s="685"/>
      <c r="AY343" s="685"/>
    </row>
    <row r="344" spans="1:51">
      <c r="A344" s="685"/>
      <c r="B344" s="1189" t="s">
        <v>306</v>
      </c>
      <c r="C344" s="1191"/>
      <c r="D344" s="1197" t="e">
        <f>D331*D332+D342</f>
        <v>#DIV/0!</v>
      </c>
      <c r="E344" s="1197" t="e">
        <f t="shared" ref="E344:Q344" si="331">E331*E332-E342</f>
        <v>#DIV/0!</v>
      </c>
      <c r="F344" s="1197" t="e">
        <f t="shared" si="331"/>
        <v>#DIV/0!</v>
      </c>
      <c r="G344" s="1197" t="e">
        <f t="shared" si="331"/>
        <v>#DIV/0!</v>
      </c>
      <c r="H344" s="1197">
        <f t="shared" si="331"/>
        <v>539.72000000000025</v>
      </c>
      <c r="I344" s="1197">
        <f t="shared" si="331"/>
        <v>578.37199999999984</v>
      </c>
      <c r="J344" s="1197">
        <f t="shared" si="331"/>
        <v>601.50400000000036</v>
      </c>
      <c r="K344" s="1197">
        <f t="shared" si="331"/>
        <v>-66.025000000000091</v>
      </c>
      <c r="L344" s="1197">
        <f t="shared" si="331"/>
        <v>-1058.625</v>
      </c>
      <c r="M344" s="1197">
        <f t="shared" si="331"/>
        <v>93.825000000001182</v>
      </c>
      <c r="N344" s="1197">
        <f t="shared" si="331"/>
        <v>-431.86000000000104</v>
      </c>
      <c r="O344" s="1197">
        <f t="shared" si="331"/>
        <v>1148.8999999999996</v>
      </c>
      <c r="P344" s="1197">
        <f t="shared" si="331"/>
        <v>0</v>
      </c>
      <c r="Q344" s="1197">
        <f t="shared" si="331"/>
        <v>0</v>
      </c>
      <c r="R344" s="1197">
        <f t="shared" ref="R344:X344" si="332">R331*R332-R342</f>
        <v>0</v>
      </c>
      <c r="S344" s="1197">
        <f t="shared" si="332"/>
        <v>1527.5119999999997</v>
      </c>
      <c r="T344" s="1197">
        <f t="shared" si="332"/>
        <v>0</v>
      </c>
      <c r="U344" s="1197">
        <f t="shared" si="332"/>
        <v>0</v>
      </c>
      <c r="V344" s="1197">
        <f t="shared" si="332"/>
        <v>0</v>
      </c>
      <c r="W344" s="1197">
        <f t="shared" ca="1" si="332"/>
        <v>0</v>
      </c>
      <c r="X344" s="1197">
        <f t="shared" ca="1" si="332"/>
        <v>0</v>
      </c>
      <c r="Y344" s="1197">
        <f ca="1">Y331*Y332-Y342</f>
        <v>0</v>
      </c>
      <c r="Z344" s="1197">
        <f ca="1">Z331*Z332-Z342</f>
        <v>0</v>
      </c>
      <c r="AA344" s="1197">
        <f ca="1">AA331*AA332-AA342</f>
        <v>0</v>
      </c>
      <c r="AB344" s="1197">
        <f ca="1">AB331*AB332-AB342</f>
        <v>0</v>
      </c>
      <c r="AC344" s="1197">
        <f ca="1">AC331*AC332-AC342</f>
        <v>0</v>
      </c>
      <c r="AD344" s="685"/>
      <c r="AE344" s="685"/>
      <c r="AF344" s="685"/>
      <c r="AG344" s="685"/>
      <c r="AH344" s="685"/>
      <c r="AI344" s="685"/>
      <c r="AJ344" s="685"/>
      <c r="AK344" s="685"/>
      <c r="AL344" s="685"/>
      <c r="AM344" s="685"/>
      <c r="AN344" s="685"/>
      <c r="AO344" s="685"/>
      <c r="AP344" s="685"/>
      <c r="AQ344" s="685"/>
      <c r="AR344" s="685"/>
      <c r="AS344" s="685"/>
      <c r="AT344" s="685"/>
      <c r="AU344" s="685"/>
      <c r="AV344" s="685"/>
      <c r="AW344" s="685"/>
      <c r="AX344" s="685"/>
      <c r="AY344" s="685"/>
    </row>
    <row r="345" spans="1:51">
      <c r="A345" s="685"/>
      <c r="B345" s="1189" t="s">
        <v>307</v>
      </c>
      <c r="C345" s="1191"/>
      <c r="D345" s="1197" t="e">
        <f>NPV(7%,D344:T344)</f>
        <v>#DIV/0!</v>
      </c>
      <c r="E345" s="1197" t="e">
        <f>NPV(7%,E344:U344)</f>
        <v>#DIV/0!</v>
      </c>
      <c r="F345" s="1197" t="e">
        <f>NPV(7%,F344:V344)</f>
        <v>#DIV/0!</v>
      </c>
      <c r="G345" s="1197" t="e">
        <f>NPV(7%,G344:W344)</f>
        <v>#DIV/0!</v>
      </c>
      <c r="H345" s="1197">
        <f ca="1">NPV(7%,H344:X344)</f>
        <v>1835.9177183499344</v>
      </c>
      <c r="I345" s="1197">
        <f t="shared" ref="I345:AC345" ca="1" si="333">NPV(7%,I344:AD344)</f>
        <v>1424.7119586344302</v>
      </c>
      <c r="J345" s="1197">
        <f t="shared" ca="1" si="333"/>
        <v>946.06979573884018</v>
      </c>
      <c r="K345" s="1197">
        <f t="shared" ca="1" si="333"/>
        <v>410.79068144055907</v>
      </c>
      <c r="L345" s="1197">
        <f t="shared" ca="1" si="333"/>
        <v>505.57102914139818</v>
      </c>
      <c r="M345" s="1197">
        <f t="shared" ca="1" si="333"/>
        <v>1599.5860011812961</v>
      </c>
      <c r="N345" s="1197">
        <f t="shared" ca="1" si="333"/>
        <v>1617.7320212639856</v>
      </c>
      <c r="O345" s="1197">
        <f t="shared" ca="1" si="333"/>
        <v>2162.833262752466</v>
      </c>
      <c r="P345" s="1197">
        <f t="shared" ca="1" si="333"/>
        <v>1165.3315911451389</v>
      </c>
      <c r="Q345" s="1197">
        <f t="shared" ca="1" si="333"/>
        <v>1246.9048025252989</v>
      </c>
      <c r="R345" s="1197">
        <f t="shared" ca="1" si="333"/>
        <v>1334.1881387020696</v>
      </c>
      <c r="S345" s="1197">
        <f t="shared" ca="1" si="333"/>
        <v>1427.5813084112146</v>
      </c>
      <c r="T345" s="1197">
        <f t="shared" ca="1" si="333"/>
        <v>0</v>
      </c>
      <c r="U345" s="1197">
        <f t="shared" ca="1" si="333"/>
        <v>0</v>
      </c>
      <c r="V345" s="1197">
        <f t="shared" ca="1" si="333"/>
        <v>0</v>
      </c>
      <c r="W345" s="1197">
        <f t="shared" ca="1" si="333"/>
        <v>0</v>
      </c>
      <c r="X345" s="1197">
        <f t="shared" ca="1" si="333"/>
        <v>0</v>
      </c>
      <c r="Y345" s="1197">
        <f t="shared" ca="1" si="333"/>
        <v>0</v>
      </c>
      <c r="Z345" s="1197">
        <f t="shared" ca="1" si="333"/>
        <v>0</v>
      </c>
      <c r="AA345" s="1197">
        <f t="shared" ca="1" si="333"/>
        <v>0</v>
      </c>
      <c r="AB345" s="1197">
        <f t="shared" ca="1" si="333"/>
        <v>0</v>
      </c>
      <c r="AC345" s="1197">
        <f t="shared" ca="1" si="333"/>
        <v>0</v>
      </c>
      <c r="AD345" s="685"/>
      <c r="AE345" s="685"/>
      <c r="AF345" s="685"/>
      <c r="AG345" s="685"/>
      <c r="AH345" s="685"/>
      <c r="AI345" s="685"/>
      <c r="AJ345" s="685"/>
      <c r="AK345" s="685"/>
      <c r="AL345" s="685"/>
      <c r="AM345" s="685"/>
      <c r="AN345" s="685"/>
      <c r="AO345" s="685"/>
      <c r="AP345" s="685"/>
      <c r="AQ345" s="685"/>
      <c r="AR345" s="685"/>
      <c r="AS345" s="685"/>
      <c r="AT345" s="685"/>
      <c r="AU345" s="685"/>
      <c r="AV345" s="685"/>
      <c r="AW345" s="685"/>
      <c r="AX345" s="685"/>
      <c r="AY345" s="685"/>
    </row>
    <row r="346" spans="1:51">
      <c r="A346" s="685"/>
      <c r="B346" s="1189"/>
      <c r="C346" s="1189"/>
      <c r="D346" s="1189"/>
      <c r="E346" s="1189"/>
      <c r="F346" s="1189"/>
      <c r="G346" s="1189"/>
      <c r="H346" s="1189"/>
      <c r="I346" s="1189"/>
      <c r="J346" s="1189"/>
      <c r="K346" s="1189"/>
      <c r="L346" s="1189"/>
      <c r="M346" s="1189"/>
      <c r="N346" s="1189"/>
      <c r="O346" s="1189"/>
      <c r="P346" s="1189"/>
      <c r="Q346" s="1189"/>
      <c r="R346" s="1189"/>
      <c r="S346" s="1189"/>
      <c r="T346" s="1189"/>
      <c r="U346" s="1189"/>
      <c r="V346" s="1189"/>
      <c r="W346" s="1189"/>
      <c r="X346" s="1189"/>
      <c r="Y346" s="1189"/>
      <c r="Z346" s="1189"/>
      <c r="AA346" s="1189"/>
      <c r="AB346" s="1189"/>
      <c r="AC346" s="1189"/>
      <c r="AD346" s="685"/>
      <c r="AE346" s="685"/>
      <c r="AF346" s="685"/>
      <c r="AG346" s="685"/>
      <c r="AH346" s="685"/>
      <c r="AI346" s="685"/>
      <c r="AJ346" s="685"/>
      <c r="AK346" s="685"/>
      <c r="AL346" s="685"/>
      <c r="AM346" s="685"/>
      <c r="AN346" s="685"/>
      <c r="AO346" s="685"/>
      <c r="AP346" s="685"/>
      <c r="AQ346" s="685"/>
      <c r="AR346" s="685"/>
      <c r="AS346" s="685"/>
      <c r="AT346" s="685"/>
      <c r="AU346" s="685"/>
      <c r="AV346" s="685"/>
      <c r="AW346" s="685"/>
      <c r="AX346" s="685"/>
      <c r="AY346" s="685"/>
    </row>
    <row r="347" spans="1:51">
      <c r="A347" s="685"/>
      <c r="B347" s="1187" t="s">
        <v>308</v>
      </c>
      <c r="C347" s="1189"/>
      <c r="D347" s="1189"/>
      <c r="E347" s="1189"/>
      <c r="F347" s="1189"/>
      <c r="G347" s="1189"/>
      <c r="H347" s="1189"/>
      <c r="I347" s="1189"/>
      <c r="J347" s="1189"/>
      <c r="K347" s="1189"/>
      <c r="L347" s="1189"/>
      <c r="M347" s="1189"/>
      <c r="N347" s="1189"/>
      <c r="O347" s="1189"/>
      <c r="P347" s="1189"/>
      <c r="Q347" s="1189"/>
      <c r="R347" s="1189"/>
      <c r="S347" s="1189"/>
      <c r="T347" s="1189"/>
      <c r="U347" s="1189"/>
      <c r="V347" s="1189"/>
      <c r="W347" s="1189"/>
      <c r="X347" s="1189"/>
      <c r="Y347" s="1189"/>
      <c r="Z347" s="1189"/>
      <c r="AA347" s="1189"/>
      <c r="AB347" s="1189"/>
      <c r="AC347" s="1189"/>
      <c r="AD347" s="685"/>
      <c r="AE347" s="685"/>
      <c r="AF347" s="685"/>
      <c r="AG347" s="685"/>
      <c r="AH347" s="685"/>
      <c r="AI347" s="685"/>
      <c r="AJ347" s="685"/>
      <c r="AK347" s="685"/>
      <c r="AL347" s="685"/>
      <c r="AM347" s="685"/>
      <c r="AN347" s="685"/>
      <c r="AO347" s="685"/>
      <c r="AP347" s="685"/>
      <c r="AQ347" s="685"/>
      <c r="AR347" s="685"/>
      <c r="AS347" s="685"/>
      <c r="AT347" s="685"/>
      <c r="AU347" s="685"/>
      <c r="AV347" s="685"/>
      <c r="AW347" s="685"/>
      <c r="AX347" s="685"/>
      <c r="AY347" s="685"/>
    </row>
    <row r="348" spans="1:51">
      <c r="A348" s="685"/>
      <c r="B348" s="1189" t="s">
        <v>309</v>
      </c>
      <c r="C348" s="1189"/>
      <c r="D348" s="1197" t="e">
        <f t="shared" ref="D348:Q348" si="334">D342</f>
        <v>#DIV/0!</v>
      </c>
      <c r="E348" s="1197" t="e">
        <f t="shared" si="334"/>
        <v>#DIV/0!</v>
      </c>
      <c r="F348" s="1197" t="e">
        <f t="shared" si="334"/>
        <v>#DIV/0!</v>
      </c>
      <c r="G348" s="1197" t="e">
        <f t="shared" si="334"/>
        <v>#DIV/0!</v>
      </c>
      <c r="H348" s="1197">
        <f t="shared" si="334"/>
        <v>3121</v>
      </c>
      <c r="I348" s="1197">
        <f t="shared" si="334"/>
        <v>3259</v>
      </c>
      <c r="J348" s="1197">
        <f>J342</f>
        <v>3410</v>
      </c>
      <c r="K348" s="1197">
        <f t="shared" si="334"/>
        <v>4053</v>
      </c>
      <c r="L348" s="1197">
        <f t="shared" si="334"/>
        <v>3728.9999999999995</v>
      </c>
      <c r="M348" s="1197">
        <f t="shared" si="334"/>
        <v>2983</v>
      </c>
      <c r="N348" s="1197">
        <f t="shared" si="334"/>
        <v>4396.5599999999995</v>
      </c>
      <c r="O348" s="1197">
        <f t="shared" si="334"/>
        <v>2872.2</v>
      </c>
      <c r="P348" s="1197">
        <f t="shared" si="334"/>
        <v>4274</v>
      </c>
      <c r="Q348" s="1197">
        <f t="shared" si="334"/>
        <v>4391</v>
      </c>
      <c r="R348" s="1197">
        <f t="shared" ref="R348:X348" si="335">R342</f>
        <v>2776.5</v>
      </c>
      <c r="S348" s="1197">
        <f t="shared" si="335"/>
        <v>5004.6000000000004</v>
      </c>
      <c r="T348" s="1197">
        <f t="shared" si="335"/>
        <v>7493.9000000000005</v>
      </c>
      <c r="U348" s="1197">
        <f t="shared" si="335"/>
        <v>-967.40000000000009</v>
      </c>
      <c r="V348" s="1197">
        <f t="shared" si="335"/>
        <v>2440.9</v>
      </c>
      <c r="W348" s="1197">
        <f t="shared" ca="1" si="335"/>
        <v>-746.5544852392967</v>
      </c>
      <c r="X348" s="1197">
        <f t="shared" ca="1" si="335"/>
        <v>-455.97547571896786</v>
      </c>
      <c r="Y348" s="1197">
        <f ca="1">Y342</f>
        <v>-369.65278184170018</v>
      </c>
      <c r="Z348" s="1197">
        <f ca="1">Z342</f>
        <v>-228.11978514094324</v>
      </c>
      <c r="AA348" s="1197">
        <f ca="1">AA342</f>
        <v>-15.50624060775117</v>
      </c>
      <c r="AB348" s="1197">
        <f ca="1">AB342</f>
        <v>234.07218772027571</v>
      </c>
      <c r="AC348" s="1197">
        <f ca="1">AC342</f>
        <v>498.6733193940974</v>
      </c>
      <c r="AD348" s="685"/>
      <c r="AE348" s="685"/>
      <c r="AF348" s="685"/>
      <c r="AG348" s="685"/>
      <c r="AH348" s="685"/>
      <c r="AI348" s="685"/>
      <c r="AJ348" s="685"/>
      <c r="AK348" s="685"/>
      <c r="AL348" s="685"/>
      <c r="AM348" s="685"/>
      <c r="AN348" s="685"/>
      <c r="AO348" s="685"/>
      <c r="AP348" s="685"/>
      <c r="AQ348" s="685"/>
      <c r="AR348" s="685"/>
      <c r="AS348" s="685"/>
      <c r="AT348" s="685"/>
      <c r="AU348" s="685"/>
      <c r="AV348" s="685"/>
      <c r="AW348" s="685"/>
      <c r="AX348" s="685"/>
      <c r="AY348" s="685"/>
    </row>
    <row r="349" spans="1:51">
      <c r="A349" s="685"/>
      <c r="B349" s="1189" t="s">
        <v>310</v>
      </c>
      <c r="C349" s="1189"/>
      <c r="D349" s="1261" t="e">
        <f t="shared" ref="D349:N349" si="336">D348</f>
        <v>#DIV/0!</v>
      </c>
      <c r="E349" s="1261" t="e">
        <f t="shared" si="336"/>
        <v>#DIV/0!</v>
      </c>
      <c r="F349" s="1261" t="e">
        <f t="shared" si="336"/>
        <v>#DIV/0!</v>
      </c>
      <c r="G349" s="1261" t="e">
        <f t="shared" si="336"/>
        <v>#DIV/0!</v>
      </c>
      <c r="H349" s="1261">
        <f t="shared" si="336"/>
        <v>3121</v>
      </c>
      <c r="I349" s="1261">
        <f t="shared" si="336"/>
        <v>3259</v>
      </c>
      <c r="J349" s="1261">
        <f>J348</f>
        <v>3410</v>
      </c>
      <c r="K349" s="1261">
        <f t="shared" si="336"/>
        <v>4053</v>
      </c>
      <c r="L349" s="1261">
        <f t="shared" si="336"/>
        <v>3728.9999999999995</v>
      </c>
      <c r="M349" s="1261">
        <f t="shared" si="336"/>
        <v>2983</v>
      </c>
      <c r="N349" s="1261">
        <f t="shared" si="336"/>
        <v>4396.5599999999995</v>
      </c>
      <c r="O349" s="1286">
        <v>7269</v>
      </c>
      <c r="P349" s="1286">
        <v>6420</v>
      </c>
      <c r="Q349" s="1286">
        <v>6723</v>
      </c>
      <c r="R349" s="1261">
        <f t="shared" ref="R349:X349" si="337">R348+R351</f>
        <v>4593.5</v>
      </c>
      <c r="S349" s="1286">
        <v>8681</v>
      </c>
      <c r="T349" s="1286">
        <v>9166</v>
      </c>
      <c r="U349" s="1286">
        <v>12188</v>
      </c>
      <c r="V349" s="1286">
        <v>7014.3090000000002</v>
      </c>
      <c r="W349" s="1261">
        <f t="shared" ca="1" si="337"/>
        <v>-746.5544852392967</v>
      </c>
      <c r="X349" s="1261">
        <f t="shared" ca="1" si="337"/>
        <v>-455.97547571896786</v>
      </c>
      <c r="Y349" s="1261">
        <f ca="1">Y348+Y351</f>
        <v>-369.65278184170018</v>
      </c>
      <c r="Z349" s="1261">
        <f ca="1">Z348+Z351</f>
        <v>-228.11978514094324</v>
      </c>
      <c r="AA349" s="1261">
        <f ca="1">AA348+AA351</f>
        <v>-15.50624060775117</v>
      </c>
      <c r="AB349" s="1261">
        <f ca="1">AB348+AB351</f>
        <v>234.07218772027571</v>
      </c>
      <c r="AC349" s="1261">
        <f ca="1">AC348+AC351</f>
        <v>498.6733193940974</v>
      </c>
      <c r="AD349" s="685"/>
      <c r="AE349" s="685"/>
      <c r="AF349" s="685"/>
      <c r="AG349" s="685"/>
      <c r="AH349" s="685"/>
      <c r="AI349" s="685"/>
      <c r="AJ349" s="685"/>
      <c r="AK349" s="685"/>
      <c r="AL349" s="685"/>
      <c r="AM349" s="685"/>
      <c r="AN349" s="685"/>
      <c r="AO349" s="685"/>
      <c r="AP349" s="685"/>
      <c r="AQ349" s="685"/>
      <c r="AR349" s="685"/>
      <c r="AS349" s="685"/>
      <c r="AT349" s="685"/>
      <c r="AU349" s="685"/>
      <c r="AV349" s="685"/>
      <c r="AW349" s="685"/>
      <c r="AX349" s="685"/>
      <c r="AY349" s="685"/>
    </row>
    <row r="350" spans="1:51">
      <c r="A350" s="685"/>
      <c r="B350" s="1189"/>
      <c r="C350" s="1189"/>
      <c r="D350" s="1261"/>
      <c r="E350" s="1261"/>
      <c r="F350" s="1261"/>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685"/>
      <c r="AE350" s="685"/>
      <c r="AF350" s="685"/>
      <c r="AG350" s="685"/>
      <c r="AH350" s="685"/>
      <c r="AI350" s="685"/>
      <c r="AJ350" s="685"/>
      <c r="AK350" s="685"/>
      <c r="AL350" s="685"/>
      <c r="AM350" s="685"/>
      <c r="AN350" s="685"/>
      <c r="AO350" s="685"/>
      <c r="AP350" s="685"/>
      <c r="AQ350" s="685"/>
      <c r="AR350" s="685"/>
      <c r="AS350" s="685"/>
      <c r="AT350" s="685"/>
      <c r="AU350" s="685"/>
      <c r="AV350" s="685"/>
      <c r="AW350" s="685"/>
      <c r="AX350" s="685"/>
      <c r="AY350" s="685"/>
    </row>
    <row r="351" spans="1:51">
      <c r="A351" s="685"/>
      <c r="B351" s="1189" t="s">
        <v>4077</v>
      </c>
      <c r="C351" s="1189"/>
      <c r="D351" s="1261"/>
      <c r="E351" s="1261"/>
      <c r="F351" s="1261"/>
      <c r="G351" s="1261"/>
      <c r="H351" s="1261"/>
      <c r="I351" s="1260">
        <v>0</v>
      </c>
      <c r="J351" s="1260">
        <v>0</v>
      </c>
      <c r="K351" s="1260">
        <v>0</v>
      </c>
      <c r="L351" s="1260">
        <v>0</v>
      </c>
      <c r="M351" s="1260">
        <v>0</v>
      </c>
      <c r="N351" s="1260">
        <v>0</v>
      </c>
      <c r="O351" s="1260">
        <v>0</v>
      </c>
      <c r="P351" s="1260">
        <v>1204</v>
      </c>
      <c r="Q351" s="1260">
        <v>1801</v>
      </c>
      <c r="R351" s="1260">
        <v>1817</v>
      </c>
      <c r="S351" s="1260">
        <v>1430</v>
      </c>
      <c r="T351" s="1260">
        <v>988</v>
      </c>
      <c r="U351" s="1260">
        <v>606</v>
      </c>
      <c r="V351" s="1260">
        <v>8200</v>
      </c>
      <c r="W351" s="1260"/>
      <c r="X351" s="1260"/>
      <c r="Y351" s="1260"/>
      <c r="Z351" s="1260"/>
      <c r="AA351" s="1260"/>
      <c r="AB351" s="1260"/>
      <c r="AC351" s="1260"/>
      <c r="AD351" s="685"/>
      <c r="AE351" s="848"/>
      <c r="AF351" s="685"/>
      <c r="AG351" s="685"/>
      <c r="AH351" s="685"/>
      <c r="AI351" s="685"/>
      <c r="AJ351" s="685"/>
      <c r="AK351" s="685"/>
      <c r="AL351" s="685"/>
      <c r="AM351" s="685"/>
      <c r="AN351" s="685"/>
      <c r="AO351" s="685"/>
      <c r="AP351" s="685"/>
      <c r="AQ351" s="685"/>
      <c r="AR351" s="685"/>
      <c r="AS351" s="685"/>
      <c r="AT351" s="685"/>
      <c r="AU351" s="685"/>
      <c r="AV351" s="685"/>
      <c r="AW351" s="685"/>
      <c r="AX351" s="685"/>
      <c r="AY351" s="685"/>
    </row>
    <row r="352" spans="1:51">
      <c r="A352" s="685"/>
      <c r="B352" s="1189"/>
      <c r="C352" s="1189"/>
      <c r="D352" s="1189"/>
      <c r="E352" s="1189"/>
      <c r="F352" s="1189"/>
      <c r="G352" s="1189"/>
      <c r="H352" s="1189"/>
      <c r="I352" s="1189"/>
      <c r="J352" s="1189"/>
      <c r="K352" s="1189"/>
      <c r="L352" s="1189"/>
      <c r="M352" s="1189"/>
      <c r="N352" s="1189"/>
      <c r="O352" s="1189"/>
      <c r="P352" s="1189"/>
      <c r="Q352" s="1189"/>
      <c r="R352" s="1189"/>
      <c r="S352" s="1189"/>
      <c r="T352" s="1189"/>
      <c r="U352" s="1189"/>
      <c r="V352" s="1189"/>
      <c r="W352" s="1189"/>
      <c r="X352" s="1189"/>
      <c r="Y352" s="1189"/>
      <c r="Z352" s="1189"/>
      <c r="AA352" s="1189"/>
      <c r="AB352" s="1189"/>
      <c r="AC352" s="1189"/>
      <c r="AD352" s="685"/>
      <c r="AE352" s="685"/>
      <c r="AF352" s="685"/>
      <c r="AG352" s="685"/>
      <c r="AH352" s="685"/>
      <c r="AI352" s="685"/>
      <c r="AJ352" s="685"/>
      <c r="AK352" s="685"/>
      <c r="AL352" s="685"/>
      <c r="AM352" s="685"/>
      <c r="AN352" s="685"/>
      <c r="AO352" s="685"/>
      <c r="AP352" s="685"/>
      <c r="AQ352" s="685"/>
      <c r="AR352" s="685"/>
      <c r="AS352" s="685"/>
      <c r="AT352" s="685"/>
      <c r="AU352" s="685"/>
      <c r="AV352" s="685"/>
      <c r="AW352" s="685"/>
      <c r="AX352" s="685"/>
      <c r="AY352" s="685"/>
    </row>
    <row r="353" spans="1:51">
      <c r="A353" s="685"/>
      <c r="B353" s="1189"/>
      <c r="C353" s="1189"/>
      <c r="D353" s="1189"/>
      <c r="E353" s="1189"/>
      <c r="F353" s="1189"/>
      <c r="G353" s="1189"/>
      <c r="H353" s="1189"/>
      <c r="I353" s="1189"/>
      <c r="J353" s="1189"/>
      <c r="K353" s="1189"/>
      <c r="L353" s="1189"/>
      <c r="M353" s="1189"/>
      <c r="N353" s="1189"/>
      <c r="O353" s="1189"/>
      <c r="P353" s="1189"/>
      <c r="Q353" s="1189"/>
      <c r="R353" s="1189"/>
      <c r="S353" s="1189"/>
      <c r="T353" s="1189"/>
      <c r="U353" s="1189"/>
      <c r="V353" s="1189"/>
      <c r="W353" s="1189"/>
      <c r="X353" s="1189"/>
      <c r="Y353" s="1189"/>
      <c r="Z353" s="1189"/>
      <c r="AA353" s="1189"/>
      <c r="AB353" s="1189"/>
      <c r="AC353" s="1189"/>
      <c r="AD353" s="685"/>
      <c r="AE353" s="685"/>
      <c r="AF353" s="685"/>
      <c r="AG353" s="685"/>
      <c r="AH353" s="685"/>
      <c r="AI353" s="685"/>
      <c r="AJ353" s="685"/>
      <c r="AK353" s="685"/>
      <c r="AL353" s="685"/>
      <c r="AM353" s="685"/>
      <c r="AN353" s="685"/>
      <c r="AO353" s="685"/>
      <c r="AP353" s="685"/>
      <c r="AQ353" s="685"/>
      <c r="AR353" s="685"/>
      <c r="AS353" s="685"/>
      <c r="AT353" s="685"/>
      <c r="AU353" s="685"/>
      <c r="AV353" s="685"/>
      <c r="AW353" s="685"/>
      <c r="AX353" s="685"/>
      <c r="AY353" s="685"/>
    </row>
    <row r="354" spans="1:51">
      <c r="A354" s="685"/>
      <c r="B354" s="1189"/>
      <c r="C354" s="1189"/>
      <c r="D354" s="1189"/>
      <c r="E354" s="1189"/>
      <c r="F354" s="1189"/>
      <c r="G354" s="1189"/>
      <c r="H354" s="1189"/>
      <c r="I354" s="1189"/>
      <c r="J354" s="1189"/>
      <c r="K354" s="1189"/>
      <c r="L354" s="1189"/>
      <c r="M354" s="1189"/>
      <c r="N354" s="1189"/>
      <c r="O354" s="1189"/>
      <c r="P354" s="1189"/>
      <c r="Q354" s="1189"/>
      <c r="R354" s="1189"/>
      <c r="S354" s="1189"/>
      <c r="T354" s="1189"/>
      <c r="U354" s="1189"/>
      <c r="V354" s="1189"/>
      <c r="W354" s="1189"/>
      <c r="X354" s="1189"/>
      <c r="Y354" s="1189"/>
      <c r="Z354" s="1189"/>
      <c r="AA354" s="1189"/>
      <c r="AB354" s="1189"/>
      <c r="AC354" s="1189"/>
      <c r="AD354" s="685"/>
      <c r="AE354" s="685"/>
      <c r="AF354" s="685"/>
      <c r="AG354" s="685"/>
      <c r="AH354" s="685"/>
      <c r="AI354" s="685"/>
      <c r="AJ354" s="685"/>
      <c r="AK354" s="685"/>
      <c r="AL354" s="685"/>
      <c r="AM354" s="685"/>
      <c r="AN354" s="685"/>
      <c r="AO354" s="685"/>
      <c r="AP354" s="685"/>
      <c r="AQ354" s="685"/>
      <c r="AR354" s="685"/>
      <c r="AS354" s="685"/>
      <c r="AT354" s="685"/>
      <c r="AU354" s="685"/>
      <c r="AV354" s="685"/>
      <c r="AW354" s="685"/>
      <c r="AX354" s="685"/>
      <c r="AY354" s="685"/>
    </row>
    <row r="355" spans="1:51">
      <c r="A355" s="685"/>
      <c r="B355" s="1186" t="s">
        <v>311</v>
      </c>
      <c r="C355" s="1186">
        <v>2004</v>
      </c>
      <c r="D355" s="1186">
        <f>C355+1</f>
        <v>2005</v>
      </c>
      <c r="E355" s="1186">
        <f t="shared" ref="E355:AC355" si="338">D355+1</f>
        <v>2006</v>
      </c>
      <c r="F355" s="1186">
        <f t="shared" si="338"/>
        <v>2007</v>
      </c>
      <c r="G355" s="1186">
        <f t="shared" si="338"/>
        <v>2008</v>
      </c>
      <c r="H355" s="1186">
        <f t="shared" si="338"/>
        <v>2009</v>
      </c>
      <c r="I355" s="1186">
        <f t="shared" si="338"/>
        <v>2010</v>
      </c>
      <c r="J355" s="1186">
        <f t="shared" si="338"/>
        <v>2011</v>
      </c>
      <c r="K355" s="1186">
        <f t="shared" si="338"/>
        <v>2012</v>
      </c>
      <c r="L355" s="1186">
        <f t="shared" si="338"/>
        <v>2013</v>
      </c>
      <c r="M355" s="1186">
        <f t="shared" si="338"/>
        <v>2014</v>
      </c>
      <c r="N355" s="1186">
        <f t="shared" si="338"/>
        <v>2015</v>
      </c>
      <c r="O355" s="1186">
        <f t="shared" si="338"/>
        <v>2016</v>
      </c>
      <c r="P355" s="1186">
        <f t="shared" si="338"/>
        <v>2017</v>
      </c>
      <c r="Q355" s="1186">
        <f t="shared" si="338"/>
        <v>2018</v>
      </c>
      <c r="R355" s="1186">
        <f t="shared" si="338"/>
        <v>2019</v>
      </c>
      <c r="S355" s="1186">
        <f t="shared" si="338"/>
        <v>2020</v>
      </c>
      <c r="T355" s="1186">
        <f t="shared" si="338"/>
        <v>2021</v>
      </c>
      <c r="U355" s="1186">
        <f t="shared" si="338"/>
        <v>2022</v>
      </c>
      <c r="V355" s="1186">
        <f t="shared" si="338"/>
        <v>2023</v>
      </c>
      <c r="W355" s="1186">
        <f t="shared" si="338"/>
        <v>2024</v>
      </c>
      <c r="X355" s="1186">
        <f t="shared" si="338"/>
        <v>2025</v>
      </c>
      <c r="Y355" s="1186">
        <f t="shared" si="338"/>
        <v>2026</v>
      </c>
      <c r="Z355" s="1186">
        <f t="shared" si="338"/>
        <v>2027</v>
      </c>
      <c r="AA355" s="1186">
        <f t="shared" si="338"/>
        <v>2028</v>
      </c>
      <c r="AB355" s="1186">
        <f t="shared" si="338"/>
        <v>2029</v>
      </c>
      <c r="AC355" s="1186">
        <f t="shared" si="338"/>
        <v>2030</v>
      </c>
      <c r="AD355" s="685"/>
      <c r="AE355" s="685"/>
      <c r="AF355" s="685"/>
      <c r="AG355" s="685"/>
      <c r="AH355" s="685"/>
      <c r="AI355" s="685"/>
      <c r="AJ355" s="685"/>
      <c r="AK355" s="685"/>
      <c r="AL355" s="685"/>
      <c r="AM355" s="685"/>
      <c r="AN355" s="685"/>
      <c r="AO355" s="685"/>
      <c r="AP355" s="685"/>
      <c r="AQ355" s="685"/>
      <c r="AR355" s="685"/>
      <c r="AS355" s="685"/>
      <c r="AT355" s="685"/>
      <c r="AU355" s="685"/>
      <c r="AV355" s="685"/>
      <c r="AW355" s="685"/>
      <c r="AX355" s="685"/>
      <c r="AY355" s="685"/>
    </row>
    <row r="356" spans="1:51">
      <c r="A356" s="685"/>
      <c r="B356" s="1189" t="s">
        <v>50</v>
      </c>
      <c r="C356" s="1187"/>
      <c r="D356" s="1187"/>
      <c r="E356" s="1187"/>
      <c r="F356" s="1187"/>
      <c r="G356" s="1187"/>
      <c r="H356" s="1187"/>
      <c r="I356" s="1187"/>
      <c r="J356" s="1187"/>
      <c r="K356" s="1226">
        <f>K357*Iusacell!R97*0.5</f>
        <v>-670.75</v>
      </c>
      <c r="L356" s="1226">
        <f>L357*Iusacell!S97</f>
        <v>-950.5</v>
      </c>
      <c r="M356" s="1249">
        <v>-60</v>
      </c>
      <c r="N356" s="1226"/>
      <c r="O356" s="1226"/>
      <c r="P356" s="1226"/>
      <c r="Q356" s="1226"/>
      <c r="R356" s="1226"/>
      <c r="S356" s="1226"/>
      <c r="T356" s="1226"/>
      <c r="U356" s="1226"/>
      <c r="V356" s="1226"/>
      <c r="W356" s="1226"/>
      <c r="X356" s="1226"/>
      <c r="Y356" s="1226"/>
      <c r="Z356" s="1226"/>
      <c r="AA356" s="1226"/>
      <c r="AB356" s="1226"/>
      <c r="AC356" s="1226"/>
      <c r="AD356" s="685"/>
      <c r="AE356" s="685"/>
      <c r="AF356" s="685"/>
      <c r="AG356" s="685"/>
      <c r="AH356" s="685"/>
      <c r="AI356" s="685"/>
      <c r="AJ356" s="685"/>
      <c r="AK356" s="685"/>
      <c r="AL356" s="685"/>
      <c r="AM356" s="685"/>
      <c r="AN356" s="685"/>
      <c r="AO356" s="685"/>
      <c r="AP356" s="685"/>
      <c r="AQ356" s="685"/>
      <c r="AR356" s="685"/>
      <c r="AS356" s="685"/>
      <c r="AT356" s="685"/>
      <c r="AU356" s="685"/>
      <c r="AV356" s="685"/>
      <c r="AW356" s="685"/>
      <c r="AX356" s="685"/>
      <c r="AY356" s="685"/>
    </row>
    <row r="357" spans="1:51">
      <c r="A357" s="685"/>
      <c r="B357" s="1189" t="s">
        <v>355</v>
      </c>
      <c r="C357" s="1187"/>
      <c r="D357" s="1187"/>
      <c r="E357" s="1187"/>
      <c r="F357" s="1187"/>
      <c r="G357" s="1187"/>
      <c r="H357" s="1187"/>
      <c r="I357" s="1187"/>
      <c r="J357" s="1187"/>
      <c r="K357" s="1287">
        <v>0.5</v>
      </c>
      <c r="L357" s="1192">
        <f t="shared" ref="L357:AC357" si="339">K357</f>
        <v>0.5</v>
      </c>
      <c r="M357" s="1192">
        <f t="shared" si="339"/>
        <v>0.5</v>
      </c>
      <c r="N357" s="1192">
        <f t="shared" si="339"/>
        <v>0.5</v>
      </c>
      <c r="O357" s="1192">
        <f t="shared" si="339"/>
        <v>0.5</v>
      </c>
      <c r="P357" s="1192">
        <f t="shared" si="339"/>
        <v>0.5</v>
      </c>
      <c r="Q357" s="1192">
        <f t="shared" si="339"/>
        <v>0.5</v>
      </c>
      <c r="R357" s="1192">
        <f t="shared" si="339"/>
        <v>0.5</v>
      </c>
      <c r="S357" s="1192">
        <f t="shared" si="339"/>
        <v>0.5</v>
      </c>
      <c r="T357" s="1192">
        <f t="shared" si="339"/>
        <v>0.5</v>
      </c>
      <c r="U357" s="1192">
        <f t="shared" si="339"/>
        <v>0.5</v>
      </c>
      <c r="V357" s="1192">
        <f t="shared" si="339"/>
        <v>0.5</v>
      </c>
      <c r="W357" s="1192">
        <f t="shared" si="339"/>
        <v>0.5</v>
      </c>
      <c r="X357" s="1192">
        <f t="shared" si="339"/>
        <v>0.5</v>
      </c>
      <c r="Y357" s="1192">
        <f t="shared" si="339"/>
        <v>0.5</v>
      </c>
      <c r="Z357" s="1192">
        <f t="shared" si="339"/>
        <v>0.5</v>
      </c>
      <c r="AA357" s="1192">
        <f t="shared" si="339"/>
        <v>0.5</v>
      </c>
      <c r="AB357" s="1192">
        <f t="shared" si="339"/>
        <v>0.5</v>
      </c>
      <c r="AC357" s="1192">
        <f t="shared" si="339"/>
        <v>0.5</v>
      </c>
      <c r="AD357" s="685"/>
      <c r="AE357" s="685"/>
      <c r="AF357" s="685"/>
      <c r="AG357" s="685"/>
      <c r="AH357" s="685"/>
      <c r="AI357" s="685"/>
      <c r="AJ357" s="685"/>
      <c r="AK357" s="685"/>
      <c r="AL357" s="685"/>
      <c r="AM357" s="685"/>
      <c r="AN357" s="685"/>
      <c r="AO357" s="685"/>
      <c r="AP357" s="685"/>
      <c r="AQ357" s="685"/>
      <c r="AR357" s="685"/>
      <c r="AS357" s="685"/>
      <c r="AT357" s="685"/>
      <c r="AU357" s="685"/>
      <c r="AV357" s="685"/>
      <c r="AW357" s="685"/>
      <c r="AX357" s="685"/>
      <c r="AY357" s="685"/>
    </row>
    <row r="358" spans="1:51">
      <c r="A358" s="685"/>
      <c r="B358" s="1187"/>
      <c r="C358" s="1187"/>
      <c r="D358" s="1187"/>
      <c r="E358" s="1187"/>
      <c r="F358" s="1187"/>
      <c r="G358" s="1187"/>
      <c r="H358" s="1187"/>
      <c r="I358" s="1187"/>
      <c r="J358" s="1187"/>
      <c r="K358" s="1187"/>
      <c r="L358" s="1187"/>
      <c r="M358" s="1187"/>
      <c r="N358" s="1187"/>
      <c r="O358" s="1187"/>
      <c r="P358" s="1187"/>
      <c r="Q358" s="1187"/>
      <c r="R358" s="1187"/>
      <c r="S358" s="1187"/>
      <c r="T358" s="1187"/>
      <c r="U358" s="1187"/>
      <c r="V358" s="1187"/>
      <c r="W358" s="1187"/>
      <c r="X358" s="1187"/>
      <c r="Y358" s="1187"/>
      <c r="Z358" s="1187"/>
      <c r="AA358" s="1187"/>
      <c r="AB358" s="1187"/>
      <c r="AC358" s="1187"/>
      <c r="AD358" s="685"/>
      <c r="AE358" s="685"/>
      <c r="AF358" s="685"/>
      <c r="AG358" s="685"/>
      <c r="AH358" s="685"/>
      <c r="AI358" s="685"/>
      <c r="AJ358" s="685"/>
      <c r="AK358" s="685"/>
      <c r="AL358" s="685"/>
      <c r="AM358" s="685"/>
      <c r="AN358" s="685"/>
      <c r="AO358" s="685"/>
      <c r="AP358" s="685"/>
      <c r="AQ358" s="685"/>
      <c r="AR358" s="685"/>
      <c r="AS358" s="685"/>
      <c r="AT358" s="685"/>
      <c r="AU358" s="685"/>
      <c r="AV358" s="685"/>
      <c r="AW358" s="685"/>
      <c r="AX358" s="685"/>
      <c r="AY358" s="685"/>
    </row>
    <row r="359" spans="1:51">
      <c r="A359" s="685"/>
      <c r="B359" s="1189" t="s">
        <v>351</v>
      </c>
      <c r="C359" s="1187"/>
      <c r="D359" s="1187"/>
      <c r="E359" s="1187"/>
      <c r="F359" s="1187"/>
      <c r="G359" s="1187"/>
      <c r="H359" s="1260">
        <v>0</v>
      </c>
      <c r="I359" s="1260">
        <v>1614</v>
      </c>
      <c r="J359" s="1260">
        <v>2443</v>
      </c>
      <c r="K359" s="1187"/>
      <c r="L359" s="1187"/>
      <c r="M359" s="1187"/>
      <c r="N359" s="1187"/>
      <c r="O359" s="1187"/>
      <c r="P359" s="1187"/>
      <c r="Q359" s="1187"/>
      <c r="R359" s="1187"/>
      <c r="S359" s="1187"/>
      <c r="T359" s="1187"/>
      <c r="U359" s="1187"/>
      <c r="V359" s="1187"/>
      <c r="W359" s="1187"/>
      <c r="X359" s="1187"/>
      <c r="Y359" s="1187"/>
      <c r="Z359" s="1187"/>
      <c r="AA359" s="1187"/>
      <c r="AB359" s="1187"/>
      <c r="AC359" s="1187"/>
      <c r="AD359" s="685"/>
      <c r="AE359" s="685"/>
      <c r="AF359" s="685"/>
      <c r="AG359" s="685"/>
      <c r="AH359" s="685"/>
      <c r="AI359" s="685"/>
      <c r="AJ359" s="685"/>
      <c r="AK359" s="685"/>
      <c r="AL359" s="685"/>
      <c r="AM359" s="685"/>
      <c r="AN359" s="685"/>
      <c r="AO359" s="685"/>
      <c r="AP359" s="685"/>
      <c r="AQ359" s="685"/>
      <c r="AR359" s="685"/>
      <c r="AS359" s="685"/>
      <c r="AT359" s="685"/>
      <c r="AU359" s="685"/>
      <c r="AV359" s="685"/>
      <c r="AW359" s="685"/>
      <c r="AX359" s="685"/>
      <c r="AY359" s="685"/>
    </row>
    <row r="360" spans="1:51">
      <c r="A360" s="685"/>
      <c r="B360" s="1189" t="s">
        <v>355</v>
      </c>
      <c r="C360" s="1187"/>
      <c r="D360" s="1187"/>
      <c r="E360" s="1187"/>
      <c r="F360" s="1187"/>
      <c r="G360" s="1187"/>
      <c r="H360" s="1287">
        <v>0</v>
      </c>
      <c r="I360" s="1287">
        <v>7.0999999999999994E-2</v>
      </c>
      <c r="J360" s="1287">
        <v>7.0999999999999994E-2</v>
      </c>
      <c r="K360" s="1287">
        <v>7.0999999999999994E-2</v>
      </c>
      <c r="L360" s="1287">
        <v>7.0999999999999994E-2</v>
      </c>
      <c r="M360" s="1287">
        <v>7.0999999999999994E-2</v>
      </c>
      <c r="N360" s="1287">
        <v>7.0999999999999994E-2</v>
      </c>
      <c r="O360" s="1287">
        <v>7.0999999999999994E-2</v>
      </c>
      <c r="P360" s="1287">
        <v>7.0999999999999994E-2</v>
      </c>
      <c r="Q360" s="1287">
        <v>7.0999999999999994E-2</v>
      </c>
      <c r="R360" s="1287">
        <v>7.0999999999999994E-2</v>
      </c>
      <c r="S360" s="1287">
        <v>7.0999999999999994E-2</v>
      </c>
      <c r="T360" s="1287">
        <v>7.0999999999999994E-2</v>
      </c>
      <c r="U360" s="1287">
        <v>7.0999999999999994E-2</v>
      </c>
      <c r="V360" s="1287">
        <v>7.0999999999999994E-2</v>
      </c>
      <c r="W360" s="1287">
        <v>7.0999999999999994E-2</v>
      </c>
      <c r="X360" s="1287">
        <v>7.0999999999999994E-2</v>
      </c>
      <c r="Y360" s="1287">
        <v>7.0999999999999994E-2</v>
      </c>
      <c r="Z360" s="1287">
        <v>7.0999999999999994E-2</v>
      </c>
      <c r="AA360" s="1287">
        <v>7.0999999999999994E-2</v>
      </c>
      <c r="AB360" s="1287">
        <v>7.0999999999999994E-2</v>
      </c>
      <c r="AC360" s="1287">
        <v>7.0999999999999994E-2</v>
      </c>
      <c r="AD360" s="685"/>
      <c r="AE360" s="685"/>
      <c r="AF360" s="685"/>
      <c r="AG360" s="685"/>
      <c r="AH360" s="685"/>
      <c r="AI360" s="685"/>
      <c r="AJ360" s="685"/>
      <c r="AK360" s="685"/>
      <c r="AL360" s="685"/>
      <c r="AM360" s="685"/>
      <c r="AN360" s="685"/>
      <c r="AO360" s="685"/>
      <c r="AP360" s="685"/>
      <c r="AQ360" s="685"/>
      <c r="AR360" s="685"/>
      <c r="AS360" s="685"/>
      <c r="AT360" s="685"/>
      <c r="AU360" s="685"/>
      <c r="AV360" s="685"/>
      <c r="AW360" s="685"/>
      <c r="AX360" s="685"/>
      <c r="AY360" s="685"/>
    </row>
    <row r="361" spans="1:51">
      <c r="A361" s="685"/>
      <c r="B361" s="1189"/>
      <c r="C361" s="1187"/>
      <c r="D361" s="1187"/>
      <c r="E361" s="1187"/>
      <c r="F361" s="1187"/>
      <c r="G361" s="1187"/>
      <c r="H361" s="1187"/>
      <c r="I361" s="1187"/>
      <c r="J361" s="1187"/>
      <c r="K361" s="1187"/>
      <c r="L361" s="1187"/>
      <c r="M361" s="1187"/>
      <c r="N361" s="1187"/>
      <c r="O361" s="1187"/>
      <c r="P361" s="1187"/>
      <c r="Q361" s="1187"/>
      <c r="R361" s="1187"/>
      <c r="S361" s="1187"/>
      <c r="T361" s="1187"/>
      <c r="U361" s="1187"/>
      <c r="V361" s="1187"/>
      <c r="W361" s="1187"/>
      <c r="X361" s="1187"/>
      <c r="Y361" s="1187"/>
      <c r="Z361" s="1187"/>
      <c r="AA361" s="1187"/>
      <c r="AB361" s="1187"/>
      <c r="AC361" s="1187"/>
      <c r="AD361" s="685"/>
      <c r="AE361" s="685"/>
      <c r="AF361" s="685"/>
      <c r="AG361" s="685"/>
      <c r="AH361" s="685"/>
      <c r="AI361" s="685"/>
      <c r="AJ361" s="685"/>
      <c r="AK361" s="685"/>
      <c r="AL361" s="685"/>
      <c r="AM361" s="685"/>
      <c r="AN361" s="685"/>
      <c r="AO361" s="685"/>
      <c r="AP361" s="685"/>
      <c r="AQ361" s="685"/>
      <c r="AR361" s="685"/>
      <c r="AS361" s="685"/>
      <c r="AT361" s="685"/>
      <c r="AU361" s="685"/>
      <c r="AV361" s="685"/>
      <c r="AW361" s="685"/>
      <c r="AX361" s="685"/>
      <c r="AY361" s="685"/>
    </row>
    <row r="362" spans="1:51">
      <c r="A362" s="685"/>
      <c r="B362" s="1189" t="s">
        <v>352</v>
      </c>
      <c r="C362" s="1187"/>
      <c r="D362" s="1187"/>
      <c r="E362" s="1187"/>
      <c r="F362" s="1187"/>
      <c r="G362" s="1187"/>
      <c r="H362" s="1260">
        <v>0</v>
      </c>
      <c r="I362" s="1260">
        <v>723</v>
      </c>
      <c r="J362" s="1260">
        <v>130</v>
      </c>
      <c r="K362" s="1187"/>
      <c r="L362" s="1187"/>
      <c r="M362" s="1187"/>
      <c r="N362" s="1187"/>
      <c r="O362" s="1187"/>
      <c r="P362" s="1187"/>
      <c r="Q362" s="1187"/>
      <c r="R362" s="1187"/>
      <c r="S362" s="1187"/>
      <c r="T362" s="1187"/>
      <c r="U362" s="1187"/>
      <c r="V362" s="1187"/>
      <c r="W362" s="1187"/>
      <c r="X362" s="1187"/>
      <c r="Y362" s="1187"/>
      <c r="Z362" s="1187"/>
      <c r="AA362" s="1187"/>
      <c r="AB362" s="1187"/>
      <c r="AC362" s="1187"/>
      <c r="AD362" s="685"/>
      <c r="AE362" s="685"/>
      <c r="AF362" s="685"/>
      <c r="AG362" s="685"/>
      <c r="AH362" s="685"/>
      <c r="AI362" s="685"/>
      <c r="AJ362" s="685"/>
      <c r="AK362" s="685"/>
      <c r="AL362" s="685"/>
      <c r="AM362" s="685"/>
      <c r="AN362" s="685"/>
      <c r="AO362" s="685"/>
      <c r="AP362" s="685"/>
      <c r="AQ362" s="685"/>
      <c r="AR362" s="685"/>
      <c r="AS362" s="685"/>
      <c r="AT362" s="685"/>
      <c r="AU362" s="685"/>
      <c r="AV362" s="685"/>
      <c r="AW362" s="685"/>
      <c r="AX362" s="685"/>
      <c r="AY362" s="685"/>
    </row>
    <row r="363" spans="1:51">
      <c r="A363" s="685"/>
      <c r="B363" s="1189" t="s">
        <v>355</v>
      </c>
      <c r="C363" s="1187"/>
      <c r="D363" s="1187"/>
      <c r="E363" s="1187"/>
      <c r="F363" s="1187"/>
      <c r="G363" s="1187"/>
      <c r="H363" s="1287"/>
      <c r="I363" s="1287">
        <v>0.40500000000000003</v>
      </c>
      <c r="J363" s="1287">
        <v>0.40500000000000003</v>
      </c>
      <c r="K363" s="1287">
        <v>0</v>
      </c>
      <c r="L363" s="1287">
        <v>0</v>
      </c>
      <c r="M363" s="1287">
        <v>0</v>
      </c>
      <c r="N363" s="1287">
        <v>0</v>
      </c>
      <c r="O363" s="1287">
        <v>0</v>
      </c>
      <c r="P363" s="1287">
        <v>0</v>
      </c>
      <c r="Q363" s="1287">
        <v>0</v>
      </c>
      <c r="R363" s="1287">
        <v>0</v>
      </c>
      <c r="S363" s="1287">
        <v>0</v>
      </c>
      <c r="T363" s="1287">
        <v>0</v>
      </c>
      <c r="U363" s="1287">
        <v>0</v>
      </c>
      <c r="V363" s="1287">
        <v>0</v>
      </c>
      <c r="W363" s="1287">
        <v>0</v>
      </c>
      <c r="X363" s="1287">
        <v>0</v>
      </c>
      <c r="Y363" s="1287">
        <v>0</v>
      </c>
      <c r="Z363" s="1287">
        <v>0</v>
      </c>
      <c r="AA363" s="1287">
        <v>0</v>
      </c>
      <c r="AB363" s="1287">
        <v>0</v>
      </c>
      <c r="AC363" s="1287">
        <v>0</v>
      </c>
      <c r="AD363" s="685"/>
      <c r="AE363" s="685"/>
      <c r="AF363" s="685"/>
      <c r="AG363" s="685"/>
      <c r="AH363" s="685"/>
      <c r="AI363" s="685"/>
      <c r="AJ363" s="685"/>
      <c r="AK363" s="685"/>
      <c r="AL363" s="685"/>
      <c r="AM363" s="685"/>
      <c r="AN363" s="685"/>
      <c r="AO363" s="685"/>
      <c r="AP363" s="685"/>
      <c r="AQ363" s="685"/>
      <c r="AR363" s="685"/>
      <c r="AS363" s="685"/>
      <c r="AT363" s="685"/>
      <c r="AU363" s="685"/>
      <c r="AV363" s="685"/>
      <c r="AW363" s="685"/>
      <c r="AX363" s="685"/>
      <c r="AY363" s="685"/>
    </row>
    <row r="364" spans="1:51">
      <c r="A364" s="685"/>
      <c r="B364" s="1189"/>
      <c r="C364" s="1187"/>
      <c r="D364" s="1187"/>
      <c r="E364" s="1187"/>
      <c r="F364" s="1187"/>
      <c r="G364" s="1187"/>
      <c r="H364" s="1187"/>
      <c r="I364" s="1187"/>
      <c r="J364" s="1187"/>
      <c r="K364" s="1187"/>
      <c r="L364" s="1187"/>
      <c r="M364" s="1187"/>
      <c r="N364" s="1187"/>
      <c r="O364" s="1187"/>
      <c r="P364" s="1187"/>
      <c r="Q364" s="1187"/>
      <c r="R364" s="1187"/>
      <c r="S364" s="1187"/>
      <c r="T364" s="1187"/>
      <c r="U364" s="1187"/>
      <c r="V364" s="1187"/>
      <c r="W364" s="1187"/>
      <c r="X364" s="1187"/>
      <c r="Y364" s="1187"/>
      <c r="Z364" s="1187"/>
      <c r="AA364" s="1187"/>
      <c r="AB364" s="1187"/>
      <c r="AC364" s="1187"/>
      <c r="AD364" s="685"/>
      <c r="AE364" s="685"/>
      <c r="AF364" s="685"/>
      <c r="AG364" s="685"/>
      <c r="AH364" s="685"/>
      <c r="AI364" s="685"/>
      <c r="AJ364" s="685"/>
      <c r="AK364" s="685"/>
      <c r="AL364" s="685"/>
      <c r="AM364" s="685"/>
      <c r="AN364" s="685"/>
      <c r="AO364" s="685"/>
      <c r="AP364" s="685"/>
      <c r="AQ364" s="685"/>
      <c r="AR364" s="685"/>
      <c r="AS364" s="685"/>
      <c r="AT364" s="685"/>
      <c r="AU364" s="685"/>
      <c r="AV364" s="685"/>
      <c r="AW364" s="685"/>
      <c r="AX364" s="685"/>
      <c r="AY364" s="685"/>
    </row>
    <row r="365" spans="1:51">
      <c r="A365" s="685"/>
      <c r="B365" s="1189" t="s">
        <v>356</v>
      </c>
      <c r="C365" s="1187"/>
      <c r="D365" s="1187"/>
      <c r="E365" s="1187"/>
      <c r="F365" s="1187"/>
      <c r="G365" s="1187"/>
      <c r="H365" s="1260"/>
      <c r="I365" s="1260"/>
      <c r="J365" s="1260"/>
      <c r="K365" s="685"/>
      <c r="L365" s="685"/>
      <c r="M365" s="685"/>
      <c r="N365" s="685"/>
      <c r="O365" s="685"/>
      <c r="P365" s="685"/>
      <c r="Q365" s="685"/>
      <c r="R365" s="685"/>
      <c r="S365" s="685"/>
      <c r="T365" s="685"/>
      <c r="U365" s="685"/>
      <c r="V365" s="685"/>
      <c r="W365" s="685"/>
      <c r="X365" s="685"/>
      <c r="Y365" s="685"/>
      <c r="Z365" s="685"/>
      <c r="AA365" s="685"/>
      <c r="AB365" s="685"/>
      <c r="AC365" s="685"/>
      <c r="AD365" s="685"/>
      <c r="AE365" s="685"/>
      <c r="AF365" s="685"/>
      <c r="AG365" s="685"/>
      <c r="AH365" s="685"/>
      <c r="AI365" s="685"/>
      <c r="AJ365" s="685"/>
      <c r="AK365" s="685"/>
      <c r="AL365" s="685"/>
      <c r="AM365" s="685"/>
      <c r="AN365" s="685"/>
      <c r="AO365" s="685"/>
      <c r="AP365" s="685"/>
      <c r="AQ365" s="685"/>
      <c r="AR365" s="685"/>
      <c r="AS365" s="685"/>
      <c r="AT365" s="685"/>
      <c r="AU365" s="685"/>
      <c r="AV365" s="685"/>
      <c r="AW365" s="685"/>
      <c r="AX365" s="685"/>
      <c r="AY365" s="685"/>
    </row>
    <row r="366" spans="1:51">
      <c r="A366" s="685"/>
      <c r="B366" s="1189" t="s">
        <v>355</v>
      </c>
      <c r="C366" s="1187"/>
      <c r="D366" s="1187"/>
      <c r="E366" s="1187"/>
      <c r="F366" s="1187"/>
      <c r="G366" s="1187"/>
      <c r="H366" s="1287"/>
      <c r="I366" s="1287">
        <v>0</v>
      </c>
      <c r="J366" s="1287">
        <v>0</v>
      </c>
      <c r="K366" s="1287">
        <v>0.14000000000000001</v>
      </c>
      <c r="L366" s="1287">
        <v>0.14000000000000001</v>
      </c>
      <c r="M366" s="1287">
        <v>0.14000000000000001</v>
      </c>
      <c r="N366" s="1287">
        <v>0.14000000000000001</v>
      </c>
      <c r="O366" s="1287">
        <v>0.14000000000000001</v>
      </c>
      <c r="P366" s="1287">
        <v>0.14000000000000001</v>
      </c>
      <c r="Q366" s="1287">
        <v>0.14000000000000001</v>
      </c>
      <c r="R366" s="1287">
        <v>0.14000000000000001</v>
      </c>
      <c r="S366" s="1287">
        <v>0.14000000000000001</v>
      </c>
      <c r="T366" s="1287">
        <v>0.14000000000000001</v>
      </c>
      <c r="U366" s="1287">
        <v>0.14000000000000001</v>
      </c>
      <c r="V366" s="1287">
        <v>0.14000000000000001</v>
      </c>
      <c r="W366" s="1287">
        <v>0.14000000000000001</v>
      </c>
      <c r="X366" s="1287">
        <v>0.14000000000000001</v>
      </c>
      <c r="Y366" s="1287">
        <v>0.14000000000000001</v>
      </c>
      <c r="Z366" s="1287">
        <v>0.14000000000000001</v>
      </c>
      <c r="AA366" s="1287">
        <v>0.14000000000000001</v>
      </c>
      <c r="AB366" s="1287">
        <v>0.14000000000000001</v>
      </c>
      <c r="AC366" s="1287">
        <v>0.14000000000000001</v>
      </c>
      <c r="AD366" s="685"/>
      <c r="AE366" s="685"/>
      <c r="AF366" s="685"/>
      <c r="AG366" s="685"/>
      <c r="AH366" s="685"/>
      <c r="AI366" s="685"/>
      <c r="AJ366" s="685"/>
      <c r="AK366" s="685"/>
      <c r="AL366" s="685"/>
      <c r="AM366" s="685"/>
      <c r="AN366" s="685"/>
      <c r="AO366" s="685"/>
      <c r="AP366" s="685"/>
      <c r="AQ366" s="685"/>
      <c r="AR366" s="685"/>
      <c r="AS366" s="685"/>
      <c r="AT366" s="685"/>
      <c r="AU366" s="685"/>
      <c r="AV366" s="685"/>
      <c r="AW366" s="685"/>
      <c r="AX366" s="685"/>
      <c r="AY366" s="685"/>
    </row>
    <row r="367" spans="1:51">
      <c r="A367" s="685"/>
      <c r="B367" s="1189"/>
      <c r="C367" s="1187"/>
      <c r="D367" s="1187"/>
      <c r="E367" s="1187"/>
      <c r="F367" s="1187"/>
      <c r="G367" s="1187"/>
      <c r="H367" s="1187"/>
      <c r="I367" s="1187"/>
      <c r="J367" s="1187"/>
      <c r="K367" s="1187"/>
      <c r="L367" s="1187"/>
      <c r="M367" s="1187"/>
      <c r="N367" s="1187"/>
      <c r="O367" s="1187"/>
      <c r="P367" s="1187"/>
      <c r="Q367" s="1187"/>
      <c r="R367" s="1187"/>
      <c r="S367" s="1187"/>
      <c r="T367" s="1187"/>
      <c r="U367" s="1187"/>
      <c r="V367" s="1187"/>
      <c r="W367" s="1187"/>
      <c r="X367" s="1187"/>
      <c r="Y367" s="1187"/>
      <c r="Z367" s="1187"/>
      <c r="AA367" s="1187"/>
      <c r="AB367" s="1187"/>
      <c r="AC367" s="1187"/>
      <c r="AD367" s="685"/>
      <c r="AE367" s="685"/>
      <c r="AF367" s="685"/>
      <c r="AG367" s="685"/>
      <c r="AH367" s="685"/>
      <c r="AI367" s="685"/>
      <c r="AJ367" s="685"/>
      <c r="AK367" s="685"/>
      <c r="AL367" s="685"/>
      <c r="AM367" s="685"/>
      <c r="AN367" s="685"/>
      <c r="AO367" s="685"/>
      <c r="AP367" s="685"/>
      <c r="AQ367" s="685"/>
      <c r="AR367" s="685"/>
      <c r="AS367" s="685"/>
      <c r="AT367" s="685"/>
      <c r="AU367" s="685"/>
      <c r="AV367" s="685"/>
      <c r="AW367" s="685"/>
      <c r="AX367" s="685"/>
      <c r="AY367" s="685"/>
    </row>
    <row r="368" spans="1:51">
      <c r="A368" s="685"/>
      <c r="B368" s="1189" t="s">
        <v>353</v>
      </c>
      <c r="C368" s="1187"/>
      <c r="D368" s="1187"/>
      <c r="E368" s="1187"/>
      <c r="F368" s="1187"/>
      <c r="G368" s="1187"/>
      <c r="H368" s="1260">
        <v>0</v>
      </c>
      <c r="I368" s="1260">
        <v>35</v>
      </c>
      <c r="J368" s="1260">
        <v>0</v>
      </c>
      <c r="K368" s="1187"/>
      <c r="L368" s="1187"/>
      <c r="M368" s="1187"/>
      <c r="N368" s="1187"/>
      <c r="O368" s="1187"/>
      <c r="P368" s="1187"/>
      <c r="Q368" s="1187"/>
      <c r="R368" s="1187"/>
      <c r="S368" s="1187"/>
      <c r="T368" s="1187"/>
      <c r="U368" s="1187"/>
      <c r="V368" s="1187"/>
      <c r="W368" s="1187"/>
      <c r="X368" s="1187"/>
      <c r="Y368" s="1187"/>
      <c r="Z368" s="1187"/>
      <c r="AA368" s="1187"/>
      <c r="AB368" s="1187"/>
      <c r="AC368" s="1187"/>
      <c r="AD368" s="685"/>
      <c r="AE368" s="685"/>
      <c r="AF368" s="685"/>
      <c r="AG368" s="685"/>
      <c r="AH368" s="685"/>
      <c r="AI368" s="685"/>
      <c r="AJ368" s="685"/>
      <c r="AK368" s="685"/>
      <c r="AL368" s="685"/>
      <c r="AM368" s="685"/>
      <c r="AN368" s="685"/>
      <c r="AO368" s="685"/>
      <c r="AP368" s="685"/>
      <c r="AQ368" s="685"/>
      <c r="AR368" s="685"/>
      <c r="AS368" s="685"/>
      <c r="AT368" s="685"/>
      <c r="AU368" s="685"/>
      <c r="AV368" s="685"/>
      <c r="AW368" s="685"/>
      <c r="AX368" s="685"/>
      <c r="AY368" s="685"/>
    </row>
    <row r="369" spans="1:51">
      <c r="A369" s="685"/>
      <c r="B369" s="1189" t="s">
        <v>355</v>
      </c>
      <c r="C369" s="1187"/>
      <c r="D369" s="1187"/>
      <c r="E369" s="1187"/>
      <c r="F369" s="1187"/>
      <c r="G369" s="1187"/>
      <c r="H369" s="1287"/>
      <c r="I369" s="1287">
        <v>0.33300000000000002</v>
      </c>
      <c r="J369" s="1287">
        <v>0.33300000000000002</v>
      </c>
      <c r="K369" s="1287">
        <v>0.33300000000000002</v>
      </c>
      <c r="L369" s="1287">
        <v>0.33300000000000002</v>
      </c>
      <c r="M369" s="1287">
        <v>0.33300000000000002</v>
      </c>
      <c r="N369" s="1287">
        <v>0.33300000000000002</v>
      </c>
      <c r="O369" s="1287">
        <v>0.33300000000000002</v>
      </c>
      <c r="P369" s="1287">
        <v>0.33300000000000002</v>
      </c>
      <c r="Q369" s="1287">
        <v>0.33300000000000002</v>
      </c>
      <c r="R369" s="1287">
        <v>0.33300000000000002</v>
      </c>
      <c r="S369" s="1287">
        <v>0.33300000000000002</v>
      </c>
      <c r="T369" s="1287">
        <v>0.33300000000000002</v>
      </c>
      <c r="U369" s="1287">
        <v>0.33300000000000002</v>
      </c>
      <c r="V369" s="1287">
        <v>0.33300000000000002</v>
      </c>
      <c r="W369" s="1287">
        <v>0.33300000000000002</v>
      </c>
      <c r="X369" s="1287">
        <v>0.33300000000000002</v>
      </c>
      <c r="Y369" s="1287">
        <v>0.33300000000000002</v>
      </c>
      <c r="Z369" s="1287">
        <v>0.33300000000000002</v>
      </c>
      <c r="AA369" s="1287">
        <v>0.33300000000000002</v>
      </c>
      <c r="AB369" s="1287">
        <v>0.33300000000000002</v>
      </c>
      <c r="AC369" s="1287">
        <v>0.33300000000000002</v>
      </c>
      <c r="AD369" s="685"/>
      <c r="AE369" s="685"/>
      <c r="AF369" s="685"/>
      <c r="AG369" s="685"/>
      <c r="AH369" s="685"/>
      <c r="AI369" s="685"/>
      <c r="AJ369" s="685"/>
      <c r="AK369" s="685"/>
      <c r="AL369" s="685"/>
      <c r="AM369" s="685"/>
      <c r="AN369" s="685"/>
      <c r="AO369" s="685"/>
      <c r="AP369" s="685"/>
      <c r="AQ369" s="685"/>
      <c r="AR369" s="685"/>
      <c r="AS369" s="685"/>
      <c r="AT369" s="685"/>
      <c r="AU369" s="685"/>
      <c r="AV369" s="685"/>
      <c r="AW369" s="685"/>
      <c r="AX369" s="685"/>
      <c r="AY369" s="685"/>
    </row>
    <row r="370" spans="1:51">
      <c r="A370" s="685"/>
      <c r="B370" s="1189"/>
      <c r="C370" s="1187"/>
      <c r="D370" s="1187"/>
      <c r="E370" s="1187"/>
      <c r="F370" s="1187"/>
      <c r="G370" s="1187"/>
      <c r="H370" s="1187"/>
      <c r="I370" s="1187"/>
      <c r="J370" s="1187"/>
      <c r="K370" s="1187"/>
      <c r="L370" s="1187"/>
      <c r="M370" s="1187"/>
      <c r="N370" s="1187"/>
      <c r="O370" s="1187"/>
      <c r="P370" s="1187"/>
      <c r="Q370" s="1187"/>
      <c r="R370" s="1187"/>
      <c r="S370" s="1187"/>
      <c r="T370" s="1187"/>
      <c r="U370" s="1187"/>
      <c r="V370" s="1187"/>
      <c r="W370" s="1187"/>
      <c r="X370" s="1187"/>
      <c r="Y370" s="1187"/>
      <c r="Z370" s="1187"/>
      <c r="AA370" s="1187"/>
      <c r="AB370" s="1187"/>
      <c r="AC370" s="1187"/>
      <c r="AD370" s="685"/>
      <c r="AE370" s="685"/>
      <c r="AF370" s="685"/>
      <c r="AG370" s="685"/>
      <c r="AH370" s="685"/>
      <c r="AI370" s="685"/>
      <c r="AJ370" s="685"/>
      <c r="AK370" s="685"/>
      <c r="AL370" s="685"/>
      <c r="AM370" s="685"/>
      <c r="AN370" s="685"/>
      <c r="AO370" s="685"/>
      <c r="AP370" s="685"/>
      <c r="AQ370" s="685"/>
      <c r="AR370" s="685"/>
      <c r="AS370" s="685"/>
      <c r="AT370" s="685"/>
      <c r="AU370" s="685"/>
      <c r="AV370" s="685"/>
      <c r="AW370" s="685"/>
      <c r="AX370" s="685"/>
      <c r="AY370" s="685"/>
    </row>
    <row r="371" spans="1:51">
      <c r="A371" s="685"/>
      <c r="B371" s="1189" t="s">
        <v>354</v>
      </c>
      <c r="C371" s="1187"/>
      <c r="D371" s="1187"/>
      <c r="E371" s="1187"/>
      <c r="F371" s="1187"/>
      <c r="G371" s="1187"/>
      <c r="H371" s="1260">
        <v>0</v>
      </c>
      <c r="I371" s="1260">
        <v>820</v>
      </c>
      <c r="J371" s="1260">
        <v>810</v>
      </c>
      <c r="K371" s="1187"/>
      <c r="L371" s="1187"/>
      <c r="M371" s="1187"/>
      <c r="N371" s="1187"/>
      <c r="O371" s="1187"/>
      <c r="P371" s="1187"/>
      <c r="Q371" s="1187"/>
      <c r="R371" s="1187"/>
      <c r="S371" s="1187"/>
      <c r="T371" s="1187"/>
      <c r="U371" s="1187"/>
      <c r="V371" s="1187"/>
      <c r="W371" s="1187"/>
      <c r="X371" s="1187"/>
      <c r="Y371" s="1187"/>
      <c r="Z371" s="1187"/>
      <c r="AA371" s="1187"/>
      <c r="AB371" s="1187"/>
      <c r="AC371" s="1187"/>
      <c r="AD371" s="685"/>
      <c r="AE371" s="685"/>
      <c r="AF371" s="685"/>
      <c r="AG371" s="685"/>
      <c r="AH371" s="685"/>
      <c r="AI371" s="685"/>
      <c r="AJ371" s="685"/>
      <c r="AK371" s="685"/>
      <c r="AL371" s="685"/>
      <c r="AM371" s="685"/>
      <c r="AN371" s="685"/>
      <c r="AO371" s="685"/>
      <c r="AP371" s="685"/>
      <c r="AQ371" s="685"/>
      <c r="AR371" s="685"/>
      <c r="AS371" s="685"/>
      <c r="AT371" s="685"/>
      <c r="AU371" s="685"/>
      <c r="AV371" s="685"/>
      <c r="AW371" s="685"/>
      <c r="AX371" s="685"/>
      <c r="AY371" s="685"/>
    </row>
    <row r="372" spans="1:51">
      <c r="A372" s="685"/>
      <c r="B372" s="1189" t="s">
        <v>355</v>
      </c>
      <c r="C372" s="1187"/>
      <c r="D372" s="1187"/>
      <c r="E372" s="1187"/>
      <c r="F372" s="1187"/>
      <c r="G372" s="1187"/>
      <c r="H372" s="1287"/>
      <c r="I372" s="1287">
        <v>0.4</v>
      </c>
      <c r="J372" s="1287">
        <v>0.4</v>
      </c>
      <c r="K372" s="1287">
        <v>0.4</v>
      </c>
      <c r="L372" s="1287">
        <v>0.4</v>
      </c>
      <c r="M372" s="1287">
        <v>0.4</v>
      </c>
      <c r="N372" s="1287">
        <v>0.4</v>
      </c>
      <c r="O372" s="1287">
        <v>0.4</v>
      </c>
      <c r="P372" s="1287">
        <v>0.4</v>
      </c>
      <c r="Q372" s="1287">
        <v>0.4</v>
      </c>
      <c r="R372" s="1287">
        <v>0.4</v>
      </c>
      <c r="S372" s="1287">
        <v>0.4</v>
      </c>
      <c r="T372" s="1287">
        <v>0.4</v>
      </c>
      <c r="U372" s="1287">
        <v>0.4</v>
      </c>
      <c r="V372" s="1287">
        <v>0.4</v>
      </c>
      <c r="W372" s="1287">
        <v>0.4</v>
      </c>
      <c r="X372" s="1287">
        <v>0.4</v>
      </c>
      <c r="Y372" s="1287">
        <v>0.4</v>
      </c>
      <c r="Z372" s="1287">
        <v>0.4</v>
      </c>
      <c r="AA372" s="1287">
        <v>0.4</v>
      </c>
      <c r="AB372" s="1287">
        <v>0.4</v>
      </c>
      <c r="AC372" s="1287">
        <v>0.4</v>
      </c>
      <c r="AD372" s="685"/>
      <c r="AE372" s="685"/>
      <c r="AF372" s="685"/>
      <c r="AG372" s="685"/>
      <c r="AH372" s="685"/>
      <c r="AI372" s="685"/>
      <c r="AJ372" s="685"/>
      <c r="AK372" s="685"/>
      <c r="AL372" s="685"/>
      <c r="AM372" s="685"/>
      <c r="AN372" s="685"/>
      <c r="AO372" s="685"/>
      <c r="AP372" s="685"/>
      <c r="AQ372" s="685"/>
      <c r="AR372" s="685"/>
      <c r="AS372" s="685"/>
      <c r="AT372" s="685"/>
      <c r="AU372" s="685"/>
      <c r="AV372" s="685"/>
      <c r="AW372" s="685"/>
      <c r="AX372" s="685"/>
      <c r="AY372" s="685"/>
    </row>
    <row r="373" spans="1:51">
      <c r="A373" s="685"/>
      <c r="B373" s="1189"/>
      <c r="C373" s="1187"/>
      <c r="D373" s="1187"/>
      <c r="E373" s="1187"/>
      <c r="F373" s="1187"/>
      <c r="G373" s="1187"/>
      <c r="H373" s="1187"/>
      <c r="I373" s="1187"/>
      <c r="J373" s="1187"/>
      <c r="K373" s="1187"/>
      <c r="L373" s="1187"/>
      <c r="M373" s="1187"/>
      <c r="N373" s="1187"/>
      <c r="O373" s="1187"/>
      <c r="P373" s="1187"/>
      <c r="Q373" s="1187"/>
      <c r="R373" s="1187"/>
      <c r="S373" s="1187"/>
      <c r="T373" s="1187"/>
      <c r="U373" s="1187"/>
      <c r="V373" s="1187"/>
      <c r="W373" s="1187"/>
      <c r="X373" s="1187"/>
      <c r="Y373" s="1187"/>
      <c r="Z373" s="1187"/>
      <c r="AA373" s="1187"/>
      <c r="AB373" s="1187"/>
      <c r="AC373" s="1187"/>
      <c r="AD373" s="685"/>
      <c r="AE373" s="685"/>
      <c r="AF373" s="685"/>
      <c r="AG373" s="685"/>
      <c r="AH373" s="685"/>
      <c r="AI373" s="685"/>
      <c r="AJ373" s="685"/>
      <c r="AK373" s="685"/>
      <c r="AL373" s="685"/>
      <c r="AM373" s="685"/>
      <c r="AN373" s="685"/>
      <c r="AO373" s="685"/>
      <c r="AP373" s="685"/>
      <c r="AQ373" s="685"/>
      <c r="AR373" s="685"/>
      <c r="AS373" s="685"/>
      <c r="AT373" s="685"/>
      <c r="AU373" s="685"/>
      <c r="AV373" s="685"/>
      <c r="AW373" s="685"/>
      <c r="AX373" s="685"/>
      <c r="AY373" s="685"/>
    </row>
    <row r="374" spans="1:51">
      <c r="A374" s="685"/>
      <c r="B374" s="1252" t="s">
        <v>44</v>
      </c>
      <c r="C374" s="1288"/>
      <c r="D374" s="1288"/>
      <c r="E374" s="1288"/>
      <c r="F374" s="1288"/>
      <c r="G374" s="1288"/>
      <c r="H374" s="1289">
        <v>0</v>
      </c>
      <c r="I374" s="1289">
        <v>141</v>
      </c>
      <c r="J374" s="1289">
        <v>152</v>
      </c>
      <c r="K374" s="1288"/>
      <c r="L374" s="1288"/>
      <c r="M374" s="1288"/>
      <c r="N374" s="1288"/>
      <c r="O374" s="1288"/>
      <c r="P374" s="1288"/>
      <c r="Q374" s="1288"/>
      <c r="R374" s="1288"/>
      <c r="S374" s="1288"/>
      <c r="T374" s="1288"/>
      <c r="U374" s="1288"/>
      <c r="V374" s="1288"/>
      <c r="W374" s="1288"/>
      <c r="X374" s="1288"/>
      <c r="Y374" s="1288"/>
      <c r="Z374" s="1288"/>
      <c r="AA374" s="1288"/>
      <c r="AB374" s="1288"/>
      <c r="AC374" s="1288"/>
      <c r="AD374" s="685"/>
      <c r="AE374" s="685"/>
      <c r="AF374" s="685"/>
      <c r="AG374" s="685"/>
      <c r="AH374" s="685"/>
      <c r="AI374" s="685"/>
      <c r="AJ374" s="685"/>
      <c r="AK374" s="685"/>
      <c r="AL374" s="685"/>
      <c r="AM374" s="685"/>
      <c r="AN374" s="685"/>
      <c r="AO374" s="685"/>
      <c r="AP374" s="685"/>
      <c r="AQ374" s="685"/>
      <c r="AR374" s="685"/>
      <c r="AS374" s="685"/>
      <c r="AT374" s="685"/>
      <c r="AU374" s="685"/>
      <c r="AV374" s="685"/>
      <c r="AW374" s="685"/>
      <c r="AX374" s="685"/>
      <c r="AY374" s="685"/>
    </row>
    <row r="375" spans="1:51">
      <c r="A375" s="685"/>
      <c r="B375" s="1189"/>
      <c r="C375" s="1187"/>
      <c r="D375" s="1187"/>
      <c r="E375" s="1187"/>
      <c r="F375" s="1187"/>
      <c r="G375" s="1187"/>
      <c r="H375" s="1283"/>
      <c r="I375" s="1283"/>
      <c r="J375" s="1283"/>
      <c r="K375" s="1187"/>
      <c r="L375" s="1187"/>
      <c r="M375" s="1187"/>
      <c r="N375" s="1187"/>
      <c r="O375" s="1187"/>
      <c r="P375" s="1187"/>
      <c r="Q375" s="1187"/>
      <c r="R375" s="1187"/>
      <c r="S375" s="1187"/>
      <c r="T375" s="1187"/>
      <c r="U375" s="1187"/>
      <c r="V375" s="1187"/>
      <c r="W375" s="1187"/>
      <c r="X375" s="1187"/>
      <c r="Y375" s="1187"/>
      <c r="Z375" s="1187"/>
      <c r="AA375" s="1187"/>
      <c r="AB375" s="1187"/>
      <c r="AC375" s="1187"/>
      <c r="AD375" s="685"/>
      <c r="AE375" s="685"/>
      <c r="AF375" s="685"/>
      <c r="AG375" s="685"/>
      <c r="AH375" s="685"/>
      <c r="AI375" s="685"/>
      <c r="AJ375" s="685"/>
      <c r="AK375" s="685"/>
      <c r="AL375" s="685"/>
      <c r="AM375" s="685"/>
      <c r="AN375" s="685"/>
      <c r="AO375" s="685"/>
      <c r="AP375" s="685"/>
      <c r="AQ375" s="685"/>
      <c r="AR375" s="685"/>
      <c r="AS375" s="685"/>
      <c r="AT375" s="685"/>
      <c r="AU375" s="685"/>
      <c r="AV375" s="685"/>
      <c r="AW375" s="685"/>
      <c r="AX375" s="685"/>
      <c r="AY375" s="685"/>
    </row>
    <row r="376" spans="1:51">
      <c r="A376" s="685"/>
      <c r="B376" s="1189" t="s">
        <v>311</v>
      </c>
      <c r="C376" s="1259"/>
      <c r="D376" s="1259"/>
      <c r="E376" s="1259"/>
      <c r="F376" s="1259"/>
      <c r="G376" s="1259"/>
      <c r="H376" s="1286">
        <v>-715</v>
      </c>
      <c r="I376" s="1286">
        <v>-212</v>
      </c>
      <c r="J376" s="1286">
        <v>-449</v>
      </c>
      <c r="K376" s="1286">
        <v>-666.6</v>
      </c>
      <c r="L376" s="1286">
        <v>-5659.9</v>
      </c>
      <c r="M376" s="1286">
        <f>M378+M377</f>
        <v>-4185.3999999999996</v>
      </c>
      <c r="N376" s="1286">
        <v>35.4</v>
      </c>
      <c r="O376" s="1286">
        <v>1139.4000000000001</v>
      </c>
      <c r="P376" s="1286">
        <v>1913</v>
      </c>
      <c r="Q376" s="1286">
        <v>532.9</v>
      </c>
      <c r="R376" s="1286">
        <v>581.1</v>
      </c>
      <c r="S376" s="1286">
        <v>-5769.4</v>
      </c>
      <c r="T376" s="1286">
        <v>3558.8</v>
      </c>
      <c r="U376" s="1286">
        <v>-8453.2999999999993</v>
      </c>
      <c r="V376" s="1286">
        <v>-6210.1</v>
      </c>
      <c r="W376" s="1259">
        <f t="shared" ref="W376:AC376" si="340">W377+W378</f>
        <v>1304.0191193481494</v>
      </c>
      <c r="X376" s="1259">
        <f t="shared" si="340"/>
        <v>1607.6133782563372</v>
      </c>
      <c r="Y376" s="1259">
        <f t="shared" si="340"/>
        <v>2537.7952140138909</v>
      </c>
      <c r="Z376" s="1259">
        <f t="shared" si="340"/>
        <v>3104.1163116171429</v>
      </c>
      <c r="AA376" s="1259">
        <f t="shared" si="340"/>
        <v>3554.2555033325812</v>
      </c>
      <c r="AB376" s="1259">
        <f t="shared" si="340"/>
        <v>3893.5291206098705</v>
      </c>
      <c r="AC376" s="1259">
        <f t="shared" si="340"/>
        <v>4250.5941426337922</v>
      </c>
      <c r="AD376" s="685"/>
      <c r="AE376" s="685"/>
      <c r="AF376" s="685"/>
      <c r="AG376" s="685"/>
      <c r="AH376" s="685"/>
      <c r="AI376" s="685"/>
      <c r="AJ376" s="685"/>
      <c r="AK376" s="685"/>
      <c r="AL376" s="685"/>
      <c r="AM376" s="685"/>
      <c r="AN376" s="685"/>
      <c r="AO376" s="685"/>
      <c r="AP376" s="685"/>
      <c r="AQ376" s="685"/>
      <c r="AR376" s="685"/>
      <c r="AS376" s="685"/>
      <c r="AT376" s="685"/>
      <c r="AU376" s="685"/>
      <c r="AV376" s="685"/>
      <c r="AW376" s="685"/>
      <c r="AX376" s="685"/>
      <c r="AY376" s="685"/>
    </row>
    <row r="377" spans="1:51">
      <c r="A377" s="685"/>
      <c r="B377" s="1189" t="s">
        <v>292</v>
      </c>
      <c r="C377" s="1259"/>
      <c r="D377" s="1260">
        <v>0</v>
      </c>
      <c r="E377" s="1260">
        <v>0</v>
      </c>
      <c r="F377" s="1260">
        <v>0</v>
      </c>
      <c r="G377" s="1260">
        <v>0</v>
      </c>
      <c r="H377" s="1260">
        <v>0</v>
      </c>
      <c r="I377" s="1260">
        <v>0</v>
      </c>
      <c r="J377" s="1260">
        <v>0</v>
      </c>
      <c r="K377" s="1260">
        <v>0</v>
      </c>
      <c r="L377" s="1260">
        <v>-4500</v>
      </c>
      <c r="M377" s="1260">
        <f>-320*13.12</f>
        <v>-4198.3999999999996</v>
      </c>
      <c r="N377" s="1260">
        <v>0</v>
      </c>
      <c r="O377" s="1260">
        <v>0</v>
      </c>
      <c r="P377" s="1260">
        <v>0</v>
      </c>
      <c r="Q377" s="1260">
        <v>0</v>
      </c>
      <c r="R377" s="1260">
        <v>0</v>
      </c>
      <c r="S377" s="1260">
        <v>-5455.4</v>
      </c>
      <c r="T377" s="1260">
        <v>0</v>
      </c>
      <c r="U377" s="1260">
        <v>0</v>
      </c>
      <c r="V377" s="1260">
        <v>0</v>
      </c>
      <c r="W377" s="1260">
        <v>0</v>
      </c>
      <c r="X377" s="1260">
        <v>0</v>
      </c>
      <c r="Y377" s="1260">
        <v>0</v>
      </c>
      <c r="Z377" s="1260">
        <v>0</v>
      </c>
      <c r="AA377" s="1260">
        <v>0</v>
      </c>
      <c r="AB377" s="1260">
        <v>0</v>
      </c>
      <c r="AC377" s="1260">
        <v>0</v>
      </c>
      <c r="AD377" s="685"/>
      <c r="AE377" s="685"/>
      <c r="AF377" s="685"/>
      <c r="AG377" s="685"/>
      <c r="AH377" s="685"/>
      <c r="AI377" s="685"/>
      <c r="AJ377" s="685"/>
      <c r="AK377" s="685"/>
      <c r="AL377" s="685"/>
      <c r="AM377" s="685"/>
      <c r="AN377" s="685"/>
      <c r="AO377" s="685"/>
      <c r="AP377" s="685"/>
      <c r="AQ377" s="685"/>
      <c r="AR377" s="685"/>
      <c r="AS377" s="685"/>
      <c r="AT377" s="685"/>
      <c r="AU377" s="685"/>
      <c r="AV377" s="685"/>
      <c r="AW377" s="685"/>
      <c r="AX377" s="685"/>
      <c r="AY377" s="685"/>
    </row>
    <row r="378" spans="1:51">
      <c r="A378" s="685"/>
      <c r="B378" s="1189" t="s">
        <v>312</v>
      </c>
      <c r="C378" s="1259"/>
      <c r="D378" s="1199">
        <v>0</v>
      </c>
      <c r="E378" s="1199">
        <v>0</v>
      </c>
      <c r="F378" s="1199">
        <v>0</v>
      </c>
      <c r="G378" s="1199">
        <v>0</v>
      </c>
      <c r="H378" s="1199">
        <f>H376-H377</f>
        <v>-715</v>
      </c>
      <c r="I378" s="1199">
        <f>I376-I377</f>
        <v>-212</v>
      </c>
      <c r="J378" s="1199">
        <f>J376-J377</f>
        <v>-449</v>
      </c>
      <c r="K378" s="1199">
        <f>K376-K377</f>
        <v>-666.6</v>
      </c>
      <c r="L378" s="1199">
        <f>L376-L377</f>
        <v>-1159.8999999999996</v>
      </c>
      <c r="M378" s="1199">
        <v>13</v>
      </c>
      <c r="N378" s="1197">
        <f t="shared" ref="N378:S378" si="341">N376-N377</f>
        <v>35.4</v>
      </c>
      <c r="O378" s="1197">
        <f t="shared" si="341"/>
        <v>1139.4000000000001</v>
      </c>
      <c r="P378" s="1197">
        <f t="shared" si="341"/>
        <v>1913</v>
      </c>
      <c r="Q378" s="1197">
        <f t="shared" si="341"/>
        <v>532.9</v>
      </c>
      <c r="R378" s="1197">
        <f t="shared" si="341"/>
        <v>581.1</v>
      </c>
      <c r="S378" s="1197">
        <f t="shared" si="341"/>
        <v>-314</v>
      </c>
      <c r="T378" s="1197">
        <f>T376-T377</f>
        <v>3558.8</v>
      </c>
      <c r="U378" s="1197">
        <f>U376-U377</f>
        <v>-8453.2999999999993</v>
      </c>
      <c r="V378" s="1197">
        <f>V376-V377</f>
        <v>-6210.1</v>
      </c>
      <c r="W378" s="1259">
        <f>VOD!H171*SOP!$C$13*Master!W92</f>
        <v>1304.0191193481494</v>
      </c>
      <c r="X378" s="1259">
        <f>VOD!I171*SOP!$C$13*Master!X92</f>
        <v>1607.6133782563372</v>
      </c>
      <c r="Y378" s="1259">
        <f>VOD!J171*SOP!$C$13*Master!Y92</f>
        <v>2537.7952140138909</v>
      </c>
      <c r="Z378" s="1259">
        <f>VOD!K171*SOP!$C$13*Master!Z92</f>
        <v>3104.1163116171429</v>
      </c>
      <c r="AA378" s="1259">
        <f>VOD!L171*SOP!$C$13*Master!AA92</f>
        <v>3554.2555033325812</v>
      </c>
      <c r="AB378" s="1259">
        <f>VOD!M171*SOP!$C$13*Master!AB92</f>
        <v>3893.5291206098705</v>
      </c>
      <c r="AC378" s="1259">
        <f>VOD!N171*SOP!$C$13*Master!AC92</f>
        <v>4250.5941426337922</v>
      </c>
      <c r="AD378" s="685"/>
      <c r="AE378" s="685"/>
      <c r="AF378" s="685"/>
      <c r="AG378" s="685"/>
      <c r="AH378" s="685"/>
      <c r="AI378" s="685"/>
      <c r="AJ378" s="685"/>
      <c r="AK378" s="685"/>
      <c r="AL378" s="685"/>
      <c r="AM378" s="685"/>
      <c r="AN378" s="685"/>
      <c r="AO378" s="685"/>
      <c r="AP378" s="685"/>
      <c r="AQ378" s="685"/>
      <c r="AR378" s="685"/>
      <c r="AS378" s="685"/>
      <c r="AT378" s="685"/>
      <c r="AU378" s="685"/>
      <c r="AV378" s="685"/>
      <c r="AW378" s="685"/>
      <c r="AX378" s="685"/>
      <c r="AY378" s="685"/>
    </row>
    <row r="379" spans="1:51">
      <c r="A379" s="685"/>
      <c r="B379" s="1189"/>
      <c r="C379" s="1189"/>
      <c r="D379" s="1189"/>
      <c r="E379" s="1189"/>
      <c r="F379" s="1189"/>
      <c r="G379" s="1189"/>
      <c r="H379" s="1189"/>
      <c r="I379" s="1189"/>
      <c r="J379" s="1189"/>
      <c r="K379" s="1189"/>
      <c r="L379" s="1189"/>
      <c r="M379" s="1189"/>
      <c r="N379" s="1189"/>
      <c r="O379" s="1189"/>
      <c r="P379" s="1189"/>
      <c r="Q379" s="1189"/>
      <c r="R379" s="1189"/>
      <c r="S379" s="1189"/>
      <c r="T379" s="1189"/>
      <c r="U379" s="1189"/>
      <c r="V379" s="1189"/>
      <c r="W379" s="1189"/>
      <c r="X379" s="1189"/>
      <c r="Y379" s="1189"/>
      <c r="Z379" s="1189"/>
      <c r="AA379" s="1189"/>
      <c r="AB379" s="1189"/>
      <c r="AC379" s="1189"/>
      <c r="AD379" s="685"/>
      <c r="AE379" s="685"/>
      <c r="AF379" s="685"/>
      <c r="AG379" s="685"/>
      <c r="AH379" s="685"/>
      <c r="AI379" s="685"/>
      <c r="AJ379" s="685"/>
      <c r="AK379" s="685"/>
      <c r="AL379" s="685"/>
      <c r="AM379" s="685"/>
      <c r="AN379" s="685"/>
      <c r="AO379" s="685"/>
      <c r="AP379" s="685"/>
      <c r="AQ379" s="685"/>
      <c r="AR379" s="685"/>
      <c r="AS379" s="685"/>
      <c r="AT379" s="685"/>
      <c r="AU379" s="685"/>
      <c r="AV379" s="685"/>
      <c r="AW379" s="685"/>
      <c r="AX379" s="685"/>
      <c r="AY379" s="685"/>
    </row>
    <row r="380" spans="1:51">
      <c r="A380" s="685"/>
      <c r="B380" s="1189" t="s">
        <v>7493</v>
      </c>
      <c r="C380" s="1189"/>
      <c r="D380" s="1189"/>
      <c r="E380" s="1189"/>
      <c r="F380" s="1189"/>
      <c r="G380" s="1189"/>
      <c r="H380" s="1189"/>
      <c r="I380" s="1189"/>
      <c r="J380" s="1189"/>
      <c r="K380" s="1189"/>
      <c r="L380" s="1189"/>
      <c r="M380" s="1189"/>
      <c r="N380" s="1189"/>
      <c r="O380" s="1189"/>
      <c r="P380" s="1189"/>
      <c r="Q380" s="1189"/>
      <c r="R380" s="1189"/>
      <c r="S380" s="1189"/>
      <c r="T380" s="1189"/>
      <c r="U380" s="1189"/>
      <c r="V380" s="1189"/>
      <c r="W380" s="1208">
        <f>(VOD!H179*SOP!$C$13+VOD!H176+VOD!H147)*W92</f>
        <v>1028.0578631999999</v>
      </c>
      <c r="X380" s="1208">
        <f>(VOD!I179*SOP!$C$13+VOD!I176+VOD!I147)*X92</f>
        <v>1454.0368788700841</v>
      </c>
      <c r="Y380" s="1208">
        <f>(VOD!J179*SOP!$C$13+VOD!J176+VOD!J147)*Y92</f>
        <v>2352.4687783988288</v>
      </c>
      <c r="Z380" s="1208">
        <f>(VOD!K179*SOP!$C$13+VOD!K176+VOD!K147)*Z92</f>
        <v>3599.4565958130279</v>
      </c>
      <c r="AA380" s="1208">
        <f>(VOD!L179*SOP!$C$13+VOD!L176+VOD!L147)*AA92</f>
        <v>4704.2158726378711</v>
      </c>
      <c r="AB380" s="1208">
        <f>(VOD!M179*SOP!$C$13+VOD!M176+VOD!M147)*AB92</f>
        <v>5078.5428108807491</v>
      </c>
      <c r="AC380" s="1208">
        <f>(VOD!N179*SOP!$C$13+VOD!N176+VOD!N147)*AC92</f>
        <v>5471.9721584366953</v>
      </c>
      <c r="AD380" s="685"/>
      <c r="AE380" s="685"/>
      <c r="AF380" s="685"/>
      <c r="AG380" s="685"/>
      <c r="AH380" s="685"/>
      <c r="AI380" s="685"/>
      <c r="AJ380" s="685"/>
      <c r="AK380" s="685"/>
      <c r="AL380" s="685"/>
      <c r="AM380" s="685"/>
      <c r="AN380" s="685"/>
      <c r="AO380" s="685"/>
      <c r="AP380" s="685"/>
      <c r="AQ380" s="685"/>
      <c r="AR380" s="685"/>
      <c r="AS380" s="685"/>
      <c r="AT380" s="685"/>
      <c r="AU380" s="685"/>
      <c r="AV380" s="685"/>
      <c r="AW380" s="685"/>
      <c r="AX380" s="685"/>
      <c r="AY380" s="685"/>
    </row>
    <row r="381" spans="1:51">
      <c r="A381" s="685"/>
      <c r="B381" s="1189"/>
      <c r="C381" s="1189"/>
      <c r="D381" s="1189"/>
      <c r="E381" s="1189"/>
      <c r="F381" s="1189"/>
      <c r="G381" s="1189"/>
      <c r="H381" s="1189"/>
      <c r="I381" s="1189"/>
      <c r="J381" s="1189"/>
      <c r="K381" s="1189"/>
      <c r="L381" s="1189"/>
      <c r="M381" s="1189"/>
      <c r="N381" s="1189"/>
      <c r="O381" s="1189"/>
      <c r="P381" s="1189"/>
      <c r="Q381" s="1189"/>
      <c r="R381" s="1189"/>
      <c r="S381" s="1189"/>
      <c r="T381" s="1189"/>
      <c r="U381" s="1189"/>
      <c r="V381" s="1189"/>
      <c r="W381" s="1189"/>
      <c r="X381" s="1189"/>
      <c r="Y381" s="1189"/>
      <c r="Z381" s="1189"/>
      <c r="AA381" s="1189"/>
      <c r="AB381" s="1189"/>
      <c r="AC381" s="1189"/>
      <c r="AD381" s="685"/>
      <c r="AE381" s="685"/>
      <c r="AF381" s="685"/>
      <c r="AG381" s="685"/>
      <c r="AH381" s="685"/>
      <c r="AI381" s="685"/>
      <c r="AJ381" s="685"/>
      <c r="AK381" s="685"/>
      <c r="AL381" s="685"/>
      <c r="AM381" s="685"/>
      <c r="AN381" s="685"/>
      <c r="AO381" s="685"/>
      <c r="AP381" s="685"/>
      <c r="AQ381" s="685"/>
      <c r="AR381" s="685"/>
      <c r="AS381" s="685"/>
      <c r="AT381" s="685"/>
      <c r="AU381" s="685"/>
      <c r="AV381" s="685"/>
      <c r="AW381" s="685"/>
      <c r="AX381" s="685"/>
      <c r="AY381" s="685"/>
    </row>
    <row r="382" spans="1:51">
      <c r="A382" s="685"/>
      <c r="B382" s="1189" t="s">
        <v>313</v>
      </c>
      <c r="C382" s="1259"/>
      <c r="D382" s="1260">
        <v>0.4</v>
      </c>
      <c r="E382" s="1260">
        <v>0.4</v>
      </c>
      <c r="F382" s="1260">
        <v>0.1</v>
      </c>
      <c r="G382" s="1260">
        <v>0.1</v>
      </c>
      <c r="H382" s="1260">
        <v>0.1</v>
      </c>
      <c r="I382" s="1260">
        <v>0.1</v>
      </c>
      <c r="J382" s="1260">
        <v>0.1</v>
      </c>
      <c r="K382" s="1260">
        <v>0.1</v>
      </c>
      <c r="L382" s="1260">
        <v>0.1</v>
      </c>
      <c r="M382" s="1260">
        <v>0.1</v>
      </c>
      <c r="N382" s="1260">
        <v>0.1</v>
      </c>
      <c r="O382" s="1260">
        <v>0.1</v>
      </c>
      <c r="P382" s="1260">
        <v>1515</v>
      </c>
      <c r="Q382" s="1260">
        <v>116</v>
      </c>
      <c r="R382" s="1260">
        <v>2</v>
      </c>
      <c r="S382" s="1260">
        <v>0</v>
      </c>
      <c r="T382" s="1260">
        <v>0</v>
      </c>
      <c r="U382" s="1260">
        <v>3389.5</v>
      </c>
      <c r="V382" s="1260">
        <v>2586.6</v>
      </c>
      <c r="W382" s="1197">
        <f t="shared" ref="W382:AC382" si="342">V382+W376</f>
        <v>3890.6191193481491</v>
      </c>
      <c r="X382" s="1197">
        <f t="shared" si="342"/>
        <v>5498.2324976044865</v>
      </c>
      <c r="Y382" s="1197">
        <f t="shared" si="342"/>
        <v>8036.027711618377</v>
      </c>
      <c r="Z382" s="1197">
        <f t="shared" si="342"/>
        <v>11140.14402323552</v>
      </c>
      <c r="AA382" s="1197">
        <f t="shared" si="342"/>
        <v>14694.399526568101</v>
      </c>
      <c r="AB382" s="1197">
        <f t="shared" si="342"/>
        <v>18587.928647177971</v>
      </c>
      <c r="AC382" s="1197">
        <f t="shared" si="342"/>
        <v>22838.522789811763</v>
      </c>
      <c r="AD382" s="685"/>
      <c r="AE382" s="685"/>
      <c r="AF382" s="685"/>
      <c r="AG382" s="685"/>
      <c r="AH382" s="685"/>
      <c r="AI382" s="685"/>
      <c r="AJ382" s="685"/>
      <c r="AK382" s="685"/>
      <c r="AL382" s="685"/>
      <c r="AM382" s="685"/>
      <c r="AN382" s="685"/>
      <c r="AO382" s="685"/>
      <c r="AP382" s="685"/>
      <c r="AQ382" s="685"/>
      <c r="AR382" s="685"/>
      <c r="AS382" s="685"/>
      <c r="AT382" s="685"/>
      <c r="AU382" s="685"/>
      <c r="AV382" s="685"/>
      <c r="AW382" s="685"/>
      <c r="AX382" s="685"/>
      <c r="AY382" s="685"/>
    </row>
    <row r="383" spans="1:51">
      <c r="A383" s="685"/>
      <c r="B383" s="1189"/>
      <c r="C383" s="1189"/>
      <c r="D383" s="1189"/>
      <c r="E383" s="1189"/>
      <c r="F383" s="1189"/>
      <c r="G383" s="1189"/>
      <c r="H383" s="1189"/>
      <c r="I383" s="1189"/>
      <c r="J383" s="1189"/>
      <c r="K383" s="1189"/>
      <c r="L383" s="1189"/>
      <c r="M383" s="1189"/>
      <c r="N383" s="1189"/>
      <c r="O383" s="1189"/>
      <c r="P383" s="1189"/>
      <c r="Q383" s="1189"/>
      <c r="R383" s="1189"/>
      <c r="S383" s="1189"/>
      <c r="T383" s="1189"/>
      <c r="U383" s="1189"/>
      <c r="V383" s="1189"/>
      <c r="W383" s="1189"/>
      <c r="X383" s="1189"/>
      <c r="Y383" s="1189"/>
      <c r="Z383" s="1189"/>
      <c r="AA383" s="1189"/>
      <c r="AB383" s="1189"/>
      <c r="AC383" s="1189"/>
      <c r="AD383" s="685"/>
      <c r="AE383" s="685"/>
      <c r="AF383" s="685"/>
      <c r="AG383" s="685"/>
      <c r="AH383" s="685"/>
      <c r="AI383" s="685"/>
      <c r="AJ383" s="685"/>
      <c r="AK383" s="685"/>
      <c r="AL383" s="685"/>
      <c r="AM383" s="685"/>
      <c r="AN383" s="685"/>
      <c r="AO383" s="685"/>
      <c r="AP383" s="685"/>
      <c r="AQ383" s="685"/>
      <c r="AR383" s="685"/>
      <c r="AS383" s="685"/>
      <c r="AT383" s="685"/>
      <c r="AU383" s="685"/>
      <c r="AV383" s="685"/>
      <c r="AW383" s="685"/>
      <c r="AX383" s="685"/>
      <c r="AY383" s="685"/>
    </row>
    <row r="384" spans="1:51">
      <c r="A384" s="685"/>
      <c r="B384" s="1189"/>
      <c r="C384" s="1189"/>
      <c r="D384" s="1189"/>
      <c r="E384" s="1189"/>
      <c r="F384" s="1189"/>
      <c r="G384" s="1189"/>
      <c r="H384" s="1189"/>
      <c r="I384" s="1189"/>
      <c r="J384" s="1189"/>
      <c r="K384" s="1189"/>
      <c r="L384" s="1189"/>
      <c r="M384" s="1189"/>
      <c r="N384" s="1189"/>
      <c r="O384" s="1189"/>
      <c r="P384" s="1189"/>
      <c r="Q384" s="1189"/>
      <c r="R384" s="1189"/>
      <c r="S384" s="1189"/>
      <c r="T384" s="1189"/>
      <c r="U384" s="1189"/>
      <c r="V384" s="1189"/>
      <c r="W384" s="1189"/>
      <c r="X384" s="1189"/>
      <c r="Y384" s="1189"/>
      <c r="Z384" s="1189"/>
      <c r="AA384" s="1189"/>
      <c r="AB384" s="1189"/>
      <c r="AC384" s="1189"/>
      <c r="AD384" s="685"/>
      <c r="AE384" s="685"/>
      <c r="AF384" s="685"/>
      <c r="AG384" s="685"/>
      <c r="AH384" s="685"/>
      <c r="AI384" s="685"/>
      <c r="AJ384" s="685"/>
      <c r="AK384" s="685"/>
      <c r="AL384" s="685"/>
      <c r="AM384" s="685"/>
      <c r="AN384" s="685"/>
      <c r="AO384" s="685"/>
      <c r="AP384" s="685"/>
      <c r="AQ384" s="685"/>
      <c r="AR384" s="685"/>
      <c r="AS384" s="685"/>
      <c r="AT384" s="685"/>
      <c r="AU384" s="685"/>
      <c r="AV384" s="685"/>
      <c r="AW384" s="685"/>
      <c r="AX384" s="685"/>
      <c r="AY384" s="685"/>
    </row>
    <row r="385" spans="1:51">
      <c r="A385" s="685"/>
      <c r="B385" s="1189"/>
      <c r="C385" s="1189"/>
      <c r="D385" s="1189"/>
      <c r="E385" s="1189"/>
      <c r="F385" s="1189"/>
      <c r="G385" s="1189"/>
      <c r="H385" s="1189"/>
      <c r="I385" s="1189"/>
      <c r="J385" s="1189"/>
      <c r="K385" s="1189"/>
      <c r="L385" s="1189"/>
      <c r="M385" s="1189"/>
      <c r="N385" s="1189"/>
      <c r="O385" s="1189"/>
      <c r="P385" s="1189"/>
      <c r="Q385" s="1189"/>
      <c r="R385" s="1189"/>
      <c r="S385" s="1189"/>
      <c r="T385" s="1189"/>
      <c r="U385" s="1189"/>
      <c r="V385" s="1189"/>
      <c r="W385" s="1189"/>
      <c r="X385" s="1189"/>
      <c r="Y385" s="1189"/>
      <c r="Z385" s="1189"/>
      <c r="AA385" s="1189"/>
      <c r="AB385" s="1189"/>
      <c r="AC385" s="1189"/>
      <c r="AD385" s="685"/>
      <c r="AE385" s="685"/>
      <c r="AF385" s="685"/>
      <c r="AG385" s="685"/>
      <c r="AH385" s="685"/>
      <c r="AI385" s="685"/>
      <c r="AJ385" s="685"/>
      <c r="AK385" s="685"/>
      <c r="AL385" s="685"/>
      <c r="AM385" s="685"/>
      <c r="AN385" s="685"/>
      <c r="AO385" s="685"/>
      <c r="AP385" s="685"/>
      <c r="AQ385" s="685"/>
      <c r="AR385" s="685"/>
      <c r="AS385" s="685"/>
      <c r="AT385" s="685"/>
      <c r="AU385" s="685"/>
      <c r="AV385" s="685"/>
      <c r="AW385" s="685"/>
      <c r="AX385" s="685"/>
      <c r="AY385" s="685"/>
    </row>
    <row r="386" spans="1:51">
      <c r="A386" s="685"/>
      <c r="B386" s="1186" t="s">
        <v>220</v>
      </c>
      <c r="C386" s="1186">
        <v>2004</v>
      </c>
      <c r="D386" s="1186">
        <f>C386+1</f>
        <v>2005</v>
      </c>
      <c r="E386" s="1186">
        <f t="shared" ref="E386:AC386" si="343">D386+1</f>
        <v>2006</v>
      </c>
      <c r="F386" s="1186">
        <f t="shared" si="343"/>
        <v>2007</v>
      </c>
      <c r="G386" s="1186">
        <f t="shared" si="343"/>
        <v>2008</v>
      </c>
      <c r="H386" s="1186">
        <f t="shared" si="343"/>
        <v>2009</v>
      </c>
      <c r="I386" s="1186">
        <f t="shared" si="343"/>
        <v>2010</v>
      </c>
      <c r="J386" s="1186">
        <f t="shared" si="343"/>
        <v>2011</v>
      </c>
      <c r="K386" s="1186">
        <f t="shared" si="343"/>
        <v>2012</v>
      </c>
      <c r="L386" s="1186">
        <f t="shared" si="343"/>
        <v>2013</v>
      </c>
      <c r="M386" s="1186">
        <f t="shared" si="343"/>
        <v>2014</v>
      </c>
      <c r="N386" s="1186">
        <f t="shared" si="343"/>
        <v>2015</v>
      </c>
      <c r="O386" s="1186">
        <f t="shared" si="343"/>
        <v>2016</v>
      </c>
      <c r="P386" s="1186">
        <f t="shared" si="343"/>
        <v>2017</v>
      </c>
      <c r="Q386" s="1186">
        <f t="shared" si="343"/>
        <v>2018</v>
      </c>
      <c r="R386" s="1186">
        <f t="shared" si="343"/>
        <v>2019</v>
      </c>
      <c r="S386" s="1186">
        <f t="shared" si="343"/>
        <v>2020</v>
      </c>
      <c r="T386" s="1186">
        <f t="shared" si="343"/>
        <v>2021</v>
      </c>
      <c r="U386" s="1186">
        <f t="shared" si="343"/>
        <v>2022</v>
      </c>
      <c r="V386" s="1186">
        <f t="shared" si="343"/>
        <v>2023</v>
      </c>
      <c r="W386" s="1186">
        <f t="shared" si="343"/>
        <v>2024</v>
      </c>
      <c r="X386" s="1186">
        <f t="shared" si="343"/>
        <v>2025</v>
      </c>
      <c r="Y386" s="1186">
        <f t="shared" si="343"/>
        <v>2026</v>
      </c>
      <c r="Z386" s="1186">
        <f t="shared" si="343"/>
        <v>2027</v>
      </c>
      <c r="AA386" s="1186">
        <f t="shared" si="343"/>
        <v>2028</v>
      </c>
      <c r="AB386" s="1186">
        <f t="shared" si="343"/>
        <v>2029</v>
      </c>
      <c r="AC386" s="1186">
        <f t="shared" si="343"/>
        <v>2030</v>
      </c>
      <c r="AD386" s="685"/>
      <c r="AE386" s="685"/>
      <c r="AF386" s="685"/>
      <c r="AG386" s="685"/>
      <c r="AH386" s="685"/>
      <c r="AI386" s="685"/>
      <c r="AJ386" s="685"/>
      <c r="AK386" s="685"/>
      <c r="AL386" s="685"/>
      <c r="AM386" s="685"/>
      <c r="AN386" s="685"/>
      <c r="AO386" s="685"/>
      <c r="AP386" s="685"/>
      <c r="AQ386" s="685"/>
      <c r="AR386" s="685"/>
      <c r="AS386" s="685"/>
      <c r="AT386" s="685"/>
      <c r="AU386" s="685"/>
      <c r="AV386" s="685"/>
      <c r="AW386" s="685"/>
      <c r="AX386" s="685"/>
      <c r="AY386" s="685"/>
    </row>
    <row r="387" spans="1:51">
      <c r="A387" s="685"/>
      <c r="B387" s="1189" t="s">
        <v>220</v>
      </c>
      <c r="C387" s="1259"/>
      <c r="D387" s="1260">
        <v>0</v>
      </c>
      <c r="E387" s="1260">
        <v>0</v>
      </c>
      <c r="F387" s="1260">
        <v>0</v>
      </c>
      <c r="G387" s="1260">
        <v>0</v>
      </c>
      <c r="H387" s="1260">
        <v>576</v>
      </c>
      <c r="I387" s="1260">
        <v>833</v>
      </c>
      <c r="J387" s="1260">
        <v>1291</v>
      </c>
      <c r="K387" s="1260">
        <v>1309</v>
      </c>
      <c r="L387" s="1260">
        <v>2486</v>
      </c>
      <c r="M387" s="1260">
        <v>1272.9000000000001</v>
      </c>
      <c r="N387" s="1260">
        <v>1426.3</v>
      </c>
      <c r="O387" s="1260">
        <v>1612</v>
      </c>
      <c r="P387" s="1260">
        <v>2053</v>
      </c>
      <c r="Q387" s="1260">
        <v>1606</v>
      </c>
      <c r="R387" s="1260">
        <v>1480.7</v>
      </c>
      <c r="S387" s="1260">
        <v>1566.3</v>
      </c>
      <c r="T387" s="1260">
        <v>1191.7</v>
      </c>
      <c r="U387" s="1260">
        <v>477.6</v>
      </c>
      <c r="V387" s="1260">
        <v>-375.7</v>
      </c>
      <c r="W387" s="1197">
        <f t="shared" ref="W387:AC387" si="344">W388+W389</f>
        <v>94.936994650476834</v>
      </c>
      <c r="X387" s="1197">
        <f t="shared" si="344"/>
        <v>104.43069411552453</v>
      </c>
      <c r="Y387" s="1197">
        <f t="shared" si="344"/>
        <v>114.87376352707699</v>
      </c>
      <c r="Z387" s="1197">
        <f t="shared" si="344"/>
        <v>126.3611398797847</v>
      </c>
      <c r="AA387" s="1197">
        <f t="shared" si="344"/>
        <v>138.99725386776319</v>
      </c>
      <c r="AB387" s="1197">
        <f t="shared" si="344"/>
        <v>152.89697925453953</v>
      </c>
      <c r="AC387" s="1197">
        <f t="shared" si="344"/>
        <v>168.1866771799935</v>
      </c>
      <c r="AD387" s="685"/>
      <c r="AE387" s="685"/>
      <c r="AF387" s="685"/>
      <c r="AG387" s="685"/>
      <c r="AH387" s="685"/>
      <c r="AI387" s="685"/>
      <c r="AJ387" s="685"/>
      <c r="AK387" s="685"/>
      <c r="AL387" s="685"/>
      <c r="AM387" s="685"/>
      <c r="AN387" s="685"/>
      <c r="AO387" s="685"/>
      <c r="AP387" s="685"/>
      <c r="AQ387" s="685"/>
      <c r="AR387" s="685"/>
      <c r="AS387" s="685"/>
      <c r="AT387" s="685"/>
      <c r="AU387" s="685"/>
      <c r="AV387" s="685"/>
      <c r="AW387" s="685"/>
      <c r="AX387" s="685"/>
      <c r="AY387" s="685"/>
    </row>
    <row r="388" spans="1:51">
      <c r="A388" s="685"/>
      <c r="B388" s="1189" t="s">
        <v>292</v>
      </c>
      <c r="C388" s="1259"/>
      <c r="D388" s="1260"/>
      <c r="E388" s="1260"/>
      <c r="F388" s="1260"/>
      <c r="G388" s="1260"/>
      <c r="H388" s="1260"/>
      <c r="I388" s="1260"/>
      <c r="J388" s="1266"/>
      <c r="K388" s="1266"/>
      <c r="L388" s="1260">
        <v>1150</v>
      </c>
      <c r="M388" s="1266"/>
      <c r="N388" s="1266"/>
      <c r="O388" s="1266"/>
      <c r="P388" s="1266"/>
      <c r="Q388" s="1266"/>
      <c r="R388" s="1266"/>
      <c r="S388" s="1266"/>
      <c r="T388" s="1266"/>
      <c r="U388" s="1266"/>
      <c r="V388" s="1266"/>
      <c r="W388" s="1266"/>
      <c r="X388" s="1266"/>
      <c r="Y388" s="1266"/>
      <c r="Z388" s="1266"/>
      <c r="AA388" s="1266"/>
      <c r="AB388" s="1266"/>
      <c r="AC388" s="1266"/>
      <c r="AD388" s="685"/>
      <c r="AE388" s="685"/>
      <c r="AF388" s="685"/>
      <c r="AG388" s="685"/>
      <c r="AH388" s="685"/>
      <c r="AI388" s="685"/>
      <c r="AJ388" s="685"/>
      <c r="AK388" s="685"/>
      <c r="AL388" s="685"/>
      <c r="AM388" s="685"/>
      <c r="AN388" s="685"/>
      <c r="AO388" s="685"/>
      <c r="AP388" s="685"/>
      <c r="AQ388" s="685"/>
      <c r="AR388" s="685"/>
      <c r="AS388" s="685"/>
      <c r="AT388" s="685"/>
      <c r="AU388" s="685"/>
      <c r="AV388" s="685"/>
      <c r="AW388" s="685"/>
      <c r="AX388" s="685"/>
      <c r="AY388" s="685"/>
    </row>
    <row r="389" spans="1:51">
      <c r="A389" s="685"/>
      <c r="B389" s="1189" t="s">
        <v>314</v>
      </c>
      <c r="C389" s="1197"/>
      <c r="D389" s="1197">
        <f t="shared" ref="D389:I389" si="345">D387-D388</f>
        <v>0</v>
      </c>
      <c r="E389" s="1197">
        <f t="shared" si="345"/>
        <v>0</v>
      </c>
      <c r="F389" s="1197">
        <f t="shared" si="345"/>
        <v>0</v>
      </c>
      <c r="G389" s="1197">
        <f t="shared" si="345"/>
        <v>0</v>
      </c>
      <c r="H389" s="1197">
        <f t="shared" si="345"/>
        <v>576</v>
      </c>
      <c r="I389" s="1197">
        <f t="shared" si="345"/>
        <v>833</v>
      </c>
      <c r="J389" s="1197">
        <f t="shared" ref="J389:S389" si="346">J387-J388</f>
        <v>1291</v>
      </c>
      <c r="K389" s="1197">
        <f t="shared" si="346"/>
        <v>1309</v>
      </c>
      <c r="L389" s="1197">
        <f t="shared" si="346"/>
        <v>1336</v>
      </c>
      <c r="M389" s="1197">
        <f t="shared" si="346"/>
        <v>1272.9000000000001</v>
      </c>
      <c r="N389" s="1197">
        <f t="shared" si="346"/>
        <v>1426.3</v>
      </c>
      <c r="O389" s="1197">
        <f t="shared" si="346"/>
        <v>1612</v>
      </c>
      <c r="P389" s="1197">
        <f t="shared" si="346"/>
        <v>2053</v>
      </c>
      <c r="Q389" s="1197">
        <f t="shared" si="346"/>
        <v>1606</v>
      </c>
      <c r="R389" s="1197">
        <f t="shared" si="346"/>
        <v>1480.7</v>
      </c>
      <c r="S389" s="1197">
        <f t="shared" si="346"/>
        <v>1566.3</v>
      </c>
      <c r="T389" s="1197">
        <f>T387-T388</f>
        <v>1191.7</v>
      </c>
      <c r="U389" s="1197">
        <f>U387-U388</f>
        <v>477.6</v>
      </c>
      <c r="V389" s="1197">
        <f>V387-V388</f>
        <v>-375.7</v>
      </c>
      <c r="W389" s="1197">
        <f t="shared" ref="W389:AC389" si="347">W391+W394+W397</f>
        <v>94.936994650476834</v>
      </c>
      <c r="X389" s="1197">
        <f t="shared" si="347"/>
        <v>104.43069411552453</v>
      </c>
      <c r="Y389" s="1197">
        <f t="shared" si="347"/>
        <v>114.87376352707699</v>
      </c>
      <c r="Z389" s="1197">
        <f t="shared" si="347"/>
        <v>126.3611398797847</v>
      </c>
      <c r="AA389" s="1197">
        <f t="shared" si="347"/>
        <v>138.99725386776319</v>
      </c>
      <c r="AB389" s="1197">
        <f t="shared" si="347"/>
        <v>152.89697925453953</v>
      </c>
      <c r="AC389" s="1197">
        <f t="shared" si="347"/>
        <v>168.1866771799935</v>
      </c>
      <c r="AD389" s="685"/>
      <c r="AE389" s="685"/>
      <c r="AF389" s="685"/>
      <c r="AG389" s="685"/>
      <c r="AH389" s="685"/>
      <c r="AI389" s="685"/>
      <c r="AJ389" s="685"/>
      <c r="AK389" s="685"/>
      <c r="AL389" s="685"/>
      <c r="AM389" s="685"/>
      <c r="AN389" s="685"/>
      <c r="AO389" s="685"/>
      <c r="AP389" s="685"/>
      <c r="AQ389" s="685"/>
      <c r="AR389" s="685"/>
      <c r="AS389" s="685"/>
      <c r="AT389" s="685"/>
      <c r="AU389" s="685"/>
      <c r="AV389" s="685"/>
      <c r="AW389" s="685"/>
      <c r="AX389" s="685"/>
      <c r="AY389" s="685"/>
    </row>
    <row r="390" spans="1:51">
      <c r="A390" s="685"/>
      <c r="B390" s="1189"/>
      <c r="C390" s="1189"/>
      <c r="D390" s="1189"/>
      <c r="E390" s="1189"/>
      <c r="F390" s="1189"/>
      <c r="G390" s="1189"/>
      <c r="H390" s="1189"/>
      <c r="I390" s="1189"/>
      <c r="J390" s="1189"/>
      <c r="K390" s="1189"/>
      <c r="L390" s="1189"/>
      <c r="M390" s="1189"/>
      <c r="N390" s="1189"/>
      <c r="O390" s="1189"/>
      <c r="P390" s="1189"/>
      <c r="Q390" s="1189"/>
      <c r="R390" s="1189"/>
      <c r="S390" s="1189"/>
      <c r="T390" s="1189"/>
      <c r="U390" s="1189"/>
      <c r="V390" s="1189"/>
      <c r="W390" s="1189"/>
      <c r="X390" s="1189"/>
      <c r="Y390" s="1189"/>
      <c r="Z390" s="1189"/>
      <c r="AA390" s="1189"/>
      <c r="AB390" s="1189"/>
      <c r="AC390" s="1189"/>
      <c r="AD390" s="685"/>
      <c r="AE390" s="685"/>
      <c r="AF390" s="685"/>
      <c r="AG390" s="685"/>
      <c r="AH390" s="685"/>
      <c r="AI390" s="685"/>
      <c r="AJ390" s="685"/>
      <c r="AK390" s="685"/>
      <c r="AL390" s="685"/>
      <c r="AM390" s="685"/>
      <c r="AN390" s="685"/>
      <c r="AO390" s="685"/>
      <c r="AP390" s="685"/>
      <c r="AQ390" s="685"/>
      <c r="AR390" s="685"/>
      <c r="AS390" s="685"/>
      <c r="AT390" s="685"/>
      <c r="AU390" s="685"/>
      <c r="AV390" s="685"/>
      <c r="AW390" s="685"/>
      <c r="AX390" s="685"/>
      <c r="AY390" s="685"/>
    </row>
    <row r="391" spans="1:51">
      <c r="A391" s="685"/>
      <c r="B391" s="1189" t="s">
        <v>87</v>
      </c>
      <c r="C391" s="1189"/>
      <c r="D391" s="1189"/>
      <c r="E391" s="1189"/>
      <c r="F391" s="1189"/>
      <c r="G391" s="1189"/>
      <c r="H391" s="1197">
        <f>(1-H392)*'SKY Mex'!F167</f>
        <v>0</v>
      </c>
      <c r="I391" s="1197">
        <f>(1-I392)*'SKY Mex'!G167</f>
        <v>0</v>
      </c>
      <c r="J391" s="1197">
        <f>(1-J392)*'SKY Mex'!H167</f>
        <v>0</v>
      </c>
      <c r="K391" s="1197">
        <f>(1-K392)*'SKY Mex'!I167</f>
        <v>0</v>
      </c>
      <c r="L391" s="1197">
        <f>(1-L392)*'SKY Mex'!J167</f>
        <v>0</v>
      </c>
      <c r="M391" s="1197">
        <f>(1-M392)*'SKY Mex'!K167</f>
        <v>0</v>
      </c>
      <c r="N391" s="1197">
        <f>(1-N392)*'SKY Mex'!L167</f>
        <v>0</v>
      </c>
      <c r="O391" s="1197">
        <f>(1-O392)*'SKY Mex'!M167</f>
        <v>0</v>
      </c>
      <c r="P391" s="1197">
        <f>(1-P392)*'SKY Mex'!N167</f>
        <v>0</v>
      </c>
      <c r="Q391" s="1197">
        <f>(1-Q392)*'SKY Mex'!O167</f>
        <v>0</v>
      </c>
      <c r="R391" s="1197">
        <f>(1-R392)*'SKY Mex'!P167</f>
        <v>0</v>
      </c>
      <c r="S391" s="1197">
        <f>(1-S392)*'SKY Mex'!Q167</f>
        <v>0</v>
      </c>
      <c r="T391" s="1267">
        <f>1281*(1-SOP!$C$5)</f>
        <v>0</v>
      </c>
      <c r="U391" s="1267">
        <f>225*(1-SOP!$C$5)</f>
        <v>0</v>
      </c>
      <c r="V391" s="1269">
        <f>U391*0.7</f>
        <v>0</v>
      </c>
      <c r="W391" s="1200">
        <v>0</v>
      </c>
      <c r="X391" s="1200">
        <f t="shared" ref="X391:AC391" si="348">W391*1.1</f>
        <v>0</v>
      </c>
      <c r="Y391" s="1200">
        <f t="shared" si="348"/>
        <v>0</v>
      </c>
      <c r="Z391" s="1200">
        <f t="shared" si="348"/>
        <v>0</v>
      </c>
      <c r="AA391" s="1200">
        <f t="shared" si="348"/>
        <v>0</v>
      </c>
      <c r="AB391" s="1200">
        <f t="shared" si="348"/>
        <v>0</v>
      </c>
      <c r="AC391" s="1200">
        <f t="shared" si="348"/>
        <v>0</v>
      </c>
      <c r="AD391" s="685"/>
      <c r="AE391" s="685"/>
      <c r="AF391" s="685"/>
      <c r="AG391" s="685"/>
      <c r="AH391" s="685"/>
      <c r="AI391" s="685"/>
      <c r="AJ391" s="685"/>
      <c r="AK391" s="685"/>
      <c r="AL391" s="685"/>
      <c r="AM391" s="685"/>
      <c r="AN391" s="685"/>
      <c r="AO391" s="685"/>
      <c r="AP391" s="685"/>
      <c r="AQ391" s="685"/>
      <c r="AR391" s="685"/>
      <c r="AS391" s="685"/>
      <c r="AT391" s="685"/>
      <c r="AU391" s="685"/>
      <c r="AV391" s="685"/>
      <c r="AW391" s="685"/>
      <c r="AX391" s="685"/>
      <c r="AY391" s="685"/>
    </row>
    <row r="392" spans="1:51">
      <c r="A392" s="685"/>
      <c r="B392" s="1189" t="s">
        <v>958</v>
      </c>
      <c r="C392" s="1189"/>
      <c r="D392" s="1189"/>
      <c r="E392" s="1189"/>
      <c r="F392" s="1189"/>
      <c r="G392" s="1189"/>
      <c r="H392" s="1290">
        <f>I392</f>
        <v>1</v>
      </c>
      <c r="I392" s="1290">
        <f>J392</f>
        <v>1</v>
      </c>
      <c r="J392" s="1290">
        <f>SOP!C$5</f>
        <v>1</v>
      </c>
      <c r="K392" s="1191">
        <f>J392</f>
        <v>1</v>
      </c>
      <c r="L392" s="1191">
        <f t="shared" ref="L392:AC392" si="349">K392</f>
        <v>1</v>
      </c>
      <c r="M392" s="1191">
        <f t="shared" si="349"/>
        <v>1</v>
      </c>
      <c r="N392" s="1191">
        <f t="shared" si="349"/>
        <v>1</v>
      </c>
      <c r="O392" s="1191">
        <f t="shared" si="349"/>
        <v>1</v>
      </c>
      <c r="P392" s="1191">
        <f t="shared" si="349"/>
        <v>1</v>
      </c>
      <c r="Q392" s="1191">
        <f t="shared" si="349"/>
        <v>1</v>
      </c>
      <c r="R392" s="1191">
        <f t="shared" si="349"/>
        <v>1</v>
      </c>
      <c r="S392" s="1191">
        <f t="shared" si="349"/>
        <v>1</v>
      </c>
      <c r="T392" s="1191">
        <f t="shared" si="349"/>
        <v>1</v>
      </c>
      <c r="U392" s="1191">
        <f t="shared" si="349"/>
        <v>1</v>
      </c>
      <c r="V392" s="1191">
        <f t="shared" si="349"/>
        <v>1</v>
      </c>
      <c r="W392" s="1191">
        <f t="shared" si="349"/>
        <v>1</v>
      </c>
      <c r="X392" s="1191">
        <f t="shared" si="349"/>
        <v>1</v>
      </c>
      <c r="Y392" s="1191">
        <f t="shared" si="349"/>
        <v>1</v>
      </c>
      <c r="Z392" s="1191">
        <f t="shared" si="349"/>
        <v>1</v>
      </c>
      <c r="AA392" s="1191">
        <f t="shared" si="349"/>
        <v>1</v>
      </c>
      <c r="AB392" s="1191">
        <f t="shared" si="349"/>
        <v>1</v>
      </c>
      <c r="AC392" s="1191">
        <f t="shared" si="349"/>
        <v>1</v>
      </c>
      <c r="AD392" s="685"/>
      <c r="AE392" s="685"/>
      <c r="AF392" s="685"/>
      <c r="AG392" s="685"/>
      <c r="AH392" s="685"/>
      <c r="AI392" s="685"/>
      <c r="AJ392" s="685"/>
      <c r="AK392" s="685"/>
      <c r="AL392" s="685"/>
      <c r="AM392" s="685"/>
      <c r="AN392" s="685"/>
      <c r="AO392" s="685"/>
      <c r="AP392" s="685"/>
      <c r="AQ392" s="685"/>
      <c r="AR392" s="685"/>
      <c r="AS392" s="685"/>
      <c r="AT392" s="685"/>
      <c r="AU392" s="685"/>
      <c r="AV392" s="685"/>
      <c r="AW392" s="685"/>
      <c r="AX392" s="685"/>
      <c r="AY392" s="685"/>
    </row>
    <row r="393" spans="1:51">
      <c r="A393" s="685"/>
      <c r="B393" s="1189"/>
      <c r="C393" s="1189"/>
      <c r="D393" s="1189"/>
      <c r="E393" s="1189"/>
      <c r="F393" s="1189"/>
      <c r="G393" s="1189"/>
      <c r="H393" s="1189"/>
      <c r="I393" s="1189"/>
      <c r="J393" s="1189"/>
      <c r="K393" s="1189"/>
      <c r="L393" s="1189"/>
      <c r="M393" s="1189"/>
      <c r="N393" s="1189"/>
      <c r="O393" s="1189"/>
      <c r="P393" s="1189"/>
      <c r="Q393" s="1189"/>
      <c r="R393" s="1189"/>
      <c r="S393" s="1189"/>
      <c r="T393" s="1189"/>
      <c r="U393" s="1189"/>
      <c r="V393" s="1189"/>
      <c r="W393" s="1189"/>
      <c r="X393" s="1189"/>
      <c r="Y393" s="1189"/>
      <c r="Z393" s="1189"/>
      <c r="AA393" s="1189"/>
      <c r="AB393" s="1189"/>
      <c r="AC393" s="1189"/>
      <c r="AD393" s="685"/>
      <c r="AE393" s="685"/>
      <c r="AF393" s="685"/>
      <c r="AG393" s="685"/>
      <c r="AH393" s="685"/>
      <c r="AI393" s="685"/>
      <c r="AJ393" s="685"/>
      <c r="AK393" s="685"/>
      <c r="AL393" s="685"/>
      <c r="AM393" s="685"/>
      <c r="AN393" s="685"/>
      <c r="AO393" s="685"/>
      <c r="AP393" s="685"/>
      <c r="AQ393" s="685"/>
      <c r="AR393" s="685"/>
      <c r="AS393" s="685"/>
      <c r="AT393" s="685"/>
      <c r="AU393" s="685"/>
      <c r="AV393" s="685"/>
      <c r="AW393" s="685"/>
      <c r="AX393" s="685"/>
      <c r="AY393" s="685"/>
    </row>
    <row r="394" spans="1:51">
      <c r="A394" s="685"/>
      <c r="B394" s="1189" t="s">
        <v>16</v>
      </c>
      <c r="C394" s="1189"/>
      <c r="D394" s="1189"/>
      <c r="E394" s="1189"/>
      <c r="F394" s="1189"/>
      <c r="G394" s="1189"/>
      <c r="H394" s="1197"/>
      <c r="I394" s="1197"/>
      <c r="J394" s="1197">
        <f>(1-J395)*'Cable cos'!F254</f>
        <v>244.07120708087231</v>
      </c>
      <c r="K394" s="1197">
        <f>(1-K395)*'Cable cos'!G254</f>
        <v>172.35640694076648</v>
      </c>
      <c r="L394" s="1197">
        <f>(1-L395)*'Cable cos'!H254</f>
        <v>-11.693230060735482</v>
      </c>
      <c r="M394" s="1197">
        <f>(1-M395)*'Cable cos'!I254</f>
        <v>244.78973870589618</v>
      </c>
      <c r="N394" s="1197">
        <f>(1-N395)*'Cable cos'!J254</f>
        <v>-76.228565998055771</v>
      </c>
      <c r="O394" s="1197">
        <f>(1-O395)*'Cable cos'!K254</f>
        <v>-194.70090774477063</v>
      </c>
      <c r="P394" s="1197">
        <f>(1-P395)*'Cable cos'!L254</f>
        <v>499.39490339269804</v>
      </c>
      <c r="Q394" s="1197">
        <f>(1-Q395)*'Cable cos'!M254</f>
        <v>416.30626342520355</v>
      </c>
      <c r="R394" s="1197">
        <f>(1-R395)*'Cable cos'!N254</f>
        <v>682.37084846282369</v>
      </c>
      <c r="S394" s="1197">
        <f>(1-S395)*'Cable cos'!O254</f>
        <v>597.47589919680104</v>
      </c>
      <c r="T394" s="1267">
        <f>1135*(1-SOP!$C$6)</f>
        <v>183.88908805619948</v>
      </c>
      <c r="U394" s="1267">
        <f>761*(1-SOP!$C$6)</f>
        <v>123.29479824737251</v>
      </c>
      <c r="V394" s="1269">
        <f>U394*0.7</f>
        <v>86.306358773160753</v>
      </c>
      <c r="W394" s="1200">
        <f t="shared" ref="W394:AC394" si="350">V394*1.1</f>
        <v>94.936994650476834</v>
      </c>
      <c r="X394" s="1200">
        <f t="shared" si="350"/>
        <v>104.43069411552453</v>
      </c>
      <c r="Y394" s="1200">
        <f t="shared" si="350"/>
        <v>114.87376352707699</v>
      </c>
      <c r="Z394" s="1200">
        <f t="shared" si="350"/>
        <v>126.3611398797847</v>
      </c>
      <c r="AA394" s="1200">
        <f t="shared" si="350"/>
        <v>138.99725386776319</v>
      </c>
      <c r="AB394" s="1200">
        <f t="shared" si="350"/>
        <v>152.89697925453953</v>
      </c>
      <c r="AC394" s="1200">
        <f t="shared" si="350"/>
        <v>168.1866771799935</v>
      </c>
      <c r="AD394" s="685"/>
      <c r="AE394" s="685"/>
      <c r="AF394" s="685"/>
      <c r="AG394" s="685"/>
      <c r="AH394" s="685"/>
      <c r="AI394" s="685"/>
      <c r="AJ394" s="685"/>
      <c r="AK394" s="685"/>
      <c r="AL394" s="685"/>
      <c r="AM394" s="685"/>
      <c r="AN394" s="685"/>
      <c r="AO394" s="685"/>
      <c r="AP394" s="685"/>
      <c r="AQ394" s="685"/>
      <c r="AR394" s="685"/>
      <c r="AS394" s="685"/>
      <c r="AT394" s="685"/>
      <c r="AU394" s="685"/>
      <c r="AV394" s="685"/>
      <c r="AW394" s="685"/>
      <c r="AX394" s="685"/>
      <c r="AY394" s="685"/>
    </row>
    <row r="395" spans="1:51">
      <c r="A395" s="685"/>
      <c r="B395" s="1189" t="s">
        <v>958</v>
      </c>
      <c r="C395" s="1189"/>
      <c r="D395" s="1189"/>
      <c r="E395" s="1189"/>
      <c r="F395" s="1189"/>
      <c r="G395" s="1189"/>
      <c r="H395" s="1290">
        <f>I395</f>
        <v>0.83798318232933966</v>
      </c>
      <c r="I395" s="1290">
        <f>J395</f>
        <v>0.83798318232933966</v>
      </c>
      <c r="J395" s="1290">
        <f>SOP!C$6</f>
        <v>0.83798318232933966</v>
      </c>
      <c r="K395" s="1191">
        <f>J395</f>
        <v>0.83798318232933966</v>
      </c>
      <c r="L395" s="1191">
        <f t="shared" ref="L395:AC395" si="351">K395</f>
        <v>0.83798318232933966</v>
      </c>
      <c r="M395" s="1191">
        <f t="shared" si="351"/>
        <v>0.83798318232933966</v>
      </c>
      <c r="N395" s="1191">
        <f t="shared" si="351"/>
        <v>0.83798318232933966</v>
      </c>
      <c r="O395" s="1191">
        <f t="shared" si="351"/>
        <v>0.83798318232933966</v>
      </c>
      <c r="P395" s="1191">
        <f t="shared" si="351"/>
        <v>0.83798318232933966</v>
      </c>
      <c r="Q395" s="1191">
        <f t="shared" si="351"/>
        <v>0.83798318232933966</v>
      </c>
      <c r="R395" s="1191">
        <f t="shared" si="351"/>
        <v>0.83798318232933966</v>
      </c>
      <c r="S395" s="1191">
        <f t="shared" si="351"/>
        <v>0.83798318232933966</v>
      </c>
      <c r="T395" s="1191">
        <f t="shared" si="351"/>
        <v>0.83798318232933966</v>
      </c>
      <c r="U395" s="1191">
        <f t="shared" si="351"/>
        <v>0.83798318232933966</v>
      </c>
      <c r="V395" s="1191">
        <f t="shared" si="351"/>
        <v>0.83798318232933966</v>
      </c>
      <c r="W395" s="1191">
        <f t="shared" si="351"/>
        <v>0.83798318232933966</v>
      </c>
      <c r="X395" s="1191">
        <f t="shared" si="351"/>
        <v>0.83798318232933966</v>
      </c>
      <c r="Y395" s="1191">
        <f t="shared" si="351"/>
        <v>0.83798318232933966</v>
      </c>
      <c r="Z395" s="1191">
        <f t="shared" si="351"/>
        <v>0.83798318232933966</v>
      </c>
      <c r="AA395" s="1191">
        <f t="shared" si="351"/>
        <v>0.83798318232933966</v>
      </c>
      <c r="AB395" s="1191">
        <f t="shared" si="351"/>
        <v>0.83798318232933966</v>
      </c>
      <c r="AC395" s="1191">
        <f t="shared" si="351"/>
        <v>0.83798318232933966</v>
      </c>
      <c r="AD395" s="685"/>
      <c r="AE395" s="685"/>
      <c r="AF395" s="685"/>
      <c r="AG395" s="685"/>
      <c r="AH395" s="685"/>
      <c r="AI395" s="685"/>
      <c r="AJ395" s="685"/>
      <c r="AK395" s="685"/>
      <c r="AL395" s="685"/>
      <c r="AM395" s="685"/>
      <c r="AN395" s="685"/>
      <c r="AO395" s="685"/>
      <c r="AP395" s="685"/>
      <c r="AQ395" s="685"/>
      <c r="AR395" s="685"/>
      <c r="AS395" s="685"/>
      <c r="AT395" s="685"/>
      <c r="AU395" s="685"/>
      <c r="AV395" s="685"/>
      <c r="AW395" s="685"/>
      <c r="AX395" s="685"/>
      <c r="AY395" s="685"/>
    </row>
    <row r="396" spans="1:51">
      <c r="A396" s="685"/>
      <c r="B396" s="1189"/>
      <c r="C396" s="1189"/>
      <c r="D396" s="1189"/>
      <c r="E396" s="1189"/>
      <c r="F396" s="1189"/>
      <c r="G396" s="1189"/>
      <c r="H396" s="1189"/>
      <c r="I396" s="1189"/>
      <c r="J396" s="1189"/>
      <c r="K396" s="1189"/>
      <c r="L396" s="1189"/>
      <c r="M396" s="1189"/>
      <c r="N396" s="1189"/>
      <c r="O396" s="1189"/>
      <c r="P396" s="1189"/>
      <c r="Q396" s="1189"/>
      <c r="R396" s="1189"/>
      <c r="S396" s="1189"/>
      <c r="T396" s="1189"/>
      <c r="U396" s="1189"/>
      <c r="V396" s="1189"/>
      <c r="W396" s="1189"/>
      <c r="X396" s="1189"/>
      <c r="Y396" s="1189"/>
      <c r="Z396" s="1189"/>
      <c r="AA396" s="1189"/>
      <c r="AB396" s="1189"/>
      <c r="AC396" s="1189"/>
      <c r="AD396" s="685"/>
      <c r="AE396" s="685"/>
      <c r="AF396" s="685"/>
      <c r="AG396" s="685"/>
      <c r="AH396" s="685"/>
      <c r="AI396" s="685"/>
      <c r="AJ396" s="685"/>
      <c r="AK396" s="685"/>
      <c r="AL396" s="685"/>
      <c r="AM396" s="685"/>
      <c r="AN396" s="685"/>
      <c r="AO396" s="685"/>
      <c r="AP396" s="685"/>
      <c r="AQ396" s="685"/>
      <c r="AR396" s="685"/>
      <c r="AS396" s="685"/>
      <c r="AT396" s="685"/>
      <c r="AU396" s="685"/>
      <c r="AV396" s="685"/>
      <c r="AW396" s="685"/>
      <c r="AX396" s="685"/>
      <c r="AY396" s="685"/>
    </row>
    <row r="397" spans="1:51">
      <c r="A397" s="685"/>
      <c r="B397" s="1189" t="s">
        <v>44</v>
      </c>
      <c r="C397" s="1189"/>
      <c r="D397" s="1189"/>
      <c r="E397" s="1189"/>
      <c r="F397" s="1189"/>
      <c r="G397" s="1189"/>
      <c r="H397" s="1189"/>
      <c r="I397" s="1189"/>
      <c r="J397" s="1197">
        <f t="shared" ref="J397:U397" si="352">J389-J391-J394</f>
        <v>1046.9287929191278</v>
      </c>
      <c r="K397" s="1197">
        <f t="shared" si="352"/>
        <v>1136.6435930592336</v>
      </c>
      <c r="L397" s="1197">
        <f t="shared" si="352"/>
        <v>1347.6932300607355</v>
      </c>
      <c r="M397" s="1197">
        <f t="shared" si="352"/>
        <v>1028.110261294104</v>
      </c>
      <c r="N397" s="1197">
        <f t="shared" si="352"/>
        <v>1502.5285659980557</v>
      </c>
      <c r="O397" s="1197">
        <f t="shared" si="352"/>
        <v>1806.7009077447706</v>
      </c>
      <c r="P397" s="1197">
        <f t="shared" si="352"/>
        <v>1553.6050966073019</v>
      </c>
      <c r="Q397" s="1197">
        <f t="shared" si="352"/>
        <v>1189.6937365747965</v>
      </c>
      <c r="R397" s="1197">
        <f t="shared" si="352"/>
        <v>798.32915153717636</v>
      </c>
      <c r="S397" s="1197">
        <f t="shared" si="352"/>
        <v>968.82410080319892</v>
      </c>
      <c r="T397" s="1197">
        <f t="shared" si="352"/>
        <v>1007.8109119438005</v>
      </c>
      <c r="U397" s="1197">
        <f t="shared" si="352"/>
        <v>354.30520175262751</v>
      </c>
      <c r="V397" s="1197">
        <f t="shared" ref="V397" si="353">V389-V391-V394</f>
        <v>-462.00635877316074</v>
      </c>
      <c r="W397" s="1267">
        <v>0</v>
      </c>
      <c r="X397" s="1197">
        <f t="shared" ref="X397:AC397" si="354">(1+X398)*W397</f>
        <v>0</v>
      </c>
      <c r="Y397" s="1197">
        <f t="shared" si="354"/>
        <v>0</v>
      </c>
      <c r="Z397" s="1197">
        <f t="shared" si="354"/>
        <v>0</v>
      </c>
      <c r="AA397" s="1197">
        <f t="shared" si="354"/>
        <v>0</v>
      </c>
      <c r="AB397" s="1197">
        <f t="shared" si="354"/>
        <v>0</v>
      </c>
      <c r="AC397" s="1197">
        <f t="shared" si="354"/>
        <v>0</v>
      </c>
      <c r="AD397" s="685"/>
      <c r="AE397" s="685"/>
      <c r="AF397" s="685"/>
      <c r="AG397" s="685"/>
      <c r="AH397" s="685"/>
      <c r="AI397" s="685"/>
      <c r="AJ397" s="685"/>
      <c r="AK397" s="685"/>
      <c r="AL397" s="685"/>
      <c r="AM397" s="685"/>
      <c r="AN397" s="685"/>
      <c r="AO397" s="685"/>
      <c r="AP397" s="685"/>
      <c r="AQ397" s="685"/>
      <c r="AR397" s="685"/>
      <c r="AS397" s="685"/>
      <c r="AT397" s="685"/>
      <c r="AU397" s="685"/>
      <c r="AV397" s="685"/>
      <c r="AW397" s="685"/>
      <c r="AX397" s="685"/>
      <c r="AY397" s="685"/>
    </row>
    <row r="398" spans="1:51">
      <c r="A398" s="685"/>
      <c r="B398" s="1189" t="s">
        <v>181</v>
      </c>
      <c r="C398" s="1189"/>
      <c r="D398" s="1189"/>
      <c r="E398" s="1189"/>
      <c r="F398" s="1189"/>
      <c r="G398" s="1189"/>
      <c r="H398" s="1189"/>
      <c r="I398" s="1189"/>
      <c r="J398" s="1189"/>
      <c r="K398" s="1189"/>
      <c r="L398" s="1189"/>
      <c r="M398" s="1191">
        <f t="shared" ref="M398:S398" si="355">M397/L397-1</f>
        <v>-0.23713331909534707</v>
      </c>
      <c r="N398" s="1191">
        <f t="shared" si="355"/>
        <v>0.46144691144974215</v>
      </c>
      <c r="O398" s="1191">
        <f t="shared" si="355"/>
        <v>0.20244030538259228</v>
      </c>
      <c r="P398" s="1191">
        <f t="shared" si="355"/>
        <v>-0.1400872773421018</v>
      </c>
      <c r="Q398" s="1191">
        <f t="shared" si="355"/>
        <v>-0.23423671873064777</v>
      </c>
      <c r="R398" s="1191">
        <f t="shared" si="355"/>
        <v>-0.32896246572196264</v>
      </c>
      <c r="S398" s="1191">
        <f t="shared" si="355"/>
        <v>0.21356472945743743</v>
      </c>
      <c r="T398" s="1191">
        <f>T397/S397-1</f>
        <v>4.0241372100755735E-2</v>
      </c>
      <c r="U398" s="1191">
        <f>U397/T397-1</f>
        <v>-0.64844079623104445</v>
      </c>
      <c r="V398" s="1191">
        <f>V397/U397-1</f>
        <v>-2.3039784809474213</v>
      </c>
      <c r="W398" s="1290">
        <v>0</v>
      </c>
      <c r="X398" s="1290">
        <v>0</v>
      </c>
      <c r="Y398" s="1290">
        <v>0</v>
      </c>
      <c r="Z398" s="1290">
        <v>0</v>
      </c>
      <c r="AA398" s="1290">
        <v>0</v>
      </c>
      <c r="AB398" s="1290">
        <v>0</v>
      </c>
      <c r="AC398" s="1290">
        <v>0</v>
      </c>
      <c r="AD398" s="685"/>
      <c r="AE398" s="685"/>
      <c r="AF398" s="685"/>
      <c r="AG398" s="685"/>
      <c r="AH398" s="685"/>
      <c r="AI398" s="685"/>
      <c r="AJ398" s="685"/>
      <c r="AK398" s="685"/>
      <c r="AL398" s="685"/>
      <c r="AM398" s="685"/>
      <c r="AN398" s="685"/>
      <c r="AO398" s="685"/>
      <c r="AP398" s="685"/>
      <c r="AQ398" s="685"/>
      <c r="AR398" s="685"/>
      <c r="AS398" s="685"/>
      <c r="AT398" s="685"/>
      <c r="AU398" s="685"/>
      <c r="AV398" s="685"/>
      <c r="AW398" s="685"/>
      <c r="AX398" s="685"/>
      <c r="AY398" s="685"/>
    </row>
    <row r="399" spans="1:51">
      <c r="A399" s="685"/>
      <c r="B399" s="1189"/>
      <c r="C399" s="1189"/>
      <c r="D399" s="1189"/>
      <c r="E399" s="1189"/>
      <c r="F399" s="1189"/>
      <c r="G399" s="1189"/>
      <c r="H399" s="1189"/>
      <c r="I399" s="1189"/>
      <c r="J399" s="1189"/>
      <c r="K399" s="1189"/>
      <c r="L399" s="1189"/>
      <c r="M399" s="1189"/>
      <c r="N399" s="1189"/>
      <c r="O399" s="1189"/>
      <c r="P399" s="1189"/>
      <c r="Q399" s="1189"/>
      <c r="R399" s="1189"/>
      <c r="S399" s="1189"/>
      <c r="T399" s="1189"/>
      <c r="U399" s="1189"/>
      <c r="V399" s="1189"/>
      <c r="W399" s="1189"/>
      <c r="X399" s="1189"/>
      <c r="Y399" s="1189"/>
      <c r="Z399" s="1189"/>
      <c r="AA399" s="1189"/>
      <c r="AB399" s="1189"/>
      <c r="AC399" s="1189"/>
      <c r="AD399" s="685"/>
      <c r="AE399" s="685"/>
      <c r="AF399" s="685"/>
      <c r="AG399" s="685"/>
      <c r="AH399" s="685"/>
      <c r="AI399" s="685"/>
      <c r="AJ399" s="685"/>
      <c r="AK399" s="685"/>
      <c r="AL399" s="685"/>
      <c r="AM399" s="685"/>
      <c r="AN399" s="685"/>
      <c r="AO399" s="685"/>
      <c r="AP399" s="685"/>
      <c r="AQ399" s="685"/>
      <c r="AR399" s="685"/>
      <c r="AS399" s="685"/>
      <c r="AT399" s="685"/>
      <c r="AU399" s="685"/>
      <c r="AV399" s="685"/>
      <c r="AW399" s="685"/>
      <c r="AX399" s="685"/>
      <c r="AY399" s="685"/>
    </row>
    <row r="400" spans="1:51">
      <c r="A400" s="685"/>
      <c r="B400" s="1189" t="s">
        <v>7484</v>
      </c>
      <c r="C400" s="1189"/>
      <c r="D400" s="1189"/>
      <c r="E400" s="1189"/>
      <c r="F400" s="1189"/>
      <c r="G400" s="1189"/>
      <c r="H400" s="1189"/>
      <c r="I400" s="1189"/>
      <c r="J400" s="1189"/>
      <c r="K400" s="1189"/>
      <c r="L400" s="1189"/>
      <c r="M400" s="1189"/>
      <c r="N400" s="1189"/>
      <c r="O400" s="1189"/>
      <c r="P400" s="1189"/>
      <c r="Q400" s="1189"/>
      <c r="R400" s="1189"/>
      <c r="S400" s="1260">
        <v>1420</v>
      </c>
      <c r="T400" s="1260">
        <v>329</v>
      </c>
      <c r="U400" s="1260">
        <v>0</v>
      </c>
      <c r="V400" s="1260">
        <v>0</v>
      </c>
      <c r="W400" s="1197">
        <f t="shared" ref="W400:AC400" si="356">W401*W387</f>
        <v>0</v>
      </c>
      <c r="X400" s="1197">
        <f t="shared" si="356"/>
        <v>52.215347057762266</v>
      </c>
      <c r="Y400" s="1197">
        <f t="shared" si="356"/>
        <v>57.436881763538494</v>
      </c>
      <c r="Z400" s="1197">
        <f t="shared" si="356"/>
        <v>63.180569939892351</v>
      </c>
      <c r="AA400" s="1197">
        <f t="shared" si="356"/>
        <v>69.498626933881596</v>
      </c>
      <c r="AB400" s="1197">
        <f t="shared" si="356"/>
        <v>76.448489627269765</v>
      </c>
      <c r="AC400" s="1197">
        <f t="shared" si="356"/>
        <v>84.093338589996748</v>
      </c>
      <c r="AD400" s="685"/>
      <c r="AE400" s="685"/>
      <c r="AF400" s="685"/>
      <c r="AG400" s="685"/>
      <c r="AH400" s="685"/>
      <c r="AI400" s="685"/>
      <c r="AJ400" s="685"/>
      <c r="AK400" s="685"/>
      <c r="AL400" s="685"/>
      <c r="AM400" s="685"/>
      <c r="AN400" s="685"/>
      <c r="AO400" s="685"/>
      <c r="AP400" s="685"/>
      <c r="AQ400" s="685"/>
      <c r="AR400" s="685"/>
      <c r="AS400" s="685"/>
      <c r="AT400" s="685"/>
      <c r="AU400" s="685"/>
      <c r="AV400" s="685"/>
      <c r="AW400" s="685"/>
      <c r="AX400" s="685"/>
      <c r="AY400" s="685"/>
    </row>
    <row r="401" spans="1:51">
      <c r="A401" s="685"/>
      <c r="B401" s="1189" t="s">
        <v>7485</v>
      </c>
      <c r="C401" s="1189"/>
      <c r="D401" s="1189"/>
      <c r="E401" s="1189"/>
      <c r="F401" s="1189"/>
      <c r="G401" s="1189"/>
      <c r="H401" s="1189"/>
      <c r="I401" s="1189"/>
      <c r="J401" s="1189"/>
      <c r="K401" s="1189"/>
      <c r="L401" s="1189"/>
      <c r="M401" s="1189"/>
      <c r="N401" s="1189"/>
      <c r="O401" s="1189"/>
      <c r="P401" s="1189"/>
      <c r="Q401" s="1189"/>
      <c r="R401" s="1189"/>
      <c r="S401" s="1191">
        <f>S400/S387</f>
        <v>0.90659516056949496</v>
      </c>
      <c r="T401" s="1191">
        <f>T400/T387</f>
        <v>0.27607619367290426</v>
      </c>
      <c r="U401" s="1191">
        <f>U400/U387</f>
        <v>0</v>
      </c>
      <c r="V401" s="1191">
        <f>V400/V387</f>
        <v>0</v>
      </c>
      <c r="W401" s="1291">
        <v>0</v>
      </c>
      <c r="X401" s="1291">
        <v>0.5</v>
      </c>
      <c r="Y401" s="1291">
        <v>0.5</v>
      </c>
      <c r="Z401" s="1291">
        <v>0.5</v>
      </c>
      <c r="AA401" s="1291">
        <v>0.5</v>
      </c>
      <c r="AB401" s="1291">
        <v>0.5</v>
      </c>
      <c r="AC401" s="1291">
        <v>0.5</v>
      </c>
      <c r="AD401" s="685"/>
      <c r="AE401" s="685"/>
      <c r="AF401" s="685"/>
      <c r="AG401" s="685"/>
      <c r="AH401" s="685"/>
      <c r="AI401" s="685"/>
      <c r="AJ401" s="685"/>
      <c r="AK401" s="685"/>
      <c r="AL401" s="685"/>
      <c r="AM401" s="685"/>
      <c r="AN401" s="685"/>
      <c r="AO401" s="685"/>
      <c r="AP401" s="685"/>
      <c r="AQ401" s="685"/>
      <c r="AR401" s="685"/>
      <c r="AS401" s="685"/>
      <c r="AT401" s="685"/>
      <c r="AU401" s="685"/>
      <c r="AV401" s="685"/>
      <c r="AW401" s="685"/>
      <c r="AX401" s="685"/>
      <c r="AY401" s="685"/>
    </row>
    <row r="402" spans="1:51">
      <c r="A402" s="685"/>
      <c r="B402" s="1189"/>
      <c r="C402" s="1189"/>
      <c r="D402" s="1189"/>
      <c r="E402" s="1189"/>
      <c r="F402" s="1189"/>
      <c r="G402" s="1189"/>
      <c r="H402" s="1189"/>
      <c r="I402" s="1189"/>
      <c r="J402" s="1189"/>
      <c r="K402" s="1189"/>
      <c r="L402" s="1189"/>
      <c r="M402" s="1189"/>
      <c r="N402" s="1189"/>
      <c r="O402" s="1189"/>
      <c r="P402" s="1189"/>
      <c r="Q402" s="1189"/>
      <c r="R402" s="1189"/>
      <c r="S402" s="1189"/>
      <c r="T402" s="1189"/>
      <c r="U402" s="1189"/>
      <c r="V402" s="1189"/>
      <c r="W402" s="1189"/>
      <c r="X402" s="1189"/>
      <c r="Y402" s="1189"/>
      <c r="Z402" s="1189"/>
      <c r="AA402" s="1189"/>
      <c r="AB402" s="1189"/>
      <c r="AC402" s="1189"/>
      <c r="AD402" s="685"/>
      <c r="AE402" s="685"/>
      <c r="AF402" s="685"/>
      <c r="AG402" s="685"/>
      <c r="AH402" s="685"/>
      <c r="AI402" s="685"/>
      <c r="AJ402" s="685"/>
      <c r="AK402" s="685"/>
      <c r="AL402" s="685"/>
      <c r="AM402" s="685"/>
      <c r="AN402" s="685"/>
      <c r="AO402" s="685"/>
      <c r="AP402" s="685"/>
      <c r="AQ402" s="685"/>
      <c r="AR402" s="685"/>
      <c r="AS402" s="685"/>
      <c r="AT402" s="685"/>
      <c r="AU402" s="685"/>
      <c r="AV402" s="685"/>
      <c r="AW402" s="685"/>
      <c r="AX402" s="685"/>
      <c r="AY402" s="685"/>
    </row>
    <row r="403" spans="1:51">
      <c r="A403" s="685"/>
      <c r="B403" s="1189" t="s">
        <v>7486</v>
      </c>
      <c r="C403" s="1259"/>
      <c r="D403" s="1260">
        <v>0</v>
      </c>
      <c r="E403" s="1260">
        <v>0</v>
      </c>
      <c r="F403" s="1260">
        <v>0</v>
      </c>
      <c r="G403" s="1260">
        <v>0</v>
      </c>
      <c r="H403" s="1260">
        <v>0</v>
      </c>
      <c r="I403" s="1260">
        <v>6793</v>
      </c>
      <c r="J403" s="1260">
        <v>7197</v>
      </c>
      <c r="K403" s="1260">
        <v>7891</v>
      </c>
      <c r="L403" s="1260">
        <v>10234</v>
      </c>
      <c r="M403" s="1260">
        <v>11110</v>
      </c>
      <c r="N403" s="1260">
        <v>12138.8</v>
      </c>
      <c r="O403" s="1260">
        <v>12589.5</v>
      </c>
      <c r="P403" s="1260">
        <v>13995</v>
      </c>
      <c r="Q403" s="1260">
        <v>15070</v>
      </c>
      <c r="R403" s="1260">
        <v>14874</v>
      </c>
      <c r="S403" s="1260">
        <v>14510.1</v>
      </c>
      <c r="T403" s="1260">
        <v>15299.2</v>
      </c>
      <c r="U403" s="1260">
        <v>15619.3</v>
      </c>
      <c r="V403" s="1260">
        <v>15400.9</v>
      </c>
      <c r="W403" s="1197">
        <f t="shared" ref="W403:AC403" si="357">V403+W387-W427-W400</f>
        <v>15495.836994650477</v>
      </c>
      <c r="X403" s="1197">
        <f t="shared" si="357"/>
        <v>15548.05234170824</v>
      </c>
      <c r="Y403" s="1197">
        <f t="shared" si="357"/>
        <v>15605.489223471779</v>
      </c>
      <c r="Z403" s="1197">
        <f t="shared" si="357"/>
        <v>15668.669793411671</v>
      </c>
      <c r="AA403" s="1197">
        <f t="shared" si="357"/>
        <v>15738.168420345552</v>
      </c>
      <c r="AB403" s="1197">
        <f t="shared" si="357"/>
        <v>15814.616909972821</v>
      </c>
      <c r="AC403" s="1197">
        <f t="shared" si="357"/>
        <v>15898.710248562818</v>
      </c>
      <c r="AD403" s="685"/>
      <c r="AE403" s="685"/>
      <c r="AF403" s="685"/>
      <c r="AG403" s="685"/>
      <c r="AH403" s="685"/>
      <c r="AI403" s="685"/>
      <c r="AJ403" s="685"/>
      <c r="AK403" s="685"/>
      <c r="AL403" s="685"/>
      <c r="AM403" s="685"/>
      <c r="AN403" s="685"/>
      <c r="AO403" s="685"/>
      <c r="AP403" s="685"/>
      <c r="AQ403" s="685"/>
      <c r="AR403" s="685"/>
      <c r="AS403" s="685"/>
      <c r="AT403" s="685"/>
      <c r="AU403" s="685"/>
      <c r="AV403" s="685"/>
      <c r="AW403" s="685"/>
      <c r="AX403" s="685"/>
      <c r="AY403" s="685"/>
    </row>
    <row r="404" spans="1:51">
      <c r="A404" s="685"/>
      <c r="B404" s="1189"/>
      <c r="C404" s="1189"/>
      <c r="D404" s="1189"/>
      <c r="E404" s="1189"/>
      <c r="F404" s="1189"/>
      <c r="G404" s="1189"/>
      <c r="H404" s="1189"/>
      <c r="I404" s="1189"/>
      <c r="J404" s="1189"/>
      <c r="K404" s="1189"/>
      <c r="L404" s="1189"/>
      <c r="M404" s="1189"/>
      <c r="N404" s="1189"/>
      <c r="O404" s="1189"/>
      <c r="P404" s="1189"/>
      <c r="Q404" s="1189"/>
      <c r="R404" s="1189"/>
      <c r="S404" s="1189"/>
      <c r="T404" s="1189"/>
      <c r="U404" s="1189"/>
      <c r="V404" s="1189"/>
      <c r="W404" s="1189"/>
      <c r="X404" s="1189"/>
      <c r="Y404" s="1189"/>
      <c r="Z404" s="1189"/>
      <c r="AA404" s="1189"/>
      <c r="AB404" s="1189"/>
      <c r="AC404" s="1189"/>
      <c r="AD404" s="685"/>
      <c r="AE404" s="685"/>
      <c r="AF404" s="685"/>
      <c r="AG404" s="685"/>
      <c r="AH404" s="685"/>
      <c r="AI404" s="685"/>
      <c r="AJ404" s="685"/>
      <c r="AK404" s="685"/>
      <c r="AL404" s="685"/>
      <c r="AM404" s="685"/>
      <c r="AN404" s="685"/>
      <c r="AO404" s="685"/>
      <c r="AP404" s="685"/>
      <c r="AQ404" s="685"/>
      <c r="AR404" s="685"/>
      <c r="AS404" s="685"/>
      <c r="AT404" s="685"/>
      <c r="AU404" s="685"/>
      <c r="AV404" s="685"/>
      <c r="AW404" s="685"/>
      <c r="AX404" s="685"/>
      <c r="AY404" s="685"/>
    </row>
    <row r="405" spans="1:51">
      <c r="A405" s="685"/>
      <c r="B405" s="1189"/>
      <c r="C405" s="1189"/>
      <c r="D405" s="1189"/>
      <c r="E405" s="1189"/>
      <c r="F405" s="1189"/>
      <c r="G405" s="1189"/>
      <c r="H405" s="1189"/>
      <c r="I405" s="1189"/>
      <c r="J405" s="1189"/>
      <c r="K405" s="1189"/>
      <c r="L405" s="1189"/>
      <c r="M405" s="1189"/>
      <c r="N405" s="1189"/>
      <c r="O405" s="1189"/>
      <c r="P405" s="1189"/>
      <c r="Q405" s="1189"/>
      <c r="R405" s="1189"/>
      <c r="S405" s="1189"/>
      <c r="T405" s="1189"/>
      <c r="U405" s="1189"/>
      <c r="V405" s="1189"/>
      <c r="W405" s="1189"/>
      <c r="X405" s="1189"/>
      <c r="Y405" s="1189"/>
      <c r="Z405" s="1189"/>
      <c r="AA405" s="1189"/>
      <c r="AB405" s="1189"/>
      <c r="AC405" s="1189"/>
      <c r="AD405" s="685"/>
      <c r="AE405" s="685"/>
      <c r="AF405" s="685"/>
      <c r="AG405" s="685"/>
      <c r="AH405" s="685"/>
      <c r="AI405" s="685"/>
      <c r="AJ405" s="685"/>
      <c r="AK405" s="685"/>
      <c r="AL405" s="685"/>
      <c r="AM405" s="685"/>
      <c r="AN405" s="685"/>
      <c r="AO405" s="685"/>
      <c r="AP405" s="685"/>
      <c r="AQ405" s="685"/>
      <c r="AR405" s="685"/>
      <c r="AS405" s="685"/>
      <c r="AT405" s="685"/>
      <c r="AU405" s="685"/>
      <c r="AV405" s="685"/>
      <c r="AW405" s="685"/>
      <c r="AX405" s="685"/>
      <c r="AY405" s="685"/>
    </row>
    <row r="406" spans="1:51">
      <c r="A406" s="685"/>
      <c r="B406" s="1189"/>
      <c r="C406" s="1189"/>
      <c r="D406" s="1189"/>
      <c r="E406" s="1189"/>
      <c r="F406" s="1189"/>
      <c r="G406" s="1189"/>
      <c r="H406" s="1189"/>
      <c r="I406" s="1189"/>
      <c r="J406" s="1189"/>
      <c r="K406" s="1189"/>
      <c r="L406" s="1189"/>
      <c r="M406" s="1189"/>
      <c r="N406" s="1189"/>
      <c r="O406" s="1189"/>
      <c r="P406" s="1189"/>
      <c r="Q406" s="1189"/>
      <c r="R406" s="1189"/>
      <c r="S406" s="1189"/>
      <c r="T406" s="1189"/>
      <c r="U406" s="1189"/>
      <c r="V406" s="1189"/>
      <c r="W406" s="1189"/>
      <c r="X406" s="1189"/>
      <c r="Y406" s="1189"/>
      <c r="Z406" s="1189"/>
      <c r="AA406" s="1189"/>
      <c r="AB406" s="1189"/>
      <c r="AC406" s="1189"/>
      <c r="AD406" s="685"/>
      <c r="AE406" s="685"/>
      <c r="AF406" s="685"/>
      <c r="AG406" s="685"/>
      <c r="AH406" s="685"/>
      <c r="AI406" s="685"/>
      <c r="AJ406" s="685"/>
      <c r="AK406" s="685"/>
      <c r="AL406" s="685"/>
      <c r="AM406" s="685"/>
      <c r="AN406" s="685"/>
      <c r="AO406" s="685"/>
      <c r="AP406" s="685"/>
      <c r="AQ406" s="685"/>
      <c r="AR406" s="685"/>
      <c r="AS406" s="685"/>
      <c r="AT406" s="685"/>
      <c r="AU406" s="685"/>
      <c r="AV406" s="685"/>
      <c r="AW406" s="685"/>
      <c r="AX406" s="685"/>
      <c r="AY406" s="685"/>
    </row>
    <row r="407" spans="1:51">
      <c r="A407" s="685"/>
      <c r="B407" s="1186" t="s">
        <v>221</v>
      </c>
      <c r="C407" s="1186">
        <v>2004</v>
      </c>
      <c r="D407" s="1186">
        <f>C407+1</f>
        <v>2005</v>
      </c>
      <c r="E407" s="1186">
        <f t="shared" ref="E407:AC407" si="358">D407+1</f>
        <v>2006</v>
      </c>
      <c r="F407" s="1186">
        <f t="shared" si="358"/>
        <v>2007</v>
      </c>
      <c r="G407" s="1186">
        <f t="shared" si="358"/>
        <v>2008</v>
      </c>
      <c r="H407" s="1186">
        <f t="shared" si="358"/>
        <v>2009</v>
      </c>
      <c r="I407" s="1186">
        <f t="shared" si="358"/>
        <v>2010</v>
      </c>
      <c r="J407" s="1186">
        <f t="shared" si="358"/>
        <v>2011</v>
      </c>
      <c r="K407" s="1186">
        <f t="shared" si="358"/>
        <v>2012</v>
      </c>
      <c r="L407" s="1186">
        <f t="shared" si="358"/>
        <v>2013</v>
      </c>
      <c r="M407" s="1186">
        <f t="shared" si="358"/>
        <v>2014</v>
      </c>
      <c r="N407" s="1186">
        <f t="shared" si="358"/>
        <v>2015</v>
      </c>
      <c r="O407" s="1186">
        <f t="shared" si="358"/>
        <v>2016</v>
      </c>
      <c r="P407" s="1186">
        <f t="shared" si="358"/>
        <v>2017</v>
      </c>
      <c r="Q407" s="1186">
        <f t="shared" si="358"/>
        <v>2018</v>
      </c>
      <c r="R407" s="1186">
        <f t="shared" si="358"/>
        <v>2019</v>
      </c>
      <c r="S407" s="1186">
        <f t="shared" si="358"/>
        <v>2020</v>
      </c>
      <c r="T407" s="1186">
        <f t="shared" si="358"/>
        <v>2021</v>
      </c>
      <c r="U407" s="1186">
        <f t="shared" si="358"/>
        <v>2022</v>
      </c>
      <c r="V407" s="1186">
        <f t="shared" si="358"/>
        <v>2023</v>
      </c>
      <c r="W407" s="1186">
        <f t="shared" si="358"/>
        <v>2024</v>
      </c>
      <c r="X407" s="1186">
        <f t="shared" si="358"/>
        <v>2025</v>
      </c>
      <c r="Y407" s="1186">
        <f t="shared" si="358"/>
        <v>2026</v>
      </c>
      <c r="Z407" s="1186">
        <f t="shared" si="358"/>
        <v>2027</v>
      </c>
      <c r="AA407" s="1186">
        <f t="shared" si="358"/>
        <v>2028</v>
      </c>
      <c r="AB407" s="1186">
        <f t="shared" si="358"/>
        <v>2029</v>
      </c>
      <c r="AC407" s="1186">
        <f t="shared" si="358"/>
        <v>2030</v>
      </c>
      <c r="AD407" s="685"/>
      <c r="AE407" s="685"/>
      <c r="AF407" s="685"/>
      <c r="AG407" s="685"/>
      <c r="AH407" s="685"/>
      <c r="AI407" s="685"/>
      <c r="AJ407" s="685"/>
      <c r="AK407" s="685"/>
      <c r="AL407" s="685"/>
      <c r="AM407" s="685"/>
      <c r="AN407" s="685"/>
      <c r="AO407" s="685"/>
      <c r="AP407" s="685"/>
      <c r="AQ407" s="685"/>
      <c r="AR407" s="685"/>
      <c r="AS407" s="685"/>
      <c r="AT407" s="685"/>
      <c r="AU407" s="685"/>
      <c r="AV407" s="685"/>
      <c r="AW407" s="685"/>
      <c r="AX407" s="685"/>
      <c r="AY407" s="685"/>
    </row>
    <row r="408" spans="1:51">
      <c r="A408" s="685"/>
      <c r="B408" s="1189" t="s">
        <v>221</v>
      </c>
      <c r="C408" s="1259"/>
      <c r="D408" s="1260"/>
      <c r="E408" s="1260"/>
      <c r="F408" s="1260"/>
      <c r="G408" s="1260"/>
      <c r="H408" s="1260"/>
      <c r="I408" s="1260">
        <v>45064</v>
      </c>
      <c r="J408" s="1260">
        <v>51660</v>
      </c>
      <c r="K408" s="1260">
        <v>60644</v>
      </c>
      <c r="L408" s="1260">
        <v>68675</v>
      </c>
      <c r="M408" s="1260">
        <v>76805</v>
      </c>
      <c r="N408" s="1260">
        <v>87382.5</v>
      </c>
      <c r="O408" s="1260">
        <v>82204.2</v>
      </c>
      <c r="P408" s="1260">
        <v>85662</v>
      </c>
      <c r="Q408" s="1260">
        <v>89710</v>
      </c>
      <c r="R408" s="1260">
        <v>90627</v>
      </c>
      <c r="S408" s="1260">
        <v>73801</v>
      </c>
      <c r="T408" s="1260">
        <v>80487.5</v>
      </c>
      <c r="U408" s="1260">
        <v>126772.4</v>
      </c>
      <c r="V408" s="1260">
        <v>117625.9</v>
      </c>
      <c r="W408" s="1197">
        <f t="shared" ref="W408:AC408" ca="1" si="359">V408+W409-W410+W413+W173</f>
        <v>118268.55445442518</v>
      </c>
      <c r="X408" s="1197">
        <f t="shared" ca="1" si="359"/>
        <v>116710.2620359914</v>
      </c>
      <c r="Y408" s="1197">
        <f t="shared" ca="1" si="359"/>
        <v>117176.81292483107</v>
      </c>
      <c r="Z408" s="1197">
        <f t="shared" ca="1" si="359"/>
        <v>119793.52134385171</v>
      </c>
      <c r="AA408" s="1197">
        <f t="shared" ca="1" si="359"/>
        <v>124483.29454050999</v>
      </c>
      <c r="AB408" s="1197">
        <f t="shared" ca="1" si="359"/>
        <v>130498.3051863166</v>
      </c>
      <c r="AC408" s="1197">
        <f t="shared" ca="1" si="359"/>
        <v>137912.36220174801</v>
      </c>
      <c r="AD408" s="685"/>
      <c r="AE408" s="685"/>
      <c r="AF408" s="685"/>
      <c r="AG408" s="685"/>
      <c r="AH408" s="685"/>
      <c r="AI408" s="685"/>
      <c r="AJ408" s="685"/>
      <c r="AK408" s="685"/>
      <c r="AL408" s="685"/>
      <c r="AM408" s="685"/>
      <c r="AN408" s="685"/>
      <c r="AO408" s="685"/>
      <c r="AP408" s="685"/>
      <c r="AQ408" s="685"/>
      <c r="AR408" s="685"/>
      <c r="AS408" s="685"/>
      <c r="AT408" s="685"/>
      <c r="AU408" s="685"/>
      <c r="AV408" s="685"/>
      <c r="AW408" s="685"/>
      <c r="AX408" s="685"/>
      <c r="AY408" s="685"/>
    </row>
    <row r="409" spans="1:51">
      <c r="A409" s="685"/>
      <c r="B409" s="1189" t="s">
        <v>194</v>
      </c>
      <c r="C409" s="1197"/>
      <c r="D409" s="1197">
        <f t="shared" ref="D409:AC409" si="360">D30</f>
        <v>0</v>
      </c>
      <c r="E409" s="1197">
        <f t="shared" si="360"/>
        <v>0</v>
      </c>
      <c r="F409" s="1197">
        <f t="shared" si="360"/>
        <v>0</v>
      </c>
      <c r="G409" s="1197">
        <f t="shared" si="360"/>
        <v>0</v>
      </c>
      <c r="H409" s="1197">
        <f t="shared" si="360"/>
        <v>6007</v>
      </c>
      <c r="I409" s="1197">
        <f t="shared" si="360"/>
        <v>7090</v>
      </c>
      <c r="J409" s="1197">
        <f t="shared" si="360"/>
        <v>6866.2000000000007</v>
      </c>
      <c r="K409" s="1197">
        <f t="shared" si="360"/>
        <v>8761.1000000000022</v>
      </c>
      <c r="L409" s="1197">
        <f t="shared" si="360"/>
        <v>7748.8999999999978</v>
      </c>
      <c r="M409" s="1197">
        <f t="shared" si="360"/>
        <v>5384.6000000000022</v>
      </c>
      <c r="N409" s="1197">
        <f t="shared" si="360"/>
        <v>12724.299999999996</v>
      </c>
      <c r="O409" s="1197">
        <f t="shared" si="360"/>
        <v>3721.1999999999944</v>
      </c>
      <c r="P409" s="1197">
        <f t="shared" si="360"/>
        <v>4525.0000000000018</v>
      </c>
      <c r="Q409" s="1197">
        <f t="shared" si="360"/>
        <v>2494.7999999999993</v>
      </c>
      <c r="R409" s="1197">
        <f t="shared" si="360"/>
        <v>4723.199999999998</v>
      </c>
      <c r="S409" s="1197">
        <f t="shared" si="360"/>
        <v>-375.20000000000505</v>
      </c>
      <c r="T409" s="1197">
        <f t="shared" si="360"/>
        <v>5138.4999999999955</v>
      </c>
      <c r="U409" s="1197">
        <f t="shared" si="360"/>
        <v>-12751.070000000003</v>
      </c>
      <c r="V409" s="1197">
        <f t="shared" si="360"/>
        <v>-10235.899999999998</v>
      </c>
      <c r="W409" s="1197">
        <f t="shared" ca="1" si="360"/>
        <v>641.95059122519751</v>
      </c>
      <c r="X409" s="1197">
        <f t="shared" ca="1" si="360"/>
        <v>-1434.325681993676</v>
      </c>
      <c r="Y409" s="1197">
        <f t="shared" ca="1" si="360"/>
        <v>-307.91427424898563</v>
      </c>
      <c r="Z409" s="1197">
        <f t="shared" ca="1" si="360"/>
        <v>595.25543851779094</v>
      </c>
      <c r="AA409" s="1197">
        <f t="shared" ca="1" si="360"/>
        <v>1563.5609393305995</v>
      </c>
      <c r="AB409" s="1197">
        <f t="shared" ca="1" si="360"/>
        <v>2514.4714502360389</v>
      </c>
      <c r="AC409" s="1197">
        <f t="shared" ca="1" si="360"/>
        <v>3520.0884723049053</v>
      </c>
      <c r="AD409" s="685"/>
      <c r="AE409" s="685"/>
      <c r="AF409" s="685"/>
      <c r="AG409" s="685"/>
      <c r="AH409" s="685"/>
      <c r="AI409" s="685"/>
      <c r="AJ409" s="685"/>
      <c r="AK409" s="685"/>
      <c r="AL409" s="685"/>
      <c r="AM409" s="685"/>
      <c r="AN409" s="685"/>
      <c r="AO409" s="685"/>
      <c r="AP409" s="685"/>
      <c r="AQ409" s="685"/>
      <c r="AR409" s="685"/>
      <c r="AS409" s="685"/>
      <c r="AT409" s="685"/>
      <c r="AU409" s="685"/>
      <c r="AV409" s="685"/>
      <c r="AW409" s="685"/>
      <c r="AX409" s="685"/>
      <c r="AY409" s="685"/>
    </row>
    <row r="410" spans="1:51">
      <c r="A410" s="685"/>
      <c r="B410" s="1189" t="s">
        <v>7483</v>
      </c>
      <c r="C410" s="1189"/>
      <c r="D410" s="1189"/>
      <c r="E410" s="1189"/>
      <c r="F410" s="1189"/>
      <c r="G410" s="1189"/>
      <c r="H410" s="1267">
        <v>76.3</v>
      </c>
      <c r="I410" s="1267">
        <v>243.55799999999999</v>
      </c>
      <c r="J410" s="1267">
        <v>2649</v>
      </c>
      <c r="K410" s="1197" t="e">
        <f>#REF!+#REF!</f>
        <v>#REF!</v>
      </c>
      <c r="L410" s="1197" t="e">
        <f>#REF!+#REF!</f>
        <v>#REF!</v>
      </c>
      <c r="M410" s="1197" t="e">
        <f>#REF!+#REF!</f>
        <v>#REF!</v>
      </c>
      <c r="N410" s="1197" t="e">
        <f>#REF!+#REF!</f>
        <v>#REF!</v>
      </c>
      <c r="O410" s="1267">
        <v>547.61800000000005</v>
      </c>
      <c r="P410" s="1267">
        <v>488.96100000000001</v>
      </c>
      <c r="Q410" s="1267">
        <v>1270.7</v>
      </c>
      <c r="R410" s="1267">
        <v>1294</v>
      </c>
      <c r="S410" s="1267">
        <v>0</v>
      </c>
      <c r="T410" s="1267">
        <f>1053.392</f>
        <v>1053.3920000000001</v>
      </c>
      <c r="U410" s="1267">
        <f>1053.392</f>
        <v>1053.3920000000001</v>
      </c>
      <c r="V410" s="1267">
        <v>1027.354</v>
      </c>
      <c r="W410" s="1197">
        <f t="shared" ref="W410:AC410" si="361">V520</f>
        <v>1027.354</v>
      </c>
      <c r="X410" s="1197">
        <f t="shared" si="361"/>
        <v>1078.0036153101805</v>
      </c>
      <c r="Y410" s="1197">
        <f t="shared" si="361"/>
        <v>1078.0036153101805</v>
      </c>
      <c r="Z410" s="1197">
        <f t="shared" si="361"/>
        <v>1078.0036153101805</v>
      </c>
      <c r="AA410" s="1197">
        <f t="shared" si="361"/>
        <v>1078.0036153101805</v>
      </c>
      <c r="AB410" s="1197">
        <f t="shared" si="361"/>
        <v>1078.0036153101805</v>
      </c>
      <c r="AC410" s="1197">
        <f t="shared" si="361"/>
        <v>1078.0036153101805</v>
      </c>
      <c r="AD410" s="685"/>
      <c r="AE410" s="685"/>
      <c r="AF410" s="685"/>
      <c r="AG410" s="685"/>
      <c r="AH410" s="685"/>
      <c r="AI410" s="685"/>
      <c r="AJ410" s="685"/>
      <c r="AK410" s="685"/>
      <c r="AL410" s="685"/>
      <c r="AM410" s="685"/>
      <c r="AN410" s="685"/>
      <c r="AO410" s="685"/>
      <c r="AP410" s="685"/>
      <c r="AQ410" s="685"/>
      <c r="AR410" s="685"/>
      <c r="AS410" s="685"/>
      <c r="AT410" s="685"/>
      <c r="AU410" s="685"/>
      <c r="AV410" s="685"/>
      <c r="AW410" s="685"/>
      <c r="AX410" s="685"/>
      <c r="AY410" s="685"/>
    </row>
    <row r="411" spans="1:51">
      <c r="A411" s="685"/>
      <c r="B411" s="1189"/>
      <c r="C411" s="1197"/>
      <c r="D411" s="1197"/>
      <c r="E411" s="1197"/>
      <c r="F411" s="1197"/>
      <c r="G411" s="1197"/>
      <c r="H411" s="1197"/>
      <c r="I411" s="1197"/>
      <c r="J411" s="1197"/>
      <c r="K411" s="1197"/>
      <c r="L411" s="1197"/>
      <c r="M411" s="1197"/>
      <c r="N411" s="1197"/>
      <c r="O411" s="1197"/>
      <c r="P411" s="1197"/>
      <c r="Q411" s="1197"/>
      <c r="R411" s="1197"/>
      <c r="S411" s="1197"/>
      <c r="T411" s="1197"/>
      <c r="U411" s="1197"/>
      <c r="V411" s="1197"/>
      <c r="W411" s="1197"/>
      <c r="X411" s="1197"/>
      <c r="Y411" s="1197"/>
      <c r="Z411" s="1197"/>
      <c r="AA411" s="1197"/>
      <c r="AB411" s="1197"/>
      <c r="AC411" s="1197"/>
      <c r="AD411" s="685"/>
      <c r="AE411" s="685"/>
      <c r="AF411" s="685"/>
      <c r="AG411" s="685"/>
      <c r="AH411" s="685"/>
      <c r="AI411" s="685"/>
      <c r="AJ411" s="685"/>
      <c r="AK411" s="685"/>
      <c r="AL411" s="685"/>
      <c r="AM411" s="685"/>
      <c r="AN411" s="685"/>
      <c r="AO411" s="685"/>
      <c r="AP411" s="685"/>
      <c r="AQ411" s="685"/>
      <c r="AR411" s="685"/>
      <c r="AS411" s="685"/>
      <c r="AT411" s="685"/>
      <c r="AU411" s="685"/>
      <c r="AV411" s="685"/>
      <c r="AW411" s="685"/>
      <c r="AX411" s="685"/>
      <c r="AY411" s="685"/>
    </row>
    <row r="412" spans="1:51">
      <c r="A412" s="685"/>
      <c r="B412" s="1189" t="s">
        <v>5071</v>
      </c>
      <c r="C412" s="1197"/>
      <c r="D412" s="1197"/>
      <c r="E412" s="1197"/>
      <c r="F412" s="1197"/>
      <c r="G412" s="1197"/>
      <c r="H412" s="1197"/>
      <c r="I412" s="1197"/>
      <c r="J412" s="1197"/>
      <c r="K412" s="1197"/>
      <c r="L412" s="1197"/>
      <c r="M412" s="1197"/>
      <c r="N412" s="1197"/>
      <c r="O412" s="1197"/>
      <c r="P412" s="1197"/>
      <c r="Q412" s="1197"/>
      <c r="R412" s="1199">
        <v>40</v>
      </c>
      <c r="S412" s="1199">
        <v>42</v>
      </c>
      <c r="T412" s="1200">
        <f t="shared" ref="T412:AC412" si="362">S412*1.07</f>
        <v>44.940000000000005</v>
      </c>
      <c r="U412" s="1200">
        <f t="shared" si="362"/>
        <v>48.085800000000006</v>
      </c>
      <c r="V412" s="1200">
        <f t="shared" si="362"/>
        <v>51.451806000000012</v>
      </c>
      <c r="W412" s="1200">
        <f t="shared" si="362"/>
        <v>55.053432420000014</v>
      </c>
      <c r="X412" s="1200">
        <f t="shared" si="362"/>
        <v>58.907172689400021</v>
      </c>
      <c r="Y412" s="1200">
        <f t="shared" si="362"/>
        <v>63.030674777658028</v>
      </c>
      <c r="Z412" s="1200">
        <f t="shared" si="362"/>
        <v>67.442822012094098</v>
      </c>
      <c r="AA412" s="1200">
        <f t="shared" si="362"/>
        <v>72.163819552940694</v>
      </c>
      <c r="AB412" s="1200">
        <f t="shared" si="362"/>
        <v>77.215286921646552</v>
      </c>
      <c r="AC412" s="1200">
        <f t="shared" si="362"/>
        <v>82.620357006161811</v>
      </c>
      <c r="AD412" s="685"/>
      <c r="AE412" s="685"/>
      <c r="AF412" s="685"/>
      <c r="AG412" s="685"/>
      <c r="AH412" s="685"/>
      <c r="AI412" s="685"/>
      <c r="AJ412" s="685"/>
      <c r="AK412" s="685"/>
      <c r="AL412" s="685"/>
      <c r="AM412" s="685"/>
      <c r="AN412" s="685"/>
      <c r="AO412" s="685"/>
      <c r="AP412" s="685"/>
      <c r="AQ412" s="685"/>
      <c r="AR412" s="685"/>
      <c r="AS412" s="685"/>
      <c r="AT412" s="685"/>
      <c r="AU412" s="685"/>
      <c r="AV412" s="685"/>
      <c r="AW412" s="685"/>
      <c r="AX412" s="685"/>
      <c r="AY412" s="685"/>
    </row>
    <row r="413" spans="1:51">
      <c r="A413" s="685"/>
      <c r="B413" s="1189" t="s">
        <v>315</v>
      </c>
      <c r="C413" s="1197"/>
      <c r="D413" s="1199">
        <v>0</v>
      </c>
      <c r="E413" s="1199">
        <v>0</v>
      </c>
      <c r="F413" s="1199">
        <v>0</v>
      </c>
      <c r="G413" s="1199">
        <v>0</v>
      </c>
      <c r="H413" s="1199">
        <v>705.1</v>
      </c>
      <c r="I413" s="1199">
        <v>1274</v>
      </c>
      <c r="J413" s="1199">
        <v>0</v>
      </c>
      <c r="K413" s="1199">
        <v>0</v>
      </c>
      <c r="L413" s="1199">
        <v>0</v>
      </c>
      <c r="M413" s="1199">
        <v>0</v>
      </c>
      <c r="N413" s="1199">
        <v>0</v>
      </c>
      <c r="O413" s="1199">
        <v>0</v>
      </c>
      <c r="P413" s="1199">
        <v>0</v>
      </c>
      <c r="Q413" s="1199"/>
      <c r="R413" s="1197">
        <f t="shared" ref="R413:S413" si="363">(R471+R478+R457+R464)*R412/117</f>
        <v>-1367.5213675213674</v>
      </c>
      <c r="S413" s="1197">
        <f t="shared" si="363"/>
        <v>394.87179487179486</v>
      </c>
      <c r="T413" s="1199">
        <v>-1278</v>
      </c>
      <c r="U413" s="1199">
        <v>-629</v>
      </c>
      <c r="V413" s="1199">
        <v>-1197.0820000000001</v>
      </c>
      <c r="W413" s="1200">
        <v>0</v>
      </c>
      <c r="X413" s="1200">
        <v>-500</v>
      </c>
      <c r="Y413" s="1200">
        <v>-500</v>
      </c>
      <c r="Z413" s="1200">
        <v>-500</v>
      </c>
      <c r="AA413" s="1200">
        <v>-500</v>
      </c>
      <c r="AB413" s="1200">
        <v>-500</v>
      </c>
      <c r="AC413" s="1200">
        <v>-500</v>
      </c>
      <c r="AD413" s="685"/>
      <c r="AE413" s="685"/>
      <c r="AF413" s="685"/>
      <c r="AG413" s="685"/>
      <c r="AH413" s="685"/>
      <c r="AI413" s="685"/>
      <c r="AJ413" s="685"/>
      <c r="AK413" s="685"/>
      <c r="AL413" s="685"/>
      <c r="AM413" s="685"/>
      <c r="AN413" s="685"/>
      <c r="AO413" s="685"/>
      <c r="AP413" s="685"/>
      <c r="AQ413" s="685"/>
      <c r="AR413" s="685"/>
      <c r="AS413" s="685"/>
      <c r="AT413" s="685"/>
      <c r="AU413" s="685"/>
      <c r="AV413" s="685"/>
      <c r="AW413" s="685"/>
      <c r="AX413" s="685"/>
      <c r="AY413" s="685"/>
    </row>
    <row r="414" spans="1:51">
      <c r="A414" s="685"/>
      <c r="B414" s="1189" t="s">
        <v>44</v>
      </c>
      <c r="C414" s="1197"/>
      <c r="D414" s="1197"/>
      <c r="E414" s="1197"/>
      <c r="F414" s="1197"/>
      <c r="G414" s="1197"/>
      <c r="H414" s="1189"/>
      <c r="I414" s="1189"/>
      <c r="J414" s="1189"/>
      <c r="K414" s="1189"/>
      <c r="L414" s="1189"/>
      <c r="M414" s="1189"/>
      <c r="N414" s="1189"/>
      <c r="O414" s="1189"/>
      <c r="P414" s="1189"/>
      <c r="Q414" s="1189"/>
      <c r="R414" s="1198"/>
      <c r="S414" s="1189"/>
      <c r="T414" s="1189"/>
      <c r="U414" s="1189"/>
      <c r="V414" s="1189"/>
      <c r="W414" s="1189"/>
      <c r="X414" s="1189"/>
      <c r="Y414" s="1189"/>
      <c r="Z414" s="1189"/>
      <c r="AA414" s="1189"/>
      <c r="AB414" s="1189"/>
      <c r="AC414" s="1189"/>
      <c r="AD414" s="685"/>
      <c r="AE414" s="685"/>
      <c r="AF414" s="685"/>
      <c r="AG414" s="685"/>
      <c r="AH414" s="685"/>
      <c r="AI414" s="685"/>
      <c r="AJ414" s="685"/>
      <c r="AK414" s="685"/>
      <c r="AL414" s="685"/>
      <c r="AM414" s="685"/>
      <c r="AN414" s="685"/>
      <c r="AO414" s="685"/>
      <c r="AP414" s="685"/>
      <c r="AQ414" s="685"/>
      <c r="AR414" s="685"/>
      <c r="AS414" s="685"/>
      <c r="AT414" s="685"/>
      <c r="AU414" s="685"/>
      <c r="AV414" s="685"/>
      <c r="AW414" s="685"/>
      <c r="AX414" s="685"/>
      <c r="AY414" s="685"/>
    </row>
    <row r="415" spans="1:51">
      <c r="A415" s="685"/>
      <c r="B415" s="1189"/>
      <c r="C415" s="1197"/>
      <c r="D415" s="1197"/>
      <c r="E415" s="1197"/>
      <c r="F415" s="1197"/>
      <c r="G415" s="1197"/>
      <c r="H415" s="1189"/>
      <c r="I415" s="1189"/>
      <c r="J415" s="1189"/>
      <c r="K415" s="1189"/>
      <c r="L415" s="1189"/>
      <c r="M415" s="1189"/>
      <c r="N415" s="1189"/>
      <c r="O415" s="1189"/>
      <c r="P415" s="1189"/>
      <c r="Q415" s="1189"/>
      <c r="R415" s="1189"/>
      <c r="S415" s="1189"/>
      <c r="T415" s="1189"/>
      <c r="U415" s="1189"/>
      <c r="V415" s="1189"/>
      <c r="W415" s="1189"/>
      <c r="X415" s="1189"/>
      <c r="Y415" s="1189"/>
      <c r="Z415" s="1189"/>
      <c r="AA415" s="1189"/>
      <c r="AB415" s="1189"/>
      <c r="AC415" s="1189"/>
      <c r="AD415" s="685"/>
      <c r="AE415" s="685"/>
      <c r="AF415" s="685"/>
      <c r="AG415" s="685"/>
      <c r="AH415" s="685"/>
      <c r="AI415" s="685"/>
      <c r="AJ415" s="685"/>
      <c r="AK415" s="685"/>
      <c r="AL415" s="685"/>
      <c r="AM415" s="685"/>
      <c r="AN415" s="685"/>
      <c r="AO415" s="685"/>
      <c r="AP415" s="685"/>
      <c r="AQ415" s="685"/>
      <c r="AR415" s="685"/>
      <c r="AS415" s="685"/>
      <c r="AT415" s="685"/>
      <c r="AU415" s="685"/>
      <c r="AV415" s="685"/>
      <c r="AW415" s="685"/>
      <c r="AX415" s="685"/>
      <c r="AY415" s="685"/>
    </row>
    <row r="416" spans="1:51">
      <c r="A416" s="685"/>
      <c r="B416" s="1189"/>
      <c r="C416" s="1197"/>
      <c r="D416" s="1197"/>
      <c r="E416" s="1197"/>
      <c r="F416" s="1197"/>
      <c r="G416" s="1197"/>
      <c r="H416" s="1189"/>
      <c r="I416" s="1189"/>
      <c r="J416" s="1189"/>
      <c r="K416" s="1189"/>
      <c r="L416" s="1189"/>
      <c r="M416" s="1189"/>
      <c r="N416" s="1189"/>
      <c r="O416" s="1189"/>
      <c r="P416" s="1189"/>
      <c r="Q416" s="1189"/>
      <c r="R416" s="1189"/>
      <c r="S416" s="1189"/>
      <c r="T416" s="1189"/>
      <c r="U416" s="1189"/>
      <c r="V416" s="1189"/>
      <c r="W416" s="1189"/>
      <c r="X416" s="1189"/>
      <c r="Y416" s="1189"/>
      <c r="Z416" s="1189"/>
      <c r="AA416" s="1189"/>
      <c r="AB416" s="1189"/>
      <c r="AC416" s="1189"/>
      <c r="AD416" s="685"/>
      <c r="AE416" s="685"/>
      <c r="AF416" s="685"/>
      <c r="AG416" s="685"/>
      <c r="AH416" s="685"/>
      <c r="AI416" s="685"/>
      <c r="AJ416" s="685"/>
      <c r="AK416" s="685"/>
      <c r="AL416" s="685"/>
      <c r="AM416" s="685"/>
      <c r="AN416" s="685"/>
      <c r="AO416" s="685"/>
      <c r="AP416" s="685"/>
      <c r="AQ416" s="685"/>
      <c r="AR416" s="685"/>
      <c r="AS416" s="685"/>
      <c r="AT416" s="685"/>
      <c r="AU416" s="685"/>
      <c r="AV416" s="685"/>
      <c r="AW416" s="685"/>
      <c r="AX416" s="685"/>
      <c r="AY416" s="685"/>
    </row>
    <row r="417" spans="1:51">
      <c r="A417" s="685"/>
      <c r="B417" s="1189"/>
      <c r="C417" s="1197"/>
      <c r="D417" s="1197"/>
      <c r="E417" s="1197"/>
      <c r="F417" s="1197"/>
      <c r="G417" s="1197"/>
      <c r="H417" s="1189"/>
      <c r="I417" s="1189"/>
      <c r="J417" s="1189"/>
      <c r="K417" s="1189"/>
      <c r="L417" s="1189"/>
      <c r="M417" s="1189"/>
      <c r="N417" s="1189"/>
      <c r="O417" s="1189"/>
      <c r="P417" s="1189"/>
      <c r="Q417" s="1189"/>
      <c r="R417" s="1189"/>
      <c r="S417" s="1189"/>
      <c r="T417" s="1189"/>
      <c r="U417" s="1189"/>
      <c r="V417" s="1189"/>
      <c r="W417" s="1189"/>
      <c r="X417" s="1189"/>
      <c r="Y417" s="1189"/>
      <c r="Z417" s="1189"/>
      <c r="AA417" s="1189"/>
      <c r="AB417" s="1189"/>
      <c r="AC417" s="1189"/>
      <c r="AD417" s="685"/>
      <c r="AE417" s="685"/>
      <c r="AF417" s="685"/>
      <c r="AG417" s="685"/>
      <c r="AH417" s="685"/>
      <c r="AI417" s="685"/>
      <c r="AJ417" s="685"/>
      <c r="AK417" s="685"/>
      <c r="AL417" s="685"/>
      <c r="AM417" s="685"/>
      <c r="AN417" s="685"/>
      <c r="AO417" s="685"/>
      <c r="AP417" s="685"/>
      <c r="AQ417" s="685"/>
      <c r="AR417" s="685"/>
      <c r="AS417" s="685"/>
      <c r="AT417" s="685"/>
      <c r="AU417" s="685"/>
      <c r="AV417" s="685"/>
      <c r="AW417" s="685"/>
      <c r="AX417" s="685"/>
      <c r="AY417" s="685"/>
    </row>
    <row r="418" spans="1:51">
      <c r="A418" s="685"/>
      <c r="B418" s="1186" t="s">
        <v>201</v>
      </c>
      <c r="C418" s="1186">
        <v>2004</v>
      </c>
      <c r="D418" s="1186">
        <f>C418+1</f>
        <v>2005</v>
      </c>
      <c r="E418" s="1186">
        <f t="shared" ref="E418:AC418" si="364">D418+1</f>
        <v>2006</v>
      </c>
      <c r="F418" s="1186">
        <f t="shared" si="364"/>
        <v>2007</v>
      </c>
      <c r="G418" s="1186">
        <f t="shared" si="364"/>
        <v>2008</v>
      </c>
      <c r="H418" s="1186">
        <f t="shared" si="364"/>
        <v>2009</v>
      </c>
      <c r="I418" s="1186">
        <f t="shared" si="364"/>
        <v>2010</v>
      </c>
      <c r="J418" s="1186">
        <f t="shared" si="364"/>
        <v>2011</v>
      </c>
      <c r="K418" s="1186">
        <f t="shared" si="364"/>
        <v>2012</v>
      </c>
      <c r="L418" s="1186">
        <f t="shared" si="364"/>
        <v>2013</v>
      </c>
      <c r="M418" s="1186">
        <f t="shared" si="364"/>
        <v>2014</v>
      </c>
      <c r="N418" s="1186">
        <f t="shared" si="364"/>
        <v>2015</v>
      </c>
      <c r="O418" s="1186">
        <f t="shared" si="364"/>
        <v>2016</v>
      </c>
      <c r="P418" s="1186">
        <f t="shared" si="364"/>
        <v>2017</v>
      </c>
      <c r="Q418" s="1186">
        <f t="shared" si="364"/>
        <v>2018</v>
      </c>
      <c r="R418" s="1186">
        <f t="shared" si="364"/>
        <v>2019</v>
      </c>
      <c r="S418" s="1186">
        <f t="shared" si="364"/>
        <v>2020</v>
      </c>
      <c r="T418" s="1186">
        <f t="shared" si="364"/>
        <v>2021</v>
      </c>
      <c r="U418" s="1186">
        <f t="shared" si="364"/>
        <v>2022</v>
      </c>
      <c r="V418" s="1186">
        <f t="shared" si="364"/>
        <v>2023</v>
      </c>
      <c r="W418" s="1186">
        <f t="shared" si="364"/>
        <v>2024</v>
      </c>
      <c r="X418" s="1186">
        <f t="shared" si="364"/>
        <v>2025</v>
      </c>
      <c r="Y418" s="1186">
        <f t="shared" si="364"/>
        <v>2026</v>
      </c>
      <c r="Z418" s="1186">
        <f t="shared" si="364"/>
        <v>2027</v>
      </c>
      <c r="AA418" s="1186">
        <f t="shared" si="364"/>
        <v>2028</v>
      </c>
      <c r="AB418" s="1186">
        <f t="shared" si="364"/>
        <v>2029</v>
      </c>
      <c r="AC418" s="1186">
        <f t="shared" si="364"/>
        <v>2030</v>
      </c>
      <c r="AD418" s="685"/>
      <c r="AE418" s="685"/>
      <c r="AF418" s="685"/>
      <c r="AG418" s="685"/>
      <c r="AH418" s="685"/>
      <c r="AI418" s="685"/>
      <c r="AJ418" s="685"/>
      <c r="AK418" s="685"/>
      <c r="AL418" s="685"/>
      <c r="AM418" s="685"/>
      <c r="AN418" s="685"/>
      <c r="AO418" s="685"/>
      <c r="AP418" s="685"/>
      <c r="AQ418" s="685"/>
      <c r="AR418" s="685"/>
      <c r="AS418" s="685"/>
      <c r="AT418" s="685"/>
      <c r="AU418" s="685"/>
      <c r="AV418" s="685"/>
      <c r="AW418" s="685"/>
      <c r="AX418" s="685"/>
      <c r="AY418" s="685"/>
    </row>
    <row r="419" spans="1:51">
      <c r="A419" s="685"/>
      <c r="B419" s="1189" t="s">
        <v>201</v>
      </c>
      <c r="C419" s="1197"/>
      <c r="D419" s="1188"/>
      <c r="E419" s="1188"/>
      <c r="F419" s="1188"/>
      <c r="G419" s="1188"/>
      <c r="H419" s="1188">
        <f t="shared" ref="H419:AC419" si="365">H90</f>
        <v>6740.55</v>
      </c>
      <c r="I419" s="1188">
        <f t="shared" si="365"/>
        <v>12768.93</v>
      </c>
      <c r="J419" s="1188">
        <f t="shared" si="365"/>
        <v>9840.0399999999991</v>
      </c>
      <c r="K419" s="1188">
        <f t="shared" si="365"/>
        <v>11593.960000000001</v>
      </c>
      <c r="L419" s="1188">
        <f t="shared" si="365"/>
        <v>14773.527999999998</v>
      </c>
      <c r="M419" s="1188">
        <f t="shared" si="365"/>
        <v>16944.960999999999</v>
      </c>
      <c r="N419" s="1188">
        <f t="shared" si="365"/>
        <v>25477.698</v>
      </c>
      <c r="O419" s="1188">
        <f t="shared" si="365"/>
        <v>27913.08</v>
      </c>
      <c r="P419" s="1188">
        <f t="shared" si="365"/>
        <v>16720.829999999998</v>
      </c>
      <c r="Q419" s="1188">
        <f t="shared" si="365"/>
        <v>18660.95</v>
      </c>
      <c r="R419" s="1188">
        <f t="shared" si="365"/>
        <v>19067.125</v>
      </c>
      <c r="S419" s="1188">
        <f t="shared" si="365"/>
        <v>20178.311999999998</v>
      </c>
      <c r="T419" s="1188">
        <f t="shared" si="365"/>
        <v>23310.092270413064</v>
      </c>
      <c r="U419" s="1188">
        <f t="shared" si="365"/>
        <v>17214.16</v>
      </c>
      <c r="V419" s="1188">
        <f t="shared" si="365"/>
        <v>14664.45</v>
      </c>
      <c r="W419" s="1188">
        <f t="shared" si="365"/>
        <v>12866.448770046549</v>
      </c>
      <c r="X419" s="1188">
        <f t="shared" si="365"/>
        <v>12292.698727155317</v>
      </c>
      <c r="Y419" s="1188">
        <f t="shared" si="365"/>
        <v>12513.332557101819</v>
      </c>
      <c r="Z419" s="1188">
        <f t="shared" si="365"/>
        <v>12559.355343909161</v>
      </c>
      <c r="AA419" s="1188">
        <f t="shared" si="365"/>
        <v>12689.686489851127</v>
      </c>
      <c r="AB419" s="1188">
        <f t="shared" si="365"/>
        <v>12853.795826216288</v>
      </c>
      <c r="AC419" s="1188">
        <f t="shared" si="365"/>
        <v>13167.867920728491</v>
      </c>
      <c r="AD419" s="685"/>
      <c r="AE419" s="685"/>
      <c r="AF419" s="685"/>
      <c r="AG419" s="685"/>
      <c r="AH419" s="685"/>
      <c r="AI419" s="685"/>
      <c r="AJ419" s="685"/>
      <c r="AK419" s="685"/>
      <c r="AL419" s="685"/>
      <c r="AM419" s="685"/>
      <c r="AN419" s="685"/>
      <c r="AO419" s="685"/>
      <c r="AP419" s="685"/>
      <c r="AQ419" s="685"/>
      <c r="AR419" s="685"/>
      <c r="AS419" s="685"/>
      <c r="AT419" s="685"/>
      <c r="AU419" s="685"/>
      <c r="AV419" s="685"/>
      <c r="AW419" s="685"/>
      <c r="AX419" s="685"/>
      <c r="AY419" s="685"/>
    </row>
    <row r="420" spans="1:51">
      <c r="A420" s="685"/>
      <c r="B420" s="1189" t="s">
        <v>316</v>
      </c>
      <c r="C420" s="1197"/>
      <c r="D420" s="1197"/>
      <c r="E420" s="1197"/>
      <c r="F420" s="1197"/>
      <c r="G420" s="1197"/>
      <c r="H420" s="1197"/>
      <c r="I420" s="1191">
        <f>I419/H419-1</f>
        <v>0.89434541691701708</v>
      </c>
      <c r="J420" s="1191">
        <f t="shared" ref="J420:AC420" si="366">J419/I419-1</f>
        <v>-0.22937630639372297</v>
      </c>
      <c r="K420" s="1191">
        <f t="shared" si="366"/>
        <v>0.17824317787326094</v>
      </c>
      <c r="L420" s="1191">
        <f t="shared" si="366"/>
        <v>0.27424348540101895</v>
      </c>
      <c r="M420" s="1191">
        <f t="shared" si="366"/>
        <v>0.14698134392813955</v>
      </c>
      <c r="N420" s="1191">
        <f t="shared" si="366"/>
        <v>0.50355601290554763</v>
      </c>
      <c r="O420" s="1191">
        <f t="shared" si="366"/>
        <v>9.5588777290632754E-2</v>
      </c>
      <c r="P420" s="1191">
        <f t="shared" si="366"/>
        <v>-0.40096793331298453</v>
      </c>
      <c r="Q420" s="1191">
        <f t="shared" si="366"/>
        <v>0.11603012529880408</v>
      </c>
      <c r="R420" s="1191">
        <f t="shared" si="366"/>
        <v>2.1766040850010215E-2</v>
      </c>
      <c r="S420" s="1191">
        <f t="shared" si="366"/>
        <v>5.8277637556789497E-2</v>
      </c>
      <c r="T420" s="1191">
        <f t="shared" si="366"/>
        <v>0.15520526545595414</v>
      </c>
      <c r="U420" s="1191">
        <f t="shared" si="366"/>
        <v>-0.26151472073538229</v>
      </c>
      <c r="V420" s="1191">
        <f t="shared" si="366"/>
        <v>-0.14811701529438548</v>
      </c>
      <c r="W420" s="1191">
        <f t="shared" si="366"/>
        <v>-0.1226095237089323</v>
      </c>
      <c r="X420" s="1191">
        <f t="shared" si="366"/>
        <v>-4.4592727421954859E-2</v>
      </c>
      <c r="Y420" s="1191">
        <f t="shared" si="366"/>
        <v>1.7948363890112118E-2</v>
      </c>
      <c r="Z420" s="1191">
        <f t="shared" si="366"/>
        <v>3.6779000795612582E-3</v>
      </c>
      <c r="AA420" s="1191">
        <f t="shared" si="366"/>
        <v>1.0377216216369778E-2</v>
      </c>
      <c r="AB420" s="1191">
        <f t="shared" si="366"/>
        <v>1.2932497307668767E-2</v>
      </c>
      <c r="AC420" s="1191">
        <f t="shared" si="366"/>
        <v>2.4434190394687194E-2</v>
      </c>
      <c r="AD420" s="685"/>
      <c r="AE420" s="685"/>
      <c r="AF420" s="685"/>
      <c r="AG420" s="685"/>
      <c r="AH420" s="685"/>
      <c r="AI420" s="685"/>
      <c r="AJ420" s="685"/>
      <c r="AK420" s="685"/>
      <c r="AL420" s="685"/>
      <c r="AM420" s="685"/>
      <c r="AN420" s="685"/>
      <c r="AO420" s="685"/>
      <c r="AP420" s="685"/>
      <c r="AQ420" s="685"/>
      <c r="AR420" s="685"/>
      <c r="AS420" s="685"/>
      <c r="AT420" s="685"/>
      <c r="AU420" s="685"/>
      <c r="AV420" s="685"/>
      <c r="AW420" s="685"/>
      <c r="AX420" s="685"/>
      <c r="AY420" s="685"/>
    </row>
    <row r="421" spans="1:51">
      <c r="A421" s="685"/>
      <c r="B421" s="1189" t="s">
        <v>202</v>
      </c>
      <c r="C421" s="1197"/>
      <c r="D421" s="1192">
        <f t="shared" ref="D421:AC421" si="367">D419/D5</f>
        <v>0</v>
      </c>
      <c r="E421" s="1192">
        <f t="shared" si="367"/>
        <v>0</v>
      </c>
      <c r="F421" s="1192">
        <f t="shared" si="367"/>
        <v>0</v>
      </c>
      <c r="G421" s="1192">
        <f t="shared" si="367"/>
        <v>0</v>
      </c>
      <c r="H421" s="1192">
        <f t="shared" si="367"/>
        <v>0.12875347525409081</v>
      </c>
      <c r="I421" s="1192">
        <f t="shared" si="367"/>
        <v>0.22069886340067202</v>
      </c>
      <c r="J421" s="1192">
        <f t="shared" si="367"/>
        <v>0.1572356047713781</v>
      </c>
      <c r="K421" s="1192">
        <f t="shared" si="367"/>
        <v>0.16732418920947204</v>
      </c>
      <c r="L421" s="1192">
        <f t="shared" si="367"/>
        <v>0.20020066780859042</v>
      </c>
      <c r="M421" s="1192">
        <f t="shared" si="367"/>
        <v>0.21149899398889643</v>
      </c>
      <c r="N421" s="1192">
        <f t="shared" si="367"/>
        <v>0.28934831690364787</v>
      </c>
      <c r="O421" s="1192">
        <f t="shared" si="367"/>
        <v>0.28989338168856987</v>
      </c>
      <c r="P421" s="1192">
        <f t="shared" si="367"/>
        <v>0.17736229116945104</v>
      </c>
      <c r="Q421" s="1192">
        <f t="shared" si="367"/>
        <v>0.18419652551574375</v>
      </c>
      <c r="R421" s="1192">
        <f t="shared" si="367"/>
        <v>0.18943876141821309</v>
      </c>
      <c r="S421" s="1192">
        <f t="shared" si="367"/>
        <v>0.20772766251828576</v>
      </c>
      <c r="T421" s="1192">
        <f t="shared" si="367"/>
        <v>0.22517085551461685</v>
      </c>
      <c r="U421" s="1192">
        <f t="shared" si="367"/>
        <v>0.22792181827329708</v>
      </c>
      <c r="V421" s="1192">
        <f t="shared" si="367"/>
        <v>0.19879175088351436</v>
      </c>
      <c r="W421" s="1192">
        <f t="shared" si="367"/>
        <v>0.20009359806838062</v>
      </c>
      <c r="X421" s="1192">
        <f t="shared" si="367"/>
        <v>0.19330028768661098</v>
      </c>
      <c r="Y421" s="1192">
        <f t="shared" si="367"/>
        <v>0.19626508581487964</v>
      </c>
      <c r="Z421" s="1192">
        <f t="shared" si="367"/>
        <v>0.19525415813348559</v>
      </c>
      <c r="AA421" s="1192">
        <f t="shared" si="367"/>
        <v>0.19423533750777855</v>
      </c>
      <c r="AB421" s="1192">
        <f t="shared" si="367"/>
        <v>0.19314025227812726</v>
      </c>
      <c r="AC421" s="1192">
        <f t="shared" si="367"/>
        <v>0.19404306225030921</v>
      </c>
      <c r="AD421" s="685"/>
      <c r="AE421" s="685"/>
      <c r="AF421" s="685"/>
      <c r="AG421" s="685"/>
      <c r="AH421" s="685"/>
      <c r="AI421" s="685"/>
      <c r="AJ421" s="685"/>
      <c r="AK421" s="685"/>
      <c r="AL421" s="685"/>
      <c r="AM421" s="685"/>
      <c r="AN421" s="685"/>
      <c r="AO421" s="685"/>
      <c r="AP421" s="685"/>
      <c r="AQ421" s="685"/>
      <c r="AR421" s="685"/>
      <c r="AS421" s="685"/>
      <c r="AT421" s="685"/>
      <c r="AU421" s="685"/>
      <c r="AV421" s="685"/>
      <c r="AW421" s="685"/>
      <c r="AX421" s="685"/>
      <c r="AY421" s="685"/>
    </row>
    <row r="422" spans="1:51">
      <c r="A422" s="685"/>
      <c r="B422" s="1189"/>
      <c r="C422" s="1189"/>
      <c r="D422" s="1189"/>
      <c r="E422" s="1189"/>
      <c r="F422" s="1189"/>
      <c r="G422" s="1189"/>
      <c r="H422" s="1189"/>
      <c r="I422" s="1189"/>
      <c r="J422" s="1189"/>
      <c r="K422" s="1189"/>
      <c r="L422" s="1189"/>
      <c r="M422" s="1189"/>
      <c r="N422" s="1189"/>
      <c r="O422" s="1189"/>
      <c r="P422" s="1189"/>
      <c r="Q422" s="1189"/>
      <c r="R422" s="1189"/>
      <c r="S422" s="1189"/>
      <c r="T422" s="1189"/>
      <c r="U422" s="1189"/>
      <c r="V422" s="1189"/>
      <c r="W422" s="1189"/>
      <c r="X422" s="1189"/>
      <c r="Y422" s="1189"/>
      <c r="Z422" s="1189"/>
      <c r="AA422" s="1189"/>
      <c r="AB422" s="1189"/>
      <c r="AC422" s="1189"/>
      <c r="AD422" s="685"/>
      <c r="AE422" s="685"/>
      <c r="AF422" s="685"/>
      <c r="AG422" s="685"/>
      <c r="AH422" s="685"/>
      <c r="AI422" s="685"/>
      <c r="AJ422" s="685"/>
      <c r="AK422" s="685"/>
      <c r="AL422" s="685"/>
      <c r="AM422" s="685"/>
      <c r="AN422" s="685"/>
      <c r="AO422" s="685"/>
      <c r="AP422" s="685"/>
      <c r="AQ422" s="685"/>
      <c r="AR422" s="685"/>
      <c r="AS422" s="685"/>
      <c r="AT422" s="685"/>
      <c r="AU422" s="685"/>
      <c r="AV422" s="685"/>
      <c r="AW422" s="685"/>
      <c r="AX422" s="685"/>
      <c r="AY422" s="685"/>
    </row>
    <row r="423" spans="1:51">
      <c r="A423" s="685"/>
      <c r="B423" s="1189"/>
      <c r="C423" s="1189"/>
      <c r="D423" s="1189"/>
      <c r="E423" s="1189"/>
      <c r="F423" s="1189"/>
      <c r="G423" s="1189"/>
      <c r="H423" s="1189"/>
      <c r="I423" s="1189"/>
      <c r="J423" s="1189"/>
      <c r="K423" s="1189"/>
      <c r="L423" s="1189"/>
      <c r="M423" s="1189"/>
      <c r="N423" s="1189"/>
      <c r="O423" s="1189"/>
      <c r="P423" s="1189"/>
      <c r="Q423" s="1189"/>
      <c r="R423" s="1189"/>
      <c r="S423" s="1189"/>
      <c r="T423" s="1189"/>
      <c r="U423" s="1189"/>
      <c r="V423" s="1189"/>
      <c r="W423" s="1189"/>
      <c r="X423" s="1189"/>
      <c r="Y423" s="1189"/>
      <c r="Z423" s="1189"/>
      <c r="AA423" s="1189"/>
      <c r="AB423" s="1189"/>
      <c r="AC423" s="1189"/>
      <c r="AD423" s="685"/>
      <c r="AE423" s="685"/>
      <c r="AF423" s="685"/>
      <c r="AG423" s="685"/>
      <c r="AH423" s="685"/>
      <c r="AI423" s="685"/>
      <c r="AJ423" s="685"/>
      <c r="AK423" s="685"/>
      <c r="AL423" s="685"/>
      <c r="AM423" s="685"/>
      <c r="AN423" s="685"/>
      <c r="AO423" s="685"/>
      <c r="AP423" s="685"/>
      <c r="AQ423" s="685"/>
      <c r="AR423" s="685"/>
      <c r="AS423" s="685"/>
      <c r="AT423" s="685"/>
      <c r="AU423" s="685"/>
      <c r="AV423" s="685"/>
      <c r="AW423" s="685"/>
      <c r="AX423" s="685"/>
      <c r="AY423" s="685"/>
    </row>
    <row r="424" spans="1:51">
      <c r="A424" s="685"/>
      <c r="B424" s="1189"/>
      <c r="C424" s="1189"/>
      <c r="D424" s="1189"/>
      <c r="E424" s="1189"/>
      <c r="F424" s="1189"/>
      <c r="G424" s="1189"/>
      <c r="H424" s="1189"/>
      <c r="I424" s="1189"/>
      <c r="J424" s="1189"/>
      <c r="K424" s="1189"/>
      <c r="L424" s="1189"/>
      <c r="M424" s="1189"/>
      <c r="N424" s="1189"/>
      <c r="O424" s="1189"/>
      <c r="P424" s="1189"/>
      <c r="Q424" s="1189"/>
      <c r="R424" s="1189"/>
      <c r="S424" s="1189"/>
      <c r="T424" s="1189"/>
      <c r="U424" s="1189"/>
      <c r="V424" s="1189"/>
      <c r="W424" s="1189"/>
      <c r="X424" s="1189"/>
      <c r="Y424" s="1189"/>
      <c r="Z424" s="1189"/>
      <c r="AA424" s="1189"/>
      <c r="AB424" s="1189"/>
      <c r="AC424" s="1189"/>
      <c r="AD424" s="685"/>
      <c r="AE424" s="685"/>
      <c r="AF424" s="685"/>
      <c r="AG424" s="685"/>
      <c r="AH424" s="685"/>
      <c r="AI424" s="685"/>
      <c r="AJ424" s="685"/>
      <c r="AK424" s="685"/>
      <c r="AL424" s="685"/>
      <c r="AM424" s="685"/>
      <c r="AN424" s="685"/>
      <c r="AO424" s="685"/>
      <c r="AP424" s="685"/>
      <c r="AQ424" s="685"/>
      <c r="AR424" s="685"/>
      <c r="AS424" s="685"/>
      <c r="AT424" s="685"/>
      <c r="AU424" s="685"/>
      <c r="AV424" s="685"/>
      <c r="AW424" s="685"/>
      <c r="AX424" s="685"/>
      <c r="AY424" s="685"/>
    </row>
    <row r="425" spans="1:51">
      <c r="A425" s="685"/>
      <c r="B425" s="1186" t="s">
        <v>317</v>
      </c>
      <c r="C425" s="1186">
        <v>2004</v>
      </c>
      <c r="D425" s="1186">
        <f>C425+1</f>
        <v>2005</v>
      </c>
      <c r="E425" s="1186">
        <f t="shared" ref="E425:AC425" si="368">D425+1</f>
        <v>2006</v>
      </c>
      <c r="F425" s="1186">
        <f t="shared" si="368"/>
        <v>2007</v>
      </c>
      <c r="G425" s="1186">
        <f t="shared" si="368"/>
        <v>2008</v>
      </c>
      <c r="H425" s="1186">
        <f t="shared" si="368"/>
        <v>2009</v>
      </c>
      <c r="I425" s="1186">
        <f t="shared" si="368"/>
        <v>2010</v>
      </c>
      <c r="J425" s="1186">
        <f t="shared" si="368"/>
        <v>2011</v>
      </c>
      <c r="K425" s="1186">
        <f t="shared" si="368"/>
        <v>2012</v>
      </c>
      <c r="L425" s="1186">
        <f t="shared" si="368"/>
        <v>2013</v>
      </c>
      <c r="M425" s="1186">
        <f t="shared" si="368"/>
        <v>2014</v>
      </c>
      <c r="N425" s="1186">
        <f t="shared" si="368"/>
        <v>2015</v>
      </c>
      <c r="O425" s="1186">
        <f t="shared" si="368"/>
        <v>2016</v>
      </c>
      <c r="P425" s="1186">
        <f t="shared" si="368"/>
        <v>2017</v>
      </c>
      <c r="Q425" s="1186">
        <f t="shared" si="368"/>
        <v>2018</v>
      </c>
      <c r="R425" s="1186">
        <f t="shared" si="368"/>
        <v>2019</v>
      </c>
      <c r="S425" s="1186">
        <f t="shared" si="368"/>
        <v>2020</v>
      </c>
      <c r="T425" s="1186">
        <f t="shared" si="368"/>
        <v>2021</v>
      </c>
      <c r="U425" s="1186">
        <f t="shared" si="368"/>
        <v>2022</v>
      </c>
      <c r="V425" s="1186">
        <f t="shared" si="368"/>
        <v>2023</v>
      </c>
      <c r="W425" s="1186">
        <f t="shared" si="368"/>
        <v>2024</v>
      </c>
      <c r="X425" s="1186">
        <f t="shared" si="368"/>
        <v>2025</v>
      </c>
      <c r="Y425" s="1186">
        <f t="shared" si="368"/>
        <v>2026</v>
      </c>
      <c r="Z425" s="1186">
        <f t="shared" si="368"/>
        <v>2027</v>
      </c>
      <c r="AA425" s="1186">
        <f t="shared" si="368"/>
        <v>2028</v>
      </c>
      <c r="AB425" s="1186">
        <f t="shared" si="368"/>
        <v>2029</v>
      </c>
      <c r="AC425" s="1186">
        <f t="shared" si="368"/>
        <v>2030</v>
      </c>
      <c r="AD425" s="685"/>
      <c r="AE425" s="685"/>
      <c r="AF425" s="685"/>
      <c r="AG425" s="685"/>
      <c r="AH425" s="685"/>
      <c r="AI425" s="685"/>
      <c r="AJ425" s="685"/>
      <c r="AK425" s="685"/>
      <c r="AL425" s="685"/>
      <c r="AM425" s="685"/>
      <c r="AN425" s="685"/>
      <c r="AO425" s="685"/>
      <c r="AP425" s="685"/>
      <c r="AQ425" s="685"/>
      <c r="AR425" s="685"/>
      <c r="AS425" s="685"/>
      <c r="AT425" s="685"/>
      <c r="AU425" s="685"/>
      <c r="AV425" s="685"/>
      <c r="AW425" s="685"/>
      <c r="AX425" s="685"/>
      <c r="AY425" s="685"/>
    </row>
    <row r="426" spans="1:51">
      <c r="A426" s="685"/>
      <c r="B426" s="1187"/>
      <c r="C426" s="1187"/>
      <c r="D426" s="1187"/>
      <c r="E426" s="1187"/>
      <c r="F426" s="1187"/>
      <c r="G426" s="1187"/>
      <c r="H426" s="1187"/>
      <c r="I426" s="1187"/>
      <c r="J426" s="1187"/>
      <c r="K426" s="1187"/>
      <c r="L426" s="1187"/>
      <c r="M426" s="1187"/>
      <c r="N426" s="1187"/>
      <c r="O426" s="1187"/>
      <c r="P426" s="1187"/>
      <c r="Q426" s="1187"/>
      <c r="R426" s="1187"/>
      <c r="S426" s="1187"/>
      <c r="T426" s="1187"/>
      <c r="U426" s="1187"/>
      <c r="V426" s="1187"/>
      <c r="W426" s="1187"/>
      <c r="X426" s="1187"/>
      <c r="Y426" s="1187"/>
      <c r="Z426" s="1187"/>
      <c r="AA426" s="1187"/>
      <c r="AB426" s="1187"/>
      <c r="AC426" s="1187"/>
      <c r="AD426" s="685"/>
      <c r="AE426" s="685"/>
      <c r="AF426" s="685"/>
      <c r="AG426" s="685"/>
      <c r="AH426" s="685"/>
      <c r="AI426" s="685"/>
      <c r="AJ426" s="685"/>
      <c r="AK426" s="685"/>
      <c r="AL426" s="685"/>
      <c r="AM426" s="685"/>
      <c r="AN426" s="685"/>
      <c r="AO426" s="685"/>
      <c r="AP426" s="685"/>
      <c r="AQ426" s="685"/>
      <c r="AR426" s="685"/>
      <c r="AS426" s="685"/>
      <c r="AT426" s="685"/>
      <c r="AU426" s="685"/>
      <c r="AV426" s="685"/>
      <c r="AW426" s="685"/>
      <c r="AX426" s="685"/>
      <c r="AY426" s="685"/>
    </row>
    <row r="427" spans="1:51">
      <c r="A427" s="685"/>
      <c r="B427" s="1189" t="s">
        <v>318</v>
      </c>
      <c r="C427" s="1187"/>
      <c r="D427" s="1282"/>
      <c r="E427" s="1187"/>
      <c r="F427" s="1187"/>
      <c r="G427" s="1187"/>
      <c r="H427" s="1187"/>
      <c r="I427" s="1187"/>
      <c r="J427" s="1187"/>
      <c r="K427" s="1187"/>
      <c r="L427" s="1187"/>
      <c r="M427" s="1187"/>
      <c r="N427" s="1187"/>
      <c r="O427" s="1187"/>
      <c r="P427" s="1187"/>
      <c r="Q427" s="1187"/>
      <c r="R427" s="1187"/>
      <c r="S427" s="1187"/>
      <c r="T427" s="1187"/>
      <c r="U427" s="1187"/>
      <c r="V427" s="1187"/>
      <c r="W427" s="1187"/>
      <c r="X427" s="1187"/>
      <c r="Y427" s="1187"/>
      <c r="Z427" s="1187"/>
      <c r="AA427" s="1187"/>
      <c r="AB427" s="1187"/>
      <c r="AC427" s="1187"/>
      <c r="AD427" s="685"/>
      <c r="AE427" s="685"/>
      <c r="AF427" s="685"/>
      <c r="AG427" s="685"/>
      <c r="AH427" s="685"/>
      <c r="AI427" s="685"/>
      <c r="AJ427" s="685"/>
      <c r="AK427" s="685"/>
      <c r="AL427" s="685"/>
      <c r="AM427" s="685"/>
      <c r="AN427" s="685"/>
      <c r="AO427" s="685"/>
      <c r="AP427" s="685"/>
      <c r="AQ427" s="685"/>
      <c r="AR427" s="685"/>
      <c r="AS427" s="685"/>
      <c r="AT427" s="685"/>
      <c r="AU427" s="685"/>
      <c r="AV427" s="685"/>
      <c r="AW427" s="685"/>
      <c r="AX427" s="685"/>
      <c r="AY427" s="685"/>
    </row>
    <row r="428" spans="1:51">
      <c r="A428" s="685"/>
      <c r="B428" s="1189" t="s">
        <v>319</v>
      </c>
      <c r="C428" s="1187"/>
      <c r="D428" s="1187"/>
      <c r="E428" s="1187"/>
      <c r="F428" s="1187"/>
      <c r="G428" s="1187"/>
      <c r="H428" s="1187"/>
      <c r="I428" s="1187"/>
      <c r="J428" s="1187"/>
      <c r="K428" s="1187"/>
      <c r="L428" s="1187"/>
      <c r="M428" s="1187"/>
      <c r="N428" s="1187"/>
      <c r="O428" s="1187"/>
      <c r="P428" s="1187"/>
      <c r="Q428" s="1187"/>
      <c r="R428" s="1187"/>
      <c r="S428" s="1187"/>
      <c r="T428" s="1187"/>
      <c r="U428" s="1187"/>
      <c r="V428" s="1187"/>
      <c r="W428" s="1187"/>
      <c r="X428" s="1187"/>
      <c r="Y428" s="1187"/>
      <c r="Z428" s="1187"/>
      <c r="AA428" s="1187"/>
      <c r="AB428" s="1187"/>
      <c r="AC428" s="1187"/>
      <c r="AD428" s="685"/>
      <c r="AE428" s="685"/>
      <c r="AF428" s="685"/>
      <c r="AG428" s="685"/>
      <c r="AH428" s="685"/>
      <c r="AI428" s="685"/>
      <c r="AJ428" s="685"/>
      <c r="AK428" s="685"/>
      <c r="AL428" s="685"/>
      <c r="AM428" s="685"/>
      <c r="AN428" s="685"/>
      <c r="AO428" s="685"/>
      <c r="AP428" s="685"/>
      <c r="AQ428" s="685"/>
      <c r="AR428" s="685"/>
      <c r="AS428" s="685"/>
      <c r="AT428" s="685"/>
      <c r="AU428" s="685"/>
      <c r="AV428" s="685"/>
      <c r="AW428" s="685"/>
      <c r="AX428" s="685"/>
      <c r="AY428" s="685"/>
    </row>
    <row r="429" spans="1:51">
      <c r="A429" s="685"/>
      <c r="B429" s="1189" t="s">
        <v>320</v>
      </c>
      <c r="C429" s="1282"/>
      <c r="D429" s="1282"/>
      <c r="E429" s="1187"/>
      <c r="F429" s="1187"/>
      <c r="G429" s="1187"/>
      <c r="H429" s="1187"/>
      <c r="I429" s="1187"/>
      <c r="J429" s="1187"/>
      <c r="K429" s="1187"/>
      <c r="L429" s="1187"/>
      <c r="M429" s="1187"/>
      <c r="N429" s="1187"/>
      <c r="O429" s="1187"/>
      <c r="P429" s="1187"/>
      <c r="Q429" s="1187"/>
      <c r="R429" s="1187"/>
      <c r="S429" s="1187"/>
      <c r="T429" s="1187"/>
      <c r="U429" s="1187"/>
      <c r="V429" s="1187"/>
      <c r="W429" s="1187"/>
      <c r="X429" s="1187"/>
      <c r="Y429" s="1187"/>
      <c r="Z429" s="1187"/>
      <c r="AA429" s="1187"/>
      <c r="AB429" s="1187"/>
      <c r="AC429" s="1187"/>
      <c r="AD429" s="685"/>
      <c r="AE429" s="685"/>
      <c r="AF429" s="685"/>
      <c r="AG429" s="685"/>
      <c r="AH429" s="685"/>
      <c r="AI429" s="685"/>
      <c r="AJ429" s="685"/>
      <c r="AK429" s="685"/>
      <c r="AL429" s="685"/>
      <c r="AM429" s="685"/>
      <c r="AN429" s="685"/>
      <c r="AO429" s="685"/>
      <c r="AP429" s="685"/>
      <c r="AQ429" s="685"/>
      <c r="AR429" s="685"/>
      <c r="AS429" s="685"/>
      <c r="AT429" s="685"/>
      <c r="AU429" s="685"/>
      <c r="AV429" s="685"/>
      <c r="AW429" s="685"/>
      <c r="AX429" s="685"/>
      <c r="AY429" s="685"/>
    </row>
    <row r="430" spans="1:51">
      <c r="A430" s="685"/>
      <c r="B430" s="1189" t="s">
        <v>321</v>
      </c>
      <c r="C430" s="1282"/>
      <c r="D430" s="1187"/>
      <c r="E430" s="1187"/>
      <c r="F430" s="1187"/>
      <c r="G430" s="1187"/>
      <c r="H430" s="1187"/>
      <c r="I430" s="1187"/>
      <c r="J430" s="1187"/>
      <c r="K430" s="1187"/>
      <c r="L430" s="1187"/>
      <c r="M430" s="1187"/>
      <c r="N430" s="1187"/>
      <c r="O430" s="1187"/>
      <c r="P430" s="1187"/>
      <c r="Q430" s="1187"/>
      <c r="R430" s="1187"/>
      <c r="S430" s="1187"/>
      <c r="T430" s="1187"/>
      <c r="U430" s="1187"/>
      <c r="V430" s="1187"/>
      <c r="W430" s="1187"/>
      <c r="X430" s="1187"/>
      <c r="Y430" s="1187"/>
      <c r="Z430" s="1187"/>
      <c r="AA430" s="1187"/>
      <c r="AB430" s="1187"/>
      <c r="AC430" s="1187"/>
      <c r="AD430" s="685"/>
      <c r="AE430" s="685"/>
      <c r="AF430" s="685"/>
      <c r="AG430" s="685"/>
      <c r="AH430" s="685"/>
      <c r="AI430" s="685"/>
      <c r="AJ430" s="685"/>
      <c r="AK430" s="685"/>
      <c r="AL430" s="685"/>
      <c r="AM430" s="685"/>
      <c r="AN430" s="685"/>
      <c r="AO430" s="685"/>
      <c r="AP430" s="685"/>
      <c r="AQ430" s="685"/>
      <c r="AR430" s="685"/>
      <c r="AS430" s="685"/>
      <c r="AT430" s="685"/>
      <c r="AU430" s="685"/>
      <c r="AV430" s="685"/>
      <c r="AW430" s="685"/>
      <c r="AX430" s="685"/>
      <c r="AY430" s="685"/>
    </row>
    <row r="431" spans="1:51">
      <c r="A431" s="685"/>
      <c r="B431" s="1189" t="s">
        <v>322</v>
      </c>
      <c r="C431" s="1282"/>
      <c r="D431" s="1187"/>
      <c r="E431" s="1282"/>
      <c r="F431" s="1187"/>
      <c r="G431" s="1187"/>
      <c r="H431" s="1187"/>
      <c r="I431" s="1197"/>
      <c r="J431" s="1197"/>
      <c r="K431" s="1187"/>
      <c r="L431" s="1187"/>
      <c r="M431" s="1292">
        <f>8550-195*13</f>
        <v>6015</v>
      </c>
      <c r="N431" s="1292">
        <f>10200</f>
        <v>10200</v>
      </c>
      <c r="O431" s="1292">
        <f>1258+5492</f>
        <v>6750</v>
      </c>
      <c r="P431" s="1187"/>
      <c r="Q431" s="1187"/>
      <c r="R431" s="1187"/>
      <c r="S431" s="1187"/>
      <c r="T431" s="1187"/>
      <c r="U431" s="1187"/>
      <c r="V431" s="1187"/>
      <c r="W431" s="1267">
        <f>50*W92</f>
        <v>851.80000000000007</v>
      </c>
      <c r="X431" s="1187"/>
      <c r="Y431" s="1187"/>
      <c r="Z431" s="1187"/>
      <c r="AA431" s="1187"/>
      <c r="AB431" s="1187"/>
      <c r="AC431" s="1187"/>
      <c r="AD431" s="685"/>
      <c r="AE431" s="685"/>
      <c r="AF431" s="685"/>
      <c r="AG431" s="685"/>
      <c r="AH431" s="685"/>
      <c r="AI431" s="685"/>
      <c r="AJ431" s="685"/>
      <c r="AK431" s="685"/>
      <c r="AL431" s="685"/>
      <c r="AM431" s="685"/>
      <c r="AN431" s="685"/>
      <c r="AO431" s="685"/>
      <c r="AP431" s="685"/>
      <c r="AQ431" s="685"/>
      <c r="AR431" s="685"/>
      <c r="AS431" s="685"/>
      <c r="AT431" s="685"/>
      <c r="AU431" s="685"/>
      <c r="AV431" s="685"/>
      <c r="AW431" s="685"/>
      <c r="AX431" s="685"/>
      <c r="AY431" s="685"/>
    </row>
    <row r="432" spans="1:51">
      <c r="A432" s="685"/>
      <c r="B432" s="1189" t="s">
        <v>1078</v>
      </c>
      <c r="C432" s="1282"/>
      <c r="D432" s="1187"/>
      <c r="E432" s="1187"/>
      <c r="F432" s="1187"/>
      <c r="G432" s="1187"/>
      <c r="H432" s="1187"/>
      <c r="I432" s="1292">
        <v>13966</v>
      </c>
      <c r="J432" s="1292">
        <v>19299</v>
      </c>
      <c r="K432" s="1187"/>
      <c r="L432" s="1292">
        <f>(7000+195*13)</f>
        <v>9535</v>
      </c>
      <c r="M432" s="1187"/>
      <c r="N432" s="1187"/>
      <c r="O432" s="1187"/>
      <c r="P432" s="1187"/>
      <c r="Q432" s="1187"/>
      <c r="R432" s="1187"/>
      <c r="S432" s="1187"/>
      <c r="T432" s="1187"/>
      <c r="U432" s="1187"/>
      <c r="V432" s="1187"/>
      <c r="W432" s="1187"/>
      <c r="X432" s="1187"/>
      <c r="Y432" s="1187"/>
      <c r="Z432" s="1187"/>
      <c r="AA432" s="1187"/>
      <c r="AB432" s="1187"/>
      <c r="AC432" s="1187"/>
      <c r="AD432" s="685"/>
      <c r="AE432" s="685"/>
      <c r="AF432" s="685"/>
      <c r="AG432" s="685"/>
      <c r="AH432" s="685"/>
      <c r="AI432" s="685"/>
      <c r="AJ432" s="685"/>
      <c r="AK432" s="685"/>
      <c r="AL432" s="685"/>
      <c r="AM432" s="685"/>
      <c r="AN432" s="685"/>
      <c r="AO432" s="685"/>
      <c r="AP432" s="685"/>
      <c r="AQ432" s="685"/>
      <c r="AR432" s="685"/>
      <c r="AS432" s="685"/>
      <c r="AT432" s="685"/>
      <c r="AU432" s="685"/>
      <c r="AV432" s="685"/>
      <c r="AW432" s="685"/>
      <c r="AX432" s="685"/>
      <c r="AY432" s="685"/>
    </row>
    <row r="433" spans="1:51">
      <c r="A433" s="685"/>
      <c r="B433" s="1189" t="s">
        <v>1194</v>
      </c>
      <c r="C433" s="1282"/>
      <c r="D433" s="1187"/>
      <c r="E433" s="1187"/>
      <c r="F433" s="1187"/>
      <c r="G433" s="1187"/>
      <c r="H433" s="1187"/>
      <c r="I433" s="1187"/>
      <c r="J433" s="1187"/>
      <c r="K433" s="1187"/>
      <c r="L433" s="1292">
        <v>1587.5</v>
      </c>
      <c r="M433" s="1197"/>
      <c r="N433" s="1197"/>
      <c r="O433" s="1197"/>
      <c r="P433" s="1197"/>
      <c r="Q433" s="1197"/>
      <c r="R433" s="1197"/>
      <c r="S433" s="1197"/>
      <c r="T433" s="1197"/>
      <c r="U433" s="1197"/>
      <c r="V433" s="1197"/>
      <c r="W433" s="1197"/>
      <c r="X433" s="1197"/>
      <c r="Y433" s="1197"/>
      <c r="Z433" s="1197"/>
      <c r="AA433" s="1197"/>
      <c r="AB433" s="1197"/>
      <c r="AC433" s="1197"/>
      <c r="AD433" s="685"/>
      <c r="AE433" s="685"/>
      <c r="AF433" s="685"/>
      <c r="AG433" s="685"/>
      <c r="AH433" s="685"/>
      <c r="AI433" s="685"/>
      <c r="AJ433" s="685"/>
      <c r="AK433" s="685"/>
      <c r="AL433" s="685"/>
      <c r="AM433" s="685"/>
      <c r="AN433" s="685"/>
      <c r="AO433" s="685"/>
      <c r="AP433" s="685"/>
      <c r="AQ433" s="685"/>
      <c r="AR433" s="685"/>
      <c r="AS433" s="685"/>
      <c r="AT433" s="685"/>
      <c r="AU433" s="685"/>
      <c r="AV433" s="685"/>
      <c r="AW433" s="685"/>
      <c r="AX433" s="685"/>
      <c r="AY433" s="685"/>
    </row>
    <row r="434" spans="1:51">
      <c r="A434" s="685"/>
      <c r="B434" s="1189" t="s">
        <v>1780</v>
      </c>
      <c r="C434" s="1282"/>
      <c r="D434" s="1187"/>
      <c r="E434" s="1187"/>
      <c r="F434" s="1187"/>
      <c r="G434" s="1187"/>
      <c r="H434" s="1187"/>
      <c r="I434" s="1187"/>
      <c r="J434" s="1187"/>
      <c r="K434" s="1187"/>
      <c r="L434" s="1187"/>
      <c r="M434" s="1187"/>
      <c r="N434" s="1292">
        <f>-717*13</f>
        <v>-9321</v>
      </c>
      <c r="O434" s="1197"/>
      <c r="P434" s="1197"/>
      <c r="Q434" s="1197"/>
      <c r="R434" s="1197"/>
      <c r="S434" s="1197"/>
      <c r="T434" s="1197"/>
      <c r="U434" s="1197"/>
      <c r="V434" s="1197"/>
      <c r="W434" s="1197"/>
      <c r="X434" s="1197"/>
      <c r="Y434" s="1197"/>
      <c r="Z434" s="1197"/>
      <c r="AA434" s="1197"/>
      <c r="AB434" s="1197"/>
      <c r="AC434" s="1197"/>
      <c r="AD434" s="685"/>
      <c r="AE434" s="685"/>
      <c r="AF434" s="685"/>
      <c r="AG434" s="685"/>
      <c r="AH434" s="685"/>
      <c r="AI434" s="685"/>
      <c r="AJ434" s="685"/>
      <c r="AK434" s="685"/>
      <c r="AL434" s="685"/>
      <c r="AM434" s="685"/>
      <c r="AN434" s="685"/>
      <c r="AO434" s="685"/>
      <c r="AP434" s="685"/>
      <c r="AQ434" s="685"/>
      <c r="AR434" s="685"/>
      <c r="AS434" s="685"/>
      <c r="AT434" s="685"/>
      <c r="AU434" s="685"/>
      <c r="AV434" s="685"/>
      <c r="AW434" s="685"/>
      <c r="AX434" s="685"/>
      <c r="AY434" s="685"/>
    </row>
    <row r="435" spans="1:51">
      <c r="A435" s="685"/>
      <c r="B435" s="1189" t="s">
        <v>4518</v>
      </c>
      <c r="C435" s="1282"/>
      <c r="D435" s="1187"/>
      <c r="E435" s="1187"/>
      <c r="F435" s="1187"/>
      <c r="G435" s="1187"/>
      <c r="H435" s="1187"/>
      <c r="I435" s="1187"/>
      <c r="J435" s="1187"/>
      <c r="K435" s="1187"/>
      <c r="L435" s="1187"/>
      <c r="M435" s="1187"/>
      <c r="N435" s="1292"/>
      <c r="O435" s="1197"/>
      <c r="P435" s="1197"/>
      <c r="Q435" s="1292">
        <v>4713</v>
      </c>
      <c r="R435" s="1197"/>
      <c r="S435" s="1197"/>
      <c r="T435" s="1197"/>
      <c r="U435" s="1197"/>
      <c r="V435" s="1197"/>
      <c r="W435" s="1197"/>
      <c r="X435" s="1197"/>
      <c r="Y435" s="1197"/>
      <c r="Z435" s="1197"/>
      <c r="AA435" s="1197"/>
      <c r="AB435" s="1197"/>
      <c r="AC435" s="1197"/>
      <c r="AD435" s="685"/>
      <c r="AE435" s="685"/>
      <c r="AF435" s="685"/>
      <c r="AG435" s="685"/>
      <c r="AH435" s="685"/>
      <c r="AI435" s="685"/>
      <c r="AJ435" s="685"/>
      <c r="AK435" s="685"/>
      <c r="AL435" s="685"/>
      <c r="AM435" s="685"/>
      <c r="AN435" s="685"/>
      <c r="AO435" s="685"/>
      <c r="AP435" s="685"/>
      <c r="AQ435" s="685"/>
      <c r="AR435" s="685"/>
      <c r="AS435" s="685"/>
      <c r="AT435" s="685"/>
      <c r="AU435" s="685"/>
      <c r="AV435" s="685"/>
      <c r="AW435" s="685"/>
      <c r="AX435" s="685"/>
      <c r="AY435" s="685"/>
    </row>
    <row r="436" spans="1:51">
      <c r="A436" s="685"/>
      <c r="B436" s="1189" t="s">
        <v>3960</v>
      </c>
      <c r="C436" s="1282"/>
      <c r="D436" s="1187"/>
      <c r="E436" s="1187"/>
      <c r="F436" s="1187"/>
      <c r="G436" s="1187"/>
      <c r="H436" s="1187"/>
      <c r="I436" s="1187"/>
      <c r="J436" s="1187"/>
      <c r="K436" s="1187"/>
      <c r="L436" s="1187"/>
      <c r="M436" s="1187"/>
      <c r="N436" s="1187"/>
      <c r="O436" s="1197"/>
      <c r="P436" s="1197"/>
      <c r="Q436" s="1249">
        <f>(-294*1.23-100)*19</f>
        <v>-8770.7800000000007</v>
      </c>
      <c r="R436" s="1197"/>
      <c r="S436" s="1197"/>
      <c r="T436" s="1197"/>
      <c r="U436" s="1197"/>
      <c r="V436" s="1197"/>
      <c r="W436" s="1197"/>
      <c r="X436" s="1197"/>
      <c r="Y436" s="1197"/>
      <c r="Z436" s="1197"/>
      <c r="AA436" s="1197"/>
      <c r="AB436" s="1197"/>
      <c r="AC436" s="1197"/>
      <c r="AD436" s="685"/>
      <c r="AE436" s="685"/>
      <c r="AF436" s="685"/>
      <c r="AG436" s="685"/>
      <c r="AH436" s="685"/>
      <c r="AI436" s="685"/>
      <c r="AJ436" s="685"/>
      <c r="AK436" s="685"/>
      <c r="AL436" s="685"/>
      <c r="AM436" s="685"/>
      <c r="AN436" s="685"/>
      <c r="AO436" s="685"/>
      <c r="AP436" s="685"/>
      <c r="AQ436" s="685"/>
      <c r="AR436" s="685"/>
      <c r="AS436" s="685"/>
      <c r="AT436" s="685"/>
      <c r="AU436" s="685"/>
      <c r="AV436" s="685"/>
      <c r="AW436" s="685"/>
      <c r="AX436" s="685"/>
      <c r="AY436" s="685"/>
    </row>
    <row r="437" spans="1:51">
      <c r="A437" s="685"/>
      <c r="B437" s="1189" t="s">
        <v>5072</v>
      </c>
      <c r="C437" s="1282"/>
      <c r="D437" s="1187"/>
      <c r="E437" s="1187"/>
      <c r="F437" s="1187"/>
      <c r="G437" s="1187"/>
      <c r="H437" s="1187"/>
      <c r="I437" s="1187"/>
      <c r="J437" s="1187"/>
      <c r="K437" s="1187"/>
      <c r="L437" s="1187"/>
      <c r="M437" s="1187"/>
      <c r="N437" s="1187"/>
      <c r="O437" s="1197"/>
      <c r="P437" s="1197"/>
      <c r="Q437" s="1197"/>
      <c r="R437" s="1249">
        <v>9500</v>
      </c>
      <c r="S437" s="1197"/>
      <c r="T437" s="1197"/>
      <c r="U437" s="1197"/>
      <c r="V437" s="1197"/>
      <c r="W437" s="1197"/>
      <c r="X437" s="1197"/>
      <c r="Y437" s="1197"/>
      <c r="Z437" s="1197"/>
      <c r="AA437" s="1197"/>
      <c r="AB437" s="1197"/>
      <c r="AC437" s="1197"/>
      <c r="AD437" s="685"/>
      <c r="AE437" s="685"/>
      <c r="AF437" s="685"/>
      <c r="AG437" s="685"/>
      <c r="AH437" s="685"/>
      <c r="AI437" s="685"/>
      <c r="AJ437" s="685"/>
      <c r="AK437" s="685"/>
      <c r="AL437" s="685"/>
      <c r="AM437" s="685"/>
      <c r="AN437" s="685"/>
      <c r="AO437" s="685"/>
      <c r="AP437" s="685"/>
      <c r="AQ437" s="685"/>
      <c r="AR437" s="685"/>
      <c r="AS437" s="685"/>
      <c r="AT437" s="685"/>
      <c r="AU437" s="685"/>
      <c r="AV437" s="685"/>
      <c r="AW437" s="685"/>
      <c r="AX437" s="685"/>
      <c r="AY437" s="685"/>
    </row>
    <row r="438" spans="1:51">
      <c r="A438" s="685"/>
      <c r="B438" s="1189" t="s">
        <v>6681</v>
      </c>
      <c r="C438" s="1282"/>
      <c r="D438" s="1187"/>
      <c r="E438" s="1187"/>
      <c r="F438" s="1187"/>
      <c r="G438" s="1187"/>
      <c r="H438" s="1187"/>
      <c r="I438" s="1187"/>
      <c r="J438" s="1187"/>
      <c r="K438" s="1187"/>
      <c r="L438" s="1187"/>
      <c r="M438" s="1187"/>
      <c r="N438" s="1187"/>
      <c r="O438" s="1197"/>
      <c r="P438" s="1197"/>
      <c r="Q438" s="1197"/>
      <c r="R438" s="1197"/>
      <c r="S438" s="1197"/>
      <c r="T438" s="1249">
        <v>-5206</v>
      </c>
      <c r="U438" s="1197"/>
      <c r="V438" s="1197"/>
      <c r="W438" s="1197"/>
      <c r="X438" s="1197"/>
      <c r="Y438" s="1197"/>
      <c r="Z438" s="1197"/>
      <c r="AA438" s="1197"/>
      <c r="AB438" s="1197"/>
      <c r="AC438" s="1197"/>
      <c r="AD438" s="685"/>
      <c r="AE438" s="685"/>
      <c r="AF438" s="685"/>
      <c r="AG438" s="685"/>
      <c r="AH438" s="685"/>
      <c r="AI438" s="685"/>
      <c r="AJ438" s="685"/>
      <c r="AK438" s="685"/>
      <c r="AL438" s="685"/>
      <c r="AM438" s="685"/>
      <c r="AN438" s="685"/>
      <c r="AO438" s="685"/>
      <c r="AP438" s="685"/>
      <c r="AQ438" s="685"/>
      <c r="AR438" s="685"/>
      <c r="AS438" s="685"/>
      <c r="AT438" s="685"/>
      <c r="AU438" s="685"/>
      <c r="AV438" s="685"/>
      <c r="AW438" s="685"/>
      <c r="AX438" s="685"/>
      <c r="AY438" s="685"/>
    </row>
    <row r="439" spans="1:51">
      <c r="A439" s="685"/>
      <c r="B439" s="1189" t="s">
        <v>6682</v>
      </c>
      <c r="C439" s="1282"/>
      <c r="D439" s="1187"/>
      <c r="E439" s="1187"/>
      <c r="F439" s="1187"/>
      <c r="G439" s="1187"/>
      <c r="H439" s="1187"/>
      <c r="I439" s="1187"/>
      <c r="J439" s="1187"/>
      <c r="K439" s="1187"/>
      <c r="L439" s="1187"/>
      <c r="M439" s="1187"/>
      <c r="N439" s="1187"/>
      <c r="O439" s="1197"/>
      <c r="P439" s="1197"/>
      <c r="Q439" s="1197"/>
      <c r="R439" s="1197"/>
      <c r="S439" s="1197"/>
      <c r="T439" s="1197"/>
      <c r="U439" s="1249">
        <f>-(3000-750)*U92</f>
        <v>-45247.5</v>
      </c>
      <c r="V439" s="1197"/>
      <c r="W439" s="1197"/>
      <c r="X439" s="1197"/>
      <c r="Y439" s="1197"/>
      <c r="Z439" s="1197"/>
      <c r="AA439" s="1197"/>
      <c r="AB439" s="1197"/>
      <c r="AC439" s="1197"/>
      <c r="AD439" s="685"/>
      <c r="AE439" s="685"/>
      <c r="AF439" s="685"/>
      <c r="AG439" s="685"/>
      <c r="AH439" s="685"/>
      <c r="AI439" s="685"/>
      <c r="AJ439" s="685"/>
      <c r="AK439" s="685"/>
      <c r="AL439" s="685"/>
      <c r="AM439" s="685"/>
      <c r="AN439" s="685"/>
      <c r="AO439" s="685"/>
      <c r="AP439" s="685"/>
      <c r="AQ439" s="685"/>
      <c r="AR439" s="685"/>
      <c r="AS439" s="685"/>
      <c r="AT439" s="685"/>
      <c r="AU439" s="685"/>
      <c r="AV439" s="685"/>
      <c r="AW439" s="685"/>
      <c r="AX439" s="685"/>
      <c r="AY439" s="685"/>
    </row>
    <row r="440" spans="1:51">
      <c r="A440" s="685"/>
      <c r="B440" s="1293" t="s">
        <v>323</v>
      </c>
      <c r="C440" s="1294"/>
      <c r="D440" s="1294">
        <f>SUM(D427:D434)</f>
        <v>0</v>
      </c>
      <c r="E440" s="1294">
        <f>SUM(E427:E434)</f>
        <v>0</v>
      </c>
      <c r="F440" s="1294">
        <f>SUM(F427:F434)</f>
        <v>0</v>
      </c>
      <c r="G440" s="1294">
        <f>SUM(G427:G434)</f>
        <v>0</v>
      </c>
      <c r="H440" s="1294">
        <f>SUM(H427:H434)</f>
        <v>0</v>
      </c>
      <c r="I440" s="1294">
        <f>SUM(I427:I436)</f>
        <v>13966</v>
      </c>
      <c r="J440" s="1294">
        <f t="shared" ref="J440:Q440" si="369">SUM(J427:J436)</f>
        <v>19299</v>
      </c>
      <c r="K440" s="1294">
        <f t="shared" si="369"/>
        <v>0</v>
      </c>
      <c r="L440" s="1294">
        <f t="shared" si="369"/>
        <v>11122.5</v>
      </c>
      <c r="M440" s="1294">
        <f t="shared" si="369"/>
        <v>6015</v>
      </c>
      <c r="N440" s="1294">
        <f t="shared" si="369"/>
        <v>879</v>
      </c>
      <c r="O440" s="1294">
        <f t="shared" si="369"/>
        <v>6750</v>
      </c>
      <c r="P440" s="1294">
        <f t="shared" si="369"/>
        <v>0</v>
      </c>
      <c r="Q440" s="1294">
        <f t="shared" si="369"/>
        <v>-4057.7800000000007</v>
      </c>
      <c r="R440" s="1294">
        <f>SUM(R427:R437)</f>
        <v>9500</v>
      </c>
      <c r="S440" s="1294">
        <f>SUM(S427:S437)</f>
        <v>0</v>
      </c>
      <c r="T440" s="1294">
        <f>SUM(T427:T439)</f>
        <v>-5206</v>
      </c>
      <c r="U440" s="1294">
        <f>SUM(U427:U439)</f>
        <v>-45247.5</v>
      </c>
      <c r="V440" s="1294">
        <f t="shared" ref="V440:AC440" si="370">SUM(V427:V439)</f>
        <v>0</v>
      </c>
      <c r="W440" s="1294">
        <f t="shared" si="370"/>
        <v>851.80000000000007</v>
      </c>
      <c r="X440" s="1294">
        <f t="shared" si="370"/>
        <v>0</v>
      </c>
      <c r="Y440" s="1294">
        <f t="shared" si="370"/>
        <v>0</v>
      </c>
      <c r="Z440" s="1294">
        <f t="shared" si="370"/>
        <v>0</v>
      </c>
      <c r="AA440" s="1294">
        <f t="shared" si="370"/>
        <v>0</v>
      </c>
      <c r="AB440" s="1294">
        <f t="shared" si="370"/>
        <v>0</v>
      </c>
      <c r="AC440" s="1294">
        <f t="shared" si="370"/>
        <v>0</v>
      </c>
      <c r="AD440" s="685"/>
      <c r="AE440" s="685"/>
      <c r="AF440" s="685"/>
      <c r="AG440" s="685"/>
      <c r="AH440" s="685"/>
      <c r="AI440" s="685"/>
      <c r="AJ440" s="685"/>
      <c r="AK440" s="685"/>
      <c r="AL440" s="685"/>
      <c r="AM440" s="685"/>
      <c r="AN440" s="685"/>
      <c r="AO440" s="685"/>
      <c r="AP440" s="685"/>
      <c r="AQ440" s="685"/>
      <c r="AR440" s="685"/>
      <c r="AS440" s="685"/>
      <c r="AT440" s="685"/>
      <c r="AU440" s="685"/>
      <c r="AV440" s="685"/>
      <c r="AW440" s="685"/>
      <c r="AX440" s="685"/>
      <c r="AY440" s="685"/>
    </row>
    <row r="441" spans="1:51">
      <c r="A441" s="685"/>
      <c r="B441" s="1189"/>
      <c r="C441" s="1189"/>
      <c r="D441" s="1189"/>
      <c r="E441" s="1189"/>
      <c r="F441" s="1189"/>
      <c r="G441" s="1189"/>
      <c r="H441" s="1189"/>
      <c r="I441" s="1189"/>
      <c r="J441" s="1189"/>
      <c r="K441" s="1189"/>
      <c r="L441" s="1189"/>
      <c r="M441" s="1189"/>
      <c r="N441" s="1189"/>
      <c r="O441" s="1189"/>
      <c r="P441" s="1189"/>
      <c r="Q441" s="1189"/>
      <c r="R441" s="1189"/>
      <c r="S441" s="1189"/>
      <c r="T441" s="1189"/>
      <c r="U441" s="1189"/>
      <c r="V441" s="1189"/>
      <c r="W441" s="1189"/>
      <c r="X441" s="1189"/>
      <c r="Y441" s="1189"/>
      <c r="Z441" s="1189"/>
      <c r="AA441" s="1189"/>
      <c r="AB441" s="1189"/>
      <c r="AC441" s="1189"/>
      <c r="AD441" s="685"/>
      <c r="AE441" s="685"/>
      <c r="AF441" s="685"/>
      <c r="AG441" s="685"/>
      <c r="AH441" s="685"/>
      <c r="AI441" s="685"/>
      <c r="AJ441" s="685"/>
      <c r="AK441" s="685"/>
      <c r="AL441" s="685"/>
      <c r="AM441" s="685"/>
      <c r="AN441" s="685"/>
      <c r="AO441" s="685"/>
      <c r="AP441" s="685"/>
      <c r="AQ441" s="685"/>
      <c r="AR441" s="685"/>
      <c r="AS441" s="685"/>
      <c r="AT441" s="685"/>
      <c r="AU441" s="685"/>
      <c r="AV441" s="685"/>
      <c r="AW441" s="685"/>
      <c r="AX441" s="685"/>
      <c r="AY441" s="685"/>
    </row>
    <row r="442" spans="1:51">
      <c r="A442" s="685"/>
      <c r="B442" s="1189"/>
      <c r="C442" s="1189"/>
      <c r="D442" s="1189"/>
      <c r="E442" s="1189"/>
      <c r="F442" s="1189"/>
      <c r="G442" s="1189"/>
      <c r="H442" s="1189"/>
      <c r="I442" s="1189"/>
      <c r="J442" s="1189"/>
      <c r="K442" s="1189"/>
      <c r="L442" s="1189"/>
      <c r="M442" s="1189"/>
      <c r="N442" s="1189"/>
      <c r="O442" s="1189"/>
      <c r="P442" s="1189"/>
      <c r="Q442" s="1189"/>
      <c r="R442" s="1189"/>
      <c r="S442" s="1189"/>
      <c r="T442" s="1189"/>
      <c r="U442" s="1189"/>
      <c r="V442" s="1189"/>
      <c r="W442" s="1189"/>
      <c r="X442" s="1189"/>
      <c r="Y442" s="1189"/>
      <c r="Z442" s="1189"/>
      <c r="AA442" s="1189"/>
      <c r="AB442" s="1189"/>
      <c r="AC442" s="1189"/>
      <c r="AD442" s="685"/>
      <c r="AE442" s="685"/>
      <c r="AF442" s="685"/>
      <c r="AG442" s="685"/>
      <c r="AH442" s="685"/>
      <c r="AI442" s="685"/>
      <c r="AJ442" s="685"/>
      <c r="AK442" s="685"/>
      <c r="AL442" s="685"/>
      <c r="AM442" s="685"/>
      <c r="AN442" s="685"/>
      <c r="AO442" s="685"/>
      <c r="AP442" s="685"/>
      <c r="AQ442" s="685"/>
      <c r="AR442" s="685"/>
      <c r="AS442" s="685"/>
      <c r="AT442" s="685"/>
      <c r="AU442" s="685"/>
      <c r="AV442" s="685"/>
      <c r="AW442" s="685"/>
      <c r="AX442" s="685"/>
      <c r="AY442" s="685"/>
    </row>
    <row r="443" spans="1:51">
      <c r="A443" s="685"/>
      <c r="B443" s="1189"/>
      <c r="C443" s="1189"/>
      <c r="D443" s="1189"/>
      <c r="E443" s="1189"/>
      <c r="F443" s="1189"/>
      <c r="G443" s="1189"/>
      <c r="H443" s="1189"/>
      <c r="I443" s="1189"/>
      <c r="J443" s="1189"/>
      <c r="K443" s="1189"/>
      <c r="L443" s="1189"/>
      <c r="M443" s="1189"/>
      <c r="N443" s="1189"/>
      <c r="O443" s="1189"/>
      <c r="P443" s="1189"/>
      <c r="Q443" s="1189"/>
      <c r="R443" s="1189"/>
      <c r="S443" s="1189"/>
      <c r="T443" s="1189"/>
      <c r="U443" s="1189"/>
      <c r="V443" s="1189"/>
      <c r="W443" s="1189"/>
      <c r="X443" s="1189"/>
      <c r="Y443" s="1189"/>
      <c r="Z443" s="1189"/>
      <c r="AA443" s="1189"/>
      <c r="AB443" s="1189"/>
      <c r="AC443" s="1189"/>
      <c r="AD443" s="685"/>
      <c r="AE443" s="685"/>
      <c r="AF443" s="685"/>
      <c r="AG443" s="685"/>
      <c r="AH443" s="685"/>
      <c r="AI443" s="685"/>
      <c r="AJ443" s="685"/>
      <c r="AK443" s="685"/>
      <c r="AL443" s="685"/>
      <c r="AM443" s="685"/>
      <c r="AN443" s="685"/>
      <c r="AO443" s="685"/>
      <c r="AP443" s="685"/>
      <c r="AQ443" s="685"/>
      <c r="AR443" s="685"/>
      <c r="AS443" s="685"/>
      <c r="AT443" s="685"/>
      <c r="AU443" s="685"/>
      <c r="AV443" s="685"/>
      <c r="AW443" s="685"/>
      <c r="AX443" s="685"/>
      <c r="AY443" s="685"/>
    </row>
    <row r="444" spans="1:51">
      <c r="A444" s="685"/>
      <c r="B444" s="1186" t="s">
        <v>324</v>
      </c>
      <c r="C444" s="1186">
        <v>2004</v>
      </c>
      <c r="D444" s="1186">
        <f>C444+1</f>
        <v>2005</v>
      </c>
      <c r="E444" s="1186">
        <f t="shared" ref="E444:AC444" si="371">D444+1</f>
        <v>2006</v>
      </c>
      <c r="F444" s="1186">
        <f t="shared" si="371"/>
        <v>2007</v>
      </c>
      <c r="G444" s="1186">
        <f t="shared" si="371"/>
        <v>2008</v>
      </c>
      <c r="H444" s="1186">
        <f t="shared" si="371"/>
        <v>2009</v>
      </c>
      <c r="I444" s="1186">
        <f t="shared" si="371"/>
        <v>2010</v>
      </c>
      <c r="J444" s="1186">
        <f t="shared" si="371"/>
        <v>2011</v>
      </c>
      <c r="K444" s="1186">
        <f t="shared" si="371"/>
        <v>2012</v>
      </c>
      <c r="L444" s="1186">
        <f t="shared" si="371"/>
        <v>2013</v>
      </c>
      <c r="M444" s="1186">
        <f t="shared" si="371"/>
        <v>2014</v>
      </c>
      <c r="N444" s="1186">
        <f t="shared" si="371"/>
        <v>2015</v>
      </c>
      <c r="O444" s="1186">
        <f t="shared" si="371"/>
        <v>2016</v>
      </c>
      <c r="P444" s="1186">
        <f t="shared" si="371"/>
        <v>2017</v>
      </c>
      <c r="Q444" s="1186">
        <f t="shared" si="371"/>
        <v>2018</v>
      </c>
      <c r="R444" s="1186">
        <f t="shared" si="371"/>
        <v>2019</v>
      </c>
      <c r="S444" s="1186">
        <f t="shared" si="371"/>
        <v>2020</v>
      </c>
      <c r="T444" s="1186">
        <f t="shared" si="371"/>
        <v>2021</v>
      </c>
      <c r="U444" s="1186">
        <f t="shared" si="371"/>
        <v>2022</v>
      </c>
      <c r="V444" s="1186">
        <f t="shared" si="371"/>
        <v>2023</v>
      </c>
      <c r="W444" s="1186">
        <f t="shared" si="371"/>
        <v>2024</v>
      </c>
      <c r="X444" s="1186">
        <f t="shared" si="371"/>
        <v>2025</v>
      </c>
      <c r="Y444" s="1186">
        <f t="shared" si="371"/>
        <v>2026</v>
      </c>
      <c r="Z444" s="1186">
        <f t="shared" si="371"/>
        <v>2027</v>
      </c>
      <c r="AA444" s="1186">
        <f t="shared" si="371"/>
        <v>2028</v>
      </c>
      <c r="AB444" s="1186">
        <f t="shared" si="371"/>
        <v>2029</v>
      </c>
      <c r="AC444" s="1186">
        <f t="shared" si="371"/>
        <v>2030</v>
      </c>
      <c r="AD444" s="685"/>
      <c r="AE444" s="685"/>
      <c r="AF444" s="685"/>
      <c r="AG444" s="685"/>
      <c r="AH444" s="685"/>
      <c r="AI444" s="685"/>
      <c r="AJ444" s="685"/>
      <c r="AK444" s="685"/>
      <c r="AL444" s="685"/>
      <c r="AM444" s="685"/>
      <c r="AN444" s="685"/>
      <c r="AO444" s="685"/>
      <c r="AP444" s="685"/>
      <c r="AQ444" s="685"/>
      <c r="AR444" s="685"/>
      <c r="AS444" s="685"/>
      <c r="AT444" s="685"/>
      <c r="AU444" s="685"/>
      <c r="AV444" s="685"/>
      <c r="AW444" s="685"/>
      <c r="AX444" s="685"/>
      <c r="AY444" s="685"/>
    </row>
    <row r="445" spans="1:51">
      <c r="A445" s="685"/>
      <c r="B445" s="1189" t="s">
        <v>57</v>
      </c>
      <c r="C445" s="1197"/>
      <c r="D445" s="1197"/>
      <c r="E445" s="1197"/>
      <c r="F445" s="1197"/>
      <c r="G445" s="1197"/>
      <c r="H445" s="1197">
        <f t="shared" ref="H445:AC445" si="372">H13</f>
        <v>20087</v>
      </c>
      <c r="I445" s="1197">
        <f t="shared" si="372"/>
        <v>21568</v>
      </c>
      <c r="J445" s="1197">
        <f t="shared" si="372"/>
        <v>23634.9</v>
      </c>
      <c r="K445" s="1197">
        <f t="shared" si="372"/>
        <v>26613.8</v>
      </c>
      <c r="L445" s="1197">
        <f t="shared" si="372"/>
        <v>28205.576890624998</v>
      </c>
      <c r="M445" s="1197">
        <f t="shared" si="372"/>
        <v>30007.9</v>
      </c>
      <c r="N445" s="1197">
        <f t="shared" si="372"/>
        <v>32375.299999999992</v>
      </c>
      <c r="O445" s="1197">
        <f t="shared" si="372"/>
        <v>33577.899999999994</v>
      </c>
      <c r="P445" s="1197">
        <f t="shared" si="372"/>
        <v>32780</v>
      </c>
      <c r="Q445" s="1197">
        <f t="shared" si="372"/>
        <v>36572.5</v>
      </c>
      <c r="R445" s="1197">
        <f t="shared" si="372"/>
        <v>38218.1</v>
      </c>
      <c r="S445" s="1197">
        <f t="shared" si="372"/>
        <v>38810.299999999996</v>
      </c>
      <c r="T445" s="1197">
        <f t="shared" si="372"/>
        <v>43601.599999999999</v>
      </c>
      <c r="U445" s="1197">
        <f t="shared" si="372"/>
        <v>25536.03</v>
      </c>
      <c r="V445" s="1197">
        <f t="shared" si="372"/>
        <v>24218.100000000002</v>
      </c>
      <c r="W445" s="1197">
        <f t="shared" si="372"/>
        <v>24362.760803532561</v>
      </c>
      <c r="X445" s="1197">
        <f t="shared" si="372"/>
        <v>21401.905240149226</v>
      </c>
      <c r="Y445" s="1197">
        <f t="shared" si="372"/>
        <v>21415.856886123318</v>
      </c>
      <c r="Z445" s="1197">
        <f t="shared" si="372"/>
        <v>21580.9097714204</v>
      </c>
      <c r="AA445" s="1197">
        <f t="shared" si="372"/>
        <v>21913.908011292671</v>
      </c>
      <c r="AB445" s="1197">
        <f t="shared" si="372"/>
        <v>22329.002138978634</v>
      </c>
      <c r="AC445" s="1197">
        <f t="shared" si="372"/>
        <v>22780.389856373589</v>
      </c>
      <c r="AD445" s="685"/>
      <c r="AE445" s="685"/>
      <c r="AF445" s="685"/>
      <c r="AG445" s="685"/>
      <c r="AH445" s="685"/>
      <c r="AI445" s="685"/>
      <c r="AJ445" s="685"/>
      <c r="AK445" s="685"/>
      <c r="AL445" s="685"/>
      <c r="AM445" s="685"/>
      <c r="AN445" s="685"/>
      <c r="AO445" s="685"/>
      <c r="AP445" s="685"/>
      <c r="AQ445" s="685"/>
      <c r="AR445" s="685"/>
      <c r="AS445" s="685"/>
      <c r="AT445" s="685"/>
      <c r="AU445" s="685"/>
      <c r="AV445" s="685"/>
      <c r="AW445" s="685"/>
      <c r="AX445" s="685"/>
      <c r="AY445" s="685"/>
    </row>
    <row r="446" spans="1:51">
      <c r="A446" s="685"/>
      <c r="B446" s="1189" t="s">
        <v>325</v>
      </c>
      <c r="C446" s="1197"/>
      <c r="D446" s="1197">
        <f t="shared" ref="D446:AC446" si="373">-D186</f>
        <v>0</v>
      </c>
      <c r="E446" s="1197">
        <f t="shared" si="373"/>
        <v>0</v>
      </c>
      <c r="F446" s="1197">
        <f t="shared" si="373"/>
        <v>0</v>
      </c>
      <c r="G446" s="1197">
        <f t="shared" si="373"/>
        <v>0</v>
      </c>
      <c r="H446" s="1197">
        <f t="shared" si="373"/>
        <v>-4390</v>
      </c>
      <c r="I446" s="1197">
        <f t="shared" si="373"/>
        <v>-5697</v>
      </c>
      <c r="J446" s="1197">
        <f t="shared" si="373"/>
        <v>-6501</v>
      </c>
      <c r="K446" s="1197">
        <f t="shared" si="373"/>
        <v>-7122.2916099069244</v>
      </c>
      <c r="L446" s="1197">
        <f t="shared" si="373"/>
        <v>-8426.7308289351131</v>
      </c>
      <c r="M446" s="1197">
        <f t="shared" si="373"/>
        <v>-9411.8212326843186</v>
      </c>
      <c r="N446" s="1197">
        <f t="shared" si="373"/>
        <v>-11222.332339055185</v>
      </c>
      <c r="O446" s="1197">
        <f t="shared" si="373"/>
        <v>-12681.492375298647</v>
      </c>
      <c r="P446" s="1197">
        <f t="shared" si="373"/>
        <v>-13775.112009065635</v>
      </c>
      <c r="Q446" s="1197">
        <f t="shared" si="373"/>
        <v>-15461.690203840175</v>
      </c>
      <c r="R446" s="1197">
        <f t="shared" si="373"/>
        <v>-15598.453258756492</v>
      </c>
      <c r="S446" s="1197">
        <f t="shared" si="373"/>
        <v>-15664.841174858946</v>
      </c>
      <c r="T446" s="1197">
        <f t="shared" si="373"/>
        <v>-16057.827405879905</v>
      </c>
      <c r="U446" s="1197">
        <f t="shared" si="373"/>
        <v>-15135.795108159535</v>
      </c>
      <c r="V446" s="1197">
        <f t="shared" si="373"/>
        <v>-17056.628302968726</v>
      </c>
      <c r="W446" s="1197">
        <f t="shared" si="373"/>
        <v>-16645.827061610464</v>
      </c>
      <c r="X446" s="1197">
        <f t="shared" si="373"/>
        <v>-15398.62882583176</v>
      </c>
      <c r="Y446" s="1197">
        <f t="shared" si="373"/>
        <v>-15154.176444513179</v>
      </c>
      <c r="Z446" s="1197">
        <f t="shared" si="373"/>
        <v>-14991.13011103594</v>
      </c>
      <c r="AA446" s="1197">
        <f t="shared" si="373"/>
        <v>-14855.062468107748</v>
      </c>
      <c r="AB446" s="1197">
        <f t="shared" si="373"/>
        <v>-14763.968475931628</v>
      </c>
      <c r="AC446" s="1197">
        <f t="shared" si="373"/>
        <v>-14719.920510663285</v>
      </c>
      <c r="AD446" s="685"/>
      <c r="AE446" s="685"/>
      <c r="AF446" s="685"/>
      <c r="AG446" s="685"/>
      <c r="AH446" s="685"/>
      <c r="AI446" s="685"/>
      <c r="AJ446" s="685"/>
      <c r="AK446" s="685"/>
      <c r="AL446" s="685"/>
      <c r="AM446" s="685"/>
      <c r="AN446" s="685"/>
      <c r="AO446" s="685"/>
      <c r="AP446" s="685"/>
      <c r="AQ446" s="685"/>
      <c r="AR446" s="685"/>
      <c r="AS446" s="685"/>
      <c r="AT446" s="685"/>
      <c r="AU446" s="685"/>
      <c r="AV446" s="685"/>
      <c r="AW446" s="685"/>
      <c r="AX446" s="685"/>
      <c r="AY446" s="685"/>
    </row>
    <row r="447" spans="1:51">
      <c r="A447" s="685"/>
      <c r="B447" s="1189" t="s">
        <v>295</v>
      </c>
      <c r="C447" s="1197"/>
      <c r="D447" s="1197">
        <f t="shared" ref="D447:AC447" si="374">-D208</f>
        <v>0</v>
      </c>
      <c r="E447" s="1197">
        <f t="shared" si="374"/>
        <v>0</v>
      </c>
      <c r="F447" s="1197">
        <f t="shared" si="374"/>
        <v>0</v>
      </c>
      <c r="G447" s="1197">
        <f t="shared" si="374"/>
        <v>0</v>
      </c>
      <c r="H447" s="1197">
        <f t="shared" si="374"/>
        <v>-540</v>
      </c>
      <c r="I447" s="1197">
        <f t="shared" si="374"/>
        <v>-882</v>
      </c>
      <c r="J447" s="1197">
        <f t="shared" si="374"/>
        <v>-928.69999999999982</v>
      </c>
      <c r="K447" s="1197">
        <f t="shared" si="374"/>
        <v>-1351.7083900930756</v>
      </c>
      <c r="L447" s="1197">
        <f t="shared" si="374"/>
        <v>-1419.2691710648869</v>
      </c>
      <c r="M447" s="1197">
        <f t="shared" si="374"/>
        <v>-2151.1787673156814</v>
      </c>
      <c r="N447" s="1197">
        <f t="shared" si="374"/>
        <v>-3438.5676609448146</v>
      </c>
      <c r="O447" s="1197">
        <f t="shared" si="374"/>
        <v>-4298.3076247013523</v>
      </c>
      <c r="P447" s="1197">
        <f t="shared" si="374"/>
        <v>-4760.887990934365</v>
      </c>
      <c r="Q447" s="1197">
        <f t="shared" si="374"/>
        <v>-4372.3097961598251</v>
      </c>
      <c r="R447" s="1197">
        <f t="shared" si="374"/>
        <v>-5409.5467412435082</v>
      </c>
      <c r="S447" s="1197">
        <f t="shared" si="374"/>
        <v>-5596.158825141054</v>
      </c>
      <c r="T447" s="1197">
        <f t="shared" si="374"/>
        <v>-5360.4725941200941</v>
      </c>
      <c r="U447" s="1197">
        <f t="shared" si="374"/>
        <v>-5981.6048918404667</v>
      </c>
      <c r="V447" s="1197">
        <f t="shared" si="374"/>
        <v>-4497.7716970312758</v>
      </c>
      <c r="W447" s="1197">
        <f t="shared" si="374"/>
        <v>-4443.835</v>
      </c>
      <c r="X447" s="1197">
        <f t="shared" si="374"/>
        <v>-4454.7206399999995</v>
      </c>
      <c r="Y447" s="1197">
        <f t="shared" si="374"/>
        <v>-4489.8955867999994</v>
      </c>
      <c r="Z447" s="1197">
        <f t="shared" si="374"/>
        <v>-4468.4457682479988</v>
      </c>
      <c r="AA447" s="1197">
        <f t="shared" si="374"/>
        <v>-4397.8096507427981</v>
      </c>
      <c r="AB447" s="1197">
        <f t="shared" si="374"/>
        <v>-4286.5005366734695</v>
      </c>
      <c r="AC447" s="1197">
        <f t="shared" si="374"/>
        <v>-4143.5519189810711</v>
      </c>
      <c r="AD447" s="685"/>
      <c r="AE447" s="685"/>
      <c r="AF447" s="685"/>
      <c r="AG447" s="685"/>
      <c r="AH447" s="685"/>
      <c r="AI447" s="685"/>
      <c r="AJ447" s="685"/>
      <c r="AK447" s="685"/>
      <c r="AL447" s="685"/>
      <c r="AM447" s="685"/>
      <c r="AN447" s="685"/>
      <c r="AO447" s="685"/>
      <c r="AP447" s="685"/>
      <c r="AQ447" s="685"/>
      <c r="AR447" s="685"/>
      <c r="AS447" s="685"/>
      <c r="AT447" s="685"/>
      <c r="AU447" s="685"/>
      <c r="AV447" s="685"/>
      <c r="AW447" s="685"/>
      <c r="AX447" s="685"/>
      <c r="AY447" s="685"/>
    </row>
    <row r="448" spans="1:51">
      <c r="A448" s="685"/>
      <c r="B448" s="1189" t="s">
        <v>326</v>
      </c>
      <c r="C448" s="1197"/>
      <c r="D448" s="1197">
        <f t="shared" ref="D448:AC448" si="375">-D238</f>
        <v>0</v>
      </c>
      <c r="E448" s="1197">
        <f t="shared" si="375"/>
        <v>0</v>
      </c>
      <c r="F448" s="1197">
        <f t="shared" si="375"/>
        <v>0</v>
      </c>
      <c r="G448" s="1197">
        <f t="shared" si="375"/>
        <v>0</v>
      </c>
      <c r="H448" s="1197">
        <f t="shared" si="375"/>
        <v>-2083</v>
      </c>
      <c r="I448" s="1197">
        <f t="shared" si="375"/>
        <v>-2567</v>
      </c>
      <c r="J448" s="1197">
        <f t="shared" si="375"/>
        <v>-3166</v>
      </c>
      <c r="K448" s="1197">
        <f t="shared" si="375"/>
        <v>-3325</v>
      </c>
      <c r="L448" s="1197">
        <f t="shared" si="375"/>
        <v>-3673</v>
      </c>
      <c r="M448" s="1197">
        <f t="shared" si="375"/>
        <v>-4224</v>
      </c>
      <c r="N448" s="1197">
        <f t="shared" si="375"/>
        <v>-5211</v>
      </c>
      <c r="O448" s="1197">
        <f t="shared" si="375"/>
        <v>-6998.4</v>
      </c>
      <c r="P448" s="1197">
        <f t="shared" si="375"/>
        <v>-6977</v>
      </c>
      <c r="Q448" s="1197">
        <f t="shared" si="375"/>
        <v>-8140</v>
      </c>
      <c r="R448" s="1197">
        <f t="shared" si="375"/>
        <v>-8810.8000000000011</v>
      </c>
      <c r="S448" s="1197">
        <f t="shared" si="375"/>
        <v>-5584.2</v>
      </c>
      <c r="T448" s="1197">
        <f t="shared" si="375"/>
        <v>-11918</v>
      </c>
      <c r="U448" s="1197">
        <f t="shared" si="375"/>
        <v>-9206.2000000000007</v>
      </c>
      <c r="V448" s="1197">
        <f t="shared" si="375"/>
        <v>-4624.2999999999993</v>
      </c>
      <c r="W448" s="1197">
        <f t="shared" ca="1" si="375"/>
        <v>-4678.2847606338692</v>
      </c>
      <c r="X448" s="1197">
        <f t="shared" ca="1" si="375"/>
        <v>-4942.0396161709232</v>
      </c>
      <c r="Y448" s="1197">
        <f t="shared" ca="1" si="375"/>
        <v>-4872.2733613876389</v>
      </c>
      <c r="Z448" s="1197">
        <f t="shared" ca="1" si="375"/>
        <v>-4731.9534104969716</v>
      </c>
      <c r="AA448" s="1197">
        <f t="shared" ca="1" si="375"/>
        <v>-4528.2394431840949</v>
      </c>
      <c r="AB448" s="1197">
        <f t="shared" ca="1" si="375"/>
        <v>-4270.6216297725532</v>
      </c>
      <c r="AC448" s="1197">
        <f t="shared" ca="1" si="375"/>
        <v>-3980.5631004840288</v>
      </c>
      <c r="AD448" s="685"/>
      <c r="AE448" s="685"/>
      <c r="AF448" s="685"/>
      <c r="AG448" s="685"/>
      <c r="AH448" s="685"/>
      <c r="AI448" s="685"/>
      <c r="AJ448" s="685"/>
      <c r="AK448" s="685"/>
      <c r="AL448" s="685"/>
      <c r="AM448" s="685"/>
      <c r="AN448" s="685"/>
      <c r="AO448" s="685"/>
      <c r="AP448" s="685"/>
      <c r="AQ448" s="685"/>
      <c r="AR448" s="685"/>
      <c r="AS448" s="685"/>
      <c r="AT448" s="685"/>
      <c r="AU448" s="685"/>
      <c r="AV448" s="685"/>
      <c r="AW448" s="685"/>
      <c r="AX448" s="685"/>
      <c r="AY448" s="685"/>
    </row>
    <row r="449" spans="1:51">
      <c r="A449" s="685"/>
      <c r="B449" s="1189" t="s">
        <v>1554</v>
      </c>
      <c r="C449" s="1197"/>
      <c r="D449" s="1197">
        <f t="shared" ref="D449:AC449" si="376">D378</f>
        <v>0</v>
      </c>
      <c r="E449" s="1197">
        <f t="shared" si="376"/>
        <v>0</v>
      </c>
      <c r="F449" s="1197">
        <f t="shared" si="376"/>
        <v>0</v>
      </c>
      <c r="G449" s="1197">
        <f t="shared" si="376"/>
        <v>0</v>
      </c>
      <c r="H449" s="1197">
        <f t="shared" si="376"/>
        <v>-715</v>
      </c>
      <c r="I449" s="1197">
        <f t="shared" si="376"/>
        <v>-212</v>
      </c>
      <c r="J449" s="1197">
        <f t="shared" si="376"/>
        <v>-449</v>
      </c>
      <c r="K449" s="1197">
        <f t="shared" si="376"/>
        <v>-666.6</v>
      </c>
      <c r="L449" s="1197">
        <f t="shared" si="376"/>
        <v>-1159.8999999999996</v>
      </c>
      <c r="M449" s="1197">
        <f t="shared" si="376"/>
        <v>13</v>
      </c>
      <c r="N449" s="1197">
        <f t="shared" si="376"/>
        <v>35.4</v>
      </c>
      <c r="O449" s="1197">
        <f t="shared" si="376"/>
        <v>1139.4000000000001</v>
      </c>
      <c r="P449" s="1197">
        <f t="shared" si="376"/>
        <v>1913</v>
      </c>
      <c r="Q449" s="1197">
        <f t="shared" si="376"/>
        <v>532.9</v>
      </c>
      <c r="R449" s="1197">
        <f t="shared" si="376"/>
        <v>581.1</v>
      </c>
      <c r="S449" s="1197">
        <f t="shared" si="376"/>
        <v>-314</v>
      </c>
      <c r="T449" s="1197">
        <f t="shared" si="376"/>
        <v>3558.8</v>
      </c>
      <c r="U449" s="1197">
        <f t="shared" si="376"/>
        <v>-8453.2999999999993</v>
      </c>
      <c r="V449" s="1197">
        <f t="shared" si="376"/>
        <v>-6210.1</v>
      </c>
      <c r="W449" s="1197">
        <f t="shared" si="376"/>
        <v>1304.0191193481494</v>
      </c>
      <c r="X449" s="1197">
        <f t="shared" si="376"/>
        <v>1607.6133782563372</v>
      </c>
      <c r="Y449" s="1197">
        <f t="shared" si="376"/>
        <v>2537.7952140138909</v>
      </c>
      <c r="Z449" s="1197">
        <f t="shared" si="376"/>
        <v>3104.1163116171429</v>
      </c>
      <c r="AA449" s="1197">
        <f t="shared" si="376"/>
        <v>3554.2555033325812</v>
      </c>
      <c r="AB449" s="1197">
        <f t="shared" si="376"/>
        <v>3893.5291206098705</v>
      </c>
      <c r="AC449" s="1197">
        <f t="shared" si="376"/>
        <v>4250.5941426337922</v>
      </c>
      <c r="AD449" s="685"/>
      <c r="AE449" s="685"/>
      <c r="AF449" s="685"/>
      <c r="AG449" s="685"/>
      <c r="AH449" s="685"/>
      <c r="AI449" s="685"/>
      <c r="AJ449" s="685"/>
      <c r="AK449" s="685"/>
      <c r="AL449" s="685"/>
      <c r="AM449" s="685"/>
      <c r="AN449" s="685"/>
      <c r="AO449" s="685"/>
      <c r="AP449" s="685"/>
      <c r="AQ449" s="685"/>
      <c r="AR449" s="685"/>
      <c r="AS449" s="685"/>
      <c r="AT449" s="685"/>
      <c r="AU449" s="685"/>
      <c r="AV449" s="685"/>
      <c r="AW449" s="685"/>
      <c r="AX449" s="685"/>
      <c r="AY449" s="685"/>
    </row>
    <row r="450" spans="1:51">
      <c r="A450" s="685"/>
      <c r="B450" s="1189" t="s">
        <v>327</v>
      </c>
      <c r="C450" s="1197"/>
      <c r="D450" s="1197">
        <f t="shared" ref="D450:AC450" si="377">-D333</f>
        <v>0</v>
      </c>
      <c r="E450" s="1197">
        <f t="shared" si="377"/>
        <v>0</v>
      </c>
      <c r="F450" s="1197">
        <f t="shared" si="377"/>
        <v>0</v>
      </c>
      <c r="G450" s="1197">
        <f t="shared" si="377"/>
        <v>0</v>
      </c>
      <c r="H450" s="1197">
        <f t="shared" si="377"/>
        <v>-3121</v>
      </c>
      <c r="I450" s="1197">
        <f t="shared" si="377"/>
        <v>-3259</v>
      </c>
      <c r="J450" s="1197">
        <f t="shared" si="377"/>
        <v>-3410</v>
      </c>
      <c r="K450" s="1197">
        <f t="shared" si="377"/>
        <v>-4053</v>
      </c>
      <c r="L450" s="1197">
        <f t="shared" si="377"/>
        <v>-3729</v>
      </c>
      <c r="M450" s="1197">
        <f t="shared" si="377"/>
        <v>-2983</v>
      </c>
      <c r="N450" s="1197">
        <f t="shared" si="377"/>
        <v>-6332.2</v>
      </c>
      <c r="O450" s="1197">
        <f t="shared" si="377"/>
        <v>-2872.2</v>
      </c>
      <c r="P450" s="1197">
        <f t="shared" si="377"/>
        <v>-4274</v>
      </c>
      <c r="Q450" s="1197">
        <f t="shared" si="377"/>
        <v>-4391</v>
      </c>
      <c r="R450" s="1197">
        <f t="shared" si="377"/>
        <v>-2776.5</v>
      </c>
      <c r="S450" s="1197">
        <f t="shared" si="377"/>
        <v>-5004.6000000000004</v>
      </c>
      <c r="T450" s="1197">
        <f t="shared" si="377"/>
        <v>-7493.9</v>
      </c>
      <c r="U450" s="1197">
        <f t="shared" si="377"/>
        <v>967.4</v>
      </c>
      <c r="V450" s="1197">
        <f t="shared" si="377"/>
        <v>-2440.9</v>
      </c>
      <c r="W450" s="1197">
        <f t="shared" ca="1" si="377"/>
        <v>746.5544852392967</v>
      </c>
      <c r="X450" s="1197">
        <f t="shared" ca="1" si="377"/>
        <v>455.97547571896786</v>
      </c>
      <c r="Y450" s="1197">
        <f t="shared" ca="1" si="377"/>
        <v>369.65278184170018</v>
      </c>
      <c r="Z450" s="1197">
        <f t="shared" ca="1" si="377"/>
        <v>228.11978514094324</v>
      </c>
      <c r="AA450" s="1197">
        <f t="shared" ca="1" si="377"/>
        <v>15.50624060775117</v>
      </c>
      <c r="AB450" s="1197">
        <f t="shared" ca="1" si="377"/>
        <v>-234.07218772027571</v>
      </c>
      <c r="AC450" s="1197">
        <f t="shared" ca="1" si="377"/>
        <v>-498.6733193940974</v>
      </c>
      <c r="AD450" s="685"/>
      <c r="AE450" s="685"/>
      <c r="AF450" s="685"/>
      <c r="AG450" s="685"/>
      <c r="AH450" s="685"/>
      <c r="AI450" s="685"/>
      <c r="AJ450" s="685"/>
      <c r="AK450" s="685"/>
      <c r="AL450" s="685"/>
      <c r="AM450" s="685"/>
      <c r="AN450" s="685"/>
      <c r="AO450" s="685"/>
      <c r="AP450" s="685"/>
      <c r="AQ450" s="685"/>
      <c r="AR450" s="685"/>
      <c r="AS450" s="685"/>
      <c r="AT450" s="685"/>
      <c r="AU450" s="685"/>
      <c r="AV450" s="685"/>
      <c r="AW450" s="685"/>
      <c r="AX450" s="685"/>
      <c r="AY450" s="685"/>
    </row>
    <row r="451" spans="1:51">
      <c r="A451" s="685"/>
      <c r="B451" s="1252" t="s">
        <v>328</v>
      </c>
      <c r="C451" s="1246"/>
      <c r="D451" s="1246">
        <f t="shared" ref="D451:AC451" si="378">-D389</f>
        <v>0</v>
      </c>
      <c r="E451" s="1246">
        <f t="shared" si="378"/>
        <v>0</v>
      </c>
      <c r="F451" s="1246">
        <f t="shared" si="378"/>
        <v>0</v>
      </c>
      <c r="G451" s="1246">
        <f t="shared" si="378"/>
        <v>0</v>
      </c>
      <c r="H451" s="1246">
        <f t="shared" si="378"/>
        <v>-576</v>
      </c>
      <c r="I451" s="1246">
        <f t="shared" si="378"/>
        <v>-833</v>
      </c>
      <c r="J451" s="1246">
        <f t="shared" si="378"/>
        <v>-1291</v>
      </c>
      <c r="K451" s="1246">
        <f t="shared" si="378"/>
        <v>-1309</v>
      </c>
      <c r="L451" s="1246">
        <f t="shared" si="378"/>
        <v>-1336</v>
      </c>
      <c r="M451" s="1246">
        <f t="shared" si="378"/>
        <v>-1272.9000000000001</v>
      </c>
      <c r="N451" s="1246">
        <f t="shared" si="378"/>
        <v>-1426.3</v>
      </c>
      <c r="O451" s="1246">
        <f t="shared" si="378"/>
        <v>-1612</v>
      </c>
      <c r="P451" s="1246">
        <f t="shared" si="378"/>
        <v>-2053</v>
      </c>
      <c r="Q451" s="1246">
        <f t="shared" si="378"/>
        <v>-1606</v>
      </c>
      <c r="R451" s="1246">
        <f t="shared" si="378"/>
        <v>-1480.7</v>
      </c>
      <c r="S451" s="1246">
        <f t="shared" si="378"/>
        <v>-1566.3</v>
      </c>
      <c r="T451" s="1246">
        <f t="shared" si="378"/>
        <v>-1191.7</v>
      </c>
      <c r="U451" s="1246">
        <f t="shared" si="378"/>
        <v>-477.6</v>
      </c>
      <c r="V451" s="1246">
        <f t="shared" si="378"/>
        <v>375.7</v>
      </c>
      <c r="W451" s="1246">
        <f t="shared" si="378"/>
        <v>-94.936994650476834</v>
      </c>
      <c r="X451" s="1246">
        <f t="shared" si="378"/>
        <v>-104.43069411552453</v>
      </c>
      <c r="Y451" s="1246">
        <f t="shared" si="378"/>
        <v>-114.87376352707699</v>
      </c>
      <c r="Z451" s="1246">
        <f t="shared" si="378"/>
        <v>-126.3611398797847</v>
      </c>
      <c r="AA451" s="1246">
        <f t="shared" si="378"/>
        <v>-138.99725386776319</v>
      </c>
      <c r="AB451" s="1246">
        <f t="shared" si="378"/>
        <v>-152.89697925453953</v>
      </c>
      <c r="AC451" s="1246">
        <f t="shared" si="378"/>
        <v>-168.1866771799935</v>
      </c>
      <c r="AD451" s="685"/>
      <c r="AE451" s="685"/>
      <c r="AF451" s="685"/>
      <c r="AG451" s="685"/>
      <c r="AH451" s="685"/>
      <c r="AI451" s="685"/>
      <c r="AJ451" s="685"/>
      <c r="AK451" s="685"/>
      <c r="AL451" s="685"/>
      <c r="AM451" s="685"/>
      <c r="AN451" s="685"/>
      <c r="AO451" s="685"/>
      <c r="AP451" s="685"/>
      <c r="AQ451" s="685"/>
      <c r="AR451" s="685"/>
      <c r="AS451" s="685"/>
      <c r="AT451" s="685"/>
      <c r="AU451" s="685"/>
      <c r="AV451" s="685"/>
      <c r="AW451" s="685"/>
      <c r="AX451" s="685"/>
      <c r="AY451" s="685"/>
    </row>
    <row r="452" spans="1:51">
      <c r="A452" s="685"/>
      <c r="B452" s="1187" t="s">
        <v>329</v>
      </c>
      <c r="C452" s="1188"/>
      <c r="D452" s="1188">
        <f t="shared" ref="D452:Q452" si="379">SUM(D445:D451)</f>
        <v>0</v>
      </c>
      <c r="E452" s="1188">
        <f t="shared" si="379"/>
        <v>0</v>
      </c>
      <c r="F452" s="1188">
        <f t="shared" si="379"/>
        <v>0</v>
      </c>
      <c r="G452" s="1188">
        <f t="shared" si="379"/>
        <v>0</v>
      </c>
      <c r="H452" s="1188">
        <f>SUM(H445:H451)</f>
        <v>8662</v>
      </c>
      <c r="I452" s="1188">
        <f>SUM(I445:I451)</f>
        <v>8118</v>
      </c>
      <c r="J452" s="1188">
        <f>SUM(J445:J451)</f>
        <v>7889.2000000000007</v>
      </c>
      <c r="K452" s="1188">
        <f t="shared" si="379"/>
        <v>8786.2000000000025</v>
      </c>
      <c r="L452" s="1188">
        <f t="shared" si="379"/>
        <v>8461.6768906249981</v>
      </c>
      <c r="M452" s="1188">
        <f t="shared" si="379"/>
        <v>9978.0000000000018</v>
      </c>
      <c r="N452" s="1188">
        <f t="shared" si="379"/>
        <v>4780.2999999999938</v>
      </c>
      <c r="O452" s="1188">
        <f t="shared" si="379"/>
        <v>6254.8999999999951</v>
      </c>
      <c r="P452" s="1188">
        <f t="shared" si="379"/>
        <v>2853.0000000000018</v>
      </c>
      <c r="Q452" s="1188">
        <f t="shared" si="379"/>
        <v>3134.3999999999996</v>
      </c>
      <c r="R452" s="1188">
        <f t="shared" ref="R452:X452" si="380">SUM(R445:R451)</f>
        <v>4723.199999999998</v>
      </c>
      <c r="S452" s="1188">
        <f t="shared" si="380"/>
        <v>5080.1999999999944</v>
      </c>
      <c r="T452" s="1188">
        <f t="shared" si="380"/>
        <v>5138.4999999999955</v>
      </c>
      <c r="U452" s="1188">
        <f t="shared" si="380"/>
        <v>-12751.070000000003</v>
      </c>
      <c r="V452" s="1188">
        <f t="shared" si="380"/>
        <v>-10235.899999999998</v>
      </c>
      <c r="W452" s="1188">
        <f t="shared" ca="1" si="380"/>
        <v>550.45059122519751</v>
      </c>
      <c r="X452" s="1188">
        <f t="shared" ca="1" si="380"/>
        <v>-1434.325681993676</v>
      </c>
      <c r="Y452" s="1188">
        <f ca="1">SUM(Y445:Y451)</f>
        <v>-307.91427424898563</v>
      </c>
      <c r="Z452" s="1188">
        <f ca="1">SUM(Z445:Z451)</f>
        <v>595.25543851779094</v>
      </c>
      <c r="AA452" s="1188">
        <f ca="1">SUM(AA445:AA451)</f>
        <v>1563.5609393305995</v>
      </c>
      <c r="AB452" s="1188">
        <f ca="1">SUM(AB445:AB451)</f>
        <v>2514.4714502360389</v>
      </c>
      <c r="AC452" s="1188">
        <f ca="1">SUM(AC445:AC451)</f>
        <v>3520.0884723049053</v>
      </c>
      <c r="AD452" s="685"/>
      <c r="AE452" s="685"/>
      <c r="AF452" s="685"/>
      <c r="AG452" s="685"/>
      <c r="AH452" s="685"/>
      <c r="AI452" s="685"/>
      <c r="AJ452" s="685"/>
      <c r="AK452" s="685"/>
      <c r="AL452" s="685"/>
      <c r="AM452" s="685"/>
      <c r="AN452" s="685"/>
      <c r="AO452" s="685"/>
      <c r="AP452" s="685"/>
      <c r="AQ452" s="685"/>
      <c r="AR452" s="685"/>
      <c r="AS452" s="685"/>
      <c r="AT452" s="685"/>
      <c r="AU452" s="685"/>
      <c r="AV452" s="685"/>
      <c r="AW452" s="685"/>
      <c r="AX452" s="685"/>
      <c r="AY452" s="685"/>
    </row>
    <row r="453" spans="1:51">
      <c r="A453" s="685"/>
      <c r="B453" s="1189" t="s">
        <v>196</v>
      </c>
      <c r="C453" s="1262"/>
      <c r="D453" s="1262"/>
      <c r="E453" s="1262"/>
      <c r="F453" s="1262"/>
      <c r="G453" s="1262"/>
      <c r="H453" s="1262">
        <f t="shared" ref="H453:Q453" si="381">H452/H509</f>
        <v>15.485299375670399</v>
      </c>
      <c r="I453" s="1262">
        <f t="shared" si="381"/>
        <v>14.611365964870179</v>
      </c>
      <c r="J453" s="1262">
        <f>J452/J509</f>
        <v>13.948343899706449</v>
      </c>
      <c r="K453" s="1262">
        <f t="shared" si="381"/>
        <v>15.381579309626613</v>
      </c>
      <c r="L453" s="1262">
        <f t="shared" si="381"/>
        <v>14.754207804447718</v>
      </c>
      <c r="M453" s="1262">
        <f t="shared" si="381"/>
        <v>17.266754620536243</v>
      </c>
      <c r="N453" s="1262">
        <f t="shared" si="381"/>
        <v>8.2621318348209041</v>
      </c>
      <c r="O453" s="1262">
        <f t="shared" si="381"/>
        <v>10.810787693998556</v>
      </c>
      <c r="P453" s="1262">
        <f t="shared" si="381"/>
        <v>4.9310424292919031</v>
      </c>
      <c r="Q453" s="1262">
        <f t="shared" si="381"/>
        <v>5.419646137444281</v>
      </c>
      <c r="R453" s="1262">
        <f t="shared" ref="R453:X453" si="382">R452/R509</f>
        <v>8.2645273773655923</v>
      </c>
      <c r="S453" s="1262">
        <f t="shared" si="382"/>
        <v>8.8600452375777667</v>
      </c>
      <c r="T453" s="1262">
        <f t="shared" si="382"/>
        <v>8.9617224623623812</v>
      </c>
      <c r="U453" s="1262">
        <f t="shared" si="382"/>
        <v>-22.238308930262765</v>
      </c>
      <c r="V453" s="1262">
        <f t="shared" si="382"/>
        <v>-17.851765097303719</v>
      </c>
      <c r="W453" s="1262">
        <f t="shared" ca="1" si="382"/>
        <v>0.96000494848759554</v>
      </c>
      <c r="X453" s="1262">
        <f t="shared" ca="1" si="382"/>
        <v>-2.5015138041580185</v>
      </c>
      <c r="Y453" s="1262">
        <f ca="1">Y452/Y509</f>
        <v>-0.53701318828824507</v>
      </c>
      <c r="Z453" s="1262">
        <f ca="1">Z452/Z509</f>
        <v>1.0381461582579081</v>
      </c>
      <c r="AA453" s="1262">
        <f ca="1">AA452/AA509</f>
        <v>2.7269045813508748</v>
      </c>
      <c r="AB453" s="1262">
        <f ca="1">AB452/AB509</f>
        <v>4.3853255379097478</v>
      </c>
      <c r="AC453" s="1262">
        <f ca="1">AC452/AC509</f>
        <v>6.1391565499188037</v>
      </c>
      <c r="AD453" s="685"/>
      <c r="AE453" s="685"/>
      <c r="AF453" s="685"/>
      <c r="AG453" s="685"/>
      <c r="AH453" s="685"/>
      <c r="AI453" s="685"/>
      <c r="AJ453" s="685"/>
      <c r="AK453" s="685"/>
      <c r="AL453" s="685"/>
      <c r="AM453" s="685"/>
      <c r="AN453" s="685"/>
      <c r="AO453" s="685"/>
      <c r="AP453" s="685"/>
      <c r="AQ453" s="685"/>
      <c r="AR453" s="685"/>
      <c r="AS453" s="685"/>
      <c r="AT453" s="685"/>
      <c r="AU453" s="685"/>
      <c r="AV453" s="685"/>
      <c r="AW453" s="685"/>
      <c r="AX453" s="685"/>
      <c r="AY453" s="685"/>
    </row>
    <row r="454" spans="1:51">
      <c r="A454" s="685"/>
      <c r="B454" s="1189" t="s">
        <v>181</v>
      </c>
      <c r="C454" s="1191"/>
      <c r="D454" s="1191"/>
      <c r="E454" s="1191"/>
      <c r="F454" s="1191"/>
      <c r="G454" s="1191"/>
      <c r="H454" s="1191"/>
      <c r="I454" s="1191">
        <f t="shared" ref="I454:AC454" si="383">I453/H453-1</f>
        <v>-5.6436326453803809E-2</v>
      </c>
      <c r="J454" s="1191">
        <f t="shared" si="383"/>
        <v>-4.5377144529664126E-2</v>
      </c>
      <c r="K454" s="1191">
        <f t="shared" si="383"/>
        <v>0.1027530881247003</v>
      </c>
      <c r="L454" s="1191">
        <f t="shared" si="383"/>
        <v>-4.0787196980888174E-2</v>
      </c>
      <c r="M454" s="1191">
        <f t="shared" si="383"/>
        <v>0.17029357654371036</v>
      </c>
      <c r="N454" s="1191">
        <f t="shared" si="383"/>
        <v>-0.5215005936903554</v>
      </c>
      <c r="O454" s="1191">
        <f t="shared" si="383"/>
        <v>0.30847436353366997</v>
      </c>
      <c r="P454" s="1191">
        <f t="shared" si="383"/>
        <v>-0.54387759996162943</v>
      </c>
      <c r="Q454" s="1191">
        <f t="shared" si="383"/>
        <v>9.9087305607009624E-2</v>
      </c>
      <c r="R454" s="1191">
        <f t="shared" si="383"/>
        <v>0.52492010876246242</v>
      </c>
      <c r="S454" s="1191">
        <f t="shared" si="383"/>
        <v>7.2057098127975783E-2</v>
      </c>
      <c r="T454" s="1191">
        <f t="shared" si="383"/>
        <v>1.1475926144640214E-2</v>
      </c>
      <c r="U454" s="1191">
        <f t="shared" si="383"/>
        <v>-3.4814770847523624</v>
      </c>
      <c r="V454" s="1191">
        <f t="shared" si="383"/>
        <v>-0.19725168162358175</v>
      </c>
      <c r="W454" s="1191">
        <f t="shared" ca="1" si="383"/>
        <v>-1.0537764721446279</v>
      </c>
      <c r="X454" s="1191">
        <f t="shared" ca="1" si="383"/>
        <v>-3.605730114307157</v>
      </c>
      <c r="Y454" s="1191">
        <f t="shared" ca="1" si="383"/>
        <v>-0.78532471522019143</v>
      </c>
      <c r="Z454" s="1191">
        <f t="shared" ca="1" si="383"/>
        <v>-2.9331855918977485</v>
      </c>
      <c r="AA454" s="1191">
        <f t="shared" ca="1" si="383"/>
        <v>1.6267058445092526</v>
      </c>
      <c r="AB454" s="1191">
        <f t="shared" ca="1" si="383"/>
        <v>0.60816977898702707</v>
      </c>
      <c r="AC454" s="1191">
        <f t="shared" ca="1" si="383"/>
        <v>0.39993177173455963</v>
      </c>
      <c r="AD454" s="685"/>
      <c r="AE454" s="685"/>
      <c r="AF454" s="685"/>
      <c r="AG454" s="685"/>
      <c r="AH454" s="685"/>
      <c r="AI454" s="685"/>
      <c r="AJ454" s="685"/>
      <c r="AK454" s="685"/>
      <c r="AL454" s="685"/>
      <c r="AM454" s="685"/>
      <c r="AN454" s="685"/>
      <c r="AO454" s="685"/>
      <c r="AP454" s="685"/>
      <c r="AQ454" s="685"/>
      <c r="AR454" s="685"/>
      <c r="AS454" s="685"/>
      <c r="AT454" s="685"/>
      <c r="AU454" s="685"/>
      <c r="AV454" s="685"/>
      <c r="AW454" s="685"/>
      <c r="AX454" s="685"/>
      <c r="AY454" s="685"/>
    </row>
    <row r="455" spans="1:51">
      <c r="A455" s="685"/>
      <c r="B455" s="1189"/>
      <c r="C455" s="1189"/>
      <c r="D455" s="1198"/>
      <c r="E455" s="1189"/>
      <c r="F455" s="1192"/>
      <c r="G455" s="1189"/>
      <c r="H455" s="1189"/>
      <c r="I455" s="1189"/>
      <c r="J455" s="1189"/>
      <c r="K455" s="1189"/>
      <c r="L455" s="1189"/>
      <c r="M455" s="1189"/>
      <c r="N455" s="1189"/>
      <c r="O455" s="1189"/>
      <c r="P455" s="1189"/>
      <c r="Q455" s="1189"/>
      <c r="R455" s="1189"/>
      <c r="S455" s="1189"/>
      <c r="T455" s="1189"/>
      <c r="U455" s="1189"/>
      <c r="V455" s="1189"/>
      <c r="W455" s="1189"/>
      <c r="X455" s="1189"/>
      <c r="Y455" s="1189"/>
      <c r="Z455" s="1189"/>
      <c r="AA455" s="1189"/>
      <c r="AB455" s="1189"/>
      <c r="AC455" s="1189"/>
      <c r="AD455" s="685"/>
      <c r="AE455" s="685"/>
      <c r="AF455" s="685"/>
      <c r="AG455" s="685"/>
      <c r="AH455" s="685"/>
      <c r="AI455" s="685"/>
      <c r="AJ455" s="685"/>
      <c r="AK455" s="685"/>
      <c r="AL455" s="685"/>
      <c r="AM455" s="685"/>
      <c r="AN455" s="685"/>
      <c r="AO455" s="685"/>
      <c r="AP455" s="685"/>
      <c r="AQ455" s="685"/>
      <c r="AR455" s="685"/>
      <c r="AS455" s="685"/>
      <c r="AT455" s="685"/>
      <c r="AU455" s="685"/>
      <c r="AV455" s="685"/>
      <c r="AW455" s="685"/>
      <c r="AX455" s="685"/>
      <c r="AY455" s="685"/>
    </row>
    <row r="456" spans="1:51">
      <c r="A456" s="685"/>
      <c r="B456" s="1189" t="s">
        <v>390</v>
      </c>
      <c r="C456" s="1189"/>
      <c r="D456" s="1198"/>
      <c r="E456" s="1189"/>
      <c r="F456" s="1192"/>
      <c r="G456" s="1189"/>
      <c r="H456" s="1261"/>
      <c r="I456" s="1261"/>
      <c r="J456" s="1199">
        <v>112609.60000000001</v>
      </c>
      <c r="K456" s="1199">
        <v>113613.2</v>
      </c>
      <c r="L456" s="1199">
        <v>114198</v>
      </c>
      <c r="M456" s="1199">
        <v>115037</v>
      </c>
      <c r="N456" s="1199">
        <v>115409</v>
      </c>
      <c r="O456" s="1197">
        <f t="shared" ref="O456:AC456" si="384">N456+O457</f>
        <v>115409</v>
      </c>
      <c r="P456" s="1197">
        <f t="shared" si="384"/>
        <v>115409</v>
      </c>
      <c r="Q456" s="1267">
        <v>116207.2</v>
      </c>
      <c r="R456" s="1197">
        <f t="shared" si="384"/>
        <v>116207.2</v>
      </c>
      <c r="S456" s="1197">
        <f t="shared" si="384"/>
        <v>116207.2</v>
      </c>
      <c r="T456" s="1197">
        <f t="shared" si="384"/>
        <v>116207.2</v>
      </c>
      <c r="U456" s="1197">
        <f t="shared" si="384"/>
        <v>116207.2</v>
      </c>
      <c r="V456" s="1197">
        <f t="shared" si="384"/>
        <v>116207.2</v>
      </c>
      <c r="W456" s="1197">
        <f t="shared" si="384"/>
        <v>116207.2</v>
      </c>
      <c r="X456" s="1197">
        <f t="shared" si="384"/>
        <v>116207.2</v>
      </c>
      <c r="Y456" s="1197">
        <f t="shared" si="384"/>
        <v>116207.2</v>
      </c>
      <c r="Z456" s="1197">
        <f t="shared" si="384"/>
        <v>116207.2</v>
      </c>
      <c r="AA456" s="1197">
        <f t="shared" si="384"/>
        <v>116207.2</v>
      </c>
      <c r="AB456" s="1197">
        <f t="shared" si="384"/>
        <v>116207.2</v>
      </c>
      <c r="AC456" s="1197">
        <f t="shared" si="384"/>
        <v>116207.2</v>
      </c>
      <c r="AD456" s="685"/>
      <c r="AE456" s="685"/>
      <c r="AF456" s="685"/>
      <c r="AG456" s="685"/>
      <c r="AH456" s="685"/>
      <c r="AI456" s="685"/>
      <c r="AJ456" s="685"/>
      <c r="AK456" s="685"/>
      <c r="AL456" s="685"/>
      <c r="AM456" s="685"/>
      <c r="AN456" s="685"/>
      <c r="AO456" s="685"/>
      <c r="AP456" s="685"/>
      <c r="AQ456" s="685"/>
      <c r="AR456" s="685"/>
      <c r="AS456" s="685"/>
      <c r="AT456" s="685"/>
      <c r="AU456" s="685"/>
      <c r="AV456" s="685"/>
      <c r="AW456" s="685"/>
      <c r="AX456" s="685"/>
      <c r="AY456" s="685"/>
    </row>
    <row r="457" spans="1:51">
      <c r="A457" s="685"/>
      <c r="B457" s="1189" t="s">
        <v>330</v>
      </c>
      <c r="C457" s="1189"/>
      <c r="D457" s="1198"/>
      <c r="E457" s="1189"/>
      <c r="F457" s="1192"/>
      <c r="G457" s="1189"/>
      <c r="H457" s="1261"/>
      <c r="I457" s="1261"/>
      <c r="J457" s="1197"/>
      <c r="K457" s="1197">
        <f>K456-J456</f>
        <v>1003.5999999999913</v>
      </c>
      <c r="L457" s="1197">
        <f>L456-K456</f>
        <v>584.80000000000291</v>
      </c>
      <c r="M457" s="1197">
        <f>M456-L456</f>
        <v>839</v>
      </c>
      <c r="N457" s="1197">
        <f>N456-M456</f>
        <v>372</v>
      </c>
      <c r="O457" s="1260">
        <v>0</v>
      </c>
      <c r="P457" s="1260">
        <v>0</v>
      </c>
      <c r="Q457" s="1260">
        <v>0</v>
      </c>
      <c r="R457" s="1260">
        <v>0</v>
      </c>
      <c r="S457" s="1260">
        <v>0</v>
      </c>
      <c r="T457" s="1260">
        <v>0</v>
      </c>
      <c r="U457" s="1260">
        <v>0</v>
      </c>
      <c r="V457" s="1260">
        <v>0</v>
      </c>
      <c r="W457" s="1260">
        <v>0</v>
      </c>
      <c r="X457" s="1260">
        <v>0</v>
      </c>
      <c r="Y457" s="1260">
        <v>0</v>
      </c>
      <c r="Z457" s="1260">
        <v>0</v>
      </c>
      <c r="AA457" s="1260">
        <v>0</v>
      </c>
      <c r="AB457" s="1260">
        <v>0</v>
      </c>
      <c r="AC457" s="1260">
        <v>0</v>
      </c>
      <c r="AD457" s="685"/>
      <c r="AE457" s="685"/>
      <c r="AF457" s="685"/>
      <c r="AG457" s="685"/>
      <c r="AH457" s="685"/>
      <c r="AI457" s="685"/>
      <c r="AJ457" s="685"/>
      <c r="AK457" s="685"/>
      <c r="AL457" s="685"/>
      <c r="AM457" s="685"/>
      <c r="AN457" s="685"/>
      <c r="AO457" s="685"/>
      <c r="AP457" s="685"/>
      <c r="AQ457" s="685"/>
      <c r="AR457" s="685"/>
      <c r="AS457" s="685"/>
      <c r="AT457" s="685"/>
      <c r="AU457" s="685"/>
      <c r="AV457" s="685"/>
      <c r="AW457" s="685"/>
      <c r="AX457" s="685"/>
      <c r="AY457" s="685"/>
    </row>
    <row r="458" spans="1:51">
      <c r="A458" s="685"/>
      <c r="B458" s="1189" t="s">
        <v>331</v>
      </c>
      <c r="C458" s="1189"/>
      <c r="D458" s="1198"/>
      <c r="E458" s="1189"/>
      <c r="F458" s="1192"/>
      <c r="G458" s="1189"/>
      <c r="H458" s="1261"/>
      <c r="I458" s="1261"/>
      <c r="J458" s="1261">
        <f t="shared" ref="J458:AC458" si="385">(I456+J456)/2</f>
        <v>56304.800000000003</v>
      </c>
      <c r="K458" s="1261">
        <f t="shared" si="385"/>
        <v>113111.4</v>
      </c>
      <c r="L458" s="1261">
        <f t="shared" si="385"/>
        <v>113905.60000000001</v>
      </c>
      <c r="M458" s="1261">
        <f t="shared" si="385"/>
        <v>114617.5</v>
      </c>
      <c r="N458" s="1261">
        <f t="shared" si="385"/>
        <v>115223</v>
      </c>
      <c r="O458" s="1261">
        <f t="shared" si="385"/>
        <v>115409</v>
      </c>
      <c r="P458" s="1261">
        <f t="shared" si="385"/>
        <v>115409</v>
      </c>
      <c r="Q458" s="1261">
        <f t="shared" si="385"/>
        <v>115808.1</v>
      </c>
      <c r="R458" s="1261">
        <f t="shared" si="385"/>
        <v>116207.2</v>
      </c>
      <c r="S458" s="1261">
        <f t="shared" si="385"/>
        <v>116207.2</v>
      </c>
      <c r="T458" s="1261">
        <f t="shared" si="385"/>
        <v>116207.2</v>
      </c>
      <c r="U458" s="1261">
        <f t="shared" si="385"/>
        <v>116207.2</v>
      </c>
      <c r="V458" s="1261">
        <f t="shared" si="385"/>
        <v>116207.2</v>
      </c>
      <c r="W458" s="1261">
        <f t="shared" si="385"/>
        <v>116207.2</v>
      </c>
      <c r="X458" s="1261">
        <f t="shared" si="385"/>
        <v>116207.2</v>
      </c>
      <c r="Y458" s="1261">
        <f t="shared" si="385"/>
        <v>116207.2</v>
      </c>
      <c r="Z458" s="1261">
        <f t="shared" si="385"/>
        <v>116207.2</v>
      </c>
      <c r="AA458" s="1261">
        <f t="shared" si="385"/>
        <v>116207.2</v>
      </c>
      <c r="AB458" s="1261">
        <f t="shared" si="385"/>
        <v>116207.2</v>
      </c>
      <c r="AC458" s="1261">
        <f t="shared" si="385"/>
        <v>116207.2</v>
      </c>
      <c r="AD458" s="685"/>
      <c r="AE458" s="685"/>
      <c r="AF458" s="685"/>
      <c r="AG458" s="685"/>
      <c r="AH458" s="685"/>
      <c r="AI458" s="685"/>
      <c r="AJ458" s="685"/>
      <c r="AK458" s="685"/>
      <c r="AL458" s="685"/>
      <c r="AM458" s="685"/>
      <c r="AN458" s="685"/>
      <c r="AO458" s="685"/>
      <c r="AP458" s="685"/>
      <c r="AQ458" s="685"/>
      <c r="AR458" s="685"/>
      <c r="AS458" s="685"/>
      <c r="AT458" s="685"/>
      <c r="AU458" s="685"/>
      <c r="AV458" s="685"/>
      <c r="AW458" s="685"/>
      <c r="AX458" s="685"/>
      <c r="AY458" s="685"/>
    </row>
    <row r="459" spans="1:51">
      <c r="A459" s="685"/>
      <c r="B459" s="1189" t="s">
        <v>332</v>
      </c>
      <c r="C459" s="1189"/>
      <c r="D459" s="1198"/>
      <c r="E459" s="1189"/>
      <c r="F459" s="1192"/>
      <c r="G459" s="1189"/>
      <c r="H459" s="1261"/>
      <c r="I459" s="1261"/>
      <c r="J459" s="1199">
        <v>10664.4</v>
      </c>
      <c r="K459" s="1261">
        <f t="shared" ref="K459:AC459" si="386">J459</f>
        <v>10664.4</v>
      </c>
      <c r="L459" s="1261">
        <f t="shared" si="386"/>
        <v>10664.4</v>
      </c>
      <c r="M459" s="1261">
        <f t="shared" si="386"/>
        <v>10664.4</v>
      </c>
      <c r="N459" s="1199">
        <v>7864.9</v>
      </c>
      <c r="O459" s="1261">
        <f t="shared" si="386"/>
        <v>7864.9</v>
      </c>
      <c r="P459" s="1261">
        <f t="shared" si="386"/>
        <v>7864.9</v>
      </c>
      <c r="Q459" s="1199">
        <v>5972.2</v>
      </c>
      <c r="R459" s="1261">
        <f t="shared" si="386"/>
        <v>5972.2</v>
      </c>
      <c r="S459" s="1261">
        <f t="shared" si="386"/>
        <v>5972.2</v>
      </c>
      <c r="T459" s="1261">
        <f t="shared" si="386"/>
        <v>5972.2</v>
      </c>
      <c r="U459" s="1261">
        <f t="shared" si="386"/>
        <v>5972.2</v>
      </c>
      <c r="V459" s="1261">
        <f t="shared" si="386"/>
        <v>5972.2</v>
      </c>
      <c r="W459" s="1261">
        <f t="shared" si="386"/>
        <v>5972.2</v>
      </c>
      <c r="X459" s="1261">
        <f t="shared" si="386"/>
        <v>5972.2</v>
      </c>
      <c r="Y459" s="1261">
        <f t="shared" si="386"/>
        <v>5972.2</v>
      </c>
      <c r="Z459" s="1261">
        <f t="shared" si="386"/>
        <v>5972.2</v>
      </c>
      <c r="AA459" s="1261">
        <f t="shared" si="386"/>
        <v>5972.2</v>
      </c>
      <c r="AB459" s="1261">
        <f t="shared" si="386"/>
        <v>5972.2</v>
      </c>
      <c r="AC459" s="1261">
        <f t="shared" si="386"/>
        <v>5972.2</v>
      </c>
      <c r="AD459" s="685"/>
      <c r="AE459" s="685"/>
      <c r="AF459" s="685"/>
      <c r="AG459" s="685"/>
      <c r="AH459" s="685"/>
      <c r="AI459" s="685"/>
      <c r="AJ459" s="685"/>
      <c r="AK459" s="685"/>
      <c r="AL459" s="685"/>
      <c r="AM459" s="685"/>
      <c r="AN459" s="685"/>
      <c r="AO459" s="685"/>
      <c r="AP459" s="685"/>
      <c r="AQ459" s="685"/>
      <c r="AR459" s="685"/>
      <c r="AS459" s="685"/>
      <c r="AT459" s="685"/>
      <c r="AU459" s="685"/>
      <c r="AV459" s="685"/>
      <c r="AW459" s="685"/>
      <c r="AX459" s="685"/>
      <c r="AY459" s="685"/>
    </row>
    <row r="460" spans="1:51">
      <c r="A460" s="685"/>
      <c r="B460" s="1189" t="s">
        <v>333</v>
      </c>
      <c r="C460" s="1189"/>
      <c r="D460" s="1198"/>
      <c r="E460" s="1189"/>
      <c r="F460" s="1192"/>
      <c r="G460" s="1189"/>
      <c r="H460" s="1261"/>
      <c r="I460" s="1261"/>
      <c r="J460" s="1295">
        <f t="shared" ref="J460:Q460" si="387">J459/J456</f>
        <v>9.4702405478751361E-2</v>
      </c>
      <c r="K460" s="1295">
        <f t="shared" si="387"/>
        <v>9.3865853615601E-2</v>
      </c>
      <c r="L460" s="1295">
        <f t="shared" si="387"/>
        <v>9.3385173120369883E-2</v>
      </c>
      <c r="M460" s="1295">
        <f t="shared" si="387"/>
        <v>9.2704086511296357E-2</v>
      </c>
      <c r="N460" s="1295">
        <f t="shared" si="387"/>
        <v>6.8148064708991499E-2</v>
      </c>
      <c r="O460" s="1295">
        <f t="shared" si="387"/>
        <v>6.8148064708991499E-2</v>
      </c>
      <c r="P460" s="1295">
        <f t="shared" si="387"/>
        <v>6.8148064708991499E-2</v>
      </c>
      <c r="Q460" s="1295">
        <f t="shared" si="387"/>
        <v>5.1392684790615387E-2</v>
      </c>
      <c r="R460" s="1295">
        <f t="shared" ref="R460:X460" si="388">R459/R456</f>
        <v>5.1392684790615387E-2</v>
      </c>
      <c r="S460" s="1295">
        <f t="shared" si="388"/>
        <v>5.1392684790615387E-2</v>
      </c>
      <c r="T460" s="1295">
        <f t="shared" si="388"/>
        <v>5.1392684790615387E-2</v>
      </c>
      <c r="U460" s="1295">
        <f t="shared" si="388"/>
        <v>5.1392684790615387E-2</v>
      </c>
      <c r="V460" s="1295">
        <f t="shared" si="388"/>
        <v>5.1392684790615387E-2</v>
      </c>
      <c r="W460" s="1295">
        <f t="shared" si="388"/>
        <v>5.1392684790615387E-2</v>
      </c>
      <c r="X460" s="1295">
        <f t="shared" si="388"/>
        <v>5.1392684790615387E-2</v>
      </c>
      <c r="Y460" s="1295">
        <f>Y459/Y456</f>
        <v>5.1392684790615387E-2</v>
      </c>
      <c r="Z460" s="1295">
        <f>Z459/Z456</f>
        <v>5.1392684790615387E-2</v>
      </c>
      <c r="AA460" s="1295">
        <f>AA459/AA456</f>
        <v>5.1392684790615387E-2</v>
      </c>
      <c r="AB460" s="1295">
        <f>AB459/AB456</f>
        <v>5.1392684790615387E-2</v>
      </c>
      <c r="AC460" s="1295">
        <f>AC459/AC456</f>
        <v>5.1392684790615387E-2</v>
      </c>
      <c r="AD460" s="685"/>
      <c r="AE460" s="685"/>
      <c r="AF460" s="685"/>
      <c r="AG460" s="685"/>
      <c r="AH460" s="685"/>
      <c r="AI460" s="685"/>
      <c r="AJ460" s="685"/>
      <c r="AK460" s="685"/>
      <c r="AL460" s="685"/>
      <c r="AM460" s="685"/>
      <c r="AN460" s="685"/>
      <c r="AO460" s="685"/>
      <c r="AP460" s="685"/>
      <c r="AQ460" s="685"/>
      <c r="AR460" s="685"/>
      <c r="AS460" s="685"/>
      <c r="AT460" s="685"/>
      <c r="AU460" s="685"/>
      <c r="AV460" s="685"/>
      <c r="AW460" s="685"/>
      <c r="AX460" s="685"/>
      <c r="AY460" s="685"/>
    </row>
    <row r="461" spans="1:51">
      <c r="A461" s="685"/>
      <c r="B461" s="1189" t="s">
        <v>334</v>
      </c>
      <c r="C461" s="1189"/>
      <c r="D461" s="1198"/>
      <c r="E461" s="1189"/>
      <c r="F461" s="1192"/>
      <c r="G461" s="1189"/>
      <c r="H461" s="1261"/>
      <c r="I461" s="1261"/>
      <c r="J461" s="1261">
        <f>J456+J459</f>
        <v>123274</v>
      </c>
      <c r="K461" s="1261">
        <f t="shared" ref="K461:Q461" si="389">K456+K459</f>
        <v>124277.59999999999</v>
      </c>
      <c r="L461" s="1261">
        <f t="shared" si="389"/>
        <v>124862.39999999999</v>
      </c>
      <c r="M461" s="1261">
        <f t="shared" si="389"/>
        <v>125701.4</v>
      </c>
      <c r="N461" s="1261">
        <f t="shared" si="389"/>
        <v>123273.9</v>
      </c>
      <c r="O461" s="1261">
        <f t="shared" si="389"/>
        <v>123273.9</v>
      </c>
      <c r="P461" s="1261">
        <f t="shared" si="389"/>
        <v>123273.9</v>
      </c>
      <c r="Q461" s="1261">
        <f t="shared" si="389"/>
        <v>122179.4</v>
      </c>
      <c r="R461" s="1261">
        <f t="shared" ref="R461:X461" si="390">R456+R459</f>
        <v>122179.4</v>
      </c>
      <c r="S461" s="1261">
        <f t="shared" si="390"/>
        <v>122179.4</v>
      </c>
      <c r="T461" s="1261">
        <f t="shared" si="390"/>
        <v>122179.4</v>
      </c>
      <c r="U461" s="1261">
        <f t="shared" si="390"/>
        <v>122179.4</v>
      </c>
      <c r="V461" s="1261">
        <f t="shared" si="390"/>
        <v>122179.4</v>
      </c>
      <c r="W461" s="1261">
        <f t="shared" si="390"/>
        <v>122179.4</v>
      </c>
      <c r="X461" s="1261">
        <f t="shared" si="390"/>
        <v>122179.4</v>
      </c>
      <c r="Y461" s="1261">
        <f>Y456+Y459</f>
        <v>122179.4</v>
      </c>
      <c r="Z461" s="1261">
        <f>Z456+Z459</f>
        <v>122179.4</v>
      </c>
      <c r="AA461" s="1261">
        <f>AA456+AA459</f>
        <v>122179.4</v>
      </c>
      <c r="AB461" s="1261">
        <f>AB456+AB459</f>
        <v>122179.4</v>
      </c>
      <c r="AC461" s="1261">
        <f>AC456+AC459</f>
        <v>122179.4</v>
      </c>
      <c r="AD461" s="685"/>
      <c r="AE461" s="685"/>
      <c r="AF461" s="685"/>
      <c r="AG461" s="685"/>
      <c r="AH461" s="685"/>
      <c r="AI461" s="685"/>
      <c r="AJ461" s="685"/>
      <c r="AK461" s="685"/>
      <c r="AL461" s="685"/>
      <c r="AM461" s="685"/>
      <c r="AN461" s="685"/>
      <c r="AO461" s="685"/>
      <c r="AP461" s="685"/>
      <c r="AQ461" s="685"/>
      <c r="AR461" s="685"/>
      <c r="AS461" s="685"/>
      <c r="AT461" s="685"/>
      <c r="AU461" s="685"/>
      <c r="AV461" s="685"/>
      <c r="AW461" s="685"/>
      <c r="AX461" s="685"/>
      <c r="AY461" s="685"/>
    </row>
    <row r="462" spans="1:51">
      <c r="A462" s="685"/>
      <c r="B462" s="1189"/>
      <c r="C462" s="1189"/>
      <c r="D462" s="1198"/>
      <c r="E462" s="1189"/>
      <c r="F462" s="1192"/>
      <c r="G462" s="1189"/>
      <c r="H462" s="1261"/>
      <c r="I462" s="1261"/>
      <c r="J462" s="1261"/>
      <c r="K462" s="1261"/>
      <c r="L462" s="1261"/>
      <c r="M462" s="1261"/>
      <c r="N462" s="1261"/>
      <c r="O462" s="1261"/>
      <c r="P462" s="1261"/>
      <c r="Q462" s="1261"/>
      <c r="R462" s="1261"/>
      <c r="S462" s="1261"/>
      <c r="T462" s="1261"/>
      <c r="U462" s="1261"/>
      <c r="V462" s="1261"/>
      <c r="W462" s="1261"/>
      <c r="X462" s="1261"/>
      <c r="Y462" s="1261"/>
      <c r="Z462" s="1261"/>
      <c r="AA462" s="1261"/>
      <c r="AB462" s="1261"/>
      <c r="AC462" s="1261"/>
      <c r="AD462" s="685"/>
      <c r="AE462" s="685"/>
      <c r="AF462" s="685"/>
      <c r="AG462" s="685"/>
      <c r="AH462" s="685"/>
      <c r="AI462" s="685"/>
      <c r="AJ462" s="685"/>
      <c r="AK462" s="685"/>
      <c r="AL462" s="685"/>
      <c r="AM462" s="685"/>
      <c r="AN462" s="685"/>
      <c r="AO462" s="685"/>
      <c r="AP462" s="685"/>
      <c r="AQ462" s="685"/>
      <c r="AR462" s="685"/>
      <c r="AS462" s="685"/>
      <c r="AT462" s="685"/>
      <c r="AU462" s="685"/>
      <c r="AV462" s="685"/>
      <c r="AW462" s="685"/>
      <c r="AX462" s="685"/>
      <c r="AY462" s="685"/>
    </row>
    <row r="463" spans="1:51">
      <c r="A463" s="685"/>
      <c r="B463" s="1189" t="s">
        <v>391</v>
      </c>
      <c r="C463" s="1189"/>
      <c r="D463" s="1198"/>
      <c r="E463" s="1189"/>
      <c r="F463" s="1192"/>
      <c r="G463" s="1189"/>
      <c r="H463" s="1261"/>
      <c r="I463" s="1261"/>
      <c r="J463" s="1199">
        <v>52190.9</v>
      </c>
      <c r="K463" s="1199">
        <v>52740</v>
      </c>
      <c r="L463" s="1199">
        <v>52921</v>
      </c>
      <c r="M463" s="1199">
        <v>53331</v>
      </c>
      <c r="N463" s="1199">
        <v>53340</v>
      </c>
      <c r="O463" s="1197">
        <f t="shared" ref="O463:AC463" si="391">N463+O464</f>
        <v>53340</v>
      </c>
      <c r="P463" s="1197">
        <f t="shared" si="391"/>
        <v>53340</v>
      </c>
      <c r="Q463" s="1267">
        <v>53116.1</v>
      </c>
      <c r="R463" s="1197">
        <f t="shared" si="391"/>
        <v>53116.1</v>
      </c>
      <c r="S463" s="1197">
        <f t="shared" si="391"/>
        <v>53116.1</v>
      </c>
      <c r="T463" s="1197">
        <f t="shared" si="391"/>
        <v>53116.1</v>
      </c>
      <c r="U463" s="1197">
        <f t="shared" si="391"/>
        <v>53116.1</v>
      </c>
      <c r="V463" s="1197">
        <f t="shared" si="391"/>
        <v>53116.1</v>
      </c>
      <c r="W463" s="1197">
        <f t="shared" si="391"/>
        <v>53116.1</v>
      </c>
      <c r="X463" s="1197">
        <f t="shared" si="391"/>
        <v>53116.1</v>
      </c>
      <c r="Y463" s="1197">
        <f t="shared" si="391"/>
        <v>53116.1</v>
      </c>
      <c r="Z463" s="1197">
        <f t="shared" si="391"/>
        <v>53116.1</v>
      </c>
      <c r="AA463" s="1197">
        <f t="shared" si="391"/>
        <v>53116.1</v>
      </c>
      <c r="AB463" s="1197">
        <f t="shared" si="391"/>
        <v>53116.1</v>
      </c>
      <c r="AC463" s="1197">
        <f t="shared" si="391"/>
        <v>53116.1</v>
      </c>
      <c r="AD463" s="685"/>
      <c r="AE463" s="685"/>
      <c r="AF463" s="685"/>
      <c r="AG463" s="685"/>
      <c r="AH463" s="685"/>
      <c r="AI463" s="685"/>
      <c r="AJ463" s="685"/>
      <c r="AK463" s="685"/>
      <c r="AL463" s="685"/>
      <c r="AM463" s="685"/>
      <c r="AN463" s="685"/>
      <c r="AO463" s="685"/>
      <c r="AP463" s="685"/>
      <c r="AQ463" s="685"/>
      <c r="AR463" s="685"/>
      <c r="AS463" s="685"/>
      <c r="AT463" s="685"/>
      <c r="AU463" s="685"/>
      <c r="AV463" s="685"/>
      <c r="AW463" s="685"/>
      <c r="AX463" s="685"/>
      <c r="AY463" s="685"/>
    </row>
    <row r="464" spans="1:51">
      <c r="A464" s="685"/>
      <c r="B464" s="1189" t="s">
        <v>330</v>
      </c>
      <c r="C464" s="1189"/>
      <c r="D464" s="1198"/>
      <c r="E464" s="1189"/>
      <c r="F464" s="1192"/>
      <c r="G464" s="1189"/>
      <c r="H464" s="1261"/>
      <c r="I464" s="1261"/>
      <c r="J464" s="1197">
        <f>J463-I463</f>
        <v>52190.9</v>
      </c>
      <c r="K464" s="1197">
        <f>K463-J463</f>
        <v>549.09999999999854</v>
      </c>
      <c r="L464" s="1197">
        <f>L463-K463</f>
        <v>181</v>
      </c>
      <c r="M464" s="1197">
        <f>M463-L463</f>
        <v>410</v>
      </c>
      <c r="N464" s="1197">
        <f>N463-M463</f>
        <v>9</v>
      </c>
      <c r="O464" s="1260">
        <v>0</v>
      </c>
      <c r="P464" s="1260">
        <v>0</v>
      </c>
      <c r="Q464" s="1260">
        <v>0</v>
      </c>
      <c r="R464" s="1260">
        <v>0</v>
      </c>
      <c r="S464" s="1260">
        <v>0</v>
      </c>
      <c r="T464" s="1260">
        <v>0</v>
      </c>
      <c r="U464" s="1260">
        <v>0</v>
      </c>
      <c r="V464" s="1260">
        <v>0</v>
      </c>
      <c r="W464" s="1260">
        <v>0</v>
      </c>
      <c r="X464" s="1260">
        <v>0</v>
      </c>
      <c r="Y464" s="1260">
        <v>0</v>
      </c>
      <c r="Z464" s="1260">
        <v>0</v>
      </c>
      <c r="AA464" s="1260">
        <v>0</v>
      </c>
      <c r="AB464" s="1260">
        <v>0</v>
      </c>
      <c r="AC464" s="1260">
        <v>0</v>
      </c>
      <c r="AD464" s="685"/>
      <c r="AE464" s="685"/>
      <c r="AF464" s="685"/>
      <c r="AG464" s="685"/>
      <c r="AH464" s="685"/>
      <c r="AI464" s="685"/>
      <c r="AJ464" s="685"/>
      <c r="AK464" s="685"/>
      <c r="AL464" s="685"/>
      <c r="AM464" s="685"/>
      <c r="AN464" s="685"/>
      <c r="AO464" s="685"/>
      <c r="AP464" s="685"/>
      <c r="AQ464" s="685"/>
      <c r="AR464" s="685"/>
      <c r="AS464" s="685"/>
      <c r="AT464" s="685"/>
      <c r="AU464" s="685"/>
      <c r="AV464" s="685"/>
      <c r="AW464" s="685"/>
      <c r="AX464" s="685"/>
      <c r="AY464" s="685"/>
    </row>
    <row r="465" spans="1:51">
      <c r="A465" s="685"/>
      <c r="B465" s="1189" t="s">
        <v>331</v>
      </c>
      <c r="C465" s="1189"/>
      <c r="D465" s="1198"/>
      <c r="E465" s="1189"/>
      <c r="F465" s="1192"/>
      <c r="G465" s="1189"/>
      <c r="H465" s="1261"/>
      <c r="I465" s="1261"/>
      <c r="J465" s="1261">
        <f t="shared" ref="J465:AC465" si="392">(I463+J463)/2</f>
        <v>26095.45</v>
      </c>
      <c r="K465" s="1261">
        <f t="shared" si="392"/>
        <v>52465.45</v>
      </c>
      <c r="L465" s="1261">
        <f t="shared" si="392"/>
        <v>52830.5</v>
      </c>
      <c r="M465" s="1261">
        <f t="shared" si="392"/>
        <v>53126</v>
      </c>
      <c r="N465" s="1261">
        <f t="shared" si="392"/>
        <v>53335.5</v>
      </c>
      <c r="O465" s="1261">
        <f t="shared" si="392"/>
        <v>53340</v>
      </c>
      <c r="P465" s="1261">
        <f t="shared" si="392"/>
        <v>53340</v>
      </c>
      <c r="Q465" s="1261">
        <f t="shared" si="392"/>
        <v>53228.05</v>
      </c>
      <c r="R465" s="1261">
        <f t="shared" si="392"/>
        <v>53116.1</v>
      </c>
      <c r="S465" s="1261">
        <f t="shared" si="392"/>
        <v>53116.1</v>
      </c>
      <c r="T465" s="1261">
        <f t="shared" si="392"/>
        <v>53116.1</v>
      </c>
      <c r="U465" s="1261">
        <f t="shared" si="392"/>
        <v>53116.1</v>
      </c>
      <c r="V465" s="1261">
        <f t="shared" si="392"/>
        <v>53116.1</v>
      </c>
      <c r="W465" s="1261">
        <f t="shared" si="392"/>
        <v>53116.1</v>
      </c>
      <c r="X465" s="1261">
        <f t="shared" si="392"/>
        <v>53116.1</v>
      </c>
      <c r="Y465" s="1261">
        <f t="shared" si="392"/>
        <v>53116.1</v>
      </c>
      <c r="Z465" s="1261">
        <f t="shared" si="392"/>
        <v>53116.1</v>
      </c>
      <c r="AA465" s="1261">
        <f t="shared" si="392"/>
        <v>53116.1</v>
      </c>
      <c r="AB465" s="1261">
        <f t="shared" si="392"/>
        <v>53116.1</v>
      </c>
      <c r="AC465" s="1261">
        <f t="shared" si="392"/>
        <v>53116.1</v>
      </c>
      <c r="AD465" s="685"/>
      <c r="AE465" s="685"/>
      <c r="AF465" s="685"/>
      <c r="AG465" s="685"/>
      <c r="AH465" s="685"/>
      <c r="AI465" s="685"/>
      <c r="AJ465" s="685"/>
      <c r="AK465" s="685"/>
      <c r="AL465" s="685"/>
      <c r="AM465" s="685"/>
      <c r="AN465" s="685"/>
      <c r="AO465" s="685"/>
      <c r="AP465" s="685"/>
      <c r="AQ465" s="685"/>
      <c r="AR465" s="685"/>
      <c r="AS465" s="685"/>
      <c r="AT465" s="685"/>
      <c r="AU465" s="685"/>
      <c r="AV465" s="685"/>
      <c r="AW465" s="685"/>
      <c r="AX465" s="685"/>
      <c r="AY465" s="685"/>
    </row>
    <row r="466" spans="1:51">
      <c r="A466" s="685"/>
      <c r="B466" s="1189" t="s">
        <v>332</v>
      </c>
      <c r="C466" s="1189"/>
      <c r="D466" s="1198"/>
      <c r="E466" s="1189"/>
      <c r="F466" s="1192"/>
      <c r="G466" s="1189"/>
      <c r="H466" s="1261"/>
      <c r="I466" s="1261"/>
      <c r="J466" s="1199">
        <v>6791.9</v>
      </c>
      <c r="K466" s="1261">
        <f t="shared" ref="K466:P466" si="393">J466</f>
        <v>6791.9</v>
      </c>
      <c r="L466" s="1261">
        <f t="shared" si="393"/>
        <v>6791.9</v>
      </c>
      <c r="M466" s="1261">
        <f t="shared" si="393"/>
        <v>6791.9</v>
      </c>
      <c r="N466" s="1199">
        <v>5642.6</v>
      </c>
      <c r="O466" s="1261">
        <f t="shared" si="393"/>
        <v>5642.6</v>
      </c>
      <c r="P466" s="1261">
        <f t="shared" si="393"/>
        <v>5642.6</v>
      </c>
      <c r="Q466" s="1286">
        <v>4903.6000000000004</v>
      </c>
      <c r="R466" s="1261">
        <f t="shared" ref="R466:AC466" si="394">Q466-R464</f>
        <v>4903.6000000000004</v>
      </c>
      <c r="S466" s="1261">
        <f t="shared" si="394"/>
        <v>4903.6000000000004</v>
      </c>
      <c r="T466" s="1261">
        <f t="shared" si="394"/>
        <v>4903.6000000000004</v>
      </c>
      <c r="U466" s="1261">
        <f t="shared" si="394"/>
        <v>4903.6000000000004</v>
      </c>
      <c r="V466" s="1261">
        <f t="shared" si="394"/>
        <v>4903.6000000000004</v>
      </c>
      <c r="W466" s="1261">
        <f t="shared" si="394"/>
        <v>4903.6000000000004</v>
      </c>
      <c r="X466" s="1261">
        <f t="shared" si="394"/>
        <v>4903.6000000000004</v>
      </c>
      <c r="Y466" s="1261">
        <f t="shared" si="394"/>
        <v>4903.6000000000004</v>
      </c>
      <c r="Z466" s="1261">
        <f t="shared" si="394"/>
        <v>4903.6000000000004</v>
      </c>
      <c r="AA466" s="1261">
        <f t="shared" si="394"/>
        <v>4903.6000000000004</v>
      </c>
      <c r="AB466" s="1261">
        <f t="shared" si="394"/>
        <v>4903.6000000000004</v>
      </c>
      <c r="AC466" s="1261">
        <f t="shared" si="394"/>
        <v>4903.6000000000004</v>
      </c>
      <c r="AD466" s="685"/>
      <c r="AE466" s="685"/>
      <c r="AF466" s="685"/>
      <c r="AG466" s="685"/>
      <c r="AH466" s="685"/>
      <c r="AI466" s="685"/>
      <c r="AJ466" s="685"/>
      <c r="AK466" s="685"/>
      <c r="AL466" s="685"/>
      <c r="AM466" s="685"/>
      <c r="AN466" s="685"/>
      <c r="AO466" s="685"/>
      <c r="AP466" s="685"/>
      <c r="AQ466" s="685"/>
      <c r="AR466" s="685"/>
      <c r="AS466" s="685"/>
      <c r="AT466" s="685"/>
      <c r="AU466" s="685"/>
      <c r="AV466" s="685"/>
      <c r="AW466" s="685"/>
      <c r="AX466" s="685"/>
      <c r="AY466" s="685"/>
    </row>
    <row r="467" spans="1:51">
      <c r="A467" s="685"/>
      <c r="B467" s="1189" t="s">
        <v>333</v>
      </c>
      <c r="C467" s="1189"/>
      <c r="D467" s="1198"/>
      <c r="E467" s="1189"/>
      <c r="F467" s="1192"/>
      <c r="G467" s="1189"/>
      <c r="H467" s="1261"/>
      <c r="I467" s="1261"/>
      <c r="J467" s="1295">
        <f t="shared" ref="J467:Q467" si="395">J466/J463</f>
        <v>0.13013571331400683</v>
      </c>
      <c r="K467" s="1295">
        <f t="shared" si="395"/>
        <v>0.1287808115282518</v>
      </c>
      <c r="L467" s="1295">
        <f t="shared" si="395"/>
        <v>0.12834035638026492</v>
      </c>
      <c r="M467" s="1295">
        <f t="shared" si="395"/>
        <v>0.12735369672423169</v>
      </c>
      <c r="N467" s="1295">
        <f t="shared" si="395"/>
        <v>0.10578552680914886</v>
      </c>
      <c r="O467" s="1295">
        <f t="shared" si="395"/>
        <v>0.10578552680914886</v>
      </c>
      <c r="P467" s="1295">
        <f t="shared" si="395"/>
        <v>0.10578552680914886</v>
      </c>
      <c r="Q467" s="1295">
        <f t="shared" si="395"/>
        <v>9.2318524891699519E-2</v>
      </c>
      <c r="R467" s="1295">
        <f t="shared" ref="R467:X467" si="396">R466/R463</f>
        <v>9.2318524891699519E-2</v>
      </c>
      <c r="S467" s="1295">
        <f t="shared" si="396"/>
        <v>9.2318524891699519E-2</v>
      </c>
      <c r="T467" s="1295">
        <f t="shared" si="396"/>
        <v>9.2318524891699519E-2</v>
      </c>
      <c r="U467" s="1295">
        <f t="shared" si="396"/>
        <v>9.2318524891699519E-2</v>
      </c>
      <c r="V467" s="1295">
        <f t="shared" si="396"/>
        <v>9.2318524891699519E-2</v>
      </c>
      <c r="W467" s="1295">
        <f t="shared" si="396"/>
        <v>9.2318524891699519E-2</v>
      </c>
      <c r="X467" s="1295">
        <f t="shared" si="396"/>
        <v>9.2318524891699519E-2</v>
      </c>
      <c r="Y467" s="1295">
        <f>Y466/Y463</f>
        <v>9.2318524891699519E-2</v>
      </c>
      <c r="Z467" s="1295">
        <f>Z466/Z463</f>
        <v>9.2318524891699519E-2</v>
      </c>
      <c r="AA467" s="1295">
        <f>AA466/AA463</f>
        <v>9.2318524891699519E-2</v>
      </c>
      <c r="AB467" s="1295">
        <f>AB466/AB463</f>
        <v>9.2318524891699519E-2</v>
      </c>
      <c r="AC467" s="1295">
        <f>AC466/AC463</f>
        <v>9.2318524891699519E-2</v>
      </c>
      <c r="AD467" s="685"/>
      <c r="AE467" s="685"/>
      <c r="AF467" s="685"/>
      <c r="AG467" s="685"/>
      <c r="AH467" s="685"/>
      <c r="AI467" s="685"/>
      <c r="AJ467" s="685"/>
      <c r="AK467" s="685"/>
      <c r="AL467" s="685"/>
      <c r="AM467" s="685"/>
      <c r="AN467" s="685"/>
      <c r="AO467" s="685"/>
      <c r="AP467" s="685"/>
      <c r="AQ467" s="685"/>
      <c r="AR467" s="685"/>
      <c r="AS467" s="685"/>
      <c r="AT467" s="685"/>
      <c r="AU467" s="685"/>
      <c r="AV467" s="685"/>
      <c r="AW467" s="685"/>
      <c r="AX467" s="685"/>
      <c r="AY467" s="685"/>
    </row>
    <row r="468" spans="1:51">
      <c r="A468" s="685"/>
      <c r="B468" s="1189" t="s">
        <v>334</v>
      </c>
      <c r="C468" s="1189"/>
      <c r="D468" s="1198"/>
      <c r="E468" s="1189"/>
      <c r="F468" s="1192"/>
      <c r="G468" s="1189"/>
      <c r="H468" s="1261"/>
      <c r="I468" s="1261"/>
      <c r="J468" s="1261">
        <f>J463+J466</f>
        <v>58982.8</v>
      </c>
      <c r="K468" s="1261">
        <f t="shared" ref="K468:Q468" si="397">K463+K466</f>
        <v>59531.9</v>
      </c>
      <c r="L468" s="1261">
        <f t="shared" si="397"/>
        <v>59712.9</v>
      </c>
      <c r="M468" s="1261">
        <f t="shared" si="397"/>
        <v>60122.9</v>
      </c>
      <c r="N468" s="1261">
        <f t="shared" si="397"/>
        <v>58982.6</v>
      </c>
      <c r="O468" s="1261">
        <f t="shared" si="397"/>
        <v>58982.6</v>
      </c>
      <c r="P468" s="1261">
        <f t="shared" si="397"/>
        <v>58982.6</v>
      </c>
      <c r="Q468" s="1261">
        <f t="shared" si="397"/>
        <v>58019.7</v>
      </c>
      <c r="R468" s="1261">
        <f t="shared" ref="R468:X468" si="398">R463+R466</f>
        <v>58019.7</v>
      </c>
      <c r="S468" s="1261">
        <f t="shared" si="398"/>
        <v>58019.7</v>
      </c>
      <c r="T468" s="1261">
        <f t="shared" si="398"/>
        <v>58019.7</v>
      </c>
      <c r="U468" s="1261">
        <f t="shared" si="398"/>
        <v>58019.7</v>
      </c>
      <c r="V468" s="1261">
        <f t="shared" si="398"/>
        <v>58019.7</v>
      </c>
      <c r="W468" s="1261">
        <f t="shared" si="398"/>
        <v>58019.7</v>
      </c>
      <c r="X468" s="1261">
        <f t="shared" si="398"/>
        <v>58019.7</v>
      </c>
      <c r="Y468" s="1261">
        <f>Y463+Y466</f>
        <v>58019.7</v>
      </c>
      <c r="Z468" s="1261">
        <f>Z463+Z466</f>
        <v>58019.7</v>
      </c>
      <c r="AA468" s="1261">
        <f>AA463+AA466</f>
        <v>58019.7</v>
      </c>
      <c r="AB468" s="1261">
        <f>AB463+AB466</f>
        <v>58019.7</v>
      </c>
      <c r="AC468" s="1261">
        <f>AC463+AC466</f>
        <v>58019.7</v>
      </c>
      <c r="AD468" s="685"/>
      <c r="AE468" s="685"/>
      <c r="AF468" s="685"/>
      <c r="AG468" s="685"/>
      <c r="AH468" s="685"/>
      <c r="AI468" s="685"/>
      <c r="AJ468" s="685"/>
      <c r="AK468" s="685"/>
      <c r="AL468" s="685"/>
      <c r="AM468" s="685"/>
      <c r="AN468" s="685"/>
      <c r="AO468" s="685"/>
      <c r="AP468" s="685"/>
      <c r="AQ468" s="685"/>
      <c r="AR468" s="685"/>
      <c r="AS468" s="685"/>
      <c r="AT468" s="685"/>
      <c r="AU468" s="685"/>
      <c r="AV468" s="685"/>
      <c r="AW468" s="685"/>
      <c r="AX468" s="685"/>
      <c r="AY468" s="685"/>
    </row>
    <row r="469" spans="1:51">
      <c r="A469" s="685"/>
      <c r="B469" s="1189"/>
      <c r="C469" s="1189"/>
      <c r="D469" s="1198"/>
      <c r="E469" s="1189"/>
      <c r="F469" s="1192"/>
      <c r="G469" s="1189"/>
      <c r="H469" s="1261"/>
      <c r="I469" s="1261"/>
      <c r="J469" s="1261"/>
      <c r="K469" s="1261"/>
      <c r="L469" s="1261"/>
      <c r="M469" s="1261"/>
      <c r="N469" s="1261"/>
      <c r="O469" s="1261"/>
      <c r="P469" s="1261"/>
      <c r="Q469" s="1261"/>
      <c r="R469" s="1261"/>
      <c r="S469" s="1261"/>
      <c r="T469" s="1261"/>
      <c r="U469" s="1261"/>
      <c r="V469" s="1261"/>
      <c r="W469" s="1261"/>
      <c r="X469" s="1261"/>
      <c r="Y469" s="1261"/>
      <c r="Z469" s="1261"/>
      <c r="AA469" s="1261"/>
      <c r="AB469" s="1261"/>
      <c r="AC469" s="1261"/>
      <c r="AD469" s="685"/>
      <c r="AE469" s="685"/>
      <c r="AF469" s="685"/>
      <c r="AG469" s="685"/>
      <c r="AH469" s="685"/>
      <c r="AI469" s="685"/>
      <c r="AJ469" s="685"/>
      <c r="AK469" s="685"/>
      <c r="AL469" s="685"/>
      <c r="AM469" s="685"/>
      <c r="AN469" s="685"/>
      <c r="AO469" s="685"/>
      <c r="AP469" s="685"/>
      <c r="AQ469" s="685"/>
      <c r="AR469" s="685"/>
      <c r="AS469" s="685"/>
      <c r="AT469" s="685"/>
      <c r="AU469" s="685"/>
      <c r="AV469" s="685"/>
      <c r="AW469" s="685"/>
      <c r="AX469" s="685"/>
      <c r="AY469" s="685"/>
    </row>
    <row r="470" spans="1:51">
      <c r="A470" s="685"/>
      <c r="B470" s="1189" t="s">
        <v>392</v>
      </c>
      <c r="C470" s="1189"/>
      <c r="D470" s="1198"/>
      <c r="E470" s="1189"/>
      <c r="F470" s="1192"/>
      <c r="G470" s="1189"/>
      <c r="H470" s="1261"/>
      <c r="I470" s="1261"/>
      <c r="J470" s="1199">
        <v>83038.100000000006</v>
      </c>
      <c r="K470" s="1199">
        <v>83904</v>
      </c>
      <c r="L470" s="1199">
        <v>84192</v>
      </c>
      <c r="M470" s="1199">
        <v>84844</v>
      </c>
      <c r="N470" s="1199">
        <v>84860</v>
      </c>
      <c r="O470" s="1197">
        <f t="shared" ref="O470:AC470" si="399">N470+O471</f>
        <v>84860</v>
      </c>
      <c r="P470" s="1197">
        <f t="shared" si="399"/>
        <v>84860</v>
      </c>
      <c r="Q470" s="1267">
        <v>84502.9</v>
      </c>
      <c r="R470" s="1197">
        <f t="shared" si="399"/>
        <v>82502.899999999994</v>
      </c>
      <c r="S470" s="1197">
        <f t="shared" si="399"/>
        <v>83052.899999999994</v>
      </c>
      <c r="T470" s="1197">
        <f t="shared" si="399"/>
        <v>83052.899999999994</v>
      </c>
      <c r="U470" s="1197">
        <f t="shared" si="399"/>
        <v>83052.899999999994</v>
      </c>
      <c r="V470" s="1197">
        <f t="shared" si="399"/>
        <v>83052.899999999994</v>
      </c>
      <c r="W470" s="1197">
        <f t="shared" si="399"/>
        <v>83052.899999999994</v>
      </c>
      <c r="X470" s="1197">
        <f t="shared" si="399"/>
        <v>83052.899999999994</v>
      </c>
      <c r="Y470" s="1197">
        <f t="shared" si="399"/>
        <v>83052.899999999994</v>
      </c>
      <c r="Z470" s="1197">
        <f t="shared" si="399"/>
        <v>83052.899999999994</v>
      </c>
      <c r="AA470" s="1197">
        <f t="shared" si="399"/>
        <v>83052.899999999994</v>
      </c>
      <c r="AB470" s="1197">
        <f t="shared" si="399"/>
        <v>83052.899999999994</v>
      </c>
      <c r="AC470" s="1197">
        <f t="shared" si="399"/>
        <v>83052.899999999994</v>
      </c>
      <c r="AD470" s="685"/>
      <c r="AE470" s="685"/>
      <c r="AF470" s="685"/>
      <c r="AG470" s="685"/>
      <c r="AH470" s="685"/>
      <c r="AI470" s="685"/>
      <c r="AJ470" s="685"/>
      <c r="AK470" s="685"/>
      <c r="AL470" s="685"/>
      <c r="AM470" s="685"/>
      <c r="AN470" s="685"/>
      <c r="AO470" s="685"/>
      <c r="AP470" s="685"/>
      <c r="AQ470" s="685"/>
      <c r="AR470" s="685"/>
      <c r="AS470" s="685"/>
      <c r="AT470" s="685"/>
      <c r="AU470" s="685"/>
      <c r="AV470" s="685"/>
      <c r="AW470" s="685"/>
      <c r="AX470" s="685"/>
      <c r="AY470" s="685"/>
    </row>
    <row r="471" spans="1:51">
      <c r="A471" s="685"/>
      <c r="B471" s="1189" t="s">
        <v>330</v>
      </c>
      <c r="C471" s="1189"/>
      <c r="D471" s="1198"/>
      <c r="E471" s="1189"/>
      <c r="F471" s="1192"/>
      <c r="G471" s="1189"/>
      <c r="H471" s="1261"/>
      <c r="I471" s="1261"/>
      <c r="J471" s="1197">
        <f>J470-I470</f>
        <v>83038.100000000006</v>
      </c>
      <c r="K471" s="1197">
        <f>K470-J470</f>
        <v>865.89999999999418</v>
      </c>
      <c r="L471" s="1197">
        <f>L470-K470</f>
        <v>288</v>
      </c>
      <c r="M471" s="1197">
        <f>M470-L470</f>
        <v>652</v>
      </c>
      <c r="N471" s="1197">
        <f>N470-M470</f>
        <v>16</v>
      </c>
      <c r="O471" s="1260">
        <v>0</v>
      </c>
      <c r="P471" s="1260">
        <v>0</v>
      </c>
      <c r="Q471" s="1260">
        <v>0</v>
      </c>
      <c r="R471" s="1260">
        <v>-2000</v>
      </c>
      <c r="S471" s="1260">
        <v>550</v>
      </c>
      <c r="T471" s="1260">
        <v>0</v>
      </c>
      <c r="U471" s="1260">
        <v>0</v>
      </c>
      <c r="V471" s="1260">
        <v>0</v>
      </c>
      <c r="W471" s="1260">
        <v>0</v>
      </c>
      <c r="X471" s="1260">
        <v>0</v>
      </c>
      <c r="Y471" s="1260">
        <v>0</v>
      </c>
      <c r="Z471" s="1260">
        <v>0</v>
      </c>
      <c r="AA471" s="1260">
        <v>0</v>
      </c>
      <c r="AB471" s="1260">
        <v>0</v>
      </c>
      <c r="AC471" s="1260">
        <v>0</v>
      </c>
      <c r="AD471" s="685"/>
      <c r="AE471" s="685"/>
      <c r="AF471" s="685"/>
      <c r="AG471" s="685"/>
      <c r="AH471" s="685"/>
      <c r="AI471" s="685"/>
      <c r="AJ471" s="685"/>
      <c r="AK471" s="685"/>
      <c r="AL471" s="685"/>
      <c r="AM471" s="685"/>
      <c r="AN471" s="685"/>
      <c r="AO471" s="685"/>
      <c r="AP471" s="685"/>
      <c r="AQ471" s="685"/>
      <c r="AR471" s="685"/>
      <c r="AS471" s="685"/>
      <c r="AT471" s="685"/>
      <c r="AU471" s="685"/>
      <c r="AV471" s="685"/>
      <c r="AW471" s="685"/>
      <c r="AX471" s="685"/>
      <c r="AY471" s="685"/>
    </row>
    <row r="472" spans="1:51">
      <c r="A472" s="685"/>
      <c r="B472" s="1189" t="s">
        <v>331</v>
      </c>
      <c r="C472" s="1189"/>
      <c r="D472" s="1198"/>
      <c r="E472" s="1189"/>
      <c r="F472" s="1192"/>
      <c r="G472" s="1189"/>
      <c r="H472" s="1261"/>
      <c r="I472" s="1261"/>
      <c r="J472" s="1261">
        <f t="shared" ref="J472:AC472" si="400">(I470+J470)/2</f>
        <v>41519.050000000003</v>
      </c>
      <c r="K472" s="1261">
        <f t="shared" si="400"/>
        <v>83471.05</v>
      </c>
      <c r="L472" s="1261">
        <f t="shared" si="400"/>
        <v>84048</v>
      </c>
      <c r="M472" s="1261">
        <f t="shared" si="400"/>
        <v>84518</v>
      </c>
      <c r="N472" s="1261">
        <f t="shared" si="400"/>
        <v>84852</v>
      </c>
      <c r="O472" s="1261">
        <f t="shared" si="400"/>
        <v>84860</v>
      </c>
      <c r="P472" s="1261">
        <f t="shared" si="400"/>
        <v>84860</v>
      </c>
      <c r="Q472" s="1261">
        <f t="shared" si="400"/>
        <v>84681.45</v>
      </c>
      <c r="R472" s="1261">
        <f t="shared" si="400"/>
        <v>83502.899999999994</v>
      </c>
      <c r="S472" s="1261">
        <f t="shared" si="400"/>
        <v>82777.899999999994</v>
      </c>
      <c r="T472" s="1261">
        <f t="shared" si="400"/>
        <v>83052.899999999994</v>
      </c>
      <c r="U472" s="1261">
        <f t="shared" si="400"/>
        <v>83052.899999999994</v>
      </c>
      <c r="V472" s="1261">
        <f t="shared" si="400"/>
        <v>83052.899999999994</v>
      </c>
      <c r="W472" s="1261">
        <f t="shared" si="400"/>
        <v>83052.899999999994</v>
      </c>
      <c r="X472" s="1261">
        <f t="shared" si="400"/>
        <v>83052.899999999994</v>
      </c>
      <c r="Y472" s="1261">
        <f t="shared" si="400"/>
        <v>83052.899999999994</v>
      </c>
      <c r="Z472" s="1261">
        <f t="shared" si="400"/>
        <v>83052.899999999994</v>
      </c>
      <c r="AA472" s="1261">
        <f t="shared" si="400"/>
        <v>83052.899999999994</v>
      </c>
      <c r="AB472" s="1261">
        <f t="shared" si="400"/>
        <v>83052.899999999994</v>
      </c>
      <c r="AC472" s="1261">
        <f t="shared" si="400"/>
        <v>83052.899999999994</v>
      </c>
      <c r="AD472" s="685"/>
      <c r="AE472" s="685"/>
      <c r="AF472" s="685"/>
      <c r="AG472" s="685"/>
      <c r="AH472" s="685"/>
      <c r="AI472" s="685"/>
      <c r="AJ472" s="685"/>
      <c r="AK472" s="685"/>
      <c r="AL472" s="685"/>
      <c r="AM472" s="685"/>
      <c r="AN472" s="685"/>
      <c r="AO472" s="685"/>
      <c r="AP472" s="685"/>
      <c r="AQ472" s="685"/>
      <c r="AR472" s="685"/>
      <c r="AS472" s="685"/>
      <c r="AT472" s="685"/>
      <c r="AU472" s="685"/>
      <c r="AV472" s="685"/>
      <c r="AW472" s="685"/>
      <c r="AX472" s="685"/>
      <c r="AY472" s="685"/>
    </row>
    <row r="473" spans="1:51">
      <c r="A473" s="685"/>
      <c r="B473" s="1189" t="s">
        <v>332</v>
      </c>
      <c r="C473" s="1189"/>
      <c r="D473" s="1198"/>
      <c r="E473" s="1189"/>
      <c r="F473" s="1192"/>
      <c r="G473" s="1189"/>
      <c r="H473" s="1261"/>
      <c r="I473" s="1261"/>
      <c r="J473" s="1199">
        <v>7055.7</v>
      </c>
      <c r="K473" s="1261">
        <f t="shared" ref="K473:P473" si="401">J473</f>
        <v>7055.7</v>
      </c>
      <c r="L473" s="1261">
        <f t="shared" si="401"/>
        <v>7055.7</v>
      </c>
      <c r="M473" s="1261">
        <f t="shared" si="401"/>
        <v>7055.7</v>
      </c>
      <c r="N473" s="1199">
        <v>5227</v>
      </c>
      <c r="O473" s="1261">
        <f t="shared" si="401"/>
        <v>5227</v>
      </c>
      <c r="P473" s="1261">
        <f t="shared" si="401"/>
        <v>5227</v>
      </c>
      <c r="Q473" s="1286">
        <v>4051.2</v>
      </c>
      <c r="R473" s="1261">
        <f t="shared" ref="R473:AC473" si="402">Q473-R471</f>
        <v>6051.2</v>
      </c>
      <c r="S473" s="1261">
        <f t="shared" si="402"/>
        <v>5501.2</v>
      </c>
      <c r="T473" s="1261">
        <f t="shared" si="402"/>
        <v>5501.2</v>
      </c>
      <c r="U473" s="1261">
        <f t="shared" si="402"/>
        <v>5501.2</v>
      </c>
      <c r="V473" s="1261">
        <f t="shared" si="402"/>
        <v>5501.2</v>
      </c>
      <c r="W473" s="1261">
        <f t="shared" si="402"/>
        <v>5501.2</v>
      </c>
      <c r="X473" s="1261">
        <f t="shared" si="402"/>
        <v>5501.2</v>
      </c>
      <c r="Y473" s="1261">
        <f t="shared" si="402"/>
        <v>5501.2</v>
      </c>
      <c r="Z473" s="1261">
        <f t="shared" si="402"/>
        <v>5501.2</v>
      </c>
      <c r="AA473" s="1261">
        <f t="shared" si="402"/>
        <v>5501.2</v>
      </c>
      <c r="AB473" s="1261">
        <f t="shared" si="402"/>
        <v>5501.2</v>
      </c>
      <c r="AC473" s="1261">
        <f t="shared" si="402"/>
        <v>5501.2</v>
      </c>
      <c r="AD473" s="685"/>
      <c r="AE473" s="685"/>
      <c r="AF473" s="685"/>
      <c r="AG473" s="685"/>
      <c r="AH473" s="685"/>
      <c r="AI473" s="685"/>
      <c r="AJ473" s="685"/>
      <c r="AK473" s="685"/>
      <c r="AL473" s="685"/>
      <c r="AM473" s="685"/>
      <c r="AN473" s="685"/>
      <c r="AO473" s="685"/>
      <c r="AP473" s="685"/>
      <c r="AQ473" s="685"/>
      <c r="AR473" s="685"/>
      <c r="AS473" s="685"/>
      <c r="AT473" s="685"/>
      <c r="AU473" s="685"/>
      <c r="AV473" s="685"/>
      <c r="AW473" s="685"/>
      <c r="AX473" s="685"/>
      <c r="AY473" s="685"/>
    </row>
    <row r="474" spans="1:51">
      <c r="A474" s="685"/>
      <c r="B474" s="1189" t="s">
        <v>333</v>
      </c>
      <c r="C474" s="1189"/>
      <c r="D474" s="1198"/>
      <c r="E474" s="1189"/>
      <c r="F474" s="1192"/>
      <c r="G474" s="1189"/>
      <c r="H474" s="1261"/>
      <c r="I474" s="1261"/>
      <c r="J474" s="1295">
        <f t="shared" ref="J474:Q474" si="403">J473/J470</f>
        <v>8.4969429695525303E-2</v>
      </c>
      <c r="K474" s="1295">
        <f t="shared" si="403"/>
        <v>8.4092534324942791E-2</v>
      </c>
      <c r="L474" s="1295">
        <f t="shared" si="403"/>
        <v>8.380487457240593E-2</v>
      </c>
      <c r="M474" s="1295">
        <f t="shared" si="403"/>
        <v>8.3160859931167785E-2</v>
      </c>
      <c r="N474" s="1295">
        <f t="shared" si="403"/>
        <v>6.1595569172755125E-2</v>
      </c>
      <c r="O474" s="1295">
        <f t="shared" si="403"/>
        <v>6.1595569172755125E-2</v>
      </c>
      <c r="P474" s="1295">
        <f t="shared" si="403"/>
        <v>6.1595569172755125E-2</v>
      </c>
      <c r="Q474" s="1295">
        <f t="shared" si="403"/>
        <v>4.7941549934972648E-2</v>
      </c>
      <c r="R474" s="1295">
        <f t="shared" ref="R474:X474" si="404">R473/R470</f>
        <v>7.3345300589433823E-2</v>
      </c>
      <c r="S474" s="1295">
        <f t="shared" si="404"/>
        <v>6.6237301767909373E-2</v>
      </c>
      <c r="T474" s="1295">
        <f t="shared" si="404"/>
        <v>6.6237301767909373E-2</v>
      </c>
      <c r="U474" s="1295">
        <f t="shared" si="404"/>
        <v>6.6237301767909373E-2</v>
      </c>
      <c r="V474" s="1295">
        <f t="shared" si="404"/>
        <v>6.6237301767909373E-2</v>
      </c>
      <c r="W474" s="1295">
        <f t="shared" si="404"/>
        <v>6.6237301767909373E-2</v>
      </c>
      <c r="X474" s="1295">
        <f t="shared" si="404"/>
        <v>6.6237301767909373E-2</v>
      </c>
      <c r="Y474" s="1295">
        <f>Y473/Y470</f>
        <v>6.6237301767909373E-2</v>
      </c>
      <c r="Z474" s="1295">
        <f>Z473/Z470</f>
        <v>6.6237301767909373E-2</v>
      </c>
      <c r="AA474" s="1295">
        <f>AA473/AA470</f>
        <v>6.6237301767909373E-2</v>
      </c>
      <c r="AB474" s="1295">
        <f>AB473/AB470</f>
        <v>6.6237301767909373E-2</v>
      </c>
      <c r="AC474" s="1295">
        <f>AC473/AC470</f>
        <v>6.6237301767909373E-2</v>
      </c>
      <c r="AD474" s="685"/>
      <c r="AE474" s="685"/>
      <c r="AF474" s="685"/>
      <c r="AG474" s="685"/>
      <c r="AH474" s="685"/>
      <c r="AI474" s="685"/>
      <c r="AJ474" s="685"/>
      <c r="AK474" s="685"/>
      <c r="AL474" s="685"/>
      <c r="AM474" s="685"/>
      <c r="AN474" s="685"/>
      <c r="AO474" s="685"/>
      <c r="AP474" s="685"/>
      <c r="AQ474" s="685"/>
      <c r="AR474" s="685"/>
      <c r="AS474" s="685"/>
      <c r="AT474" s="685"/>
      <c r="AU474" s="685"/>
      <c r="AV474" s="685"/>
      <c r="AW474" s="685"/>
      <c r="AX474" s="685"/>
      <c r="AY474" s="685"/>
    </row>
    <row r="475" spans="1:51">
      <c r="A475" s="685"/>
      <c r="B475" s="1189" t="s">
        <v>334</v>
      </c>
      <c r="C475" s="1189"/>
      <c r="D475" s="1198"/>
      <c r="E475" s="1189"/>
      <c r="F475" s="1192"/>
      <c r="G475" s="1189"/>
      <c r="H475" s="1261"/>
      <c r="I475" s="1261"/>
      <c r="J475" s="1261">
        <f>J470+J473</f>
        <v>90093.8</v>
      </c>
      <c r="K475" s="1261">
        <f t="shared" ref="K475:Q475" si="405">K470+K473</f>
        <v>90959.7</v>
      </c>
      <c r="L475" s="1261">
        <f t="shared" si="405"/>
        <v>91247.7</v>
      </c>
      <c r="M475" s="1261">
        <f t="shared" si="405"/>
        <v>91899.7</v>
      </c>
      <c r="N475" s="1261">
        <f t="shared" si="405"/>
        <v>90087</v>
      </c>
      <c r="O475" s="1261">
        <f t="shared" si="405"/>
        <v>90087</v>
      </c>
      <c r="P475" s="1261">
        <f t="shared" si="405"/>
        <v>90087</v>
      </c>
      <c r="Q475" s="1261">
        <f t="shared" si="405"/>
        <v>88554.099999999991</v>
      </c>
      <c r="R475" s="1261">
        <f t="shared" ref="R475:X475" si="406">R470+R473</f>
        <v>88554.099999999991</v>
      </c>
      <c r="S475" s="1261">
        <f t="shared" si="406"/>
        <v>88554.099999999991</v>
      </c>
      <c r="T475" s="1261">
        <f t="shared" si="406"/>
        <v>88554.099999999991</v>
      </c>
      <c r="U475" s="1261">
        <f t="shared" si="406"/>
        <v>88554.099999999991</v>
      </c>
      <c r="V475" s="1261">
        <f t="shared" si="406"/>
        <v>88554.099999999991</v>
      </c>
      <c r="W475" s="1261">
        <f t="shared" si="406"/>
        <v>88554.099999999991</v>
      </c>
      <c r="X475" s="1261">
        <f t="shared" si="406"/>
        <v>88554.099999999991</v>
      </c>
      <c r="Y475" s="1261">
        <f>Y470+Y473</f>
        <v>88554.099999999991</v>
      </c>
      <c r="Z475" s="1261">
        <f>Z470+Z473</f>
        <v>88554.099999999991</v>
      </c>
      <c r="AA475" s="1261">
        <f>AA470+AA473</f>
        <v>88554.099999999991</v>
      </c>
      <c r="AB475" s="1261">
        <f>AB470+AB473</f>
        <v>88554.099999999991</v>
      </c>
      <c r="AC475" s="1261">
        <f>AC470+AC473</f>
        <v>88554.099999999991</v>
      </c>
      <c r="AD475" s="685"/>
      <c r="AE475" s="685"/>
      <c r="AF475" s="685"/>
      <c r="AG475" s="685"/>
      <c r="AH475" s="685"/>
      <c r="AI475" s="685"/>
      <c r="AJ475" s="685"/>
      <c r="AK475" s="685"/>
      <c r="AL475" s="685"/>
      <c r="AM475" s="685"/>
      <c r="AN475" s="685"/>
      <c r="AO475" s="685"/>
      <c r="AP475" s="685"/>
      <c r="AQ475" s="685"/>
      <c r="AR475" s="685"/>
      <c r="AS475" s="685"/>
      <c r="AT475" s="685"/>
      <c r="AU475" s="685"/>
      <c r="AV475" s="685"/>
      <c r="AW475" s="685"/>
      <c r="AX475" s="685"/>
      <c r="AY475" s="685"/>
    </row>
    <row r="476" spans="1:51">
      <c r="A476" s="685"/>
      <c r="B476" s="1189"/>
      <c r="C476" s="1189"/>
      <c r="D476" s="1198"/>
      <c r="E476" s="1189"/>
      <c r="F476" s="1192"/>
      <c r="G476" s="1189"/>
      <c r="H476" s="1261"/>
      <c r="I476" s="1261"/>
      <c r="J476" s="1261"/>
      <c r="K476" s="1261"/>
      <c r="L476" s="1261"/>
      <c r="M476" s="1261"/>
      <c r="N476" s="1261"/>
      <c r="O476" s="1261"/>
      <c r="P476" s="1261"/>
      <c r="Q476" s="1261"/>
      <c r="R476" s="1261"/>
      <c r="S476" s="1261"/>
      <c r="T476" s="1261"/>
      <c r="U476" s="1261"/>
      <c r="V476" s="1261"/>
      <c r="W476" s="1261"/>
      <c r="X476" s="1261"/>
      <c r="Y476" s="1261"/>
      <c r="Z476" s="1261"/>
      <c r="AA476" s="1261"/>
      <c r="AB476" s="1261"/>
      <c r="AC476" s="1261"/>
      <c r="AD476" s="685"/>
      <c r="AE476" s="685"/>
      <c r="AF476" s="685"/>
      <c r="AG476" s="685"/>
      <c r="AH476" s="685"/>
      <c r="AI476" s="685"/>
      <c r="AJ476" s="685"/>
      <c r="AK476" s="685"/>
      <c r="AL476" s="685"/>
      <c r="AM476" s="685"/>
      <c r="AN476" s="685"/>
      <c r="AO476" s="685"/>
      <c r="AP476" s="685"/>
      <c r="AQ476" s="685"/>
      <c r="AR476" s="685"/>
      <c r="AS476" s="685"/>
      <c r="AT476" s="685"/>
      <c r="AU476" s="685"/>
      <c r="AV476" s="685"/>
      <c r="AW476" s="685"/>
      <c r="AX476" s="685"/>
      <c r="AY476" s="685"/>
    </row>
    <row r="477" spans="1:51">
      <c r="A477" s="685"/>
      <c r="B477" s="1189" t="s">
        <v>393</v>
      </c>
      <c r="C477" s="1189"/>
      <c r="D477" s="1198"/>
      <c r="E477" s="1189"/>
      <c r="F477" s="1192"/>
      <c r="G477" s="1189"/>
      <c r="H477" s="1261"/>
      <c r="I477" s="1261"/>
      <c r="J477" s="1199">
        <v>83038.100000000006</v>
      </c>
      <c r="K477" s="1199">
        <v>83904</v>
      </c>
      <c r="L477" s="1199">
        <v>84192</v>
      </c>
      <c r="M477" s="1199">
        <v>84844</v>
      </c>
      <c r="N477" s="1199">
        <v>84860</v>
      </c>
      <c r="O477" s="1197">
        <f t="shared" ref="O477:AC477" si="407">N477+O478</f>
        <v>84860</v>
      </c>
      <c r="P477" s="1197">
        <f t="shared" si="407"/>
        <v>84860</v>
      </c>
      <c r="Q477" s="1267">
        <v>84502.9</v>
      </c>
      <c r="R477" s="1197">
        <f t="shared" si="407"/>
        <v>82502.899999999994</v>
      </c>
      <c r="S477" s="1197">
        <f t="shared" si="407"/>
        <v>83052.899999999994</v>
      </c>
      <c r="T477" s="1197">
        <f t="shared" si="407"/>
        <v>83052.899999999994</v>
      </c>
      <c r="U477" s="1197">
        <f t="shared" si="407"/>
        <v>83052.899999999994</v>
      </c>
      <c r="V477" s="1197">
        <f t="shared" si="407"/>
        <v>83052.899999999994</v>
      </c>
      <c r="W477" s="1197">
        <f t="shared" si="407"/>
        <v>83052.899999999994</v>
      </c>
      <c r="X477" s="1197">
        <f t="shared" si="407"/>
        <v>83052.899999999994</v>
      </c>
      <c r="Y477" s="1197">
        <f t="shared" si="407"/>
        <v>83052.899999999994</v>
      </c>
      <c r="Z477" s="1197">
        <f t="shared" si="407"/>
        <v>83052.899999999994</v>
      </c>
      <c r="AA477" s="1197">
        <f t="shared" si="407"/>
        <v>83052.899999999994</v>
      </c>
      <c r="AB477" s="1197">
        <f t="shared" si="407"/>
        <v>83052.899999999994</v>
      </c>
      <c r="AC477" s="1197">
        <f t="shared" si="407"/>
        <v>83052.899999999994</v>
      </c>
      <c r="AD477" s="685"/>
      <c r="AE477" s="685"/>
      <c r="AF477" s="685"/>
      <c r="AG477" s="685"/>
      <c r="AH477" s="685"/>
      <c r="AI477" s="685"/>
      <c r="AJ477" s="685"/>
      <c r="AK477" s="685"/>
      <c r="AL477" s="685"/>
      <c r="AM477" s="685"/>
      <c r="AN477" s="685"/>
      <c r="AO477" s="685"/>
      <c r="AP477" s="685"/>
      <c r="AQ477" s="685"/>
      <c r="AR477" s="685"/>
      <c r="AS477" s="685"/>
      <c r="AT477" s="685"/>
      <c r="AU477" s="685"/>
      <c r="AV477" s="685"/>
      <c r="AW477" s="685"/>
      <c r="AX477" s="685"/>
      <c r="AY477" s="685"/>
    </row>
    <row r="478" spans="1:51">
      <c r="A478" s="685"/>
      <c r="B478" s="1189" t="s">
        <v>330</v>
      </c>
      <c r="C478" s="1189"/>
      <c r="D478" s="1198"/>
      <c r="E478" s="1189"/>
      <c r="F478" s="1192"/>
      <c r="G478" s="1189"/>
      <c r="H478" s="1261"/>
      <c r="I478" s="1261"/>
      <c r="J478" s="1197">
        <f>J477-I477</f>
        <v>83038.100000000006</v>
      </c>
      <c r="K478" s="1197">
        <f>K477-J477</f>
        <v>865.89999999999418</v>
      </c>
      <c r="L478" s="1197">
        <f>L477-K477</f>
        <v>288</v>
      </c>
      <c r="M478" s="1197">
        <f>M477-L477</f>
        <v>652</v>
      </c>
      <c r="N478" s="1197">
        <f>N477-M477</f>
        <v>16</v>
      </c>
      <c r="O478" s="1260">
        <v>0</v>
      </c>
      <c r="P478" s="1260">
        <v>0</v>
      </c>
      <c r="Q478" s="1260">
        <v>0</v>
      </c>
      <c r="R478" s="1260">
        <v>-2000</v>
      </c>
      <c r="S478" s="1260">
        <v>550</v>
      </c>
      <c r="T478" s="1260">
        <v>0</v>
      </c>
      <c r="U478" s="1260">
        <v>0</v>
      </c>
      <c r="V478" s="1260">
        <v>0</v>
      </c>
      <c r="W478" s="1260">
        <v>0</v>
      </c>
      <c r="X478" s="1260">
        <v>0</v>
      </c>
      <c r="Y478" s="1260">
        <v>0</v>
      </c>
      <c r="Z478" s="1260">
        <v>0</v>
      </c>
      <c r="AA478" s="1260">
        <v>0</v>
      </c>
      <c r="AB478" s="1260">
        <v>0</v>
      </c>
      <c r="AC478" s="1260">
        <v>0</v>
      </c>
      <c r="AD478" s="685"/>
      <c r="AE478" s="685"/>
      <c r="AF478" s="685"/>
      <c r="AG478" s="685"/>
      <c r="AH478" s="685"/>
      <c r="AI478" s="685"/>
      <c r="AJ478" s="685"/>
      <c r="AK478" s="685"/>
      <c r="AL478" s="685"/>
      <c r="AM478" s="685"/>
      <c r="AN478" s="685"/>
      <c r="AO478" s="685"/>
      <c r="AP478" s="685"/>
      <c r="AQ478" s="685"/>
      <c r="AR478" s="685"/>
      <c r="AS478" s="685"/>
      <c r="AT478" s="685"/>
      <c r="AU478" s="685"/>
      <c r="AV478" s="685"/>
      <c r="AW478" s="685"/>
      <c r="AX478" s="685"/>
      <c r="AY478" s="685"/>
    </row>
    <row r="479" spans="1:51">
      <c r="A479" s="685"/>
      <c r="B479" s="1189" t="s">
        <v>331</v>
      </c>
      <c r="C479" s="1189"/>
      <c r="D479" s="1198"/>
      <c r="E479" s="1189"/>
      <c r="F479" s="1192"/>
      <c r="G479" s="1189"/>
      <c r="H479" s="1261"/>
      <c r="I479" s="1261"/>
      <c r="J479" s="1261">
        <f t="shared" ref="J479:AC479" si="408">(I477+J477)/2</f>
        <v>41519.050000000003</v>
      </c>
      <c r="K479" s="1261">
        <f t="shared" si="408"/>
        <v>83471.05</v>
      </c>
      <c r="L479" s="1261">
        <f t="shared" si="408"/>
        <v>84048</v>
      </c>
      <c r="M479" s="1261">
        <f t="shared" si="408"/>
        <v>84518</v>
      </c>
      <c r="N479" s="1261">
        <f t="shared" si="408"/>
        <v>84852</v>
      </c>
      <c r="O479" s="1261">
        <f t="shared" si="408"/>
        <v>84860</v>
      </c>
      <c r="P479" s="1261">
        <f t="shared" si="408"/>
        <v>84860</v>
      </c>
      <c r="Q479" s="1261">
        <f t="shared" si="408"/>
        <v>84681.45</v>
      </c>
      <c r="R479" s="1261">
        <f t="shared" si="408"/>
        <v>83502.899999999994</v>
      </c>
      <c r="S479" s="1261">
        <f t="shared" si="408"/>
        <v>82777.899999999994</v>
      </c>
      <c r="T479" s="1261">
        <f t="shared" si="408"/>
        <v>83052.899999999994</v>
      </c>
      <c r="U479" s="1261">
        <f t="shared" si="408"/>
        <v>83052.899999999994</v>
      </c>
      <c r="V479" s="1261">
        <f t="shared" si="408"/>
        <v>83052.899999999994</v>
      </c>
      <c r="W479" s="1261">
        <f t="shared" si="408"/>
        <v>83052.899999999994</v>
      </c>
      <c r="X479" s="1261">
        <f t="shared" si="408"/>
        <v>83052.899999999994</v>
      </c>
      <c r="Y479" s="1261">
        <f t="shared" si="408"/>
        <v>83052.899999999994</v>
      </c>
      <c r="Z479" s="1261">
        <f t="shared" si="408"/>
        <v>83052.899999999994</v>
      </c>
      <c r="AA479" s="1261">
        <f t="shared" si="408"/>
        <v>83052.899999999994</v>
      </c>
      <c r="AB479" s="1261">
        <f t="shared" si="408"/>
        <v>83052.899999999994</v>
      </c>
      <c r="AC479" s="1261">
        <f t="shared" si="408"/>
        <v>83052.899999999994</v>
      </c>
      <c r="AD479" s="685"/>
      <c r="AE479" s="685"/>
      <c r="AF479" s="685"/>
      <c r="AG479" s="685"/>
      <c r="AH479" s="685"/>
      <c r="AI479" s="685"/>
      <c r="AJ479" s="685"/>
      <c r="AK479" s="685"/>
      <c r="AL479" s="685"/>
      <c r="AM479" s="685"/>
      <c r="AN479" s="685"/>
      <c r="AO479" s="685"/>
      <c r="AP479" s="685"/>
      <c r="AQ479" s="685"/>
      <c r="AR479" s="685"/>
      <c r="AS479" s="685"/>
      <c r="AT479" s="685"/>
      <c r="AU479" s="685"/>
      <c r="AV479" s="685"/>
      <c r="AW479" s="685"/>
      <c r="AX479" s="685"/>
      <c r="AY479" s="685"/>
    </row>
    <row r="480" spans="1:51">
      <c r="A480" s="685"/>
      <c r="B480" s="1189" t="s">
        <v>332</v>
      </c>
      <c r="C480" s="1189"/>
      <c r="D480" s="1198"/>
      <c r="E480" s="1189"/>
      <c r="F480" s="1192"/>
      <c r="G480" s="1189"/>
      <c r="H480" s="1261"/>
      <c r="I480" s="1261"/>
      <c r="J480" s="1199">
        <v>7055.7</v>
      </c>
      <c r="K480" s="1261">
        <f t="shared" ref="K480:P480" si="409">J480</f>
        <v>7055.7</v>
      </c>
      <c r="L480" s="1261">
        <f t="shared" si="409"/>
        <v>7055.7</v>
      </c>
      <c r="M480" s="1261">
        <f t="shared" si="409"/>
        <v>7055.7</v>
      </c>
      <c r="N480" s="1199">
        <v>5227</v>
      </c>
      <c r="O480" s="1261">
        <f t="shared" si="409"/>
        <v>5227</v>
      </c>
      <c r="P480" s="1261">
        <f t="shared" si="409"/>
        <v>5227</v>
      </c>
      <c r="Q480" s="1286">
        <v>4051.2</v>
      </c>
      <c r="R480" s="1261">
        <f t="shared" ref="R480:AC480" si="410">Q480-R478</f>
        <v>6051.2</v>
      </c>
      <c r="S480" s="1261">
        <f t="shared" si="410"/>
        <v>5501.2</v>
      </c>
      <c r="T480" s="1261">
        <f t="shared" si="410"/>
        <v>5501.2</v>
      </c>
      <c r="U480" s="1261">
        <f t="shared" si="410"/>
        <v>5501.2</v>
      </c>
      <c r="V480" s="1261">
        <f t="shared" si="410"/>
        <v>5501.2</v>
      </c>
      <c r="W480" s="1261">
        <f t="shared" si="410"/>
        <v>5501.2</v>
      </c>
      <c r="X480" s="1261">
        <f t="shared" si="410"/>
        <v>5501.2</v>
      </c>
      <c r="Y480" s="1261">
        <f t="shared" si="410"/>
        <v>5501.2</v>
      </c>
      <c r="Z480" s="1261">
        <f t="shared" si="410"/>
        <v>5501.2</v>
      </c>
      <c r="AA480" s="1261">
        <f t="shared" si="410"/>
        <v>5501.2</v>
      </c>
      <c r="AB480" s="1261">
        <f t="shared" si="410"/>
        <v>5501.2</v>
      </c>
      <c r="AC480" s="1261">
        <f t="shared" si="410"/>
        <v>5501.2</v>
      </c>
      <c r="AD480" s="685"/>
      <c r="AE480" s="685"/>
      <c r="AF480" s="685"/>
      <c r="AG480" s="685"/>
      <c r="AH480" s="685"/>
      <c r="AI480" s="685"/>
      <c r="AJ480" s="685"/>
      <c r="AK480" s="685"/>
      <c r="AL480" s="685"/>
      <c r="AM480" s="685"/>
      <c r="AN480" s="685"/>
      <c r="AO480" s="685"/>
      <c r="AP480" s="685"/>
      <c r="AQ480" s="685"/>
      <c r="AR480" s="685"/>
      <c r="AS480" s="685"/>
      <c r="AT480" s="685"/>
      <c r="AU480" s="685"/>
      <c r="AV480" s="685"/>
      <c r="AW480" s="685"/>
      <c r="AX480" s="685"/>
      <c r="AY480" s="685"/>
    </row>
    <row r="481" spans="1:51">
      <c r="A481" s="685"/>
      <c r="B481" s="1189" t="s">
        <v>333</v>
      </c>
      <c r="C481" s="1189"/>
      <c r="D481" s="1198"/>
      <c r="E481" s="1189"/>
      <c r="F481" s="1192"/>
      <c r="G481" s="1189"/>
      <c r="H481" s="1261"/>
      <c r="I481" s="1261"/>
      <c r="J481" s="1295">
        <f t="shared" ref="J481:Q481" si="411">J480/J477</f>
        <v>8.4969429695525303E-2</v>
      </c>
      <c r="K481" s="1295">
        <f t="shared" si="411"/>
        <v>8.4092534324942791E-2</v>
      </c>
      <c r="L481" s="1295">
        <f t="shared" si="411"/>
        <v>8.380487457240593E-2</v>
      </c>
      <c r="M481" s="1295">
        <f t="shared" si="411"/>
        <v>8.3160859931167785E-2</v>
      </c>
      <c r="N481" s="1295">
        <f t="shared" si="411"/>
        <v>6.1595569172755125E-2</v>
      </c>
      <c r="O481" s="1295">
        <f t="shared" si="411"/>
        <v>6.1595569172755125E-2</v>
      </c>
      <c r="P481" s="1295">
        <f t="shared" si="411"/>
        <v>6.1595569172755125E-2</v>
      </c>
      <c r="Q481" s="1295">
        <f t="shared" si="411"/>
        <v>4.7941549934972648E-2</v>
      </c>
      <c r="R481" s="1295">
        <f t="shared" ref="R481:X481" si="412">R480/R477</f>
        <v>7.3345300589433823E-2</v>
      </c>
      <c r="S481" s="1295">
        <f t="shared" si="412"/>
        <v>6.6237301767909373E-2</v>
      </c>
      <c r="T481" s="1295">
        <f t="shared" si="412"/>
        <v>6.6237301767909373E-2</v>
      </c>
      <c r="U481" s="1295">
        <f t="shared" si="412"/>
        <v>6.6237301767909373E-2</v>
      </c>
      <c r="V481" s="1295">
        <f t="shared" si="412"/>
        <v>6.6237301767909373E-2</v>
      </c>
      <c r="W481" s="1295">
        <f t="shared" si="412"/>
        <v>6.6237301767909373E-2</v>
      </c>
      <c r="X481" s="1295">
        <f t="shared" si="412"/>
        <v>6.6237301767909373E-2</v>
      </c>
      <c r="Y481" s="1295">
        <f>Y480/Y477</f>
        <v>6.6237301767909373E-2</v>
      </c>
      <c r="Z481" s="1295">
        <f>Z480/Z477</f>
        <v>6.6237301767909373E-2</v>
      </c>
      <c r="AA481" s="1295">
        <f>AA480/AA477</f>
        <v>6.6237301767909373E-2</v>
      </c>
      <c r="AB481" s="1295">
        <f>AB480/AB477</f>
        <v>6.6237301767909373E-2</v>
      </c>
      <c r="AC481" s="1295">
        <f>AC480/AC477</f>
        <v>6.6237301767909373E-2</v>
      </c>
      <c r="AD481" s="685"/>
      <c r="AE481" s="685"/>
      <c r="AF481" s="685"/>
      <c r="AG481" s="685"/>
      <c r="AH481" s="685"/>
      <c r="AI481" s="685"/>
      <c r="AJ481" s="685"/>
      <c r="AK481" s="685"/>
      <c r="AL481" s="685"/>
      <c r="AM481" s="685"/>
      <c r="AN481" s="685"/>
      <c r="AO481" s="685"/>
      <c r="AP481" s="685"/>
      <c r="AQ481" s="685"/>
      <c r="AR481" s="685"/>
      <c r="AS481" s="685"/>
      <c r="AT481" s="685"/>
      <c r="AU481" s="685"/>
      <c r="AV481" s="685"/>
      <c r="AW481" s="685"/>
      <c r="AX481" s="685"/>
      <c r="AY481" s="685"/>
    </row>
    <row r="482" spans="1:51">
      <c r="A482" s="685"/>
      <c r="B482" s="1189" t="s">
        <v>334</v>
      </c>
      <c r="C482" s="1189"/>
      <c r="D482" s="1198"/>
      <c r="E482" s="1189"/>
      <c r="F482" s="1192"/>
      <c r="G482" s="1189"/>
      <c r="H482" s="1261"/>
      <c r="I482" s="1261"/>
      <c r="J482" s="1261">
        <f>J477+J480</f>
        <v>90093.8</v>
      </c>
      <c r="K482" s="1261">
        <f t="shared" ref="K482:Q482" si="413">K477+K480</f>
        <v>90959.7</v>
      </c>
      <c r="L482" s="1261">
        <f t="shared" si="413"/>
        <v>91247.7</v>
      </c>
      <c r="M482" s="1261">
        <f t="shared" si="413"/>
        <v>91899.7</v>
      </c>
      <c r="N482" s="1261">
        <f t="shared" si="413"/>
        <v>90087</v>
      </c>
      <c r="O482" s="1261">
        <f t="shared" si="413"/>
        <v>90087</v>
      </c>
      <c r="P482" s="1261">
        <f t="shared" si="413"/>
        <v>90087</v>
      </c>
      <c r="Q482" s="1261">
        <f t="shared" si="413"/>
        <v>88554.099999999991</v>
      </c>
      <c r="R482" s="1261">
        <f t="shared" ref="R482:X482" si="414">R477+R480</f>
        <v>88554.099999999991</v>
      </c>
      <c r="S482" s="1261">
        <f t="shared" si="414"/>
        <v>88554.099999999991</v>
      </c>
      <c r="T482" s="1261">
        <f t="shared" si="414"/>
        <v>88554.099999999991</v>
      </c>
      <c r="U482" s="1261">
        <f t="shared" si="414"/>
        <v>88554.099999999991</v>
      </c>
      <c r="V482" s="1261">
        <f t="shared" si="414"/>
        <v>88554.099999999991</v>
      </c>
      <c r="W482" s="1261">
        <f t="shared" si="414"/>
        <v>88554.099999999991</v>
      </c>
      <c r="X482" s="1261">
        <f t="shared" si="414"/>
        <v>88554.099999999991</v>
      </c>
      <c r="Y482" s="1261">
        <f>Y477+Y480</f>
        <v>88554.099999999991</v>
      </c>
      <c r="Z482" s="1261">
        <f>Z477+Z480</f>
        <v>88554.099999999991</v>
      </c>
      <c r="AA482" s="1261">
        <f>AA477+AA480</f>
        <v>88554.099999999991</v>
      </c>
      <c r="AB482" s="1261">
        <f>AB477+AB480</f>
        <v>88554.099999999991</v>
      </c>
      <c r="AC482" s="1261">
        <f>AC477+AC480</f>
        <v>88554.099999999991</v>
      </c>
      <c r="AD482" s="685"/>
      <c r="AE482" s="685"/>
      <c r="AF482" s="685"/>
      <c r="AG482" s="685"/>
      <c r="AH482" s="685"/>
      <c r="AI482" s="685"/>
      <c r="AJ482" s="685"/>
      <c r="AK482" s="685"/>
      <c r="AL482" s="685"/>
      <c r="AM482" s="685"/>
      <c r="AN482" s="685"/>
      <c r="AO482" s="685"/>
      <c r="AP482" s="685"/>
      <c r="AQ482" s="685"/>
      <c r="AR482" s="685"/>
      <c r="AS482" s="685"/>
      <c r="AT482" s="685"/>
      <c r="AU482" s="685"/>
      <c r="AV482" s="685"/>
      <c r="AW482" s="685"/>
      <c r="AX482" s="685"/>
      <c r="AY482" s="685"/>
    </row>
    <row r="483" spans="1:51">
      <c r="A483" s="685"/>
      <c r="B483" s="1189"/>
      <c r="C483" s="1261"/>
      <c r="D483" s="1261"/>
      <c r="E483" s="1261"/>
      <c r="F483" s="1261"/>
      <c r="G483" s="1261"/>
      <c r="H483" s="1261"/>
      <c r="I483" s="1261"/>
      <c r="J483" s="1261"/>
      <c r="K483" s="1261"/>
      <c r="L483" s="1261"/>
      <c r="M483" s="1261"/>
      <c r="N483" s="1261"/>
      <c r="O483" s="1261"/>
      <c r="P483" s="1261"/>
      <c r="Q483" s="1261"/>
      <c r="R483" s="1261"/>
      <c r="S483" s="1261"/>
      <c r="T483" s="1261"/>
      <c r="U483" s="1261"/>
      <c r="V483" s="1261"/>
      <c r="W483" s="1261"/>
      <c r="X483" s="1261"/>
      <c r="Y483" s="1261"/>
      <c r="Z483" s="1261"/>
      <c r="AA483" s="1261"/>
      <c r="AB483" s="1261"/>
      <c r="AC483" s="1261"/>
      <c r="AD483" s="685"/>
      <c r="AE483" s="685"/>
      <c r="AF483" s="685"/>
      <c r="AG483" s="685"/>
      <c r="AH483" s="685"/>
      <c r="AI483" s="685"/>
      <c r="AJ483" s="685"/>
      <c r="AK483" s="685"/>
      <c r="AL483" s="685"/>
      <c r="AM483" s="685"/>
      <c r="AN483" s="685"/>
      <c r="AO483" s="685"/>
      <c r="AP483" s="685"/>
      <c r="AQ483" s="685"/>
      <c r="AR483" s="685"/>
      <c r="AS483" s="685"/>
      <c r="AT483" s="685"/>
      <c r="AU483" s="685"/>
      <c r="AV483" s="685"/>
      <c r="AW483" s="685"/>
      <c r="AX483" s="685"/>
      <c r="AY483" s="685"/>
    </row>
    <row r="484" spans="1:51">
      <c r="A484" s="685"/>
      <c r="B484" s="1189" t="s">
        <v>364</v>
      </c>
      <c r="C484" s="1261"/>
      <c r="D484" s="1261"/>
      <c r="E484" s="1261"/>
      <c r="F484" s="1261"/>
      <c r="G484" s="1261"/>
      <c r="H484" s="1261"/>
      <c r="I484" s="1261"/>
      <c r="J484" s="1261">
        <f>J461+J468+J475+J482</f>
        <v>362444.39999999997</v>
      </c>
      <c r="K484" s="1261">
        <f t="shared" ref="K484:Q484" si="415">K461+K468+K475+K482</f>
        <v>365728.9</v>
      </c>
      <c r="L484" s="1261">
        <f t="shared" si="415"/>
        <v>367070.7</v>
      </c>
      <c r="M484" s="1261">
        <f t="shared" si="415"/>
        <v>369623.7</v>
      </c>
      <c r="N484" s="1261">
        <f t="shared" si="415"/>
        <v>362430.5</v>
      </c>
      <c r="O484" s="1261">
        <f t="shared" si="415"/>
        <v>362430.5</v>
      </c>
      <c r="P484" s="1261">
        <f t="shared" si="415"/>
        <v>362430.5</v>
      </c>
      <c r="Q484" s="1261">
        <f t="shared" si="415"/>
        <v>357307.29999999993</v>
      </c>
      <c r="R484" s="1261">
        <f t="shared" ref="R484:X484" si="416">R461+R468+R475+R482</f>
        <v>357307.29999999993</v>
      </c>
      <c r="S484" s="1261">
        <f t="shared" si="416"/>
        <v>357307.29999999993</v>
      </c>
      <c r="T484" s="1261">
        <f t="shared" si="416"/>
        <v>357307.29999999993</v>
      </c>
      <c r="U484" s="1261">
        <f t="shared" si="416"/>
        <v>357307.29999999993</v>
      </c>
      <c r="V484" s="1261">
        <f t="shared" si="416"/>
        <v>357307.29999999993</v>
      </c>
      <c r="W484" s="1261">
        <f t="shared" si="416"/>
        <v>357307.29999999993</v>
      </c>
      <c r="X484" s="1261">
        <f t="shared" si="416"/>
        <v>357307.29999999993</v>
      </c>
      <c r="Y484" s="1261">
        <f>Y461+Y468+Y475+Y482</f>
        <v>357307.29999999993</v>
      </c>
      <c r="Z484" s="1261">
        <f>Z461+Z468+Z475+Z482</f>
        <v>357307.29999999993</v>
      </c>
      <c r="AA484" s="1261">
        <f>AA461+AA468+AA475+AA482</f>
        <v>357307.29999999993</v>
      </c>
      <c r="AB484" s="1261">
        <f>AB461+AB468+AB475+AB482</f>
        <v>357307.29999999993</v>
      </c>
      <c r="AC484" s="1261">
        <f>AC461+AC468+AC475+AC482</f>
        <v>357307.29999999993</v>
      </c>
      <c r="AD484" s="685"/>
      <c r="AE484" s="685"/>
      <c r="AF484" s="685"/>
      <c r="AG484" s="685"/>
      <c r="AH484" s="685"/>
      <c r="AI484" s="685"/>
      <c r="AJ484" s="685"/>
      <c r="AK484" s="685"/>
      <c r="AL484" s="685"/>
      <c r="AM484" s="685"/>
      <c r="AN484" s="685"/>
      <c r="AO484" s="685"/>
      <c r="AP484" s="685"/>
      <c r="AQ484" s="685"/>
      <c r="AR484" s="685"/>
      <c r="AS484" s="685"/>
      <c r="AT484" s="685"/>
      <c r="AU484" s="685"/>
      <c r="AV484" s="685"/>
      <c r="AW484" s="685"/>
      <c r="AX484" s="685"/>
      <c r="AY484" s="685"/>
    </row>
    <row r="485" spans="1:51">
      <c r="A485" s="685"/>
      <c r="B485" s="1189" t="s">
        <v>363</v>
      </c>
      <c r="C485" s="1261"/>
      <c r="D485" s="1261"/>
      <c r="E485" s="1261"/>
      <c r="F485" s="1261"/>
      <c r="G485" s="1261"/>
      <c r="H485" s="1261"/>
      <c r="I485" s="1261"/>
      <c r="J485" s="1261">
        <f t="shared" ref="J485:AC485" si="417">AVERAGE(I484:J484)</f>
        <v>362444.39999999997</v>
      </c>
      <c r="K485" s="1261">
        <f t="shared" si="417"/>
        <v>364086.65</v>
      </c>
      <c r="L485" s="1261">
        <f t="shared" si="417"/>
        <v>366399.80000000005</v>
      </c>
      <c r="M485" s="1261">
        <f t="shared" si="417"/>
        <v>368347.2</v>
      </c>
      <c r="N485" s="1261">
        <f t="shared" si="417"/>
        <v>366027.1</v>
      </c>
      <c r="O485" s="1261">
        <f t="shared" si="417"/>
        <v>362430.5</v>
      </c>
      <c r="P485" s="1261">
        <f t="shared" si="417"/>
        <v>362430.5</v>
      </c>
      <c r="Q485" s="1261">
        <f t="shared" si="417"/>
        <v>359868.89999999997</v>
      </c>
      <c r="R485" s="1261">
        <f t="shared" si="417"/>
        <v>357307.29999999993</v>
      </c>
      <c r="S485" s="1261">
        <f t="shared" si="417"/>
        <v>357307.29999999993</v>
      </c>
      <c r="T485" s="1261">
        <f t="shared" si="417"/>
        <v>357307.29999999993</v>
      </c>
      <c r="U485" s="1261">
        <f t="shared" si="417"/>
        <v>357307.29999999993</v>
      </c>
      <c r="V485" s="1261">
        <f t="shared" si="417"/>
        <v>357307.29999999993</v>
      </c>
      <c r="W485" s="1261">
        <f t="shared" si="417"/>
        <v>357307.29999999993</v>
      </c>
      <c r="X485" s="1261">
        <f t="shared" si="417"/>
        <v>357307.29999999993</v>
      </c>
      <c r="Y485" s="1261">
        <f t="shared" si="417"/>
        <v>357307.29999999993</v>
      </c>
      <c r="Z485" s="1261">
        <f t="shared" si="417"/>
        <v>357307.29999999993</v>
      </c>
      <c r="AA485" s="1261">
        <f t="shared" si="417"/>
        <v>357307.29999999993</v>
      </c>
      <c r="AB485" s="1261">
        <f t="shared" si="417"/>
        <v>357307.29999999993</v>
      </c>
      <c r="AC485" s="1261">
        <f t="shared" si="417"/>
        <v>357307.29999999993</v>
      </c>
      <c r="AD485" s="685"/>
      <c r="AE485" s="685"/>
      <c r="AF485" s="685"/>
      <c r="AG485" s="685"/>
      <c r="AH485" s="685"/>
      <c r="AI485" s="685"/>
      <c r="AJ485" s="685"/>
      <c r="AK485" s="685"/>
      <c r="AL485" s="685"/>
      <c r="AM485" s="685"/>
      <c r="AN485" s="685"/>
      <c r="AO485" s="685"/>
      <c r="AP485" s="685"/>
      <c r="AQ485" s="685"/>
      <c r="AR485" s="685"/>
      <c r="AS485" s="685"/>
      <c r="AT485" s="685"/>
      <c r="AU485" s="685"/>
      <c r="AV485" s="685"/>
      <c r="AW485" s="685"/>
      <c r="AX485" s="685"/>
      <c r="AY485" s="685"/>
    </row>
    <row r="486" spans="1:51">
      <c r="A486" s="685"/>
      <c r="B486" s="1189"/>
      <c r="C486" s="1261"/>
      <c r="D486" s="1261"/>
      <c r="E486" s="1261"/>
      <c r="F486" s="1261"/>
      <c r="G486" s="1261"/>
      <c r="H486" s="1261"/>
      <c r="I486" s="1261"/>
      <c r="J486" s="1197"/>
      <c r="K486" s="1197"/>
      <c r="L486" s="1197"/>
      <c r="M486" s="1197"/>
      <c r="N486" s="1197"/>
      <c r="O486" s="1197"/>
      <c r="P486" s="1197"/>
      <c r="Q486" s="1197"/>
      <c r="R486" s="1197"/>
      <c r="S486" s="1197"/>
      <c r="T486" s="1197"/>
      <c r="U486" s="1197"/>
      <c r="V486" s="1197"/>
      <c r="W486" s="1197"/>
      <c r="X486" s="1197"/>
      <c r="Y486" s="1197"/>
      <c r="Z486" s="1197"/>
      <c r="AA486" s="1197"/>
      <c r="AB486" s="1197"/>
      <c r="AC486" s="1197"/>
      <c r="AD486" s="685"/>
      <c r="AE486" s="685"/>
      <c r="AF486" s="685"/>
      <c r="AG486" s="685"/>
      <c r="AH486" s="685"/>
      <c r="AI486" s="685"/>
      <c r="AJ486" s="685"/>
      <c r="AK486" s="685"/>
      <c r="AL486" s="685"/>
      <c r="AM486" s="685"/>
      <c r="AN486" s="685"/>
      <c r="AO486" s="685"/>
      <c r="AP486" s="685"/>
      <c r="AQ486" s="685"/>
      <c r="AR486" s="685"/>
      <c r="AS486" s="685"/>
      <c r="AT486" s="685"/>
      <c r="AU486" s="685"/>
      <c r="AV486" s="685"/>
      <c r="AW486" s="685"/>
      <c r="AX486" s="685"/>
      <c r="AY486" s="685"/>
    </row>
    <row r="487" spans="1:51">
      <c r="A487" s="685"/>
      <c r="B487" s="1189" t="s">
        <v>394</v>
      </c>
      <c r="C487" s="1261"/>
      <c r="D487" s="1261"/>
      <c r="E487" s="1286">
        <v>337782</v>
      </c>
      <c r="F487" s="1286">
        <v>329960</v>
      </c>
      <c r="G487" s="1286">
        <v>328393</v>
      </c>
      <c r="H487" s="1286">
        <v>327231</v>
      </c>
      <c r="I487" s="1286">
        <v>325023</v>
      </c>
      <c r="J487" s="1261">
        <f>J456+J463+J470+J477</f>
        <v>330876.7</v>
      </c>
      <c r="K487" s="1261">
        <f>K456+K463+K470+K477</f>
        <v>334161.2</v>
      </c>
      <c r="L487" s="1261">
        <f t="shared" ref="L487:Q487" si="418">L456+L463+L470+L477</f>
        <v>335503</v>
      </c>
      <c r="M487" s="1261">
        <f t="shared" si="418"/>
        <v>338056</v>
      </c>
      <c r="N487" s="1261">
        <f t="shared" si="418"/>
        <v>338469</v>
      </c>
      <c r="O487" s="1261">
        <f t="shared" si="418"/>
        <v>338469</v>
      </c>
      <c r="P487" s="1261">
        <f t="shared" si="418"/>
        <v>338469</v>
      </c>
      <c r="Q487" s="1261">
        <f t="shared" si="418"/>
        <v>338329.1</v>
      </c>
      <c r="R487" s="1261">
        <f t="shared" ref="R487:X487" si="419">R456+R463+R470+R477</f>
        <v>334329.09999999998</v>
      </c>
      <c r="S487" s="1261">
        <f t="shared" si="419"/>
        <v>335429.09999999998</v>
      </c>
      <c r="T487" s="1261">
        <f t="shared" si="419"/>
        <v>335429.09999999998</v>
      </c>
      <c r="U487" s="1261">
        <f t="shared" si="419"/>
        <v>335429.09999999998</v>
      </c>
      <c r="V487" s="1261">
        <f t="shared" si="419"/>
        <v>335429.09999999998</v>
      </c>
      <c r="W487" s="1261">
        <f t="shared" si="419"/>
        <v>335429.09999999998</v>
      </c>
      <c r="X487" s="1261">
        <f t="shared" si="419"/>
        <v>335429.09999999998</v>
      </c>
      <c r="Y487" s="1261">
        <f>Y456+Y463+Y470+Y477</f>
        <v>335429.09999999998</v>
      </c>
      <c r="Z487" s="1261">
        <f>Z456+Z463+Z470+Z477</f>
        <v>335429.09999999998</v>
      </c>
      <c r="AA487" s="1261">
        <f>AA456+AA463+AA470+AA477</f>
        <v>335429.09999999998</v>
      </c>
      <c r="AB487" s="1261">
        <f>AB456+AB463+AB470+AB477</f>
        <v>335429.09999999998</v>
      </c>
      <c r="AC487" s="1261">
        <f>AC456+AC463+AC470+AC477</f>
        <v>335429.09999999998</v>
      </c>
      <c r="AD487" s="685"/>
      <c r="AE487" s="685"/>
      <c r="AF487" s="685"/>
      <c r="AG487" s="685"/>
      <c r="AH487" s="685"/>
      <c r="AI487" s="685"/>
      <c r="AJ487" s="685"/>
      <c r="AK487" s="685"/>
      <c r="AL487" s="685"/>
      <c r="AM487" s="685"/>
      <c r="AN487" s="685"/>
      <c r="AO487" s="685"/>
      <c r="AP487" s="685"/>
      <c r="AQ487" s="685"/>
      <c r="AR487" s="685"/>
      <c r="AS487" s="685"/>
      <c r="AT487" s="685"/>
      <c r="AU487" s="685"/>
      <c r="AV487" s="685"/>
      <c r="AW487" s="685"/>
      <c r="AX487" s="685"/>
      <c r="AY487" s="685"/>
    </row>
    <row r="488" spans="1:51">
      <c r="A488" s="685"/>
      <c r="B488" s="1189" t="s">
        <v>363</v>
      </c>
      <c r="C488" s="1261"/>
      <c r="D488" s="1261"/>
      <c r="E488" s="1261"/>
      <c r="F488" s="1261"/>
      <c r="G488" s="1261"/>
      <c r="H488" s="1261"/>
      <c r="I488" s="1261"/>
      <c r="J488" s="1261">
        <f t="shared" ref="J488:AC488" si="420">AVERAGE(I487:J487)</f>
        <v>327949.84999999998</v>
      </c>
      <c r="K488" s="1261">
        <f t="shared" si="420"/>
        <v>332518.95</v>
      </c>
      <c r="L488" s="1261">
        <f t="shared" si="420"/>
        <v>334832.09999999998</v>
      </c>
      <c r="M488" s="1261">
        <f t="shared" si="420"/>
        <v>336779.5</v>
      </c>
      <c r="N488" s="1261">
        <f t="shared" si="420"/>
        <v>338262.5</v>
      </c>
      <c r="O488" s="1261">
        <f t="shared" si="420"/>
        <v>338469</v>
      </c>
      <c r="P488" s="1261">
        <f t="shared" si="420"/>
        <v>338469</v>
      </c>
      <c r="Q488" s="1261">
        <f t="shared" si="420"/>
        <v>338399.05</v>
      </c>
      <c r="R488" s="1261">
        <f t="shared" si="420"/>
        <v>336329.1</v>
      </c>
      <c r="S488" s="1261">
        <f t="shared" si="420"/>
        <v>334879.09999999998</v>
      </c>
      <c r="T488" s="1261">
        <f t="shared" si="420"/>
        <v>335429.09999999998</v>
      </c>
      <c r="U488" s="1261">
        <f t="shared" si="420"/>
        <v>335429.09999999998</v>
      </c>
      <c r="V488" s="1261">
        <f t="shared" si="420"/>
        <v>335429.09999999998</v>
      </c>
      <c r="W488" s="1261">
        <f t="shared" si="420"/>
        <v>335429.09999999998</v>
      </c>
      <c r="X488" s="1261">
        <f t="shared" si="420"/>
        <v>335429.09999999998</v>
      </c>
      <c r="Y488" s="1261">
        <f t="shared" si="420"/>
        <v>335429.09999999998</v>
      </c>
      <c r="Z488" s="1261">
        <f t="shared" si="420"/>
        <v>335429.09999999998</v>
      </c>
      <c r="AA488" s="1261">
        <f t="shared" si="420"/>
        <v>335429.09999999998</v>
      </c>
      <c r="AB488" s="1261">
        <f t="shared" si="420"/>
        <v>335429.09999999998</v>
      </c>
      <c r="AC488" s="1261">
        <f t="shared" si="420"/>
        <v>335429.09999999998</v>
      </c>
      <c r="AD488" s="685"/>
      <c r="AE488" s="685"/>
      <c r="AF488" s="685"/>
      <c r="AG488" s="685"/>
      <c r="AH488" s="685"/>
      <c r="AI488" s="685"/>
      <c r="AJ488" s="685"/>
      <c r="AK488" s="685"/>
      <c r="AL488" s="685"/>
      <c r="AM488" s="685"/>
      <c r="AN488" s="685"/>
      <c r="AO488" s="685"/>
      <c r="AP488" s="685"/>
      <c r="AQ488" s="685"/>
      <c r="AR488" s="685"/>
      <c r="AS488" s="685"/>
      <c r="AT488" s="685"/>
      <c r="AU488" s="685"/>
      <c r="AV488" s="685"/>
      <c r="AW488" s="685"/>
      <c r="AX488" s="685"/>
      <c r="AY488" s="685"/>
    </row>
    <row r="489" spans="1:51">
      <c r="A489" s="685"/>
      <c r="B489" s="1189"/>
      <c r="C489" s="1261"/>
      <c r="D489" s="1261"/>
      <c r="E489" s="1261"/>
      <c r="F489" s="1261"/>
      <c r="G489" s="1261"/>
      <c r="H489" s="1261"/>
      <c r="I489" s="1261"/>
      <c r="J489" s="1261"/>
      <c r="K489" s="1261"/>
      <c r="L489" s="1261"/>
      <c r="M489" s="1261"/>
      <c r="N489" s="1261"/>
      <c r="O489" s="1261"/>
      <c r="P489" s="1261"/>
      <c r="Q489" s="1261"/>
      <c r="R489" s="1261"/>
      <c r="S489" s="1261"/>
      <c r="T489" s="1261"/>
      <c r="U489" s="1261"/>
      <c r="V489" s="1261"/>
      <c r="W489" s="1261"/>
      <c r="X489" s="1261"/>
      <c r="Y489" s="1261"/>
      <c r="Z489" s="1261"/>
      <c r="AA489" s="1261"/>
      <c r="AB489" s="1261"/>
      <c r="AC489" s="1261"/>
      <c r="AD489" s="685"/>
      <c r="AE489" s="685"/>
      <c r="AF489" s="685"/>
      <c r="AG489" s="685"/>
      <c r="AH489" s="685"/>
      <c r="AI489" s="685"/>
      <c r="AJ489" s="685"/>
      <c r="AK489" s="685"/>
      <c r="AL489" s="685"/>
      <c r="AM489" s="685"/>
      <c r="AN489" s="685"/>
      <c r="AO489" s="685"/>
      <c r="AP489" s="685"/>
      <c r="AQ489" s="685"/>
      <c r="AR489" s="685"/>
      <c r="AS489" s="685"/>
      <c r="AT489" s="685"/>
      <c r="AU489" s="685"/>
      <c r="AV489" s="685"/>
      <c r="AW489" s="685"/>
      <c r="AX489" s="685"/>
      <c r="AY489" s="685"/>
    </row>
    <row r="490" spans="1:51">
      <c r="A490" s="685"/>
      <c r="B490" s="1296" t="s">
        <v>1073</v>
      </c>
      <c r="C490" s="1297"/>
      <c r="D490" s="1297"/>
      <c r="E490" s="1297">
        <f>E484/117</f>
        <v>0</v>
      </c>
      <c r="F490" s="1297">
        <f>F484/117</f>
        <v>0</v>
      </c>
      <c r="G490" s="1297">
        <f>G492+G491</f>
        <v>3037.8871794871793</v>
      </c>
      <c r="H490" s="1297">
        <f>H492+H491</f>
        <v>3041.255555555555</v>
      </c>
      <c r="I490" s="1297">
        <f>I491+I492</f>
        <v>3047.5837606837604</v>
      </c>
      <c r="J490" s="1297">
        <f>J484/117</f>
        <v>3097.8153846153841</v>
      </c>
      <c r="K490" s="1297">
        <f t="shared" ref="K490:Q490" si="421">K484/117</f>
        <v>3125.8880341880345</v>
      </c>
      <c r="L490" s="1297">
        <f t="shared" si="421"/>
        <v>3137.3564102564105</v>
      </c>
      <c r="M490" s="1297">
        <f t="shared" si="421"/>
        <v>3159.1769230769232</v>
      </c>
      <c r="N490" s="1297">
        <f>N484/117</f>
        <v>3097.6965811965811</v>
      </c>
      <c r="O490" s="1297">
        <f t="shared" si="421"/>
        <v>3097.6965811965811</v>
      </c>
      <c r="P490" s="1297">
        <f t="shared" si="421"/>
        <v>3097.6965811965811</v>
      </c>
      <c r="Q490" s="1297">
        <f t="shared" si="421"/>
        <v>3053.9085470085465</v>
      </c>
      <c r="R490" s="1297">
        <f t="shared" ref="R490:X490" si="422">R484/117</f>
        <v>3053.9085470085465</v>
      </c>
      <c r="S490" s="1297">
        <f t="shared" si="422"/>
        <v>3053.9085470085465</v>
      </c>
      <c r="T490" s="1297">
        <f t="shared" si="422"/>
        <v>3053.9085470085465</v>
      </c>
      <c r="U490" s="1297">
        <f t="shared" si="422"/>
        <v>3053.9085470085465</v>
      </c>
      <c r="V490" s="1297">
        <f t="shared" si="422"/>
        <v>3053.9085470085465</v>
      </c>
      <c r="W490" s="1297">
        <f t="shared" si="422"/>
        <v>3053.9085470085465</v>
      </c>
      <c r="X490" s="1297">
        <f t="shared" si="422"/>
        <v>3053.9085470085465</v>
      </c>
      <c r="Y490" s="1297">
        <f>Y484/117</f>
        <v>3053.9085470085465</v>
      </c>
      <c r="Z490" s="1297">
        <f>Z484/117</f>
        <v>3053.9085470085465</v>
      </c>
      <c r="AA490" s="1297">
        <f>AA484/117</f>
        <v>3053.9085470085465</v>
      </c>
      <c r="AB490" s="1297">
        <f>AB484/117</f>
        <v>3053.9085470085465</v>
      </c>
      <c r="AC490" s="1298">
        <f>AC484/117</f>
        <v>3053.9085470085465</v>
      </c>
      <c r="AD490" s="685"/>
      <c r="AE490" s="685"/>
      <c r="AF490" s="685"/>
      <c r="AG490" s="685"/>
      <c r="AH490" s="685"/>
      <c r="AI490" s="685"/>
      <c r="AJ490" s="685"/>
      <c r="AK490" s="685"/>
      <c r="AL490" s="685"/>
      <c r="AM490" s="685"/>
      <c r="AN490" s="685"/>
      <c r="AO490" s="685"/>
      <c r="AP490" s="685"/>
      <c r="AQ490" s="685"/>
      <c r="AR490" s="685"/>
      <c r="AS490" s="685"/>
      <c r="AT490" s="685"/>
      <c r="AU490" s="685"/>
      <c r="AV490" s="685"/>
      <c r="AW490" s="685"/>
      <c r="AX490" s="685"/>
      <c r="AY490" s="685"/>
    </row>
    <row r="491" spans="1:51">
      <c r="A491" s="685"/>
      <c r="B491" s="1299" t="s">
        <v>1074</v>
      </c>
      <c r="C491" s="1204"/>
      <c r="D491" s="1204"/>
      <c r="E491" s="1204"/>
      <c r="F491" s="1204"/>
      <c r="G491" s="1204">
        <f>H491-13.3</f>
        <v>231.10940170940131</v>
      </c>
      <c r="H491" s="1204">
        <f>I491-25.2</f>
        <v>244.40940170940132</v>
      </c>
      <c r="I491" s="1204">
        <f>J491-0.2</f>
        <v>269.60940170940131</v>
      </c>
      <c r="J491" s="1204">
        <f>J490-J492</f>
        <v>269.8094017094013</v>
      </c>
      <c r="K491" s="1204">
        <f t="shared" ref="K491:Q491" si="423">K490-K492</f>
        <v>269.80940170940175</v>
      </c>
      <c r="L491" s="1204">
        <f t="shared" si="423"/>
        <v>269.80940170940175</v>
      </c>
      <c r="M491" s="1204">
        <f t="shared" si="423"/>
        <v>269.80940170940175</v>
      </c>
      <c r="N491" s="1204">
        <f t="shared" si="423"/>
        <v>204.79914529914504</v>
      </c>
      <c r="O491" s="1204">
        <f t="shared" si="423"/>
        <v>204.79914529914504</v>
      </c>
      <c r="P491" s="1204">
        <f t="shared" si="423"/>
        <v>204.79914529914504</v>
      </c>
      <c r="Q491" s="1204">
        <f t="shared" si="423"/>
        <v>162.20683760683733</v>
      </c>
      <c r="R491" s="1204">
        <f t="shared" ref="R491:X491" si="424">R490-R492</f>
        <v>196.39487179487151</v>
      </c>
      <c r="S491" s="1204">
        <f t="shared" si="424"/>
        <v>186.99316239316204</v>
      </c>
      <c r="T491" s="1204">
        <f t="shared" si="424"/>
        <v>186.99316239316204</v>
      </c>
      <c r="U491" s="1204">
        <f t="shared" si="424"/>
        <v>186.99316239316204</v>
      </c>
      <c r="V491" s="1204">
        <f t="shared" si="424"/>
        <v>186.99316239316204</v>
      </c>
      <c r="W491" s="1204">
        <f t="shared" si="424"/>
        <v>186.99316239316204</v>
      </c>
      <c r="X491" s="1204">
        <f t="shared" si="424"/>
        <v>186.99316239316204</v>
      </c>
      <c r="Y491" s="1204">
        <f>Y490-Y492</f>
        <v>186.99316239316204</v>
      </c>
      <c r="Z491" s="1204">
        <f>Z490-Z492</f>
        <v>186.99316239316204</v>
      </c>
      <c r="AA491" s="1204">
        <f>AA490-AA492</f>
        <v>186.99316239316204</v>
      </c>
      <c r="AB491" s="1204">
        <f>AB490-AB492</f>
        <v>186.99316239316204</v>
      </c>
      <c r="AC491" s="1300">
        <f>AC490-AC492</f>
        <v>186.99316239316204</v>
      </c>
      <c r="AD491" s="685"/>
      <c r="AE491" s="685"/>
      <c r="AF491" s="685"/>
      <c r="AG491" s="685"/>
      <c r="AH491" s="685"/>
      <c r="AI491" s="685"/>
      <c r="AJ491" s="685"/>
      <c r="AK491" s="685"/>
      <c r="AL491" s="685"/>
      <c r="AM491" s="685"/>
      <c r="AN491" s="685"/>
      <c r="AO491" s="685"/>
      <c r="AP491" s="685"/>
      <c r="AQ491" s="685"/>
      <c r="AR491" s="685"/>
      <c r="AS491" s="685"/>
      <c r="AT491" s="685"/>
      <c r="AU491" s="685"/>
      <c r="AV491" s="685"/>
      <c r="AW491" s="685"/>
      <c r="AX491" s="685"/>
      <c r="AY491" s="685"/>
    </row>
    <row r="492" spans="1:51">
      <c r="A492" s="685"/>
      <c r="B492" s="1301" t="s">
        <v>952</v>
      </c>
      <c r="C492" s="1245"/>
      <c r="D492" s="1245"/>
      <c r="E492" s="1245">
        <f t="shared" ref="E492:K492" si="425">E487/117</f>
        <v>2887.0256410256411</v>
      </c>
      <c r="F492" s="1245">
        <f t="shared" si="425"/>
        <v>2820.17094017094</v>
      </c>
      <c r="G492" s="1245">
        <f t="shared" si="425"/>
        <v>2806.7777777777778</v>
      </c>
      <c r="H492" s="1245">
        <f t="shared" si="425"/>
        <v>2796.8461538461538</v>
      </c>
      <c r="I492" s="1245">
        <f t="shared" si="425"/>
        <v>2777.9743589743589</v>
      </c>
      <c r="J492" s="1245">
        <f t="shared" si="425"/>
        <v>2828.0059829059828</v>
      </c>
      <c r="K492" s="1245">
        <f t="shared" si="425"/>
        <v>2856.0786324786327</v>
      </c>
      <c r="L492" s="1245">
        <f t="shared" ref="L492:Q492" si="426">L487/117</f>
        <v>2867.5470085470088</v>
      </c>
      <c r="M492" s="1245">
        <f t="shared" si="426"/>
        <v>2889.3675213675215</v>
      </c>
      <c r="N492" s="1245">
        <f t="shared" si="426"/>
        <v>2892.897435897436</v>
      </c>
      <c r="O492" s="1245">
        <f t="shared" si="426"/>
        <v>2892.897435897436</v>
      </c>
      <c r="P492" s="1245">
        <f t="shared" si="426"/>
        <v>2892.897435897436</v>
      </c>
      <c r="Q492" s="1245">
        <f t="shared" si="426"/>
        <v>2891.7017094017092</v>
      </c>
      <c r="R492" s="1245">
        <f t="shared" ref="R492:X492" si="427">R487/117</f>
        <v>2857.513675213675</v>
      </c>
      <c r="S492" s="1245">
        <f t="shared" si="427"/>
        <v>2866.9153846153845</v>
      </c>
      <c r="T492" s="1245">
        <f t="shared" si="427"/>
        <v>2866.9153846153845</v>
      </c>
      <c r="U492" s="1245">
        <f t="shared" si="427"/>
        <v>2866.9153846153845</v>
      </c>
      <c r="V492" s="1245">
        <f t="shared" si="427"/>
        <v>2866.9153846153845</v>
      </c>
      <c r="W492" s="1245">
        <f t="shared" si="427"/>
        <v>2866.9153846153845</v>
      </c>
      <c r="X492" s="1245">
        <f t="shared" si="427"/>
        <v>2866.9153846153845</v>
      </c>
      <c r="Y492" s="1245">
        <f>Y487/117</f>
        <v>2866.9153846153845</v>
      </c>
      <c r="Z492" s="1245">
        <f>Z487/117</f>
        <v>2866.9153846153845</v>
      </c>
      <c r="AA492" s="1245">
        <f>AA487/117</f>
        <v>2866.9153846153845</v>
      </c>
      <c r="AB492" s="1245">
        <f>AB487/117</f>
        <v>2866.9153846153845</v>
      </c>
      <c r="AC492" s="1302">
        <f>AC487/117</f>
        <v>2866.9153846153845</v>
      </c>
      <c r="AD492" s="685"/>
      <c r="AE492" s="685"/>
      <c r="AF492" s="685"/>
      <c r="AG492" s="685"/>
      <c r="AH492" s="685"/>
      <c r="AI492" s="685"/>
      <c r="AJ492" s="685"/>
      <c r="AK492" s="685"/>
      <c r="AL492" s="685"/>
      <c r="AM492" s="685"/>
      <c r="AN492" s="685"/>
      <c r="AO492" s="685"/>
      <c r="AP492" s="685"/>
      <c r="AQ492" s="685"/>
      <c r="AR492" s="685"/>
      <c r="AS492" s="685"/>
      <c r="AT492" s="685"/>
      <c r="AU492" s="685"/>
      <c r="AV492" s="685"/>
      <c r="AW492" s="685"/>
      <c r="AX492" s="685"/>
      <c r="AY492" s="685"/>
    </row>
    <row r="493" spans="1:51">
      <c r="A493" s="685"/>
      <c r="B493" s="1189"/>
      <c r="C493" s="1261"/>
      <c r="D493" s="1261"/>
      <c r="E493" s="1261"/>
      <c r="F493" s="1261"/>
      <c r="G493" s="1261"/>
      <c r="H493" s="1261"/>
      <c r="I493" s="1261"/>
      <c r="J493" s="1257"/>
      <c r="K493" s="1261"/>
      <c r="L493" s="1261"/>
      <c r="M493" s="1261"/>
      <c r="N493" s="1261"/>
      <c r="O493" s="1261"/>
      <c r="P493" s="1261"/>
      <c r="Q493" s="1261"/>
      <c r="R493" s="1261"/>
      <c r="S493" s="1261"/>
      <c r="T493" s="1261"/>
      <c r="U493" s="1261"/>
      <c r="V493" s="1261"/>
      <c r="W493" s="1261"/>
      <c r="X493" s="1261"/>
      <c r="Y493" s="1261"/>
      <c r="Z493" s="1261"/>
      <c r="AA493" s="1261"/>
      <c r="AB493" s="1261"/>
      <c r="AC493" s="1261"/>
      <c r="AD493" s="685"/>
      <c r="AE493" s="685"/>
      <c r="AF493" s="685"/>
      <c r="AG493" s="685"/>
      <c r="AH493" s="685"/>
      <c r="AI493" s="685"/>
      <c r="AJ493" s="685"/>
      <c r="AK493" s="685"/>
      <c r="AL493" s="685"/>
      <c r="AM493" s="685"/>
      <c r="AN493" s="685"/>
      <c r="AO493" s="685"/>
      <c r="AP493" s="685"/>
      <c r="AQ493" s="685"/>
      <c r="AR493" s="685"/>
      <c r="AS493" s="685"/>
      <c r="AT493" s="685"/>
      <c r="AU493" s="685"/>
      <c r="AV493" s="685"/>
      <c r="AW493" s="685"/>
      <c r="AX493" s="685"/>
      <c r="AY493" s="685"/>
    </row>
    <row r="494" spans="1:51">
      <c r="A494" s="685"/>
      <c r="B494" s="1189" t="s">
        <v>93</v>
      </c>
      <c r="C494" s="1261"/>
      <c r="D494" s="1261"/>
      <c r="E494" s="1261"/>
      <c r="F494" s="1261"/>
      <c r="G494" s="1261"/>
      <c r="H494" s="1261"/>
      <c r="I494" s="1261"/>
      <c r="J494" s="1261">
        <f>0.456*J456+0.027*J463+0.028*J470+0.028*J477</f>
        <v>57409.265500000009</v>
      </c>
      <c r="K494" s="1261">
        <f t="shared" ref="K494:Q494" si="428">0.456*K456+0.027*K463+0.028*K470+0.028*K477</f>
        <v>57930.2232</v>
      </c>
      <c r="L494" s="1261">
        <f t="shared" si="428"/>
        <v>58217.907000000007</v>
      </c>
      <c r="M494" s="1261">
        <f t="shared" si="428"/>
        <v>58648.072999999997</v>
      </c>
      <c r="N494" s="1261">
        <f t="shared" si="428"/>
        <v>58818.844000000005</v>
      </c>
      <c r="O494" s="1261">
        <f t="shared" si="428"/>
        <v>58818.844000000005</v>
      </c>
      <c r="P494" s="1261">
        <f t="shared" si="428"/>
        <v>58818.844000000005</v>
      </c>
      <c r="Q494" s="1261">
        <f t="shared" si="428"/>
        <v>59156.780300000006</v>
      </c>
      <c r="R494" s="1261">
        <f t="shared" ref="R494:X494" si="429">0.456*R456+0.027*R463+0.028*R470+0.028*R477</f>
        <v>59044.780300000006</v>
      </c>
      <c r="S494" s="1261">
        <f t="shared" si="429"/>
        <v>59075.580300000009</v>
      </c>
      <c r="T494" s="1261">
        <f t="shared" si="429"/>
        <v>59075.580300000009</v>
      </c>
      <c r="U494" s="1261">
        <f t="shared" si="429"/>
        <v>59075.580300000009</v>
      </c>
      <c r="V494" s="1261">
        <f t="shared" si="429"/>
        <v>59075.580300000009</v>
      </c>
      <c r="W494" s="1261">
        <f t="shared" si="429"/>
        <v>59075.580300000009</v>
      </c>
      <c r="X494" s="1261">
        <f t="shared" si="429"/>
        <v>59075.580300000009</v>
      </c>
      <c r="Y494" s="1261">
        <f>0.456*Y456+0.027*Y463+0.028*Y470+0.028*Y477</f>
        <v>59075.580300000009</v>
      </c>
      <c r="Z494" s="1261">
        <f>0.456*Z456+0.027*Z463+0.028*Z470+0.028*Z477</f>
        <v>59075.580300000009</v>
      </c>
      <c r="AA494" s="1261">
        <f>0.456*AA456+0.027*AA463+0.028*AA470+0.028*AA477</f>
        <v>59075.580300000009</v>
      </c>
      <c r="AB494" s="1261">
        <f>0.456*AB456+0.027*AB463+0.028*AB470+0.028*AB477</f>
        <v>59075.580300000009</v>
      </c>
      <c r="AC494" s="1261">
        <f>0.456*AC456+0.027*AC463+0.028*AC470+0.028*AC477</f>
        <v>59075.580300000009</v>
      </c>
      <c r="AD494" s="685"/>
      <c r="AE494" s="685"/>
      <c r="AF494" s="685"/>
      <c r="AG494" s="685"/>
      <c r="AH494" s="685"/>
      <c r="AI494" s="685"/>
      <c r="AJ494" s="685"/>
      <c r="AK494" s="685"/>
      <c r="AL494" s="685"/>
      <c r="AM494" s="685"/>
      <c r="AN494" s="685"/>
      <c r="AO494" s="685"/>
      <c r="AP494" s="685"/>
      <c r="AQ494" s="685"/>
      <c r="AR494" s="685"/>
      <c r="AS494" s="685"/>
      <c r="AT494" s="685"/>
      <c r="AU494" s="685"/>
      <c r="AV494" s="685"/>
      <c r="AW494" s="685"/>
      <c r="AX494" s="685"/>
      <c r="AY494" s="685"/>
    </row>
    <row r="495" spans="1:51">
      <c r="A495" s="685"/>
      <c r="B495" s="1189" t="s">
        <v>1071</v>
      </c>
      <c r="C495" s="1261"/>
      <c r="D495" s="1261"/>
      <c r="E495" s="1261"/>
      <c r="F495" s="1261"/>
      <c r="G495" s="1261"/>
      <c r="H495" s="1261"/>
      <c r="I495" s="1261"/>
      <c r="J495" s="1263">
        <f>J494/J487</f>
        <v>0.17350652221809515</v>
      </c>
      <c r="K495" s="1263">
        <f t="shared" ref="K495:Q495" si="430">K494/K487</f>
        <v>0.1733601124247818</v>
      </c>
      <c r="L495" s="1263">
        <f t="shared" si="430"/>
        <v>0.17352425164603597</v>
      </c>
      <c r="M495" s="1263">
        <f t="shared" si="430"/>
        <v>0.17348626558913316</v>
      </c>
      <c r="N495" s="1263">
        <f t="shared" si="430"/>
        <v>0.1737791171421903</v>
      </c>
      <c r="O495" s="1263">
        <f t="shared" si="430"/>
        <v>0.1737791171421903</v>
      </c>
      <c r="P495" s="1263">
        <f t="shared" si="430"/>
        <v>0.1737791171421903</v>
      </c>
      <c r="Q495" s="1263">
        <f t="shared" si="430"/>
        <v>0.17484981427846441</v>
      </c>
      <c r="R495" s="1263">
        <f t="shared" ref="R495:X495" si="431">R494/R487</f>
        <v>0.17660676351535062</v>
      </c>
      <c r="S495" s="1263">
        <f t="shared" si="431"/>
        <v>0.17611942523770302</v>
      </c>
      <c r="T495" s="1263">
        <f t="shared" si="431"/>
        <v>0.17611942523770302</v>
      </c>
      <c r="U495" s="1263">
        <f t="shared" si="431"/>
        <v>0.17611942523770302</v>
      </c>
      <c r="V495" s="1263">
        <f t="shared" si="431"/>
        <v>0.17611942523770302</v>
      </c>
      <c r="W495" s="1263">
        <f t="shared" si="431"/>
        <v>0.17611942523770302</v>
      </c>
      <c r="X495" s="1263">
        <f t="shared" si="431"/>
        <v>0.17611942523770302</v>
      </c>
      <c r="Y495" s="1263">
        <f>Y494/Y487</f>
        <v>0.17611942523770302</v>
      </c>
      <c r="Z495" s="1263">
        <f>Z494/Z487</f>
        <v>0.17611942523770302</v>
      </c>
      <c r="AA495" s="1263">
        <f>AA494/AA487</f>
        <v>0.17611942523770302</v>
      </c>
      <c r="AB495" s="1263">
        <f>AB494/AB487</f>
        <v>0.17611942523770302</v>
      </c>
      <c r="AC495" s="1263">
        <f>AC494/AC487</f>
        <v>0.17611942523770302</v>
      </c>
      <c r="AD495" s="685"/>
      <c r="AE495" s="685"/>
      <c r="AF495" s="685"/>
      <c r="AG495" s="685"/>
      <c r="AH495" s="685"/>
      <c r="AI495" s="685"/>
      <c r="AJ495" s="685"/>
      <c r="AK495" s="685"/>
      <c r="AL495" s="685"/>
      <c r="AM495" s="685"/>
      <c r="AN495" s="685"/>
      <c r="AO495" s="685"/>
      <c r="AP495" s="685"/>
      <c r="AQ495" s="685"/>
      <c r="AR495" s="685"/>
      <c r="AS495" s="685"/>
      <c r="AT495" s="685"/>
      <c r="AU495" s="685"/>
      <c r="AV495" s="685"/>
      <c r="AW495" s="685"/>
      <c r="AX495" s="685"/>
      <c r="AY495" s="685"/>
    </row>
    <row r="496" spans="1:51">
      <c r="A496" s="685"/>
      <c r="B496" s="1189"/>
      <c r="C496" s="1261"/>
      <c r="D496" s="1261"/>
      <c r="E496" s="1261"/>
      <c r="F496" s="1261"/>
      <c r="G496" s="1261"/>
      <c r="H496" s="1261"/>
      <c r="I496" s="1261"/>
      <c r="J496" s="1257"/>
      <c r="K496" s="1261"/>
      <c r="L496" s="1261"/>
      <c r="M496" s="1261"/>
      <c r="N496" s="1261"/>
      <c r="O496" s="1261"/>
      <c r="P496" s="1261"/>
      <c r="Q496" s="1261"/>
      <c r="R496" s="1261"/>
      <c r="S496" s="1261"/>
      <c r="T496" s="1261"/>
      <c r="U496" s="1261"/>
      <c r="V496" s="1261"/>
      <c r="W496" s="1261"/>
      <c r="X496" s="1261"/>
      <c r="Y496" s="1261"/>
      <c r="Z496" s="1261"/>
      <c r="AA496" s="1261"/>
      <c r="AB496" s="1261"/>
      <c r="AC496" s="1261"/>
      <c r="AD496" s="685"/>
      <c r="AE496" s="685"/>
      <c r="AF496" s="685"/>
      <c r="AG496" s="685"/>
      <c r="AH496" s="685"/>
      <c r="AI496" s="685"/>
      <c r="AJ496" s="685"/>
      <c r="AK496" s="685"/>
      <c r="AL496" s="685"/>
      <c r="AM496" s="685"/>
      <c r="AN496" s="685"/>
      <c r="AO496" s="685"/>
      <c r="AP496" s="685"/>
      <c r="AQ496" s="685"/>
      <c r="AR496" s="685"/>
      <c r="AS496" s="685"/>
      <c r="AT496" s="685"/>
      <c r="AU496" s="685"/>
      <c r="AV496" s="685"/>
      <c r="AW496" s="685"/>
      <c r="AX496" s="685"/>
      <c r="AY496" s="685"/>
    </row>
    <row r="497" spans="1:51">
      <c r="A497" s="685"/>
      <c r="B497" s="1187" t="s">
        <v>954</v>
      </c>
      <c r="C497" s="1261"/>
      <c r="D497" s="1261"/>
      <c r="E497" s="1261"/>
      <c r="F497" s="1261"/>
      <c r="G497" s="1261"/>
      <c r="H497" s="1261"/>
      <c r="I497" s="1261"/>
      <c r="J497" s="1257"/>
      <c r="K497" s="1261"/>
      <c r="L497" s="1261"/>
      <c r="M497" s="1261"/>
      <c r="N497" s="1261"/>
      <c r="O497" s="1261"/>
      <c r="P497" s="1261"/>
      <c r="Q497" s="1261"/>
      <c r="R497" s="1261"/>
      <c r="S497" s="1261"/>
      <c r="T497" s="1261"/>
      <c r="U497" s="1261"/>
      <c r="V497" s="1261"/>
      <c r="W497" s="1261"/>
      <c r="X497" s="1261"/>
      <c r="Y497" s="1261"/>
      <c r="Z497" s="1261"/>
      <c r="AA497" s="1261"/>
      <c r="AB497" s="1261"/>
      <c r="AC497" s="1261"/>
      <c r="AD497" s="685"/>
      <c r="AE497" s="685"/>
      <c r="AF497" s="685"/>
      <c r="AG497" s="685"/>
      <c r="AH497" s="685"/>
      <c r="AI497" s="685"/>
      <c r="AJ497" s="685"/>
      <c r="AK497" s="685"/>
      <c r="AL497" s="685"/>
      <c r="AM497" s="685"/>
      <c r="AN497" s="685"/>
      <c r="AO497" s="685"/>
      <c r="AP497" s="685"/>
      <c r="AQ497" s="685"/>
      <c r="AR497" s="685"/>
      <c r="AS497" s="685"/>
      <c r="AT497" s="685"/>
      <c r="AU497" s="685"/>
      <c r="AV497" s="685"/>
      <c r="AW497" s="685"/>
      <c r="AX497" s="685"/>
      <c r="AY497" s="685"/>
    </row>
    <row r="498" spans="1:51">
      <c r="A498" s="685"/>
      <c r="B498" s="1189" t="s">
        <v>94</v>
      </c>
      <c r="C498" s="1261"/>
      <c r="D498" s="1261"/>
      <c r="E498" s="1261"/>
      <c r="F498" s="1261"/>
      <c r="G498" s="1261"/>
      <c r="H498" s="1197"/>
      <c r="I498" s="1197"/>
      <c r="J498" s="1197">
        <f>J503*25</f>
        <v>65322.5</v>
      </c>
      <c r="K498" s="1197">
        <f>K503*25</f>
        <v>65322.5</v>
      </c>
      <c r="L498" s="1197">
        <f t="shared" ref="L498:Q498" si="432">L503*25</f>
        <v>65322.5</v>
      </c>
      <c r="M498" s="1197">
        <f t="shared" si="432"/>
        <v>65322.5</v>
      </c>
      <c r="N498" s="1197">
        <f t="shared" si="432"/>
        <v>64347.5</v>
      </c>
      <c r="O498" s="1197">
        <f t="shared" si="432"/>
        <v>64347.5</v>
      </c>
      <c r="P498" s="1197">
        <f t="shared" si="432"/>
        <v>64347.5</v>
      </c>
      <c r="Q498" s="1197">
        <f t="shared" si="432"/>
        <v>63252.5</v>
      </c>
      <c r="R498" s="1197">
        <f t="shared" ref="R498:X498" si="433">R503*25</f>
        <v>63252.5</v>
      </c>
      <c r="S498" s="1197">
        <f t="shared" si="433"/>
        <v>63252.5</v>
      </c>
      <c r="T498" s="1197">
        <f t="shared" si="433"/>
        <v>63252.5</v>
      </c>
      <c r="U498" s="1197">
        <f t="shared" si="433"/>
        <v>63252.5</v>
      </c>
      <c r="V498" s="1197">
        <f t="shared" si="433"/>
        <v>63252.5</v>
      </c>
      <c r="W498" s="1197">
        <f t="shared" si="433"/>
        <v>63252.5</v>
      </c>
      <c r="X498" s="1197">
        <f t="shared" si="433"/>
        <v>63252.5</v>
      </c>
      <c r="Y498" s="1197">
        <f>Y503*25</f>
        <v>63252.5</v>
      </c>
      <c r="Z498" s="1197">
        <f>Z503*25</f>
        <v>63252.5</v>
      </c>
      <c r="AA498" s="1197">
        <f>AA503*25</f>
        <v>63252.5</v>
      </c>
      <c r="AB498" s="1197">
        <f>AB503*25</f>
        <v>63252.5</v>
      </c>
      <c r="AC498" s="1197">
        <f>AC503*25</f>
        <v>63252.5</v>
      </c>
      <c r="AD498" s="685"/>
      <c r="AE498" s="685"/>
      <c r="AF498" s="685"/>
      <c r="AG498" s="685"/>
      <c r="AH498" s="685"/>
      <c r="AI498" s="685"/>
      <c r="AJ498" s="685"/>
      <c r="AK498" s="685"/>
      <c r="AL498" s="685"/>
      <c r="AM498" s="685"/>
      <c r="AN498" s="685"/>
      <c r="AO498" s="685"/>
      <c r="AP498" s="685"/>
      <c r="AQ498" s="685"/>
      <c r="AR498" s="685"/>
      <c r="AS498" s="685"/>
      <c r="AT498" s="685"/>
      <c r="AU498" s="685"/>
      <c r="AV498" s="685"/>
      <c r="AW498" s="685"/>
      <c r="AX498" s="685"/>
      <c r="AY498" s="685"/>
    </row>
    <row r="499" spans="1:51">
      <c r="A499" s="685"/>
      <c r="B499" s="1189" t="s">
        <v>95</v>
      </c>
      <c r="C499" s="1261"/>
      <c r="D499" s="1261"/>
      <c r="E499" s="1261"/>
      <c r="F499" s="1261"/>
      <c r="G499" s="1261"/>
      <c r="H499" s="1197"/>
      <c r="I499" s="1197"/>
      <c r="J499" s="1197">
        <f>J503*22</f>
        <v>57483.8</v>
      </c>
      <c r="K499" s="1197">
        <f>K503*22</f>
        <v>57483.8</v>
      </c>
      <c r="L499" s="1197">
        <f t="shared" ref="L499:Q499" si="434">L503*22</f>
        <v>57483.8</v>
      </c>
      <c r="M499" s="1197">
        <f t="shared" si="434"/>
        <v>57483.8</v>
      </c>
      <c r="N499" s="1197">
        <f t="shared" si="434"/>
        <v>56625.8</v>
      </c>
      <c r="O499" s="1197">
        <f t="shared" si="434"/>
        <v>56625.8</v>
      </c>
      <c r="P499" s="1197">
        <f t="shared" si="434"/>
        <v>56625.8</v>
      </c>
      <c r="Q499" s="1197">
        <f t="shared" si="434"/>
        <v>55662.2</v>
      </c>
      <c r="R499" s="1197">
        <f t="shared" ref="R499:X499" si="435">R503*22</f>
        <v>55662.2</v>
      </c>
      <c r="S499" s="1197">
        <f t="shared" si="435"/>
        <v>55662.2</v>
      </c>
      <c r="T499" s="1197">
        <f t="shared" si="435"/>
        <v>55662.2</v>
      </c>
      <c r="U499" s="1197">
        <f t="shared" si="435"/>
        <v>55662.2</v>
      </c>
      <c r="V499" s="1197">
        <f t="shared" si="435"/>
        <v>55662.2</v>
      </c>
      <c r="W499" s="1197">
        <f t="shared" si="435"/>
        <v>55662.2</v>
      </c>
      <c r="X499" s="1197">
        <f t="shared" si="435"/>
        <v>55662.2</v>
      </c>
      <c r="Y499" s="1197">
        <f>Y503*22</f>
        <v>55662.2</v>
      </c>
      <c r="Z499" s="1197">
        <f>Z503*22</f>
        <v>55662.2</v>
      </c>
      <c r="AA499" s="1197">
        <f>AA503*22</f>
        <v>55662.2</v>
      </c>
      <c r="AB499" s="1197">
        <f>AB503*22</f>
        <v>55662.2</v>
      </c>
      <c r="AC499" s="1197">
        <f>AC503*22</f>
        <v>55662.2</v>
      </c>
      <c r="AD499" s="685"/>
      <c r="AE499" s="685"/>
      <c r="AF499" s="685"/>
      <c r="AG499" s="685"/>
      <c r="AH499" s="685"/>
      <c r="AI499" s="685"/>
      <c r="AJ499" s="685"/>
      <c r="AK499" s="685"/>
      <c r="AL499" s="685"/>
      <c r="AM499" s="685"/>
      <c r="AN499" s="685"/>
      <c r="AO499" s="685"/>
      <c r="AP499" s="685"/>
      <c r="AQ499" s="685"/>
      <c r="AR499" s="685"/>
      <c r="AS499" s="685"/>
      <c r="AT499" s="685"/>
      <c r="AU499" s="685"/>
      <c r="AV499" s="685"/>
      <c r="AW499" s="685"/>
      <c r="AX499" s="685"/>
      <c r="AY499" s="685"/>
    </row>
    <row r="500" spans="1:51">
      <c r="A500" s="685"/>
      <c r="B500" s="1189" t="s">
        <v>96</v>
      </c>
      <c r="C500" s="1261"/>
      <c r="D500" s="1261"/>
      <c r="E500" s="1261"/>
      <c r="F500" s="1261"/>
      <c r="G500" s="1261"/>
      <c r="H500" s="1197"/>
      <c r="I500" s="1197"/>
      <c r="J500" s="1197">
        <f>J503*35</f>
        <v>91451.5</v>
      </c>
      <c r="K500" s="1197">
        <f>K503*35</f>
        <v>91451.5</v>
      </c>
      <c r="L500" s="1197">
        <f t="shared" ref="L500:Q500" si="436">L503*35</f>
        <v>91451.5</v>
      </c>
      <c r="M500" s="1197">
        <f t="shared" si="436"/>
        <v>91451.5</v>
      </c>
      <c r="N500" s="1197">
        <f t="shared" si="436"/>
        <v>90086.5</v>
      </c>
      <c r="O500" s="1197">
        <f t="shared" si="436"/>
        <v>90086.5</v>
      </c>
      <c r="P500" s="1197">
        <f t="shared" si="436"/>
        <v>90086.5</v>
      </c>
      <c r="Q500" s="1197">
        <f t="shared" si="436"/>
        <v>88553.5</v>
      </c>
      <c r="R500" s="1197">
        <f t="shared" ref="R500:X500" si="437">R503*35</f>
        <v>88553.5</v>
      </c>
      <c r="S500" s="1197">
        <f t="shared" si="437"/>
        <v>88553.5</v>
      </c>
      <c r="T500" s="1197">
        <f t="shared" si="437"/>
        <v>88553.5</v>
      </c>
      <c r="U500" s="1197">
        <f t="shared" si="437"/>
        <v>88553.5</v>
      </c>
      <c r="V500" s="1197">
        <f t="shared" si="437"/>
        <v>88553.5</v>
      </c>
      <c r="W500" s="1197">
        <f t="shared" si="437"/>
        <v>88553.5</v>
      </c>
      <c r="X500" s="1197">
        <f t="shared" si="437"/>
        <v>88553.5</v>
      </c>
      <c r="Y500" s="1197">
        <f>Y503*35</f>
        <v>88553.5</v>
      </c>
      <c r="Z500" s="1197">
        <f>Z503*35</f>
        <v>88553.5</v>
      </c>
      <c r="AA500" s="1197">
        <f>AA503*35</f>
        <v>88553.5</v>
      </c>
      <c r="AB500" s="1197">
        <f>AB503*35</f>
        <v>88553.5</v>
      </c>
      <c r="AC500" s="1197">
        <f>AC503*35</f>
        <v>88553.5</v>
      </c>
      <c r="AD500" s="685"/>
      <c r="AE500" s="685"/>
      <c r="AF500" s="685"/>
      <c r="AG500" s="685"/>
      <c r="AH500" s="685"/>
      <c r="AI500" s="685"/>
      <c r="AJ500" s="685"/>
      <c r="AK500" s="685"/>
      <c r="AL500" s="685"/>
      <c r="AM500" s="685"/>
      <c r="AN500" s="685"/>
      <c r="AO500" s="685"/>
      <c r="AP500" s="685"/>
      <c r="AQ500" s="685"/>
      <c r="AR500" s="685"/>
      <c r="AS500" s="685"/>
      <c r="AT500" s="685"/>
      <c r="AU500" s="685"/>
      <c r="AV500" s="685"/>
      <c r="AW500" s="685"/>
      <c r="AX500" s="685"/>
      <c r="AY500" s="685"/>
    </row>
    <row r="501" spans="1:51">
      <c r="A501" s="685"/>
      <c r="B501" s="1252" t="s">
        <v>97</v>
      </c>
      <c r="C501" s="1245"/>
      <c r="D501" s="1245"/>
      <c r="E501" s="1245"/>
      <c r="F501" s="1245"/>
      <c r="G501" s="1245"/>
      <c r="H501" s="1246"/>
      <c r="I501" s="1246"/>
      <c r="J501" s="1246">
        <f>J503*35</f>
        <v>91451.5</v>
      </c>
      <c r="K501" s="1246">
        <f>K503*35</f>
        <v>91451.5</v>
      </c>
      <c r="L501" s="1246">
        <f t="shared" ref="L501:Q501" si="438">L503*35</f>
        <v>91451.5</v>
      </c>
      <c r="M501" s="1246">
        <f t="shared" si="438"/>
        <v>91451.5</v>
      </c>
      <c r="N501" s="1246">
        <f t="shared" si="438"/>
        <v>90086.5</v>
      </c>
      <c r="O501" s="1246">
        <f t="shared" si="438"/>
        <v>90086.5</v>
      </c>
      <c r="P501" s="1246">
        <f t="shared" si="438"/>
        <v>90086.5</v>
      </c>
      <c r="Q501" s="1246">
        <f t="shared" si="438"/>
        <v>88553.5</v>
      </c>
      <c r="R501" s="1246">
        <f t="shared" ref="R501:X501" si="439">R503*35</f>
        <v>88553.5</v>
      </c>
      <c r="S501" s="1246">
        <f t="shared" si="439"/>
        <v>88553.5</v>
      </c>
      <c r="T501" s="1246">
        <f t="shared" si="439"/>
        <v>88553.5</v>
      </c>
      <c r="U501" s="1246">
        <f t="shared" si="439"/>
        <v>88553.5</v>
      </c>
      <c r="V501" s="1246">
        <f t="shared" si="439"/>
        <v>88553.5</v>
      </c>
      <c r="W501" s="1246">
        <f t="shared" si="439"/>
        <v>88553.5</v>
      </c>
      <c r="X501" s="1246">
        <f t="shared" si="439"/>
        <v>88553.5</v>
      </c>
      <c r="Y501" s="1246">
        <f>Y503*35</f>
        <v>88553.5</v>
      </c>
      <c r="Z501" s="1246">
        <f>Z503*35</f>
        <v>88553.5</v>
      </c>
      <c r="AA501" s="1246">
        <f>AA503*35</f>
        <v>88553.5</v>
      </c>
      <c r="AB501" s="1246">
        <f>AB503*35</f>
        <v>88553.5</v>
      </c>
      <c r="AC501" s="1246">
        <f>AC503*35</f>
        <v>88553.5</v>
      </c>
      <c r="AD501" s="685"/>
      <c r="AE501" s="685"/>
      <c r="AF501" s="685"/>
      <c r="AG501" s="685"/>
      <c r="AH501" s="685"/>
      <c r="AI501" s="685"/>
      <c r="AJ501" s="685"/>
      <c r="AK501" s="685"/>
      <c r="AL501" s="685"/>
      <c r="AM501" s="685"/>
      <c r="AN501" s="685"/>
      <c r="AO501" s="685"/>
      <c r="AP501" s="685"/>
      <c r="AQ501" s="685"/>
      <c r="AR501" s="685"/>
      <c r="AS501" s="685"/>
      <c r="AT501" s="685"/>
      <c r="AU501" s="685"/>
      <c r="AV501" s="685"/>
      <c r="AW501" s="685"/>
      <c r="AX501" s="685"/>
      <c r="AY501" s="685"/>
    </row>
    <row r="502" spans="1:51">
      <c r="A502" s="685"/>
      <c r="B502" s="1189" t="s">
        <v>389</v>
      </c>
      <c r="C502" s="1261"/>
      <c r="D502" s="1261"/>
      <c r="E502" s="1261"/>
      <c r="F502" s="1261"/>
      <c r="G502" s="1261"/>
      <c r="H502" s="1197"/>
      <c r="I502" s="1197"/>
      <c r="J502" s="1197">
        <f>SUM(J498:J501)</f>
        <v>305709.3</v>
      </c>
      <c r="K502" s="1197">
        <f t="shared" ref="K502:Q502" si="440">SUM(K498:K501)</f>
        <v>305709.3</v>
      </c>
      <c r="L502" s="1197">
        <f t="shared" si="440"/>
        <v>305709.3</v>
      </c>
      <c r="M502" s="1197">
        <f t="shared" si="440"/>
        <v>305709.3</v>
      </c>
      <c r="N502" s="1197">
        <f t="shared" si="440"/>
        <v>301146.3</v>
      </c>
      <c r="O502" s="1197">
        <f t="shared" si="440"/>
        <v>301146.3</v>
      </c>
      <c r="P502" s="1197">
        <f t="shared" si="440"/>
        <v>301146.3</v>
      </c>
      <c r="Q502" s="1197">
        <f t="shared" si="440"/>
        <v>296021.7</v>
      </c>
      <c r="R502" s="1197">
        <f t="shared" ref="R502:X502" si="441">SUM(R498:R501)</f>
        <v>296021.7</v>
      </c>
      <c r="S502" s="1197">
        <f t="shared" si="441"/>
        <v>296021.7</v>
      </c>
      <c r="T502" s="1197">
        <f t="shared" si="441"/>
        <v>296021.7</v>
      </c>
      <c r="U502" s="1197">
        <f t="shared" si="441"/>
        <v>296021.7</v>
      </c>
      <c r="V502" s="1197">
        <f t="shared" si="441"/>
        <v>296021.7</v>
      </c>
      <c r="W502" s="1197">
        <f t="shared" si="441"/>
        <v>296021.7</v>
      </c>
      <c r="X502" s="1197">
        <f t="shared" si="441"/>
        <v>296021.7</v>
      </c>
      <c r="Y502" s="1197">
        <f>SUM(Y498:Y501)</f>
        <v>296021.7</v>
      </c>
      <c r="Z502" s="1197">
        <f>SUM(Z498:Z501)</f>
        <v>296021.7</v>
      </c>
      <c r="AA502" s="1197">
        <f>SUM(AA498:AA501)</f>
        <v>296021.7</v>
      </c>
      <c r="AB502" s="1197">
        <f>SUM(AB498:AB501)</f>
        <v>296021.7</v>
      </c>
      <c r="AC502" s="1197">
        <f>SUM(AC498:AC501)</f>
        <v>296021.7</v>
      </c>
      <c r="AD502" s="685"/>
      <c r="AE502" s="685"/>
      <c r="AF502" s="685"/>
      <c r="AG502" s="685"/>
      <c r="AH502" s="685"/>
      <c r="AI502" s="685"/>
      <c r="AJ502" s="685"/>
      <c r="AK502" s="685"/>
      <c r="AL502" s="685"/>
      <c r="AM502" s="685"/>
      <c r="AN502" s="685"/>
      <c r="AO502" s="685"/>
      <c r="AP502" s="685"/>
      <c r="AQ502" s="685"/>
      <c r="AR502" s="685"/>
      <c r="AS502" s="685"/>
      <c r="AT502" s="685"/>
      <c r="AU502" s="685"/>
      <c r="AV502" s="685"/>
      <c r="AW502" s="685"/>
      <c r="AX502" s="685"/>
      <c r="AY502" s="685"/>
    </row>
    <row r="503" spans="1:51">
      <c r="A503" s="685"/>
      <c r="B503" s="1189" t="s">
        <v>953</v>
      </c>
      <c r="C503" s="1261"/>
      <c r="D503" s="1261"/>
      <c r="E503" s="1261"/>
      <c r="F503" s="1261"/>
      <c r="G503" s="1261"/>
      <c r="H503" s="1197"/>
      <c r="I503" s="1197"/>
      <c r="J503" s="1267">
        <v>2612.9</v>
      </c>
      <c r="K503" s="1197">
        <f>J503</f>
        <v>2612.9</v>
      </c>
      <c r="L503" s="1197">
        <f>K503</f>
        <v>2612.9</v>
      </c>
      <c r="M503" s="1197">
        <f>L503</f>
        <v>2612.9</v>
      </c>
      <c r="N503" s="1267">
        <v>2573.9</v>
      </c>
      <c r="O503" s="1197">
        <f t="shared" ref="O503:AC503" si="442">N503</f>
        <v>2573.9</v>
      </c>
      <c r="P503" s="1197">
        <f t="shared" si="442"/>
        <v>2573.9</v>
      </c>
      <c r="Q503" s="1267">
        <v>2530.1</v>
      </c>
      <c r="R503" s="1197">
        <f t="shared" si="442"/>
        <v>2530.1</v>
      </c>
      <c r="S503" s="1197">
        <f t="shared" si="442"/>
        <v>2530.1</v>
      </c>
      <c r="T503" s="1197">
        <f t="shared" si="442"/>
        <v>2530.1</v>
      </c>
      <c r="U503" s="1197">
        <f t="shared" si="442"/>
        <v>2530.1</v>
      </c>
      <c r="V503" s="1197">
        <f t="shared" si="442"/>
        <v>2530.1</v>
      </c>
      <c r="W503" s="1197">
        <f t="shared" si="442"/>
        <v>2530.1</v>
      </c>
      <c r="X503" s="1197">
        <f t="shared" si="442"/>
        <v>2530.1</v>
      </c>
      <c r="Y503" s="1197">
        <f t="shared" si="442"/>
        <v>2530.1</v>
      </c>
      <c r="Z503" s="1197">
        <f t="shared" si="442"/>
        <v>2530.1</v>
      </c>
      <c r="AA503" s="1197">
        <f t="shared" si="442"/>
        <v>2530.1</v>
      </c>
      <c r="AB503" s="1197">
        <f t="shared" si="442"/>
        <v>2530.1</v>
      </c>
      <c r="AC503" s="1197">
        <f t="shared" si="442"/>
        <v>2530.1</v>
      </c>
      <c r="AD503" s="685"/>
      <c r="AE503" s="685"/>
      <c r="AF503" s="685"/>
      <c r="AG503" s="685"/>
      <c r="AH503" s="685"/>
      <c r="AI503" s="685"/>
      <c r="AJ503" s="685"/>
      <c r="AK503" s="685"/>
      <c r="AL503" s="685"/>
      <c r="AM503" s="685"/>
      <c r="AN503" s="685"/>
      <c r="AO503" s="685"/>
      <c r="AP503" s="685"/>
      <c r="AQ503" s="685"/>
      <c r="AR503" s="685"/>
      <c r="AS503" s="685"/>
      <c r="AT503" s="685"/>
      <c r="AU503" s="685"/>
      <c r="AV503" s="685"/>
      <c r="AW503" s="685"/>
      <c r="AX503" s="685"/>
      <c r="AY503" s="685"/>
    </row>
    <row r="504" spans="1:51">
      <c r="A504" s="685"/>
      <c r="B504" s="1189" t="s">
        <v>395</v>
      </c>
      <c r="C504" s="1261"/>
      <c r="D504" s="1261"/>
      <c r="E504" s="1261"/>
      <c r="F504" s="1261"/>
      <c r="G504" s="1261"/>
      <c r="H504" s="1197"/>
      <c r="I504" s="1197"/>
      <c r="J504" s="1197">
        <f>J484-J502</f>
        <v>56735.099999999977</v>
      </c>
      <c r="K504" s="1197">
        <f t="shared" ref="K504:Q504" si="443">K484-K502</f>
        <v>60019.600000000035</v>
      </c>
      <c r="L504" s="1197">
        <f t="shared" si="443"/>
        <v>61361.400000000023</v>
      </c>
      <c r="M504" s="1197">
        <f t="shared" si="443"/>
        <v>63914.400000000023</v>
      </c>
      <c r="N504" s="1197">
        <f t="shared" si="443"/>
        <v>61284.200000000012</v>
      </c>
      <c r="O504" s="1197">
        <f t="shared" si="443"/>
        <v>61284.200000000012</v>
      </c>
      <c r="P504" s="1197">
        <f t="shared" si="443"/>
        <v>61284.200000000012</v>
      </c>
      <c r="Q504" s="1197">
        <f t="shared" si="443"/>
        <v>61285.599999999919</v>
      </c>
      <c r="R504" s="1197">
        <f t="shared" ref="R504:X504" si="444">R484-R502</f>
        <v>61285.599999999919</v>
      </c>
      <c r="S504" s="1197">
        <f t="shared" si="444"/>
        <v>61285.599999999919</v>
      </c>
      <c r="T504" s="1197">
        <f t="shared" si="444"/>
        <v>61285.599999999919</v>
      </c>
      <c r="U504" s="1197">
        <f t="shared" si="444"/>
        <v>61285.599999999919</v>
      </c>
      <c r="V504" s="1197">
        <f t="shared" si="444"/>
        <v>61285.599999999919</v>
      </c>
      <c r="W504" s="1197">
        <f t="shared" si="444"/>
        <v>61285.599999999919</v>
      </c>
      <c r="X504" s="1197">
        <f t="shared" si="444"/>
        <v>61285.599999999919</v>
      </c>
      <c r="Y504" s="1197">
        <f>Y484-Y502</f>
        <v>61285.599999999919</v>
      </c>
      <c r="Z504" s="1197">
        <f>Z484-Z502</f>
        <v>61285.599999999919</v>
      </c>
      <c r="AA504" s="1197">
        <f>AA484-AA502</f>
        <v>61285.599999999919</v>
      </c>
      <c r="AB504" s="1197">
        <f>AB484-AB502</f>
        <v>61285.599999999919</v>
      </c>
      <c r="AC504" s="1197">
        <f>AC484-AC502</f>
        <v>61285.599999999919</v>
      </c>
      <c r="AD504" s="685"/>
      <c r="AE504" s="685"/>
      <c r="AF504" s="685"/>
      <c r="AG504" s="685"/>
      <c r="AH504" s="685"/>
      <c r="AI504" s="685"/>
      <c r="AJ504" s="685"/>
      <c r="AK504" s="685"/>
      <c r="AL504" s="685"/>
      <c r="AM504" s="685"/>
      <c r="AN504" s="685"/>
      <c r="AO504" s="685"/>
      <c r="AP504" s="685"/>
      <c r="AQ504" s="685"/>
      <c r="AR504" s="685"/>
      <c r="AS504" s="685"/>
      <c r="AT504" s="685"/>
      <c r="AU504" s="685"/>
      <c r="AV504" s="685"/>
      <c r="AW504" s="685"/>
      <c r="AX504" s="685"/>
      <c r="AY504" s="685"/>
    </row>
    <row r="505" spans="1:51">
      <c r="A505" s="685"/>
      <c r="B505" s="1189" t="s">
        <v>950</v>
      </c>
      <c r="C505" s="1261"/>
      <c r="D505" s="1261"/>
      <c r="E505" s="1261"/>
      <c r="F505" s="1261"/>
      <c r="G505" s="1261"/>
      <c r="H505" s="1197"/>
      <c r="I505" s="1197"/>
      <c r="J505" s="1197">
        <f t="shared" ref="J505:Q505" si="445">J503/5</f>
        <v>522.58000000000004</v>
      </c>
      <c r="K505" s="1197">
        <f t="shared" si="445"/>
        <v>522.58000000000004</v>
      </c>
      <c r="L505" s="1197">
        <f t="shared" si="445"/>
        <v>522.58000000000004</v>
      </c>
      <c r="M505" s="1197">
        <f t="shared" si="445"/>
        <v>522.58000000000004</v>
      </c>
      <c r="N505" s="1197">
        <f>N503/5</f>
        <v>514.78</v>
      </c>
      <c r="O505" s="1197">
        <f t="shared" si="445"/>
        <v>514.78</v>
      </c>
      <c r="P505" s="1197">
        <f t="shared" si="445"/>
        <v>514.78</v>
      </c>
      <c r="Q505" s="1197">
        <f t="shared" si="445"/>
        <v>506.02</v>
      </c>
      <c r="R505" s="1197">
        <f t="shared" ref="R505:X505" si="446">R503/5</f>
        <v>506.02</v>
      </c>
      <c r="S505" s="1197">
        <f t="shared" si="446"/>
        <v>506.02</v>
      </c>
      <c r="T505" s="1197">
        <f t="shared" si="446"/>
        <v>506.02</v>
      </c>
      <c r="U505" s="1197">
        <f t="shared" si="446"/>
        <v>506.02</v>
      </c>
      <c r="V505" s="1197">
        <f t="shared" si="446"/>
        <v>506.02</v>
      </c>
      <c r="W505" s="1197">
        <f t="shared" si="446"/>
        <v>506.02</v>
      </c>
      <c r="X505" s="1197">
        <f t="shared" si="446"/>
        <v>506.02</v>
      </c>
      <c r="Y505" s="1197">
        <f>Y503/5</f>
        <v>506.02</v>
      </c>
      <c r="Z505" s="1197">
        <f>Z503/5</f>
        <v>506.02</v>
      </c>
      <c r="AA505" s="1197">
        <f>AA503/5</f>
        <v>506.02</v>
      </c>
      <c r="AB505" s="1197">
        <f>AB503/5</f>
        <v>506.02</v>
      </c>
      <c r="AC505" s="1197">
        <f>AC503/5</f>
        <v>506.02</v>
      </c>
      <c r="AD505" s="685"/>
      <c r="AE505" s="685"/>
      <c r="AF505" s="685"/>
      <c r="AG505" s="685"/>
      <c r="AH505" s="685"/>
      <c r="AI505" s="685"/>
      <c r="AJ505" s="685"/>
      <c r="AK505" s="685"/>
      <c r="AL505" s="685"/>
      <c r="AM505" s="685"/>
      <c r="AN505" s="685"/>
      <c r="AO505" s="685"/>
      <c r="AP505" s="685"/>
      <c r="AQ505" s="685"/>
      <c r="AR505" s="685"/>
      <c r="AS505" s="685"/>
      <c r="AT505" s="685"/>
      <c r="AU505" s="685"/>
      <c r="AV505" s="685"/>
      <c r="AW505" s="685"/>
      <c r="AX505" s="685"/>
      <c r="AY505" s="685"/>
    </row>
    <row r="506" spans="1:51">
      <c r="A506" s="685"/>
      <c r="B506" s="1189"/>
      <c r="C506" s="1261"/>
      <c r="D506" s="1261"/>
      <c r="E506" s="1261"/>
      <c r="F506" s="1261"/>
      <c r="G506" s="1261"/>
      <c r="H506" s="1197"/>
      <c r="I506" s="1197"/>
      <c r="J506" s="1197"/>
      <c r="K506" s="1197"/>
      <c r="L506" s="1197"/>
      <c r="M506" s="1197"/>
      <c r="N506" s="1197"/>
      <c r="O506" s="1197"/>
      <c r="P506" s="1197"/>
      <c r="Q506" s="1197"/>
      <c r="R506" s="1197"/>
      <c r="S506" s="1197"/>
      <c r="T506" s="1197"/>
      <c r="U506" s="1197"/>
      <c r="V506" s="1197"/>
      <c r="W506" s="1197"/>
      <c r="X506" s="1197"/>
      <c r="Y506" s="1197"/>
      <c r="Z506" s="1197"/>
      <c r="AA506" s="1197"/>
      <c r="AB506" s="1197"/>
      <c r="AC506" s="1197"/>
      <c r="AD506" s="685"/>
      <c r="AE506" s="685"/>
      <c r="AF506" s="685"/>
      <c r="AG506" s="685"/>
      <c r="AH506" s="685"/>
      <c r="AI506" s="685"/>
      <c r="AJ506" s="685"/>
      <c r="AK506" s="685"/>
      <c r="AL506" s="685"/>
      <c r="AM506" s="685"/>
      <c r="AN506" s="685"/>
      <c r="AO506" s="685"/>
      <c r="AP506" s="685"/>
      <c r="AQ506" s="685"/>
      <c r="AR506" s="685"/>
      <c r="AS506" s="685"/>
      <c r="AT506" s="685"/>
      <c r="AU506" s="685"/>
      <c r="AV506" s="685"/>
      <c r="AW506" s="685"/>
      <c r="AX506" s="685"/>
      <c r="AY506" s="685"/>
    </row>
    <row r="507" spans="1:51">
      <c r="A507" s="685"/>
      <c r="B507" s="1296" t="s">
        <v>1075</v>
      </c>
      <c r="C507" s="1297"/>
      <c r="D507" s="1297"/>
      <c r="E507" s="1303"/>
      <c r="F507" s="1303"/>
      <c r="G507" s="1303"/>
      <c r="H507" s="1303">
        <f>H490/5</f>
        <v>608.25111111111096</v>
      </c>
      <c r="I507" s="1303">
        <f>I490/5</f>
        <v>609.51675213675207</v>
      </c>
      <c r="J507" s="1303">
        <f>J490/5</f>
        <v>619.56307692307678</v>
      </c>
      <c r="K507" s="1303">
        <f t="shared" ref="K507:Q509" si="447">K490/5</f>
        <v>625.17760683760685</v>
      </c>
      <c r="L507" s="1303">
        <f t="shared" si="447"/>
        <v>627.47128205128206</v>
      </c>
      <c r="M507" s="1303">
        <f t="shared" si="447"/>
        <v>631.83538461538467</v>
      </c>
      <c r="N507" s="1303">
        <f>N490/5</f>
        <v>619.53931623931624</v>
      </c>
      <c r="O507" s="1304">
        <f>O490/5</f>
        <v>619.53931623931624</v>
      </c>
      <c r="P507" s="1303">
        <f t="shared" si="447"/>
        <v>619.53931623931624</v>
      </c>
      <c r="Q507" s="1303">
        <f t="shared" si="447"/>
        <v>610.78170940170935</v>
      </c>
      <c r="R507" s="1303">
        <f t="shared" ref="R507:X507" si="448">R490/5</f>
        <v>610.78170940170935</v>
      </c>
      <c r="S507" s="1303">
        <f t="shared" si="448"/>
        <v>610.78170940170935</v>
      </c>
      <c r="T507" s="1303">
        <f t="shared" si="448"/>
        <v>610.78170940170935</v>
      </c>
      <c r="U507" s="1303">
        <f t="shared" si="448"/>
        <v>610.78170940170935</v>
      </c>
      <c r="V507" s="1303">
        <f t="shared" si="448"/>
        <v>610.78170940170935</v>
      </c>
      <c r="W507" s="1303">
        <f t="shared" si="448"/>
        <v>610.78170940170935</v>
      </c>
      <c r="X507" s="1303">
        <f t="shared" si="448"/>
        <v>610.78170940170935</v>
      </c>
      <c r="Y507" s="1303">
        <f>Y490/5</f>
        <v>610.78170940170935</v>
      </c>
      <c r="Z507" s="1303">
        <f>Z490/5</f>
        <v>610.78170940170935</v>
      </c>
      <c r="AA507" s="1303">
        <f>AA490/5</f>
        <v>610.78170940170935</v>
      </c>
      <c r="AB507" s="1303">
        <f>AB490/5</f>
        <v>610.78170940170935</v>
      </c>
      <c r="AC507" s="1305">
        <f>AC490/5</f>
        <v>610.78170940170935</v>
      </c>
      <c r="AD507" s="685"/>
      <c r="AE507" s="685"/>
      <c r="AF507" s="685"/>
      <c r="AG507" s="685"/>
      <c r="AH507" s="685"/>
      <c r="AI507" s="685"/>
      <c r="AJ507" s="685"/>
      <c r="AK507" s="685"/>
      <c r="AL507" s="685"/>
      <c r="AM507" s="685"/>
      <c r="AN507" s="685"/>
      <c r="AO507" s="685"/>
      <c r="AP507" s="685"/>
      <c r="AQ507" s="685"/>
      <c r="AR507" s="685"/>
      <c r="AS507" s="685"/>
      <c r="AT507" s="685"/>
      <c r="AU507" s="685"/>
      <c r="AV507" s="685"/>
      <c r="AW507" s="685"/>
      <c r="AX507" s="685"/>
      <c r="AY507" s="685"/>
    </row>
    <row r="508" spans="1:51">
      <c r="A508" s="685"/>
      <c r="B508" s="1299" t="s">
        <v>1076</v>
      </c>
      <c r="C508" s="1204"/>
      <c r="D508" s="1204"/>
      <c r="E508" s="1197"/>
      <c r="F508" s="1197"/>
      <c r="G508" s="1197"/>
      <c r="H508" s="1197">
        <f>H507-H509</f>
        <v>48.881880341880219</v>
      </c>
      <c r="I508" s="1197">
        <f>I507-I509</f>
        <v>53.921880341880296</v>
      </c>
      <c r="J508" s="1197">
        <f t="shared" ref="J508:Q508" si="449">(J484-J487)/117/5</f>
        <v>53.96188034188026</v>
      </c>
      <c r="K508" s="1197">
        <f t="shared" si="449"/>
        <v>53.961880341880359</v>
      </c>
      <c r="L508" s="1197">
        <f t="shared" si="449"/>
        <v>53.961880341880359</v>
      </c>
      <c r="M508" s="1197">
        <f t="shared" si="449"/>
        <v>53.961880341880359</v>
      </c>
      <c r="N508" s="1197">
        <f>(N484-N487)/117/5</f>
        <v>40.959829059829062</v>
      </c>
      <c r="O508" s="1197">
        <f>(O484-O487)/117/5</f>
        <v>40.959829059829062</v>
      </c>
      <c r="P508" s="1197">
        <f t="shared" si="449"/>
        <v>40.959829059829062</v>
      </c>
      <c r="Q508" s="1197">
        <f t="shared" si="449"/>
        <v>32.44136752136744</v>
      </c>
      <c r="R508" s="1197">
        <f t="shared" ref="R508:X508" si="450">(R484-R487)/117/5</f>
        <v>39.278974358974281</v>
      </c>
      <c r="S508" s="1197">
        <f t="shared" si="450"/>
        <v>37.398632478632393</v>
      </c>
      <c r="T508" s="1197">
        <f t="shared" si="450"/>
        <v>37.398632478632393</v>
      </c>
      <c r="U508" s="1197">
        <f t="shared" si="450"/>
        <v>37.398632478632393</v>
      </c>
      <c r="V508" s="1197">
        <f t="shared" si="450"/>
        <v>37.398632478632393</v>
      </c>
      <c r="W508" s="1197">
        <f t="shared" si="450"/>
        <v>37.398632478632393</v>
      </c>
      <c r="X508" s="1197">
        <f t="shared" si="450"/>
        <v>37.398632478632393</v>
      </c>
      <c r="Y508" s="1197">
        <f>(Y484-Y487)/117/5</f>
        <v>37.398632478632393</v>
      </c>
      <c r="Z508" s="1197">
        <f>(Z484-Z487)/117/5</f>
        <v>37.398632478632393</v>
      </c>
      <c r="AA508" s="1197">
        <f>(AA484-AA487)/117/5</f>
        <v>37.398632478632393</v>
      </c>
      <c r="AB508" s="1197">
        <f>(AB484-AB487)/117/5</f>
        <v>37.398632478632393</v>
      </c>
      <c r="AC508" s="1306">
        <f>(AC484-AC487)/117/5</f>
        <v>37.398632478632393</v>
      </c>
      <c r="AD508" s="685"/>
      <c r="AE508" s="685"/>
      <c r="AF508" s="685"/>
      <c r="AG508" s="685"/>
      <c r="AH508" s="685"/>
      <c r="AI508" s="685"/>
      <c r="AJ508" s="685"/>
      <c r="AK508" s="685"/>
      <c r="AL508" s="685"/>
      <c r="AM508" s="685"/>
      <c r="AN508" s="685"/>
      <c r="AO508" s="685"/>
      <c r="AP508" s="685"/>
      <c r="AQ508" s="685"/>
      <c r="AR508" s="685"/>
      <c r="AS508" s="685"/>
      <c r="AT508" s="685"/>
      <c r="AU508" s="685"/>
      <c r="AV508" s="685"/>
      <c r="AW508" s="685"/>
      <c r="AX508" s="685"/>
      <c r="AY508" s="685"/>
    </row>
    <row r="509" spans="1:51">
      <c r="A509" s="685"/>
      <c r="B509" s="1301" t="s">
        <v>1077</v>
      </c>
      <c r="C509" s="1245"/>
      <c r="D509" s="1245"/>
      <c r="E509" s="1246"/>
      <c r="F509" s="1246"/>
      <c r="G509" s="1246"/>
      <c r="H509" s="1246">
        <f>H492/5</f>
        <v>559.36923076923074</v>
      </c>
      <c r="I509" s="1246">
        <f>I492/5</f>
        <v>555.59487179487178</v>
      </c>
      <c r="J509" s="1246">
        <f>J492/5</f>
        <v>565.60119658119652</v>
      </c>
      <c r="K509" s="1246">
        <f t="shared" si="447"/>
        <v>571.21572649572659</v>
      </c>
      <c r="L509" s="1246">
        <f t="shared" si="447"/>
        <v>573.5094017094018</v>
      </c>
      <c r="M509" s="1246">
        <f t="shared" si="447"/>
        <v>577.8735042735043</v>
      </c>
      <c r="N509" s="1246">
        <f>N492/5</f>
        <v>578.57948717948716</v>
      </c>
      <c r="O509" s="1246">
        <f t="shared" si="447"/>
        <v>578.57948717948716</v>
      </c>
      <c r="P509" s="1246">
        <f t="shared" si="447"/>
        <v>578.57948717948716</v>
      </c>
      <c r="Q509" s="1246">
        <f t="shared" si="447"/>
        <v>578.34034188034184</v>
      </c>
      <c r="R509" s="1246">
        <f t="shared" ref="R509:X509" si="451">R492/5</f>
        <v>571.50273504273503</v>
      </c>
      <c r="S509" s="1246">
        <f t="shared" si="451"/>
        <v>573.38307692307694</v>
      </c>
      <c r="T509" s="1246">
        <f t="shared" si="451"/>
        <v>573.38307692307694</v>
      </c>
      <c r="U509" s="1246">
        <f t="shared" si="451"/>
        <v>573.38307692307694</v>
      </c>
      <c r="V509" s="1246">
        <f t="shared" si="451"/>
        <v>573.38307692307694</v>
      </c>
      <c r="W509" s="1246">
        <f t="shared" si="451"/>
        <v>573.38307692307694</v>
      </c>
      <c r="X509" s="1246">
        <f t="shared" si="451"/>
        <v>573.38307692307694</v>
      </c>
      <c r="Y509" s="1246">
        <f>Y492/5</f>
        <v>573.38307692307694</v>
      </c>
      <c r="Z509" s="1246">
        <f>Z492/5</f>
        <v>573.38307692307694</v>
      </c>
      <c r="AA509" s="1246">
        <f>AA492/5</f>
        <v>573.38307692307694</v>
      </c>
      <c r="AB509" s="1246">
        <f>AB492/5</f>
        <v>573.38307692307694</v>
      </c>
      <c r="AC509" s="1307">
        <f>AC492/5</f>
        <v>573.38307692307694</v>
      </c>
      <c r="AD509" s="685"/>
      <c r="AE509" s="685"/>
      <c r="AF509" s="685"/>
      <c r="AG509" s="685"/>
      <c r="AH509" s="685"/>
      <c r="AI509" s="685"/>
      <c r="AJ509" s="685"/>
      <c r="AK509" s="685"/>
      <c r="AL509" s="685"/>
      <c r="AM509" s="685"/>
      <c r="AN509" s="685"/>
      <c r="AO509" s="685"/>
      <c r="AP509" s="685"/>
      <c r="AQ509" s="685"/>
      <c r="AR509" s="685"/>
      <c r="AS509" s="685"/>
      <c r="AT509" s="685"/>
      <c r="AU509" s="685"/>
      <c r="AV509" s="685"/>
      <c r="AW509" s="685"/>
      <c r="AX509" s="685"/>
      <c r="AY509" s="685"/>
    </row>
    <row r="510" spans="1:51">
      <c r="A510" s="685"/>
      <c r="B510" s="1189"/>
      <c r="C510" s="1204"/>
      <c r="D510" s="1204"/>
      <c r="E510" s="1204"/>
      <c r="F510" s="1204"/>
      <c r="G510" s="1204"/>
      <c r="H510" s="1197"/>
      <c r="I510" s="1197"/>
      <c r="J510" s="1197"/>
      <c r="K510" s="1197"/>
      <c r="L510" s="1197"/>
      <c r="M510" s="1197"/>
      <c r="N510" s="1197"/>
      <c r="O510" s="1197"/>
      <c r="P510" s="1197"/>
      <c r="Q510" s="1197"/>
      <c r="R510" s="1197"/>
      <c r="S510" s="1197"/>
      <c r="T510" s="1197"/>
      <c r="U510" s="1197"/>
      <c r="V510" s="1197"/>
      <c r="W510" s="1197"/>
      <c r="X510" s="1197"/>
      <c r="Y510" s="1197"/>
      <c r="Z510" s="1197"/>
      <c r="AA510" s="1197"/>
      <c r="AB510" s="1197"/>
      <c r="AC510" s="1197"/>
      <c r="AD510" s="685"/>
      <c r="AE510" s="685"/>
      <c r="AF510" s="685"/>
      <c r="AG510" s="685"/>
      <c r="AH510" s="685"/>
      <c r="AI510" s="685"/>
      <c r="AJ510" s="685"/>
      <c r="AK510" s="685"/>
      <c r="AL510" s="685"/>
      <c r="AM510" s="685"/>
      <c r="AN510" s="685"/>
      <c r="AO510" s="685"/>
      <c r="AP510" s="685"/>
      <c r="AQ510" s="685"/>
      <c r="AR510" s="685"/>
      <c r="AS510" s="685"/>
      <c r="AT510" s="685"/>
      <c r="AU510" s="685"/>
      <c r="AV510" s="685"/>
      <c r="AW510" s="685"/>
      <c r="AX510" s="685"/>
      <c r="AY510" s="685"/>
    </row>
    <row r="511" spans="1:51">
      <c r="A511" s="685"/>
      <c r="B511" s="1189" t="s">
        <v>1040</v>
      </c>
      <c r="C511" s="1261"/>
      <c r="D511" s="1261"/>
      <c r="E511" s="1261"/>
      <c r="F511" s="1261"/>
      <c r="G511" s="1261"/>
      <c r="H511" s="1197"/>
      <c r="I511" s="1197">
        <f>I509</f>
        <v>555.59487179487178</v>
      </c>
      <c r="J511" s="1197">
        <f>J509</f>
        <v>565.60119658119652</v>
      </c>
      <c r="K511" s="1197">
        <f t="shared" ref="K511:AC511" si="452">AVERAGE(J509:K509)</f>
        <v>568.40846153846155</v>
      </c>
      <c r="L511" s="1197">
        <f t="shared" si="452"/>
        <v>572.36256410256419</v>
      </c>
      <c r="M511" s="1197">
        <f t="shared" si="452"/>
        <v>575.69145299145305</v>
      </c>
      <c r="N511" s="1197">
        <f t="shared" si="452"/>
        <v>578.22649572649573</v>
      </c>
      <c r="O511" s="1197">
        <f t="shared" si="452"/>
        <v>578.57948717948716</v>
      </c>
      <c r="P511" s="1197">
        <f t="shared" si="452"/>
        <v>578.57948717948716</v>
      </c>
      <c r="Q511" s="1197">
        <f t="shared" si="452"/>
        <v>578.4599145299145</v>
      </c>
      <c r="R511" s="1197">
        <f t="shared" si="452"/>
        <v>574.92153846153838</v>
      </c>
      <c r="S511" s="1197">
        <f t="shared" si="452"/>
        <v>572.44290598290604</v>
      </c>
      <c r="T511" s="1197">
        <f t="shared" si="452"/>
        <v>573.38307692307694</v>
      </c>
      <c r="U511" s="1197">
        <f t="shared" si="452"/>
        <v>573.38307692307694</v>
      </c>
      <c r="V511" s="1197">
        <f t="shared" si="452"/>
        <v>573.38307692307694</v>
      </c>
      <c r="W511" s="1197">
        <f t="shared" si="452"/>
        <v>573.38307692307694</v>
      </c>
      <c r="X511" s="1197">
        <f t="shared" si="452"/>
        <v>573.38307692307694</v>
      </c>
      <c r="Y511" s="1197">
        <f t="shared" si="452"/>
        <v>573.38307692307694</v>
      </c>
      <c r="Z511" s="1197">
        <f t="shared" si="452"/>
        <v>573.38307692307694</v>
      </c>
      <c r="AA511" s="1197">
        <f t="shared" si="452"/>
        <v>573.38307692307694</v>
      </c>
      <c r="AB511" s="1197">
        <f t="shared" si="452"/>
        <v>573.38307692307694</v>
      </c>
      <c r="AC511" s="1197">
        <f t="shared" si="452"/>
        <v>573.38307692307694</v>
      </c>
      <c r="AD511" s="685"/>
      <c r="AE511" s="685"/>
      <c r="AF511" s="685"/>
      <c r="AG511" s="685"/>
      <c r="AH511" s="685"/>
      <c r="AI511" s="685"/>
      <c r="AJ511" s="685"/>
      <c r="AK511" s="685"/>
      <c r="AL511" s="685"/>
      <c r="AM511" s="685"/>
      <c r="AN511" s="685"/>
      <c r="AO511" s="685"/>
      <c r="AP511" s="685"/>
      <c r="AQ511" s="685"/>
      <c r="AR511" s="685"/>
      <c r="AS511" s="685"/>
      <c r="AT511" s="685"/>
      <c r="AU511" s="685"/>
      <c r="AV511" s="685"/>
      <c r="AW511" s="685"/>
      <c r="AX511" s="685"/>
      <c r="AY511" s="685"/>
    </row>
    <row r="512" spans="1:51">
      <c r="A512" s="685"/>
      <c r="B512" s="1189" t="s">
        <v>3846</v>
      </c>
      <c r="C512" s="1189"/>
      <c r="D512" s="1189"/>
      <c r="E512" s="1189"/>
      <c r="F512" s="1189"/>
      <c r="G512" s="1191"/>
      <c r="H512" s="1191"/>
      <c r="I512" s="1191"/>
      <c r="J512" s="1197">
        <f>J509-I509</f>
        <v>10.00632478632474</v>
      </c>
      <c r="K512" s="1197">
        <f t="shared" ref="K512:AC512" si="453">K509-J509</f>
        <v>5.6145299145300669</v>
      </c>
      <c r="L512" s="1197">
        <f t="shared" si="453"/>
        <v>2.2936752136752148</v>
      </c>
      <c r="M512" s="1197">
        <f t="shared" si="453"/>
        <v>4.3641025641024953</v>
      </c>
      <c r="N512" s="1197">
        <f t="shared" si="453"/>
        <v>0.70598290598286439</v>
      </c>
      <c r="O512" s="1197">
        <f t="shared" si="453"/>
        <v>0</v>
      </c>
      <c r="P512" s="1197">
        <f t="shared" si="453"/>
        <v>0</v>
      </c>
      <c r="Q512" s="1197">
        <f t="shared" si="453"/>
        <v>-0.23914529914532068</v>
      </c>
      <c r="R512" s="1197">
        <f t="shared" si="453"/>
        <v>-6.8376068376068133</v>
      </c>
      <c r="S512" s="1197">
        <f t="shared" si="453"/>
        <v>1.8803418803419163</v>
      </c>
      <c r="T512" s="1197">
        <f t="shared" si="453"/>
        <v>0</v>
      </c>
      <c r="U512" s="1197">
        <f t="shared" si="453"/>
        <v>0</v>
      </c>
      <c r="V512" s="1197">
        <f t="shared" si="453"/>
        <v>0</v>
      </c>
      <c r="W512" s="1197">
        <f t="shared" si="453"/>
        <v>0</v>
      </c>
      <c r="X512" s="1197">
        <f t="shared" si="453"/>
        <v>0</v>
      </c>
      <c r="Y512" s="1197">
        <f t="shared" si="453"/>
        <v>0</v>
      </c>
      <c r="Z512" s="1197">
        <f t="shared" si="453"/>
        <v>0</v>
      </c>
      <c r="AA512" s="1197">
        <f t="shared" si="453"/>
        <v>0</v>
      </c>
      <c r="AB512" s="1197">
        <f t="shared" si="453"/>
        <v>0</v>
      </c>
      <c r="AC512" s="1197">
        <f t="shared" si="453"/>
        <v>0</v>
      </c>
      <c r="AD512" s="685"/>
      <c r="AE512" s="685"/>
      <c r="AF512" s="685"/>
      <c r="AG512" s="685"/>
      <c r="AH512" s="685"/>
      <c r="AI512" s="685"/>
      <c r="AJ512" s="685"/>
      <c r="AK512" s="685"/>
      <c r="AL512" s="685"/>
      <c r="AM512" s="685"/>
      <c r="AN512" s="685"/>
      <c r="AO512" s="685"/>
      <c r="AP512" s="685"/>
      <c r="AQ512" s="685"/>
      <c r="AR512" s="685"/>
      <c r="AS512" s="685"/>
      <c r="AT512" s="685"/>
      <c r="AU512" s="685"/>
      <c r="AV512" s="685"/>
      <c r="AW512" s="685"/>
      <c r="AX512" s="685"/>
      <c r="AY512" s="685"/>
    </row>
    <row r="513" spans="1:51">
      <c r="A513" s="685"/>
      <c r="B513" s="1189" t="s">
        <v>3845</v>
      </c>
      <c r="C513" s="1189"/>
      <c r="D513" s="1189"/>
      <c r="E513" s="1189"/>
      <c r="F513" s="1189"/>
      <c r="G513" s="1191"/>
      <c r="H513" s="1191"/>
      <c r="I513" s="1191"/>
      <c r="J513" s="1197"/>
      <c r="K513" s="1192">
        <f t="shared" ref="K513:P513" si="454">-K512/J511</f>
        <v>-9.9266584803344854E-3</v>
      </c>
      <c r="L513" s="1192">
        <f t="shared" si="454"/>
        <v>-4.0352587423964879E-3</v>
      </c>
      <c r="M513" s="1192">
        <f t="shared" si="454"/>
        <v>-7.6247169850201324E-3</v>
      </c>
      <c r="N513" s="1192">
        <f t="shared" si="454"/>
        <v>-1.226321673379691E-3</v>
      </c>
      <c r="O513" s="1192">
        <f t="shared" si="454"/>
        <v>0</v>
      </c>
      <c r="P513" s="1192">
        <f t="shared" si="454"/>
        <v>0</v>
      </c>
      <c r="Q513" s="1192">
        <f>-Q512/P511</f>
        <v>4.1333179700360327E-4</v>
      </c>
      <c r="R513" s="1192">
        <f t="shared" ref="R513:AC513" si="455">-R512/Q511</f>
        <v>1.1820364152913508E-2</v>
      </c>
      <c r="S513" s="1192">
        <f t="shared" si="455"/>
        <v>-3.2706060819596675E-3</v>
      </c>
      <c r="T513" s="1192">
        <f t="shared" si="455"/>
        <v>0</v>
      </c>
      <c r="U513" s="1192">
        <f t="shared" si="455"/>
        <v>0</v>
      </c>
      <c r="V513" s="1192">
        <f t="shared" si="455"/>
        <v>0</v>
      </c>
      <c r="W513" s="1192">
        <f t="shared" si="455"/>
        <v>0</v>
      </c>
      <c r="X513" s="1192">
        <f t="shared" si="455"/>
        <v>0</v>
      </c>
      <c r="Y513" s="1192">
        <f t="shared" si="455"/>
        <v>0</v>
      </c>
      <c r="Z513" s="1192">
        <f t="shared" si="455"/>
        <v>0</v>
      </c>
      <c r="AA513" s="1192">
        <f t="shared" si="455"/>
        <v>0</v>
      </c>
      <c r="AB513" s="1192">
        <f t="shared" si="455"/>
        <v>0</v>
      </c>
      <c r="AC513" s="1192">
        <f t="shared" si="455"/>
        <v>0</v>
      </c>
      <c r="AD513" s="685"/>
      <c r="AE513" s="685"/>
      <c r="AF513" s="685"/>
      <c r="AG513" s="685"/>
      <c r="AH513" s="685"/>
      <c r="AI513" s="685"/>
      <c r="AJ513" s="685"/>
      <c r="AK513" s="685"/>
      <c r="AL513" s="685"/>
      <c r="AM513" s="685"/>
      <c r="AN513" s="685"/>
      <c r="AO513" s="685"/>
      <c r="AP513" s="685"/>
      <c r="AQ513" s="685"/>
      <c r="AR513" s="685"/>
      <c r="AS513" s="685"/>
      <c r="AT513" s="685"/>
      <c r="AU513" s="685"/>
      <c r="AV513" s="685"/>
      <c r="AW513" s="685"/>
      <c r="AX513" s="685"/>
      <c r="AY513" s="685"/>
    </row>
    <row r="514" spans="1:51">
      <c r="A514" s="685"/>
      <c r="B514" s="685"/>
      <c r="C514" s="1189"/>
      <c r="D514" s="1189"/>
      <c r="E514" s="1189"/>
      <c r="F514" s="1189"/>
      <c r="G514" s="1191"/>
      <c r="H514" s="1191"/>
      <c r="I514" s="1191"/>
      <c r="J514" s="1191"/>
      <c r="K514" s="1189"/>
      <c r="L514" s="1189"/>
      <c r="M514" s="1189"/>
      <c r="N514" s="1189"/>
      <c r="O514" s="1189"/>
      <c r="P514" s="1189"/>
      <c r="Q514" s="1189"/>
      <c r="R514" s="1189"/>
      <c r="S514" s="1189"/>
      <c r="T514" s="1189"/>
      <c r="U514" s="1189"/>
      <c r="V514" s="1189"/>
      <c r="W514" s="1189"/>
      <c r="X514" s="1189"/>
      <c r="Y514" s="1189"/>
      <c r="Z514" s="1189"/>
      <c r="AA514" s="1189"/>
      <c r="AB514" s="1189"/>
      <c r="AC514" s="1189"/>
      <c r="AD514" s="685"/>
      <c r="AE514" s="685"/>
      <c r="AF514" s="685"/>
      <c r="AG514" s="685"/>
      <c r="AH514" s="685"/>
      <c r="AI514" s="685"/>
      <c r="AJ514" s="685"/>
      <c r="AK514" s="685"/>
      <c r="AL514" s="685"/>
      <c r="AM514" s="685"/>
      <c r="AN514" s="685"/>
      <c r="AO514" s="685"/>
      <c r="AP514" s="685"/>
      <c r="AQ514" s="685"/>
      <c r="AR514" s="685"/>
      <c r="AS514" s="685"/>
      <c r="AT514" s="685"/>
      <c r="AU514" s="685"/>
      <c r="AV514" s="685"/>
      <c r="AW514" s="685"/>
      <c r="AX514" s="685"/>
      <c r="AY514" s="685"/>
    </row>
    <row r="515" spans="1:51">
      <c r="A515" s="685"/>
      <c r="B515" s="1189" t="s">
        <v>955</v>
      </c>
      <c r="C515" s="1191"/>
      <c r="D515" s="1191"/>
      <c r="E515" s="1308">
        <v>1.5</v>
      </c>
      <c r="F515" s="1308">
        <v>0.75</v>
      </c>
      <c r="G515" s="1308">
        <f>1.35+1.75</f>
        <v>3.1</v>
      </c>
      <c r="H515" s="1308">
        <v>0</v>
      </c>
      <c r="I515" s="1308">
        <v>0.35</v>
      </c>
      <c r="J515" s="1308">
        <v>0.35</v>
      </c>
      <c r="K515" s="1308">
        <v>0.35</v>
      </c>
      <c r="L515" s="1308">
        <v>0.35</v>
      </c>
      <c r="M515" s="1308">
        <v>0</v>
      </c>
      <c r="N515" s="1308">
        <v>0.35</v>
      </c>
      <c r="O515" s="1308">
        <v>0.35</v>
      </c>
      <c r="P515" s="1308">
        <v>0.35</v>
      </c>
      <c r="Q515" s="1308">
        <v>0.35</v>
      </c>
      <c r="R515" s="1308">
        <v>0</v>
      </c>
      <c r="S515" s="1308">
        <v>0.35</v>
      </c>
      <c r="T515" s="1308">
        <f>0.35+0.002991452991</f>
        <v>0.35299145299099999</v>
      </c>
      <c r="U515" s="1308">
        <f>0.35+0.002991452991</f>
        <v>0.35299145299099999</v>
      </c>
      <c r="V515" s="1308">
        <f>0.35+0.002991452991</f>
        <v>0.35299145299099999</v>
      </c>
      <c r="W515" s="1309">
        <f t="shared" ref="W515:AC515" si="456">(1+W516)*V515</f>
        <v>0.35299145299099999</v>
      </c>
      <c r="X515" s="1309">
        <f t="shared" si="456"/>
        <v>0.35299145299099999</v>
      </c>
      <c r="Y515" s="1309">
        <f t="shared" si="456"/>
        <v>0.35299145299099999</v>
      </c>
      <c r="Z515" s="1309">
        <f t="shared" si="456"/>
        <v>0.35299145299099999</v>
      </c>
      <c r="AA515" s="1309">
        <f t="shared" si="456"/>
        <v>0.35299145299099999</v>
      </c>
      <c r="AB515" s="1309">
        <f t="shared" si="456"/>
        <v>0.35299145299099999</v>
      </c>
      <c r="AC515" s="1309">
        <f t="shared" si="456"/>
        <v>0.35299145299099999</v>
      </c>
      <c r="AD515" s="685"/>
      <c r="AE515" s="685"/>
      <c r="AF515" s="685"/>
      <c r="AG515" s="685"/>
      <c r="AH515" s="685"/>
      <c r="AI515" s="685"/>
      <c r="AJ515" s="685"/>
      <c r="AK515" s="685"/>
      <c r="AL515" s="685"/>
      <c r="AM515" s="685"/>
      <c r="AN515" s="685"/>
      <c r="AO515" s="685"/>
      <c r="AP515" s="685"/>
      <c r="AQ515" s="685"/>
      <c r="AR515" s="685"/>
      <c r="AS515" s="685"/>
      <c r="AT515" s="685"/>
      <c r="AU515" s="685"/>
      <c r="AV515" s="685"/>
      <c r="AW515" s="685"/>
      <c r="AX515" s="685"/>
      <c r="AY515" s="685"/>
    </row>
    <row r="516" spans="1:51">
      <c r="A516" s="685"/>
      <c r="B516" s="1189" t="s">
        <v>181</v>
      </c>
      <c r="C516" s="1191"/>
      <c r="D516" s="1191"/>
      <c r="E516" s="1191"/>
      <c r="F516" s="1191"/>
      <c r="G516" s="1261">
        <f>G517/G515</f>
        <v>0</v>
      </c>
      <c r="H516" s="1261"/>
      <c r="I516" s="1261"/>
      <c r="J516" s="1261"/>
      <c r="K516" s="1261"/>
      <c r="L516" s="1261"/>
      <c r="M516" s="1261"/>
      <c r="N516" s="1261"/>
      <c r="O516" s="1263">
        <f>O515/N515-1</f>
        <v>0</v>
      </c>
      <c r="P516" s="1263">
        <f t="shared" ref="P516:V516" si="457">P515/O515-1</f>
        <v>0</v>
      </c>
      <c r="Q516" s="1263">
        <f t="shared" si="457"/>
        <v>0</v>
      </c>
      <c r="R516" s="1263">
        <f t="shared" si="457"/>
        <v>-1</v>
      </c>
      <c r="S516" s="1263"/>
      <c r="T516" s="1263">
        <f t="shared" si="457"/>
        <v>8.5470085457142186E-3</v>
      </c>
      <c r="U516" s="1263">
        <f t="shared" si="457"/>
        <v>0</v>
      </c>
      <c r="V516" s="1263">
        <f t="shared" si="457"/>
        <v>0</v>
      </c>
      <c r="W516" s="1310">
        <v>0</v>
      </c>
      <c r="X516" s="1310">
        <v>0</v>
      </c>
      <c r="Y516" s="1310">
        <v>0</v>
      </c>
      <c r="Z516" s="1310">
        <v>0</v>
      </c>
      <c r="AA516" s="1310">
        <v>0</v>
      </c>
      <c r="AB516" s="1310">
        <v>0</v>
      </c>
      <c r="AC516" s="1310">
        <v>0</v>
      </c>
      <c r="AD516" s="685"/>
      <c r="AE516" s="685"/>
      <c r="AF516" s="685"/>
      <c r="AG516" s="685"/>
      <c r="AH516" s="685"/>
      <c r="AI516" s="685"/>
      <c r="AJ516" s="685"/>
      <c r="AK516" s="685"/>
      <c r="AL516" s="685"/>
      <c r="AM516" s="685"/>
      <c r="AN516" s="685"/>
      <c r="AO516" s="685"/>
      <c r="AP516" s="685"/>
      <c r="AQ516" s="685"/>
      <c r="AR516" s="685"/>
      <c r="AS516" s="685"/>
      <c r="AT516" s="685"/>
      <c r="AU516" s="685"/>
      <c r="AV516" s="685"/>
      <c r="AW516" s="685"/>
      <c r="AX516" s="685"/>
      <c r="AY516" s="685"/>
    </row>
    <row r="517" spans="1:51">
      <c r="A517" s="685"/>
      <c r="B517" s="1189"/>
      <c r="C517" s="1191"/>
      <c r="D517" s="1191"/>
      <c r="E517" s="1191"/>
      <c r="F517" s="1191"/>
      <c r="G517" s="1261"/>
      <c r="H517" s="1261"/>
      <c r="I517" s="1261"/>
      <c r="J517" s="1261"/>
      <c r="K517" s="1191"/>
      <c r="L517" s="1191"/>
      <c r="M517" s="1191"/>
      <c r="N517" s="1191"/>
      <c r="O517" s="1191"/>
      <c r="P517" s="1191"/>
      <c r="Q517" s="1191"/>
      <c r="R517" s="1191"/>
      <c r="S517" s="1191"/>
      <c r="T517" s="1191"/>
      <c r="U517" s="1191"/>
      <c r="V517" s="1191"/>
      <c r="W517" s="1191"/>
      <c r="X517" s="1191"/>
      <c r="Y517" s="1191"/>
      <c r="Z517" s="1191"/>
      <c r="AA517" s="1191"/>
      <c r="AB517" s="1191"/>
      <c r="AC517" s="1191"/>
      <c r="AD517" s="685"/>
      <c r="AE517" s="685"/>
      <c r="AF517" s="685"/>
      <c r="AG517" s="685"/>
      <c r="AH517" s="685"/>
      <c r="AI517" s="685"/>
      <c r="AJ517" s="685"/>
      <c r="AK517" s="685"/>
      <c r="AL517" s="685"/>
      <c r="AM517" s="685"/>
      <c r="AN517" s="685"/>
      <c r="AO517" s="685"/>
      <c r="AP517" s="685"/>
      <c r="AQ517" s="685"/>
      <c r="AR517" s="685"/>
      <c r="AS517" s="685"/>
      <c r="AT517" s="685"/>
      <c r="AU517" s="685"/>
      <c r="AV517" s="685"/>
      <c r="AW517" s="685"/>
      <c r="AX517" s="685"/>
      <c r="AY517" s="685"/>
    </row>
    <row r="518" spans="1:51">
      <c r="A518" s="685"/>
      <c r="B518" s="1189" t="s">
        <v>1072</v>
      </c>
      <c r="C518" s="1191"/>
      <c r="D518" s="1191"/>
      <c r="E518" s="1257"/>
      <c r="F518" s="1257"/>
      <c r="G518" s="1257"/>
      <c r="H518" s="1257">
        <f>H515*5/Valuation!E19</f>
        <v>0</v>
      </c>
      <c r="I518" s="1257">
        <f>I515*5/Valuation!F19</f>
        <v>0.13855898653998416</v>
      </c>
      <c r="J518" s="1257">
        <f>J515*5/Valuation!G19</f>
        <v>0.14067524115755628</v>
      </c>
      <c r="K518" s="1257">
        <f>K515*5/Valuation!H19</f>
        <v>0.13297872340425532</v>
      </c>
      <c r="L518" s="1257">
        <f>L515*5/Valuation!I19</f>
        <v>0.13714733542319749</v>
      </c>
      <c r="M518" s="1257">
        <f>M515*5/Valuation!J19</f>
        <v>0</v>
      </c>
      <c r="N518" s="1257">
        <f>N515*5/Valuation!K19</f>
        <v>0.11027095148078135</v>
      </c>
      <c r="O518" s="1257">
        <f>O515*5/Valuation!L19</f>
        <v>9.2838196286472136E-2</v>
      </c>
      <c r="P518" s="1257">
        <f>P515*5/Valuation!M19</f>
        <v>9.2592592592592601E-2</v>
      </c>
      <c r="Q518" s="1257">
        <f>Q515*5/Valuation!N19</f>
        <v>9.0909090909090912E-2</v>
      </c>
      <c r="R518" s="1257">
        <f>R515*5/Valuation!O19</f>
        <v>0</v>
      </c>
      <c r="S518" s="1257">
        <f>S515*5/Valuation!P19</f>
        <v>8.1471135940409681E-2</v>
      </c>
      <c r="T518" s="1257">
        <f>T515*5/Valuation!Q19</f>
        <v>8.7005764268639318E-2</v>
      </c>
      <c r="U518" s="1257">
        <f>U515*5/Valuation!R19</f>
        <v>8.7765154895822983E-2</v>
      </c>
      <c r="V518" s="1257">
        <f>V515*5/Valuation!S19</f>
        <v>9.9715099714971764E-2</v>
      </c>
      <c r="W518" s="1257">
        <f>W515*5/Valuation!T19</f>
        <v>0.10360162391142286</v>
      </c>
      <c r="X518" s="1257">
        <f>X515*5/Valuation!U19</f>
        <v>0.10219195558769034</v>
      </c>
      <c r="Y518" s="1257">
        <f>Y515*5/Valuation!V19</f>
        <v>0.10018819175263761</v>
      </c>
      <c r="Z518" s="1257">
        <f>Z515*5/Valuation!W19</f>
        <v>9.8223717404546676E-2</v>
      </c>
      <c r="AA518" s="1257">
        <f>AA515*5/Valuation!X19</f>
        <v>9.6297762161320258E-2</v>
      </c>
      <c r="AB518" s="1257">
        <f>AB515*5/Valuation!Y19</f>
        <v>9.4409570746392418E-2</v>
      </c>
      <c r="AC518" s="1257">
        <f>AC515*5/Valuation!Z19</f>
        <v>9.2558402692541591E-2</v>
      </c>
      <c r="AD518" s="685"/>
      <c r="AE518" s="685"/>
      <c r="AF518" s="685"/>
      <c r="AG518" s="685"/>
      <c r="AH518" s="685"/>
      <c r="AI518" s="685"/>
      <c r="AJ518" s="685"/>
      <c r="AK518" s="685"/>
      <c r="AL518" s="685"/>
      <c r="AM518" s="685"/>
      <c r="AN518" s="685"/>
      <c r="AO518" s="685"/>
      <c r="AP518" s="685"/>
      <c r="AQ518" s="685"/>
      <c r="AR518" s="685"/>
      <c r="AS518" s="685"/>
      <c r="AT518" s="685"/>
      <c r="AU518" s="685"/>
      <c r="AV518" s="685"/>
      <c r="AW518" s="685"/>
      <c r="AX518" s="685"/>
      <c r="AY518" s="685"/>
    </row>
    <row r="519" spans="1:51">
      <c r="A519" s="685"/>
      <c r="B519" s="1189"/>
      <c r="C519" s="1191"/>
      <c r="D519" s="1191"/>
      <c r="E519" s="1191"/>
      <c r="F519" s="1191"/>
      <c r="G519" s="1261"/>
      <c r="H519" s="1261"/>
      <c r="I519" s="1261"/>
      <c r="J519" s="1261"/>
      <c r="K519" s="1191"/>
      <c r="L519" s="1191"/>
      <c r="M519" s="1191"/>
      <c r="N519" s="1191"/>
      <c r="O519" s="1191"/>
      <c r="P519" s="1191"/>
      <c r="Q519" s="1191"/>
      <c r="R519" s="1191"/>
      <c r="S519" s="1191"/>
      <c r="T519" s="1191"/>
      <c r="U519" s="1191"/>
      <c r="V519" s="1191"/>
      <c r="W519" s="1191"/>
      <c r="X519" s="1191"/>
      <c r="Y519" s="1191"/>
      <c r="Z519" s="1191"/>
      <c r="AA519" s="1191"/>
      <c r="AB519" s="1191"/>
      <c r="AC519" s="1191"/>
      <c r="AD519" s="685"/>
      <c r="AE519" s="685"/>
      <c r="AF519" s="685"/>
      <c r="AG519" s="685"/>
      <c r="AH519" s="685"/>
      <c r="AI519" s="685"/>
      <c r="AJ519" s="685"/>
      <c r="AK519" s="685"/>
      <c r="AL519" s="685"/>
      <c r="AM519" s="685"/>
      <c r="AN519" s="685"/>
      <c r="AO519" s="685"/>
      <c r="AP519" s="685"/>
      <c r="AQ519" s="685"/>
      <c r="AR519" s="685"/>
      <c r="AS519" s="685"/>
      <c r="AT519" s="685"/>
      <c r="AU519" s="685"/>
      <c r="AV519" s="685"/>
      <c r="AW519" s="685"/>
      <c r="AX519" s="685"/>
      <c r="AY519" s="685"/>
    </row>
    <row r="520" spans="1:51">
      <c r="A520" s="685"/>
      <c r="B520" s="1189" t="s">
        <v>335</v>
      </c>
      <c r="C520" s="1261"/>
      <c r="D520" s="1261"/>
      <c r="E520" s="1261">
        <f>E515*E492</f>
        <v>4330.5384615384619</v>
      </c>
      <c r="F520" s="1261">
        <f>F515*F492</f>
        <v>2115.1282051282051</v>
      </c>
      <c r="G520" s="1261">
        <f>G515*G492</f>
        <v>8701.0111111111109</v>
      </c>
      <c r="H520" s="1261">
        <f>H515*H492</f>
        <v>0</v>
      </c>
      <c r="I520" s="1261">
        <f t="shared" ref="I520:P520" si="458">I515*I490</f>
        <v>1066.6543162393161</v>
      </c>
      <c r="J520" s="1261">
        <f t="shared" si="458"/>
        <v>1084.2353846153844</v>
      </c>
      <c r="K520" s="1261">
        <f t="shared" si="458"/>
        <v>1094.060811965812</v>
      </c>
      <c r="L520" s="1261">
        <f t="shared" si="458"/>
        <v>1098.0747435897435</v>
      </c>
      <c r="M520" s="1261">
        <f t="shared" si="458"/>
        <v>0</v>
      </c>
      <c r="N520" s="1261">
        <f t="shared" si="458"/>
        <v>1084.1938034188033</v>
      </c>
      <c r="O520" s="1261">
        <f t="shared" si="458"/>
        <v>1084.1938034188033</v>
      </c>
      <c r="P520" s="1261">
        <f t="shared" si="458"/>
        <v>1084.1938034188033</v>
      </c>
      <c r="Q520" s="1261">
        <f>Q515*Q490</f>
        <v>1068.8679914529912</v>
      </c>
      <c r="R520" s="1261">
        <f t="shared" ref="R520:X520" si="459">R515*R490</f>
        <v>0</v>
      </c>
      <c r="S520" s="1261">
        <f t="shared" si="459"/>
        <v>1068.8679914529912</v>
      </c>
      <c r="T520" s="1286">
        <v>1053.3920000000001</v>
      </c>
      <c r="U520" s="1286">
        <v>1053.3920000000001</v>
      </c>
      <c r="V520" s="1286">
        <v>1027.354</v>
      </c>
      <c r="W520" s="1261">
        <f>W515*W490</f>
        <v>1078.0036153101805</v>
      </c>
      <c r="X520" s="1261">
        <f t="shared" si="459"/>
        <v>1078.0036153101805</v>
      </c>
      <c r="Y520" s="1261">
        <f>Y515*Y490</f>
        <v>1078.0036153101805</v>
      </c>
      <c r="Z520" s="1261">
        <f>Z515*Z490</f>
        <v>1078.0036153101805</v>
      </c>
      <c r="AA520" s="1261">
        <f>AA515*AA490</f>
        <v>1078.0036153101805</v>
      </c>
      <c r="AB520" s="1261">
        <f>AB515*AB490</f>
        <v>1078.0036153101805</v>
      </c>
      <c r="AC520" s="1261">
        <f>AC515*AC490</f>
        <v>1078.0036153101805</v>
      </c>
      <c r="AD520" s="685"/>
      <c r="AE520" s="685"/>
      <c r="AF520" s="685"/>
      <c r="AG520" s="685"/>
      <c r="AH520" s="685"/>
      <c r="AI520" s="685"/>
      <c r="AJ520" s="685"/>
      <c r="AK520" s="685"/>
      <c r="AL520" s="685"/>
      <c r="AM520" s="685"/>
      <c r="AN520" s="685"/>
      <c r="AO520" s="685"/>
      <c r="AP520" s="685"/>
      <c r="AQ520" s="685"/>
      <c r="AR520" s="685"/>
      <c r="AS520" s="685"/>
      <c r="AT520" s="685"/>
      <c r="AU520" s="685"/>
      <c r="AV520" s="685"/>
      <c r="AW520" s="685"/>
      <c r="AX520" s="685"/>
      <c r="AY520" s="685"/>
    </row>
    <row r="521" spans="1:51">
      <c r="A521" s="685"/>
      <c r="B521" s="1189" t="s">
        <v>336</v>
      </c>
      <c r="C521" s="1191"/>
      <c r="D521" s="1191"/>
      <c r="E521" s="1191"/>
      <c r="F521" s="1191"/>
      <c r="G521" s="1191"/>
      <c r="H521" s="1191">
        <f t="shared" ref="H521:X521" si="460">H520/H452</f>
        <v>0</v>
      </c>
      <c r="I521" s="1191">
        <f t="shared" si="460"/>
        <v>0.13139373198316287</v>
      </c>
      <c r="J521" s="1191">
        <f t="shared" si="460"/>
        <v>0.13743286830291845</v>
      </c>
      <c r="K521" s="1191">
        <f t="shared" si="460"/>
        <v>0.12452036283783795</v>
      </c>
      <c r="L521" s="1191">
        <f t="shared" si="460"/>
        <v>0.12977034667990464</v>
      </c>
      <c r="M521" s="1191">
        <f t="shared" si="460"/>
        <v>0</v>
      </c>
      <c r="N521" s="1191">
        <f t="shared" si="460"/>
        <v>0.22680455273075009</v>
      </c>
      <c r="O521" s="1191">
        <f t="shared" si="460"/>
        <v>0.17333511381777553</v>
      </c>
      <c r="P521" s="1191">
        <f t="shared" si="460"/>
        <v>0.38001885854146605</v>
      </c>
      <c r="Q521" s="1191">
        <f t="shared" si="460"/>
        <v>0.34101199318944336</v>
      </c>
      <c r="R521" s="1191">
        <f t="shared" si="460"/>
        <v>0</v>
      </c>
      <c r="S521" s="1191">
        <f t="shared" si="460"/>
        <v>0.21039880151430895</v>
      </c>
      <c r="T521" s="1191">
        <f t="shared" si="460"/>
        <v>0.2049999026953393</v>
      </c>
      <c r="U521" s="1191">
        <f t="shared" si="460"/>
        <v>-8.261204745954652E-2</v>
      </c>
      <c r="V521" s="1191">
        <f t="shared" si="460"/>
        <v>-0.10036772535878626</v>
      </c>
      <c r="W521" s="1191">
        <f t="shared" ca="1" si="460"/>
        <v>1.9584021390743738</v>
      </c>
      <c r="X521" s="1191">
        <f t="shared" ca="1" si="460"/>
        <v>-0.75157520278921808</v>
      </c>
      <c r="Y521" s="1191">
        <f ca="1">Y520/Y452</f>
        <v>-3.5009861687623007</v>
      </c>
      <c r="Z521" s="1191">
        <f ca="1">Z520/Z452</f>
        <v>1.810993307334497</v>
      </c>
      <c r="AA521" s="1191">
        <f ca="1">AA520/AA452</f>
        <v>0.68945417360688321</v>
      </c>
      <c r="AB521" s="1191">
        <f ca="1">AB520/AB452</f>
        <v>0.42871976741234663</v>
      </c>
      <c r="AC521" s="1191">
        <f ca="1">AC520/AC452</f>
        <v>0.30624332990253472</v>
      </c>
      <c r="AD521" s="685"/>
      <c r="AE521" s="685"/>
      <c r="AF521" s="685"/>
      <c r="AG521" s="685"/>
      <c r="AH521" s="685"/>
      <c r="AI521" s="685"/>
      <c r="AJ521" s="685"/>
      <c r="AK521" s="685"/>
      <c r="AL521" s="685"/>
      <c r="AM521" s="685"/>
      <c r="AN521" s="685"/>
      <c r="AO521" s="685"/>
      <c r="AP521" s="685"/>
      <c r="AQ521" s="685"/>
      <c r="AR521" s="685"/>
      <c r="AS521" s="685"/>
      <c r="AT521" s="685"/>
      <c r="AU521" s="685"/>
      <c r="AV521" s="685"/>
      <c r="AW521" s="685"/>
      <c r="AX521" s="685"/>
      <c r="AY521" s="685"/>
    </row>
    <row r="522" spans="1:51">
      <c r="A522" s="685"/>
      <c r="B522" s="1189" t="s">
        <v>337</v>
      </c>
      <c r="C522" s="1191"/>
      <c r="D522" s="1191"/>
      <c r="E522" s="1191"/>
      <c r="F522" s="1191"/>
      <c r="G522" s="1191"/>
      <c r="H522" s="1191"/>
      <c r="I522" s="1191">
        <f t="shared" ref="I522:X522" si="461">I515/I453</f>
        <v>2.395395480761334E-2</v>
      </c>
      <c r="J522" s="1191">
        <f t="shared" si="461"/>
        <v>2.5092584647799364E-2</v>
      </c>
      <c r="K522" s="1191">
        <f t="shared" si="461"/>
        <v>2.2754490482063263E-2</v>
      </c>
      <c r="L522" s="1191">
        <f t="shared" si="461"/>
        <v>2.3722046255475065E-2</v>
      </c>
      <c r="M522" s="1191">
        <f t="shared" si="461"/>
        <v>0</v>
      </c>
      <c r="N522" s="1191">
        <f t="shared" si="461"/>
        <v>4.2361948102173662E-2</v>
      </c>
      <c r="O522" s="1191">
        <f t="shared" si="461"/>
        <v>3.2375069227776727E-2</v>
      </c>
      <c r="P522" s="1191">
        <f t="shared" si="461"/>
        <v>7.0978906594048499E-2</v>
      </c>
      <c r="Q522" s="1191">
        <f t="shared" si="461"/>
        <v>6.4579862065505256E-2</v>
      </c>
      <c r="R522" s="1191">
        <f t="shared" si="461"/>
        <v>0</v>
      </c>
      <c r="S522" s="1191">
        <f t="shared" si="461"/>
        <v>3.9503184308310138E-2</v>
      </c>
      <c r="T522" s="1191">
        <f t="shared" si="461"/>
        <v>3.9388795454612713E-2</v>
      </c>
      <c r="U522" s="1191">
        <f t="shared" si="461"/>
        <v>-1.5873124799999309E-2</v>
      </c>
      <c r="V522" s="1191">
        <f t="shared" si="461"/>
        <v>-1.9773476239854558E-2</v>
      </c>
      <c r="W522" s="1191">
        <f t="shared" ca="1" si="461"/>
        <v>0.36769753483782286</v>
      </c>
      <c r="X522" s="1191">
        <f t="shared" ca="1" si="461"/>
        <v>-0.14111113534702757</v>
      </c>
      <c r="Y522" s="1191">
        <f ca="1">Y515/Y453</f>
        <v>-0.65732362014455725</v>
      </c>
      <c r="Z522" s="1191">
        <f ca="1">Z515/Z453</f>
        <v>0.34002095965306828</v>
      </c>
      <c r="AA522" s="1191">
        <f ca="1">AA515/AA453</f>
        <v>0.12944767316212158</v>
      </c>
      <c r="AB522" s="1191">
        <f ca="1">AB515/AB453</f>
        <v>8.0493785453212285E-2</v>
      </c>
      <c r="AC522" s="1191">
        <f ca="1">AC515/AC453</f>
        <v>5.7498363190570313E-2</v>
      </c>
      <c r="AD522" s="685"/>
      <c r="AE522" s="685"/>
      <c r="AF522" s="685"/>
      <c r="AG522" s="685"/>
      <c r="AH522" s="685"/>
      <c r="AI522" s="685"/>
      <c r="AJ522" s="685"/>
      <c r="AK522" s="685"/>
      <c r="AL522" s="685"/>
      <c r="AM522" s="685"/>
      <c r="AN522" s="685"/>
      <c r="AO522" s="685"/>
      <c r="AP522" s="685"/>
      <c r="AQ522" s="685"/>
      <c r="AR522" s="685"/>
      <c r="AS522" s="685"/>
      <c r="AT522" s="685"/>
      <c r="AU522" s="685"/>
      <c r="AV522" s="685"/>
      <c r="AW522" s="685"/>
      <c r="AX522" s="685"/>
      <c r="AY522" s="685"/>
    </row>
    <row r="523" spans="1:51">
      <c r="A523" s="685"/>
      <c r="B523" s="1189" t="s">
        <v>338</v>
      </c>
      <c r="C523" s="1191"/>
      <c r="D523" s="1191"/>
      <c r="E523" s="1191"/>
      <c r="F523" s="1191"/>
      <c r="G523" s="1191"/>
      <c r="H523" s="1191">
        <f>H520/H529</f>
        <v>0</v>
      </c>
      <c r="I523" s="1191">
        <f>I520/I529</f>
        <v>0.55322385402984142</v>
      </c>
      <c r="J523" s="1191">
        <f>J520/J529</f>
        <v>0.19789434017576357</v>
      </c>
      <c r="K523" s="1191">
        <f t="shared" ref="K523:Q523" si="462">K520/K529</f>
        <v>0.1930840931492156</v>
      </c>
      <c r="L523" s="1191">
        <f t="shared" si="462"/>
        <v>0.31070415468419976</v>
      </c>
      <c r="M523" s="1191">
        <f t="shared" si="462"/>
        <v>0</v>
      </c>
      <c r="N523" s="1191">
        <f t="shared" si="462"/>
        <v>-0.17960642137524141</v>
      </c>
      <c r="O523" s="1191">
        <f t="shared" si="462"/>
        <v>-0.2317455622285495</v>
      </c>
      <c r="P523" s="1191">
        <f t="shared" si="462"/>
        <v>0.23225242512993377</v>
      </c>
      <c r="Q523" s="1191">
        <f t="shared" si="462"/>
        <v>0.24814402754599379</v>
      </c>
      <c r="R523" s="1191">
        <f t="shared" ref="R523:X523" si="463">R520/R529</f>
        <v>0</v>
      </c>
      <c r="S523" s="1191">
        <f t="shared" si="463"/>
        <v>0.17343621877486529</v>
      </c>
      <c r="T523" s="1191">
        <f t="shared" si="463"/>
        <v>0.3244492845477101</v>
      </c>
      <c r="U523" s="1191">
        <f t="shared" si="463"/>
        <v>-0.11905653702659294</v>
      </c>
      <c r="V523" s="1191">
        <f t="shared" si="463"/>
        <v>-0.30704403831497806</v>
      </c>
      <c r="W523" s="1191">
        <f t="shared" ca="1" si="463"/>
        <v>0.12286812325063534</v>
      </c>
      <c r="X523" s="1191">
        <f t="shared" ca="1" si="463"/>
        <v>0.17596252326413267</v>
      </c>
      <c r="Y523" s="1191">
        <f ca="1">Y520/Y529</f>
        <v>0.15799959455448537</v>
      </c>
      <c r="Z523" s="1191">
        <f ca="1">Z520/Z529</f>
        <v>0.14382056844221314</v>
      </c>
      <c r="AA523" s="1191">
        <f ca="1">AA520/AA529</f>
        <v>0.13264885354136272</v>
      </c>
      <c r="AB523" s="1191">
        <f ca="1">AB520/AB529</f>
        <v>0.12374993875981095</v>
      </c>
      <c r="AC523" s="1191">
        <f ca="1">AC520/AC529</f>
        <v>0.11697477525638893</v>
      </c>
      <c r="AD523" s="685"/>
      <c r="AE523" s="685"/>
      <c r="AF523" s="685"/>
      <c r="AG523" s="685"/>
      <c r="AH523" s="685"/>
      <c r="AI523" s="685"/>
      <c r="AJ523" s="685"/>
      <c r="AK523" s="685"/>
      <c r="AL523" s="685"/>
      <c r="AM523" s="685"/>
      <c r="AN523" s="685"/>
      <c r="AO523" s="685"/>
      <c r="AP523" s="685"/>
      <c r="AQ523" s="685"/>
      <c r="AR523" s="685"/>
      <c r="AS523" s="685"/>
      <c r="AT523" s="685"/>
      <c r="AU523" s="685"/>
      <c r="AV523" s="685"/>
      <c r="AW523" s="685"/>
      <c r="AX523" s="685"/>
      <c r="AY523" s="685"/>
    </row>
    <row r="524" spans="1:51">
      <c r="A524" s="685"/>
      <c r="B524" s="1189"/>
      <c r="C524" s="1189"/>
      <c r="D524" s="1189"/>
      <c r="E524" s="1189"/>
      <c r="F524" s="1189"/>
      <c r="G524" s="1189"/>
      <c r="H524" s="1189"/>
      <c r="I524" s="1189"/>
      <c r="J524" s="1189"/>
      <c r="K524" s="1189"/>
      <c r="L524" s="1189"/>
      <c r="M524" s="1189"/>
      <c r="N524" s="1197"/>
      <c r="O524" s="1197"/>
      <c r="P524" s="1197"/>
      <c r="Q524" s="1197"/>
      <c r="R524" s="1197"/>
      <c r="S524" s="1197"/>
      <c r="T524" s="1197"/>
      <c r="U524" s="1197"/>
      <c r="V524" s="1197"/>
      <c r="W524" s="1197"/>
      <c r="X524" s="1197"/>
      <c r="Y524" s="1197"/>
      <c r="Z524" s="1197"/>
      <c r="AA524" s="1197"/>
      <c r="AB524" s="1197"/>
      <c r="AC524" s="1197"/>
      <c r="AD524" s="685"/>
      <c r="AE524" s="685"/>
      <c r="AF524" s="685"/>
      <c r="AG524" s="685"/>
      <c r="AH524" s="685"/>
      <c r="AI524" s="685"/>
      <c r="AJ524" s="685"/>
      <c r="AK524" s="685"/>
      <c r="AL524" s="685"/>
      <c r="AM524" s="685"/>
      <c r="AN524" s="685"/>
      <c r="AO524" s="685"/>
      <c r="AP524" s="685"/>
      <c r="AQ524" s="685"/>
      <c r="AR524" s="685"/>
      <c r="AS524" s="685"/>
      <c r="AT524" s="685"/>
      <c r="AU524" s="685"/>
      <c r="AV524" s="685"/>
      <c r="AW524" s="685"/>
      <c r="AX524" s="685"/>
      <c r="AY524" s="685"/>
    </row>
    <row r="525" spans="1:51">
      <c r="A525" s="685"/>
      <c r="B525" s="1189" t="s">
        <v>329</v>
      </c>
      <c r="C525" s="1197"/>
      <c r="D525" s="1197">
        <f t="shared" ref="D525:X525" si="464">D452</f>
        <v>0</v>
      </c>
      <c r="E525" s="1197">
        <f t="shared" si="464"/>
        <v>0</v>
      </c>
      <c r="F525" s="1197">
        <f t="shared" si="464"/>
        <v>0</v>
      </c>
      <c r="G525" s="1197">
        <f t="shared" si="464"/>
        <v>0</v>
      </c>
      <c r="H525" s="1197">
        <f t="shared" si="464"/>
        <v>8662</v>
      </c>
      <c r="I525" s="1197">
        <f t="shared" si="464"/>
        <v>8118</v>
      </c>
      <c r="J525" s="1197">
        <f t="shared" si="464"/>
        <v>7889.2000000000007</v>
      </c>
      <c r="K525" s="1197">
        <f t="shared" si="464"/>
        <v>8786.2000000000025</v>
      </c>
      <c r="L525" s="1197">
        <f t="shared" si="464"/>
        <v>8461.6768906249981</v>
      </c>
      <c r="M525" s="1197">
        <f t="shared" si="464"/>
        <v>9978.0000000000018</v>
      </c>
      <c r="N525" s="1197">
        <f t="shared" si="464"/>
        <v>4780.2999999999938</v>
      </c>
      <c r="O525" s="1197">
        <f t="shared" si="464"/>
        <v>6254.8999999999951</v>
      </c>
      <c r="P525" s="1197">
        <f t="shared" si="464"/>
        <v>2853.0000000000018</v>
      </c>
      <c r="Q525" s="1197">
        <f t="shared" si="464"/>
        <v>3134.3999999999996</v>
      </c>
      <c r="R525" s="1197">
        <f>R452</f>
        <v>4723.199999999998</v>
      </c>
      <c r="S525" s="1197">
        <f t="shared" si="464"/>
        <v>5080.1999999999944</v>
      </c>
      <c r="T525" s="1197">
        <f t="shared" si="464"/>
        <v>5138.4999999999955</v>
      </c>
      <c r="U525" s="1197">
        <f t="shared" si="464"/>
        <v>-12751.070000000003</v>
      </c>
      <c r="V525" s="1197">
        <f t="shared" si="464"/>
        <v>-10235.899999999998</v>
      </c>
      <c r="W525" s="1197">
        <f t="shared" ca="1" si="464"/>
        <v>550.45059122519751</v>
      </c>
      <c r="X525" s="1197">
        <f t="shared" ca="1" si="464"/>
        <v>-1434.325681993676</v>
      </c>
      <c r="Y525" s="1197">
        <f ca="1">Y452</f>
        <v>-307.91427424898563</v>
      </c>
      <c r="Z525" s="1197">
        <f ca="1">Z452</f>
        <v>595.25543851779094</v>
      </c>
      <c r="AA525" s="1197">
        <f ca="1">AA452</f>
        <v>1563.5609393305995</v>
      </c>
      <c r="AB525" s="1197">
        <f ca="1">AB452</f>
        <v>2514.4714502360389</v>
      </c>
      <c r="AC525" s="1197">
        <f ca="1">AC452</f>
        <v>3520.0884723049053</v>
      </c>
      <c r="AD525" s="685"/>
      <c r="AE525" s="685"/>
      <c r="AF525" s="685"/>
      <c r="AG525" s="685"/>
      <c r="AH525" s="685"/>
      <c r="AI525" s="685"/>
      <c r="AJ525" s="685"/>
      <c r="AK525" s="685"/>
      <c r="AL525" s="685"/>
      <c r="AM525" s="685"/>
      <c r="AN525" s="685"/>
      <c r="AO525" s="685"/>
      <c r="AP525" s="685"/>
      <c r="AQ525" s="685"/>
      <c r="AR525" s="685"/>
      <c r="AS525" s="685"/>
      <c r="AT525" s="685"/>
      <c r="AU525" s="685"/>
      <c r="AV525" s="685"/>
      <c r="AW525" s="685"/>
      <c r="AX525" s="685"/>
      <c r="AY525" s="685"/>
    </row>
    <row r="526" spans="1:51">
      <c r="A526" s="685"/>
      <c r="B526" s="1189" t="s">
        <v>339</v>
      </c>
      <c r="C526" s="1197"/>
      <c r="D526" s="1197">
        <f t="shared" ref="D526:X526" si="465">-D446</f>
        <v>0</v>
      </c>
      <c r="E526" s="1197">
        <f t="shared" si="465"/>
        <v>0</v>
      </c>
      <c r="F526" s="1197">
        <f t="shared" si="465"/>
        <v>0</v>
      </c>
      <c r="G526" s="1197">
        <f t="shared" si="465"/>
        <v>0</v>
      </c>
      <c r="H526" s="1197">
        <f t="shared" si="465"/>
        <v>4390</v>
      </c>
      <c r="I526" s="1197">
        <f t="shared" si="465"/>
        <v>5697</v>
      </c>
      <c r="J526" s="1197">
        <f t="shared" si="465"/>
        <v>6501</v>
      </c>
      <c r="K526" s="1197">
        <f t="shared" si="465"/>
        <v>7122.2916099069244</v>
      </c>
      <c r="L526" s="1197">
        <f t="shared" si="465"/>
        <v>8426.7308289351131</v>
      </c>
      <c r="M526" s="1197">
        <f t="shared" si="465"/>
        <v>9411.8212326843186</v>
      </c>
      <c r="N526" s="1197">
        <f t="shared" si="465"/>
        <v>11222.332339055185</v>
      </c>
      <c r="O526" s="1197">
        <f t="shared" si="465"/>
        <v>12681.492375298647</v>
      </c>
      <c r="P526" s="1197">
        <f t="shared" si="465"/>
        <v>13775.112009065635</v>
      </c>
      <c r="Q526" s="1197">
        <f t="shared" si="465"/>
        <v>15461.690203840175</v>
      </c>
      <c r="R526" s="1197">
        <f>-R446</f>
        <v>15598.453258756492</v>
      </c>
      <c r="S526" s="1197">
        <f t="shared" si="465"/>
        <v>15664.841174858946</v>
      </c>
      <c r="T526" s="1197">
        <f t="shared" si="465"/>
        <v>16057.827405879905</v>
      </c>
      <c r="U526" s="1197">
        <f t="shared" si="465"/>
        <v>15135.795108159535</v>
      </c>
      <c r="V526" s="1197">
        <f t="shared" si="465"/>
        <v>17056.628302968726</v>
      </c>
      <c r="W526" s="1197">
        <f t="shared" si="465"/>
        <v>16645.827061610464</v>
      </c>
      <c r="X526" s="1197">
        <f t="shared" si="465"/>
        <v>15398.62882583176</v>
      </c>
      <c r="Y526" s="1197">
        <f t="shared" ref="Y526:AC527" si="466">-Y446</f>
        <v>15154.176444513179</v>
      </c>
      <c r="Z526" s="1197">
        <f t="shared" si="466"/>
        <v>14991.13011103594</v>
      </c>
      <c r="AA526" s="1197">
        <f t="shared" si="466"/>
        <v>14855.062468107748</v>
      </c>
      <c r="AB526" s="1197">
        <f t="shared" si="466"/>
        <v>14763.968475931628</v>
      </c>
      <c r="AC526" s="1197">
        <f t="shared" si="466"/>
        <v>14719.920510663285</v>
      </c>
      <c r="AD526" s="685"/>
      <c r="AE526" s="685"/>
      <c r="AF526" s="685"/>
      <c r="AG526" s="685"/>
      <c r="AH526" s="685"/>
      <c r="AI526" s="685"/>
      <c r="AJ526" s="685"/>
      <c r="AK526" s="685"/>
      <c r="AL526" s="685"/>
      <c r="AM526" s="685"/>
      <c r="AN526" s="685"/>
      <c r="AO526" s="685"/>
      <c r="AP526" s="685"/>
      <c r="AQ526" s="685"/>
      <c r="AR526" s="685"/>
      <c r="AS526" s="685"/>
      <c r="AT526" s="685"/>
      <c r="AU526" s="685"/>
      <c r="AV526" s="685"/>
      <c r="AW526" s="685"/>
      <c r="AX526" s="685"/>
      <c r="AY526" s="685"/>
    </row>
    <row r="527" spans="1:51">
      <c r="A527" s="685"/>
      <c r="B527" s="1189" t="s">
        <v>340</v>
      </c>
      <c r="C527" s="1197"/>
      <c r="D527" s="1197">
        <f t="shared" ref="D527:X527" si="467">-D447</f>
        <v>0</v>
      </c>
      <c r="E527" s="1197">
        <f t="shared" si="467"/>
        <v>0</v>
      </c>
      <c r="F527" s="1197">
        <f t="shared" si="467"/>
        <v>0</v>
      </c>
      <c r="G527" s="1197">
        <f t="shared" si="467"/>
        <v>0</v>
      </c>
      <c r="H527" s="1197">
        <f t="shared" si="467"/>
        <v>540</v>
      </c>
      <c r="I527" s="1197">
        <f t="shared" si="467"/>
        <v>882</v>
      </c>
      <c r="J527" s="1197">
        <f t="shared" si="467"/>
        <v>928.69999999999982</v>
      </c>
      <c r="K527" s="1197">
        <f t="shared" si="467"/>
        <v>1351.7083900930756</v>
      </c>
      <c r="L527" s="1197">
        <f t="shared" si="467"/>
        <v>1419.2691710648869</v>
      </c>
      <c r="M527" s="1197">
        <f t="shared" si="467"/>
        <v>2151.1787673156814</v>
      </c>
      <c r="N527" s="1197">
        <f t="shared" si="467"/>
        <v>3438.5676609448146</v>
      </c>
      <c r="O527" s="1197">
        <f t="shared" si="467"/>
        <v>4298.3076247013523</v>
      </c>
      <c r="P527" s="1197">
        <f t="shared" si="467"/>
        <v>4760.887990934365</v>
      </c>
      <c r="Q527" s="1197">
        <f t="shared" si="467"/>
        <v>4372.3097961598251</v>
      </c>
      <c r="R527" s="1197">
        <f t="shared" si="467"/>
        <v>5409.5467412435082</v>
      </c>
      <c r="S527" s="1197">
        <f t="shared" si="467"/>
        <v>5596.158825141054</v>
      </c>
      <c r="T527" s="1197">
        <f t="shared" si="467"/>
        <v>5360.4725941200941</v>
      </c>
      <c r="U527" s="1197">
        <f t="shared" si="467"/>
        <v>5981.6048918404667</v>
      </c>
      <c r="V527" s="1197">
        <f t="shared" si="467"/>
        <v>4497.7716970312758</v>
      </c>
      <c r="W527" s="1197">
        <f t="shared" si="467"/>
        <v>4443.835</v>
      </c>
      <c r="X527" s="1197">
        <f t="shared" si="467"/>
        <v>4454.7206399999995</v>
      </c>
      <c r="Y527" s="1197">
        <f t="shared" si="466"/>
        <v>4489.8955867999994</v>
      </c>
      <c r="Z527" s="1197">
        <f t="shared" si="466"/>
        <v>4468.4457682479988</v>
      </c>
      <c r="AA527" s="1197">
        <f t="shared" si="466"/>
        <v>4397.8096507427981</v>
      </c>
      <c r="AB527" s="1197">
        <f t="shared" si="466"/>
        <v>4286.5005366734695</v>
      </c>
      <c r="AC527" s="1197">
        <f t="shared" si="466"/>
        <v>4143.5519189810711</v>
      </c>
      <c r="AD527" s="685"/>
      <c r="AE527" s="685"/>
      <c r="AF527" s="685"/>
      <c r="AG527" s="685"/>
      <c r="AH527" s="685"/>
      <c r="AI527" s="685"/>
      <c r="AJ527" s="685"/>
      <c r="AK527" s="685"/>
      <c r="AL527" s="685"/>
      <c r="AM527" s="685"/>
      <c r="AN527" s="685"/>
      <c r="AO527" s="685"/>
      <c r="AP527" s="685"/>
      <c r="AQ527" s="685"/>
      <c r="AR527" s="685"/>
      <c r="AS527" s="685"/>
      <c r="AT527" s="685"/>
      <c r="AU527" s="685"/>
      <c r="AV527" s="685"/>
      <c r="AW527" s="685"/>
      <c r="AX527" s="685"/>
      <c r="AY527" s="685"/>
    </row>
    <row r="528" spans="1:51">
      <c r="A528" s="685"/>
      <c r="B528" s="1252" t="s">
        <v>341</v>
      </c>
      <c r="C528" s="1246"/>
      <c r="D528" s="1246"/>
      <c r="E528" s="1246"/>
      <c r="F528" s="1246"/>
      <c r="G528" s="1246"/>
      <c r="H528" s="1246">
        <f t="shared" ref="H528:AC528" si="468">-H90</f>
        <v>-6740.55</v>
      </c>
      <c r="I528" s="1246">
        <f t="shared" si="468"/>
        <v>-12768.93</v>
      </c>
      <c r="J528" s="1246">
        <f t="shared" si="468"/>
        <v>-9840.0399999999991</v>
      </c>
      <c r="K528" s="1246">
        <f t="shared" si="468"/>
        <v>-11593.960000000001</v>
      </c>
      <c r="L528" s="1246">
        <f t="shared" si="468"/>
        <v>-14773.527999999998</v>
      </c>
      <c r="M528" s="1246">
        <f t="shared" si="468"/>
        <v>-16944.960999999999</v>
      </c>
      <c r="N528" s="1246">
        <f t="shared" si="468"/>
        <v>-25477.698</v>
      </c>
      <c r="O528" s="1246">
        <f t="shared" si="468"/>
        <v>-27913.08</v>
      </c>
      <c r="P528" s="1246">
        <f t="shared" si="468"/>
        <v>-16720.829999999998</v>
      </c>
      <c r="Q528" s="1246">
        <f t="shared" si="468"/>
        <v>-18660.95</v>
      </c>
      <c r="R528" s="1246">
        <f t="shared" si="468"/>
        <v>-19067.125</v>
      </c>
      <c r="S528" s="1246">
        <f t="shared" si="468"/>
        <v>-20178.311999999998</v>
      </c>
      <c r="T528" s="1246">
        <f t="shared" si="468"/>
        <v>-23310.092270413064</v>
      </c>
      <c r="U528" s="1246">
        <f t="shared" si="468"/>
        <v>-17214.16</v>
      </c>
      <c r="V528" s="1246">
        <f t="shared" si="468"/>
        <v>-14664.45</v>
      </c>
      <c r="W528" s="1246">
        <f t="shared" si="468"/>
        <v>-12866.448770046549</v>
      </c>
      <c r="X528" s="1246">
        <f t="shared" si="468"/>
        <v>-12292.698727155317</v>
      </c>
      <c r="Y528" s="1246">
        <f t="shared" si="468"/>
        <v>-12513.332557101819</v>
      </c>
      <c r="Z528" s="1246">
        <f t="shared" si="468"/>
        <v>-12559.355343909161</v>
      </c>
      <c r="AA528" s="1246">
        <f t="shared" si="468"/>
        <v>-12689.686489851127</v>
      </c>
      <c r="AB528" s="1246">
        <f t="shared" si="468"/>
        <v>-12853.795826216288</v>
      </c>
      <c r="AC528" s="1246">
        <f t="shared" si="468"/>
        <v>-13167.867920728491</v>
      </c>
      <c r="AD528" s="685"/>
      <c r="AE528" s="685"/>
      <c r="AF528" s="685"/>
      <c r="AG528" s="685"/>
      <c r="AH528" s="685"/>
      <c r="AI528" s="685"/>
      <c r="AJ528" s="685"/>
      <c r="AK528" s="685"/>
      <c r="AL528" s="685"/>
      <c r="AM528" s="685"/>
      <c r="AN528" s="685"/>
      <c r="AO528" s="685"/>
      <c r="AP528" s="685"/>
      <c r="AQ528" s="685"/>
      <c r="AR528" s="685"/>
      <c r="AS528" s="685"/>
      <c r="AT528" s="685"/>
      <c r="AU528" s="685"/>
      <c r="AV528" s="685"/>
      <c r="AW528" s="685"/>
      <c r="AX528" s="685"/>
      <c r="AY528" s="685"/>
    </row>
    <row r="529" spans="1:51">
      <c r="A529" s="685"/>
      <c r="B529" s="1187" t="s">
        <v>342</v>
      </c>
      <c r="C529" s="1188"/>
      <c r="D529" s="1188"/>
      <c r="E529" s="1188"/>
      <c r="F529" s="1188"/>
      <c r="G529" s="1188"/>
      <c r="H529" s="1188">
        <f>SUM(H525:H528)</f>
        <v>6851.45</v>
      </c>
      <c r="I529" s="1188">
        <f t="shared" ref="I529:Q529" si="469">SUM(I525:I528)</f>
        <v>1928.0699999999997</v>
      </c>
      <c r="J529" s="1188">
        <f t="shared" si="469"/>
        <v>5478.8600000000024</v>
      </c>
      <c r="K529" s="1188">
        <f t="shared" si="469"/>
        <v>5666.2400000000034</v>
      </c>
      <c r="L529" s="1188">
        <f t="shared" si="469"/>
        <v>3534.1488906250015</v>
      </c>
      <c r="M529" s="1188">
        <f t="shared" si="469"/>
        <v>4596.0390000000007</v>
      </c>
      <c r="N529" s="1188">
        <f t="shared" si="469"/>
        <v>-6036.4980000000069</v>
      </c>
      <c r="O529" s="1188">
        <f t="shared" si="469"/>
        <v>-4678.3800000000083</v>
      </c>
      <c r="P529" s="1188">
        <f t="shared" si="469"/>
        <v>4668.1700000000019</v>
      </c>
      <c r="Q529" s="1188">
        <f t="shared" si="469"/>
        <v>4307.4500000000007</v>
      </c>
      <c r="R529" s="1188">
        <f t="shared" ref="R529:X529" si="470">SUM(R525:R528)</f>
        <v>6664.0749999999971</v>
      </c>
      <c r="S529" s="1188">
        <f t="shared" si="470"/>
        <v>6162.8879999999954</v>
      </c>
      <c r="T529" s="1188">
        <f t="shared" si="470"/>
        <v>3246.7077295869312</v>
      </c>
      <c r="U529" s="1188">
        <f t="shared" si="470"/>
        <v>-8847.8300000000017</v>
      </c>
      <c r="V529" s="1188">
        <f t="shared" si="470"/>
        <v>-3345.9499999999971</v>
      </c>
      <c r="W529" s="1188">
        <f t="shared" ca="1" si="470"/>
        <v>8773.6638827891129</v>
      </c>
      <c r="X529" s="1188">
        <f t="shared" ca="1" si="470"/>
        <v>6126.3250566827683</v>
      </c>
      <c r="Y529" s="1188">
        <f ca="1">SUM(Y525:Y528)</f>
        <v>6822.8251999623735</v>
      </c>
      <c r="Z529" s="1188">
        <f ca="1">SUM(Z525:Z528)</f>
        <v>7495.4759738925695</v>
      </c>
      <c r="AA529" s="1188">
        <f ca="1">SUM(AA525:AA528)</f>
        <v>8126.7465683300179</v>
      </c>
      <c r="AB529" s="1188">
        <f ca="1">SUM(AB525:AB528)</f>
        <v>8711.1446366248474</v>
      </c>
      <c r="AC529" s="1188">
        <f ca="1">SUM(AC525:AC528)</f>
        <v>9215.6929812207709</v>
      </c>
      <c r="AD529" s="685"/>
      <c r="AE529" s="685"/>
      <c r="AF529" s="685"/>
      <c r="AG529" s="685"/>
      <c r="AH529" s="685"/>
      <c r="AI529" s="685"/>
      <c r="AJ529" s="685"/>
      <c r="AK529" s="685"/>
      <c r="AL529" s="685"/>
      <c r="AM529" s="685"/>
      <c r="AN529" s="685"/>
      <c r="AO529" s="685"/>
      <c r="AP529" s="685"/>
      <c r="AQ529" s="685"/>
      <c r="AR529" s="685"/>
      <c r="AS529" s="685"/>
      <c r="AT529" s="685"/>
      <c r="AU529" s="685"/>
      <c r="AV529" s="685"/>
      <c r="AW529" s="685"/>
      <c r="AX529" s="685"/>
      <c r="AY529" s="685"/>
    </row>
    <row r="530" spans="1:51">
      <c r="A530" s="685"/>
      <c r="B530" s="1189" t="s">
        <v>343</v>
      </c>
      <c r="C530" s="1309"/>
      <c r="D530" s="1257"/>
      <c r="E530" s="1257"/>
      <c r="F530" s="1257"/>
      <c r="G530" s="1257"/>
      <c r="H530" s="1257"/>
      <c r="I530" s="1257"/>
      <c r="J530" s="1262">
        <f t="shared" ref="J530:X530" si="471">J529/J509</f>
        <v>9.6867899734251512</v>
      </c>
      <c r="K530" s="1262">
        <f t="shared" si="471"/>
        <v>9.9196148445720258</v>
      </c>
      <c r="L530" s="1262">
        <f t="shared" si="471"/>
        <v>6.1623207572380148</v>
      </c>
      <c r="M530" s="1262">
        <f t="shared" si="471"/>
        <v>7.9533651673095589</v>
      </c>
      <c r="N530" s="1262">
        <f t="shared" si="471"/>
        <v>-10.433308013436989</v>
      </c>
      <c r="O530" s="1262">
        <f t="shared" si="471"/>
        <v>-8.0859762637051098</v>
      </c>
      <c r="P530" s="1262">
        <f t="shared" si="471"/>
        <v>8.0683295959157295</v>
      </c>
      <c r="Q530" s="1262">
        <f t="shared" si="471"/>
        <v>7.4479500876513445</v>
      </c>
      <c r="R530" s="1262">
        <f t="shared" si="471"/>
        <v>11.660617861263043</v>
      </c>
      <c r="S530" s="1262">
        <f t="shared" si="471"/>
        <v>10.748290711807643</v>
      </c>
      <c r="T530" s="1262">
        <f t="shared" si="471"/>
        <v>5.6623710399853637</v>
      </c>
      <c r="U530" s="1262">
        <f t="shared" si="471"/>
        <v>-15.430922809022833</v>
      </c>
      <c r="V530" s="1262">
        <f t="shared" si="471"/>
        <v>-5.8354530063134007</v>
      </c>
      <c r="W530" s="1262">
        <f t="shared" ca="1" si="471"/>
        <v>15.301574524785211</v>
      </c>
      <c r="X530" s="1262">
        <f t="shared" ca="1" si="471"/>
        <v>10.684523668815315</v>
      </c>
      <c r="Y530" s="1262">
        <f ca="1">Y529/Y509</f>
        <v>11.899244108450901</v>
      </c>
      <c r="Z530" s="1262">
        <f ca="1">Z529/Z509</f>
        <v>13.072370419642043</v>
      </c>
      <c r="AA530" s="1262">
        <f ca="1">AA529/AA509</f>
        <v>14.173328260646022</v>
      </c>
      <c r="AB530" s="1262">
        <f ca="1">AB529/AB509</f>
        <v>15.192538788153847</v>
      </c>
      <c r="AC530" s="1262">
        <f ca="1">AC529/AC509</f>
        <v>16.072488624314797</v>
      </c>
      <c r="AD530" s="685"/>
      <c r="AE530" s="685"/>
      <c r="AF530" s="685"/>
      <c r="AG530" s="685"/>
      <c r="AH530" s="685"/>
      <c r="AI530" s="685"/>
      <c r="AJ530" s="685"/>
      <c r="AK530" s="685"/>
      <c r="AL530" s="685"/>
      <c r="AM530" s="685"/>
      <c r="AN530" s="685"/>
      <c r="AO530" s="685"/>
      <c r="AP530" s="685"/>
      <c r="AQ530" s="685"/>
      <c r="AR530" s="685"/>
      <c r="AS530" s="685"/>
      <c r="AT530" s="685"/>
      <c r="AU530" s="685"/>
      <c r="AV530" s="685"/>
      <c r="AW530" s="685"/>
      <c r="AX530" s="685"/>
      <c r="AY530" s="685"/>
    </row>
    <row r="531" spans="1:51">
      <c r="A531" s="685"/>
      <c r="B531" s="1189" t="s">
        <v>181</v>
      </c>
      <c r="C531" s="1191"/>
      <c r="D531" s="1191"/>
      <c r="E531" s="1191"/>
      <c r="F531" s="1191"/>
      <c r="G531" s="1191"/>
      <c r="H531" s="1191"/>
      <c r="I531" s="1191"/>
      <c r="J531" s="1191"/>
      <c r="K531" s="1191">
        <f t="shared" ref="K531:AC531" si="472">K530/J530-1</f>
        <v>2.4035296706711895E-2</v>
      </c>
      <c r="L531" s="1191">
        <f t="shared" si="472"/>
        <v>-0.37877419095460019</v>
      </c>
      <c r="M531" s="1191">
        <f t="shared" si="472"/>
        <v>0.290644463446317</v>
      </c>
      <c r="N531" s="1191">
        <f t="shared" si="472"/>
        <v>-2.311810509634419</v>
      </c>
      <c r="O531" s="1191">
        <f t="shared" si="472"/>
        <v>-0.22498441977451122</v>
      </c>
      <c r="P531" s="1191">
        <f t="shared" si="472"/>
        <v>-1.9978176206293616</v>
      </c>
      <c r="Q531" s="1191">
        <f t="shared" si="472"/>
        <v>-7.6890699727788392E-2</v>
      </c>
      <c r="R531" s="1191">
        <f t="shared" si="472"/>
        <v>0.56561439376403388</v>
      </c>
      <c r="S531" s="1191">
        <f t="shared" si="472"/>
        <v>-7.8240034988727447E-2</v>
      </c>
      <c r="T531" s="1191">
        <f t="shared" si="472"/>
        <v>-0.47318404462535524</v>
      </c>
      <c r="U531" s="1191">
        <f t="shared" si="472"/>
        <v>-3.7251698449387942</v>
      </c>
      <c r="V531" s="1191">
        <f t="shared" si="472"/>
        <v>-0.62183382818159971</v>
      </c>
      <c r="W531" s="1191">
        <f t="shared" ca="1" si="472"/>
        <v>-3.6221742353559141</v>
      </c>
      <c r="X531" s="1191">
        <f t="shared" ca="1" si="472"/>
        <v>-0.30173697801433974</v>
      </c>
      <c r="Y531" s="1191">
        <f t="shared" ca="1" si="472"/>
        <v>0.11368971395336636</v>
      </c>
      <c r="Z531" s="1191">
        <f t="shared" ca="1" si="472"/>
        <v>9.8588305315795877E-2</v>
      </c>
      <c r="AA531" s="1191">
        <f t="shared" ca="1" si="472"/>
        <v>8.4220214518227143E-2</v>
      </c>
      <c r="AB531" s="1191">
        <f t="shared" ca="1" si="472"/>
        <v>7.1910458063529692E-2</v>
      </c>
      <c r="AC531" s="1191">
        <f t="shared" ca="1" si="472"/>
        <v>5.7919867668666303E-2</v>
      </c>
      <c r="AD531" s="685"/>
      <c r="AE531" s="685"/>
      <c r="AF531" s="685"/>
      <c r="AG531" s="685"/>
      <c r="AH531" s="685"/>
      <c r="AI531" s="685"/>
      <c r="AJ531" s="685"/>
      <c r="AK531" s="685"/>
      <c r="AL531" s="685"/>
      <c r="AM531" s="685"/>
      <c r="AN531" s="685"/>
      <c r="AO531" s="685"/>
      <c r="AP531" s="685"/>
      <c r="AQ531" s="685"/>
      <c r="AR531" s="685"/>
      <c r="AS531" s="685"/>
      <c r="AT531" s="685"/>
      <c r="AU531" s="685"/>
      <c r="AV531" s="685"/>
      <c r="AW531" s="685"/>
      <c r="AX531" s="685"/>
      <c r="AY531" s="685"/>
    </row>
    <row r="532" spans="1:51">
      <c r="A532" s="685"/>
      <c r="B532" s="1012"/>
      <c r="C532" s="1012"/>
      <c r="D532" s="1012"/>
      <c r="E532" s="1012"/>
      <c r="F532" s="1012"/>
      <c r="G532" s="1012"/>
      <c r="H532" s="1012"/>
      <c r="I532" s="1012"/>
      <c r="J532" s="1012"/>
      <c r="K532" s="1012"/>
      <c r="L532" s="1012"/>
      <c r="M532" s="1012"/>
      <c r="N532" s="1012"/>
      <c r="O532" s="1012"/>
      <c r="P532" s="1012"/>
      <c r="Q532" s="1012"/>
      <c r="R532" s="1012"/>
      <c r="S532" s="1012"/>
      <c r="T532" s="1012"/>
      <c r="U532" s="1012"/>
      <c r="V532" s="1012"/>
      <c r="W532" s="1012"/>
      <c r="X532" s="1012"/>
      <c r="Y532" s="1012"/>
      <c r="Z532" s="1012"/>
      <c r="AA532" s="1012"/>
      <c r="AB532" s="1012"/>
      <c r="AC532" s="1012"/>
      <c r="AD532" s="685"/>
      <c r="AE532" s="685"/>
      <c r="AF532" s="685"/>
      <c r="AG532" s="685"/>
      <c r="AH532" s="685"/>
      <c r="AI532" s="685"/>
      <c r="AJ532" s="685"/>
      <c r="AK532" s="685"/>
      <c r="AL532" s="685"/>
      <c r="AM532" s="685"/>
      <c r="AN532" s="685"/>
      <c r="AO532" s="685"/>
      <c r="AP532" s="685"/>
      <c r="AQ532" s="685"/>
      <c r="AR532" s="685"/>
      <c r="AS532" s="685"/>
      <c r="AT532" s="685"/>
      <c r="AU532" s="685"/>
      <c r="AV532" s="685"/>
      <c r="AW532" s="685"/>
      <c r="AX532" s="685"/>
      <c r="AY532" s="685"/>
    </row>
    <row r="533" spans="1:51" hidden="1">
      <c r="A533" s="685"/>
      <c r="B533" s="1187" t="s">
        <v>344</v>
      </c>
      <c r="C533" s="1189"/>
      <c r="D533" s="1186">
        <f t="shared" ref="D533:AC533" si="473">D2</f>
        <v>2005</v>
      </c>
      <c r="E533" s="1186">
        <f t="shared" si="473"/>
        <v>2006</v>
      </c>
      <c r="F533" s="1186">
        <f t="shared" si="473"/>
        <v>2007</v>
      </c>
      <c r="G533" s="1186">
        <f t="shared" si="473"/>
        <v>2008</v>
      </c>
      <c r="H533" s="1186">
        <f t="shared" si="473"/>
        <v>2009</v>
      </c>
      <c r="I533" s="1186">
        <f t="shared" si="473"/>
        <v>2010</v>
      </c>
      <c r="J533" s="1186">
        <f t="shared" si="473"/>
        <v>2011</v>
      </c>
      <c r="K533" s="1186">
        <f t="shared" si="473"/>
        <v>2012</v>
      </c>
      <c r="L533" s="1186">
        <f t="shared" si="473"/>
        <v>2013</v>
      </c>
      <c r="M533" s="1186">
        <f t="shared" si="473"/>
        <v>2014</v>
      </c>
      <c r="N533" s="1186">
        <f t="shared" si="473"/>
        <v>2015</v>
      </c>
      <c r="O533" s="1186">
        <f t="shared" si="473"/>
        <v>2016</v>
      </c>
      <c r="P533" s="1186">
        <f t="shared" si="473"/>
        <v>2017</v>
      </c>
      <c r="Q533" s="1186">
        <f t="shared" si="473"/>
        <v>2018</v>
      </c>
      <c r="R533" s="1186">
        <f t="shared" si="473"/>
        <v>2019</v>
      </c>
      <c r="S533" s="1186">
        <f t="shared" si="473"/>
        <v>2020</v>
      </c>
      <c r="T533" s="1186">
        <f t="shared" si="473"/>
        <v>2021</v>
      </c>
      <c r="U533" s="1186">
        <f t="shared" si="473"/>
        <v>2022</v>
      </c>
      <c r="V533" s="1186">
        <f t="shared" si="473"/>
        <v>2023</v>
      </c>
      <c r="W533" s="1186">
        <f t="shared" si="473"/>
        <v>2024</v>
      </c>
      <c r="X533" s="1186">
        <f t="shared" si="473"/>
        <v>2025</v>
      </c>
      <c r="Y533" s="1186">
        <f t="shared" si="473"/>
        <v>2026</v>
      </c>
      <c r="Z533" s="1186">
        <f t="shared" si="473"/>
        <v>2027</v>
      </c>
      <c r="AA533" s="1186">
        <f t="shared" si="473"/>
        <v>2028</v>
      </c>
      <c r="AB533" s="1186">
        <f t="shared" si="473"/>
        <v>2029</v>
      </c>
      <c r="AC533" s="1186">
        <f t="shared" si="473"/>
        <v>2030</v>
      </c>
      <c r="AD533" s="685"/>
      <c r="AE533" s="685"/>
      <c r="AF533" s="685"/>
      <c r="AG533" s="685"/>
      <c r="AH533" s="685"/>
      <c r="AI533" s="685"/>
      <c r="AJ533" s="685"/>
      <c r="AK533" s="685"/>
      <c r="AL533" s="685"/>
      <c r="AM533" s="685"/>
      <c r="AN533" s="685"/>
      <c r="AO533" s="685"/>
      <c r="AP533" s="685"/>
      <c r="AQ533" s="685"/>
      <c r="AR533" s="685"/>
      <c r="AS533" s="685"/>
      <c r="AT533" s="685"/>
      <c r="AU533" s="685"/>
      <c r="AV533" s="685"/>
      <c r="AW533" s="685"/>
      <c r="AX533" s="685"/>
      <c r="AY533" s="685"/>
    </row>
    <row r="534" spans="1:51" hidden="1">
      <c r="A534" s="685"/>
      <c r="B534" s="1189" t="s">
        <v>345</v>
      </c>
      <c r="C534" s="1189"/>
      <c r="D534" s="1311"/>
      <c r="E534" s="1311"/>
      <c r="F534" s="1311"/>
      <c r="G534" s="1311"/>
      <c r="H534" s="1311"/>
      <c r="I534" s="1311"/>
      <c r="J534" s="1311"/>
      <c r="K534" s="1311"/>
      <c r="L534" s="1311"/>
      <c r="M534" s="1311"/>
      <c r="N534" s="1311"/>
      <c r="O534" s="1311"/>
      <c r="P534" s="1311"/>
      <c r="Q534" s="1311"/>
      <c r="R534" s="1311"/>
      <c r="S534" s="1311"/>
      <c r="T534" s="1311"/>
      <c r="U534" s="1311"/>
      <c r="V534" s="1311"/>
      <c r="W534" s="1311"/>
      <c r="X534" s="1311"/>
      <c r="Y534" s="1311"/>
      <c r="Z534" s="1311"/>
      <c r="AA534" s="1311"/>
      <c r="AB534" s="1311"/>
      <c r="AC534" s="1311"/>
      <c r="AD534" s="685"/>
      <c r="AE534" s="685"/>
      <c r="AF534" s="685"/>
      <c r="AG534" s="685"/>
      <c r="AH534" s="685"/>
      <c r="AI534" s="685"/>
      <c r="AJ534" s="685"/>
      <c r="AK534" s="685"/>
      <c r="AL534" s="685"/>
      <c r="AM534" s="685"/>
      <c r="AN534" s="685"/>
      <c r="AO534" s="685"/>
      <c r="AP534" s="685"/>
      <c r="AQ534" s="685"/>
      <c r="AR534" s="685"/>
      <c r="AS534" s="685"/>
      <c r="AT534" s="685"/>
      <c r="AU534" s="685"/>
      <c r="AV534" s="685"/>
      <c r="AW534" s="685"/>
      <c r="AX534" s="685"/>
      <c r="AY534" s="685"/>
    </row>
    <row r="535" spans="1:51" hidden="1">
      <c r="A535" s="685"/>
      <c r="B535" s="1189" t="s">
        <v>345</v>
      </c>
      <c r="C535" s="1189"/>
      <c r="D535" s="1311"/>
      <c r="E535" s="1311"/>
      <c r="F535" s="1311"/>
      <c r="G535" s="1311"/>
      <c r="H535" s="1311"/>
      <c r="I535" s="1311"/>
      <c r="J535" s="1311">
        <f t="shared" ref="J535:AC542" si="474">I535+J546-J557</f>
        <v>0</v>
      </c>
      <c r="K535" s="1311">
        <f t="shared" si="474"/>
        <v>0</v>
      </c>
      <c r="L535" s="1311">
        <f t="shared" si="474"/>
        <v>0</v>
      </c>
      <c r="M535" s="1311">
        <f t="shared" si="474"/>
        <v>0</v>
      </c>
      <c r="N535" s="1311">
        <f t="shared" si="474"/>
        <v>0</v>
      </c>
      <c r="O535" s="1311">
        <f t="shared" si="474"/>
        <v>0</v>
      </c>
      <c r="P535" s="1311">
        <f t="shared" si="474"/>
        <v>0</v>
      </c>
      <c r="Q535" s="1311">
        <f t="shared" si="474"/>
        <v>0</v>
      </c>
      <c r="R535" s="1311">
        <f t="shared" si="474"/>
        <v>0</v>
      </c>
      <c r="S535" s="1311">
        <f t="shared" si="474"/>
        <v>0</v>
      </c>
      <c r="T535" s="1311">
        <f t="shared" si="474"/>
        <v>0</v>
      </c>
      <c r="U535" s="1311">
        <f t="shared" si="474"/>
        <v>0</v>
      </c>
      <c r="V535" s="1311">
        <f t="shared" si="474"/>
        <v>0</v>
      </c>
      <c r="W535" s="1311">
        <f t="shared" si="474"/>
        <v>0</v>
      </c>
      <c r="X535" s="1311">
        <f t="shared" si="474"/>
        <v>0</v>
      </c>
      <c r="Y535" s="1311">
        <f t="shared" si="474"/>
        <v>0</v>
      </c>
      <c r="Z535" s="1311">
        <f t="shared" si="474"/>
        <v>0</v>
      </c>
      <c r="AA535" s="1311">
        <f t="shared" si="474"/>
        <v>0</v>
      </c>
      <c r="AB535" s="1311">
        <f t="shared" si="474"/>
        <v>0</v>
      </c>
      <c r="AC535" s="1311">
        <f t="shared" si="474"/>
        <v>0</v>
      </c>
      <c r="AD535" s="685"/>
      <c r="AE535" s="685"/>
      <c r="AF535" s="685"/>
      <c r="AG535" s="685"/>
      <c r="AH535" s="685"/>
      <c r="AI535" s="685"/>
      <c r="AJ535" s="685"/>
      <c r="AK535" s="685"/>
      <c r="AL535" s="685"/>
      <c r="AM535" s="685"/>
      <c r="AN535" s="685"/>
      <c r="AO535" s="685"/>
      <c r="AP535" s="685"/>
      <c r="AQ535" s="685"/>
      <c r="AR535" s="685"/>
      <c r="AS535" s="685"/>
      <c r="AT535" s="685"/>
      <c r="AU535" s="685"/>
      <c r="AV535" s="685"/>
      <c r="AW535" s="685"/>
      <c r="AX535" s="685"/>
      <c r="AY535" s="685"/>
    </row>
    <row r="536" spans="1:51" hidden="1">
      <c r="A536" s="685"/>
      <c r="B536" s="1189" t="s">
        <v>345</v>
      </c>
      <c r="C536" s="1189"/>
      <c r="D536" s="1311"/>
      <c r="E536" s="1311"/>
      <c r="F536" s="1311"/>
      <c r="G536" s="1311"/>
      <c r="H536" s="1311"/>
      <c r="I536" s="1311"/>
      <c r="J536" s="1311">
        <f t="shared" si="474"/>
        <v>0</v>
      </c>
      <c r="K536" s="1311">
        <f t="shared" si="474"/>
        <v>0</v>
      </c>
      <c r="L536" s="1311">
        <f t="shared" si="474"/>
        <v>0</v>
      </c>
      <c r="M536" s="1311">
        <f t="shared" si="474"/>
        <v>0</v>
      </c>
      <c r="N536" s="1311">
        <f t="shared" si="474"/>
        <v>0</v>
      </c>
      <c r="O536" s="1311">
        <f t="shared" si="474"/>
        <v>0</v>
      </c>
      <c r="P536" s="1311">
        <f t="shared" si="474"/>
        <v>0</v>
      </c>
      <c r="Q536" s="1311">
        <f t="shared" si="474"/>
        <v>0</v>
      </c>
      <c r="R536" s="1311">
        <f t="shared" si="474"/>
        <v>0</v>
      </c>
      <c r="S536" s="1311">
        <f t="shared" si="474"/>
        <v>0</v>
      </c>
      <c r="T536" s="1311">
        <f t="shared" si="474"/>
        <v>0</v>
      </c>
      <c r="U536" s="1311">
        <f t="shared" si="474"/>
        <v>0</v>
      </c>
      <c r="V536" s="1311">
        <f t="shared" si="474"/>
        <v>0</v>
      </c>
      <c r="W536" s="1311">
        <f t="shared" si="474"/>
        <v>0</v>
      </c>
      <c r="X536" s="1311">
        <f t="shared" si="474"/>
        <v>0</v>
      </c>
      <c r="Y536" s="1311">
        <f t="shared" si="474"/>
        <v>0</v>
      </c>
      <c r="Z536" s="1311">
        <f t="shared" si="474"/>
        <v>0</v>
      </c>
      <c r="AA536" s="1311">
        <f t="shared" si="474"/>
        <v>0</v>
      </c>
      <c r="AB536" s="1311">
        <f t="shared" si="474"/>
        <v>0</v>
      </c>
      <c r="AC536" s="1311">
        <f t="shared" si="474"/>
        <v>0</v>
      </c>
      <c r="AD536" s="685"/>
      <c r="AE536" s="685"/>
      <c r="AF536" s="685"/>
      <c r="AG536" s="685"/>
      <c r="AH536" s="685"/>
      <c r="AI536" s="685"/>
      <c r="AJ536" s="685"/>
      <c r="AK536" s="685"/>
      <c r="AL536" s="685"/>
      <c r="AM536" s="685"/>
      <c r="AN536" s="685"/>
      <c r="AO536" s="685"/>
      <c r="AP536" s="685"/>
      <c r="AQ536" s="685"/>
      <c r="AR536" s="685"/>
      <c r="AS536" s="685"/>
      <c r="AT536" s="685"/>
      <c r="AU536" s="685"/>
      <c r="AV536" s="685"/>
      <c r="AW536" s="685"/>
      <c r="AX536" s="685"/>
      <c r="AY536" s="685"/>
    </row>
    <row r="537" spans="1:51" hidden="1">
      <c r="A537" s="685"/>
      <c r="B537" s="1189" t="s">
        <v>345</v>
      </c>
      <c r="C537" s="1189"/>
      <c r="D537" s="1311"/>
      <c r="E537" s="1311"/>
      <c r="F537" s="1311"/>
      <c r="G537" s="1311"/>
      <c r="H537" s="1311"/>
      <c r="I537" s="1311"/>
      <c r="J537" s="1311">
        <f t="shared" si="474"/>
        <v>0</v>
      </c>
      <c r="K537" s="1311">
        <f t="shared" si="474"/>
        <v>0</v>
      </c>
      <c r="L537" s="1311">
        <f t="shared" si="474"/>
        <v>0</v>
      </c>
      <c r="M537" s="1311">
        <f t="shared" si="474"/>
        <v>0</v>
      </c>
      <c r="N537" s="1311">
        <f t="shared" si="474"/>
        <v>0</v>
      </c>
      <c r="O537" s="1311">
        <f t="shared" si="474"/>
        <v>0</v>
      </c>
      <c r="P537" s="1311">
        <f t="shared" si="474"/>
        <v>0</v>
      </c>
      <c r="Q537" s="1311">
        <f t="shared" si="474"/>
        <v>0</v>
      </c>
      <c r="R537" s="1311">
        <f t="shared" si="474"/>
        <v>0</v>
      </c>
      <c r="S537" s="1311">
        <f t="shared" si="474"/>
        <v>0</v>
      </c>
      <c r="T537" s="1311">
        <f t="shared" si="474"/>
        <v>0</v>
      </c>
      <c r="U537" s="1311">
        <f t="shared" si="474"/>
        <v>0</v>
      </c>
      <c r="V537" s="1311">
        <f t="shared" si="474"/>
        <v>0</v>
      </c>
      <c r="W537" s="1311">
        <f t="shared" si="474"/>
        <v>0</v>
      </c>
      <c r="X537" s="1311">
        <f t="shared" si="474"/>
        <v>0</v>
      </c>
      <c r="Y537" s="1311">
        <f t="shared" si="474"/>
        <v>0</v>
      </c>
      <c r="Z537" s="1311">
        <f t="shared" si="474"/>
        <v>0</v>
      </c>
      <c r="AA537" s="1311">
        <f t="shared" si="474"/>
        <v>0</v>
      </c>
      <c r="AB537" s="1311">
        <f t="shared" si="474"/>
        <v>0</v>
      </c>
      <c r="AC537" s="1311">
        <f t="shared" si="474"/>
        <v>0</v>
      </c>
      <c r="AD537" s="685"/>
      <c r="AE537" s="685"/>
      <c r="AF537" s="685"/>
      <c r="AG537" s="685"/>
      <c r="AH537" s="685"/>
      <c r="AI537" s="685"/>
      <c r="AJ537" s="685"/>
      <c r="AK537" s="685"/>
      <c r="AL537" s="685"/>
      <c r="AM537" s="685"/>
      <c r="AN537" s="685"/>
      <c r="AO537" s="685"/>
      <c r="AP537" s="685"/>
      <c r="AQ537" s="685"/>
      <c r="AR537" s="685"/>
      <c r="AS537" s="685"/>
      <c r="AT537" s="685"/>
      <c r="AU537" s="685"/>
      <c r="AV537" s="685"/>
      <c r="AW537" s="685"/>
      <c r="AX537" s="685"/>
      <c r="AY537" s="685"/>
    </row>
    <row r="538" spans="1:51" hidden="1">
      <c r="A538" s="685"/>
      <c r="B538" s="1189" t="s">
        <v>345</v>
      </c>
      <c r="C538" s="1189"/>
      <c r="D538" s="1311"/>
      <c r="E538" s="1311"/>
      <c r="F538" s="1311"/>
      <c r="G538" s="1311"/>
      <c r="H538" s="1311"/>
      <c r="I538" s="1311"/>
      <c r="J538" s="1311">
        <f t="shared" si="474"/>
        <v>0</v>
      </c>
      <c r="K538" s="1311">
        <f t="shared" si="474"/>
        <v>0</v>
      </c>
      <c r="L538" s="1311">
        <f t="shared" si="474"/>
        <v>0</v>
      </c>
      <c r="M538" s="1311">
        <f t="shared" si="474"/>
        <v>0</v>
      </c>
      <c r="N538" s="1311">
        <f t="shared" si="474"/>
        <v>0</v>
      </c>
      <c r="O538" s="1311">
        <f t="shared" si="474"/>
        <v>0</v>
      </c>
      <c r="P538" s="1311">
        <f t="shared" si="474"/>
        <v>0</v>
      </c>
      <c r="Q538" s="1311">
        <f t="shared" si="474"/>
        <v>0</v>
      </c>
      <c r="R538" s="1311">
        <f t="shared" si="474"/>
        <v>0</v>
      </c>
      <c r="S538" s="1311">
        <f t="shared" si="474"/>
        <v>0</v>
      </c>
      <c r="T538" s="1311">
        <f t="shared" si="474"/>
        <v>0</v>
      </c>
      <c r="U538" s="1311">
        <f t="shared" si="474"/>
        <v>0</v>
      </c>
      <c r="V538" s="1311">
        <f t="shared" si="474"/>
        <v>0</v>
      </c>
      <c r="W538" s="1311">
        <f t="shared" si="474"/>
        <v>0</v>
      </c>
      <c r="X538" s="1311">
        <f t="shared" si="474"/>
        <v>0</v>
      </c>
      <c r="Y538" s="1311">
        <f t="shared" si="474"/>
        <v>0</v>
      </c>
      <c r="Z538" s="1311">
        <f t="shared" si="474"/>
        <v>0</v>
      </c>
      <c r="AA538" s="1311">
        <f t="shared" si="474"/>
        <v>0</v>
      </c>
      <c r="AB538" s="1311">
        <f t="shared" si="474"/>
        <v>0</v>
      </c>
      <c r="AC538" s="1311">
        <f t="shared" si="474"/>
        <v>0</v>
      </c>
      <c r="AD538" s="685"/>
      <c r="AE538" s="685"/>
      <c r="AF538" s="685"/>
      <c r="AG538" s="685"/>
      <c r="AH538" s="685"/>
      <c r="AI538" s="685"/>
      <c r="AJ538" s="685"/>
      <c r="AK538" s="685"/>
      <c r="AL538" s="685"/>
      <c r="AM538" s="685"/>
      <c r="AN538" s="685"/>
      <c r="AO538" s="685"/>
      <c r="AP538" s="685"/>
      <c r="AQ538" s="685"/>
      <c r="AR538" s="685"/>
      <c r="AS538" s="685"/>
      <c r="AT538" s="685"/>
      <c r="AU538" s="685"/>
      <c r="AV538" s="685"/>
      <c r="AW538" s="685"/>
      <c r="AX538" s="685"/>
      <c r="AY538" s="685"/>
    </row>
    <row r="539" spans="1:51" hidden="1">
      <c r="A539" s="685"/>
      <c r="B539" s="1189" t="s">
        <v>345</v>
      </c>
      <c r="C539" s="1189"/>
      <c r="D539" s="1311"/>
      <c r="E539" s="1311"/>
      <c r="F539" s="1311"/>
      <c r="G539" s="1311"/>
      <c r="H539" s="1311"/>
      <c r="I539" s="1311"/>
      <c r="J539" s="1311">
        <f t="shared" si="474"/>
        <v>0</v>
      </c>
      <c r="K539" s="1311">
        <f t="shared" si="474"/>
        <v>0</v>
      </c>
      <c r="L539" s="1311">
        <f t="shared" si="474"/>
        <v>0</v>
      </c>
      <c r="M539" s="1311">
        <f t="shared" si="474"/>
        <v>0</v>
      </c>
      <c r="N539" s="1311">
        <f t="shared" si="474"/>
        <v>0</v>
      </c>
      <c r="O539" s="1311">
        <f t="shared" si="474"/>
        <v>0</v>
      </c>
      <c r="P539" s="1311">
        <f t="shared" si="474"/>
        <v>0</v>
      </c>
      <c r="Q539" s="1311">
        <f t="shared" si="474"/>
        <v>0</v>
      </c>
      <c r="R539" s="1311">
        <f t="shared" si="474"/>
        <v>0</v>
      </c>
      <c r="S539" s="1311">
        <f t="shared" si="474"/>
        <v>0</v>
      </c>
      <c r="T539" s="1311">
        <f t="shared" si="474"/>
        <v>0</v>
      </c>
      <c r="U539" s="1311">
        <f t="shared" si="474"/>
        <v>0</v>
      </c>
      <c r="V539" s="1311">
        <f t="shared" si="474"/>
        <v>0</v>
      </c>
      <c r="W539" s="1311">
        <f t="shared" si="474"/>
        <v>0</v>
      </c>
      <c r="X539" s="1311">
        <f t="shared" si="474"/>
        <v>0</v>
      </c>
      <c r="Y539" s="1311">
        <f t="shared" si="474"/>
        <v>0</v>
      </c>
      <c r="Z539" s="1311">
        <f t="shared" si="474"/>
        <v>0</v>
      </c>
      <c r="AA539" s="1311">
        <f t="shared" si="474"/>
        <v>0</v>
      </c>
      <c r="AB539" s="1311">
        <f t="shared" si="474"/>
        <v>0</v>
      </c>
      <c r="AC539" s="1311">
        <f t="shared" si="474"/>
        <v>0</v>
      </c>
      <c r="AD539" s="685"/>
      <c r="AE539" s="685"/>
      <c r="AF539" s="685"/>
      <c r="AG539" s="685"/>
      <c r="AH539" s="685"/>
      <c r="AI539" s="685"/>
      <c r="AJ539" s="685"/>
      <c r="AK539" s="685"/>
      <c r="AL539" s="685"/>
      <c r="AM539" s="685"/>
      <c r="AN539" s="685"/>
      <c r="AO539" s="685"/>
      <c r="AP539" s="685"/>
      <c r="AQ539" s="685"/>
      <c r="AR539" s="685"/>
      <c r="AS539" s="685"/>
      <c r="AT539" s="685"/>
      <c r="AU539" s="685"/>
      <c r="AV539" s="685"/>
      <c r="AW539" s="685"/>
      <c r="AX539" s="685"/>
      <c r="AY539" s="685"/>
    </row>
    <row r="540" spans="1:51" hidden="1">
      <c r="A540" s="685"/>
      <c r="B540" s="1189" t="s">
        <v>345</v>
      </c>
      <c r="C540" s="1189"/>
      <c r="D540" s="1311"/>
      <c r="E540" s="1311"/>
      <c r="F540" s="1311"/>
      <c r="G540" s="1311"/>
      <c r="H540" s="1311"/>
      <c r="I540" s="1311"/>
      <c r="J540" s="1311">
        <f t="shared" si="474"/>
        <v>0</v>
      </c>
      <c r="K540" s="1311">
        <f t="shared" si="474"/>
        <v>0</v>
      </c>
      <c r="L540" s="1311">
        <f t="shared" si="474"/>
        <v>0</v>
      </c>
      <c r="M540" s="1311">
        <f t="shared" si="474"/>
        <v>0</v>
      </c>
      <c r="N540" s="1311">
        <f t="shared" si="474"/>
        <v>0</v>
      </c>
      <c r="O540" s="1311">
        <f t="shared" si="474"/>
        <v>0</v>
      </c>
      <c r="P540" s="1311">
        <f t="shared" si="474"/>
        <v>0</v>
      </c>
      <c r="Q540" s="1311">
        <f t="shared" si="474"/>
        <v>0</v>
      </c>
      <c r="R540" s="1311">
        <f t="shared" si="474"/>
        <v>0</v>
      </c>
      <c r="S540" s="1311">
        <f t="shared" si="474"/>
        <v>0</v>
      </c>
      <c r="T540" s="1311">
        <f t="shared" si="474"/>
        <v>0</v>
      </c>
      <c r="U540" s="1311">
        <f t="shared" si="474"/>
        <v>0</v>
      </c>
      <c r="V540" s="1311">
        <f t="shared" si="474"/>
        <v>0</v>
      </c>
      <c r="W540" s="1311">
        <f t="shared" si="474"/>
        <v>0</v>
      </c>
      <c r="X540" s="1311">
        <f t="shared" si="474"/>
        <v>0</v>
      </c>
      <c r="Y540" s="1311">
        <f t="shared" si="474"/>
        <v>0</v>
      </c>
      <c r="Z540" s="1311">
        <f t="shared" si="474"/>
        <v>0</v>
      </c>
      <c r="AA540" s="1311">
        <f t="shared" si="474"/>
        <v>0</v>
      </c>
      <c r="AB540" s="1311">
        <f t="shared" si="474"/>
        <v>0</v>
      </c>
      <c r="AC540" s="1311">
        <f t="shared" si="474"/>
        <v>0</v>
      </c>
      <c r="AD540" s="685"/>
      <c r="AE540" s="685"/>
      <c r="AF540" s="685"/>
      <c r="AG540" s="685"/>
      <c r="AH540" s="685"/>
      <c r="AI540" s="685"/>
      <c r="AJ540" s="685"/>
      <c r="AK540" s="685"/>
      <c r="AL540" s="685"/>
      <c r="AM540" s="685"/>
      <c r="AN540" s="685"/>
      <c r="AO540" s="685"/>
      <c r="AP540" s="685"/>
      <c r="AQ540" s="685"/>
      <c r="AR540" s="685"/>
      <c r="AS540" s="685"/>
      <c r="AT540" s="685"/>
      <c r="AU540" s="685"/>
      <c r="AV540" s="685"/>
      <c r="AW540" s="685"/>
      <c r="AX540" s="685"/>
      <c r="AY540" s="685"/>
    </row>
    <row r="541" spans="1:51" hidden="1">
      <c r="A541" s="685"/>
      <c r="B541" s="1189" t="s">
        <v>345</v>
      </c>
      <c r="C541" s="1189"/>
      <c r="D541" s="1311"/>
      <c r="E541" s="1311"/>
      <c r="F541" s="1311"/>
      <c r="G541" s="1311"/>
      <c r="H541" s="1311"/>
      <c r="I541" s="1311"/>
      <c r="J541" s="1311">
        <f t="shared" si="474"/>
        <v>0</v>
      </c>
      <c r="K541" s="1311">
        <f t="shared" si="474"/>
        <v>0</v>
      </c>
      <c r="L541" s="1311">
        <f t="shared" si="474"/>
        <v>0</v>
      </c>
      <c r="M541" s="1311">
        <f t="shared" si="474"/>
        <v>0</v>
      </c>
      <c r="N541" s="1311">
        <f t="shared" si="474"/>
        <v>0</v>
      </c>
      <c r="O541" s="1311">
        <f t="shared" si="474"/>
        <v>0</v>
      </c>
      <c r="P541" s="1311">
        <f t="shared" si="474"/>
        <v>0</v>
      </c>
      <c r="Q541" s="1311">
        <f t="shared" si="474"/>
        <v>0</v>
      </c>
      <c r="R541" s="1311">
        <f t="shared" si="474"/>
        <v>0</v>
      </c>
      <c r="S541" s="1311">
        <f t="shared" si="474"/>
        <v>0</v>
      </c>
      <c r="T541" s="1311">
        <f t="shared" si="474"/>
        <v>0</v>
      </c>
      <c r="U541" s="1311">
        <f t="shared" si="474"/>
        <v>0</v>
      </c>
      <c r="V541" s="1311">
        <f t="shared" si="474"/>
        <v>0</v>
      </c>
      <c r="W541" s="1311">
        <f t="shared" si="474"/>
        <v>0</v>
      </c>
      <c r="X541" s="1311">
        <f t="shared" si="474"/>
        <v>0</v>
      </c>
      <c r="Y541" s="1311">
        <f t="shared" si="474"/>
        <v>0</v>
      </c>
      <c r="Z541" s="1311">
        <f t="shared" si="474"/>
        <v>0</v>
      </c>
      <c r="AA541" s="1311">
        <f t="shared" si="474"/>
        <v>0</v>
      </c>
      <c r="AB541" s="1311">
        <f t="shared" si="474"/>
        <v>0</v>
      </c>
      <c r="AC541" s="1311">
        <f t="shared" si="474"/>
        <v>0</v>
      </c>
      <c r="AD541" s="685"/>
      <c r="AE541" s="685"/>
      <c r="AF541" s="685"/>
      <c r="AG541" s="685"/>
      <c r="AH541" s="685"/>
      <c r="AI541" s="685"/>
      <c r="AJ541" s="685"/>
      <c r="AK541" s="685"/>
      <c r="AL541" s="685"/>
      <c r="AM541" s="685"/>
      <c r="AN541" s="685"/>
      <c r="AO541" s="685"/>
      <c r="AP541" s="685"/>
      <c r="AQ541" s="685"/>
      <c r="AR541" s="685"/>
      <c r="AS541" s="685"/>
      <c r="AT541" s="685"/>
      <c r="AU541" s="685"/>
      <c r="AV541" s="685"/>
      <c r="AW541" s="685"/>
      <c r="AX541" s="685"/>
      <c r="AY541" s="685"/>
    </row>
    <row r="542" spans="1:51" hidden="1">
      <c r="A542" s="685"/>
      <c r="B542" s="1189" t="s">
        <v>345</v>
      </c>
      <c r="C542" s="1189"/>
      <c r="D542" s="1312"/>
      <c r="E542" s="1312"/>
      <c r="F542" s="1312"/>
      <c r="G542" s="1312"/>
      <c r="H542" s="1312"/>
      <c r="I542" s="1312"/>
      <c r="J542" s="1312">
        <f t="shared" si="474"/>
        <v>0</v>
      </c>
      <c r="K542" s="1312">
        <f t="shared" si="474"/>
        <v>0</v>
      </c>
      <c r="L542" s="1312">
        <f t="shared" si="474"/>
        <v>0</v>
      </c>
      <c r="M542" s="1312">
        <f t="shared" si="474"/>
        <v>0</v>
      </c>
      <c r="N542" s="1312">
        <f t="shared" si="474"/>
        <v>0</v>
      </c>
      <c r="O542" s="1312">
        <f t="shared" si="474"/>
        <v>0</v>
      </c>
      <c r="P542" s="1312">
        <f t="shared" si="474"/>
        <v>0</v>
      </c>
      <c r="Q542" s="1312">
        <f t="shared" si="474"/>
        <v>0</v>
      </c>
      <c r="R542" s="1312">
        <f t="shared" si="474"/>
        <v>0</v>
      </c>
      <c r="S542" s="1312">
        <f t="shared" si="474"/>
        <v>0</v>
      </c>
      <c r="T542" s="1312">
        <f t="shared" si="474"/>
        <v>0</v>
      </c>
      <c r="U542" s="1312">
        <f t="shared" si="474"/>
        <v>0</v>
      </c>
      <c r="V542" s="1312">
        <f t="shared" si="474"/>
        <v>0</v>
      </c>
      <c r="W542" s="1312">
        <f t="shared" si="474"/>
        <v>0</v>
      </c>
      <c r="X542" s="1312">
        <f t="shared" si="474"/>
        <v>0</v>
      </c>
      <c r="Y542" s="1312">
        <f t="shared" si="474"/>
        <v>0</v>
      </c>
      <c r="Z542" s="1312">
        <f t="shared" si="474"/>
        <v>0</v>
      </c>
      <c r="AA542" s="1312">
        <f t="shared" si="474"/>
        <v>0</v>
      </c>
      <c r="AB542" s="1312">
        <f t="shared" si="474"/>
        <v>0</v>
      </c>
      <c r="AC542" s="1312">
        <f t="shared" si="474"/>
        <v>0</v>
      </c>
      <c r="AD542" s="685"/>
      <c r="AE542" s="685"/>
      <c r="AF542" s="685"/>
      <c r="AG542" s="685"/>
      <c r="AH542" s="685"/>
      <c r="AI542" s="685"/>
      <c r="AJ542" s="685"/>
      <c r="AK542" s="685"/>
      <c r="AL542" s="685"/>
      <c r="AM542" s="685"/>
      <c r="AN542" s="685"/>
      <c r="AO542" s="685"/>
      <c r="AP542" s="685"/>
      <c r="AQ542" s="685"/>
      <c r="AR542" s="685"/>
      <c r="AS542" s="685"/>
      <c r="AT542" s="685"/>
      <c r="AU542" s="685"/>
      <c r="AV542" s="685"/>
      <c r="AW542" s="685"/>
      <c r="AX542" s="685"/>
      <c r="AY542" s="685"/>
    </row>
    <row r="543" spans="1:51" hidden="1">
      <c r="A543" s="685"/>
      <c r="B543" s="1189" t="s">
        <v>98</v>
      </c>
      <c r="C543" s="1189"/>
      <c r="D543" s="1311"/>
      <c r="E543" s="1311">
        <f>SUM(E535:E542)</f>
        <v>0</v>
      </c>
      <c r="F543" s="1311">
        <f>SUM(F535:F542)</f>
        <v>0</v>
      </c>
      <c r="G543" s="1311">
        <f>SUM(G535:G542)</f>
        <v>0</v>
      </c>
      <c r="H543" s="1311">
        <f>SUM(H535:H542)</f>
        <v>0</v>
      </c>
      <c r="I543" s="1311">
        <f>SUM(I535:I542)</f>
        <v>0</v>
      </c>
      <c r="J543" s="1311">
        <f t="shared" ref="J543:Q543" si="475">SUM(J535:J542)</f>
        <v>0</v>
      </c>
      <c r="K543" s="1311">
        <f t="shared" si="475"/>
        <v>0</v>
      </c>
      <c r="L543" s="1311">
        <f t="shared" si="475"/>
        <v>0</v>
      </c>
      <c r="M543" s="1311">
        <f t="shared" si="475"/>
        <v>0</v>
      </c>
      <c r="N543" s="1311">
        <f t="shared" si="475"/>
        <v>0</v>
      </c>
      <c r="O543" s="1311">
        <f t="shared" si="475"/>
        <v>0</v>
      </c>
      <c r="P543" s="1311">
        <f t="shared" si="475"/>
        <v>0</v>
      </c>
      <c r="Q543" s="1311">
        <f t="shared" si="475"/>
        <v>0</v>
      </c>
      <c r="R543" s="1311">
        <f t="shared" ref="R543:X543" si="476">SUM(R535:R542)</f>
        <v>0</v>
      </c>
      <c r="S543" s="1311">
        <f t="shared" si="476"/>
        <v>0</v>
      </c>
      <c r="T543" s="1311">
        <f t="shared" si="476"/>
        <v>0</v>
      </c>
      <c r="U543" s="1311">
        <f t="shared" si="476"/>
        <v>0</v>
      </c>
      <c r="V543" s="1311">
        <f t="shared" si="476"/>
        <v>0</v>
      </c>
      <c r="W543" s="1311">
        <f t="shared" si="476"/>
        <v>0</v>
      </c>
      <c r="X543" s="1311">
        <f t="shared" si="476"/>
        <v>0</v>
      </c>
      <c r="Y543" s="1311">
        <f>SUM(Y535:Y542)</f>
        <v>0</v>
      </c>
      <c r="Z543" s="1311">
        <f>SUM(Z535:Z542)</f>
        <v>0</v>
      </c>
      <c r="AA543" s="1311">
        <f>SUM(AA535:AA542)</f>
        <v>0</v>
      </c>
      <c r="AB543" s="1311">
        <f>SUM(AB535:AB542)</f>
        <v>0</v>
      </c>
      <c r="AC543" s="1311">
        <f>SUM(AC535:AC542)</f>
        <v>0</v>
      </c>
      <c r="AD543" s="685"/>
      <c r="AE543" s="685"/>
      <c r="AF543" s="685"/>
      <c r="AG543" s="685"/>
      <c r="AH543" s="685"/>
      <c r="AI543" s="685"/>
      <c r="AJ543" s="685"/>
      <c r="AK543" s="685"/>
      <c r="AL543" s="685"/>
      <c r="AM543" s="685"/>
      <c r="AN543" s="685"/>
      <c r="AO543" s="685"/>
      <c r="AP543" s="685"/>
      <c r="AQ543" s="685"/>
      <c r="AR543" s="685"/>
      <c r="AS543" s="685"/>
      <c r="AT543" s="685"/>
      <c r="AU543" s="685"/>
      <c r="AV543" s="685"/>
      <c r="AW543" s="685"/>
      <c r="AX543" s="685"/>
      <c r="AY543" s="685"/>
    </row>
    <row r="544" spans="1:51" hidden="1">
      <c r="A544" s="685"/>
      <c r="B544" s="1189"/>
      <c r="C544" s="1189"/>
      <c r="D544" s="1311"/>
      <c r="E544" s="1311"/>
      <c r="F544" s="1311"/>
      <c r="G544" s="1311"/>
      <c r="H544" s="1311"/>
      <c r="I544" s="1311"/>
      <c r="J544" s="1311"/>
      <c r="K544" s="1311"/>
      <c r="L544" s="1311"/>
      <c r="M544" s="1311"/>
      <c r="N544" s="1311"/>
      <c r="O544" s="1311"/>
      <c r="P544" s="1311"/>
      <c r="Q544" s="1311"/>
      <c r="R544" s="1311"/>
      <c r="S544" s="1311"/>
      <c r="T544" s="1311"/>
      <c r="U544" s="1311"/>
      <c r="V544" s="1311"/>
      <c r="W544" s="1311"/>
      <c r="X544" s="1311"/>
      <c r="Y544" s="1311"/>
      <c r="Z544" s="1311"/>
      <c r="AA544" s="1311"/>
      <c r="AB544" s="1311"/>
      <c r="AC544" s="1311"/>
      <c r="AD544" s="685"/>
      <c r="AE544" s="685"/>
      <c r="AF544" s="685"/>
      <c r="AG544" s="685"/>
      <c r="AH544" s="685"/>
      <c r="AI544" s="685"/>
      <c r="AJ544" s="685"/>
      <c r="AK544" s="685"/>
      <c r="AL544" s="685"/>
      <c r="AM544" s="685"/>
      <c r="AN544" s="685"/>
      <c r="AO544" s="685"/>
      <c r="AP544" s="685"/>
      <c r="AQ544" s="685"/>
      <c r="AR544" s="685"/>
      <c r="AS544" s="685"/>
      <c r="AT544" s="685"/>
      <c r="AU544" s="685"/>
      <c r="AV544" s="685"/>
      <c r="AW544" s="685"/>
      <c r="AX544" s="685"/>
      <c r="AY544" s="685"/>
    </row>
    <row r="545" spans="1:51" hidden="1">
      <c r="A545" s="685"/>
      <c r="B545" s="1189" t="s">
        <v>346</v>
      </c>
      <c r="C545" s="1189"/>
      <c r="D545" s="1311"/>
      <c r="E545" s="1311"/>
      <c r="F545" s="1311"/>
      <c r="G545" s="1311"/>
      <c r="H545" s="1311"/>
      <c r="I545" s="1311"/>
      <c r="J545" s="1311"/>
      <c r="K545" s="1311"/>
      <c r="L545" s="1311"/>
      <c r="M545" s="1311"/>
      <c r="N545" s="1311"/>
      <c r="O545" s="1311"/>
      <c r="P545" s="1311"/>
      <c r="Q545" s="1311"/>
      <c r="R545" s="1311"/>
      <c r="S545" s="1311"/>
      <c r="T545" s="1311"/>
      <c r="U545" s="1311"/>
      <c r="V545" s="1311"/>
      <c r="W545" s="1311"/>
      <c r="X545" s="1311"/>
      <c r="Y545" s="1311"/>
      <c r="Z545" s="1311"/>
      <c r="AA545" s="1311"/>
      <c r="AB545" s="1311"/>
      <c r="AC545" s="1311"/>
      <c r="AD545" s="685"/>
      <c r="AE545" s="685"/>
      <c r="AF545" s="685"/>
      <c r="AG545" s="685"/>
      <c r="AH545" s="685"/>
      <c r="AI545" s="685"/>
      <c r="AJ545" s="685"/>
      <c r="AK545" s="685"/>
      <c r="AL545" s="685"/>
      <c r="AM545" s="685"/>
      <c r="AN545" s="685"/>
      <c r="AO545" s="685"/>
      <c r="AP545" s="685"/>
      <c r="AQ545" s="685"/>
      <c r="AR545" s="685"/>
      <c r="AS545" s="685"/>
      <c r="AT545" s="685"/>
      <c r="AU545" s="685"/>
      <c r="AV545" s="685"/>
      <c r="AW545" s="685"/>
      <c r="AX545" s="685"/>
      <c r="AY545" s="685"/>
    </row>
    <row r="546" spans="1:51" hidden="1">
      <c r="A546" s="685"/>
      <c r="B546" s="1189" t="str">
        <f t="shared" ref="B546:B553" si="477">B535</f>
        <v>xx</v>
      </c>
      <c r="C546" s="1189"/>
      <c r="D546" s="1311"/>
      <c r="E546" s="1311"/>
      <c r="F546" s="1311">
        <f t="shared" ref="F546:G551" si="478">+F535-E535</f>
        <v>0</v>
      </c>
      <c r="G546" s="1311">
        <f t="shared" si="478"/>
        <v>0</v>
      </c>
      <c r="H546" s="1311"/>
      <c r="I546" s="1311"/>
      <c r="J546" s="1311"/>
      <c r="K546" s="1311"/>
      <c r="L546" s="1311"/>
      <c r="M546" s="1311"/>
      <c r="N546" s="1311"/>
      <c r="O546" s="1311"/>
      <c r="P546" s="1311"/>
      <c r="Q546" s="1311"/>
      <c r="R546" s="1311"/>
      <c r="S546" s="1311"/>
      <c r="T546" s="1311"/>
      <c r="U546" s="1311"/>
      <c r="V546" s="1311"/>
      <c r="W546" s="1311"/>
      <c r="X546" s="1311"/>
      <c r="Y546" s="1311"/>
      <c r="Z546" s="1311"/>
      <c r="AA546" s="1311"/>
      <c r="AB546" s="1311"/>
      <c r="AC546" s="1311"/>
      <c r="AD546" s="685"/>
      <c r="AE546" s="685"/>
      <c r="AF546" s="685"/>
      <c r="AG546" s="685"/>
      <c r="AH546" s="685"/>
      <c r="AI546" s="685"/>
      <c r="AJ546" s="685"/>
      <c r="AK546" s="685"/>
      <c r="AL546" s="685"/>
      <c r="AM546" s="685"/>
      <c r="AN546" s="685"/>
      <c r="AO546" s="685"/>
      <c r="AP546" s="685"/>
      <c r="AQ546" s="685"/>
      <c r="AR546" s="685"/>
      <c r="AS546" s="685"/>
      <c r="AT546" s="685"/>
      <c r="AU546" s="685"/>
      <c r="AV546" s="685"/>
      <c r="AW546" s="685"/>
      <c r="AX546" s="685"/>
      <c r="AY546" s="685"/>
    </row>
    <row r="547" spans="1:51" hidden="1">
      <c r="A547" s="685"/>
      <c r="B547" s="1189" t="str">
        <f t="shared" si="477"/>
        <v>xx</v>
      </c>
      <c r="C547" s="1189"/>
      <c r="D547" s="1311"/>
      <c r="E547" s="1311"/>
      <c r="F547" s="1311">
        <f t="shared" si="478"/>
        <v>0</v>
      </c>
      <c r="G547" s="1311">
        <f t="shared" si="478"/>
        <v>0</v>
      </c>
      <c r="H547" s="1311"/>
      <c r="I547" s="1311"/>
      <c r="J547" s="1311"/>
      <c r="K547" s="1311"/>
      <c r="L547" s="1311"/>
      <c r="M547" s="1311"/>
      <c r="N547" s="1311"/>
      <c r="O547" s="1311"/>
      <c r="P547" s="1311"/>
      <c r="Q547" s="1311"/>
      <c r="R547" s="1311"/>
      <c r="S547" s="1311"/>
      <c r="T547" s="1311"/>
      <c r="U547" s="1311"/>
      <c r="V547" s="1311"/>
      <c r="W547" s="1311"/>
      <c r="X547" s="1311"/>
      <c r="Y547" s="1311"/>
      <c r="Z547" s="1311"/>
      <c r="AA547" s="1311"/>
      <c r="AB547" s="1311"/>
      <c r="AC547" s="1311"/>
      <c r="AD547" s="685"/>
      <c r="AE547" s="685"/>
      <c r="AF547" s="685"/>
      <c r="AG547" s="685"/>
      <c r="AH547" s="685"/>
      <c r="AI547" s="685"/>
      <c r="AJ547" s="685"/>
      <c r="AK547" s="685"/>
      <c r="AL547" s="685"/>
      <c r="AM547" s="685"/>
      <c r="AN547" s="685"/>
      <c r="AO547" s="685"/>
      <c r="AP547" s="685"/>
      <c r="AQ547" s="685"/>
      <c r="AR547" s="685"/>
      <c r="AS547" s="685"/>
      <c r="AT547" s="685"/>
      <c r="AU547" s="685"/>
      <c r="AV547" s="685"/>
      <c r="AW547" s="685"/>
      <c r="AX547" s="685"/>
      <c r="AY547" s="685"/>
    </row>
    <row r="548" spans="1:51" hidden="1">
      <c r="A548" s="685"/>
      <c r="B548" s="1189" t="str">
        <f t="shared" si="477"/>
        <v>xx</v>
      </c>
      <c r="C548" s="1189"/>
      <c r="D548" s="1311"/>
      <c r="E548" s="1311"/>
      <c r="F548" s="1311">
        <f t="shared" si="478"/>
        <v>0</v>
      </c>
      <c r="G548" s="1311">
        <f t="shared" si="478"/>
        <v>0</v>
      </c>
      <c r="H548" s="1311"/>
      <c r="I548" s="1311"/>
      <c r="J548" s="1311"/>
      <c r="K548" s="1311"/>
      <c r="L548" s="1311"/>
      <c r="M548" s="1311"/>
      <c r="N548" s="1311"/>
      <c r="O548" s="1311"/>
      <c r="P548" s="1311"/>
      <c r="Q548" s="1311"/>
      <c r="R548" s="1311"/>
      <c r="S548" s="1311"/>
      <c r="T548" s="1311"/>
      <c r="U548" s="1311"/>
      <c r="V548" s="1311"/>
      <c r="W548" s="1311"/>
      <c r="X548" s="1311"/>
      <c r="Y548" s="1311"/>
      <c r="Z548" s="1311"/>
      <c r="AA548" s="1311"/>
      <c r="AB548" s="1311"/>
      <c r="AC548" s="1311"/>
      <c r="AD548" s="685"/>
      <c r="AE548" s="685"/>
      <c r="AF548" s="685"/>
      <c r="AG548" s="685"/>
      <c r="AH548" s="685"/>
      <c r="AI548" s="685"/>
      <c r="AJ548" s="685"/>
      <c r="AK548" s="685"/>
      <c r="AL548" s="685"/>
      <c r="AM548" s="685"/>
      <c r="AN548" s="685"/>
      <c r="AO548" s="685"/>
      <c r="AP548" s="685"/>
      <c r="AQ548" s="685"/>
      <c r="AR548" s="685"/>
      <c r="AS548" s="685"/>
      <c r="AT548" s="685"/>
      <c r="AU548" s="685"/>
      <c r="AV548" s="685"/>
      <c r="AW548" s="685"/>
      <c r="AX548" s="685"/>
      <c r="AY548" s="685"/>
    </row>
    <row r="549" spans="1:51" hidden="1">
      <c r="A549" s="685"/>
      <c r="B549" s="1189" t="str">
        <f t="shared" si="477"/>
        <v>xx</v>
      </c>
      <c r="C549" s="1189"/>
      <c r="D549" s="1311"/>
      <c r="E549" s="1311"/>
      <c r="F549" s="1311">
        <f t="shared" si="478"/>
        <v>0</v>
      </c>
      <c r="G549" s="1311">
        <f t="shared" si="478"/>
        <v>0</v>
      </c>
      <c r="H549" s="1311"/>
      <c r="I549" s="1311"/>
      <c r="J549" s="1311"/>
      <c r="K549" s="1311"/>
      <c r="L549" s="1311"/>
      <c r="M549" s="1311"/>
      <c r="N549" s="1311"/>
      <c r="O549" s="1311"/>
      <c r="P549" s="1311"/>
      <c r="Q549" s="1311"/>
      <c r="R549" s="1311"/>
      <c r="S549" s="1311"/>
      <c r="T549" s="1311"/>
      <c r="U549" s="1311"/>
      <c r="V549" s="1311"/>
      <c r="W549" s="1311"/>
      <c r="X549" s="1311"/>
      <c r="Y549" s="1311"/>
      <c r="Z549" s="1311"/>
      <c r="AA549" s="1311"/>
      <c r="AB549" s="1311"/>
      <c r="AC549" s="1311"/>
      <c r="AD549" s="685"/>
      <c r="AE549" s="685"/>
      <c r="AF549" s="685"/>
      <c r="AG549" s="685"/>
      <c r="AH549" s="685"/>
      <c r="AI549" s="685"/>
      <c r="AJ549" s="685"/>
      <c r="AK549" s="685"/>
      <c r="AL549" s="685"/>
      <c r="AM549" s="685"/>
      <c r="AN549" s="685"/>
      <c r="AO549" s="685"/>
      <c r="AP549" s="685"/>
      <c r="AQ549" s="685"/>
      <c r="AR549" s="685"/>
      <c r="AS549" s="685"/>
      <c r="AT549" s="685"/>
      <c r="AU549" s="685"/>
      <c r="AV549" s="685"/>
      <c r="AW549" s="685"/>
      <c r="AX549" s="685"/>
      <c r="AY549" s="685"/>
    </row>
    <row r="550" spans="1:51" hidden="1">
      <c r="A550" s="685"/>
      <c r="B550" s="1189" t="str">
        <f t="shared" si="477"/>
        <v>xx</v>
      </c>
      <c r="C550" s="1189"/>
      <c r="D550" s="1311"/>
      <c r="E550" s="1311"/>
      <c r="F550" s="1311">
        <f t="shared" si="478"/>
        <v>0</v>
      </c>
      <c r="G550" s="1311">
        <f t="shared" si="478"/>
        <v>0</v>
      </c>
      <c r="H550" s="1311"/>
      <c r="I550" s="1311"/>
      <c r="J550" s="1311"/>
      <c r="K550" s="1311"/>
      <c r="L550" s="1311"/>
      <c r="M550" s="1311"/>
      <c r="N550" s="1311"/>
      <c r="O550" s="1311"/>
      <c r="P550" s="1311"/>
      <c r="Q550" s="1311"/>
      <c r="R550" s="1311"/>
      <c r="S550" s="1311"/>
      <c r="T550" s="1311"/>
      <c r="U550" s="1311"/>
      <c r="V550" s="1311"/>
      <c r="W550" s="1311"/>
      <c r="X550" s="1311"/>
      <c r="Y550" s="1311"/>
      <c r="Z550" s="1311"/>
      <c r="AA550" s="1311"/>
      <c r="AB550" s="1311"/>
      <c r="AC550" s="1311"/>
      <c r="AD550" s="685"/>
      <c r="AE550" s="685"/>
      <c r="AF550" s="685"/>
      <c r="AG550" s="685"/>
      <c r="AH550" s="685"/>
      <c r="AI550" s="685"/>
      <c r="AJ550" s="685"/>
      <c r="AK550" s="685"/>
      <c r="AL550" s="685"/>
      <c r="AM550" s="685"/>
      <c r="AN550" s="685"/>
      <c r="AO550" s="685"/>
      <c r="AP550" s="685"/>
      <c r="AQ550" s="685"/>
      <c r="AR550" s="685"/>
      <c r="AS550" s="685"/>
      <c r="AT550" s="685"/>
      <c r="AU550" s="685"/>
      <c r="AV550" s="685"/>
      <c r="AW550" s="685"/>
      <c r="AX550" s="685"/>
      <c r="AY550" s="685"/>
    </row>
    <row r="551" spans="1:51" hidden="1">
      <c r="A551" s="685"/>
      <c r="B551" s="1189" t="str">
        <f t="shared" si="477"/>
        <v>xx</v>
      </c>
      <c r="C551" s="1189"/>
      <c r="D551" s="1311"/>
      <c r="E551" s="1311"/>
      <c r="F551" s="1311">
        <f t="shared" si="478"/>
        <v>0</v>
      </c>
      <c r="G551" s="1311">
        <f t="shared" si="478"/>
        <v>0</v>
      </c>
      <c r="H551" s="1311"/>
      <c r="I551" s="1311"/>
      <c r="J551" s="1311"/>
      <c r="K551" s="1311"/>
      <c r="L551" s="1311"/>
      <c r="M551" s="1311"/>
      <c r="N551" s="1311"/>
      <c r="O551" s="1311"/>
      <c r="P551" s="1311"/>
      <c r="Q551" s="1311"/>
      <c r="R551" s="1311"/>
      <c r="S551" s="1311"/>
      <c r="T551" s="1311"/>
      <c r="U551" s="1311"/>
      <c r="V551" s="1311"/>
      <c r="W551" s="1311"/>
      <c r="X551" s="1311"/>
      <c r="Y551" s="1311"/>
      <c r="Z551" s="1311"/>
      <c r="AA551" s="1311"/>
      <c r="AB551" s="1311"/>
      <c r="AC551" s="1311"/>
      <c r="AD551" s="685"/>
      <c r="AE551" s="685"/>
      <c r="AF551" s="685"/>
      <c r="AG551" s="685"/>
      <c r="AH551" s="685"/>
      <c r="AI551" s="685"/>
      <c r="AJ551" s="685"/>
      <c r="AK551" s="685"/>
      <c r="AL551" s="685"/>
      <c r="AM551" s="685"/>
      <c r="AN551" s="685"/>
      <c r="AO551" s="685"/>
      <c r="AP551" s="685"/>
      <c r="AQ551" s="685"/>
      <c r="AR551" s="685"/>
      <c r="AS551" s="685"/>
      <c r="AT551" s="685"/>
      <c r="AU551" s="685"/>
      <c r="AV551" s="685"/>
      <c r="AW551" s="685"/>
      <c r="AX551" s="685"/>
      <c r="AY551" s="685"/>
    </row>
    <row r="552" spans="1:51" hidden="1">
      <c r="A552" s="685"/>
      <c r="B552" s="1189" t="str">
        <f t="shared" si="477"/>
        <v>xx</v>
      </c>
      <c r="C552" s="1189"/>
      <c r="D552" s="1311"/>
      <c r="E552" s="1311"/>
      <c r="F552" s="1311"/>
      <c r="G552" s="1311"/>
      <c r="H552" s="1311"/>
      <c r="I552" s="1311"/>
      <c r="J552" s="1311"/>
      <c r="K552" s="1311"/>
      <c r="L552" s="1311"/>
      <c r="M552" s="1311"/>
      <c r="N552" s="1311"/>
      <c r="O552" s="1311"/>
      <c r="P552" s="1311"/>
      <c r="Q552" s="1311"/>
      <c r="R552" s="1311"/>
      <c r="S552" s="1311"/>
      <c r="T552" s="1311"/>
      <c r="U552" s="1311"/>
      <c r="V552" s="1311"/>
      <c r="W552" s="1311"/>
      <c r="X552" s="1311"/>
      <c r="Y552" s="1311"/>
      <c r="Z552" s="1311"/>
      <c r="AA552" s="1311"/>
      <c r="AB552" s="1311"/>
      <c r="AC552" s="1311"/>
      <c r="AD552" s="685"/>
      <c r="AE552" s="685"/>
      <c r="AF552" s="685"/>
      <c r="AG552" s="685"/>
      <c r="AH552" s="685"/>
      <c r="AI552" s="685"/>
      <c r="AJ552" s="685"/>
      <c r="AK552" s="685"/>
      <c r="AL552" s="685"/>
      <c r="AM552" s="685"/>
      <c r="AN552" s="685"/>
      <c r="AO552" s="685"/>
      <c r="AP552" s="685"/>
      <c r="AQ552" s="685"/>
      <c r="AR552" s="685"/>
      <c r="AS552" s="685"/>
      <c r="AT552" s="685"/>
      <c r="AU552" s="685"/>
      <c r="AV552" s="685"/>
      <c r="AW552" s="685"/>
      <c r="AX552" s="685"/>
      <c r="AY552" s="685"/>
    </row>
    <row r="553" spans="1:51" hidden="1">
      <c r="A553" s="685"/>
      <c r="B553" s="1189" t="str">
        <f t="shared" si="477"/>
        <v>xx</v>
      </c>
      <c r="C553" s="1189"/>
      <c r="D553" s="1312"/>
      <c r="E553" s="1312"/>
      <c r="F553" s="1312"/>
      <c r="G553" s="1312"/>
      <c r="H553" s="1312"/>
      <c r="I553" s="1312"/>
      <c r="J553" s="1312"/>
      <c r="K553" s="1312"/>
      <c r="L553" s="1312"/>
      <c r="M553" s="1312"/>
      <c r="N553" s="1312"/>
      <c r="O553" s="1312"/>
      <c r="P553" s="1312"/>
      <c r="Q553" s="1312"/>
      <c r="R553" s="1312"/>
      <c r="S553" s="1312"/>
      <c r="T553" s="1312"/>
      <c r="U553" s="1312"/>
      <c r="V553" s="1312"/>
      <c r="W553" s="1312"/>
      <c r="X553" s="1312"/>
      <c r="Y553" s="1312"/>
      <c r="Z553" s="1312"/>
      <c r="AA553" s="1312"/>
      <c r="AB553" s="1312"/>
      <c r="AC553" s="1312"/>
      <c r="AD553" s="685"/>
      <c r="AE553" s="685"/>
      <c r="AF553" s="685"/>
      <c r="AG553" s="685"/>
      <c r="AH553" s="685"/>
      <c r="AI553" s="685"/>
      <c r="AJ553" s="685"/>
      <c r="AK553" s="685"/>
      <c r="AL553" s="685"/>
      <c r="AM553" s="685"/>
      <c r="AN553" s="685"/>
      <c r="AO553" s="685"/>
      <c r="AP553" s="685"/>
      <c r="AQ553" s="685"/>
      <c r="AR553" s="685"/>
      <c r="AS553" s="685"/>
      <c r="AT553" s="685"/>
      <c r="AU553" s="685"/>
      <c r="AV553" s="685"/>
      <c r="AW553" s="685"/>
      <c r="AX553" s="685"/>
      <c r="AY553" s="685"/>
    </row>
    <row r="554" spans="1:51" hidden="1">
      <c r="A554" s="685"/>
      <c r="B554" s="1189" t="s">
        <v>98</v>
      </c>
      <c r="C554" s="1189"/>
      <c r="D554" s="1311">
        <f t="shared" ref="D554:Q554" si="479">SUM(D546:D553)</f>
        <v>0</v>
      </c>
      <c r="E554" s="1311">
        <f t="shared" si="479"/>
        <v>0</v>
      </c>
      <c r="F554" s="1311">
        <f t="shared" si="479"/>
        <v>0</v>
      </c>
      <c r="G554" s="1311">
        <f t="shared" si="479"/>
        <v>0</v>
      </c>
      <c r="H554" s="1311">
        <f t="shared" si="479"/>
        <v>0</v>
      </c>
      <c r="I554" s="1311">
        <f t="shared" si="479"/>
        <v>0</v>
      </c>
      <c r="J554" s="1311">
        <f t="shared" si="479"/>
        <v>0</v>
      </c>
      <c r="K554" s="1311">
        <f t="shared" si="479"/>
        <v>0</v>
      </c>
      <c r="L554" s="1311">
        <f t="shared" si="479"/>
        <v>0</v>
      </c>
      <c r="M554" s="1311">
        <f t="shared" si="479"/>
        <v>0</v>
      </c>
      <c r="N554" s="1311">
        <f t="shared" si="479"/>
        <v>0</v>
      </c>
      <c r="O554" s="1311">
        <f t="shared" si="479"/>
        <v>0</v>
      </c>
      <c r="P554" s="1311">
        <f t="shared" si="479"/>
        <v>0</v>
      </c>
      <c r="Q554" s="1311">
        <f t="shared" si="479"/>
        <v>0</v>
      </c>
      <c r="R554" s="1311">
        <f t="shared" ref="R554:X554" si="480">SUM(R546:R553)</f>
        <v>0</v>
      </c>
      <c r="S554" s="1311">
        <f t="shared" si="480"/>
        <v>0</v>
      </c>
      <c r="T554" s="1311">
        <f t="shared" si="480"/>
        <v>0</v>
      </c>
      <c r="U554" s="1311">
        <f t="shared" si="480"/>
        <v>0</v>
      </c>
      <c r="V554" s="1311">
        <f t="shared" si="480"/>
        <v>0</v>
      </c>
      <c r="W554" s="1311">
        <f t="shared" si="480"/>
        <v>0</v>
      </c>
      <c r="X554" s="1311">
        <f t="shared" si="480"/>
        <v>0</v>
      </c>
      <c r="Y554" s="1311">
        <f>SUM(Y546:Y553)</f>
        <v>0</v>
      </c>
      <c r="Z554" s="1311">
        <f>SUM(Z546:Z553)</f>
        <v>0</v>
      </c>
      <c r="AA554" s="1311">
        <f>SUM(AA546:AA553)</f>
        <v>0</v>
      </c>
      <c r="AB554" s="1311">
        <f>SUM(AB546:AB553)</f>
        <v>0</v>
      </c>
      <c r="AC554" s="1311">
        <f>SUM(AC546:AC553)</f>
        <v>0</v>
      </c>
      <c r="AD554" s="685"/>
      <c r="AE554" s="685"/>
      <c r="AF554" s="685"/>
      <c r="AG554" s="685"/>
      <c r="AH554" s="685"/>
      <c r="AI554" s="685"/>
      <c r="AJ554" s="685"/>
      <c r="AK554" s="685"/>
      <c r="AL554" s="685"/>
      <c r="AM554" s="685"/>
      <c r="AN554" s="685"/>
      <c r="AO554" s="685"/>
      <c r="AP554" s="685"/>
      <c r="AQ554" s="685"/>
      <c r="AR554" s="685"/>
      <c r="AS554" s="685"/>
      <c r="AT554" s="685"/>
      <c r="AU554" s="685"/>
      <c r="AV554" s="685"/>
      <c r="AW554" s="685"/>
      <c r="AX554" s="685"/>
      <c r="AY554" s="685"/>
    </row>
    <row r="555" spans="1:51" hidden="1">
      <c r="A555" s="685"/>
      <c r="B555" s="1189"/>
      <c r="C555" s="1189"/>
      <c r="D555" s="1311"/>
      <c r="E555" s="1311"/>
      <c r="F555" s="1311"/>
      <c r="G555" s="1311"/>
      <c r="H555" s="1311"/>
      <c r="I555" s="1311"/>
      <c r="J555" s="1311"/>
      <c r="K555" s="1311"/>
      <c r="L555" s="1311"/>
      <c r="M555" s="1311"/>
      <c r="N555" s="1311"/>
      <c r="O555" s="1311"/>
      <c r="P555" s="1311"/>
      <c r="Q555" s="1311"/>
      <c r="R555" s="1311"/>
      <c r="S555" s="1311"/>
      <c r="T555" s="1311"/>
      <c r="U555" s="1311"/>
      <c r="V555" s="1311"/>
      <c r="W555" s="1311"/>
      <c r="X555" s="1311"/>
      <c r="Y555" s="1311"/>
      <c r="Z555" s="1311"/>
      <c r="AA555" s="1311"/>
      <c r="AB555" s="1311"/>
      <c r="AC555" s="1311"/>
      <c r="AD555" s="685"/>
      <c r="AE555" s="685"/>
      <c r="AF555" s="685"/>
      <c r="AG555" s="685"/>
      <c r="AH555" s="685"/>
      <c r="AI555" s="685"/>
      <c r="AJ555" s="685"/>
      <c r="AK555" s="685"/>
      <c r="AL555" s="685"/>
      <c r="AM555" s="685"/>
      <c r="AN555" s="685"/>
      <c r="AO555" s="685"/>
      <c r="AP555" s="685"/>
      <c r="AQ555" s="685"/>
      <c r="AR555" s="685"/>
      <c r="AS555" s="685"/>
      <c r="AT555" s="685"/>
      <c r="AU555" s="685"/>
      <c r="AV555" s="685"/>
      <c r="AW555" s="685"/>
      <c r="AX555" s="685"/>
      <c r="AY555" s="685"/>
    </row>
    <row r="556" spans="1:51" hidden="1">
      <c r="A556" s="685"/>
      <c r="B556" s="1189" t="s">
        <v>347</v>
      </c>
      <c r="C556" s="1189"/>
      <c r="D556" s="1311"/>
      <c r="E556" s="1311"/>
      <c r="F556" s="1311"/>
      <c r="G556" s="1311"/>
      <c r="H556" s="1311"/>
      <c r="I556" s="1311"/>
      <c r="J556" s="1311"/>
      <c r="K556" s="1311"/>
      <c r="L556" s="1311"/>
      <c r="M556" s="1311"/>
      <c r="N556" s="1311"/>
      <c r="O556" s="1311"/>
      <c r="P556" s="1311"/>
      <c r="Q556" s="1311"/>
      <c r="R556" s="1311"/>
      <c r="S556" s="1311"/>
      <c r="T556" s="1311"/>
      <c r="U556" s="1311"/>
      <c r="V556" s="1311"/>
      <c r="W556" s="1311"/>
      <c r="X556" s="1311"/>
      <c r="Y556" s="1311"/>
      <c r="Z556" s="1311"/>
      <c r="AA556" s="1311"/>
      <c r="AB556" s="1311"/>
      <c r="AC556" s="1311"/>
      <c r="AD556" s="685"/>
      <c r="AE556" s="685"/>
      <c r="AF556" s="685"/>
      <c r="AG556" s="685"/>
      <c r="AH556" s="685"/>
      <c r="AI556" s="685"/>
      <c r="AJ556" s="685"/>
      <c r="AK556" s="685"/>
      <c r="AL556" s="685"/>
      <c r="AM556" s="685"/>
      <c r="AN556" s="685"/>
      <c r="AO556" s="685"/>
      <c r="AP556" s="685"/>
      <c r="AQ556" s="685"/>
      <c r="AR556" s="685"/>
      <c r="AS556" s="685"/>
      <c r="AT556" s="685"/>
      <c r="AU556" s="685"/>
      <c r="AV556" s="685"/>
      <c r="AW556" s="685"/>
      <c r="AX556" s="685"/>
      <c r="AY556" s="685"/>
    </row>
    <row r="557" spans="1:51" hidden="1">
      <c r="A557" s="685"/>
      <c r="B557" s="1189" t="str">
        <f t="shared" ref="B557:B564" si="481">B546</f>
        <v>xx</v>
      </c>
      <c r="C557" s="1189"/>
      <c r="D557" s="1311"/>
      <c r="E557" s="1311"/>
      <c r="F557" s="1311"/>
      <c r="G557" s="1311"/>
      <c r="H557" s="1311"/>
      <c r="I557" s="1311"/>
      <c r="J557" s="1311"/>
      <c r="K557" s="1311"/>
      <c r="L557" s="1311"/>
      <c r="M557" s="1311"/>
      <c r="N557" s="1311"/>
      <c r="O557" s="1311"/>
      <c r="P557" s="1311"/>
      <c r="Q557" s="1311"/>
      <c r="R557" s="1311"/>
      <c r="S557" s="1311"/>
      <c r="T557" s="1311"/>
      <c r="U557" s="1311"/>
      <c r="V557" s="1311"/>
      <c r="W557" s="1311"/>
      <c r="X557" s="1311"/>
      <c r="Y557" s="1311"/>
      <c r="Z557" s="1311"/>
      <c r="AA557" s="1311"/>
      <c r="AB557" s="1311"/>
      <c r="AC557" s="1311"/>
      <c r="AD557" s="685"/>
      <c r="AE557" s="685"/>
      <c r="AF557" s="685"/>
      <c r="AG557" s="685"/>
      <c r="AH557" s="685"/>
      <c r="AI557" s="685"/>
      <c r="AJ557" s="685"/>
      <c r="AK557" s="685"/>
      <c r="AL557" s="685"/>
      <c r="AM557" s="685"/>
      <c r="AN557" s="685"/>
      <c r="AO557" s="685"/>
      <c r="AP557" s="685"/>
      <c r="AQ557" s="685"/>
      <c r="AR557" s="685"/>
      <c r="AS557" s="685"/>
      <c r="AT557" s="685"/>
      <c r="AU557" s="685"/>
      <c r="AV557" s="685"/>
      <c r="AW557" s="685"/>
      <c r="AX557" s="685"/>
      <c r="AY557" s="685"/>
    </row>
    <row r="558" spans="1:51" hidden="1">
      <c r="A558" s="685"/>
      <c r="B558" s="1189" t="str">
        <f t="shared" si="481"/>
        <v>xx</v>
      </c>
      <c r="C558" s="1189"/>
      <c r="D558" s="1311"/>
      <c r="E558" s="1311"/>
      <c r="F558" s="1311"/>
      <c r="G558" s="1311"/>
      <c r="H558" s="1311"/>
      <c r="I558" s="1311"/>
      <c r="J558" s="1311"/>
      <c r="K558" s="1311"/>
      <c r="L558" s="1311"/>
      <c r="M558" s="1311"/>
      <c r="N558" s="1311"/>
      <c r="O558" s="1311"/>
      <c r="P558" s="1311"/>
      <c r="Q558" s="1311"/>
      <c r="R558" s="1311"/>
      <c r="S558" s="1311"/>
      <c r="T558" s="1311"/>
      <c r="U558" s="1311"/>
      <c r="V558" s="1311"/>
      <c r="W558" s="1311"/>
      <c r="X558" s="1311"/>
      <c r="Y558" s="1311"/>
      <c r="Z558" s="1311"/>
      <c r="AA558" s="1311"/>
      <c r="AB558" s="1311"/>
      <c r="AC558" s="1311"/>
      <c r="AD558" s="685"/>
      <c r="AE558" s="685"/>
      <c r="AF558" s="685"/>
      <c r="AG558" s="685"/>
      <c r="AH558" s="685"/>
      <c r="AI558" s="685"/>
      <c r="AJ558" s="685"/>
      <c r="AK558" s="685"/>
      <c r="AL558" s="685"/>
      <c r="AM558" s="685"/>
      <c r="AN558" s="685"/>
      <c r="AO558" s="685"/>
      <c r="AP558" s="685"/>
      <c r="AQ558" s="685"/>
      <c r="AR558" s="685"/>
      <c r="AS558" s="685"/>
      <c r="AT558" s="685"/>
      <c r="AU558" s="685"/>
      <c r="AV558" s="685"/>
      <c r="AW558" s="685"/>
      <c r="AX558" s="685"/>
      <c r="AY558" s="685"/>
    </row>
    <row r="559" spans="1:51" hidden="1">
      <c r="A559" s="685"/>
      <c r="B559" s="1189" t="str">
        <f t="shared" si="481"/>
        <v>xx</v>
      </c>
      <c r="C559" s="1189"/>
      <c r="D559" s="1311"/>
      <c r="E559" s="1311"/>
      <c r="F559" s="1311"/>
      <c r="G559" s="1311"/>
      <c r="H559" s="1311"/>
      <c r="I559" s="1311"/>
      <c r="J559" s="1311"/>
      <c r="K559" s="1311"/>
      <c r="L559" s="1311"/>
      <c r="M559" s="1311"/>
      <c r="N559" s="1311"/>
      <c r="O559" s="1311"/>
      <c r="P559" s="1311"/>
      <c r="Q559" s="1311"/>
      <c r="R559" s="1311"/>
      <c r="S559" s="1311"/>
      <c r="T559" s="1311"/>
      <c r="U559" s="1311"/>
      <c r="V559" s="1311"/>
      <c r="W559" s="1311"/>
      <c r="X559" s="1311"/>
      <c r="Y559" s="1311"/>
      <c r="Z559" s="1311"/>
      <c r="AA559" s="1311"/>
      <c r="AB559" s="1311"/>
      <c r="AC559" s="1311"/>
      <c r="AD559" s="685"/>
      <c r="AE559" s="685"/>
      <c r="AF559" s="685"/>
      <c r="AG559" s="685"/>
      <c r="AH559" s="685"/>
      <c r="AI559" s="685"/>
      <c r="AJ559" s="685"/>
      <c r="AK559" s="685"/>
      <c r="AL559" s="685"/>
      <c r="AM559" s="685"/>
      <c r="AN559" s="685"/>
      <c r="AO559" s="685"/>
      <c r="AP559" s="685"/>
      <c r="AQ559" s="685"/>
      <c r="AR559" s="685"/>
      <c r="AS559" s="685"/>
      <c r="AT559" s="685"/>
      <c r="AU559" s="685"/>
      <c r="AV559" s="685"/>
      <c r="AW559" s="685"/>
      <c r="AX559" s="685"/>
      <c r="AY559" s="685"/>
    </row>
    <row r="560" spans="1:51" hidden="1">
      <c r="A560" s="685"/>
      <c r="B560" s="1189" t="str">
        <f t="shared" si="481"/>
        <v>xx</v>
      </c>
      <c r="C560" s="1189"/>
      <c r="D560" s="1311"/>
      <c r="E560" s="1311"/>
      <c r="F560" s="1311"/>
      <c r="G560" s="1311"/>
      <c r="H560" s="1311"/>
      <c r="I560" s="1311"/>
      <c r="J560" s="1311"/>
      <c r="K560" s="1311"/>
      <c r="L560" s="1311"/>
      <c r="M560" s="1311"/>
      <c r="N560" s="1311"/>
      <c r="O560" s="1311"/>
      <c r="P560" s="1311"/>
      <c r="Q560" s="1311"/>
      <c r="R560" s="1311"/>
      <c r="S560" s="1311"/>
      <c r="T560" s="1311"/>
      <c r="U560" s="1311"/>
      <c r="V560" s="1311"/>
      <c r="W560" s="1311"/>
      <c r="X560" s="1311"/>
      <c r="Y560" s="1311"/>
      <c r="Z560" s="1311"/>
      <c r="AA560" s="1311"/>
      <c r="AB560" s="1311"/>
      <c r="AC560" s="1311"/>
      <c r="AD560" s="685"/>
      <c r="AE560" s="685"/>
      <c r="AF560" s="685"/>
      <c r="AG560" s="685"/>
      <c r="AH560" s="685"/>
      <c r="AI560" s="685"/>
      <c r="AJ560" s="685"/>
      <c r="AK560" s="685"/>
      <c r="AL560" s="685"/>
      <c r="AM560" s="685"/>
      <c r="AN560" s="685"/>
      <c r="AO560" s="685"/>
      <c r="AP560" s="685"/>
      <c r="AQ560" s="685"/>
      <c r="AR560" s="685"/>
      <c r="AS560" s="685"/>
      <c r="AT560" s="685"/>
      <c r="AU560" s="685"/>
      <c r="AV560" s="685"/>
      <c r="AW560" s="685"/>
      <c r="AX560" s="685"/>
      <c r="AY560" s="685"/>
    </row>
    <row r="561" spans="1:51" hidden="1">
      <c r="A561" s="685"/>
      <c r="B561" s="1189" t="str">
        <f t="shared" si="481"/>
        <v>xx</v>
      </c>
      <c r="C561" s="1189"/>
      <c r="D561" s="1311"/>
      <c r="E561" s="1311"/>
      <c r="F561" s="1311"/>
      <c r="G561" s="1311"/>
      <c r="H561" s="1311"/>
      <c r="I561" s="1311"/>
      <c r="J561" s="1311"/>
      <c r="K561" s="1311"/>
      <c r="L561" s="1311"/>
      <c r="M561" s="1311"/>
      <c r="N561" s="1311"/>
      <c r="O561" s="1311"/>
      <c r="P561" s="1311"/>
      <c r="Q561" s="1311"/>
      <c r="R561" s="1311"/>
      <c r="S561" s="1311"/>
      <c r="T561" s="1311"/>
      <c r="U561" s="1311"/>
      <c r="V561" s="1311"/>
      <c r="W561" s="1311"/>
      <c r="X561" s="1311"/>
      <c r="Y561" s="1311"/>
      <c r="Z561" s="1311"/>
      <c r="AA561" s="1311"/>
      <c r="AB561" s="1311"/>
      <c r="AC561" s="1311"/>
      <c r="AD561" s="685"/>
      <c r="AE561" s="685"/>
      <c r="AF561" s="685"/>
      <c r="AG561" s="685"/>
      <c r="AH561" s="685"/>
      <c r="AI561" s="685"/>
      <c r="AJ561" s="685"/>
      <c r="AK561" s="685"/>
      <c r="AL561" s="685"/>
      <c r="AM561" s="685"/>
      <c r="AN561" s="685"/>
      <c r="AO561" s="685"/>
      <c r="AP561" s="685"/>
      <c r="AQ561" s="685"/>
      <c r="AR561" s="685"/>
      <c r="AS561" s="685"/>
      <c r="AT561" s="685"/>
      <c r="AU561" s="685"/>
      <c r="AV561" s="685"/>
      <c r="AW561" s="685"/>
      <c r="AX561" s="685"/>
      <c r="AY561" s="685"/>
    </row>
    <row r="562" spans="1:51" hidden="1">
      <c r="A562" s="685"/>
      <c r="B562" s="1189" t="str">
        <f t="shared" si="481"/>
        <v>xx</v>
      </c>
      <c r="C562" s="1189"/>
      <c r="D562" s="1311"/>
      <c r="E562" s="1311"/>
      <c r="F562" s="1311"/>
      <c r="G562" s="1311"/>
      <c r="H562" s="1311"/>
      <c r="I562" s="1311"/>
      <c r="J562" s="1311"/>
      <c r="K562" s="1311"/>
      <c r="L562" s="1311"/>
      <c r="M562" s="1311"/>
      <c r="N562" s="1311"/>
      <c r="O562" s="1311"/>
      <c r="P562" s="1311"/>
      <c r="Q562" s="1311"/>
      <c r="R562" s="1311"/>
      <c r="S562" s="1311"/>
      <c r="T562" s="1311"/>
      <c r="U562" s="1311"/>
      <c r="V562" s="1311"/>
      <c r="W562" s="1311"/>
      <c r="X562" s="1311"/>
      <c r="Y562" s="1311"/>
      <c r="Z562" s="1311"/>
      <c r="AA562" s="1311"/>
      <c r="AB562" s="1311"/>
      <c r="AC562" s="1311"/>
      <c r="AD562" s="685"/>
      <c r="AE562" s="685"/>
      <c r="AF562" s="685"/>
      <c r="AG562" s="685"/>
      <c r="AH562" s="685"/>
      <c r="AI562" s="685"/>
      <c r="AJ562" s="685"/>
      <c r="AK562" s="685"/>
      <c r="AL562" s="685"/>
      <c r="AM562" s="685"/>
      <c r="AN562" s="685"/>
      <c r="AO562" s="685"/>
      <c r="AP562" s="685"/>
      <c r="AQ562" s="685"/>
      <c r="AR562" s="685"/>
      <c r="AS562" s="685"/>
      <c r="AT562" s="685"/>
      <c r="AU562" s="685"/>
      <c r="AV562" s="685"/>
      <c r="AW562" s="685"/>
      <c r="AX562" s="685"/>
      <c r="AY562" s="685"/>
    </row>
    <row r="563" spans="1:51" hidden="1">
      <c r="A563" s="685"/>
      <c r="B563" s="1189" t="str">
        <f t="shared" si="481"/>
        <v>xx</v>
      </c>
      <c r="C563" s="1189"/>
      <c r="D563" s="1311"/>
      <c r="E563" s="1311"/>
      <c r="F563" s="1311"/>
      <c r="G563" s="1311"/>
      <c r="H563" s="1311"/>
      <c r="I563" s="1311"/>
      <c r="J563" s="1311"/>
      <c r="K563" s="1311"/>
      <c r="L563" s="1311"/>
      <c r="M563" s="1311"/>
      <c r="N563" s="1311"/>
      <c r="O563" s="1311"/>
      <c r="P563" s="1311"/>
      <c r="Q563" s="1311"/>
      <c r="R563" s="1311"/>
      <c r="S563" s="1311"/>
      <c r="T563" s="1311"/>
      <c r="U563" s="1311"/>
      <c r="V563" s="1311"/>
      <c r="W563" s="1311"/>
      <c r="X563" s="1311"/>
      <c r="Y563" s="1311"/>
      <c r="Z563" s="1311"/>
      <c r="AA563" s="1311"/>
      <c r="AB563" s="1311"/>
      <c r="AC563" s="1311"/>
      <c r="AD563" s="685"/>
      <c r="AE563" s="685"/>
      <c r="AF563" s="685"/>
      <c r="AG563" s="685"/>
      <c r="AH563" s="685"/>
      <c r="AI563" s="685"/>
      <c r="AJ563" s="685"/>
      <c r="AK563" s="685"/>
      <c r="AL563" s="685"/>
      <c r="AM563" s="685"/>
      <c r="AN563" s="685"/>
      <c r="AO563" s="685"/>
      <c r="AP563" s="685"/>
      <c r="AQ563" s="685"/>
      <c r="AR563" s="685"/>
      <c r="AS563" s="685"/>
      <c r="AT563" s="685"/>
      <c r="AU563" s="685"/>
      <c r="AV563" s="685"/>
      <c r="AW563" s="685"/>
      <c r="AX563" s="685"/>
      <c r="AY563" s="685"/>
    </row>
    <row r="564" spans="1:51" hidden="1">
      <c r="A564" s="685"/>
      <c r="B564" s="1189" t="str">
        <f t="shared" si="481"/>
        <v>xx</v>
      </c>
      <c r="C564" s="1189"/>
      <c r="D564" s="1312"/>
      <c r="E564" s="1312"/>
      <c r="F564" s="1312"/>
      <c r="G564" s="1312"/>
      <c r="H564" s="1312"/>
      <c r="I564" s="1312"/>
      <c r="J564" s="1312"/>
      <c r="K564" s="1312"/>
      <c r="L564" s="1312"/>
      <c r="M564" s="1312"/>
      <c r="N564" s="1312"/>
      <c r="O564" s="1312"/>
      <c r="P564" s="1312"/>
      <c r="Q564" s="1312"/>
      <c r="R564" s="1312"/>
      <c r="S564" s="1312"/>
      <c r="T564" s="1312"/>
      <c r="U564" s="1312"/>
      <c r="V564" s="1312"/>
      <c r="W564" s="1312"/>
      <c r="X564" s="1312"/>
      <c r="Y564" s="1312"/>
      <c r="Z564" s="1312"/>
      <c r="AA564" s="1312"/>
      <c r="AB564" s="1312"/>
      <c r="AC564" s="1312"/>
      <c r="AD564" s="685"/>
      <c r="AE564" s="685"/>
      <c r="AF564" s="685"/>
      <c r="AG564" s="685"/>
      <c r="AH564" s="685"/>
      <c r="AI564" s="685"/>
      <c r="AJ564" s="685"/>
      <c r="AK564" s="685"/>
      <c r="AL564" s="685"/>
      <c r="AM564" s="685"/>
      <c r="AN564" s="685"/>
      <c r="AO564" s="685"/>
      <c r="AP564" s="685"/>
      <c r="AQ564" s="685"/>
      <c r="AR564" s="685"/>
      <c r="AS564" s="685"/>
      <c r="AT564" s="685"/>
      <c r="AU564" s="685"/>
      <c r="AV564" s="685"/>
      <c r="AW564" s="685"/>
      <c r="AX564" s="685"/>
      <c r="AY564" s="685"/>
    </row>
    <row r="565" spans="1:51" hidden="1">
      <c r="A565" s="685"/>
      <c r="B565" s="1189" t="s">
        <v>98</v>
      </c>
      <c r="C565" s="1189"/>
      <c r="D565" s="1311"/>
      <c r="E565" s="1311"/>
      <c r="F565" s="1311">
        <f t="shared" ref="F565:Q565" si="482">SUM(F557:F564)</f>
        <v>0</v>
      </c>
      <c r="G565" s="1311">
        <f t="shared" si="482"/>
        <v>0</v>
      </c>
      <c r="H565" s="1311">
        <f t="shared" si="482"/>
        <v>0</v>
      </c>
      <c r="I565" s="1311">
        <f t="shared" si="482"/>
        <v>0</v>
      </c>
      <c r="J565" s="1311">
        <f t="shared" si="482"/>
        <v>0</v>
      </c>
      <c r="K565" s="1311">
        <f t="shared" si="482"/>
        <v>0</v>
      </c>
      <c r="L565" s="1311">
        <f t="shared" si="482"/>
        <v>0</v>
      </c>
      <c r="M565" s="1311">
        <f t="shared" si="482"/>
        <v>0</v>
      </c>
      <c r="N565" s="1311">
        <f t="shared" si="482"/>
        <v>0</v>
      </c>
      <c r="O565" s="1311">
        <f t="shared" si="482"/>
        <v>0</v>
      </c>
      <c r="P565" s="1311">
        <f t="shared" si="482"/>
        <v>0</v>
      </c>
      <c r="Q565" s="1311">
        <f t="shared" si="482"/>
        <v>0</v>
      </c>
      <c r="R565" s="1311">
        <f t="shared" ref="R565:X565" si="483">SUM(R557:R564)</f>
        <v>0</v>
      </c>
      <c r="S565" s="1311">
        <f t="shared" si="483"/>
        <v>0</v>
      </c>
      <c r="T565" s="1311">
        <f t="shared" si="483"/>
        <v>0</v>
      </c>
      <c r="U565" s="1311">
        <f t="shared" si="483"/>
        <v>0</v>
      </c>
      <c r="V565" s="1311">
        <f t="shared" si="483"/>
        <v>0</v>
      </c>
      <c r="W565" s="1311">
        <f t="shared" si="483"/>
        <v>0</v>
      </c>
      <c r="X565" s="1311">
        <f t="shared" si="483"/>
        <v>0</v>
      </c>
      <c r="Y565" s="1311">
        <f>SUM(Y557:Y564)</f>
        <v>0</v>
      </c>
      <c r="Z565" s="1311">
        <f>SUM(Z557:Z564)</f>
        <v>0</v>
      </c>
      <c r="AA565" s="1311">
        <f>SUM(AA557:AA564)</f>
        <v>0</v>
      </c>
      <c r="AB565" s="1311">
        <f>SUM(AB557:AB564)</f>
        <v>0</v>
      </c>
      <c r="AC565" s="1311">
        <f>SUM(AC557:AC564)</f>
        <v>0</v>
      </c>
      <c r="AD565" s="685"/>
      <c r="AE565" s="685"/>
      <c r="AF565" s="685"/>
      <c r="AG565" s="685"/>
      <c r="AH565" s="685"/>
      <c r="AI565" s="685"/>
      <c r="AJ565" s="685"/>
      <c r="AK565" s="685"/>
      <c r="AL565" s="685"/>
      <c r="AM565" s="685"/>
      <c r="AN565" s="685"/>
      <c r="AO565" s="685"/>
      <c r="AP565" s="685"/>
      <c r="AQ565" s="685"/>
      <c r="AR565" s="685"/>
      <c r="AS565" s="685"/>
      <c r="AT565" s="685"/>
      <c r="AU565" s="685"/>
      <c r="AV565" s="685"/>
      <c r="AW565" s="685"/>
      <c r="AX565" s="685"/>
      <c r="AY565" s="685"/>
    </row>
    <row r="566" spans="1:51" hidden="1">
      <c r="A566" s="685"/>
      <c r="B566" s="1189"/>
      <c r="C566" s="1189"/>
      <c r="D566" s="1311"/>
      <c r="E566" s="1311"/>
      <c r="F566" s="1311"/>
      <c r="G566" s="1311"/>
      <c r="H566" s="1311"/>
      <c r="I566" s="1311"/>
      <c r="J566" s="1311"/>
      <c r="K566" s="1311"/>
      <c r="L566" s="1311"/>
      <c r="M566" s="1311"/>
      <c r="N566" s="1311"/>
      <c r="O566" s="1311"/>
      <c r="P566" s="1311"/>
      <c r="Q566" s="1311"/>
      <c r="R566" s="1311"/>
      <c r="S566" s="1311"/>
      <c r="T566" s="1311"/>
      <c r="U566" s="1311"/>
      <c r="V566" s="1311"/>
      <c r="W566" s="1311"/>
      <c r="X566" s="1311"/>
      <c r="Y566" s="1311"/>
      <c r="Z566" s="1311"/>
      <c r="AA566" s="1311"/>
      <c r="AB566" s="1311"/>
      <c r="AC566" s="1311"/>
      <c r="AD566" s="685"/>
      <c r="AE566" s="685"/>
      <c r="AF566" s="685"/>
      <c r="AG566" s="685"/>
      <c r="AH566" s="685"/>
      <c r="AI566" s="685"/>
      <c r="AJ566" s="685"/>
      <c r="AK566" s="685"/>
      <c r="AL566" s="685"/>
      <c r="AM566" s="685"/>
      <c r="AN566" s="685"/>
      <c r="AO566" s="685"/>
      <c r="AP566" s="685"/>
      <c r="AQ566" s="685"/>
      <c r="AR566" s="685"/>
      <c r="AS566" s="685"/>
      <c r="AT566" s="685"/>
      <c r="AU566" s="685"/>
      <c r="AV566" s="685"/>
      <c r="AW566" s="685"/>
      <c r="AX566" s="685"/>
      <c r="AY566" s="685"/>
    </row>
    <row r="567" spans="1:51" hidden="1">
      <c r="A567" s="685"/>
      <c r="B567" s="1189" t="s">
        <v>348</v>
      </c>
      <c r="C567" s="1189"/>
      <c r="D567" s="1311"/>
      <c r="E567" s="1311"/>
      <c r="F567" s="1311"/>
      <c r="G567" s="1311"/>
      <c r="H567" s="1311"/>
      <c r="I567" s="1311"/>
      <c r="J567" s="1311"/>
      <c r="K567" s="1311"/>
      <c r="L567" s="1311"/>
      <c r="M567" s="1311"/>
      <c r="N567" s="1311"/>
      <c r="O567" s="1311"/>
      <c r="P567" s="1311"/>
      <c r="Q567" s="1311"/>
      <c r="R567" s="1311"/>
      <c r="S567" s="1311"/>
      <c r="T567" s="1311"/>
      <c r="U567" s="1311"/>
      <c r="V567" s="1311"/>
      <c r="W567" s="1311"/>
      <c r="X567" s="1311"/>
      <c r="Y567" s="1311"/>
      <c r="Z567" s="1311"/>
      <c r="AA567" s="1311"/>
      <c r="AB567" s="1311"/>
      <c r="AC567" s="1311"/>
      <c r="AD567" s="685"/>
      <c r="AE567" s="685"/>
      <c r="AF567" s="685"/>
      <c r="AG567" s="685"/>
      <c r="AH567" s="685"/>
      <c r="AI567" s="685"/>
      <c r="AJ567" s="685"/>
      <c r="AK567" s="685"/>
      <c r="AL567" s="685"/>
      <c r="AM567" s="685"/>
      <c r="AN567" s="685"/>
      <c r="AO567" s="685"/>
      <c r="AP567" s="685"/>
      <c r="AQ567" s="685"/>
      <c r="AR567" s="685"/>
      <c r="AS567" s="685"/>
      <c r="AT567" s="685"/>
      <c r="AU567" s="685"/>
      <c r="AV567" s="685"/>
      <c r="AW567" s="685"/>
      <c r="AX567" s="685"/>
      <c r="AY567" s="685"/>
    </row>
    <row r="568" spans="1:51" hidden="1">
      <c r="A568" s="685"/>
      <c r="B568" s="1189" t="str">
        <f t="shared" ref="B568:B576" si="484">B557</f>
        <v>xx</v>
      </c>
      <c r="C568" s="1189"/>
      <c r="D568" s="1311"/>
      <c r="E568" s="1313"/>
      <c r="F568" s="1313"/>
      <c r="G568" s="1313"/>
      <c r="H568" s="1313"/>
      <c r="I568" s="1313"/>
      <c r="J568" s="1313"/>
      <c r="K568" s="1313"/>
      <c r="L568" s="1313"/>
      <c r="M568" s="1313"/>
      <c r="N568" s="1313"/>
      <c r="O568" s="1313"/>
      <c r="P568" s="1313"/>
      <c r="Q568" s="1313"/>
      <c r="R568" s="1313"/>
      <c r="S568" s="1313"/>
      <c r="T568" s="1313"/>
      <c r="U568" s="1313"/>
      <c r="V568" s="1313"/>
      <c r="W568" s="1313"/>
      <c r="X568" s="1313"/>
      <c r="Y568" s="1313"/>
      <c r="Z568" s="1313"/>
      <c r="AA568" s="1313"/>
      <c r="AB568" s="1313"/>
      <c r="AC568" s="1313"/>
      <c r="AD568" s="685"/>
      <c r="AE568" s="685"/>
      <c r="AF568" s="685"/>
      <c r="AG568" s="685"/>
      <c r="AH568" s="685"/>
      <c r="AI568" s="685"/>
      <c r="AJ568" s="685"/>
      <c r="AK568" s="685"/>
      <c r="AL568" s="685"/>
      <c r="AM568" s="685"/>
      <c r="AN568" s="685"/>
      <c r="AO568" s="685"/>
      <c r="AP568" s="685"/>
      <c r="AQ568" s="685"/>
      <c r="AR568" s="685"/>
      <c r="AS568" s="685"/>
      <c r="AT568" s="685"/>
      <c r="AU568" s="685"/>
      <c r="AV568" s="685"/>
      <c r="AW568" s="685"/>
      <c r="AX568" s="685"/>
      <c r="AY568" s="685"/>
    </row>
    <row r="569" spans="1:51" hidden="1">
      <c r="A569" s="685"/>
      <c r="B569" s="1189" t="str">
        <f t="shared" si="484"/>
        <v>xx</v>
      </c>
      <c r="C569" s="1189"/>
      <c r="D569" s="1311"/>
      <c r="E569" s="1313"/>
      <c r="F569" s="1313"/>
      <c r="G569" s="1313"/>
      <c r="H569" s="1313"/>
      <c r="I569" s="1313"/>
      <c r="J569" s="1313"/>
      <c r="K569" s="1313"/>
      <c r="L569" s="1313"/>
      <c r="M569" s="1313"/>
      <c r="N569" s="1313"/>
      <c r="O569" s="1313"/>
      <c r="P569" s="1313"/>
      <c r="Q569" s="1313"/>
      <c r="R569" s="1313"/>
      <c r="S569" s="1313"/>
      <c r="T569" s="1313"/>
      <c r="U569" s="1313"/>
      <c r="V569" s="1313"/>
      <c r="W569" s="1313"/>
      <c r="X569" s="1313"/>
      <c r="Y569" s="1313"/>
      <c r="Z569" s="1313"/>
      <c r="AA569" s="1313"/>
      <c r="AB569" s="1313"/>
      <c r="AC569" s="1313"/>
      <c r="AD569" s="685"/>
      <c r="AE569" s="685"/>
      <c r="AF569" s="685"/>
      <c r="AG569" s="685"/>
      <c r="AH569" s="685"/>
      <c r="AI569" s="685"/>
      <c r="AJ569" s="685"/>
      <c r="AK569" s="685"/>
      <c r="AL569" s="685"/>
      <c r="AM569" s="685"/>
      <c r="AN569" s="685"/>
      <c r="AO569" s="685"/>
      <c r="AP569" s="685"/>
      <c r="AQ569" s="685"/>
      <c r="AR569" s="685"/>
      <c r="AS569" s="685"/>
      <c r="AT569" s="685"/>
      <c r="AU569" s="685"/>
      <c r="AV569" s="685"/>
      <c r="AW569" s="685"/>
      <c r="AX569" s="685"/>
      <c r="AY569" s="685"/>
    </row>
    <row r="570" spans="1:51" hidden="1">
      <c r="A570" s="685"/>
      <c r="B570" s="1189" t="str">
        <f t="shared" si="484"/>
        <v>xx</v>
      </c>
      <c r="C570" s="1189"/>
      <c r="D570" s="1311"/>
      <c r="E570" s="1313"/>
      <c r="F570" s="1313"/>
      <c r="G570" s="1313"/>
      <c r="H570" s="1313"/>
      <c r="I570" s="1313"/>
      <c r="J570" s="1313"/>
      <c r="K570" s="1313"/>
      <c r="L570" s="1313"/>
      <c r="M570" s="1313"/>
      <c r="N570" s="1313"/>
      <c r="O570" s="1313"/>
      <c r="P570" s="1313"/>
      <c r="Q570" s="1313"/>
      <c r="R570" s="1313"/>
      <c r="S570" s="1313"/>
      <c r="T570" s="1313"/>
      <c r="U570" s="1313"/>
      <c r="V570" s="1313"/>
      <c r="W570" s="1313"/>
      <c r="X570" s="1313"/>
      <c r="Y570" s="1313"/>
      <c r="Z570" s="1313"/>
      <c r="AA570" s="1313"/>
      <c r="AB570" s="1313"/>
      <c r="AC570" s="1313"/>
      <c r="AD570" s="685"/>
      <c r="AE570" s="685"/>
      <c r="AF570" s="685"/>
      <c r="AG570" s="685"/>
      <c r="AH570" s="685"/>
      <c r="AI570" s="685"/>
      <c r="AJ570" s="685"/>
      <c r="AK570" s="685"/>
      <c r="AL570" s="685"/>
      <c r="AM570" s="685"/>
      <c r="AN570" s="685"/>
      <c r="AO570" s="685"/>
      <c r="AP570" s="685"/>
      <c r="AQ570" s="685"/>
      <c r="AR570" s="685"/>
      <c r="AS570" s="685"/>
      <c r="AT570" s="685"/>
      <c r="AU570" s="685"/>
      <c r="AV570" s="685"/>
      <c r="AW570" s="685"/>
      <c r="AX570" s="685"/>
      <c r="AY570" s="685"/>
    </row>
    <row r="571" spans="1:51" hidden="1">
      <c r="A571" s="685"/>
      <c r="B571" s="1189" t="str">
        <f t="shared" si="484"/>
        <v>xx</v>
      </c>
      <c r="C571" s="1189"/>
      <c r="D571" s="1311"/>
      <c r="E571" s="1313"/>
      <c r="F571" s="1313"/>
      <c r="G571" s="1313"/>
      <c r="H571" s="1313"/>
      <c r="I571" s="1313"/>
      <c r="J571" s="1313"/>
      <c r="K571" s="1313"/>
      <c r="L571" s="1313"/>
      <c r="M571" s="1313"/>
      <c r="N571" s="1313"/>
      <c r="O571" s="1313"/>
      <c r="P571" s="1313"/>
      <c r="Q571" s="1313"/>
      <c r="R571" s="1313"/>
      <c r="S571" s="1313"/>
      <c r="T571" s="1313"/>
      <c r="U571" s="1313"/>
      <c r="V571" s="1313"/>
      <c r="W571" s="1313"/>
      <c r="X571" s="1313"/>
      <c r="Y571" s="1313"/>
      <c r="Z571" s="1313"/>
      <c r="AA571" s="1313"/>
      <c r="AB571" s="1313"/>
      <c r="AC571" s="1313"/>
      <c r="AD571" s="685"/>
      <c r="AE571" s="685"/>
      <c r="AF571" s="685"/>
      <c r="AG571" s="685"/>
      <c r="AH571" s="685"/>
      <c r="AI571" s="685"/>
      <c r="AJ571" s="685"/>
      <c r="AK571" s="685"/>
      <c r="AL571" s="685"/>
      <c r="AM571" s="685"/>
      <c r="AN571" s="685"/>
      <c r="AO571" s="685"/>
      <c r="AP571" s="685"/>
      <c r="AQ571" s="685"/>
      <c r="AR571" s="685"/>
      <c r="AS571" s="685"/>
      <c r="AT571" s="685"/>
      <c r="AU571" s="685"/>
      <c r="AV571" s="685"/>
      <c r="AW571" s="685"/>
      <c r="AX571" s="685"/>
      <c r="AY571" s="685"/>
    </row>
    <row r="572" spans="1:51" hidden="1">
      <c r="A572" s="685"/>
      <c r="B572" s="1189" t="str">
        <f t="shared" si="484"/>
        <v>xx</v>
      </c>
      <c r="C572" s="1189"/>
      <c r="D572" s="1311"/>
      <c r="E572" s="1313"/>
      <c r="F572" s="1313"/>
      <c r="G572" s="1313"/>
      <c r="H572" s="1313"/>
      <c r="I572" s="1313"/>
      <c r="J572" s="1313"/>
      <c r="K572" s="1313"/>
      <c r="L572" s="1313"/>
      <c r="M572" s="1313"/>
      <c r="N572" s="1313"/>
      <c r="O572" s="1313"/>
      <c r="P572" s="1313"/>
      <c r="Q572" s="1313"/>
      <c r="R572" s="1313"/>
      <c r="S572" s="1313"/>
      <c r="T572" s="1313"/>
      <c r="U572" s="1313"/>
      <c r="V572" s="1313"/>
      <c r="W572" s="1313"/>
      <c r="X572" s="1313"/>
      <c r="Y572" s="1313"/>
      <c r="Z572" s="1313"/>
      <c r="AA572" s="1313"/>
      <c r="AB572" s="1313"/>
      <c r="AC572" s="1313"/>
      <c r="AD572" s="685"/>
      <c r="AE572" s="685"/>
      <c r="AF572" s="685"/>
      <c r="AG572" s="685"/>
      <c r="AH572" s="685"/>
      <c r="AI572" s="685"/>
      <c r="AJ572" s="685"/>
      <c r="AK572" s="685"/>
      <c r="AL572" s="685"/>
      <c r="AM572" s="685"/>
      <c r="AN572" s="685"/>
      <c r="AO572" s="685"/>
      <c r="AP572" s="685"/>
      <c r="AQ572" s="685"/>
      <c r="AR572" s="685"/>
      <c r="AS572" s="685"/>
      <c r="AT572" s="685"/>
      <c r="AU572" s="685"/>
      <c r="AV572" s="685"/>
      <c r="AW572" s="685"/>
      <c r="AX572" s="685"/>
      <c r="AY572" s="685"/>
    </row>
    <row r="573" spans="1:51" hidden="1">
      <c r="A573" s="685"/>
      <c r="B573" s="1189" t="str">
        <f t="shared" si="484"/>
        <v>xx</v>
      </c>
      <c r="C573" s="1189"/>
      <c r="D573" s="1311"/>
      <c r="E573" s="1313"/>
      <c r="F573" s="1313"/>
      <c r="G573" s="1313"/>
      <c r="H573" s="1313"/>
      <c r="I573" s="1313"/>
      <c r="J573" s="1313"/>
      <c r="K573" s="1313"/>
      <c r="L573" s="1313"/>
      <c r="M573" s="1313"/>
      <c r="N573" s="1313"/>
      <c r="O573" s="1313"/>
      <c r="P573" s="1313"/>
      <c r="Q573" s="1313"/>
      <c r="R573" s="1313"/>
      <c r="S573" s="1313"/>
      <c r="T573" s="1313"/>
      <c r="U573" s="1313"/>
      <c r="V573" s="1313"/>
      <c r="W573" s="1313"/>
      <c r="X573" s="1313"/>
      <c r="Y573" s="1313"/>
      <c r="Z573" s="1313"/>
      <c r="AA573" s="1313"/>
      <c r="AB573" s="1313"/>
      <c r="AC573" s="1313"/>
      <c r="AD573" s="685"/>
      <c r="AE573" s="685"/>
      <c r="AF573" s="685"/>
      <c r="AG573" s="685"/>
      <c r="AH573" s="685"/>
      <c r="AI573" s="685"/>
      <c r="AJ573" s="685"/>
      <c r="AK573" s="685"/>
      <c r="AL573" s="685"/>
      <c r="AM573" s="685"/>
      <c r="AN573" s="685"/>
      <c r="AO573" s="685"/>
      <c r="AP573" s="685"/>
      <c r="AQ573" s="685"/>
      <c r="AR573" s="685"/>
      <c r="AS573" s="685"/>
      <c r="AT573" s="685"/>
      <c r="AU573" s="685"/>
      <c r="AV573" s="685"/>
      <c r="AW573" s="685"/>
      <c r="AX573" s="685"/>
      <c r="AY573" s="685"/>
    </row>
    <row r="574" spans="1:51" hidden="1">
      <c r="A574" s="685"/>
      <c r="B574" s="1189" t="str">
        <f t="shared" si="484"/>
        <v>xx</v>
      </c>
      <c r="C574" s="1189"/>
      <c r="D574" s="1311"/>
      <c r="E574" s="1313"/>
      <c r="F574" s="1313"/>
      <c r="G574" s="1313"/>
      <c r="H574" s="1313"/>
      <c r="I574" s="1313"/>
      <c r="J574" s="1313"/>
      <c r="K574" s="1313"/>
      <c r="L574" s="1313"/>
      <c r="M574" s="1313"/>
      <c r="N574" s="1313"/>
      <c r="O574" s="1313"/>
      <c r="P574" s="1313"/>
      <c r="Q574" s="1313"/>
      <c r="R574" s="1313"/>
      <c r="S574" s="1313"/>
      <c r="T574" s="1313"/>
      <c r="U574" s="1313"/>
      <c r="V574" s="1313"/>
      <c r="W574" s="1313"/>
      <c r="X574" s="1313"/>
      <c r="Y574" s="1313"/>
      <c r="Z574" s="1313"/>
      <c r="AA574" s="1313"/>
      <c r="AB574" s="1313"/>
      <c r="AC574" s="1313"/>
      <c r="AD574" s="685"/>
      <c r="AE574" s="685"/>
      <c r="AF574" s="685"/>
      <c r="AG574" s="685"/>
      <c r="AH574" s="685"/>
      <c r="AI574" s="685"/>
      <c r="AJ574" s="685"/>
      <c r="AK574" s="685"/>
      <c r="AL574" s="685"/>
      <c r="AM574" s="685"/>
      <c r="AN574" s="685"/>
      <c r="AO574" s="685"/>
      <c r="AP574" s="685"/>
      <c r="AQ574" s="685"/>
      <c r="AR574" s="685"/>
      <c r="AS574" s="685"/>
      <c r="AT574" s="685"/>
      <c r="AU574" s="685"/>
      <c r="AV574" s="685"/>
      <c r="AW574" s="685"/>
      <c r="AX574" s="685"/>
      <c r="AY574" s="685"/>
    </row>
    <row r="575" spans="1:51" hidden="1">
      <c r="A575" s="685"/>
      <c r="B575" s="1189" t="str">
        <f t="shared" si="484"/>
        <v>xx</v>
      </c>
      <c r="C575" s="1189"/>
      <c r="D575" s="1312"/>
      <c r="E575" s="1314"/>
      <c r="F575" s="1314"/>
      <c r="G575" s="1314"/>
      <c r="H575" s="1314"/>
      <c r="I575" s="1314"/>
      <c r="J575" s="1314"/>
      <c r="K575" s="1314"/>
      <c r="L575" s="1314"/>
      <c r="M575" s="1314"/>
      <c r="N575" s="1314"/>
      <c r="O575" s="1314"/>
      <c r="P575" s="1314"/>
      <c r="Q575" s="1314"/>
      <c r="R575" s="1314"/>
      <c r="S575" s="1314"/>
      <c r="T575" s="1314"/>
      <c r="U575" s="1314"/>
      <c r="V575" s="1314"/>
      <c r="W575" s="1314"/>
      <c r="X575" s="1314"/>
      <c r="Y575" s="1314"/>
      <c r="Z575" s="1314"/>
      <c r="AA575" s="1314"/>
      <c r="AB575" s="1314"/>
      <c r="AC575" s="1314"/>
      <c r="AD575" s="685"/>
      <c r="AE575" s="685"/>
      <c r="AF575" s="685"/>
      <c r="AG575" s="685"/>
      <c r="AH575" s="685"/>
      <c r="AI575" s="685"/>
      <c r="AJ575" s="685"/>
      <c r="AK575" s="685"/>
      <c r="AL575" s="685"/>
      <c r="AM575" s="685"/>
      <c r="AN575" s="685"/>
      <c r="AO575" s="685"/>
      <c r="AP575" s="685"/>
      <c r="AQ575" s="685"/>
      <c r="AR575" s="685"/>
      <c r="AS575" s="685"/>
      <c r="AT575" s="685"/>
      <c r="AU575" s="685"/>
      <c r="AV575" s="685"/>
      <c r="AW575" s="685"/>
      <c r="AX575" s="685"/>
      <c r="AY575" s="685"/>
    </row>
    <row r="576" spans="1:51" hidden="1">
      <c r="A576" s="685"/>
      <c r="B576" s="1189" t="str">
        <f t="shared" si="484"/>
        <v>Total</v>
      </c>
      <c r="C576" s="1189"/>
      <c r="D576" s="1311"/>
      <c r="E576" s="1311"/>
      <c r="F576" s="1192" t="e">
        <f t="shared" ref="F576:AC576" si="485">F586/AVERAGE(E543,F543)</f>
        <v>#DIV/0!</v>
      </c>
      <c r="G576" s="1192" t="e">
        <f t="shared" si="485"/>
        <v>#DIV/0!</v>
      </c>
      <c r="H576" s="1192" t="e">
        <f t="shared" si="485"/>
        <v>#DIV/0!</v>
      </c>
      <c r="I576" s="1192" t="e">
        <f t="shared" si="485"/>
        <v>#DIV/0!</v>
      </c>
      <c r="J576" s="1192" t="e">
        <f t="shared" si="485"/>
        <v>#DIV/0!</v>
      </c>
      <c r="K576" s="1192" t="e">
        <f t="shared" si="485"/>
        <v>#DIV/0!</v>
      </c>
      <c r="L576" s="1192" t="e">
        <f t="shared" si="485"/>
        <v>#DIV/0!</v>
      </c>
      <c r="M576" s="1192" t="e">
        <f t="shared" si="485"/>
        <v>#DIV/0!</v>
      </c>
      <c r="N576" s="1192" t="e">
        <f t="shared" si="485"/>
        <v>#DIV/0!</v>
      </c>
      <c r="O576" s="1192" t="e">
        <f t="shared" si="485"/>
        <v>#DIV/0!</v>
      </c>
      <c r="P576" s="1192" t="e">
        <f t="shared" si="485"/>
        <v>#DIV/0!</v>
      </c>
      <c r="Q576" s="1192" t="e">
        <f t="shared" si="485"/>
        <v>#DIV/0!</v>
      </c>
      <c r="R576" s="1192" t="e">
        <f t="shared" si="485"/>
        <v>#DIV/0!</v>
      </c>
      <c r="S576" s="1192" t="e">
        <f t="shared" si="485"/>
        <v>#DIV/0!</v>
      </c>
      <c r="T576" s="1192" t="e">
        <f t="shared" si="485"/>
        <v>#DIV/0!</v>
      </c>
      <c r="U576" s="1192" t="e">
        <f t="shared" si="485"/>
        <v>#DIV/0!</v>
      </c>
      <c r="V576" s="1192" t="e">
        <f t="shared" si="485"/>
        <v>#DIV/0!</v>
      </c>
      <c r="W576" s="1192" t="e">
        <f t="shared" si="485"/>
        <v>#DIV/0!</v>
      </c>
      <c r="X576" s="1192" t="e">
        <f t="shared" si="485"/>
        <v>#DIV/0!</v>
      </c>
      <c r="Y576" s="1192" t="e">
        <f t="shared" si="485"/>
        <v>#DIV/0!</v>
      </c>
      <c r="Z576" s="1192" t="e">
        <f t="shared" si="485"/>
        <v>#DIV/0!</v>
      </c>
      <c r="AA576" s="1192" t="e">
        <f t="shared" si="485"/>
        <v>#DIV/0!</v>
      </c>
      <c r="AB576" s="1192" t="e">
        <f t="shared" si="485"/>
        <v>#DIV/0!</v>
      </c>
      <c r="AC576" s="1192" t="e">
        <f t="shared" si="485"/>
        <v>#DIV/0!</v>
      </c>
      <c r="AD576" s="685"/>
      <c r="AE576" s="685"/>
      <c r="AF576" s="685"/>
      <c r="AG576" s="685"/>
      <c r="AH576" s="685"/>
      <c r="AI576" s="685"/>
      <c r="AJ576" s="685"/>
      <c r="AK576" s="685"/>
      <c r="AL576" s="685"/>
      <c r="AM576" s="685"/>
      <c r="AN576" s="685"/>
      <c r="AO576" s="685"/>
      <c r="AP576" s="685"/>
      <c r="AQ576" s="685"/>
      <c r="AR576" s="685"/>
      <c r="AS576" s="685"/>
      <c r="AT576" s="685"/>
      <c r="AU576" s="685"/>
      <c r="AV576" s="685"/>
      <c r="AW576" s="685"/>
      <c r="AX576" s="685"/>
      <c r="AY576" s="685"/>
    </row>
    <row r="577" spans="1:51" hidden="1">
      <c r="A577" s="685"/>
      <c r="B577" s="1189"/>
      <c r="C577" s="1189"/>
      <c r="D577" s="1311"/>
      <c r="E577" s="1311"/>
      <c r="F577" s="1311"/>
      <c r="G577" s="1311"/>
      <c r="H577" s="1311"/>
      <c r="I577" s="1311"/>
      <c r="J577" s="1311"/>
      <c r="K577" s="1311"/>
      <c r="L577" s="1311"/>
      <c r="M577" s="1311"/>
      <c r="N577" s="1311"/>
      <c r="O577" s="1311"/>
      <c r="P577" s="1311"/>
      <c r="Q577" s="1311"/>
      <c r="R577" s="1311"/>
      <c r="S577" s="1311"/>
      <c r="T577" s="1311"/>
      <c r="U577" s="1311"/>
      <c r="V577" s="1311"/>
      <c r="W577" s="1311"/>
      <c r="X577" s="1311"/>
      <c r="Y577" s="1311"/>
      <c r="Z577" s="1311"/>
      <c r="AA577" s="1311"/>
      <c r="AB577" s="1311"/>
      <c r="AC577" s="1311"/>
      <c r="AD577" s="685"/>
      <c r="AE577" s="685"/>
      <c r="AF577" s="685"/>
      <c r="AG577" s="685"/>
      <c r="AH577" s="685"/>
      <c r="AI577" s="685"/>
      <c r="AJ577" s="685"/>
      <c r="AK577" s="685"/>
      <c r="AL577" s="685"/>
      <c r="AM577" s="685"/>
      <c r="AN577" s="685"/>
      <c r="AO577" s="685"/>
      <c r="AP577" s="685"/>
      <c r="AQ577" s="685"/>
      <c r="AR577" s="685"/>
      <c r="AS577" s="685"/>
      <c r="AT577" s="685"/>
      <c r="AU577" s="685"/>
      <c r="AV577" s="685"/>
      <c r="AW577" s="685"/>
      <c r="AX577" s="685"/>
      <c r="AY577" s="685"/>
    </row>
    <row r="578" spans="1:51" hidden="1">
      <c r="A578" s="685"/>
      <c r="B578" s="1189" t="str">
        <f t="shared" ref="B578:B583" si="486">B546</f>
        <v>xx</v>
      </c>
      <c r="C578" s="1012"/>
      <c r="D578" s="1311"/>
      <c r="E578" s="1311"/>
      <c r="F578" s="1311" t="e">
        <f t="shared" ref="F578:AC585" si="487">F568*AVERAGE(E535,F535)</f>
        <v>#DIV/0!</v>
      </c>
      <c r="G578" s="1311" t="e">
        <f t="shared" si="487"/>
        <v>#DIV/0!</v>
      </c>
      <c r="H578" s="1311" t="e">
        <f t="shared" si="487"/>
        <v>#DIV/0!</v>
      </c>
      <c r="I578" s="1311" t="e">
        <f t="shared" si="487"/>
        <v>#DIV/0!</v>
      </c>
      <c r="J578" s="1311">
        <f t="shared" si="487"/>
        <v>0</v>
      </c>
      <c r="K578" s="1311">
        <f t="shared" si="487"/>
        <v>0</v>
      </c>
      <c r="L578" s="1311">
        <f t="shared" si="487"/>
        <v>0</v>
      </c>
      <c r="M578" s="1311">
        <f t="shared" si="487"/>
        <v>0</v>
      </c>
      <c r="N578" s="1311">
        <f t="shared" si="487"/>
        <v>0</v>
      </c>
      <c r="O578" s="1311">
        <f t="shared" si="487"/>
        <v>0</v>
      </c>
      <c r="P578" s="1311">
        <f t="shared" si="487"/>
        <v>0</v>
      </c>
      <c r="Q578" s="1311">
        <f t="shared" si="487"/>
        <v>0</v>
      </c>
      <c r="R578" s="1311">
        <f t="shared" si="487"/>
        <v>0</v>
      </c>
      <c r="S578" s="1311">
        <f t="shared" si="487"/>
        <v>0</v>
      </c>
      <c r="T578" s="1311">
        <f t="shared" si="487"/>
        <v>0</v>
      </c>
      <c r="U578" s="1311">
        <f t="shared" si="487"/>
        <v>0</v>
      </c>
      <c r="V578" s="1311">
        <f t="shared" si="487"/>
        <v>0</v>
      </c>
      <c r="W578" s="1311">
        <f t="shared" si="487"/>
        <v>0</v>
      </c>
      <c r="X578" s="1311">
        <f t="shared" si="487"/>
        <v>0</v>
      </c>
      <c r="Y578" s="1311">
        <f t="shared" si="487"/>
        <v>0</v>
      </c>
      <c r="Z578" s="1311">
        <f t="shared" si="487"/>
        <v>0</v>
      </c>
      <c r="AA578" s="1311">
        <f t="shared" si="487"/>
        <v>0</v>
      </c>
      <c r="AB578" s="1311">
        <f t="shared" si="487"/>
        <v>0</v>
      </c>
      <c r="AC578" s="1311">
        <f t="shared" si="487"/>
        <v>0</v>
      </c>
      <c r="AD578" s="685"/>
      <c r="AE578" s="685"/>
      <c r="AF578" s="685"/>
      <c r="AG578" s="685"/>
      <c r="AH578" s="685"/>
      <c r="AI578" s="685"/>
      <c r="AJ578" s="685"/>
      <c r="AK578" s="685"/>
      <c r="AL578" s="685"/>
      <c r="AM578" s="685"/>
      <c r="AN578" s="685"/>
      <c r="AO578" s="685"/>
      <c r="AP578" s="685"/>
      <c r="AQ578" s="685"/>
      <c r="AR578" s="685"/>
      <c r="AS578" s="685"/>
      <c r="AT578" s="685"/>
      <c r="AU578" s="685"/>
      <c r="AV578" s="685"/>
      <c r="AW578" s="685"/>
      <c r="AX578" s="685"/>
      <c r="AY578" s="685"/>
    </row>
    <row r="579" spans="1:51" hidden="1">
      <c r="A579" s="685"/>
      <c r="B579" s="1189" t="str">
        <f t="shared" si="486"/>
        <v>xx</v>
      </c>
      <c r="C579" s="1012"/>
      <c r="D579" s="1311"/>
      <c r="E579" s="1311"/>
      <c r="F579" s="1311" t="e">
        <f t="shared" si="487"/>
        <v>#DIV/0!</v>
      </c>
      <c r="G579" s="1311" t="e">
        <f t="shared" si="487"/>
        <v>#DIV/0!</v>
      </c>
      <c r="H579" s="1311" t="e">
        <f t="shared" si="487"/>
        <v>#DIV/0!</v>
      </c>
      <c r="I579" s="1311" t="e">
        <f>I569*AVERAGE(H536)</f>
        <v>#DIV/0!</v>
      </c>
      <c r="J579" s="1311">
        <f t="shared" si="487"/>
        <v>0</v>
      </c>
      <c r="K579" s="1311">
        <f t="shared" si="487"/>
        <v>0</v>
      </c>
      <c r="L579" s="1311">
        <f t="shared" si="487"/>
        <v>0</v>
      </c>
      <c r="M579" s="1311">
        <f t="shared" si="487"/>
        <v>0</v>
      </c>
      <c r="N579" s="1311">
        <f t="shared" si="487"/>
        <v>0</v>
      </c>
      <c r="O579" s="1311">
        <f t="shared" si="487"/>
        <v>0</v>
      </c>
      <c r="P579" s="1311">
        <f t="shared" si="487"/>
        <v>0</v>
      </c>
      <c r="Q579" s="1311">
        <f t="shared" si="487"/>
        <v>0</v>
      </c>
      <c r="R579" s="1311">
        <f t="shared" si="487"/>
        <v>0</v>
      </c>
      <c r="S579" s="1311">
        <f t="shared" si="487"/>
        <v>0</v>
      </c>
      <c r="T579" s="1311">
        <f t="shared" si="487"/>
        <v>0</v>
      </c>
      <c r="U579" s="1311">
        <f t="shared" si="487"/>
        <v>0</v>
      </c>
      <c r="V579" s="1311">
        <f t="shared" si="487"/>
        <v>0</v>
      </c>
      <c r="W579" s="1311">
        <f t="shared" si="487"/>
        <v>0</v>
      </c>
      <c r="X579" s="1311">
        <f t="shared" si="487"/>
        <v>0</v>
      </c>
      <c r="Y579" s="1311">
        <f t="shared" si="487"/>
        <v>0</v>
      </c>
      <c r="Z579" s="1311">
        <f t="shared" si="487"/>
        <v>0</v>
      </c>
      <c r="AA579" s="1311">
        <f t="shared" si="487"/>
        <v>0</v>
      </c>
      <c r="AB579" s="1311">
        <f t="shared" si="487"/>
        <v>0</v>
      </c>
      <c r="AC579" s="1311">
        <f t="shared" si="487"/>
        <v>0</v>
      </c>
      <c r="AD579" s="685"/>
      <c r="AE579" s="685"/>
      <c r="AF579" s="685"/>
      <c r="AG579" s="685"/>
      <c r="AH579" s="685"/>
      <c r="AI579" s="685"/>
      <c r="AJ579" s="685"/>
      <c r="AK579" s="685"/>
      <c r="AL579" s="685"/>
      <c r="AM579" s="685"/>
      <c r="AN579" s="685"/>
      <c r="AO579" s="685"/>
      <c r="AP579" s="685"/>
      <c r="AQ579" s="685"/>
      <c r="AR579" s="685"/>
      <c r="AS579" s="685"/>
      <c r="AT579" s="685"/>
      <c r="AU579" s="685"/>
      <c r="AV579" s="685"/>
      <c r="AW579" s="685"/>
      <c r="AX579" s="685"/>
      <c r="AY579" s="685"/>
    </row>
    <row r="580" spans="1:51" hidden="1">
      <c r="A580" s="685"/>
      <c r="B580" s="1189" t="str">
        <f t="shared" si="486"/>
        <v>xx</v>
      </c>
      <c r="C580" s="1311"/>
      <c r="D580" s="1311"/>
      <c r="E580" s="1311"/>
      <c r="F580" s="1311" t="e">
        <f t="shared" si="487"/>
        <v>#DIV/0!</v>
      </c>
      <c r="G580" s="1311" t="e">
        <f t="shared" si="487"/>
        <v>#DIV/0!</v>
      </c>
      <c r="H580" s="1311" t="e">
        <f t="shared" si="487"/>
        <v>#DIV/0!</v>
      </c>
      <c r="I580" s="1311" t="e">
        <f t="shared" si="487"/>
        <v>#DIV/0!</v>
      </c>
      <c r="J580" s="1311">
        <f t="shared" si="487"/>
        <v>0</v>
      </c>
      <c r="K580" s="1311">
        <f t="shared" si="487"/>
        <v>0</v>
      </c>
      <c r="L580" s="1311">
        <f t="shared" si="487"/>
        <v>0</v>
      </c>
      <c r="M580" s="1311">
        <f t="shared" si="487"/>
        <v>0</v>
      </c>
      <c r="N580" s="1311">
        <f t="shared" si="487"/>
        <v>0</v>
      </c>
      <c r="O580" s="1311">
        <f t="shared" si="487"/>
        <v>0</v>
      </c>
      <c r="P580" s="1311">
        <f t="shared" si="487"/>
        <v>0</v>
      </c>
      <c r="Q580" s="1311">
        <f t="shared" si="487"/>
        <v>0</v>
      </c>
      <c r="R580" s="1311">
        <f t="shared" si="487"/>
        <v>0</v>
      </c>
      <c r="S580" s="1311">
        <f t="shared" si="487"/>
        <v>0</v>
      </c>
      <c r="T580" s="1311">
        <f t="shared" si="487"/>
        <v>0</v>
      </c>
      <c r="U580" s="1311">
        <f t="shared" si="487"/>
        <v>0</v>
      </c>
      <c r="V580" s="1311">
        <f t="shared" si="487"/>
        <v>0</v>
      </c>
      <c r="W580" s="1311">
        <f t="shared" si="487"/>
        <v>0</v>
      </c>
      <c r="X580" s="1311">
        <f t="shared" si="487"/>
        <v>0</v>
      </c>
      <c r="Y580" s="1311">
        <f t="shared" si="487"/>
        <v>0</v>
      </c>
      <c r="Z580" s="1311">
        <f t="shared" si="487"/>
        <v>0</v>
      </c>
      <c r="AA580" s="1311">
        <f t="shared" si="487"/>
        <v>0</v>
      </c>
      <c r="AB580" s="1311">
        <f t="shared" si="487"/>
        <v>0</v>
      </c>
      <c r="AC580" s="1311">
        <f t="shared" si="487"/>
        <v>0</v>
      </c>
      <c r="AD580" s="685"/>
      <c r="AE580" s="685"/>
      <c r="AF580" s="685"/>
      <c r="AG580" s="685"/>
      <c r="AH580" s="685"/>
      <c r="AI580" s="685"/>
      <c r="AJ580" s="685"/>
      <c r="AK580" s="685"/>
      <c r="AL580" s="685"/>
      <c r="AM580" s="685"/>
      <c r="AN580" s="685"/>
      <c r="AO580" s="685"/>
      <c r="AP580" s="685"/>
      <c r="AQ580" s="685"/>
      <c r="AR580" s="685"/>
      <c r="AS580" s="685"/>
      <c r="AT580" s="685"/>
      <c r="AU580" s="685"/>
      <c r="AV580" s="685"/>
      <c r="AW580" s="685"/>
      <c r="AX580" s="685"/>
      <c r="AY580" s="685"/>
    </row>
    <row r="581" spans="1:51" hidden="1">
      <c r="A581" s="685"/>
      <c r="B581" s="1189" t="str">
        <f t="shared" si="486"/>
        <v>xx</v>
      </c>
      <c r="C581" s="1311"/>
      <c r="D581" s="1311"/>
      <c r="E581" s="1311"/>
      <c r="F581" s="1311" t="e">
        <f t="shared" si="487"/>
        <v>#DIV/0!</v>
      </c>
      <c r="G581" s="1311" t="e">
        <f t="shared" si="487"/>
        <v>#DIV/0!</v>
      </c>
      <c r="H581" s="1311" t="e">
        <f t="shared" si="487"/>
        <v>#DIV/0!</v>
      </c>
      <c r="I581" s="1311" t="e">
        <f t="shared" si="487"/>
        <v>#DIV/0!</v>
      </c>
      <c r="J581" s="1311">
        <f t="shared" si="487"/>
        <v>0</v>
      </c>
      <c r="K581" s="1311">
        <f t="shared" si="487"/>
        <v>0</v>
      </c>
      <c r="L581" s="1311">
        <f t="shared" si="487"/>
        <v>0</v>
      </c>
      <c r="M581" s="1311">
        <f t="shared" si="487"/>
        <v>0</v>
      </c>
      <c r="N581" s="1311">
        <f t="shared" si="487"/>
        <v>0</v>
      </c>
      <c r="O581" s="1311">
        <f t="shared" si="487"/>
        <v>0</v>
      </c>
      <c r="P581" s="1311">
        <f t="shared" si="487"/>
        <v>0</v>
      </c>
      <c r="Q581" s="1311">
        <f t="shared" si="487"/>
        <v>0</v>
      </c>
      <c r="R581" s="1311">
        <f t="shared" si="487"/>
        <v>0</v>
      </c>
      <c r="S581" s="1311">
        <f t="shared" si="487"/>
        <v>0</v>
      </c>
      <c r="T581" s="1311">
        <f t="shared" si="487"/>
        <v>0</v>
      </c>
      <c r="U581" s="1311">
        <f t="shared" si="487"/>
        <v>0</v>
      </c>
      <c r="V581" s="1311">
        <f t="shared" si="487"/>
        <v>0</v>
      </c>
      <c r="W581" s="1311">
        <f t="shared" si="487"/>
        <v>0</v>
      </c>
      <c r="X581" s="1311">
        <f t="shared" si="487"/>
        <v>0</v>
      </c>
      <c r="Y581" s="1311">
        <f t="shared" si="487"/>
        <v>0</v>
      </c>
      <c r="Z581" s="1311">
        <f t="shared" si="487"/>
        <v>0</v>
      </c>
      <c r="AA581" s="1311">
        <f t="shared" si="487"/>
        <v>0</v>
      </c>
      <c r="AB581" s="1311">
        <f t="shared" si="487"/>
        <v>0</v>
      </c>
      <c r="AC581" s="1311">
        <f t="shared" si="487"/>
        <v>0</v>
      </c>
      <c r="AD581" s="685"/>
      <c r="AE581" s="685"/>
      <c r="AF581" s="685"/>
      <c r="AG581" s="685"/>
      <c r="AH581" s="685"/>
      <c r="AI581" s="685"/>
      <c r="AJ581" s="685"/>
      <c r="AK581" s="685"/>
      <c r="AL581" s="685"/>
      <c r="AM581" s="685"/>
      <c r="AN581" s="685"/>
      <c r="AO581" s="685"/>
      <c r="AP581" s="685"/>
      <c r="AQ581" s="685"/>
      <c r="AR581" s="685"/>
      <c r="AS581" s="685"/>
      <c r="AT581" s="685"/>
      <c r="AU581" s="685"/>
      <c r="AV581" s="685"/>
      <c r="AW581" s="685"/>
      <c r="AX581" s="685"/>
      <c r="AY581" s="685"/>
    </row>
    <row r="582" spans="1:51" hidden="1">
      <c r="A582" s="685"/>
      <c r="B582" s="1189" t="str">
        <f t="shared" si="486"/>
        <v>xx</v>
      </c>
      <c r="C582" s="1311"/>
      <c r="D582" s="1311"/>
      <c r="E582" s="1311"/>
      <c r="F582" s="1311" t="e">
        <f t="shared" si="487"/>
        <v>#DIV/0!</v>
      </c>
      <c r="G582" s="1311" t="e">
        <f t="shared" si="487"/>
        <v>#DIV/0!</v>
      </c>
      <c r="H582" s="1311" t="e">
        <f t="shared" si="487"/>
        <v>#DIV/0!</v>
      </c>
      <c r="I582" s="1311" t="e">
        <f t="shared" si="487"/>
        <v>#DIV/0!</v>
      </c>
      <c r="J582" s="1311">
        <f t="shared" si="487"/>
        <v>0</v>
      </c>
      <c r="K582" s="1311">
        <f t="shared" si="487"/>
        <v>0</v>
      </c>
      <c r="L582" s="1311">
        <f t="shared" si="487"/>
        <v>0</v>
      </c>
      <c r="M582" s="1311">
        <f t="shared" si="487"/>
        <v>0</v>
      </c>
      <c r="N582" s="1311">
        <f t="shared" si="487"/>
        <v>0</v>
      </c>
      <c r="O582" s="1311">
        <f t="shared" si="487"/>
        <v>0</v>
      </c>
      <c r="P582" s="1311">
        <f t="shared" si="487"/>
        <v>0</v>
      </c>
      <c r="Q582" s="1311">
        <f t="shared" si="487"/>
        <v>0</v>
      </c>
      <c r="R582" s="1311">
        <f t="shared" si="487"/>
        <v>0</v>
      </c>
      <c r="S582" s="1311">
        <f t="shared" si="487"/>
        <v>0</v>
      </c>
      <c r="T582" s="1311">
        <f t="shared" si="487"/>
        <v>0</v>
      </c>
      <c r="U582" s="1311">
        <f t="shared" si="487"/>
        <v>0</v>
      </c>
      <c r="V582" s="1311">
        <f t="shared" si="487"/>
        <v>0</v>
      </c>
      <c r="W582" s="1311">
        <f t="shared" si="487"/>
        <v>0</v>
      </c>
      <c r="X582" s="1311">
        <f t="shared" si="487"/>
        <v>0</v>
      </c>
      <c r="Y582" s="1311">
        <f t="shared" si="487"/>
        <v>0</v>
      </c>
      <c r="Z582" s="1311">
        <f t="shared" si="487"/>
        <v>0</v>
      </c>
      <c r="AA582" s="1311">
        <f t="shared" si="487"/>
        <v>0</v>
      </c>
      <c r="AB582" s="1311">
        <f t="shared" si="487"/>
        <v>0</v>
      </c>
      <c r="AC582" s="1311">
        <f t="shared" si="487"/>
        <v>0</v>
      </c>
      <c r="AD582" s="685"/>
      <c r="AE582" s="685"/>
      <c r="AF582" s="685"/>
      <c r="AG582" s="685"/>
      <c r="AH582" s="685"/>
      <c r="AI582" s="685"/>
      <c r="AJ582" s="685"/>
      <c r="AK582" s="685"/>
      <c r="AL582" s="685"/>
      <c r="AM582" s="685"/>
      <c r="AN582" s="685"/>
      <c r="AO582" s="685"/>
      <c r="AP582" s="685"/>
      <c r="AQ582" s="685"/>
      <c r="AR582" s="685"/>
      <c r="AS582" s="685"/>
      <c r="AT582" s="685"/>
      <c r="AU582" s="685"/>
      <c r="AV582" s="685"/>
      <c r="AW582" s="685"/>
      <c r="AX582" s="685"/>
      <c r="AY582" s="685"/>
    </row>
    <row r="583" spans="1:51" hidden="1">
      <c r="A583" s="685"/>
      <c r="B583" s="1189" t="str">
        <f t="shared" si="486"/>
        <v>xx</v>
      </c>
      <c r="C583" s="1012"/>
      <c r="D583" s="1311"/>
      <c r="E583" s="1311"/>
      <c r="F583" s="1311" t="e">
        <f>F586-F578-F579-F581-F582-F580-F584-F584</f>
        <v>#DIV/0!</v>
      </c>
      <c r="G583" s="1311" t="e">
        <f>G586-G578-G579-G581-G582-G580-G584-G584</f>
        <v>#DIV/0!</v>
      </c>
      <c r="H583" s="1311" t="e">
        <f>H586-H578-H579-H581-H582-H580-H584-H584</f>
        <v>#DIV/0!</v>
      </c>
      <c r="I583" s="1311" t="e">
        <f t="shared" si="487"/>
        <v>#DIV/0!</v>
      </c>
      <c r="J583" s="1311">
        <f t="shared" si="487"/>
        <v>0</v>
      </c>
      <c r="K583" s="1311">
        <f t="shared" si="487"/>
        <v>0</v>
      </c>
      <c r="L583" s="1311">
        <f t="shared" si="487"/>
        <v>0</v>
      </c>
      <c r="M583" s="1311">
        <f t="shared" si="487"/>
        <v>0</v>
      </c>
      <c r="N583" s="1311">
        <f t="shared" si="487"/>
        <v>0</v>
      </c>
      <c r="O583" s="1311">
        <f t="shared" si="487"/>
        <v>0</v>
      </c>
      <c r="P583" s="1311">
        <f t="shared" si="487"/>
        <v>0</v>
      </c>
      <c r="Q583" s="1311">
        <f t="shared" si="487"/>
        <v>0</v>
      </c>
      <c r="R583" s="1311">
        <f t="shared" si="487"/>
        <v>0</v>
      </c>
      <c r="S583" s="1311">
        <f t="shared" si="487"/>
        <v>0</v>
      </c>
      <c r="T583" s="1311">
        <f t="shared" si="487"/>
        <v>0</v>
      </c>
      <c r="U583" s="1311">
        <f t="shared" si="487"/>
        <v>0</v>
      </c>
      <c r="V583" s="1311">
        <f t="shared" si="487"/>
        <v>0</v>
      </c>
      <c r="W583" s="1311">
        <f t="shared" si="487"/>
        <v>0</v>
      </c>
      <c r="X583" s="1311">
        <f t="shared" si="487"/>
        <v>0</v>
      </c>
      <c r="Y583" s="1311">
        <f t="shared" si="487"/>
        <v>0</v>
      </c>
      <c r="Z583" s="1311">
        <f t="shared" si="487"/>
        <v>0</v>
      </c>
      <c r="AA583" s="1311">
        <f t="shared" si="487"/>
        <v>0</v>
      </c>
      <c r="AB583" s="1311">
        <f t="shared" si="487"/>
        <v>0</v>
      </c>
      <c r="AC583" s="1311">
        <f t="shared" si="487"/>
        <v>0</v>
      </c>
      <c r="AD583" s="685"/>
      <c r="AE583" s="685"/>
      <c r="AF583" s="685"/>
      <c r="AG583" s="685"/>
      <c r="AH583" s="685"/>
      <c r="AI583" s="685"/>
      <c r="AJ583" s="685"/>
      <c r="AK583" s="685"/>
      <c r="AL583" s="685"/>
      <c r="AM583" s="685"/>
      <c r="AN583" s="685"/>
      <c r="AO583" s="685"/>
      <c r="AP583" s="685"/>
      <c r="AQ583" s="685"/>
      <c r="AR583" s="685"/>
      <c r="AS583" s="685"/>
      <c r="AT583" s="685"/>
      <c r="AU583" s="685"/>
      <c r="AV583" s="685"/>
      <c r="AW583" s="685"/>
      <c r="AX583" s="685"/>
      <c r="AY583" s="685"/>
    </row>
    <row r="584" spans="1:51" hidden="1">
      <c r="A584" s="685"/>
      <c r="B584" s="1189" t="str">
        <f>B574</f>
        <v>xx</v>
      </c>
      <c r="C584" s="1189"/>
      <c r="D584" s="1311"/>
      <c r="E584" s="1311"/>
      <c r="F584" s="1311" t="e">
        <f t="shared" ref="F584:H585" si="488">F574*AVERAGE(E541,F541)</f>
        <v>#DIV/0!</v>
      </c>
      <c r="G584" s="1311" t="e">
        <f t="shared" si="488"/>
        <v>#DIV/0!</v>
      </c>
      <c r="H584" s="1311" t="e">
        <f t="shared" si="488"/>
        <v>#DIV/0!</v>
      </c>
      <c r="I584" s="1311" t="e">
        <f t="shared" si="487"/>
        <v>#DIV/0!</v>
      </c>
      <c r="J584" s="1311">
        <f t="shared" si="487"/>
        <v>0</v>
      </c>
      <c r="K584" s="1311">
        <f t="shared" si="487"/>
        <v>0</v>
      </c>
      <c r="L584" s="1311">
        <f t="shared" si="487"/>
        <v>0</v>
      </c>
      <c r="M584" s="1311">
        <f t="shared" si="487"/>
        <v>0</v>
      </c>
      <c r="N584" s="1311">
        <f t="shared" si="487"/>
        <v>0</v>
      </c>
      <c r="O584" s="1311">
        <f t="shared" si="487"/>
        <v>0</v>
      </c>
      <c r="P584" s="1311">
        <f t="shared" si="487"/>
        <v>0</v>
      </c>
      <c r="Q584" s="1311">
        <f t="shared" si="487"/>
        <v>0</v>
      </c>
      <c r="R584" s="1311">
        <f t="shared" si="487"/>
        <v>0</v>
      </c>
      <c r="S584" s="1311">
        <f t="shared" si="487"/>
        <v>0</v>
      </c>
      <c r="T584" s="1311">
        <f t="shared" si="487"/>
        <v>0</v>
      </c>
      <c r="U584" s="1311">
        <f t="shared" si="487"/>
        <v>0</v>
      </c>
      <c r="V584" s="1311">
        <f t="shared" si="487"/>
        <v>0</v>
      </c>
      <c r="W584" s="1311">
        <f t="shared" si="487"/>
        <v>0</v>
      </c>
      <c r="X584" s="1311">
        <f t="shared" si="487"/>
        <v>0</v>
      </c>
      <c r="Y584" s="1311">
        <f t="shared" si="487"/>
        <v>0</v>
      </c>
      <c r="Z584" s="1311">
        <f t="shared" si="487"/>
        <v>0</v>
      </c>
      <c r="AA584" s="1311">
        <f t="shared" si="487"/>
        <v>0</v>
      </c>
      <c r="AB584" s="1311">
        <f t="shared" si="487"/>
        <v>0</v>
      </c>
      <c r="AC584" s="1311">
        <f t="shared" si="487"/>
        <v>0</v>
      </c>
      <c r="AD584" s="685"/>
      <c r="AE584" s="685"/>
      <c r="AF584" s="685"/>
      <c r="AG584" s="685"/>
      <c r="AH584" s="685"/>
      <c r="AI584" s="685"/>
      <c r="AJ584" s="685"/>
      <c r="AK584" s="685"/>
      <c r="AL584" s="685"/>
      <c r="AM584" s="685"/>
      <c r="AN584" s="685"/>
      <c r="AO584" s="685"/>
      <c r="AP584" s="685"/>
      <c r="AQ584" s="685"/>
      <c r="AR584" s="685"/>
      <c r="AS584" s="685"/>
      <c r="AT584" s="685"/>
      <c r="AU584" s="685"/>
      <c r="AV584" s="685"/>
      <c r="AW584" s="685"/>
      <c r="AX584" s="685"/>
      <c r="AY584" s="685"/>
    </row>
    <row r="585" spans="1:51" hidden="1">
      <c r="A585" s="685"/>
      <c r="B585" s="1189" t="str">
        <f>B575</f>
        <v>xx</v>
      </c>
      <c r="C585" s="1189"/>
      <c r="D585" s="1252"/>
      <c r="E585" s="1312"/>
      <c r="F585" s="1312" t="e">
        <f t="shared" si="488"/>
        <v>#DIV/0!</v>
      </c>
      <c r="G585" s="1312" t="e">
        <f t="shared" si="488"/>
        <v>#DIV/0!</v>
      </c>
      <c r="H585" s="1312" t="e">
        <f t="shared" si="488"/>
        <v>#DIV/0!</v>
      </c>
      <c r="I585" s="1312" t="e">
        <f t="shared" si="487"/>
        <v>#DIV/0!</v>
      </c>
      <c r="J585" s="1312">
        <f t="shared" si="487"/>
        <v>0</v>
      </c>
      <c r="K585" s="1312">
        <f t="shared" si="487"/>
        <v>0</v>
      </c>
      <c r="L585" s="1312">
        <f t="shared" si="487"/>
        <v>0</v>
      </c>
      <c r="M585" s="1312">
        <f t="shared" si="487"/>
        <v>0</v>
      </c>
      <c r="N585" s="1312">
        <f t="shared" si="487"/>
        <v>0</v>
      </c>
      <c r="O585" s="1312">
        <f t="shared" si="487"/>
        <v>0</v>
      </c>
      <c r="P585" s="1312">
        <f t="shared" si="487"/>
        <v>0</v>
      </c>
      <c r="Q585" s="1312">
        <f t="shared" si="487"/>
        <v>0</v>
      </c>
      <c r="R585" s="1312">
        <f t="shared" si="487"/>
        <v>0</v>
      </c>
      <c r="S585" s="1312">
        <f t="shared" si="487"/>
        <v>0</v>
      </c>
      <c r="T585" s="1312">
        <f t="shared" si="487"/>
        <v>0</v>
      </c>
      <c r="U585" s="1312">
        <f t="shared" si="487"/>
        <v>0</v>
      </c>
      <c r="V585" s="1312">
        <f t="shared" si="487"/>
        <v>0</v>
      </c>
      <c r="W585" s="1312">
        <f t="shared" si="487"/>
        <v>0</v>
      </c>
      <c r="X585" s="1312">
        <f t="shared" si="487"/>
        <v>0</v>
      </c>
      <c r="Y585" s="1312">
        <f t="shared" si="487"/>
        <v>0</v>
      </c>
      <c r="Z585" s="1312">
        <f t="shared" si="487"/>
        <v>0</v>
      </c>
      <c r="AA585" s="1312">
        <f t="shared" si="487"/>
        <v>0</v>
      </c>
      <c r="AB585" s="1312">
        <f t="shared" si="487"/>
        <v>0</v>
      </c>
      <c r="AC585" s="1312">
        <f t="shared" si="487"/>
        <v>0</v>
      </c>
      <c r="AD585" s="685"/>
      <c r="AE585" s="685"/>
      <c r="AF585" s="685"/>
      <c r="AG585" s="685"/>
      <c r="AH585" s="685"/>
      <c r="AI585" s="685"/>
      <c r="AJ585" s="685"/>
      <c r="AK585" s="685"/>
      <c r="AL585" s="685"/>
      <c r="AM585" s="685"/>
      <c r="AN585" s="685"/>
      <c r="AO585" s="685"/>
      <c r="AP585" s="685"/>
      <c r="AQ585" s="685"/>
      <c r="AR585" s="685"/>
      <c r="AS585" s="685"/>
      <c r="AT585" s="685"/>
      <c r="AU585" s="685"/>
      <c r="AV585" s="685"/>
      <c r="AW585" s="685"/>
      <c r="AX585" s="685"/>
      <c r="AY585" s="685"/>
    </row>
    <row r="586" spans="1:51" hidden="1">
      <c r="A586" s="685"/>
      <c r="B586" s="1189" t="s">
        <v>98</v>
      </c>
      <c r="C586" s="1189"/>
      <c r="D586" s="1315">
        <f t="shared" ref="D586:I586" si="489">-D246</f>
        <v>0</v>
      </c>
      <c r="E586" s="1315">
        <f t="shared" si="489"/>
        <v>0</v>
      </c>
      <c r="F586" s="1315">
        <f t="shared" si="489"/>
        <v>0</v>
      </c>
      <c r="G586" s="1315">
        <f t="shared" si="489"/>
        <v>0</v>
      </c>
      <c r="H586" s="1315">
        <f t="shared" si="489"/>
        <v>-3136</v>
      </c>
      <c r="I586" s="1315">
        <f t="shared" si="489"/>
        <v>-3615</v>
      </c>
      <c r="J586" s="1311">
        <f t="shared" ref="J586:Q586" si="490">SUM(J578:J585)</f>
        <v>0</v>
      </c>
      <c r="K586" s="1311">
        <f t="shared" si="490"/>
        <v>0</v>
      </c>
      <c r="L586" s="1311">
        <f t="shared" si="490"/>
        <v>0</v>
      </c>
      <c r="M586" s="1311">
        <f t="shared" si="490"/>
        <v>0</v>
      </c>
      <c r="N586" s="1311">
        <f t="shared" si="490"/>
        <v>0</v>
      </c>
      <c r="O586" s="1311">
        <f t="shared" si="490"/>
        <v>0</v>
      </c>
      <c r="P586" s="1311">
        <f t="shared" si="490"/>
        <v>0</v>
      </c>
      <c r="Q586" s="1311">
        <f t="shared" si="490"/>
        <v>0</v>
      </c>
      <c r="R586" s="1311">
        <f t="shared" ref="R586:X586" si="491">SUM(R578:R585)</f>
        <v>0</v>
      </c>
      <c r="S586" s="1311">
        <f t="shared" si="491"/>
        <v>0</v>
      </c>
      <c r="T586" s="1311">
        <f t="shared" si="491"/>
        <v>0</v>
      </c>
      <c r="U586" s="1311">
        <f t="shared" si="491"/>
        <v>0</v>
      </c>
      <c r="V586" s="1311">
        <f t="shared" si="491"/>
        <v>0</v>
      </c>
      <c r="W586" s="1311">
        <f t="shared" si="491"/>
        <v>0</v>
      </c>
      <c r="X586" s="1311">
        <f t="shared" si="491"/>
        <v>0</v>
      </c>
      <c r="Y586" s="1311">
        <f>SUM(Y578:Y585)</f>
        <v>0</v>
      </c>
      <c r="Z586" s="1311">
        <f>SUM(Z578:Z585)</f>
        <v>0</v>
      </c>
      <c r="AA586" s="1311">
        <f>SUM(AA578:AA585)</f>
        <v>0</v>
      </c>
      <c r="AB586" s="1311">
        <f>SUM(AB578:AB585)</f>
        <v>0</v>
      </c>
      <c r="AC586" s="1311">
        <f>SUM(AC578:AC585)</f>
        <v>0</v>
      </c>
      <c r="AD586" s="685"/>
      <c r="AE586" s="685"/>
      <c r="AF586" s="685"/>
      <c r="AG586" s="685"/>
      <c r="AH586" s="685"/>
      <c r="AI586" s="685"/>
      <c r="AJ586" s="685"/>
      <c r="AK586" s="685"/>
      <c r="AL586" s="685"/>
      <c r="AM586" s="685"/>
      <c r="AN586" s="685"/>
      <c r="AO586" s="685"/>
      <c r="AP586" s="685"/>
      <c r="AQ586" s="685"/>
      <c r="AR586" s="685"/>
      <c r="AS586" s="685"/>
      <c r="AT586" s="685"/>
      <c r="AU586" s="685"/>
      <c r="AV586" s="685"/>
      <c r="AW586" s="685"/>
      <c r="AX586" s="685"/>
      <c r="AY586" s="685"/>
    </row>
    <row r="587" spans="1:51">
      <c r="A587" s="685"/>
      <c r="B587" s="685"/>
      <c r="C587" s="685"/>
      <c r="D587" s="685"/>
      <c r="E587" s="685"/>
      <c r="F587" s="685"/>
      <c r="G587" s="685"/>
      <c r="H587" s="685"/>
      <c r="I587" s="685"/>
      <c r="J587" s="685"/>
      <c r="K587" s="685"/>
      <c r="L587" s="685"/>
      <c r="M587" s="685"/>
      <c r="N587" s="685"/>
      <c r="O587" s="685"/>
      <c r="P587" s="685"/>
      <c r="Q587" s="685"/>
      <c r="R587" s="685"/>
      <c r="S587" s="685"/>
      <c r="T587" s="685"/>
      <c r="U587" s="685"/>
      <c r="V587" s="685"/>
      <c r="W587" s="685"/>
      <c r="X587" s="685"/>
      <c r="Y587" s="685"/>
      <c r="Z587" s="685"/>
      <c r="AA587" s="685"/>
      <c r="AB587" s="685"/>
      <c r="AC587" s="685"/>
      <c r="AD587" s="685"/>
      <c r="AE587" s="685"/>
      <c r="AF587" s="685"/>
      <c r="AG587" s="685"/>
      <c r="AH587" s="685"/>
      <c r="AI587" s="685"/>
      <c r="AJ587" s="685"/>
      <c r="AK587" s="685"/>
      <c r="AL587" s="685"/>
      <c r="AM587" s="685"/>
      <c r="AN587" s="685"/>
      <c r="AO587" s="685"/>
      <c r="AP587" s="685"/>
      <c r="AQ587" s="685"/>
      <c r="AR587" s="685"/>
      <c r="AS587" s="685"/>
      <c r="AT587" s="685"/>
      <c r="AU587" s="685"/>
      <c r="AV587" s="685"/>
      <c r="AW587" s="685"/>
      <c r="AX587" s="685"/>
      <c r="AY587" s="685"/>
    </row>
    <row r="588" spans="1:51">
      <c r="A588" s="685"/>
      <c r="B588" s="685"/>
      <c r="C588" s="685"/>
      <c r="D588" s="685"/>
      <c r="E588" s="685"/>
      <c r="F588" s="685"/>
      <c r="G588" s="685"/>
      <c r="H588" s="685"/>
      <c r="I588" s="685"/>
      <c r="J588" s="685"/>
      <c r="K588" s="685"/>
      <c r="L588" s="685"/>
      <c r="M588" s="685"/>
      <c r="N588" s="685"/>
      <c r="O588" s="685"/>
      <c r="P588" s="685"/>
      <c r="Q588" s="685"/>
      <c r="R588" s="685"/>
      <c r="S588" s="685"/>
      <c r="T588" s="685"/>
      <c r="U588" s="685"/>
      <c r="V588" s="685"/>
      <c r="W588" s="685"/>
      <c r="X588" s="685"/>
      <c r="Y588" s="685"/>
      <c r="Z588" s="685"/>
      <c r="AA588" s="685"/>
      <c r="AB588" s="685"/>
      <c r="AC588" s="685"/>
      <c r="AD588" s="685"/>
      <c r="AE588" s="685"/>
      <c r="AF588" s="685"/>
      <c r="AG588" s="685"/>
      <c r="AH588" s="685"/>
      <c r="AI588" s="685"/>
      <c r="AJ588" s="685"/>
      <c r="AK588" s="685"/>
      <c r="AL588" s="685"/>
      <c r="AM588" s="685"/>
      <c r="AN588" s="685"/>
      <c r="AO588" s="685"/>
      <c r="AP588" s="685"/>
      <c r="AQ588" s="685"/>
      <c r="AR588" s="685"/>
      <c r="AS588" s="685"/>
      <c r="AT588" s="685"/>
      <c r="AU588" s="685"/>
      <c r="AV588" s="685"/>
      <c r="AW588" s="685"/>
      <c r="AX588" s="685"/>
      <c r="AY588" s="685"/>
    </row>
    <row r="589" spans="1:51">
      <c r="A589" s="685"/>
      <c r="B589" s="685"/>
      <c r="C589" s="685"/>
      <c r="D589" s="685"/>
      <c r="E589" s="685"/>
      <c r="F589" s="685"/>
      <c r="G589" s="685"/>
      <c r="H589" s="685"/>
      <c r="I589" s="685"/>
      <c r="J589" s="685"/>
      <c r="K589" s="685"/>
      <c r="L589" s="685"/>
      <c r="M589" s="685"/>
      <c r="N589" s="685"/>
      <c r="O589" s="685"/>
      <c r="P589" s="685"/>
      <c r="Q589" s="685"/>
      <c r="R589" s="685"/>
      <c r="S589" s="685"/>
      <c r="T589" s="685"/>
      <c r="U589" s="685"/>
      <c r="V589" s="685"/>
      <c r="W589" s="685"/>
      <c r="X589" s="685"/>
      <c r="Y589" s="685"/>
      <c r="Z589" s="685"/>
      <c r="AA589" s="685"/>
      <c r="AB589" s="685"/>
      <c r="AC589" s="685"/>
      <c r="AD589" s="685"/>
      <c r="AE589" s="685"/>
      <c r="AF589" s="685"/>
      <c r="AG589" s="685"/>
      <c r="AH589" s="685"/>
      <c r="AI589" s="685"/>
      <c r="AJ589" s="685"/>
      <c r="AK589" s="685"/>
      <c r="AL589" s="685"/>
      <c r="AM589" s="685"/>
      <c r="AN589" s="685"/>
      <c r="AO589" s="685"/>
      <c r="AP589" s="685"/>
      <c r="AQ589" s="685"/>
      <c r="AR589" s="685"/>
      <c r="AS589" s="685"/>
      <c r="AT589" s="685"/>
      <c r="AU589" s="685"/>
      <c r="AV589" s="685"/>
      <c r="AW589" s="685"/>
      <c r="AX589" s="685"/>
      <c r="AY589" s="685"/>
    </row>
    <row r="590" spans="1:51">
      <c r="A590" s="685"/>
      <c r="B590" s="685"/>
      <c r="C590" s="685"/>
      <c r="D590" s="685"/>
      <c r="E590" s="685"/>
      <c r="F590" s="685"/>
      <c r="G590" s="685"/>
      <c r="H590" s="685"/>
      <c r="I590" s="685"/>
      <c r="J590" s="685"/>
      <c r="K590" s="685"/>
      <c r="L590" s="685"/>
      <c r="M590" s="685"/>
      <c r="N590" s="685"/>
      <c r="O590" s="685"/>
      <c r="P590" s="685"/>
      <c r="Q590" s="685"/>
      <c r="R590" s="685"/>
      <c r="S590" s="685"/>
      <c r="T590" s="685"/>
      <c r="U590" s="685"/>
      <c r="V590" s="685"/>
      <c r="W590" s="685"/>
      <c r="X590" s="685"/>
      <c r="Y590" s="685"/>
      <c r="Z590" s="685"/>
      <c r="AA590" s="685"/>
      <c r="AB590" s="685"/>
      <c r="AC590" s="685"/>
      <c r="AD590" s="685"/>
      <c r="AE590" s="685"/>
      <c r="AF590" s="685"/>
      <c r="AG590" s="685"/>
      <c r="AH590" s="685"/>
      <c r="AI590" s="685"/>
      <c r="AJ590" s="685"/>
      <c r="AK590" s="685"/>
      <c r="AL590" s="685"/>
      <c r="AM590" s="685"/>
      <c r="AN590" s="685"/>
      <c r="AO590" s="685"/>
      <c r="AP590" s="685"/>
      <c r="AQ590" s="685"/>
      <c r="AR590" s="685"/>
      <c r="AS590" s="685"/>
      <c r="AT590" s="685"/>
      <c r="AU590" s="685"/>
      <c r="AV590" s="685"/>
      <c r="AW590" s="685"/>
      <c r="AX590" s="685"/>
      <c r="AY590" s="685"/>
    </row>
    <row r="591" spans="1:51">
      <c r="A591" s="685"/>
      <c r="B591" s="685"/>
      <c r="C591" s="685"/>
      <c r="D591" s="685"/>
      <c r="E591" s="685"/>
      <c r="F591" s="685"/>
      <c r="G591" s="685"/>
      <c r="H591" s="685"/>
      <c r="I591" s="685"/>
      <c r="J591" s="685"/>
      <c r="K591" s="685"/>
      <c r="L591" s="685"/>
      <c r="M591" s="685"/>
      <c r="N591" s="685"/>
      <c r="O591" s="685"/>
      <c r="P591" s="685"/>
      <c r="Q591" s="685"/>
      <c r="R591" s="685"/>
      <c r="S591" s="685"/>
      <c r="T591" s="685"/>
      <c r="U591" s="685"/>
      <c r="V591" s="685"/>
      <c r="W591" s="685"/>
      <c r="X591" s="685"/>
      <c r="Y591" s="685"/>
      <c r="Z591" s="685"/>
      <c r="AA591" s="685"/>
      <c r="AB591" s="685"/>
      <c r="AC591" s="685"/>
      <c r="AD591" s="685"/>
      <c r="AE591" s="685"/>
      <c r="AF591" s="685"/>
      <c r="AG591" s="685"/>
      <c r="AH591" s="685"/>
      <c r="AI591" s="685"/>
      <c r="AJ591" s="685"/>
      <c r="AK591" s="685"/>
      <c r="AL591" s="685"/>
      <c r="AM591" s="685"/>
      <c r="AN591" s="685"/>
      <c r="AO591" s="685"/>
      <c r="AP591" s="685"/>
      <c r="AQ591" s="685"/>
      <c r="AR591" s="685"/>
      <c r="AS591" s="685"/>
      <c r="AT591" s="685"/>
      <c r="AU591" s="685"/>
      <c r="AV591" s="685"/>
      <c r="AW591" s="685"/>
      <c r="AX591" s="685"/>
      <c r="AY591" s="685"/>
    </row>
    <row r="592" spans="1:51">
      <c r="A592" s="685"/>
      <c r="B592" s="685"/>
      <c r="C592" s="685"/>
      <c r="D592" s="685"/>
      <c r="E592" s="685"/>
      <c r="F592" s="685"/>
      <c r="G592" s="685"/>
      <c r="H592" s="685"/>
      <c r="I592" s="685"/>
      <c r="J592" s="685"/>
      <c r="K592" s="685"/>
      <c r="L592" s="685"/>
      <c r="M592" s="685"/>
      <c r="N592" s="685"/>
      <c r="O592" s="685"/>
      <c r="P592" s="685"/>
      <c r="Q592" s="685"/>
      <c r="R592" s="685"/>
      <c r="S592" s="685"/>
      <c r="T592" s="685"/>
      <c r="U592" s="685"/>
      <c r="V592" s="685"/>
      <c r="W592" s="685"/>
      <c r="X592" s="685"/>
      <c r="Y592" s="685"/>
      <c r="Z592" s="685"/>
      <c r="AA592" s="685"/>
      <c r="AB592" s="685"/>
      <c r="AC592" s="685"/>
      <c r="AD592" s="685"/>
      <c r="AE592" s="685"/>
      <c r="AF592" s="685"/>
      <c r="AG592" s="685"/>
      <c r="AH592" s="685"/>
      <c r="AI592" s="685"/>
      <c r="AJ592" s="685"/>
      <c r="AK592" s="685"/>
      <c r="AL592" s="685"/>
      <c r="AM592" s="685"/>
      <c r="AN592" s="685"/>
      <c r="AO592" s="685"/>
      <c r="AP592" s="685"/>
      <c r="AQ592" s="685"/>
      <c r="AR592" s="685"/>
      <c r="AS592" s="685"/>
      <c r="AT592" s="685"/>
      <c r="AU592" s="685"/>
      <c r="AV592" s="685"/>
      <c r="AW592" s="685"/>
      <c r="AX592" s="685"/>
      <c r="AY592" s="685"/>
    </row>
    <row r="593" spans="1:51">
      <c r="A593" s="685"/>
      <c r="B593" s="685"/>
      <c r="C593" s="685"/>
      <c r="D593" s="685"/>
      <c r="E593" s="685"/>
      <c r="F593" s="685"/>
      <c r="G593" s="685"/>
      <c r="H593" s="685"/>
      <c r="I593" s="685"/>
      <c r="J593" s="685"/>
      <c r="K593" s="685"/>
      <c r="L593" s="685"/>
      <c r="M593" s="685"/>
      <c r="N593" s="685"/>
      <c r="O593" s="685"/>
      <c r="P593" s="685"/>
      <c r="Q593" s="685"/>
      <c r="R593" s="685"/>
      <c r="S593" s="685"/>
      <c r="T593" s="685"/>
      <c r="U593" s="685"/>
      <c r="V593" s="685"/>
      <c r="W593" s="685"/>
      <c r="X593" s="685"/>
      <c r="Y593" s="685"/>
      <c r="Z593" s="685"/>
      <c r="AA593" s="685"/>
      <c r="AB593" s="685"/>
      <c r="AC593" s="685"/>
      <c r="AD593" s="685"/>
      <c r="AE593" s="685"/>
      <c r="AF593" s="685"/>
      <c r="AG593" s="685"/>
      <c r="AH593" s="685"/>
      <c r="AI593" s="685"/>
      <c r="AJ593" s="685"/>
      <c r="AK593" s="685"/>
      <c r="AL593" s="685"/>
      <c r="AM593" s="685"/>
      <c r="AN593" s="685"/>
      <c r="AO593" s="685"/>
      <c r="AP593" s="685"/>
      <c r="AQ593" s="685"/>
      <c r="AR593" s="685"/>
      <c r="AS593" s="685"/>
      <c r="AT593" s="685"/>
      <c r="AU593" s="685"/>
      <c r="AV593" s="685"/>
      <c r="AW593" s="685"/>
      <c r="AX593" s="685"/>
      <c r="AY593" s="685"/>
    </row>
    <row r="594" spans="1:51">
      <c r="A594" s="685"/>
      <c r="B594" s="685"/>
      <c r="C594" s="685"/>
      <c r="D594" s="685"/>
      <c r="E594" s="685"/>
      <c r="F594" s="685"/>
      <c r="G594" s="685"/>
      <c r="H594" s="685"/>
      <c r="I594" s="685"/>
      <c r="J594" s="685"/>
      <c r="K594" s="685"/>
      <c r="L594" s="685"/>
      <c r="M594" s="685"/>
      <c r="N594" s="685"/>
      <c r="O594" s="685"/>
      <c r="P594" s="685"/>
      <c r="Q594" s="685"/>
      <c r="R594" s="685"/>
      <c r="S594" s="685"/>
      <c r="T594" s="685"/>
      <c r="U594" s="685"/>
      <c r="V594" s="685"/>
      <c r="W594" s="685"/>
      <c r="X594" s="685"/>
      <c r="Y594" s="685"/>
      <c r="Z594" s="685"/>
      <c r="AA594" s="685"/>
      <c r="AB594" s="685"/>
      <c r="AC594" s="685"/>
      <c r="AD594" s="685"/>
      <c r="AE594" s="685"/>
      <c r="AF594" s="685"/>
      <c r="AG594" s="685"/>
      <c r="AH594" s="685"/>
      <c r="AI594" s="685"/>
      <c r="AJ594" s="685"/>
      <c r="AK594" s="685"/>
      <c r="AL594" s="685"/>
      <c r="AM594" s="685"/>
      <c r="AN594" s="685"/>
      <c r="AO594" s="685"/>
      <c r="AP594" s="685"/>
      <c r="AQ594" s="685"/>
      <c r="AR594" s="685"/>
      <c r="AS594" s="685"/>
      <c r="AT594" s="685"/>
      <c r="AU594" s="685"/>
      <c r="AV594" s="685"/>
      <c r="AW594" s="685"/>
      <c r="AX594" s="685"/>
      <c r="AY594" s="685"/>
    </row>
    <row r="595" spans="1:51">
      <c r="A595" s="685"/>
      <c r="B595" s="685"/>
      <c r="C595" s="685"/>
      <c r="D595" s="685"/>
      <c r="E595" s="685"/>
      <c r="F595" s="685"/>
      <c r="G595" s="685"/>
      <c r="H595" s="685"/>
      <c r="I595" s="685"/>
      <c r="J595" s="685"/>
      <c r="K595" s="685"/>
      <c r="L595" s="685"/>
      <c r="M595" s="685"/>
      <c r="N595" s="685"/>
      <c r="O595" s="685"/>
      <c r="P595" s="685"/>
      <c r="Q595" s="685"/>
      <c r="R595" s="685"/>
      <c r="S595" s="685"/>
      <c r="T595" s="685"/>
      <c r="U595" s="685"/>
      <c r="V595" s="685"/>
      <c r="W595" s="685"/>
      <c r="X595" s="685"/>
      <c r="Y595" s="685"/>
      <c r="Z595" s="685"/>
      <c r="AA595" s="685"/>
      <c r="AB595" s="685"/>
      <c r="AC595" s="685"/>
      <c r="AD595" s="685"/>
      <c r="AE595" s="685"/>
      <c r="AF595" s="685"/>
      <c r="AG595" s="685"/>
      <c r="AH595" s="685"/>
      <c r="AI595" s="685"/>
      <c r="AJ595" s="685"/>
      <c r="AK595" s="685"/>
      <c r="AL595" s="685"/>
      <c r="AM595" s="685"/>
      <c r="AN595" s="685"/>
      <c r="AO595" s="685"/>
      <c r="AP595" s="685"/>
      <c r="AQ595" s="685"/>
      <c r="AR595" s="685"/>
      <c r="AS595" s="685"/>
      <c r="AT595" s="685"/>
      <c r="AU595" s="685"/>
      <c r="AV595" s="685"/>
      <c r="AW595" s="685"/>
      <c r="AX595" s="685"/>
      <c r="AY595" s="685"/>
    </row>
    <row r="596" spans="1:51">
      <c r="A596" s="685"/>
      <c r="B596" s="685"/>
      <c r="C596" s="685"/>
      <c r="D596" s="685"/>
      <c r="E596" s="685"/>
      <c r="F596" s="685"/>
      <c r="G596" s="685"/>
      <c r="H596" s="685"/>
      <c r="I596" s="685"/>
      <c r="J596" s="685"/>
      <c r="K596" s="685"/>
      <c r="L596" s="685"/>
      <c r="M596" s="685"/>
      <c r="N596" s="685"/>
      <c r="O596" s="685"/>
      <c r="P596" s="685"/>
      <c r="Q596" s="685"/>
      <c r="R596" s="685"/>
      <c r="S596" s="685"/>
      <c r="T596" s="685"/>
      <c r="U596" s="685"/>
      <c r="V596" s="685"/>
      <c r="W596" s="685"/>
      <c r="X596" s="685"/>
      <c r="Y596" s="685"/>
      <c r="Z596" s="685"/>
      <c r="AA596" s="685"/>
      <c r="AB596" s="685"/>
      <c r="AC596" s="685"/>
      <c r="AD596" s="685"/>
      <c r="AE596" s="685"/>
      <c r="AF596" s="685"/>
      <c r="AG596" s="685"/>
      <c r="AH596" s="685"/>
      <c r="AI596" s="685"/>
      <c r="AJ596" s="685"/>
      <c r="AK596" s="685"/>
      <c r="AL596" s="685"/>
      <c r="AM596" s="685"/>
      <c r="AN596" s="685"/>
      <c r="AO596" s="685"/>
      <c r="AP596" s="685"/>
      <c r="AQ596" s="685"/>
      <c r="AR596" s="685"/>
      <c r="AS596" s="685"/>
      <c r="AT596" s="685"/>
      <c r="AU596" s="685"/>
      <c r="AV596" s="685"/>
      <c r="AW596" s="685"/>
      <c r="AX596" s="685"/>
      <c r="AY596" s="685"/>
    </row>
    <row r="597" spans="1:51">
      <c r="A597" s="685"/>
      <c r="B597" s="685"/>
      <c r="C597" s="685"/>
      <c r="D597" s="685"/>
      <c r="E597" s="685"/>
      <c r="F597" s="685"/>
      <c r="G597" s="685"/>
      <c r="H597" s="685"/>
      <c r="I597" s="685"/>
      <c r="J597" s="685"/>
      <c r="K597" s="685"/>
      <c r="L597" s="685"/>
      <c r="M597" s="685"/>
      <c r="N597" s="685"/>
      <c r="O597" s="685"/>
      <c r="P597" s="685"/>
      <c r="Q597" s="685"/>
      <c r="R597" s="685"/>
      <c r="S597" s="685"/>
      <c r="T597" s="685"/>
      <c r="U597" s="685"/>
      <c r="V597" s="685"/>
      <c r="W597" s="685"/>
      <c r="X597" s="685"/>
      <c r="Y597" s="685"/>
      <c r="Z597" s="685"/>
      <c r="AA597" s="685"/>
      <c r="AB597" s="685"/>
      <c r="AC597" s="685"/>
      <c r="AD597" s="685"/>
      <c r="AE597" s="685"/>
      <c r="AF597" s="685"/>
      <c r="AG597" s="685"/>
      <c r="AH597" s="685"/>
      <c r="AI597" s="685"/>
      <c r="AJ597" s="685"/>
      <c r="AK597" s="685"/>
      <c r="AL597" s="685"/>
      <c r="AM597" s="685"/>
      <c r="AN597" s="685"/>
      <c r="AO597" s="685"/>
      <c r="AP597" s="685"/>
      <c r="AQ597" s="685"/>
      <c r="AR597" s="685"/>
      <c r="AS597" s="685"/>
      <c r="AT597" s="685"/>
      <c r="AU597" s="685"/>
      <c r="AV597" s="685"/>
      <c r="AW597" s="685"/>
      <c r="AX597" s="685"/>
      <c r="AY597" s="685"/>
    </row>
    <row r="598" spans="1:51">
      <c r="A598" s="685"/>
      <c r="B598" s="685"/>
      <c r="C598" s="685"/>
      <c r="D598" s="685"/>
      <c r="E598" s="685"/>
      <c r="F598" s="685"/>
      <c r="G598" s="685"/>
      <c r="H598" s="685"/>
      <c r="I598" s="685"/>
      <c r="J598" s="685"/>
      <c r="K598" s="685"/>
      <c r="L598" s="685"/>
      <c r="M598" s="685"/>
      <c r="N598" s="685"/>
      <c r="O598" s="685"/>
      <c r="P598" s="685"/>
      <c r="Q598" s="685"/>
      <c r="R598" s="685"/>
      <c r="S598" s="685"/>
      <c r="T598" s="685"/>
      <c r="U598" s="685"/>
      <c r="V598" s="685"/>
      <c r="W598" s="685"/>
      <c r="X598" s="685"/>
      <c r="Y598" s="685"/>
      <c r="Z598" s="685"/>
      <c r="AA598" s="685"/>
      <c r="AB598" s="685"/>
      <c r="AC598" s="685"/>
      <c r="AD598" s="685"/>
      <c r="AE598" s="685"/>
      <c r="AF598" s="685"/>
      <c r="AG598" s="685"/>
      <c r="AH598" s="685"/>
      <c r="AI598" s="685"/>
      <c r="AJ598" s="685"/>
      <c r="AK598" s="685"/>
      <c r="AL598" s="685"/>
      <c r="AM598" s="685"/>
      <c r="AN598" s="685"/>
      <c r="AO598" s="685"/>
      <c r="AP598" s="685"/>
      <c r="AQ598" s="685"/>
      <c r="AR598" s="685"/>
      <c r="AS598" s="685"/>
      <c r="AT598" s="685"/>
      <c r="AU598" s="685"/>
      <c r="AV598" s="685"/>
      <c r="AW598" s="685"/>
      <c r="AX598" s="685"/>
      <c r="AY598" s="685"/>
    </row>
    <row r="599" spans="1:51">
      <c r="A599" s="685"/>
      <c r="B599" s="685"/>
      <c r="C599" s="685"/>
      <c r="D599" s="685"/>
      <c r="E599" s="685"/>
      <c r="F599" s="685"/>
      <c r="G599" s="685"/>
      <c r="H599" s="685"/>
      <c r="I599" s="685"/>
      <c r="J599" s="685"/>
      <c r="K599" s="685"/>
      <c r="L599" s="685"/>
      <c r="M599" s="685"/>
      <c r="N599" s="685"/>
      <c r="O599" s="685"/>
      <c r="P599" s="685"/>
      <c r="Q599" s="685"/>
      <c r="R599" s="685"/>
      <c r="S599" s="685"/>
      <c r="T599" s="685"/>
      <c r="U599" s="685"/>
      <c r="V599" s="685"/>
      <c r="W599" s="685"/>
      <c r="X599" s="685"/>
      <c r="Y599" s="685"/>
      <c r="Z599" s="685"/>
      <c r="AA599" s="685"/>
      <c r="AB599" s="685"/>
      <c r="AC599" s="685"/>
      <c r="AD599" s="685"/>
      <c r="AE599" s="685"/>
      <c r="AF599" s="685"/>
      <c r="AG599" s="685"/>
      <c r="AH599" s="685"/>
      <c r="AI599" s="685"/>
      <c r="AJ599" s="685"/>
      <c r="AK599" s="685"/>
      <c r="AL599" s="685"/>
      <c r="AM599" s="685"/>
      <c r="AN599" s="685"/>
      <c r="AO599" s="685"/>
      <c r="AP599" s="685"/>
      <c r="AQ599" s="685"/>
      <c r="AR599" s="685"/>
      <c r="AS599" s="685"/>
      <c r="AT599" s="685"/>
      <c r="AU599" s="685"/>
      <c r="AV599" s="685"/>
      <c r="AW599" s="685"/>
      <c r="AX599" s="685"/>
      <c r="AY599" s="685"/>
    </row>
    <row r="600" spans="1:51">
      <c r="A600" s="685"/>
      <c r="B600" s="685"/>
      <c r="C600" s="685"/>
      <c r="D600" s="685"/>
      <c r="E600" s="685"/>
      <c r="F600" s="685"/>
      <c r="G600" s="685"/>
      <c r="H600" s="685"/>
      <c r="I600" s="685"/>
      <c r="J600" s="685"/>
      <c r="K600" s="685"/>
      <c r="L600" s="685"/>
      <c r="M600" s="685"/>
      <c r="N600" s="685"/>
      <c r="O600" s="685"/>
      <c r="P600" s="685"/>
      <c r="Q600" s="685"/>
      <c r="R600" s="685"/>
      <c r="S600" s="685"/>
      <c r="T600" s="685"/>
      <c r="U600" s="685"/>
      <c r="V600" s="685"/>
      <c r="W600" s="685"/>
      <c r="X600" s="685"/>
      <c r="Y600" s="685"/>
      <c r="Z600" s="685"/>
      <c r="AA600" s="685"/>
      <c r="AB600" s="685"/>
      <c r="AC600" s="685"/>
      <c r="AD600" s="685"/>
      <c r="AE600" s="685"/>
      <c r="AF600" s="685"/>
      <c r="AG600" s="685"/>
      <c r="AH600" s="685"/>
      <c r="AI600" s="685"/>
      <c r="AJ600" s="685"/>
      <c r="AK600" s="685"/>
      <c r="AL600" s="685"/>
      <c r="AM600" s="685"/>
      <c r="AN600" s="685"/>
      <c r="AO600" s="685"/>
      <c r="AP600" s="685"/>
      <c r="AQ600" s="685"/>
      <c r="AR600" s="685"/>
      <c r="AS600" s="685"/>
      <c r="AT600" s="685"/>
      <c r="AU600" s="685"/>
      <c r="AV600" s="685"/>
      <c r="AW600" s="685"/>
      <c r="AX600" s="685"/>
      <c r="AY600" s="685"/>
    </row>
    <row r="601" spans="1:51">
      <c r="A601" s="685"/>
      <c r="B601" s="685"/>
      <c r="C601" s="685"/>
      <c r="D601" s="685"/>
      <c r="E601" s="685"/>
      <c r="F601" s="685"/>
      <c r="G601" s="685"/>
      <c r="H601" s="685"/>
      <c r="I601" s="685"/>
      <c r="J601" s="685"/>
      <c r="K601" s="685"/>
      <c r="L601" s="685"/>
      <c r="M601" s="685"/>
      <c r="N601" s="685"/>
      <c r="O601" s="685"/>
      <c r="P601" s="685"/>
      <c r="Q601" s="685"/>
      <c r="R601" s="685"/>
      <c r="S601" s="685"/>
      <c r="T601" s="685"/>
      <c r="U601" s="685"/>
      <c r="V601" s="685"/>
      <c r="W601" s="685"/>
      <c r="X601" s="685"/>
      <c r="Y601" s="685"/>
      <c r="Z601" s="685"/>
      <c r="AA601" s="685"/>
      <c r="AB601" s="685"/>
      <c r="AC601" s="685"/>
      <c r="AD601" s="685"/>
      <c r="AE601" s="685"/>
      <c r="AF601" s="685"/>
      <c r="AG601" s="685"/>
      <c r="AH601" s="685"/>
      <c r="AI601" s="685"/>
      <c r="AJ601" s="685"/>
      <c r="AK601" s="685"/>
      <c r="AL601" s="685"/>
      <c r="AM601" s="685"/>
      <c r="AN601" s="685"/>
      <c r="AO601" s="685"/>
      <c r="AP601" s="685"/>
      <c r="AQ601" s="685"/>
      <c r="AR601" s="685"/>
      <c r="AS601" s="685"/>
      <c r="AT601" s="685"/>
      <c r="AU601" s="685"/>
      <c r="AV601" s="685"/>
      <c r="AW601" s="685"/>
      <c r="AX601" s="685"/>
      <c r="AY601" s="685"/>
    </row>
    <row r="602" spans="1:51">
      <c r="A602" s="685"/>
      <c r="B602" s="685"/>
      <c r="C602" s="685"/>
      <c r="D602" s="685"/>
      <c r="E602" s="685"/>
      <c r="F602" s="685"/>
      <c r="G602" s="685"/>
      <c r="H602" s="685"/>
      <c r="I602" s="685"/>
      <c r="J602" s="685"/>
      <c r="K602" s="685"/>
      <c r="L602" s="685"/>
      <c r="M602" s="685"/>
      <c r="N602" s="685"/>
      <c r="O602" s="685"/>
      <c r="P602" s="685"/>
      <c r="Q602" s="685"/>
      <c r="R602" s="685"/>
      <c r="S602" s="685"/>
      <c r="T602" s="685"/>
      <c r="U602" s="685"/>
      <c r="V602" s="685"/>
      <c r="W602" s="685"/>
      <c r="X602" s="685"/>
      <c r="Y602" s="685"/>
      <c r="Z602" s="685"/>
      <c r="AA602" s="685"/>
      <c r="AB602" s="685"/>
      <c r="AC602" s="685"/>
      <c r="AD602" s="685"/>
      <c r="AE602" s="685"/>
      <c r="AF602" s="685"/>
      <c r="AG602" s="685"/>
      <c r="AH602" s="685"/>
      <c r="AI602" s="685"/>
      <c r="AJ602" s="685"/>
      <c r="AK602" s="685"/>
      <c r="AL602" s="685"/>
      <c r="AM602" s="685"/>
      <c r="AN602" s="685"/>
      <c r="AO602" s="685"/>
      <c r="AP602" s="685"/>
      <c r="AQ602" s="685"/>
      <c r="AR602" s="685"/>
      <c r="AS602" s="685"/>
      <c r="AT602" s="685"/>
      <c r="AU602" s="685"/>
      <c r="AV602" s="685"/>
      <c r="AW602" s="685"/>
      <c r="AX602" s="685"/>
      <c r="AY602" s="685"/>
    </row>
    <row r="603" spans="1:51">
      <c r="A603" s="685"/>
      <c r="B603" s="685"/>
      <c r="C603" s="685"/>
      <c r="D603" s="685"/>
      <c r="E603" s="685"/>
      <c r="F603" s="685"/>
      <c r="G603" s="685"/>
      <c r="H603" s="685"/>
      <c r="I603" s="685"/>
      <c r="J603" s="685"/>
      <c r="K603" s="685"/>
      <c r="L603" s="685"/>
      <c r="M603" s="685"/>
      <c r="N603" s="685"/>
      <c r="O603" s="685"/>
      <c r="P603" s="685"/>
      <c r="Q603" s="685"/>
      <c r="R603" s="685"/>
      <c r="S603" s="685"/>
      <c r="T603" s="685"/>
      <c r="U603" s="685"/>
      <c r="V603" s="685"/>
      <c r="W603" s="685"/>
      <c r="X603" s="685"/>
      <c r="Y603" s="685"/>
      <c r="Z603" s="685"/>
      <c r="AA603" s="685"/>
      <c r="AB603" s="685"/>
      <c r="AC603" s="685"/>
      <c r="AD603" s="685"/>
      <c r="AE603" s="685"/>
      <c r="AF603" s="685"/>
      <c r="AG603" s="685"/>
      <c r="AH603" s="685"/>
      <c r="AI603" s="685"/>
      <c r="AJ603" s="685"/>
      <c r="AK603" s="685"/>
      <c r="AL603" s="685"/>
      <c r="AM603" s="685"/>
      <c r="AN603" s="685"/>
      <c r="AO603" s="685"/>
      <c r="AP603" s="685"/>
      <c r="AQ603" s="685"/>
      <c r="AR603" s="685"/>
      <c r="AS603" s="685"/>
      <c r="AT603" s="685"/>
      <c r="AU603" s="685"/>
      <c r="AV603" s="685"/>
      <c r="AW603" s="685"/>
      <c r="AX603" s="685"/>
      <c r="AY603" s="685"/>
    </row>
    <row r="604" spans="1:51">
      <c r="A604" s="685"/>
      <c r="B604" s="685"/>
      <c r="C604" s="685"/>
      <c r="D604" s="685"/>
      <c r="E604" s="685"/>
      <c r="F604" s="685"/>
      <c r="G604" s="685"/>
      <c r="H604" s="685"/>
      <c r="I604" s="685"/>
      <c r="J604" s="685"/>
      <c r="K604" s="685"/>
      <c r="L604" s="685"/>
      <c r="M604" s="685"/>
      <c r="N604" s="685"/>
      <c r="O604" s="685"/>
      <c r="P604" s="685"/>
      <c r="Q604" s="685"/>
      <c r="R604" s="685"/>
      <c r="S604" s="685"/>
      <c r="T604" s="685"/>
      <c r="U604" s="685"/>
      <c r="V604" s="685"/>
      <c r="W604" s="685"/>
      <c r="X604" s="685"/>
      <c r="Y604" s="685"/>
      <c r="Z604" s="685"/>
      <c r="AA604" s="685"/>
      <c r="AB604" s="685"/>
      <c r="AC604" s="685"/>
      <c r="AD604" s="685"/>
      <c r="AE604" s="685"/>
      <c r="AF604" s="685"/>
      <c r="AG604" s="685"/>
      <c r="AH604" s="685"/>
      <c r="AI604" s="685"/>
      <c r="AJ604" s="685"/>
      <c r="AK604" s="685"/>
      <c r="AL604" s="685"/>
      <c r="AM604" s="685"/>
      <c r="AN604" s="685"/>
      <c r="AO604" s="685"/>
      <c r="AP604" s="685"/>
      <c r="AQ604" s="685"/>
      <c r="AR604" s="685"/>
      <c r="AS604" s="685"/>
      <c r="AT604" s="685"/>
      <c r="AU604" s="685"/>
      <c r="AV604" s="685"/>
      <c r="AW604" s="685"/>
      <c r="AX604" s="685"/>
      <c r="AY604" s="685"/>
    </row>
    <row r="605" spans="1:51">
      <c r="A605" s="685"/>
      <c r="B605" s="685"/>
      <c r="C605" s="685"/>
      <c r="D605" s="685"/>
      <c r="E605" s="685"/>
      <c r="F605" s="685"/>
      <c r="G605" s="685"/>
      <c r="H605" s="685"/>
      <c r="I605" s="685"/>
      <c r="J605" s="685"/>
      <c r="K605" s="685"/>
      <c r="L605" s="685"/>
      <c r="M605" s="685"/>
      <c r="N605" s="685"/>
      <c r="O605" s="685"/>
      <c r="P605" s="685"/>
      <c r="Q605" s="685"/>
      <c r="R605" s="685"/>
      <c r="S605" s="685"/>
      <c r="T605" s="685"/>
      <c r="U605" s="685"/>
      <c r="V605" s="685"/>
      <c r="W605" s="685"/>
      <c r="X605" s="685"/>
      <c r="Y605" s="685"/>
      <c r="Z605" s="685"/>
      <c r="AA605" s="685"/>
      <c r="AB605" s="685"/>
      <c r="AC605" s="685"/>
      <c r="AD605" s="685"/>
      <c r="AE605" s="685"/>
      <c r="AF605" s="685"/>
      <c r="AG605" s="685"/>
      <c r="AH605" s="685"/>
      <c r="AI605" s="685"/>
      <c r="AJ605" s="685"/>
      <c r="AK605" s="685"/>
      <c r="AL605" s="685"/>
      <c r="AM605" s="685"/>
      <c r="AN605" s="685"/>
      <c r="AO605" s="685"/>
      <c r="AP605" s="685"/>
      <c r="AQ605" s="685"/>
      <c r="AR605" s="685"/>
      <c r="AS605" s="685"/>
      <c r="AT605" s="685"/>
      <c r="AU605" s="685"/>
      <c r="AV605" s="685"/>
      <c r="AW605" s="685"/>
      <c r="AX605" s="685"/>
      <c r="AY605" s="685"/>
    </row>
    <row r="606" spans="1:51">
      <c r="A606" s="685"/>
      <c r="B606" s="685"/>
      <c r="C606" s="685"/>
      <c r="D606" s="685"/>
      <c r="E606" s="685"/>
      <c r="F606" s="685"/>
      <c r="G606" s="685"/>
      <c r="H606" s="685"/>
      <c r="I606" s="685"/>
      <c r="J606" s="685"/>
      <c r="K606" s="685"/>
      <c r="L606" s="685"/>
      <c r="M606" s="685"/>
      <c r="N606" s="685"/>
      <c r="O606" s="685"/>
      <c r="P606" s="685"/>
      <c r="Q606" s="685"/>
      <c r="R606" s="685"/>
      <c r="S606" s="685"/>
      <c r="T606" s="685"/>
      <c r="U606" s="685"/>
      <c r="V606" s="685"/>
      <c r="W606" s="685"/>
      <c r="X606" s="685"/>
      <c r="Y606" s="685"/>
      <c r="Z606" s="685"/>
      <c r="AA606" s="685"/>
      <c r="AB606" s="685"/>
      <c r="AC606" s="685"/>
      <c r="AD606" s="685"/>
      <c r="AE606" s="685"/>
      <c r="AF606" s="685"/>
      <c r="AG606" s="685"/>
      <c r="AH606" s="685"/>
      <c r="AI606" s="685"/>
      <c r="AJ606" s="685"/>
      <c r="AK606" s="685"/>
      <c r="AL606" s="685"/>
      <c r="AM606" s="685"/>
      <c r="AN606" s="685"/>
      <c r="AO606" s="685"/>
      <c r="AP606" s="685"/>
      <c r="AQ606" s="685"/>
      <c r="AR606" s="685"/>
      <c r="AS606" s="685"/>
      <c r="AT606" s="685"/>
      <c r="AU606" s="685"/>
      <c r="AV606" s="685"/>
      <c r="AW606" s="685"/>
      <c r="AX606" s="685"/>
      <c r="AY606" s="685"/>
    </row>
    <row r="607" spans="1:51">
      <c r="A607" s="685"/>
      <c r="B607" s="685"/>
      <c r="C607" s="685"/>
      <c r="D607" s="685"/>
      <c r="E607" s="685"/>
      <c r="F607" s="685"/>
      <c r="G607" s="685"/>
      <c r="H607" s="685"/>
      <c r="I607" s="685"/>
      <c r="J607" s="685"/>
      <c r="K607" s="685"/>
      <c r="L607" s="685"/>
      <c r="M607" s="685"/>
      <c r="N607" s="685"/>
      <c r="O607" s="685"/>
      <c r="P607" s="685"/>
      <c r="Q607" s="685"/>
      <c r="R607" s="685"/>
      <c r="S607" s="685"/>
      <c r="T607" s="685"/>
      <c r="U607" s="685"/>
      <c r="V607" s="685"/>
      <c r="W607" s="685"/>
      <c r="X607" s="685"/>
      <c r="Y607" s="685"/>
      <c r="Z607" s="685"/>
      <c r="AA607" s="685"/>
      <c r="AB607" s="685"/>
      <c r="AC607" s="685"/>
      <c r="AD607" s="685"/>
      <c r="AE607" s="685"/>
      <c r="AF607" s="685"/>
      <c r="AG607" s="685"/>
      <c r="AH607" s="685"/>
      <c r="AI607" s="685"/>
      <c r="AJ607" s="685"/>
      <c r="AK607" s="685"/>
      <c r="AL607" s="685"/>
      <c r="AM607" s="685"/>
      <c r="AN607" s="685"/>
      <c r="AO607" s="685"/>
      <c r="AP607" s="685"/>
      <c r="AQ607" s="685"/>
      <c r="AR607" s="685"/>
      <c r="AS607" s="685"/>
      <c r="AT607" s="685"/>
      <c r="AU607" s="685"/>
      <c r="AV607" s="685"/>
      <c r="AW607" s="685"/>
      <c r="AX607" s="685"/>
      <c r="AY607" s="685"/>
    </row>
    <row r="608" spans="1:51">
      <c r="A608" s="685"/>
      <c r="B608" s="685"/>
      <c r="C608" s="685"/>
      <c r="D608" s="685"/>
      <c r="E608" s="685"/>
      <c r="F608" s="685"/>
      <c r="G608" s="685"/>
      <c r="H608" s="685"/>
      <c r="I608" s="685"/>
      <c r="J608" s="685"/>
      <c r="K608" s="685"/>
      <c r="L608" s="685"/>
      <c r="M608" s="685"/>
      <c r="N608" s="685"/>
      <c r="O608" s="685"/>
      <c r="P608" s="685"/>
      <c r="Q608" s="685"/>
      <c r="R608" s="685"/>
      <c r="S608" s="685"/>
      <c r="T608" s="685"/>
      <c r="U608" s="685"/>
      <c r="V608" s="685"/>
      <c r="W608" s="685"/>
      <c r="X608" s="685"/>
      <c r="Y608" s="685"/>
      <c r="Z608" s="685"/>
      <c r="AA608" s="685"/>
      <c r="AB608" s="685"/>
      <c r="AC608" s="685"/>
      <c r="AD608" s="685"/>
      <c r="AE608" s="685"/>
      <c r="AF608" s="685"/>
      <c r="AG608" s="685"/>
      <c r="AH608" s="685"/>
      <c r="AI608" s="685"/>
      <c r="AJ608" s="685"/>
      <c r="AK608" s="685"/>
      <c r="AL608" s="685"/>
      <c r="AM608" s="685"/>
      <c r="AN608" s="685"/>
      <c r="AO608" s="685"/>
      <c r="AP608" s="685"/>
      <c r="AQ608" s="685"/>
      <c r="AR608" s="685"/>
      <c r="AS608" s="685"/>
      <c r="AT608" s="685"/>
      <c r="AU608" s="685"/>
      <c r="AV608" s="685"/>
      <c r="AW608" s="685"/>
      <c r="AX608" s="685"/>
      <c r="AY608" s="685"/>
    </row>
    <row r="609" spans="1:51">
      <c r="A609" s="685"/>
      <c r="B609" s="685"/>
      <c r="C609" s="685"/>
      <c r="D609" s="685"/>
      <c r="E609" s="685"/>
      <c r="F609" s="685"/>
      <c r="G609" s="685"/>
      <c r="H609" s="685"/>
      <c r="I609" s="685"/>
      <c r="J609" s="685"/>
      <c r="K609" s="685"/>
      <c r="L609" s="685"/>
      <c r="M609" s="685"/>
      <c r="N609" s="685"/>
      <c r="O609" s="685"/>
      <c r="P609" s="685"/>
      <c r="Q609" s="685"/>
      <c r="R609" s="685"/>
      <c r="S609" s="685"/>
      <c r="T609" s="685"/>
      <c r="U609" s="685"/>
      <c r="V609" s="685"/>
      <c r="W609" s="685"/>
      <c r="X609" s="685"/>
      <c r="Y609" s="685"/>
      <c r="Z609" s="685"/>
      <c r="AA609" s="685"/>
      <c r="AB609" s="685"/>
      <c r="AC609" s="685"/>
      <c r="AD609" s="685"/>
      <c r="AE609" s="685"/>
      <c r="AF609" s="685"/>
      <c r="AG609" s="685"/>
      <c r="AH609" s="685"/>
      <c r="AI609" s="685"/>
      <c r="AJ609" s="685"/>
      <c r="AK609" s="685"/>
      <c r="AL609" s="685"/>
      <c r="AM609" s="685"/>
      <c r="AN609" s="685"/>
      <c r="AO609" s="685"/>
      <c r="AP609" s="685"/>
      <c r="AQ609" s="685"/>
      <c r="AR609" s="685"/>
      <c r="AS609" s="685"/>
      <c r="AT609" s="685"/>
      <c r="AU609" s="685"/>
      <c r="AV609" s="685"/>
      <c r="AW609" s="685"/>
      <c r="AX609" s="685"/>
      <c r="AY609" s="685"/>
    </row>
    <row r="610" spans="1:51">
      <c r="A610" s="685"/>
      <c r="B610" s="685"/>
      <c r="C610" s="685"/>
      <c r="D610" s="685"/>
      <c r="E610" s="685"/>
      <c r="F610" s="685"/>
      <c r="G610" s="685"/>
      <c r="H610" s="685"/>
      <c r="I610" s="685"/>
      <c r="J610" s="685"/>
      <c r="K610" s="685"/>
      <c r="L610" s="685"/>
      <c r="M610" s="685"/>
      <c r="N610" s="685"/>
      <c r="O610" s="685"/>
      <c r="P610" s="685"/>
      <c r="Q610" s="685"/>
      <c r="R610" s="685"/>
      <c r="S610" s="685"/>
      <c r="T610" s="685"/>
      <c r="U610" s="685"/>
      <c r="V610" s="685"/>
      <c r="W610" s="685"/>
      <c r="X610" s="685"/>
      <c r="Y610" s="685"/>
      <c r="Z610" s="685"/>
      <c r="AA610" s="685"/>
      <c r="AB610" s="685"/>
      <c r="AC610" s="685"/>
      <c r="AD610" s="685"/>
      <c r="AE610" s="685"/>
      <c r="AF610" s="685"/>
      <c r="AG610" s="685"/>
      <c r="AH610" s="685"/>
      <c r="AI610" s="685"/>
      <c r="AJ610" s="685"/>
      <c r="AK610" s="685"/>
      <c r="AL610" s="685"/>
      <c r="AM610" s="685"/>
      <c r="AN610" s="685"/>
      <c r="AO610" s="685"/>
      <c r="AP610" s="685"/>
      <c r="AQ610" s="685"/>
      <c r="AR610" s="685"/>
      <c r="AS610" s="685"/>
      <c r="AT610" s="685"/>
      <c r="AU610" s="685"/>
      <c r="AV610" s="685"/>
      <c r="AW610" s="685"/>
      <c r="AX610" s="685"/>
      <c r="AY610" s="685"/>
    </row>
    <row r="611" spans="1:51">
      <c r="A611" s="685"/>
      <c r="B611" s="685"/>
      <c r="C611" s="685"/>
      <c r="D611" s="685"/>
      <c r="E611" s="685"/>
      <c r="F611" s="685"/>
      <c r="G611" s="685"/>
      <c r="H611" s="685"/>
      <c r="I611" s="685"/>
      <c r="J611" s="685"/>
      <c r="K611" s="685"/>
      <c r="L611" s="685"/>
      <c r="M611" s="685"/>
      <c r="N611" s="685"/>
      <c r="O611" s="685"/>
      <c r="P611" s="685"/>
      <c r="Q611" s="685"/>
      <c r="R611" s="685"/>
      <c r="S611" s="685"/>
      <c r="T611" s="685"/>
      <c r="U611" s="685"/>
      <c r="V611" s="685"/>
      <c r="W611" s="685"/>
      <c r="X611" s="685"/>
      <c r="Y611" s="685"/>
      <c r="Z611" s="685"/>
      <c r="AA611" s="685"/>
      <c r="AB611" s="685"/>
      <c r="AC611" s="685"/>
      <c r="AD611" s="685"/>
      <c r="AE611" s="685"/>
      <c r="AF611" s="685"/>
      <c r="AG611" s="685"/>
      <c r="AH611" s="685"/>
      <c r="AI611" s="685"/>
      <c r="AJ611" s="685"/>
      <c r="AK611" s="685"/>
      <c r="AL611" s="685"/>
      <c r="AM611" s="685"/>
      <c r="AN611" s="685"/>
      <c r="AO611" s="685"/>
      <c r="AP611" s="685"/>
      <c r="AQ611" s="685"/>
      <c r="AR611" s="685"/>
      <c r="AS611" s="685"/>
      <c r="AT611" s="685"/>
      <c r="AU611" s="685"/>
      <c r="AV611" s="685"/>
      <c r="AW611" s="685"/>
      <c r="AX611" s="685"/>
      <c r="AY611" s="685"/>
    </row>
    <row r="612" spans="1:51">
      <c r="A612" s="685"/>
      <c r="B612" s="685"/>
      <c r="C612" s="685"/>
      <c r="D612" s="685"/>
      <c r="E612" s="685"/>
      <c r="F612" s="685"/>
      <c r="G612" s="685"/>
      <c r="H612" s="685"/>
      <c r="I612" s="685"/>
      <c r="J612" s="685"/>
      <c r="K612" s="685"/>
      <c r="L612" s="685"/>
      <c r="M612" s="685"/>
      <c r="N612" s="685"/>
      <c r="O612" s="685"/>
      <c r="P612" s="685"/>
      <c r="Q612" s="685"/>
      <c r="R612" s="685"/>
      <c r="S612" s="685"/>
      <c r="T612" s="685"/>
      <c r="U612" s="685"/>
      <c r="V612" s="685"/>
      <c r="W612" s="685"/>
      <c r="X612" s="685"/>
      <c r="Y612" s="685"/>
      <c r="Z612" s="685"/>
      <c r="AA612" s="685"/>
      <c r="AB612" s="685"/>
      <c r="AC612" s="685"/>
      <c r="AD612" s="685"/>
      <c r="AE612" s="685"/>
      <c r="AF612" s="685"/>
      <c r="AG612" s="685"/>
      <c r="AH612" s="685"/>
      <c r="AI612" s="685"/>
      <c r="AJ612" s="685"/>
      <c r="AK612" s="685"/>
      <c r="AL612" s="685"/>
      <c r="AM612" s="685"/>
      <c r="AN612" s="685"/>
      <c r="AO612" s="685"/>
      <c r="AP612" s="685"/>
      <c r="AQ612" s="685"/>
      <c r="AR612" s="685"/>
      <c r="AS612" s="685"/>
      <c r="AT612" s="685"/>
      <c r="AU612" s="685"/>
      <c r="AV612" s="685"/>
      <c r="AW612" s="685"/>
      <c r="AX612" s="685"/>
      <c r="AY612" s="685"/>
    </row>
    <row r="613" spans="1:51">
      <c r="A613" s="685"/>
      <c r="B613" s="685"/>
      <c r="C613" s="685"/>
      <c r="D613" s="685"/>
      <c r="E613" s="685"/>
      <c r="F613" s="685"/>
      <c r="G613" s="685"/>
      <c r="H613" s="685"/>
      <c r="I613" s="685"/>
      <c r="J613" s="685"/>
      <c r="K613" s="685"/>
      <c r="L613" s="685"/>
      <c r="M613" s="685"/>
      <c r="N613" s="685"/>
      <c r="O613" s="685"/>
      <c r="P613" s="685"/>
      <c r="Q613" s="685"/>
      <c r="R613" s="685"/>
      <c r="S613" s="685"/>
      <c r="T613" s="685"/>
      <c r="U613" s="685"/>
      <c r="V613" s="685"/>
      <c r="W613" s="685"/>
      <c r="X613" s="685"/>
      <c r="Y613" s="685"/>
      <c r="Z613" s="685"/>
      <c r="AA613" s="685"/>
      <c r="AB613" s="685"/>
      <c r="AC613" s="685"/>
      <c r="AD613" s="685"/>
      <c r="AE613" s="685"/>
      <c r="AF613" s="685"/>
      <c r="AG613" s="685"/>
      <c r="AH613" s="685"/>
      <c r="AI613" s="685"/>
      <c r="AJ613" s="685"/>
      <c r="AK613" s="685"/>
      <c r="AL613" s="685"/>
      <c r="AM613" s="685"/>
      <c r="AN613" s="685"/>
      <c r="AO613" s="685"/>
      <c r="AP613" s="685"/>
      <c r="AQ613" s="685"/>
      <c r="AR613" s="685"/>
      <c r="AS613" s="685"/>
      <c r="AT613" s="685"/>
      <c r="AU613" s="685"/>
      <c r="AV613" s="685"/>
      <c r="AW613" s="685"/>
      <c r="AX613" s="685"/>
      <c r="AY613" s="685"/>
    </row>
    <row r="614" spans="1:51">
      <c r="A614" s="685"/>
      <c r="B614" s="685"/>
      <c r="C614" s="685"/>
      <c r="D614" s="685"/>
      <c r="E614" s="685"/>
      <c r="F614" s="685"/>
      <c r="G614" s="685"/>
      <c r="H614" s="685"/>
      <c r="I614" s="685"/>
      <c r="J614" s="685"/>
      <c r="K614" s="685"/>
      <c r="L614" s="685"/>
      <c r="M614" s="685"/>
      <c r="N614" s="685"/>
      <c r="O614" s="685"/>
      <c r="P614" s="685"/>
      <c r="Q614" s="685"/>
      <c r="R614" s="685"/>
      <c r="S614" s="685"/>
      <c r="T614" s="685"/>
      <c r="U614" s="685"/>
      <c r="V614" s="685"/>
      <c r="W614" s="685"/>
      <c r="X614" s="685"/>
      <c r="Y614" s="685"/>
      <c r="Z614" s="685"/>
      <c r="AA614" s="685"/>
      <c r="AB614" s="685"/>
      <c r="AC614" s="685"/>
      <c r="AD614" s="685"/>
      <c r="AE614" s="685"/>
      <c r="AF614" s="685"/>
      <c r="AG614" s="685"/>
      <c r="AH614" s="685"/>
      <c r="AI614" s="685"/>
      <c r="AJ614" s="685"/>
      <c r="AK614" s="685"/>
      <c r="AL614" s="685"/>
      <c r="AM614" s="685"/>
      <c r="AN614" s="685"/>
      <c r="AO614" s="685"/>
      <c r="AP614" s="685"/>
      <c r="AQ614" s="685"/>
      <c r="AR614" s="685"/>
      <c r="AS614" s="685"/>
      <c r="AT614" s="685"/>
      <c r="AU614" s="685"/>
      <c r="AV614" s="685"/>
      <c r="AW614" s="685"/>
      <c r="AX614" s="685"/>
      <c r="AY614" s="685"/>
    </row>
    <row r="615" spans="1:51">
      <c r="A615" s="685"/>
      <c r="B615" s="685"/>
      <c r="C615" s="685"/>
      <c r="D615" s="685"/>
      <c r="E615" s="685"/>
      <c r="F615" s="685"/>
      <c r="G615" s="685"/>
      <c r="H615" s="685"/>
      <c r="I615" s="685"/>
      <c r="J615" s="685"/>
      <c r="K615" s="685"/>
      <c r="L615" s="685"/>
      <c r="M615" s="685"/>
      <c r="N615" s="685"/>
      <c r="O615" s="685"/>
      <c r="P615" s="685"/>
      <c r="Q615" s="685"/>
      <c r="R615" s="685"/>
      <c r="S615" s="685"/>
      <c r="T615" s="685"/>
      <c r="U615" s="685"/>
      <c r="V615" s="685"/>
      <c r="W615" s="685"/>
      <c r="X615" s="685"/>
      <c r="Y615" s="685"/>
      <c r="Z615" s="685"/>
      <c r="AA615" s="685"/>
      <c r="AB615" s="685"/>
      <c r="AC615" s="685"/>
      <c r="AD615" s="685"/>
      <c r="AE615" s="685"/>
      <c r="AF615" s="685"/>
      <c r="AG615" s="685"/>
      <c r="AH615" s="685"/>
      <c r="AI615" s="685"/>
      <c r="AJ615" s="685"/>
      <c r="AK615" s="685"/>
      <c r="AL615" s="685"/>
      <c r="AM615" s="685"/>
      <c r="AN615" s="685"/>
      <c r="AO615" s="685"/>
      <c r="AP615" s="685"/>
      <c r="AQ615" s="685"/>
      <c r="AR615" s="685"/>
      <c r="AS615" s="685"/>
      <c r="AT615" s="685"/>
      <c r="AU615" s="685"/>
      <c r="AV615" s="685"/>
      <c r="AW615" s="685"/>
      <c r="AX615" s="685"/>
      <c r="AY615" s="685"/>
    </row>
    <row r="616" spans="1:51">
      <c r="A616" s="685"/>
      <c r="B616" s="685"/>
      <c r="C616" s="685"/>
      <c r="D616" s="685"/>
      <c r="E616" s="685"/>
      <c r="F616" s="685"/>
      <c r="G616" s="685"/>
      <c r="H616" s="685"/>
      <c r="I616" s="685"/>
      <c r="J616" s="685"/>
      <c r="K616" s="685"/>
      <c r="L616" s="685"/>
      <c r="M616" s="685"/>
      <c r="N616" s="685"/>
      <c r="O616" s="685"/>
      <c r="P616" s="685"/>
      <c r="Q616" s="685"/>
      <c r="R616" s="685"/>
      <c r="S616" s="685"/>
      <c r="T616" s="685"/>
      <c r="U616" s="685"/>
      <c r="V616" s="685"/>
      <c r="W616" s="685"/>
      <c r="X616" s="685"/>
      <c r="Y616" s="685"/>
      <c r="Z616" s="685"/>
      <c r="AA616" s="685"/>
      <c r="AB616" s="685"/>
      <c r="AC616" s="685"/>
      <c r="AD616" s="685"/>
      <c r="AE616" s="685"/>
      <c r="AF616" s="685"/>
      <c r="AG616" s="685"/>
      <c r="AH616" s="685"/>
      <c r="AI616" s="685"/>
      <c r="AJ616" s="685"/>
      <c r="AK616" s="685"/>
      <c r="AL616" s="685"/>
      <c r="AM616" s="685"/>
      <c r="AN616" s="685"/>
      <c r="AO616" s="685"/>
      <c r="AP616" s="685"/>
      <c r="AQ616" s="685"/>
      <c r="AR616" s="685"/>
      <c r="AS616" s="685"/>
      <c r="AT616" s="685"/>
      <c r="AU616" s="685"/>
      <c r="AV616" s="685"/>
      <c r="AW616" s="685"/>
      <c r="AX616" s="685"/>
      <c r="AY616" s="685"/>
    </row>
    <row r="617" spans="1:51">
      <c r="A617" s="685"/>
      <c r="B617" s="685"/>
      <c r="C617" s="685"/>
      <c r="D617" s="685"/>
      <c r="E617" s="685"/>
      <c r="F617" s="685"/>
      <c r="G617" s="685"/>
      <c r="H617" s="685"/>
      <c r="I617" s="685"/>
      <c r="J617" s="685"/>
      <c r="K617" s="685"/>
      <c r="L617" s="685"/>
      <c r="M617" s="685"/>
      <c r="N617" s="685"/>
      <c r="O617" s="685"/>
      <c r="P617" s="685"/>
      <c r="Q617" s="685"/>
      <c r="R617" s="685"/>
      <c r="S617" s="685"/>
      <c r="T617" s="685"/>
      <c r="U617" s="685"/>
      <c r="V617" s="685"/>
      <c r="W617" s="685"/>
      <c r="X617" s="685"/>
      <c r="Y617" s="685"/>
      <c r="Z617" s="685"/>
      <c r="AA617" s="685"/>
      <c r="AB617" s="685"/>
      <c r="AC617" s="685"/>
      <c r="AD617" s="685"/>
      <c r="AE617" s="685"/>
      <c r="AF617" s="685"/>
      <c r="AG617" s="685"/>
      <c r="AH617" s="685"/>
      <c r="AI617" s="685"/>
      <c r="AJ617" s="685"/>
      <c r="AK617" s="685"/>
      <c r="AL617" s="685"/>
      <c r="AM617" s="685"/>
      <c r="AN617" s="685"/>
      <c r="AO617" s="685"/>
      <c r="AP617" s="685"/>
      <c r="AQ617" s="685"/>
      <c r="AR617" s="685"/>
      <c r="AS617" s="685"/>
      <c r="AT617" s="685"/>
      <c r="AU617" s="685"/>
      <c r="AV617" s="685"/>
      <c r="AW617" s="685"/>
      <c r="AX617" s="685"/>
      <c r="AY617" s="685"/>
    </row>
    <row r="618" spans="1:51">
      <c r="A618" s="685"/>
      <c r="B618" s="685"/>
      <c r="C618" s="685"/>
      <c r="D618" s="685"/>
      <c r="E618" s="685"/>
      <c r="F618" s="685"/>
      <c r="G618" s="685"/>
      <c r="H618" s="685"/>
      <c r="I618" s="685"/>
      <c r="J618" s="685"/>
      <c r="K618" s="685"/>
      <c r="L618" s="685"/>
      <c r="M618" s="685"/>
      <c r="N618" s="685"/>
      <c r="O618" s="685"/>
      <c r="P618" s="685"/>
      <c r="Q618" s="685"/>
      <c r="R618" s="685"/>
      <c r="S618" s="685"/>
      <c r="T618" s="685"/>
      <c r="U618" s="685"/>
      <c r="V618" s="685"/>
      <c r="W618" s="685"/>
      <c r="X618" s="685"/>
      <c r="Y618" s="685"/>
      <c r="Z618" s="685"/>
      <c r="AA618" s="685"/>
      <c r="AB618" s="685"/>
      <c r="AC618" s="685"/>
      <c r="AD618" s="685"/>
      <c r="AE618" s="685"/>
      <c r="AF618" s="685"/>
      <c r="AG618" s="685"/>
      <c r="AH618" s="685"/>
      <c r="AI618" s="685"/>
      <c r="AJ618" s="685"/>
      <c r="AK618" s="685"/>
      <c r="AL618" s="685"/>
      <c r="AM618" s="685"/>
      <c r="AN618" s="685"/>
      <c r="AO618" s="685"/>
      <c r="AP618" s="685"/>
      <c r="AQ618" s="685"/>
      <c r="AR618" s="685"/>
      <c r="AS618" s="685"/>
      <c r="AT618" s="685"/>
      <c r="AU618" s="685"/>
      <c r="AV618" s="685"/>
      <c r="AW618" s="685"/>
      <c r="AX618" s="685"/>
      <c r="AY618" s="685"/>
    </row>
    <row r="619" spans="1:51">
      <c r="A619" s="685"/>
      <c r="B619" s="685"/>
      <c r="C619" s="685"/>
      <c r="D619" s="685"/>
      <c r="E619" s="685"/>
      <c r="F619" s="685"/>
      <c r="G619" s="685"/>
      <c r="H619" s="685"/>
      <c r="I619" s="685"/>
      <c r="J619" s="685"/>
      <c r="K619" s="685"/>
      <c r="L619" s="685"/>
      <c r="M619" s="685"/>
      <c r="N619" s="685"/>
      <c r="O619" s="685"/>
      <c r="P619" s="685"/>
      <c r="Q619" s="685"/>
      <c r="R619" s="685"/>
      <c r="S619" s="685"/>
      <c r="T619" s="685"/>
      <c r="U619" s="685"/>
      <c r="V619" s="685"/>
      <c r="W619" s="685"/>
      <c r="X619" s="685"/>
      <c r="Y619" s="685"/>
      <c r="Z619" s="685"/>
      <c r="AA619" s="685"/>
      <c r="AB619" s="685"/>
      <c r="AC619" s="685"/>
      <c r="AD619" s="685"/>
      <c r="AE619" s="685"/>
      <c r="AF619" s="685"/>
      <c r="AG619" s="685"/>
      <c r="AH619" s="685"/>
      <c r="AI619" s="685"/>
      <c r="AJ619" s="685"/>
      <c r="AK619" s="685"/>
      <c r="AL619" s="685"/>
      <c r="AM619" s="685"/>
      <c r="AN619" s="685"/>
      <c r="AO619" s="685"/>
      <c r="AP619" s="685"/>
      <c r="AQ619" s="685"/>
      <c r="AR619" s="685"/>
      <c r="AS619" s="685"/>
      <c r="AT619" s="685"/>
      <c r="AU619" s="685"/>
      <c r="AV619" s="685"/>
      <c r="AW619" s="685"/>
      <c r="AX619" s="685"/>
      <c r="AY619" s="685"/>
    </row>
    <row r="620" spans="1:51">
      <c r="A620" s="685"/>
      <c r="B620" s="685"/>
      <c r="C620" s="685"/>
      <c r="D620" s="685"/>
      <c r="E620" s="685"/>
      <c r="F620" s="685"/>
      <c r="G620" s="685"/>
      <c r="H620" s="685"/>
      <c r="I620" s="685"/>
      <c r="J620" s="685"/>
      <c r="K620" s="685"/>
      <c r="L620" s="685"/>
      <c r="M620" s="685"/>
      <c r="N620" s="685"/>
      <c r="O620" s="685"/>
      <c r="P620" s="685"/>
      <c r="Q620" s="685"/>
      <c r="R620" s="685"/>
      <c r="S620" s="685"/>
      <c r="T620" s="685"/>
      <c r="U620" s="685"/>
      <c r="V620" s="685"/>
      <c r="W620" s="685"/>
      <c r="X620" s="685"/>
      <c r="Y620" s="685"/>
      <c r="Z620" s="685"/>
      <c r="AA620" s="685"/>
      <c r="AB620" s="685"/>
      <c r="AC620" s="685"/>
      <c r="AD620" s="685"/>
      <c r="AE620" s="685"/>
      <c r="AF620" s="685"/>
      <c r="AG620" s="685"/>
      <c r="AH620" s="685"/>
      <c r="AI620" s="685"/>
      <c r="AJ620" s="685"/>
      <c r="AK620" s="685"/>
      <c r="AL620" s="685"/>
      <c r="AM620" s="685"/>
      <c r="AN620" s="685"/>
      <c r="AO620" s="685"/>
      <c r="AP620" s="685"/>
      <c r="AQ620" s="685"/>
      <c r="AR620" s="685"/>
      <c r="AS620" s="685"/>
      <c r="AT620" s="685"/>
      <c r="AU620" s="685"/>
      <c r="AV620" s="685"/>
      <c r="AW620" s="685"/>
      <c r="AX620" s="685"/>
      <c r="AY620" s="685"/>
    </row>
    <row r="621" spans="1:51">
      <c r="A621" s="685"/>
      <c r="B621" s="685"/>
      <c r="C621" s="685"/>
      <c r="D621" s="685"/>
      <c r="E621" s="685"/>
      <c r="F621" s="685"/>
      <c r="G621" s="685"/>
      <c r="H621" s="685"/>
      <c r="I621" s="685"/>
      <c r="J621" s="685"/>
      <c r="K621" s="685"/>
      <c r="L621" s="685"/>
      <c r="M621" s="685"/>
      <c r="N621" s="685"/>
      <c r="O621" s="685"/>
      <c r="P621" s="685"/>
      <c r="Q621" s="685"/>
      <c r="R621" s="685"/>
      <c r="S621" s="685"/>
      <c r="T621" s="685"/>
      <c r="U621" s="685"/>
      <c r="V621" s="685"/>
      <c r="W621" s="685"/>
      <c r="X621" s="685"/>
      <c r="Y621" s="685"/>
      <c r="Z621" s="685"/>
      <c r="AA621" s="685"/>
      <c r="AB621" s="685"/>
      <c r="AC621" s="685"/>
      <c r="AD621" s="685"/>
      <c r="AE621" s="685"/>
      <c r="AF621" s="685"/>
      <c r="AG621" s="685"/>
      <c r="AH621" s="685"/>
      <c r="AI621" s="685"/>
      <c r="AJ621" s="685"/>
      <c r="AK621" s="685"/>
      <c r="AL621" s="685"/>
      <c r="AM621" s="685"/>
      <c r="AN621" s="685"/>
      <c r="AO621" s="685"/>
      <c r="AP621" s="685"/>
      <c r="AQ621" s="685"/>
      <c r="AR621" s="685"/>
      <c r="AS621" s="685"/>
      <c r="AT621" s="685"/>
      <c r="AU621" s="685"/>
      <c r="AV621" s="685"/>
      <c r="AW621" s="685"/>
      <c r="AX621" s="685"/>
      <c r="AY621" s="685"/>
    </row>
    <row r="622" spans="1:51">
      <c r="A622" s="685"/>
      <c r="B622" s="685"/>
      <c r="C622" s="685"/>
      <c r="D622" s="685"/>
      <c r="E622" s="685"/>
      <c r="F622" s="685"/>
      <c r="G622" s="685"/>
      <c r="H622" s="685"/>
      <c r="I622" s="685"/>
      <c r="J622" s="685"/>
      <c r="K622" s="685"/>
      <c r="L622" s="685"/>
      <c r="M622" s="685"/>
      <c r="N622" s="685"/>
      <c r="O622" s="685"/>
      <c r="P622" s="685"/>
      <c r="Q622" s="685"/>
      <c r="R622" s="685"/>
      <c r="S622" s="685"/>
      <c r="T622" s="685"/>
      <c r="U622" s="685"/>
      <c r="V622" s="685"/>
      <c r="W622" s="685"/>
      <c r="X622" s="685"/>
      <c r="Y622" s="685"/>
      <c r="Z622" s="685"/>
      <c r="AA622" s="685"/>
      <c r="AB622" s="685"/>
      <c r="AC622" s="685"/>
      <c r="AD622" s="685"/>
      <c r="AE622" s="685"/>
      <c r="AF622" s="685"/>
      <c r="AG622" s="685"/>
      <c r="AH622" s="685"/>
      <c r="AI622" s="685"/>
      <c r="AJ622" s="685"/>
      <c r="AK622" s="685"/>
      <c r="AL622" s="685"/>
      <c r="AM622" s="685"/>
      <c r="AN622" s="685"/>
      <c r="AO622" s="685"/>
      <c r="AP622" s="685"/>
      <c r="AQ622" s="685"/>
      <c r="AR622" s="685"/>
      <c r="AS622" s="685"/>
      <c r="AT622" s="685"/>
      <c r="AU622" s="685"/>
      <c r="AV622" s="685"/>
      <c r="AW622" s="685"/>
      <c r="AX622" s="685"/>
      <c r="AY622" s="685"/>
    </row>
  </sheetData>
  <pageMargins left="0.70866141732283472" right="0.70866141732283472" top="0.74803149606299213" bottom="0.74803149606299213" header="0.31496062992125984" footer="0.31496062992125984"/>
  <pageSetup paperSize="9" scale="18" fitToHeight="2" orientation="portrait" r:id="rId1"/>
  <rowBreaks count="1" manualBreakCount="1">
    <brk id="177" max="16383" man="1"/>
  </rowBreaks>
  <ignoredErrors>
    <ignoredError sqref="J9" 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59999389629810485"/>
    <pageSetUpPr fitToPage="1"/>
  </sheetPr>
  <dimension ref="A1:AA291"/>
  <sheetViews>
    <sheetView zoomScale="72" zoomScaleNormal="72" workbookViewId="0">
      <pane xSplit="2" ySplit="1" topLeftCell="L200" activePane="bottomRight" state="frozen"/>
      <selection pane="topRight" activeCell="C1" sqref="C1"/>
      <selection pane="bottomLeft" activeCell="A2" sqref="A2"/>
      <selection pane="bottomRight" activeCell="T208" sqref="T208"/>
    </sheetView>
  </sheetViews>
  <sheetFormatPr defaultColWidth="9.140625" defaultRowHeight="15" outlineLevelRow="1" outlineLevelCol="1"/>
  <cols>
    <col min="1" max="1" width="3.42578125" style="685" customWidth="1"/>
    <col min="2" max="2" width="45.140625" style="685" customWidth="1"/>
    <col min="3" max="5" width="9.140625" style="685" hidden="1" customWidth="1" outlineLevel="1"/>
    <col min="6" max="6" width="8.85546875" style="685" collapsed="1"/>
    <col min="7" max="20" width="9.140625" style="685" customWidth="1"/>
    <col min="21" max="16384" width="9.140625" style="685"/>
  </cols>
  <sheetData>
    <row r="1" spans="1:25">
      <c r="A1" s="874"/>
      <c r="B1" s="874"/>
      <c r="C1" s="874"/>
      <c r="D1" s="874">
        <f>Master!H41</f>
        <v>2009</v>
      </c>
      <c r="E1" s="874">
        <f>Master!I41</f>
        <v>2010</v>
      </c>
      <c r="F1" s="874">
        <f>Master!J41</f>
        <v>2011</v>
      </c>
      <c r="G1" s="874">
        <f>Master!K41</f>
        <v>2012</v>
      </c>
      <c r="H1" s="874">
        <f>Master!L41</f>
        <v>2013</v>
      </c>
      <c r="I1" s="874">
        <f>Master!M41</f>
        <v>2014</v>
      </c>
      <c r="J1" s="874">
        <f>Master!N41</f>
        <v>2015</v>
      </c>
      <c r="K1" s="874">
        <f>Master!O41</f>
        <v>2016</v>
      </c>
      <c r="L1" s="874">
        <f>Master!P41</f>
        <v>2017</v>
      </c>
      <c r="M1" s="874">
        <f>Master!Q41</f>
        <v>2018</v>
      </c>
      <c r="N1" s="874">
        <f>Master!R41</f>
        <v>2019</v>
      </c>
      <c r="O1" s="874">
        <f>Master!S41</f>
        <v>2020</v>
      </c>
      <c r="P1" s="874">
        <f>Master!T41</f>
        <v>2021</v>
      </c>
      <c r="Q1" s="874">
        <f>Master!U41</f>
        <v>2022</v>
      </c>
      <c r="R1" s="874">
        <f>Master!V41</f>
        <v>2023</v>
      </c>
      <c r="S1" s="874">
        <f>Master!W41</f>
        <v>2024</v>
      </c>
      <c r="T1" s="874">
        <f>Master!X41</f>
        <v>2025</v>
      </c>
      <c r="U1" s="874">
        <f>Master!Y41</f>
        <v>2026</v>
      </c>
      <c r="V1" s="874">
        <f>Master!Z41</f>
        <v>2027</v>
      </c>
      <c r="W1" s="874">
        <f>Master!AA41</f>
        <v>2028</v>
      </c>
      <c r="X1" s="874">
        <f>Master!AB41</f>
        <v>2029</v>
      </c>
      <c r="Y1" s="874">
        <f>Master!AC41</f>
        <v>2030</v>
      </c>
    </row>
    <row r="3" spans="1:25">
      <c r="B3" s="857" t="s">
        <v>6689</v>
      </c>
      <c r="C3" s="743"/>
      <c r="D3" s="743">
        <f t="shared" ref="D3:Y3" si="0">D57</f>
        <v>2009</v>
      </c>
      <c r="E3" s="743">
        <f t="shared" si="0"/>
        <v>2010</v>
      </c>
      <c r="F3" s="743">
        <f t="shared" si="0"/>
        <v>2011</v>
      </c>
      <c r="G3" s="743">
        <f t="shared" si="0"/>
        <v>2012</v>
      </c>
      <c r="H3" s="743">
        <f t="shared" si="0"/>
        <v>2013</v>
      </c>
      <c r="I3" s="743">
        <f t="shared" si="0"/>
        <v>2014</v>
      </c>
      <c r="J3" s="743">
        <f t="shared" si="0"/>
        <v>2015</v>
      </c>
      <c r="K3" s="743">
        <f t="shared" si="0"/>
        <v>2016</v>
      </c>
      <c r="L3" s="743">
        <f t="shared" si="0"/>
        <v>2017</v>
      </c>
      <c r="M3" s="743">
        <f t="shared" si="0"/>
        <v>2018</v>
      </c>
      <c r="N3" s="743">
        <f t="shared" si="0"/>
        <v>2019</v>
      </c>
      <c r="O3" s="743">
        <f t="shared" si="0"/>
        <v>2020</v>
      </c>
      <c r="P3" s="743">
        <f t="shared" si="0"/>
        <v>2021</v>
      </c>
      <c r="Q3" s="743">
        <f t="shared" si="0"/>
        <v>2022</v>
      </c>
      <c r="R3" s="743">
        <f t="shared" si="0"/>
        <v>2023</v>
      </c>
      <c r="S3" s="743">
        <f t="shared" si="0"/>
        <v>2024</v>
      </c>
      <c r="T3" s="743">
        <f t="shared" si="0"/>
        <v>2025</v>
      </c>
      <c r="U3" s="743">
        <f t="shared" si="0"/>
        <v>2026</v>
      </c>
      <c r="V3" s="743">
        <f t="shared" si="0"/>
        <v>2027</v>
      </c>
      <c r="W3" s="743">
        <f t="shared" si="0"/>
        <v>2028</v>
      </c>
      <c r="X3" s="743">
        <f t="shared" si="0"/>
        <v>2029</v>
      </c>
      <c r="Y3" s="743">
        <f t="shared" si="0"/>
        <v>2030</v>
      </c>
    </row>
    <row r="4" spans="1:25">
      <c r="B4" s="685" t="s">
        <v>665</v>
      </c>
      <c r="O4" s="978">
        <v>9000</v>
      </c>
      <c r="P4" s="978">
        <v>10000</v>
      </c>
      <c r="Q4" s="902">
        <v>11500</v>
      </c>
      <c r="R4" s="902">
        <v>13000</v>
      </c>
      <c r="S4" s="848">
        <f t="shared" ref="S4:Y4" si="1">R4+S11</f>
        <v>14500</v>
      </c>
      <c r="T4" s="848">
        <f t="shared" si="1"/>
        <v>16000</v>
      </c>
      <c r="U4" s="848">
        <f t="shared" si="1"/>
        <v>17000</v>
      </c>
      <c r="V4" s="848">
        <f t="shared" si="1"/>
        <v>17500</v>
      </c>
      <c r="W4" s="848">
        <f t="shared" si="1"/>
        <v>18000</v>
      </c>
      <c r="X4" s="848">
        <f t="shared" si="1"/>
        <v>18500</v>
      </c>
      <c r="Y4" s="848">
        <f t="shared" si="1"/>
        <v>19000</v>
      </c>
    </row>
    <row r="5" spans="1:25">
      <c r="B5" s="685" t="s">
        <v>1042</v>
      </c>
      <c r="O5" s="978">
        <v>15800</v>
      </c>
      <c r="P5" s="978">
        <v>17800</v>
      </c>
      <c r="Q5" s="978">
        <v>18700</v>
      </c>
      <c r="R5" s="978">
        <v>19600</v>
      </c>
      <c r="S5" s="848">
        <f t="shared" ref="S5:Y5" si="2">R5+S12</f>
        <v>20000</v>
      </c>
      <c r="T5" s="848">
        <f t="shared" si="2"/>
        <v>20400</v>
      </c>
      <c r="U5" s="848">
        <f t="shared" si="2"/>
        <v>20800</v>
      </c>
      <c r="V5" s="848">
        <f t="shared" si="2"/>
        <v>21200</v>
      </c>
      <c r="W5" s="848">
        <f t="shared" si="2"/>
        <v>21600</v>
      </c>
      <c r="X5" s="848">
        <f t="shared" si="2"/>
        <v>22000</v>
      </c>
      <c r="Y5" s="848">
        <f t="shared" si="2"/>
        <v>22400</v>
      </c>
    </row>
    <row r="6" spans="1:25">
      <c r="B6" s="685" t="s">
        <v>89</v>
      </c>
      <c r="O6" s="978">
        <v>8955</v>
      </c>
      <c r="P6" s="978">
        <v>9569</v>
      </c>
      <c r="Q6" s="978">
        <v>11560</v>
      </c>
      <c r="R6" s="978">
        <v>15438</v>
      </c>
      <c r="S6" s="848">
        <f t="shared" ref="S6" si="3">R6+S13</f>
        <v>16938</v>
      </c>
      <c r="T6" s="848">
        <f t="shared" ref="T6" si="4">S6+T13</f>
        <v>17938</v>
      </c>
      <c r="U6" s="848">
        <f t="shared" ref="U6" si="5">T6+U13</f>
        <v>18188</v>
      </c>
      <c r="V6" s="848">
        <f t="shared" ref="V6" si="6">U6+V13</f>
        <v>18438</v>
      </c>
      <c r="W6" s="848">
        <f t="shared" ref="W6" si="7">V6+W13</f>
        <v>18688</v>
      </c>
      <c r="X6" s="848">
        <f t="shared" ref="X6" si="8">W6+X13</f>
        <v>18938</v>
      </c>
      <c r="Y6" s="848">
        <f t="shared" ref="Y6" si="9">X6+Y13</f>
        <v>19188</v>
      </c>
    </row>
    <row r="7" spans="1:25">
      <c r="B7" s="743" t="s">
        <v>866</v>
      </c>
      <c r="C7" s="743"/>
      <c r="D7" s="743"/>
      <c r="E7" s="743"/>
      <c r="F7" s="743"/>
      <c r="G7" s="743"/>
      <c r="H7" s="743"/>
      <c r="I7" s="743"/>
      <c r="J7" s="743"/>
      <c r="K7" s="743"/>
      <c r="L7" s="743"/>
      <c r="M7" s="743"/>
      <c r="N7" s="743"/>
      <c r="O7" s="988">
        <v>12300</v>
      </c>
      <c r="P7" s="988">
        <v>14700</v>
      </c>
      <c r="Q7" s="988">
        <v>17332</v>
      </c>
      <c r="R7" s="988">
        <v>17557</v>
      </c>
      <c r="S7" s="901">
        <f t="shared" ref="S7:Y7" si="10">R7+S14</f>
        <v>17664.943499999994</v>
      </c>
      <c r="T7" s="901">
        <f t="shared" si="10"/>
        <v>17791.316999999995</v>
      </c>
      <c r="U7" s="901">
        <f t="shared" si="10"/>
        <v>17852.819199999998</v>
      </c>
      <c r="V7" s="901">
        <f t="shared" si="10"/>
        <v>17923.641100000008</v>
      </c>
      <c r="W7" s="901">
        <f t="shared" si="10"/>
        <v>18003.463000000003</v>
      </c>
      <c r="X7" s="901">
        <f t="shared" si="10"/>
        <v>18132.153999999995</v>
      </c>
      <c r="Y7" s="901">
        <f t="shared" si="10"/>
        <v>18270.845000000001</v>
      </c>
    </row>
    <row r="8" spans="1:25">
      <c r="B8" s="685" t="s">
        <v>923</v>
      </c>
      <c r="O8" s="848">
        <f>SUM(O4:O7)</f>
        <v>46055</v>
      </c>
      <c r="P8" s="848">
        <f>SUM(P4:P7)</f>
        <v>52069</v>
      </c>
      <c r="Q8" s="848">
        <f t="shared" ref="Q8:Y8" si="11">SUM(Q4:Q7)</f>
        <v>59092</v>
      </c>
      <c r="R8" s="848">
        <f t="shared" si="11"/>
        <v>65595</v>
      </c>
      <c r="S8" s="848">
        <f t="shared" si="11"/>
        <v>69102.943499999994</v>
      </c>
      <c r="T8" s="848">
        <f t="shared" si="11"/>
        <v>72129.316999999995</v>
      </c>
      <c r="U8" s="848">
        <f t="shared" si="11"/>
        <v>73840.819199999998</v>
      </c>
      <c r="V8" s="848">
        <f t="shared" si="11"/>
        <v>75061.641100000008</v>
      </c>
      <c r="W8" s="848">
        <f t="shared" si="11"/>
        <v>76291.463000000003</v>
      </c>
      <c r="X8" s="848">
        <f t="shared" si="11"/>
        <v>77570.153999999995</v>
      </c>
      <c r="Y8" s="848">
        <f t="shared" si="11"/>
        <v>78858.845000000001</v>
      </c>
    </row>
    <row r="10" spans="1:25">
      <c r="B10" s="874" t="s">
        <v>6688</v>
      </c>
    </row>
    <row r="11" spans="1:25">
      <c r="B11" s="685" t="s">
        <v>665</v>
      </c>
      <c r="O11" s="848"/>
      <c r="P11" s="848">
        <f t="shared" ref="P11:R14" si="12">P4-O4</f>
        <v>1000</v>
      </c>
      <c r="Q11" s="848">
        <f t="shared" si="12"/>
        <v>1500</v>
      </c>
      <c r="R11" s="848">
        <f t="shared" si="12"/>
        <v>1500</v>
      </c>
      <c r="S11" s="902">
        <v>1500</v>
      </c>
      <c r="T11" s="902">
        <v>1500</v>
      </c>
      <c r="U11" s="902">
        <v>1000</v>
      </c>
      <c r="V11" s="902">
        <v>500</v>
      </c>
      <c r="W11" s="902">
        <v>500</v>
      </c>
      <c r="X11" s="902">
        <v>500</v>
      </c>
      <c r="Y11" s="902">
        <v>500</v>
      </c>
    </row>
    <row r="12" spans="1:25">
      <c r="B12" s="685" t="s">
        <v>1042</v>
      </c>
      <c r="O12" s="848"/>
      <c r="P12" s="848">
        <f t="shared" si="12"/>
        <v>2000</v>
      </c>
      <c r="Q12" s="848">
        <f t="shared" si="12"/>
        <v>900</v>
      </c>
      <c r="R12" s="848">
        <f t="shared" si="12"/>
        <v>900</v>
      </c>
      <c r="S12" s="902">
        <v>400</v>
      </c>
      <c r="T12" s="902">
        <v>400</v>
      </c>
      <c r="U12" s="902">
        <v>400</v>
      </c>
      <c r="V12" s="902">
        <v>400</v>
      </c>
      <c r="W12" s="902">
        <v>400</v>
      </c>
      <c r="X12" s="902">
        <v>400</v>
      </c>
      <c r="Y12" s="902">
        <v>400</v>
      </c>
    </row>
    <row r="13" spans="1:25">
      <c r="B13" s="685" t="s">
        <v>89</v>
      </c>
      <c r="O13" s="848"/>
      <c r="P13" s="848">
        <f t="shared" si="12"/>
        <v>614</v>
      </c>
      <c r="Q13" s="848">
        <f t="shared" si="12"/>
        <v>1991</v>
      </c>
      <c r="R13" s="848">
        <f t="shared" si="12"/>
        <v>3878</v>
      </c>
      <c r="S13" s="902">
        <v>1500</v>
      </c>
      <c r="T13" s="902">
        <v>1000</v>
      </c>
      <c r="U13" s="902">
        <v>250</v>
      </c>
      <c r="V13" s="902">
        <v>250</v>
      </c>
      <c r="W13" s="902">
        <v>250</v>
      </c>
      <c r="X13" s="902">
        <v>250</v>
      </c>
      <c r="Y13" s="902">
        <v>250</v>
      </c>
    </row>
    <row r="14" spans="1:25">
      <c r="B14" s="743" t="s">
        <v>866</v>
      </c>
      <c r="C14" s="743"/>
      <c r="D14" s="743"/>
      <c r="E14" s="743"/>
      <c r="F14" s="743"/>
      <c r="G14" s="743"/>
      <c r="H14" s="743"/>
      <c r="I14" s="743"/>
      <c r="J14" s="743"/>
      <c r="K14" s="743"/>
      <c r="L14" s="743"/>
      <c r="M14" s="743"/>
      <c r="N14" s="743"/>
      <c r="O14" s="901"/>
      <c r="P14" s="901">
        <f t="shared" si="12"/>
        <v>2400</v>
      </c>
      <c r="Q14" s="901">
        <f t="shared" si="12"/>
        <v>2632</v>
      </c>
      <c r="R14" s="901">
        <f t="shared" si="12"/>
        <v>225</v>
      </c>
      <c r="S14" s="1019">
        <v>107.94349999999397</v>
      </c>
      <c r="T14" s="1019">
        <v>126.37349999999969</v>
      </c>
      <c r="U14" s="1019">
        <v>61.502200000003171</v>
      </c>
      <c r="V14" s="1019">
        <v>70.821900000009208</v>
      </c>
      <c r="W14" s="1019">
        <v>79.821899999995338</v>
      </c>
      <c r="X14" s="1019">
        <v>128.69099999999278</v>
      </c>
      <c r="Y14" s="1019">
        <v>138.691000000005</v>
      </c>
    </row>
    <row r="15" spans="1:25">
      <c r="B15" s="685" t="s">
        <v>923</v>
      </c>
      <c r="O15" s="848"/>
      <c r="P15" s="848">
        <f>SUM(P11:P14)</f>
        <v>6014</v>
      </c>
      <c r="Q15" s="848">
        <f>SUM(Q11:Q14)</f>
        <v>7023</v>
      </c>
      <c r="R15" s="848">
        <f t="shared" ref="R15:Y15" si="13">SUM(R11:R14)</f>
        <v>6503</v>
      </c>
      <c r="S15" s="848">
        <f t="shared" si="13"/>
        <v>3507.9434999999939</v>
      </c>
      <c r="T15" s="848">
        <f t="shared" si="13"/>
        <v>3026.3734999999997</v>
      </c>
      <c r="U15" s="848">
        <f t="shared" si="13"/>
        <v>1711.5022000000031</v>
      </c>
      <c r="V15" s="848">
        <f t="shared" si="13"/>
        <v>1220.8219000000092</v>
      </c>
      <c r="W15" s="848">
        <f t="shared" si="13"/>
        <v>1229.8218999999954</v>
      </c>
      <c r="X15" s="848">
        <f t="shared" si="13"/>
        <v>1278.6909999999928</v>
      </c>
      <c r="Y15" s="848">
        <f t="shared" si="13"/>
        <v>1288.691000000005</v>
      </c>
    </row>
    <row r="17" spans="2:25">
      <c r="B17" s="857" t="s">
        <v>6687</v>
      </c>
      <c r="C17" s="743"/>
      <c r="D17" s="743">
        <f t="shared" ref="D17:Y17" si="14">D3</f>
        <v>2009</v>
      </c>
      <c r="E17" s="743">
        <f t="shared" si="14"/>
        <v>2010</v>
      </c>
      <c r="F17" s="743">
        <f t="shared" si="14"/>
        <v>2011</v>
      </c>
      <c r="G17" s="743">
        <f t="shared" si="14"/>
        <v>2012</v>
      </c>
      <c r="H17" s="743">
        <f t="shared" si="14"/>
        <v>2013</v>
      </c>
      <c r="I17" s="743">
        <f t="shared" si="14"/>
        <v>2014</v>
      </c>
      <c r="J17" s="743">
        <f t="shared" si="14"/>
        <v>2015</v>
      </c>
      <c r="K17" s="743">
        <f t="shared" si="14"/>
        <v>2016</v>
      </c>
      <c r="L17" s="743">
        <f t="shared" si="14"/>
        <v>2017</v>
      </c>
      <c r="M17" s="743">
        <f t="shared" si="14"/>
        <v>2018</v>
      </c>
      <c r="N17" s="743">
        <f t="shared" si="14"/>
        <v>2019</v>
      </c>
      <c r="O17" s="743">
        <f t="shared" si="14"/>
        <v>2020</v>
      </c>
      <c r="P17" s="743">
        <f t="shared" si="14"/>
        <v>2021</v>
      </c>
      <c r="Q17" s="743">
        <f t="shared" si="14"/>
        <v>2022</v>
      </c>
      <c r="R17" s="743">
        <f t="shared" si="14"/>
        <v>2023</v>
      </c>
      <c r="S17" s="743">
        <f t="shared" si="14"/>
        <v>2024</v>
      </c>
      <c r="T17" s="743">
        <f t="shared" si="14"/>
        <v>2025</v>
      </c>
      <c r="U17" s="743">
        <f t="shared" si="14"/>
        <v>2026</v>
      </c>
      <c r="V17" s="743">
        <f t="shared" si="14"/>
        <v>2027</v>
      </c>
      <c r="W17" s="743">
        <f t="shared" si="14"/>
        <v>2028</v>
      </c>
      <c r="X17" s="743">
        <f t="shared" si="14"/>
        <v>2029</v>
      </c>
      <c r="Y17" s="743">
        <f t="shared" si="14"/>
        <v>2030</v>
      </c>
    </row>
    <row r="18" spans="2:25">
      <c r="B18" s="685" t="s">
        <v>665</v>
      </c>
      <c r="N18" s="978">
        <f>(2733+3317)/2</f>
        <v>3025</v>
      </c>
      <c r="O18" s="978">
        <f>(4281+3317)/2</f>
        <v>3799</v>
      </c>
      <c r="P18" s="978">
        <v>4800</v>
      </c>
      <c r="Q18" s="848">
        <f t="shared" ref="Q18:Y18" si="15">Q36*Q4</f>
        <v>5750</v>
      </c>
      <c r="R18" s="848">
        <f t="shared" si="15"/>
        <v>6500</v>
      </c>
      <c r="S18" s="848">
        <f t="shared" si="15"/>
        <v>7250</v>
      </c>
      <c r="T18" s="848">
        <f t="shared" si="15"/>
        <v>7840</v>
      </c>
      <c r="U18" s="848">
        <f t="shared" si="15"/>
        <v>8160</v>
      </c>
      <c r="V18" s="848">
        <f t="shared" si="15"/>
        <v>8225</v>
      </c>
      <c r="W18" s="848">
        <f t="shared" si="15"/>
        <v>8280</v>
      </c>
      <c r="X18" s="848">
        <f t="shared" si="15"/>
        <v>8325</v>
      </c>
      <c r="Y18" s="848">
        <f t="shared" si="15"/>
        <v>8359.9999999999982</v>
      </c>
    </row>
    <row r="19" spans="2:25">
      <c r="B19" s="685" t="s">
        <v>1042</v>
      </c>
      <c r="O19" s="848">
        <f>O44/O51</f>
        <v>5801.288752835173</v>
      </c>
      <c r="P19" s="848">
        <f>P44/P51</f>
        <v>6414.5897777777782</v>
      </c>
      <c r="Q19" s="848">
        <f>Q44/Q51</f>
        <v>6967.1533333333336</v>
      </c>
      <c r="R19" s="848">
        <f t="shared" ref="R19:Y19" si="16">R44/R51</f>
        <v>6706.253333333334</v>
      </c>
      <c r="S19" s="848">
        <f t="shared" si="16"/>
        <v>6782.7909951069196</v>
      </c>
      <c r="T19" s="848">
        <f t="shared" si="16"/>
        <v>6897.1503320086858</v>
      </c>
      <c r="U19" s="848">
        <f t="shared" si="16"/>
        <v>6914.5880426986487</v>
      </c>
      <c r="V19" s="848">
        <f t="shared" si="16"/>
        <v>6935.1938235398011</v>
      </c>
      <c r="W19" s="848">
        <f t="shared" si="16"/>
        <v>6943.0333845875684</v>
      </c>
      <c r="X19" s="848">
        <f t="shared" si="16"/>
        <v>7027.6782129535031</v>
      </c>
      <c r="Y19" s="848">
        <f t="shared" si="16"/>
        <v>7103.8543681453702</v>
      </c>
    </row>
    <row r="20" spans="2:25">
      <c r="B20" s="685" t="s">
        <v>89</v>
      </c>
      <c r="O20" s="978">
        <v>3933</v>
      </c>
      <c r="P20" s="978">
        <v>4153</v>
      </c>
      <c r="Q20" s="978">
        <v>4398</v>
      </c>
      <c r="R20" s="978">
        <v>4946</v>
      </c>
      <c r="S20" s="902">
        <v>5404.7199868594134</v>
      </c>
      <c r="T20" s="902">
        <v>5768.3351374641179</v>
      </c>
      <c r="U20" s="902">
        <v>5978.3374704336802</v>
      </c>
      <c r="V20" s="902">
        <v>6145.5615503909239</v>
      </c>
      <c r="W20" s="902">
        <v>6270.007377335849</v>
      </c>
      <c r="X20" s="902">
        <v>6390.5642721887461</v>
      </c>
      <c r="Y20" s="902">
        <v>6507.2322349496135</v>
      </c>
    </row>
    <row r="21" spans="2:25">
      <c r="B21" s="743" t="s">
        <v>866</v>
      </c>
      <c r="C21" s="743"/>
      <c r="D21" s="743"/>
      <c r="E21" s="743"/>
      <c r="F21" s="743"/>
      <c r="G21" s="743"/>
      <c r="H21" s="743"/>
      <c r="I21" s="743"/>
      <c r="J21" s="743"/>
      <c r="K21" s="743"/>
      <c r="L21" s="743"/>
      <c r="M21" s="743"/>
      <c r="N21" s="743"/>
      <c r="O21" s="988">
        <v>2444</v>
      </c>
      <c r="P21" s="988">
        <v>3459</v>
      </c>
      <c r="Q21" s="988">
        <v>4300</v>
      </c>
      <c r="R21" s="988">
        <v>4779</v>
      </c>
      <c r="S21" s="1019">
        <v>5149.4799999999996</v>
      </c>
      <c r="T21" s="1019">
        <v>5469.48</v>
      </c>
      <c r="U21" s="1019">
        <v>5769.48</v>
      </c>
      <c r="V21" s="1019">
        <v>6019.48</v>
      </c>
      <c r="W21" s="1019">
        <v>6219.48</v>
      </c>
      <c r="X21" s="1019">
        <v>6419.48</v>
      </c>
      <c r="Y21" s="1019">
        <v>6619.48</v>
      </c>
    </row>
    <row r="22" spans="2:25">
      <c r="B22" s="685" t="s">
        <v>923</v>
      </c>
      <c r="O22" s="848">
        <f t="shared" ref="O22:Y22" si="17">SUM(O18:O21)</f>
        <v>15977.288752835173</v>
      </c>
      <c r="P22" s="848">
        <f t="shared" si="17"/>
        <v>18826.589777777779</v>
      </c>
      <c r="Q22" s="848">
        <f t="shared" si="17"/>
        <v>21415.153333333335</v>
      </c>
      <c r="R22" s="848">
        <f t="shared" si="17"/>
        <v>22931.253333333334</v>
      </c>
      <c r="S22" s="848">
        <f t="shared" si="17"/>
        <v>24586.990981966333</v>
      </c>
      <c r="T22" s="848">
        <f t="shared" si="17"/>
        <v>25974.965469472801</v>
      </c>
      <c r="U22" s="848">
        <f t="shared" si="17"/>
        <v>26822.405513132329</v>
      </c>
      <c r="V22" s="848">
        <f t="shared" si="17"/>
        <v>27325.235373930725</v>
      </c>
      <c r="W22" s="848">
        <f t="shared" si="17"/>
        <v>27712.520761923417</v>
      </c>
      <c r="X22" s="848">
        <f t="shared" si="17"/>
        <v>28162.722485142247</v>
      </c>
      <c r="Y22" s="848">
        <f t="shared" si="17"/>
        <v>28590.566603094983</v>
      </c>
    </row>
    <row r="23" spans="2:25">
      <c r="P23" s="849"/>
      <c r="Q23" s="849"/>
      <c r="R23" s="849"/>
      <c r="S23" s="849"/>
      <c r="T23" s="849"/>
      <c r="U23" s="849"/>
      <c r="V23" s="849"/>
      <c r="W23" s="849"/>
      <c r="X23" s="849"/>
      <c r="Y23" s="849"/>
    </row>
    <row r="24" spans="2:25">
      <c r="P24" s="849"/>
      <c r="Q24" s="849"/>
      <c r="R24" s="849"/>
      <c r="S24" s="849"/>
      <c r="T24" s="849"/>
      <c r="U24" s="849"/>
      <c r="V24" s="849"/>
      <c r="W24" s="849"/>
      <c r="X24" s="849"/>
      <c r="Y24" s="849"/>
    </row>
    <row r="25" spans="2:25">
      <c r="B25" s="857" t="s">
        <v>6695</v>
      </c>
      <c r="C25" s="743"/>
      <c r="D25" s="743">
        <f>D13</f>
        <v>0</v>
      </c>
      <c r="E25" s="743">
        <f>E13</f>
        <v>0</v>
      </c>
      <c r="F25" s="743">
        <f t="shared" ref="F25:Y25" si="18">F17</f>
        <v>2011</v>
      </c>
      <c r="G25" s="743">
        <f t="shared" si="18"/>
        <v>2012</v>
      </c>
      <c r="H25" s="743">
        <f t="shared" si="18"/>
        <v>2013</v>
      </c>
      <c r="I25" s="743">
        <f t="shared" si="18"/>
        <v>2014</v>
      </c>
      <c r="J25" s="743">
        <f t="shared" si="18"/>
        <v>2015</v>
      </c>
      <c r="K25" s="743">
        <f t="shared" si="18"/>
        <v>2016</v>
      </c>
      <c r="L25" s="743">
        <f t="shared" si="18"/>
        <v>2017</v>
      </c>
      <c r="M25" s="743">
        <f t="shared" si="18"/>
        <v>2018</v>
      </c>
      <c r="N25" s="743">
        <f t="shared" si="18"/>
        <v>2019</v>
      </c>
      <c r="O25" s="743">
        <f t="shared" si="18"/>
        <v>2020</v>
      </c>
      <c r="P25" s="743">
        <f t="shared" si="18"/>
        <v>2021</v>
      </c>
      <c r="Q25" s="743">
        <f t="shared" si="18"/>
        <v>2022</v>
      </c>
      <c r="R25" s="743">
        <f t="shared" si="18"/>
        <v>2023</v>
      </c>
      <c r="S25" s="743">
        <f t="shared" si="18"/>
        <v>2024</v>
      </c>
      <c r="T25" s="743">
        <f t="shared" si="18"/>
        <v>2025</v>
      </c>
      <c r="U25" s="743">
        <f t="shared" si="18"/>
        <v>2026</v>
      </c>
      <c r="V25" s="743">
        <f t="shared" si="18"/>
        <v>2027</v>
      </c>
      <c r="W25" s="743">
        <f t="shared" si="18"/>
        <v>2028</v>
      </c>
      <c r="X25" s="743">
        <f t="shared" si="18"/>
        <v>2029</v>
      </c>
      <c r="Y25" s="743">
        <f t="shared" si="18"/>
        <v>2030</v>
      </c>
    </row>
    <row r="26" spans="2:25">
      <c r="B26" s="685" t="s">
        <v>665</v>
      </c>
      <c r="N26" s="848">
        <f>N18</f>
        <v>3025</v>
      </c>
      <c r="O26" s="848">
        <f t="shared" ref="O26:Y26" si="19">O18</f>
        <v>3799</v>
      </c>
      <c r="P26" s="848">
        <f t="shared" si="19"/>
        <v>4800</v>
      </c>
      <c r="Q26" s="848">
        <f t="shared" si="19"/>
        <v>5750</v>
      </c>
      <c r="R26" s="848">
        <f t="shared" si="19"/>
        <v>6500</v>
      </c>
      <c r="S26" s="848">
        <f t="shared" si="19"/>
        <v>7250</v>
      </c>
      <c r="T26" s="848">
        <f t="shared" si="19"/>
        <v>7840</v>
      </c>
      <c r="U26" s="848">
        <f t="shared" si="19"/>
        <v>8160</v>
      </c>
      <c r="V26" s="848">
        <f t="shared" si="19"/>
        <v>8225</v>
      </c>
      <c r="W26" s="848">
        <f t="shared" si="19"/>
        <v>8280</v>
      </c>
      <c r="X26" s="848">
        <f t="shared" si="19"/>
        <v>8325</v>
      </c>
      <c r="Y26" s="848">
        <f t="shared" si="19"/>
        <v>8359.9999999999982</v>
      </c>
    </row>
    <row r="27" spans="2:25">
      <c r="B27" s="685" t="s">
        <v>1042</v>
      </c>
      <c r="N27" s="848">
        <f>N105</f>
        <v>4696.0540000000001</v>
      </c>
      <c r="O27" s="848">
        <f>O105</f>
        <v>5430.8590000000004</v>
      </c>
      <c r="P27" s="848">
        <f t="shared" ref="P27:Y27" si="20">P105</f>
        <v>5649.1019999999999</v>
      </c>
      <c r="Q27" s="848">
        <f t="shared" si="20"/>
        <v>5984.1509999999998</v>
      </c>
      <c r="R27" s="848">
        <f t="shared" si="20"/>
        <v>5678.4309999999996</v>
      </c>
      <c r="S27" s="848">
        <f t="shared" si="20"/>
        <v>5780.6295674905687</v>
      </c>
      <c r="T27" s="848">
        <f t="shared" si="20"/>
        <v>5897.8162438395439</v>
      </c>
      <c r="U27" s="848">
        <f t="shared" si="20"/>
        <v>6010.2849563276595</v>
      </c>
      <c r="V27" s="848">
        <f t="shared" si="20"/>
        <v>6117.6783611249857</v>
      </c>
      <c r="W27" s="848">
        <f t="shared" si="20"/>
        <v>6184.6244241592622</v>
      </c>
      <c r="X27" s="848">
        <f t="shared" si="20"/>
        <v>6413.1133568971372</v>
      </c>
      <c r="Y27" s="848">
        <f t="shared" si="20"/>
        <v>6611.7086715682681</v>
      </c>
    </row>
    <row r="28" spans="2:25">
      <c r="B28" s="685" t="s">
        <v>89</v>
      </c>
      <c r="N28" s="848">
        <f>N104</f>
        <v>3097.6280000000002</v>
      </c>
      <c r="O28" s="848">
        <f>O104</f>
        <v>3510</v>
      </c>
      <c r="P28" s="848">
        <f>P104</f>
        <v>3833.893</v>
      </c>
      <c r="Q28" s="848">
        <f t="shared" ref="Q28:Y28" si="21">Q104</f>
        <v>4138</v>
      </c>
      <c r="R28" s="848">
        <f t="shared" si="21"/>
        <v>4722</v>
      </c>
      <c r="S28" s="848">
        <f t="shared" si="21"/>
        <v>5251.5519999999997</v>
      </c>
      <c r="T28" s="848">
        <f t="shared" si="21"/>
        <v>5701.5519999999997</v>
      </c>
      <c r="U28" s="848">
        <f t="shared" si="21"/>
        <v>6001.5519999999997</v>
      </c>
      <c r="V28" s="848">
        <f t="shared" si="21"/>
        <v>6201.5519999999997</v>
      </c>
      <c r="W28" s="848">
        <f t="shared" si="21"/>
        <v>6351.5519999999997</v>
      </c>
      <c r="X28" s="848">
        <f t="shared" si="21"/>
        <v>6501.5519999999997</v>
      </c>
      <c r="Y28" s="848">
        <f t="shared" si="21"/>
        <v>6651.5519999999997</v>
      </c>
    </row>
    <row r="29" spans="2:25">
      <c r="B29" s="743" t="s">
        <v>866</v>
      </c>
      <c r="C29" s="743"/>
      <c r="D29" s="743"/>
      <c r="E29" s="743"/>
      <c r="F29" s="743"/>
      <c r="G29" s="743"/>
      <c r="H29" s="743"/>
      <c r="I29" s="743"/>
      <c r="J29" s="743"/>
      <c r="K29" s="743"/>
      <c r="L29" s="743"/>
      <c r="M29" s="743"/>
      <c r="N29" s="901">
        <f>N112</f>
        <v>1481.2121212121212</v>
      </c>
      <c r="O29" s="901">
        <f>O112</f>
        <v>2444</v>
      </c>
      <c r="P29" s="901">
        <f t="shared" ref="P29:Y29" si="22">P112</f>
        <v>3458</v>
      </c>
      <c r="Q29" s="901">
        <f t="shared" si="22"/>
        <v>4297</v>
      </c>
      <c r="R29" s="901">
        <f t="shared" si="22"/>
        <v>4779</v>
      </c>
      <c r="S29" s="901">
        <f t="shared" si="22"/>
        <v>5149.4799999999996</v>
      </c>
      <c r="T29" s="901">
        <f t="shared" si="22"/>
        <v>5469.48</v>
      </c>
      <c r="U29" s="901">
        <f t="shared" si="22"/>
        <v>5769.48</v>
      </c>
      <c r="V29" s="901">
        <f t="shared" si="22"/>
        <v>6019.48</v>
      </c>
      <c r="W29" s="901">
        <f t="shared" si="22"/>
        <v>6219.48</v>
      </c>
      <c r="X29" s="901">
        <f t="shared" si="22"/>
        <v>6419.48</v>
      </c>
      <c r="Y29" s="901">
        <f t="shared" si="22"/>
        <v>6619.48</v>
      </c>
    </row>
    <row r="30" spans="2:25">
      <c r="B30" s="685" t="s">
        <v>923</v>
      </c>
      <c r="N30" s="848">
        <f t="shared" ref="N30:Y30" si="23">SUM(N26:N29)</f>
        <v>12299.894121212123</v>
      </c>
      <c r="O30" s="848">
        <f t="shared" si="23"/>
        <v>15183.859</v>
      </c>
      <c r="P30" s="848">
        <f t="shared" si="23"/>
        <v>17740.994999999999</v>
      </c>
      <c r="Q30" s="848">
        <f t="shared" si="23"/>
        <v>20169.150999999998</v>
      </c>
      <c r="R30" s="848">
        <f t="shared" si="23"/>
        <v>21679.431</v>
      </c>
      <c r="S30" s="848">
        <f t="shared" si="23"/>
        <v>23431.661567490566</v>
      </c>
      <c r="T30" s="848">
        <f t="shared" si="23"/>
        <v>24908.848243839544</v>
      </c>
      <c r="U30" s="848">
        <f t="shared" si="23"/>
        <v>25941.316956327657</v>
      </c>
      <c r="V30" s="848">
        <f t="shared" si="23"/>
        <v>26563.710361124984</v>
      </c>
      <c r="W30" s="848">
        <f t="shared" si="23"/>
        <v>27035.65642415926</v>
      </c>
      <c r="X30" s="848">
        <f t="shared" si="23"/>
        <v>27659.145356897137</v>
      </c>
      <c r="Y30" s="848">
        <f t="shared" si="23"/>
        <v>28242.740671568266</v>
      </c>
    </row>
    <row r="31" spans="2:25">
      <c r="P31" s="849"/>
      <c r="Q31" s="849"/>
      <c r="R31" s="849"/>
      <c r="S31" s="849"/>
      <c r="T31" s="849"/>
      <c r="U31" s="849"/>
      <c r="V31" s="849"/>
      <c r="W31" s="849"/>
      <c r="X31" s="849"/>
      <c r="Y31" s="849"/>
    </row>
    <row r="32" spans="2:25">
      <c r="B32" s="907" t="s">
        <v>6694</v>
      </c>
      <c r="O32" s="990">
        <f>O102-O26</f>
        <v>6212</v>
      </c>
      <c r="P32" s="990">
        <f t="shared" ref="P32:Y32" si="24">P102-P26</f>
        <v>5237</v>
      </c>
      <c r="Q32" s="990">
        <f t="shared" si="24"/>
        <v>4275</v>
      </c>
      <c r="R32" s="990">
        <f t="shared" si="24"/>
        <v>3989</v>
      </c>
      <c r="S32" s="990">
        <f t="shared" si="24"/>
        <v>3171.8054161869077</v>
      </c>
      <c r="T32" s="990">
        <f t="shared" si="24"/>
        <v>2480.2309007949716</v>
      </c>
      <c r="U32" s="990">
        <f t="shared" si="24"/>
        <v>2022.4435996214543</v>
      </c>
      <c r="V32" s="990">
        <f t="shared" si="24"/>
        <v>1781.5393084559782</v>
      </c>
      <c r="W32" s="990">
        <f t="shared" si="24"/>
        <v>1455.4464661764305</v>
      </c>
      <c r="X32" s="990">
        <f t="shared" si="24"/>
        <v>1102.434472647361</v>
      </c>
      <c r="Y32" s="990">
        <f t="shared" si="24"/>
        <v>671.01334112868608</v>
      </c>
    </row>
    <row r="33" spans="2:25">
      <c r="B33" s="907" t="s">
        <v>6693</v>
      </c>
      <c r="O33" s="990">
        <f t="shared" ref="O33:Y33" si="25">O114-O30</f>
        <v>6750.1409999999996</v>
      </c>
      <c r="P33" s="990">
        <f t="shared" si="25"/>
        <v>6835.005000000001</v>
      </c>
      <c r="Q33" s="990">
        <f t="shared" si="25"/>
        <v>4583.3294000000024</v>
      </c>
      <c r="R33" s="990">
        <f t="shared" si="25"/>
        <v>4387.2082279999995</v>
      </c>
      <c r="S33" s="990">
        <f t="shared" si="25"/>
        <v>3822.6032485894357</v>
      </c>
      <c r="T33" s="990">
        <f t="shared" si="25"/>
        <v>3569.2601281524585</v>
      </c>
      <c r="U33" s="990">
        <f t="shared" si="25"/>
        <v>3797.846607886393</v>
      </c>
      <c r="V33" s="990">
        <f t="shared" si="25"/>
        <v>4474.7389596512003</v>
      </c>
      <c r="W33" s="990">
        <f t="shared" si="25"/>
        <v>5159.1609842700054</v>
      </c>
      <c r="X33" s="990">
        <f t="shared" si="25"/>
        <v>5725.0990829630282</v>
      </c>
      <c r="Y33" s="990">
        <f t="shared" si="25"/>
        <v>6175.3159217074644</v>
      </c>
    </row>
    <row r="34" spans="2:25">
      <c r="B34" s="907"/>
      <c r="O34" s="990"/>
      <c r="P34" s="990"/>
      <c r="Q34" s="990"/>
      <c r="R34" s="990"/>
      <c r="S34" s="990"/>
      <c r="T34" s="990"/>
      <c r="U34" s="990"/>
      <c r="V34" s="990"/>
      <c r="W34" s="990"/>
      <c r="X34" s="990"/>
      <c r="Y34" s="990"/>
    </row>
    <row r="35" spans="2:25">
      <c r="B35" s="857" t="s">
        <v>513</v>
      </c>
      <c r="C35" s="743"/>
      <c r="D35" s="743">
        <f t="shared" ref="D35:Y35" si="26">D3</f>
        <v>2009</v>
      </c>
      <c r="E35" s="743">
        <f t="shared" si="26"/>
        <v>2010</v>
      </c>
      <c r="F35" s="743">
        <f t="shared" si="26"/>
        <v>2011</v>
      </c>
      <c r="G35" s="743">
        <f t="shared" si="26"/>
        <v>2012</v>
      </c>
      <c r="H35" s="743">
        <f t="shared" si="26"/>
        <v>2013</v>
      </c>
      <c r="I35" s="743">
        <f t="shared" si="26"/>
        <v>2014</v>
      </c>
      <c r="J35" s="743">
        <f t="shared" si="26"/>
        <v>2015</v>
      </c>
      <c r="K35" s="743">
        <f t="shared" si="26"/>
        <v>2016</v>
      </c>
      <c r="L35" s="743">
        <f t="shared" si="26"/>
        <v>2017</v>
      </c>
      <c r="M35" s="743">
        <f t="shared" si="26"/>
        <v>2018</v>
      </c>
      <c r="N35" s="743">
        <f t="shared" si="26"/>
        <v>2019</v>
      </c>
      <c r="O35" s="743">
        <f t="shared" si="26"/>
        <v>2020</v>
      </c>
      <c r="P35" s="743">
        <f t="shared" si="26"/>
        <v>2021</v>
      </c>
      <c r="Q35" s="743">
        <f t="shared" si="26"/>
        <v>2022</v>
      </c>
      <c r="R35" s="743">
        <f t="shared" si="26"/>
        <v>2023</v>
      </c>
      <c r="S35" s="743">
        <f t="shared" si="26"/>
        <v>2024</v>
      </c>
      <c r="T35" s="743">
        <f t="shared" si="26"/>
        <v>2025</v>
      </c>
      <c r="U35" s="743">
        <f t="shared" si="26"/>
        <v>2026</v>
      </c>
      <c r="V35" s="743">
        <f t="shared" si="26"/>
        <v>2027</v>
      </c>
      <c r="W35" s="743">
        <f t="shared" si="26"/>
        <v>2028</v>
      </c>
      <c r="X35" s="743">
        <f t="shared" si="26"/>
        <v>2029</v>
      </c>
      <c r="Y35" s="743">
        <f t="shared" si="26"/>
        <v>2030</v>
      </c>
    </row>
    <row r="36" spans="2:25">
      <c r="B36" s="685" t="s">
        <v>665</v>
      </c>
      <c r="O36" s="807">
        <f t="shared" ref="O36:P40" si="27">O18/O4</f>
        <v>0.4221111111111111</v>
      </c>
      <c r="P36" s="807">
        <f t="shared" si="27"/>
        <v>0.48</v>
      </c>
      <c r="Q36" s="986">
        <v>0.5</v>
      </c>
      <c r="R36" s="986">
        <v>0.5</v>
      </c>
      <c r="S36" s="986">
        <v>0.5</v>
      </c>
      <c r="T36" s="986">
        <f t="shared" ref="T36:Y36" si="28">S36-1%</f>
        <v>0.49</v>
      </c>
      <c r="U36" s="986">
        <f t="shared" si="28"/>
        <v>0.48</v>
      </c>
      <c r="V36" s="986">
        <f t="shared" si="28"/>
        <v>0.47</v>
      </c>
      <c r="W36" s="986">
        <f t="shared" si="28"/>
        <v>0.45999999999999996</v>
      </c>
      <c r="X36" s="986">
        <f t="shared" si="28"/>
        <v>0.44999999999999996</v>
      </c>
      <c r="Y36" s="986">
        <f t="shared" si="28"/>
        <v>0.43999999999999995</v>
      </c>
    </row>
    <row r="37" spans="2:25">
      <c r="B37" s="685" t="s">
        <v>1042</v>
      </c>
      <c r="O37" s="807">
        <f t="shared" si="27"/>
        <v>0.36717017423007425</v>
      </c>
      <c r="P37" s="807">
        <f t="shared" si="27"/>
        <v>0.36037021223470667</v>
      </c>
      <c r="Q37" s="807">
        <f t="shared" ref="Q37:Y37" si="29">Q19/Q5</f>
        <v>0.37257504456327989</v>
      </c>
      <c r="R37" s="807">
        <f>R19/R5</f>
        <v>0.34215578231292521</v>
      </c>
      <c r="S37" s="807">
        <f t="shared" si="29"/>
        <v>0.33913954975534599</v>
      </c>
      <c r="T37" s="807">
        <f t="shared" si="29"/>
        <v>0.33809560451022969</v>
      </c>
      <c r="U37" s="807">
        <f t="shared" si="29"/>
        <v>0.33243211743743506</v>
      </c>
      <c r="V37" s="807">
        <f t="shared" si="29"/>
        <v>0.32713178412923588</v>
      </c>
      <c r="W37" s="807">
        <f t="shared" si="29"/>
        <v>0.32143673076794299</v>
      </c>
      <c r="X37" s="807">
        <f t="shared" si="29"/>
        <v>0.31943991877061378</v>
      </c>
      <c r="Y37" s="807">
        <f t="shared" si="29"/>
        <v>0.31713635572077548</v>
      </c>
    </row>
    <row r="38" spans="2:25">
      <c r="B38" s="685" t="s">
        <v>89</v>
      </c>
      <c r="O38" s="807">
        <f t="shared" si="27"/>
        <v>0.43919597989949749</v>
      </c>
      <c r="P38" s="807">
        <f t="shared" si="27"/>
        <v>0.4340056432229073</v>
      </c>
      <c r="Q38" s="807">
        <f t="shared" ref="Q38:Y38" si="30">Q20/Q6</f>
        <v>0.38044982698961938</v>
      </c>
      <c r="R38" s="807">
        <f t="shared" si="30"/>
        <v>0.32037828734292007</v>
      </c>
      <c r="S38" s="807">
        <f t="shared" si="30"/>
        <v>0.31908843941784232</v>
      </c>
      <c r="T38" s="807">
        <f t="shared" si="30"/>
        <v>0.32157069558836648</v>
      </c>
      <c r="U38" s="807">
        <f t="shared" si="30"/>
        <v>0.32869680396050582</v>
      </c>
      <c r="V38" s="807">
        <f t="shared" si="30"/>
        <v>0.33330955366042542</v>
      </c>
      <c r="W38" s="807">
        <f t="shared" si="30"/>
        <v>0.33550981257148166</v>
      </c>
      <c r="X38" s="807">
        <f t="shared" si="30"/>
        <v>0.33744662964350758</v>
      </c>
      <c r="Y38" s="807">
        <f t="shared" si="30"/>
        <v>0.33913030200904803</v>
      </c>
    </row>
    <row r="39" spans="2:25">
      <c r="B39" s="743" t="s">
        <v>866</v>
      </c>
      <c r="C39" s="743"/>
      <c r="D39" s="743"/>
      <c r="E39" s="743"/>
      <c r="F39" s="743"/>
      <c r="G39" s="743"/>
      <c r="H39" s="743"/>
      <c r="I39" s="743"/>
      <c r="J39" s="743"/>
      <c r="K39" s="743"/>
      <c r="L39" s="743"/>
      <c r="M39" s="743"/>
      <c r="N39" s="743"/>
      <c r="O39" s="910">
        <f t="shared" si="27"/>
        <v>0.19869918699186992</v>
      </c>
      <c r="P39" s="910">
        <f t="shared" si="27"/>
        <v>0.23530612244897958</v>
      </c>
      <c r="Q39" s="910">
        <f t="shared" ref="Q39:Y39" si="31">Q21/Q7</f>
        <v>0.24809600738518348</v>
      </c>
      <c r="R39" s="910">
        <f t="shared" si="31"/>
        <v>0.27219912285698011</v>
      </c>
      <c r="S39" s="910">
        <f t="shared" si="31"/>
        <v>0.29150843307254287</v>
      </c>
      <c r="T39" s="910">
        <f t="shared" si="31"/>
        <v>0.3074241215532274</v>
      </c>
      <c r="U39" s="910">
        <f t="shared" si="31"/>
        <v>0.32316912726030411</v>
      </c>
      <c r="V39" s="910">
        <f t="shared" si="31"/>
        <v>0.33584024397810536</v>
      </c>
      <c r="W39" s="910">
        <f t="shared" si="31"/>
        <v>0.34546020396187105</v>
      </c>
      <c r="X39" s="910">
        <f t="shared" si="31"/>
        <v>0.35403846669292582</v>
      </c>
      <c r="Y39" s="910">
        <f t="shared" si="31"/>
        <v>0.36229741974167035</v>
      </c>
    </row>
    <row r="40" spans="2:25">
      <c r="B40" s="685" t="s">
        <v>6692</v>
      </c>
      <c r="O40" s="807">
        <f t="shared" si="27"/>
        <v>0.3469175714436038</v>
      </c>
      <c r="P40" s="807">
        <f t="shared" si="27"/>
        <v>0.36157002780498532</v>
      </c>
      <c r="Q40" s="807">
        <f t="shared" ref="Q40:Y40" si="32">Q22/Q8</f>
        <v>0.36240359665154903</v>
      </c>
      <c r="R40" s="807">
        <f t="shared" si="32"/>
        <v>0.34958843407780066</v>
      </c>
      <c r="S40" s="807">
        <f t="shared" si="32"/>
        <v>0.35580236870758386</v>
      </c>
      <c r="T40" s="807">
        <f t="shared" si="32"/>
        <v>0.36011661484986479</v>
      </c>
      <c r="U40" s="807">
        <f t="shared" si="32"/>
        <v>0.36324631557083714</v>
      </c>
      <c r="V40" s="807">
        <f t="shared" si="32"/>
        <v>0.36403727621045473</v>
      </c>
      <c r="W40" s="807">
        <f t="shared" si="32"/>
        <v>0.36324537074250912</v>
      </c>
      <c r="X40" s="807">
        <f t="shared" si="32"/>
        <v>0.36306131975891459</v>
      </c>
      <c r="Y40" s="807">
        <f t="shared" si="32"/>
        <v>0.36255370723594776</v>
      </c>
    </row>
    <row r="42" spans="2:25">
      <c r="B42" s="857" t="s">
        <v>6690</v>
      </c>
      <c r="C42" s="743"/>
      <c r="D42" s="743">
        <f t="shared" ref="D42:Y42" si="33">D17</f>
        <v>2009</v>
      </c>
      <c r="E42" s="743">
        <f t="shared" si="33"/>
        <v>2010</v>
      </c>
      <c r="F42" s="743">
        <f t="shared" si="33"/>
        <v>2011</v>
      </c>
      <c r="G42" s="743">
        <f t="shared" si="33"/>
        <v>2012</v>
      </c>
      <c r="H42" s="743">
        <f t="shared" si="33"/>
        <v>2013</v>
      </c>
      <c r="I42" s="743">
        <f t="shared" si="33"/>
        <v>2014</v>
      </c>
      <c r="J42" s="743">
        <f t="shared" si="33"/>
        <v>2015</v>
      </c>
      <c r="K42" s="743">
        <f t="shared" si="33"/>
        <v>2016</v>
      </c>
      <c r="L42" s="743">
        <f t="shared" si="33"/>
        <v>2017</v>
      </c>
      <c r="M42" s="743">
        <f t="shared" si="33"/>
        <v>2018</v>
      </c>
      <c r="N42" s="743">
        <f t="shared" si="33"/>
        <v>2019</v>
      </c>
      <c r="O42" s="743">
        <f t="shared" si="33"/>
        <v>2020</v>
      </c>
      <c r="P42" s="743">
        <f t="shared" si="33"/>
        <v>2021</v>
      </c>
      <c r="Q42" s="743">
        <f t="shared" si="33"/>
        <v>2022</v>
      </c>
      <c r="R42" s="743">
        <f t="shared" si="33"/>
        <v>2023</v>
      </c>
      <c r="S42" s="743">
        <f t="shared" si="33"/>
        <v>2024</v>
      </c>
      <c r="T42" s="743">
        <f t="shared" si="33"/>
        <v>2025</v>
      </c>
      <c r="U42" s="743">
        <f t="shared" si="33"/>
        <v>2026</v>
      </c>
      <c r="V42" s="743">
        <f t="shared" si="33"/>
        <v>2027</v>
      </c>
      <c r="W42" s="743">
        <f t="shared" si="33"/>
        <v>2028</v>
      </c>
      <c r="X42" s="743">
        <f t="shared" si="33"/>
        <v>2029</v>
      </c>
      <c r="Y42" s="743">
        <f t="shared" si="33"/>
        <v>2030</v>
      </c>
    </row>
    <row r="43" spans="2:25">
      <c r="B43" s="685" t="s">
        <v>665</v>
      </c>
      <c r="O43" s="848">
        <f>O4</f>
        <v>9000</v>
      </c>
      <c r="P43" s="848">
        <f>P4</f>
        <v>10000</v>
      </c>
      <c r="Q43" s="848">
        <f t="shared" ref="Q43:Y43" si="34">Q50*Q18</f>
        <v>14375</v>
      </c>
      <c r="R43" s="848">
        <f t="shared" si="34"/>
        <v>16250</v>
      </c>
      <c r="S43" s="848">
        <f t="shared" si="34"/>
        <v>18125</v>
      </c>
      <c r="T43" s="848">
        <f t="shared" si="34"/>
        <v>19600</v>
      </c>
      <c r="U43" s="848">
        <f t="shared" si="34"/>
        <v>20400</v>
      </c>
      <c r="V43" s="848">
        <f t="shared" si="34"/>
        <v>20562.5</v>
      </c>
      <c r="W43" s="848">
        <f t="shared" si="34"/>
        <v>20700</v>
      </c>
      <c r="X43" s="848">
        <f t="shared" si="34"/>
        <v>20812.5</v>
      </c>
      <c r="Y43" s="848">
        <f t="shared" si="34"/>
        <v>20899.999999999996</v>
      </c>
    </row>
    <row r="44" spans="2:25">
      <c r="B44" s="685" t="s">
        <v>1042</v>
      </c>
      <c r="O44" s="848">
        <f>Interims!BC239</f>
        <v>14087.585999999999</v>
      </c>
      <c r="P44" s="848">
        <f>P62+P105+'SKY Mex'!R10</f>
        <v>14432.827000000001</v>
      </c>
      <c r="Q44" s="848">
        <f>Q62+Q105+'SKY Mex'!S10</f>
        <v>15676.095000000001</v>
      </c>
      <c r="R44" s="848">
        <f>R62+R105+'SKY Mex'!T10</f>
        <v>15089.070000000002</v>
      </c>
      <c r="S44" s="848">
        <f>S62+S105+'SKY Mex'!U10</f>
        <v>15261.279738990568</v>
      </c>
      <c r="T44" s="848">
        <f>T62+T105+'SKY Mex'!V10</f>
        <v>15518.588247019543</v>
      </c>
      <c r="U44" s="848">
        <f>U62+U105+'SKY Mex'!W10</f>
        <v>15557.823096071959</v>
      </c>
      <c r="V44" s="848">
        <f>V62+V105+'SKY Mex'!X10</f>
        <v>15604.186102964553</v>
      </c>
      <c r="W44" s="848">
        <f>W62+W105+'SKY Mex'!Y10</f>
        <v>15621.82511532203</v>
      </c>
      <c r="X44" s="848">
        <f>X62+X105+'SKY Mex'!Z10</f>
        <v>15812.275979145383</v>
      </c>
      <c r="Y44" s="848">
        <f>Y62+Y105+'SKY Mex'!AA10</f>
        <v>15983.672328327084</v>
      </c>
    </row>
    <row r="45" spans="2:25">
      <c r="B45" s="685" t="s">
        <v>89</v>
      </c>
      <c r="O45" s="978">
        <v>9550</v>
      </c>
      <c r="P45" s="978">
        <v>10404.832</v>
      </c>
      <c r="Q45" s="978">
        <v>11218</v>
      </c>
      <c r="R45" s="978">
        <v>12718</v>
      </c>
      <c r="S45" s="902">
        <v>13897.697</v>
      </c>
      <c r="T45" s="902">
        <v>14832.697</v>
      </c>
      <c r="U45" s="902">
        <v>15372.697</v>
      </c>
      <c r="V45" s="902">
        <v>15802.697</v>
      </c>
      <c r="W45" s="902">
        <v>16122.697</v>
      </c>
      <c r="X45" s="902">
        <v>16432.697</v>
      </c>
      <c r="Y45" s="902">
        <v>16732.697</v>
      </c>
    </row>
    <row r="46" spans="2:25">
      <c r="B46" s="743" t="s">
        <v>866</v>
      </c>
      <c r="C46" s="743"/>
      <c r="D46" s="743"/>
      <c r="E46" s="743"/>
      <c r="F46" s="743"/>
      <c r="G46" s="743"/>
      <c r="H46" s="743"/>
      <c r="I46" s="743"/>
      <c r="J46" s="743"/>
      <c r="K46" s="743"/>
      <c r="L46" s="743"/>
      <c r="M46" s="743"/>
      <c r="N46" s="743"/>
      <c r="O46" s="901">
        <f>O68+O112+'SKY Mex'!Q25</f>
        <v>6458</v>
      </c>
      <c r="P46" s="901">
        <f>P68+P112+'SKY Mex'!R25</f>
        <v>9195.66</v>
      </c>
      <c r="Q46" s="901">
        <f>Q68+Q112+'SKY Mex'!S25</f>
        <v>11126</v>
      </c>
      <c r="R46" s="901">
        <f>R68+R112+'SKY Mex'!T25</f>
        <v>12686.44</v>
      </c>
      <c r="S46" s="901">
        <f>S68+S112+'SKY Mex'!U25</f>
        <v>14102.06855</v>
      </c>
      <c r="T46" s="901">
        <f>T68+T112+'SKY Mex'!V25</f>
        <v>15414.915634000001</v>
      </c>
      <c r="U46" s="901">
        <f>U68+U112+'SKY Mex'!W25</f>
        <v>16665.531656470001</v>
      </c>
      <c r="V46" s="901">
        <f>V68+V112+'SKY Mex'!X25</f>
        <v>17872.629655826</v>
      </c>
      <c r="W46" s="901">
        <f>W68+W112+'SKY Mex'!Y25</f>
        <v>19036.304210003473</v>
      </c>
      <c r="X46" s="901">
        <f>X68+X112+'SKY Mex'!Z25</f>
        <v>20206.651140298913</v>
      </c>
      <c r="Y46" s="901">
        <f>Y68+Y112+'SKY Mex'!AA25</f>
        <v>21383.767526779266</v>
      </c>
    </row>
    <row r="47" spans="2:25">
      <c r="B47" s="685" t="s">
        <v>923</v>
      </c>
      <c r="O47" s="848">
        <f t="shared" ref="O47:Y47" si="35">SUM(O43:O46)</f>
        <v>39095.585999999996</v>
      </c>
      <c r="P47" s="848">
        <f t="shared" si="35"/>
        <v>44033.319000000003</v>
      </c>
      <c r="Q47" s="848">
        <f t="shared" si="35"/>
        <v>52395.095000000001</v>
      </c>
      <c r="R47" s="848">
        <f t="shared" si="35"/>
        <v>56743.51</v>
      </c>
      <c r="S47" s="848">
        <f t="shared" si="35"/>
        <v>61386.045288990572</v>
      </c>
      <c r="T47" s="848">
        <f t="shared" si="35"/>
        <v>65366.20088101954</v>
      </c>
      <c r="U47" s="848">
        <f t="shared" si="35"/>
        <v>67996.051752541956</v>
      </c>
      <c r="V47" s="848">
        <f t="shared" si="35"/>
        <v>69842.012758790544</v>
      </c>
      <c r="W47" s="848">
        <f t="shared" si="35"/>
        <v>71480.826325325499</v>
      </c>
      <c r="X47" s="848">
        <f t="shared" si="35"/>
        <v>73264.124119444299</v>
      </c>
      <c r="Y47" s="848">
        <f t="shared" si="35"/>
        <v>75000.13685510635</v>
      </c>
    </row>
    <row r="49" spans="2:27">
      <c r="B49" s="857" t="s">
        <v>6691</v>
      </c>
      <c r="C49" s="743"/>
      <c r="D49" s="743">
        <f t="shared" ref="D49:Y49" si="36">D42</f>
        <v>2009</v>
      </c>
      <c r="E49" s="743">
        <f t="shared" si="36"/>
        <v>2010</v>
      </c>
      <c r="F49" s="743">
        <f t="shared" si="36"/>
        <v>2011</v>
      </c>
      <c r="G49" s="743">
        <f t="shared" si="36"/>
        <v>2012</v>
      </c>
      <c r="H49" s="743">
        <f t="shared" si="36"/>
        <v>2013</v>
      </c>
      <c r="I49" s="743">
        <f t="shared" si="36"/>
        <v>2014</v>
      </c>
      <c r="J49" s="743">
        <f t="shared" si="36"/>
        <v>2015</v>
      </c>
      <c r="K49" s="743">
        <f t="shared" si="36"/>
        <v>2016</v>
      </c>
      <c r="L49" s="743">
        <f t="shared" si="36"/>
        <v>2017</v>
      </c>
      <c r="M49" s="743">
        <f t="shared" si="36"/>
        <v>2018</v>
      </c>
      <c r="N49" s="743">
        <f t="shared" si="36"/>
        <v>2019</v>
      </c>
      <c r="O49" s="743">
        <f t="shared" si="36"/>
        <v>2020</v>
      </c>
      <c r="P49" s="743">
        <f t="shared" si="36"/>
        <v>2021</v>
      </c>
      <c r="Q49" s="743">
        <f t="shared" si="36"/>
        <v>2022</v>
      </c>
      <c r="R49" s="743">
        <f t="shared" si="36"/>
        <v>2023</v>
      </c>
      <c r="S49" s="743">
        <f t="shared" si="36"/>
        <v>2024</v>
      </c>
      <c r="T49" s="743">
        <f t="shared" si="36"/>
        <v>2025</v>
      </c>
      <c r="U49" s="743">
        <f t="shared" si="36"/>
        <v>2026</v>
      </c>
      <c r="V49" s="743">
        <f t="shared" si="36"/>
        <v>2027</v>
      </c>
      <c r="W49" s="743">
        <f t="shared" si="36"/>
        <v>2028</v>
      </c>
      <c r="X49" s="743">
        <f t="shared" si="36"/>
        <v>2029</v>
      </c>
      <c r="Y49" s="743">
        <f t="shared" si="36"/>
        <v>2030</v>
      </c>
    </row>
    <row r="50" spans="2:27">
      <c r="B50" s="685" t="s">
        <v>665</v>
      </c>
      <c r="O50" s="985">
        <f>O43/O18</f>
        <v>2.3690444853908925</v>
      </c>
      <c r="P50" s="985">
        <f>P43/P18</f>
        <v>2.0833333333333335</v>
      </c>
      <c r="Q50" s="1020">
        <v>2.5</v>
      </c>
      <c r="R50" s="1020">
        <v>2.5</v>
      </c>
      <c r="S50" s="1020">
        <v>2.5</v>
      </c>
      <c r="T50" s="1020">
        <v>2.5</v>
      </c>
      <c r="U50" s="1020">
        <v>2.5</v>
      </c>
      <c r="V50" s="1020">
        <v>2.5</v>
      </c>
      <c r="W50" s="1020">
        <v>2.5</v>
      </c>
      <c r="X50" s="1020">
        <v>2.5</v>
      </c>
      <c r="Y50" s="1020">
        <v>2.5</v>
      </c>
    </row>
    <row r="51" spans="2:27">
      <c r="B51" s="685" t="s">
        <v>1042</v>
      </c>
      <c r="O51" s="1021">
        <f>Interims!BC240</f>
        <v>2.4283545605474637</v>
      </c>
      <c r="P51" s="1021">
        <v>2.25</v>
      </c>
      <c r="Q51" s="1020">
        <f>P51</f>
        <v>2.25</v>
      </c>
      <c r="R51" s="1020">
        <f t="shared" ref="R51:Y51" si="37">Q51</f>
        <v>2.25</v>
      </c>
      <c r="S51" s="1020">
        <f t="shared" si="37"/>
        <v>2.25</v>
      </c>
      <c r="T51" s="1020">
        <f t="shared" si="37"/>
        <v>2.25</v>
      </c>
      <c r="U51" s="1020">
        <f t="shared" si="37"/>
        <v>2.25</v>
      </c>
      <c r="V51" s="1020">
        <f t="shared" si="37"/>
        <v>2.25</v>
      </c>
      <c r="W51" s="1020">
        <f t="shared" si="37"/>
        <v>2.25</v>
      </c>
      <c r="X51" s="1020">
        <f t="shared" si="37"/>
        <v>2.25</v>
      </c>
      <c r="Y51" s="1020">
        <f t="shared" si="37"/>
        <v>2.25</v>
      </c>
    </row>
    <row r="52" spans="2:27">
      <c r="B52" s="685" t="s">
        <v>89</v>
      </c>
      <c r="O52" s="985">
        <f t="shared" ref="O52:Y52" si="38">O45/O20</f>
        <v>2.4281718789727944</v>
      </c>
      <c r="P52" s="985">
        <f t="shared" si="38"/>
        <v>2.505377317601734</v>
      </c>
      <c r="Q52" s="985">
        <f t="shared" si="38"/>
        <v>2.5507048658481128</v>
      </c>
      <c r="R52" s="985">
        <f t="shared" si="38"/>
        <v>2.5713708046906589</v>
      </c>
      <c r="S52" s="985">
        <f t="shared" si="38"/>
        <v>2.5714000047717005</v>
      </c>
      <c r="T52" s="985">
        <f t="shared" si="38"/>
        <v>2.5714000047717005</v>
      </c>
      <c r="U52" s="985">
        <f t="shared" si="38"/>
        <v>2.5714000047717005</v>
      </c>
      <c r="V52" s="985">
        <f t="shared" si="38"/>
        <v>2.5714000047717005</v>
      </c>
      <c r="W52" s="985">
        <f t="shared" si="38"/>
        <v>2.5714000047717005</v>
      </c>
      <c r="X52" s="985">
        <f t="shared" si="38"/>
        <v>2.5714000047717005</v>
      </c>
      <c r="Y52" s="985">
        <f t="shared" si="38"/>
        <v>2.5714000047717005</v>
      </c>
    </row>
    <row r="53" spans="2:27">
      <c r="B53" s="743" t="s">
        <v>866</v>
      </c>
      <c r="C53" s="743"/>
      <c r="D53" s="743"/>
      <c r="E53" s="743"/>
      <c r="F53" s="743"/>
      <c r="G53" s="743"/>
      <c r="H53" s="743"/>
      <c r="I53" s="743"/>
      <c r="J53" s="743"/>
      <c r="K53" s="743"/>
      <c r="L53" s="743"/>
      <c r="M53" s="743"/>
      <c r="N53" s="743"/>
      <c r="O53" s="1022">
        <f>O46/O21</f>
        <v>2.6423895253682486</v>
      </c>
      <c r="P53" s="1023">
        <v>2.65</v>
      </c>
      <c r="Q53" s="1024">
        <f t="shared" ref="Q53:Y53" si="39">P53+Q73</f>
        <v>2.65</v>
      </c>
      <c r="R53" s="1024">
        <f t="shared" si="39"/>
        <v>2.65</v>
      </c>
      <c r="S53" s="1024">
        <f t="shared" si="39"/>
        <v>2.65</v>
      </c>
      <c r="T53" s="1024">
        <f t="shared" si="39"/>
        <v>2.65</v>
      </c>
      <c r="U53" s="1024">
        <f t="shared" si="39"/>
        <v>2.65</v>
      </c>
      <c r="V53" s="1024">
        <f t="shared" si="39"/>
        <v>2.65</v>
      </c>
      <c r="W53" s="1024">
        <f t="shared" si="39"/>
        <v>2.65</v>
      </c>
      <c r="X53" s="1024">
        <f t="shared" si="39"/>
        <v>2.65</v>
      </c>
      <c r="Y53" s="1024">
        <f t="shared" si="39"/>
        <v>2.65</v>
      </c>
    </row>
    <row r="54" spans="2:27">
      <c r="B54" s="685" t="s">
        <v>923</v>
      </c>
      <c r="P54" s="985">
        <f t="shared" ref="P54:Y54" si="40">P47/P22</f>
        <v>2.3388898106217479</v>
      </c>
      <c r="Q54" s="985">
        <f t="shared" si="40"/>
        <v>2.4466364627165871</v>
      </c>
      <c r="R54" s="985">
        <f t="shared" si="40"/>
        <v>2.4745053911866424</v>
      </c>
      <c r="S54" s="985">
        <f t="shared" si="40"/>
        <v>2.4966879978934799</v>
      </c>
      <c r="T54" s="985">
        <f t="shared" si="40"/>
        <v>2.5165077103891234</v>
      </c>
      <c r="U54" s="985">
        <f t="shared" si="40"/>
        <v>2.5350467436356849</v>
      </c>
      <c r="V54" s="985">
        <f t="shared" si="40"/>
        <v>2.555952832721887</v>
      </c>
      <c r="W54" s="985">
        <f t="shared" si="40"/>
        <v>2.5793693377593812</v>
      </c>
      <c r="X54" s="985">
        <f t="shared" si="40"/>
        <v>2.6014574463848836</v>
      </c>
      <c r="Y54" s="985">
        <f t="shared" si="40"/>
        <v>2.6232476570431955</v>
      </c>
    </row>
    <row r="57" spans="2:27">
      <c r="B57" s="857" t="s">
        <v>664</v>
      </c>
      <c r="C57" s="857"/>
      <c r="D57" s="857">
        <f t="shared" ref="D57:Y57" si="41">D1</f>
        <v>2009</v>
      </c>
      <c r="E57" s="857">
        <f t="shared" si="41"/>
        <v>2010</v>
      </c>
      <c r="F57" s="857">
        <f t="shared" si="41"/>
        <v>2011</v>
      </c>
      <c r="G57" s="857">
        <f t="shared" si="41"/>
        <v>2012</v>
      </c>
      <c r="H57" s="857">
        <f t="shared" si="41"/>
        <v>2013</v>
      </c>
      <c r="I57" s="857">
        <f t="shared" si="41"/>
        <v>2014</v>
      </c>
      <c r="J57" s="857">
        <f t="shared" si="41"/>
        <v>2015</v>
      </c>
      <c r="K57" s="857">
        <f t="shared" si="41"/>
        <v>2016</v>
      </c>
      <c r="L57" s="857">
        <f t="shared" si="41"/>
        <v>2017</v>
      </c>
      <c r="M57" s="857">
        <f t="shared" si="41"/>
        <v>2018</v>
      </c>
      <c r="N57" s="857">
        <f t="shared" si="41"/>
        <v>2019</v>
      </c>
      <c r="O57" s="857">
        <f t="shared" si="41"/>
        <v>2020</v>
      </c>
      <c r="P57" s="857">
        <f t="shared" si="41"/>
        <v>2021</v>
      </c>
      <c r="Q57" s="857">
        <f t="shared" si="41"/>
        <v>2022</v>
      </c>
      <c r="R57" s="857">
        <f t="shared" si="41"/>
        <v>2023</v>
      </c>
      <c r="S57" s="857">
        <f t="shared" si="41"/>
        <v>2024</v>
      </c>
      <c r="T57" s="857">
        <f t="shared" si="41"/>
        <v>2025</v>
      </c>
      <c r="U57" s="857">
        <f t="shared" si="41"/>
        <v>2026</v>
      </c>
      <c r="V57" s="857">
        <f t="shared" si="41"/>
        <v>2027</v>
      </c>
      <c r="W57" s="857">
        <f t="shared" si="41"/>
        <v>2028</v>
      </c>
      <c r="X57" s="857">
        <f t="shared" si="41"/>
        <v>2029</v>
      </c>
      <c r="Y57" s="857">
        <f t="shared" si="41"/>
        <v>2030</v>
      </c>
    </row>
    <row r="58" spans="2:27">
      <c r="B58" s="685" t="s">
        <v>665</v>
      </c>
      <c r="D58" s="1004">
        <v>15882</v>
      </c>
      <c r="E58" s="1004">
        <v>15591</v>
      </c>
      <c r="F58" s="1004">
        <v>14814</v>
      </c>
      <c r="G58" s="1002">
        <v>14221.285</v>
      </c>
      <c r="H58" s="1002">
        <v>13543</v>
      </c>
      <c r="I58" s="1002">
        <v>13100</v>
      </c>
      <c r="J58" s="1002">
        <v>13063</v>
      </c>
      <c r="K58" s="1002">
        <v>12857</v>
      </c>
      <c r="L58" s="1002">
        <v>12625</v>
      </c>
      <c r="M58" s="1002">
        <v>12715</v>
      </c>
      <c r="N58" s="1002">
        <v>12299</v>
      </c>
      <c r="O58" s="1002">
        <v>11914</v>
      </c>
      <c r="P58" s="1002">
        <v>11371</v>
      </c>
      <c r="Q58" s="1002">
        <v>10799</v>
      </c>
      <c r="R58" s="1002">
        <v>10682</v>
      </c>
      <c r="S58" s="849">
        <f t="shared" ref="S58:T60" si="42">S83*S$70</f>
        <v>10580.380649999999</v>
      </c>
      <c r="T58" s="849">
        <f t="shared" si="42"/>
        <v>10202.717636999998</v>
      </c>
      <c r="U58" s="849">
        <f t="shared" ref="U58:Y60" si="43">U83*U$70</f>
        <v>9709.5814811099972</v>
      </c>
      <c r="V58" s="849">
        <f t="shared" si="43"/>
        <v>9205.5623303384982</v>
      </c>
      <c r="W58" s="849">
        <f t="shared" si="43"/>
        <v>8690.4918384034554</v>
      </c>
      <c r="X58" s="849">
        <f t="shared" si="43"/>
        <v>8164.1993803966798</v>
      </c>
      <c r="Y58" s="849">
        <f t="shared" si="43"/>
        <v>7626.5120240459282</v>
      </c>
    </row>
    <row r="59" spans="2:27">
      <c r="B59" s="685" t="s">
        <v>666</v>
      </c>
      <c r="D59" s="1004">
        <v>962</v>
      </c>
      <c r="E59" s="1004">
        <v>1043</v>
      </c>
      <c r="F59" s="1004">
        <v>1039</v>
      </c>
      <c r="G59" s="1002">
        <v>997</v>
      </c>
      <c r="H59" s="1002">
        <v>936</v>
      </c>
      <c r="I59" s="1002">
        <v>908</v>
      </c>
      <c r="J59" s="1002">
        <v>815</v>
      </c>
      <c r="K59" s="1002">
        <v>507</v>
      </c>
      <c r="L59" s="1002">
        <v>461</v>
      </c>
      <c r="M59" s="1002">
        <v>0</v>
      </c>
      <c r="N59" s="1002">
        <f>M59</f>
        <v>0</v>
      </c>
      <c r="O59" s="1002">
        <f>N59</f>
        <v>0</v>
      </c>
      <c r="P59" s="1002">
        <f t="shared" ref="P59:R59" si="44">O59</f>
        <v>0</v>
      </c>
      <c r="Q59" s="1002">
        <f t="shared" si="44"/>
        <v>0</v>
      </c>
      <c r="R59" s="1002">
        <f t="shared" si="44"/>
        <v>0</v>
      </c>
      <c r="S59" s="849">
        <f t="shared" si="42"/>
        <v>0</v>
      </c>
      <c r="T59" s="849">
        <f t="shared" si="42"/>
        <v>0</v>
      </c>
      <c r="U59" s="849">
        <f t="shared" si="43"/>
        <v>0</v>
      </c>
      <c r="V59" s="849">
        <f t="shared" si="43"/>
        <v>0</v>
      </c>
      <c r="W59" s="849">
        <f t="shared" si="43"/>
        <v>0</v>
      </c>
      <c r="X59" s="849">
        <f t="shared" si="43"/>
        <v>0</v>
      </c>
      <c r="Y59" s="849">
        <f t="shared" si="43"/>
        <v>0</v>
      </c>
    </row>
    <row r="60" spans="2:27">
      <c r="B60" s="685" t="s">
        <v>667</v>
      </c>
      <c r="D60" s="1004">
        <v>345</v>
      </c>
      <c r="E60" s="1004">
        <v>344</v>
      </c>
      <c r="F60" s="1004">
        <v>337</v>
      </c>
      <c r="G60" s="1002">
        <v>349</v>
      </c>
      <c r="H60" s="1002">
        <v>322</v>
      </c>
      <c r="I60" s="1002">
        <v>323</v>
      </c>
      <c r="J60" s="1002">
        <v>289</v>
      </c>
      <c r="K60" s="1002">
        <v>221</v>
      </c>
      <c r="L60" s="1002">
        <v>197</v>
      </c>
      <c r="M60" s="1002">
        <v>149</v>
      </c>
      <c r="N60" s="1002">
        <v>149</v>
      </c>
      <c r="O60" s="1002">
        <v>149</v>
      </c>
      <c r="P60" s="849">
        <f>P85*P$70</f>
        <v>155.89930439155214</v>
      </c>
      <c r="Q60" s="849">
        <f>Q85*Q$70</f>
        <v>165.95792826014079</v>
      </c>
      <c r="R60" s="849">
        <f>R85*R$70</f>
        <v>174.25582467314786</v>
      </c>
      <c r="S60" s="849">
        <f t="shared" si="42"/>
        <v>180.35477853670801</v>
      </c>
      <c r="T60" s="849">
        <f t="shared" si="42"/>
        <v>183.96187410744218</v>
      </c>
      <c r="U60" s="849">
        <f t="shared" si="43"/>
        <v>185.80149284851657</v>
      </c>
      <c r="V60" s="849">
        <f t="shared" si="43"/>
        <v>187.65950777700175</v>
      </c>
      <c r="W60" s="849">
        <f t="shared" si="43"/>
        <v>189.53610285477177</v>
      </c>
      <c r="X60" s="849">
        <f t="shared" si="43"/>
        <v>191.43146388331951</v>
      </c>
      <c r="Y60" s="849">
        <f t="shared" si="43"/>
        <v>193.3457785221527</v>
      </c>
    </row>
    <row r="61" spans="2:27">
      <c r="B61" s="685" t="s">
        <v>89</v>
      </c>
      <c r="D61" s="1004">
        <v>415</v>
      </c>
      <c r="E61" s="1004">
        <v>463</v>
      </c>
      <c r="F61" s="1004">
        <v>495</v>
      </c>
      <c r="G61" s="1002">
        <v>556</v>
      </c>
      <c r="H61" s="1002">
        <v>578</v>
      </c>
      <c r="I61" s="1002">
        <v>721</v>
      </c>
      <c r="J61" s="1002">
        <v>896</v>
      </c>
      <c r="K61" s="1002">
        <v>1176</v>
      </c>
      <c r="L61" s="1002">
        <v>1467</v>
      </c>
      <c r="M61" s="1002">
        <v>1813</v>
      </c>
      <c r="N61" s="1002">
        <v>2130.538</v>
      </c>
      <c r="O61" s="1002">
        <v>2627</v>
      </c>
      <c r="P61" s="1002">
        <v>3031.1190000000001</v>
      </c>
      <c r="Q61" s="1002">
        <v>3404.125</v>
      </c>
      <c r="R61" s="1002">
        <v>4082</v>
      </c>
      <c r="S61" s="878">
        <v>4532.0550000000003</v>
      </c>
      <c r="T61" s="878">
        <v>4867.0550000000003</v>
      </c>
      <c r="U61" s="878">
        <v>4967.0550000000003</v>
      </c>
      <c r="V61" s="878">
        <v>5067.0550000000003</v>
      </c>
      <c r="W61" s="878">
        <v>5117.0550000000003</v>
      </c>
      <c r="X61" s="878">
        <v>5167.0550000000003</v>
      </c>
      <c r="Y61" s="878">
        <v>5217.0550000000003</v>
      </c>
    </row>
    <row r="62" spans="2:27">
      <c r="B62" s="685" t="s">
        <v>1042</v>
      </c>
      <c r="D62" s="849">
        <f t="shared" ref="D62:K62" si="45">D63+D64+D65+D66+D67</f>
        <v>356</v>
      </c>
      <c r="E62" s="849">
        <f t="shared" si="45"/>
        <v>501</v>
      </c>
      <c r="F62" s="849">
        <f t="shared" si="45"/>
        <v>649</v>
      </c>
      <c r="G62" s="849">
        <f t="shared" si="45"/>
        <v>754</v>
      </c>
      <c r="H62" s="849">
        <f t="shared" si="45"/>
        <v>1058</v>
      </c>
      <c r="I62" s="849">
        <f t="shared" si="45"/>
        <v>1325.5</v>
      </c>
      <c r="J62" s="849">
        <f t="shared" si="45"/>
        <v>1891</v>
      </c>
      <c r="K62" s="849">
        <f t="shared" si="45"/>
        <v>2113</v>
      </c>
      <c r="L62" s="1002">
        <f>Interims!AN238</f>
        <v>2121.9520000000002</v>
      </c>
      <c r="M62" s="1002">
        <f>Interims!AS238</f>
        <v>2978.5079999999998</v>
      </c>
      <c r="N62" s="1002">
        <f>Interims!AX238</f>
        <v>3637.9920000000002</v>
      </c>
      <c r="O62" s="1002">
        <f>Interims!BC238</f>
        <v>4296.53</v>
      </c>
      <c r="P62" s="1002">
        <f>Interims!BH238</f>
        <v>4617.2650000000003</v>
      </c>
      <c r="Q62" s="1002">
        <f>Interims!BM238</f>
        <v>5233.7240000000002</v>
      </c>
      <c r="R62" s="1002">
        <f>Interims!BR238</f>
        <v>5351.1450000000004</v>
      </c>
      <c r="S62" s="849">
        <f t="shared" ref="S62:Y62" si="46">S87*S$70</f>
        <v>5375.6501714999995</v>
      </c>
      <c r="T62" s="849">
        <f t="shared" si="46"/>
        <v>5556.8220031799992</v>
      </c>
      <c r="U62" s="849">
        <f t="shared" si="46"/>
        <v>5686.7856397442993</v>
      </c>
      <c r="V62" s="849">
        <f t="shared" si="46"/>
        <v>5818.792866839568</v>
      </c>
      <c r="W62" s="849">
        <f t="shared" si="46"/>
        <v>5952.8715599127663</v>
      </c>
      <c r="X62" s="849">
        <f t="shared" si="46"/>
        <v>6089.0499475607457</v>
      </c>
      <c r="Y62" s="849">
        <f t="shared" si="46"/>
        <v>6227.3566158056929</v>
      </c>
      <c r="Z62" s="849"/>
      <c r="AA62" s="849"/>
    </row>
    <row r="63" spans="2:27" outlineLevel="1">
      <c r="B63" s="685" t="s">
        <v>91</v>
      </c>
      <c r="D63" s="1004">
        <v>134</v>
      </c>
      <c r="E63" s="1004">
        <v>190</v>
      </c>
      <c r="F63" s="1004">
        <v>251</v>
      </c>
      <c r="G63" s="1002">
        <v>319</v>
      </c>
      <c r="H63" s="1002">
        <v>415</v>
      </c>
      <c r="I63" s="1002">
        <v>474</v>
      </c>
      <c r="J63" s="849">
        <f t="shared" ref="J63:M66" si="47">J88*J$70</f>
        <v>617.6</v>
      </c>
      <c r="K63" s="849">
        <f t="shared" si="47"/>
        <v>649.40000000000009</v>
      </c>
      <c r="L63" s="849">
        <f t="shared" si="47"/>
        <v>665.47050000000002</v>
      </c>
      <c r="M63" s="849">
        <f t="shared" si="47"/>
        <v>859.005</v>
      </c>
      <c r="N63" s="1002">
        <f>Interims!AX238-N64-N65-N66-N67</f>
        <v>553.07971929824555</v>
      </c>
      <c r="O63" s="849">
        <f>Interims!BC238-O64-O65-O66-O67</f>
        <v>466.35799999999949</v>
      </c>
      <c r="P63" s="849"/>
      <c r="Q63" s="849"/>
      <c r="R63" s="849"/>
      <c r="S63" s="849"/>
      <c r="T63" s="849"/>
      <c r="U63" s="849"/>
      <c r="V63" s="849"/>
      <c r="W63" s="849"/>
      <c r="X63" s="849"/>
      <c r="Y63" s="849"/>
    </row>
    <row r="64" spans="2:27" outlineLevel="1">
      <c r="B64" s="685" t="s">
        <v>90</v>
      </c>
      <c r="D64" s="1004">
        <v>146</v>
      </c>
      <c r="E64" s="1004">
        <v>205</v>
      </c>
      <c r="F64" s="1004">
        <v>266</v>
      </c>
      <c r="G64" s="1002">
        <v>302</v>
      </c>
      <c r="H64" s="1002">
        <v>348</v>
      </c>
      <c r="I64" s="1002">
        <v>433</v>
      </c>
      <c r="J64" s="849">
        <f t="shared" si="47"/>
        <v>530.75</v>
      </c>
      <c r="K64" s="849">
        <f t="shared" si="47"/>
        <v>611.20000000000005</v>
      </c>
      <c r="L64" s="849">
        <f t="shared" si="47"/>
        <v>626.89250000000004</v>
      </c>
      <c r="M64" s="849">
        <f t="shared" si="47"/>
        <v>811.28250000000003</v>
      </c>
      <c r="N64" s="1025">
        <f t="shared" ref="N64:O67" si="48">N89*N$70</f>
        <v>1101.7543859649124</v>
      </c>
      <c r="O64" s="849">
        <f t="shared" si="48"/>
        <v>1431.84</v>
      </c>
      <c r="P64" s="849"/>
      <c r="Q64" s="849"/>
      <c r="R64" s="849"/>
      <c r="S64" s="849"/>
      <c r="T64" s="849"/>
      <c r="U64" s="849"/>
      <c r="V64" s="849"/>
      <c r="W64" s="849"/>
      <c r="X64" s="849"/>
      <c r="Y64" s="849"/>
    </row>
    <row r="65" spans="2:25" outlineLevel="1">
      <c r="B65" s="685" t="s">
        <v>155</v>
      </c>
      <c r="D65" s="1004">
        <v>76</v>
      </c>
      <c r="E65" s="1004">
        <v>106</v>
      </c>
      <c r="F65" s="1004">
        <v>132</v>
      </c>
      <c r="G65" s="1002">
        <v>133</v>
      </c>
      <c r="H65" s="1002">
        <v>153</v>
      </c>
      <c r="I65" s="1002">
        <v>183</v>
      </c>
      <c r="J65" s="849">
        <f t="shared" si="47"/>
        <v>289.5</v>
      </c>
      <c r="K65" s="849">
        <f t="shared" si="47"/>
        <v>324.70000000000005</v>
      </c>
      <c r="L65" s="849">
        <f t="shared" si="47"/>
        <v>337.5575</v>
      </c>
      <c r="M65" s="849">
        <f t="shared" si="47"/>
        <v>477.22500000000002</v>
      </c>
      <c r="N65" s="1025">
        <f t="shared" si="48"/>
        <v>572.91228070175453</v>
      </c>
      <c r="O65" s="849">
        <f t="shared" si="48"/>
        <v>835.24000000000012</v>
      </c>
      <c r="P65" s="849"/>
      <c r="Q65" s="849"/>
      <c r="R65" s="849"/>
      <c r="S65" s="849"/>
      <c r="T65" s="849"/>
      <c r="U65" s="849"/>
      <c r="V65" s="849"/>
      <c r="W65" s="849"/>
      <c r="X65" s="849"/>
      <c r="Y65" s="849"/>
    </row>
    <row r="66" spans="2:25" outlineLevel="1">
      <c r="B66" s="685" t="s">
        <v>1510</v>
      </c>
      <c r="D66" s="1004"/>
      <c r="E66" s="1004"/>
      <c r="F66" s="1004"/>
      <c r="G66" s="1002"/>
      <c r="H66" s="1002">
        <v>142</v>
      </c>
      <c r="I66" s="1002">
        <v>138</v>
      </c>
      <c r="J66" s="849">
        <f t="shared" si="47"/>
        <v>181.79354838709679</v>
      </c>
      <c r="K66" s="849">
        <f t="shared" si="47"/>
        <v>229.20000000000002</v>
      </c>
      <c r="L66" s="849">
        <f t="shared" si="47"/>
        <v>241.11250000000001</v>
      </c>
      <c r="M66" s="849">
        <f t="shared" si="47"/>
        <v>343.60199999999998</v>
      </c>
      <c r="N66" s="1025">
        <f t="shared" si="48"/>
        <v>418.66666666666669</v>
      </c>
      <c r="O66" s="849">
        <f t="shared" si="48"/>
        <v>477.28000000000003</v>
      </c>
      <c r="P66" s="849"/>
      <c r="Q66" s="849"/>
      <c r="R66" s="849"/>
      <c r="S66" s="849"/>
      <c r="T66" s="849"/>
      <c r="U66" s="849"/>
      <c r="V66" s="849"/>
      <c r="W66" s="849"/>
      <c r="X66" s="849"/>
      <c r="Y66" s="849"/>
    </row>
    <row r="67" spans="2:25" outlineLevel="1">
      <c r="B67" s="685" t="s">
        <v>2064</v>
      </c>
      <c r="D67" s="1004"/>
      <c r="E67" s="1004"/>
      <c r="F67" s="1004"/>
      <c r="G67" s="1002"/>
      <c r="H67" s="1002"/>
      <c r="I67" s="1002">
        <f>650*0.15</f>
        <v>97.5</v>
      </c>
      <c r="J67" s="1002">
        <f>1891-J63-J64-J65-J66</f>
        <v>271.3564516129033</v>
      </c>
      <c r="K67" s="1002">
        <f>2113-K63-K64-K65-K66</f>
        <v>298.49999999999977</v>
      </c>
      <c r="L67" s="1002">
        <f>2122-L63-L64-L65-L66</f>
        <v>250.96700000000004</v>
      </c>
      <c r="M67" s="1002">
        <f>2979-M63-M64-M65-M66</f>
        <v>487.88549999999987</v>
      </c>
      <c r="N67" s="1025">
        <f t="shared" si="48"/>
        <v>991.57894736842115</v>
      </c>
      <c r="O67" s="849">
        <f t="shared" si="48"/>
        <v>1085.8119999999999</v>
      </c>
      <c r="P67" s="849"/>
      <c r="Q67" s="849"/>
      <c r="R67" s="849"/>
      <c r="S67" s="849"/>
      <c r="T67" s="849"/>
      <c r="U67" s="849"/>
      <c r="V67" s="849"/>
      <c r="W67" s="849"/>
      <c r="X67" s="849"/>
      <c r="Y67" s="849"/>
    </row>
    <row r="68" spans="2:25">
      <c r="B68" s="685" t="s">
        <v>866</v>
      </c>
      <c r="D68" s="1004"/>
      <c r="E68" s="1004"/>
      <c r="F68" s="1004"/>
      <c r="G68" s="1002"/>
      <c r="H68" s="1002"/>
      <c r="I68" s="1002"/>
      <c r="J68" s="1002"/>
      <c r="K68" s="1002"/>
      <c r="L68" s="1002"/>
      <c r="M68" s="1002"/>
      <c r="N68" s="1002">
        <v>1371.0982658959538</v>
      </c>
      <c r="O68" s="1002">
        <v>2372</v>
      </c>
      <c r="P68" s="849">
        <f t="shared" ref="P68:Y68" si="49">P93*P$70</f>
        <v>3495.6600000000003</v>
      </c>
      <c r="Q68" s="849">
        <f t="shared" si="49"/>
        <v>3987.0000000000005</v>
      </c>
      <c r="R68" s="849">
        <f t="shared" si="49"/>
        <v>4465.4400000000005</v>
      </c>
      <c r="S68" s="849">
        <f t="shared" si="49"/>
        <v>4910.5885500000013</v>
      </c>
      <c r="T68" s="849">
        <f t="shared" si="49"/>
        <v>5303.4356340000013</v>
      </c>
      <c r="U68" s="849">
        <f t="shared" si="49"/>
        <v>5654.051656470001</v>
      </c>
      <c r="V68" s="849">
        <f t="shared" si="49"/>
        <v>6011.1496558260014</v>
      </c>
      <c r="W68" s="849">
        <f t="shared" si="49"/>
        <v>6374.8242100034749</v>
      </c>
      <c r="X68" s="849">
        <f t="shared" si="49"/>
        <v>6745.1711402989149</v>
      </c>
      <c r="Y68" s="849">
        <f t="shared" si="49"/>
        <v>7122.2875267792642</v>
      </c>
    </row>
    <row r="69" spans="2:25">
      <c r="B69" s="743" t="s">
        <v>1908</v>
      </c>
      <c r="C69" s="743"/>
      <c r="D69" s="743">
        <v>1544</v>
      </c>
      <c r="E69" s="743">
        <v>1949</v>
      </c>
      <c r="F69" s="743">
        <v>2349</v>
      </c>
      <c r="G69" s="995">
        <f>G70-SUM(G58:G65)</f>
        <v>2957.7150000000001</v>
      </c>
      <c r="H69" s="995">
        <f>H70-SUM(H58:H66)</f>
        <v>3095</v>
      </c>
      <c r="I69" s="995">
        <f>I70-SUM(I58:I67)</f>
        <v>897</v>
      </c>
      <c r="J69" s="995">
        <f>J70-SUM(J58:J67)</f>
        <v>455</v>
      </c>
      <c r="K69" s="995">
        <f t="shared" ref="K69:Q69" si="50">K70-K68-K62-K61-K60-K59-K58</f>
        <v>2226</v>
      </c>
      <c r="L69" s="995">
        <f t="shared" si="50"/>
        <v>2417.0479999999989</v>
      </c>
      <c r="M69" s="995">
        <f t="shared" si="50"/>
        <v>1433.4920000000002</v>
      </c>
      <c r="N69" s="995">
        <f t="shared" si="50"/>
        <v>2447.4594534022908</v>
      </c>
      <c r="O69" s="995">
        <f t="shared" si="50"/>
        <v>2505.4700000000012</v>
      </c>
      <c r="P69" s="995">
        <f t="shared" si="50"/>
        <v>2298.0566956084476</v>
      </c>
      <c r="Q69" s="995">
        <f t="shared" si="50"/>
        <v>2990.1930717398573</v>
      </c>
      <c r="R69" s="995">
        <f t="shared" ref="R69:Y69" si="51">R94*R$70</f>
        <v>3020.0971753268486</v>
      </c>
      <c r="S69" s="995">
        <f t="shared" si="51"/>
        <v>3306.7858499632925</v>
      </c>
      <c r="T69" s="995">
        <f t="shared" si="51"/>
        <v>3349.539151712554</v>
      </c>
      <c r="U69" s="995">
        <f t="shared" si="51"/>
        <v>3554.8913428271799</v>
      </c>
      <c r="V69" s="995">
        <f t="shared" si="51"/>
        <v>3765.5289183489272</v>
      </c>
      <c r="W69" s="995">
        <f t="shared" si="51"/>
        <v>4031.5270507468317</v>
      </c>
      <c r="X69" s="995">
        <f t="shared" si="51"/>
        <v>4302.9618874008493</v>
      </c>
      <c r="Y69" s="995">
        <f t="shared" si="51"/>
        <v>4579.9105625828734</v>
      </c>
    </row>
    <row r="70" spans="2:25">
      <c r="B70" s="685" t="s">
        <v>668</v>
      </c>
      <c r="D70" s="1004">
        <v>19504</v>
      </c>
      <c r="E70" s="1004">
        <v>19891</v>
      </c>
      <c r="F70" s="1004">
        <v>19683</v>
      </c>
      <c r="G70" s="1002">
        <v>20589</v>
      </c>
      <c r="H70" s="1002">
        <v>20590</v>
      </c>
      <c r="I70" s="1002">
        <v>18600</v>
      </c>
      <c r="J70" s="1002">
        <v>19300</v>
      </c>
      <c r="K70" s="1002">
        <v>19100</v>
      </c>
      <c r="L70" s="1002">
        <v>19289</v>
      </c>
      <c r="M70" s="1002">
        <v>19089</v>
      </c>
      <c r="N70" s="1002">
        <f>O70/1.083</f>
        <v>22035.087719298248</v>
      </c>
      <c r="O70" s="1002">
        <v>23864</v>
      </c>
      <c r="P70" s="1002">
        <v>24969</v>
      </c>
      <c r="Q70" s="1002">
        <v>26580</v>
      </c>
      <c r="R70" s="849">
        <f t="shared" ref="R70:Y70" si="52">(1+R72)*Q70</f>
        <v>27909</v>
      </c>
      <c r="S70" s="849">
        <f t="shared" si="52"/>
        <v>28885.814999999999</v>
      </c>
      <c r="T70" s="849">
        <f t="shared" si="52"/>
        <v>29463.531299999999</v>
      </c>
      <c r="U70" s="849">
        <f t="shared" si="52"/>
        <v>29758.166612999998</v>
      </c>
      <c r="V70" s="849">
        <f t="shared" si="52"/>
        <v>30055.748279129999</v>
      </c>
      <c r="W70" s="849">
        <f t="shared" si="52"/>
        <v>30356.3057619213</v>
      </c>
      <c r="X70" s="849">
        <f t="shared" si="52"/>
        <v>30659.868819540512</v>
      </c>
      <c r="Y70" s="849">
        <f t="shared" si="52"/>
        <v>30966.467507735917</v>
      </c>
    </row>
    <row r="71" spans="2:25">
      <c r="B71" s="685" t="s">
        <v>669</v>
      </c>
      <c r="D71" s="685">
        <v>17960</v>
      </c>
      <c r="E71" s="685">
        <v>17942</v>
      </c>
      <c r="F71" s="685">
        <v>17334</v>
      </c>
      <c r="G71" s="685">
        <v>16887</v>
      </c>
    </row>
    <row r="72" spans="2:25">
      <c r="B72" s="685" t="s">
        <v>672</v>
      </c>
      <c r="E72" s="869">
        <f t="shared" ref="E72:M72" si="53">E70/D70-1</f>
        <v>1.9842083675143618E-2</v>
      </c>
      <c r="F72" s="869">
        <f t="shared" si="53"/>
        <v>-1.0456990598763261E-2</v>
      </c>
      <c r="G72" s="869">
        <f t="shared" si="53"/>
        <v>4.6029568663313425E-2</v>
      </c>
      <c r="H72" s="869">
        <f t="shared" si="53"/>
        <v>4.85696245569045E-5</v>
      </c>
      <c r="I72" s="869">
        <f t="shared" si="53"/>
        <v>-9.6648858669256876E-2</v>
      </c>
      <c r="J72" s="869">
        <f t="shared" si="53"/>
        <v>3.7634408602150504E-2</v>
      </c>
      <c r="K72" s="869">
        <f t="shared" si="53"/>
        <v>-1.0362694300518172E-2</v>
      </c>
      <c r="L72" s="869">
        <f t="shared" si="53"/>
        <v>9.8952879581151176E-3</v>
      </c>
      <c r="M72" s="869">
        <f t="shared" si="53"/>
        <v>-1.0368603867489279E-2</v>
      </c>
      <c r="N72" s="869">
        <f>N70/M70-1</f>
        <v>0.15433431396606667</v>
      </c>
      <c r="O72" s="869">
        <f>O70/N70-1</f>
        <v>8.2999999999999963E-2</v>
      </c>
      <c r="P72" s="869">
        <f>P70/O70-1</f>
        <v>4.6304056319141695E-2</v>
      </c>
      <c r="Q72" s="869">
        <f>Q70/P70-1</f>
        <v>6.4520004805959319E-2</v>
      </c>
      <c r="R72" s="982">
        <v>0.05</v>
      </c>
      <c r="S72" s="982">
        <v>3.5000000000000003E-2</v>
      </c>
      <c r="T72" s="982">
        <v>0.02</v>
      </c>
      <c r="U72" s="982">
        <v>0.01</v>
      </c>
      <c r="V72" s="982">
        <v>0.01</v>
      </c>
      <c r="W72" s="982">
        <v>0.01</v>
      </c>
      <c r="X72" s="982">
        <v>0.01</v>
      </c>
      <c r="Y72" s="982">
        <v>0.01</v>
      </c>
    </row>
    <row r="73" spans="2:25">
      <c r="E73" s="869"/>
      <c r="F73" s="869"/>
      <c r="G73" s="869"/>
      <c r="H73" s="869"/>
      <c r="I73" s="869"/>
      <c r="J73" s="869"/>
      <c r="K73" s="869"/>
      <c r="L73" s="869"/>
      <c r="M73" s="869"/>
      <c r="N73" s="869"/>
      <c r="O73" s="869"/>
      <c r="P73" s="869"/>
      <c r="Q73" s="869"/>
      <c r="R73" s="869"/>
      <c r="S73" s="869"/>
      <c r="T73" s="869"/>
      <c r="U73" s="869"/>
      <c r="V73" s="869"/>
      <c r="W73" s="869"/>
      <c r="X73" s="869"/>
      <c r="Y73" s="869"/>
    </row>
    <row r="74" spans="2:25">
      <c r="B74" s="685" t="s">
        <v>681</v>
      </c>
      <c r="E74" s="1004">
        <v>14326</v>
      </c>
      <c r="F74" s="1004">
        <v>14149</v>
      </c>
      <c r="G74" s="1004">
        <v>14289</v>
      </c>
      <c r="H74" s="1004">
        <v>14027</v>
      </c>
      <c r="I74" s="849">
        <f t="shared" ref="I74:T74" si="54">(1+I75)*H74</f>
        <v>13886.73</v>
      </c>
      <c r="J74" s="849">
        <f t="shared" si="54"/>
        <v>13747.8627</v>
      </c>
      <c r="K74" s="849">
        <f t="shared" si="54"/>
        <v>13610.384072999999</v>
      </c>
      <c r="L74" s="849">
        <f t="shared" si="54"/>
        <v>13474.280232269999</v>
      </c>
      <c r="M74" s="849">
        <f t="shared" si="54"/>
        <v>13339.537429947299</v>
      </c>
      <c r="N74" s="1002">
        <f>O74/1.089</f>
        <v>16253.443526170799</v>
      </c>
      <c r="O74" s="1002">
        <v>17700</v>
      </c>
      <c r="P74" s="849">
        <f t="shared" si="54"/>
        <v>17523</v>
      </c>
      <c r="Q74" s="849">
        <f t="shared" si="54"/>
        <v>17347.77</v>
      </c>
      <c r="R74" s="849">
        <f t="shared" si="54"/>
        <v>17174.292300000001</v>
      </c>
      <c r="S74" s="849">
        <f t="shared" si="54"/>
        <v>17002.549376999999</v>
      </c>
      <c r="T74" s="849">
        <f t="shared" si="54"/>
        <v>16832.523883229998</v>
      </c>
      <c r="U74" s="849">
        <f>(1+U75)*T74</f>
        <v>16664.198644397697</v>
      </c>
      <c r="V74" s="849">
        <f>(1+V75)*U74</f>
        <v>16497.556657953719</v>
      </c>
      <c r="W74" s="849">
        <f>(1+W75)*V74</f>
        <v>16332.581091374183</v>
      </c>
      <c r="X74" s="849">
        <f>(1+X75)*W74</f>
        <v>16169.25528046044</v>
      </c>
      <c r="Y74" s="849">
        <f>(1+Y75)*X74</f>
        <v>16007.562727655835</v>
      </c>
    </row>
    <row r="75" spans="2:25">
      <c r="B75" s="685" t="s">
        <v>181</v>
      </c>
      <c r="F75" s="807">
        <f>F74/E74-1</f>
        <v>-1.2355158453162041E-2</v>
      </c>
      <c r="G75" s="807">
        <f>G74/F74-1</f>
        <v>9.8946922043960939E-3</v>
      </c>
      <c r="H75" s="807">
        <f>H74/G74-1</f>
        <v>-1.8335782769962949E-2</v>
      </c>
      <c r="I75" s="1001">
        <v>-0.01</v>
      </c>
      <c r="J75" s="1001">
        <v>-0.01</v>
      </c>
      <c r="K75" s="1001">
        <v>-0.01</v>
      </c>
      <c r="L75" s="1001">
        <v>-0.01</v>
      </c>
      <c r="M75" s="1001">
        <v>-0.01</v>
      </c>
      <c r="N75" s="1001">
        <v>-0.01</v>
      </c>
      <c r="O75" s="807">
        <f>O74/N74-1</f>
        <v>8.8999999999999968E-2</v>
      </c>
      <c r="P75" s="982">
        <v>-0.01</v>
      </c>
      <c r="Q75" s="982">
        <v>-0.01</v>
      </c>
      <c r="R75" s="982">
        <v>-0.01</v>
      </c>
      <c r="S75" s="982">
        <v>-0.01</v>
      </c>
      <c r="T75" s="982">
        <v>-0.01</v>
      </c>
      <c r="U75" s="982">
        <v>-0.01</v>
      </c>
      <c r="V75" s="982">
        <v>-0.01</v>
      </c>
      <c r="W75" s="982">
        <v>-0.01</v>
      </c>
      <c r="X75" s="982">
        <v>-0.01</v>
      </c>
      <c r="Y75" s="982">
        <v>-0.01</v>
      </c>
    </row>
    <row r="76" spans="2:25">
      <c r="B76" s="685" t="s">
        <v>682</v>
      </c>
      <c r="E76" s="685">
        <f t="shared" ref="E76:M76" si="55">E70-E74</f>
        <v>5565</v>
      </c>
      <c r="F76" s="685">
        <f t="shared" si="55"/>
        <v>5534</v>
      </c>
      <c r="G76" s="849">
        <f t="shared" si="55"/>
        <v>6300</v>
      </c>
      <c r="H76" s="849">
        <f t="shared" si="55"/>
        <v>6563</v>
      </c>
      <c r="I76" s="849">
        <f t="shared" si="55"/>
        <v>4713.2700000000004</v>
      </c>
      <c r="J76" s="849">
        <f t="shared" si="55"/>
        <v>5552.1373000000003</v>
      </c>
      <c r="K76" s="849">
        <f t="shared" si="55"/>
        <v>5489.6159270000007</v>
      </c>
      <c r="L76" s="849">
        <f t="shared" si="55"/>
        <v>5814.719767730001</v>
      </c>
      <c r="M76" s="849">
        <f t="shared" si="55"/>
        <v>5749.4625700527013</v>
      </c>
      <c r="N76" s="849">
        <f t="shared" ref="N76:T76" si="56">N70-N74</f>
        <v>5781.6441931274494</v>
      </c>
      <c r="O76" s="849">
        <f t="shared" si="56"/>
        <v>6164</v>
      </c>
      <c r="P76" s="849">
        <f t="shared" si="56"/>
        <v>7446</v>
      </c>
      <c r="Q76" s="849">
        <f t="shared" si="56"/>
        <v>9232.23</v>
      </c>
      <c r="R76" s="849">
        <f t="shared" si="56"/>
        <v>10734.707699999999</v>
      </c>
      <c r="S76" s="849">
        <f t="shared" si="56"/>
        <v>11883.265622999999</v>
      </c>
      <c r="T76" s="849">
        <f t="shared" si="56"/>
        <v>12631.00741677</v>
      </c>
      <c r="U76" s="849">
        <f>U70-U74</f>
        <v>13093.967968602301</v>
      </c>
      <c r="V76" s="849">
        <f>V70-V74</f>
        <v>13558.19162117628</v>
      </c>
      <c r="W76" s="849">
        <f>W70-W74</f>
        <v>14023.724670547117</v>
      </c>
      <c r="X76" s="849">
        <f>X70-X74</f>
        <v>14490.613539080072</v>
      </c>
      <c r="Y76" s="849">
        <f>Y70-Y74</f>
        <v>14958.904780080082</v>
      </c>
    </row>
    <row r="77" spans="2:25">
      <c r="B77" s="685" t="s">
        <v>181</v>
      </c>
      <c r="F77" s="807">
        <f t="shared" ref="F77:T77" si="57">F76/E76-1</f>
        <v>-5.5705300988320161E-3</v>
      </c>
      <c r="G77" s="807">
        <f t="shared" si="57"/>
        <v>0.13841705818576067</v>
      </c>
      <c r="H77" s="807">
        <f t="shared" si="57"/>
        <v>4.1746031746031642E-2</v>
      </c>
      <c r="I77" s="807">
        <f t="shared" si="57"/>
        <v>-0.28184214536035346</v>
      </c>
      <c r="J77" s="807">
        <f t="shared" si="57"/>
        <v>0.1779798950622391</v>
      </c>
      <c r="K77" s="807">
        <f t="shared" si="57"/>
        <v>-1.1260775737660489E-2</v>
      </c>
      <c r="L77" s="807">
        <f t="shared" si="57"/>
        <v>5.9221600391207163E-2</v>
      </c>
      <c r="M77" s="807">
        <f t="shared" si="57"/>
        <v>-1.1222758840324198E-2</v>
      </c>
      <c r="N77" s="807">
        <f t="shared" si="57"/>
        <v>5.597327173216593E-3</v>
      </c>
      <c r="O77" s="807">
        <f t="shared" si="57"/>
        <v>6.6132711405356037E-2</v>
      </c>
      <c r="P77" s="807">
        <f t="shared" si="57"/>
        <v>0.20798182998053205</v>
      </c>
      <c r="Q77" s="807">
        <f t="shared" si="57"/>
        <v>0.23989121676067682</v>
      </c>
      <c r="R77" s="807">
        <f t="shared" si="57"/>
        <v>0.16274266347350519</v>
      </c>
      <c r="S77" s="807">
        <f t="shared" si="57"/>
        <v>0.1069948018239939</v>
      </c>
      <c r="T77" s="807">
        <f t="shared" si="57"/>
        <v>6.2923931644071951E-2</v>
      </c>
      <c r="U77" s="807">
        <f>U76/T76-1</f>
        <v>3.6652702081200195E-2</v>
      </c>
      <c r="V77" s="807">
        <f>V76/U76-1</f>
        <v>3.5453244859551258E-2</v>
      </c>
      <c r="W77" s="807">
        <f>W76/V76-1</f>
        <v>3.4335924906366611E-2</v>
      </c>
      <c r="X77" s="807">
        <f>X76/W76-1</f>
        <v>3.3292786296177379E-2</v>
      </c>
      <c r="Y77" s="807">
        <f>Y76/X76-1</f>
        <v>3.2316867725239229E-2</v>
      </c>
    </row>
    <row r="78" spans="2:25">
      <c r="G78" s="869"/>
      <c r="H78" s="869"/>
      <c r="I78" s="869"/>
      <c r="J78" s="869"/>
      <c r="K78" s="869"/>
      <c r="L78" s="869"/>
      <c r="M78" s="869"/>
      <c r="N78" s="869"/>
      <c r="O78" s="869"/>
      <c r="P78" s="869"/>
      <c r="Q78" s="869"/>
      <c r="R78" s="869"/>
      <c r="S78" s="869"/>
      <c r="T78" s="869"/>
      <c r="U78" s="869"/>
      <c r="V78" s="869"/>
      <c r="W78" s="869"/>
      <c r="X78" s="869"/>
      <c r="Y78" s="869"/>
    </row>
    <row r="79" spans="2:25">
      <c r="B79" s="1004" t="s">
        <v>683</v>
      </c>
      <c r="C79" s="1004"/>
      <c r="D79" s="1004">
        <v>28000</v>
      </c>
      <c r="E79" s="1004">
        <v>28000</v>
      </c>
      <c r="F79" s="1004">
        <f t="shared" ref="F79:L79" si="58">G79-250</f>
        <v>28800</v>
      </c>
      <c r="G79" s="1004">
        <f t="shared" si="58"/>
        <v>29050</v>
      </c>
      <c r="H79" s="1004">
        <f t="shared" si="58"/>
        <v>29300</v>
      </c>
      <c r="I79" s="1004">
        <f t="shared" si="58"/>
        <v>29550</v>
      </c>
      <c r="J79" s="1004">
        <f t="shared" si="58"/>
        <v>29800</v>
      </c>
      <c r="K79" s="1004">
        <f t="shared" si="58"/>
        <v>30050</v>
      </c>
      <c r="L79" s="1004">
        <f t="shared" si="58"/>
        <v>30300</v>
      </c>
      <c r="M79" s="1004">
        <f>N79-250</f>
        <v>30550</v>
      </c>
      <c r="N79" s="1004">
        <v>30800</v>
      </c>
      <c r="O79" s="1004">
        <v>31100</v>
      </c>
      <c r="P79" s="878">
        <f>O79*1.02</f>
        <v>31722</v>
      </c>
      <c r="Q79" s="878">
        <f t="shared" ref="Q79:Y79" si="59">P79*1.02</f>
        <v>32356.440000000002</v>
      </c>
      <c r="R79" s="878">
        <f t="shared" si="59"/>
        <v>33003.568800000001</v>
      </c>
      <c r="S79" s="878">
        <f t="shared" si="59"/>
        <v>33663.640176000001</v>
      </c>
      <c r="T79" s="878">
        <f t="shared" si="59"/>
        <v>34336.912979519999</v>
      </c>
      <c r="U79" s="878">
        <f t="shared" si="59"/>
        <v>35023.651239110397</v>
      </c>
      <c r="V79" s="878">
        <f t="shared" si="59"/>
        <v>35724.124263892605</v>
      </c>
      <c r="W79" s="878">
        <f t="shared" si="59"/>
        <v>36438.60674917046</v>
      </c>
      <c r="X79" s="878">
        <f t="shared" si="59"/>
        <v>37167.37888415387</v>
      </c>
      <c r="Y79" s="878">
        <f t="shared" si="59"/>
        <v>37910.726461836945</v>
      </c>
    </row>
    <row r="80" spans="2:25">
      <c r="B80" s="685" t="s">
        <v>684</v>
      </c>
      <c r="E80" s="807">
        <f t="shared" ref="E80:M80" si="60">E74/E79</f>
        <v>0.51164285714285718</v>
      </c>
      <c r="F80" s="807">
        <f t="shared" si="60"/>
        <v>0.49128472222222225</v>
      </c>
      <c r="G80" s="807">
        <f t="shared" si="60"/>
        <v>0.49187607573149744</v>
      </c>
      <c r="H80" s="807">
        <f t="shared" si="60"/>
        <v>0.47873720136518771</v>
      </c>
      <c r="I80" s="807">
        <f t="shared" si="60"/>
        <v>0.4699401015228426</v>
      </c>
      <c r="J80" s="807">
        <f t="shared" si="60"/>
        <v>0.46133767449664431</v>
      </c>
      <c r="K80" s="807">
        <f t="shared" si="60"/>
        <v>0.45292459477537433</v>
      </c>
      <c r="L80" s="807">
        <f t="shared" si="60"/>
        <v>0.44469571723663365</v>
      </c>
      <c r="M80" s="807">
        <f t="shared" si="60"/>
        <v>0.4366460697200425</v>
      </c>
      <c r="N80" s="807">
        <f t="shared" ref="N80:T80" si="61">N74/N79</f>
        <v>0.52770920539515576</v>
      </c>
      <c r="O80" s="807">
        <f t="shared" si="61"/>
        <v>0.56913183279742763</v>
      </c>
      <c r="P80" s="807">
        <f t="shared" si="61"/>
        <v>0.5523926612445621</v>
      </c>
      <c r="Q80" s="807">
        <f t="shared" si="61"/>
        <v>0.53614581826678087</v>
      </c>
      <c r="R80" s="807">
        <f t="shared" si="61"/>
        <v>0.52037682361187554</v>
      </c>
      <c r="S80" s="807">
        <f t="shared" si="61"/>
        <v>0.50507162291740859</v>
      </c>
      <c r="T80" s="807">
        <f t="shared" si="61"/>
        <v>0.49021657518454365</v>
      </c>
      <c r="U80" s="807">
        <f>U74/U79</f>
        <v>0.47579844062029236</v>
      </c>
      <c r="V80" s="807">
        <f>V74/V79</f>
        <v>0.46180436883734255</v>
      </c>
      <c r="W80" s="807">
        <f>W74/W79</f>
        <v>0.44822188740095009</v>
      </c>
      <c r="X80" s="807">
        <f>X74/X79</f>
        <v>0.43503889071268687</v>
      </c>
      <c r="Y80" s="807">
        <f>Y74/Y79</f>
        <v>0.42224362922113723</v>
      </c>
    </row>
    <row r="81" spans="2:25">
      <c r="R81" s="849"/>
      <c r="S81" s="849"/>
      <c r="T81" s="849"/>
      <c r="U81" s="849"/>
      <c r="V81" s="849"/>
      <c r="W81" s="849"/>
      <c r="X81" s="849"/>
      <c r="Y81" s="849"/>
    </row>
    <row r="82" spans="2:25">
      <c r="B82" s="685" t="s">
        <v>670</v>
      </c>
      <c r="R82" s="849"/>
      <c r="S82" s="849"/>
      <c r="T82" s="849"/>
      <c r="U82" s="849"/>
      <c r="V82" s="849"/>
      <c r="W82" s="849"/>
      <c r="X82" s="849"/>
      <c r="Y82" s="849"/>
    </row>
    <row r="83" spans="2:25">
      <c r="B83" s="685" t="str">
        <f>B58</f>
        <v>Telmex</v>
      </c>
      <c r="D83" s="869">
        <f t="shared" ref="D83:Q83" si="62">D58/D$70</f>
        <v>0.81429450369155043</v>
      </c>
      <c r="E83" s="869">
        <f t="shared" si="62"/>
        <v>0.78382182896787489</v>
      </c>
      <c r="F83" s="869">
        <f t="shared" si="62"/>
        <v>0.75262917238225879</v>
      </c>
      <c r="G83" s="869">
        <f t="shared" si="62"/>
        <v>0.69072247316528246</v>
      </c>
      <c r="H83" s="869">
        <f t="shared" si="62"/>
        <v>0.65774647887323945</v>
      </c>
      <c r="I83" s="869">
        <f t="shared" si="62"/>
        <v>0.70430107526881724</v>
      </c>
      <c r="J83" s="869">
        <f t="shared" si="62"/>
        <v>0.67683937823834195</v>
      </c>
      <c r="K83" s="869">
        <f t="shared" si="62"/>
        <v>0.67314136125654456</v>
      </c>
      <c r="L83" s="869">
        <f t="shared" si="62"/>
        <v>0.65451811913525848</v>
      </c>
      <c r="M83" s="869">
        <f t="shared" si="62"/>
        <v>0.66609041856566609</v>
      </c>
      <c r="N83" s="869">
        <f t="shared" si="62"/>
        <v>0.55815525477706995</v>
      </c>
      <c r="O83" s="869">
        <f t="shared" si="62"/>
        <v>0.49924572577941667</v>
      </c>
      <c r="P83" s="869">
        <f t="shared" si="62"/>
        <v>0.45540470183026954</v>
      </c>
      <c r="Q83" s="869">
        <f t="shared" si="62"/>
        <v>0.40628291948833711</v>
      </c>
      <c r="R83" s="982">
        <f t="shared" ref="R83:Y83" si="63">Q83-2%</f>
        <v>0.3862829194883371</v>
      </c>
      <c r="S83" s="982">
        <f t="shared" si="63"/>
        <v>0.36628291948833708</v>
      </c>
      <c r="T83" s="982">
        <f t="shared" si="63"/>
        <v>0.34628291948833706</v>
      </c>
      <c r="U83" s="982">
        <f t="shared" si="63"/>
        <v>0.32628291948833704</v>
      </c>
      <c r="V83" s="982">
        <f t="shared" si="63"/>
        <v>0.30628291948833702</v>
      </c>
      <c r="W83" s="982">
        <f t="shared" si="63"/>
        <v>0.28628291948833701</v>
      </c>
      <c r="X83" s="982">
        <f t="shared" si="63"/>
        <v>0.26628291948833699</v>
      </c>
      <c r="Y83" s="982">
        <f t="shared" si="63"/>
        <v>0.246282919488337</v>
      </c>
    </row>
    <row r="84" spans="2:25">
      <c r="B84" s="685" t="str">
        <f>B59</f>
        <v>Axtel</v>
      </c>
      <c r="D84" s="869">
        <f t="shared" ref="D84:Q84" si="64">D59/D$70</f>
        <v>4.9323215750615261E-2</v>
      </c>
      <c r="E84" s="869">
        <f t="shared" si="64"/>
        <v>5.2435774973606152E-2</v>
      </c>
      <c r="F84" s="869">
        <f t="shared" si="64"/>
        <v>5.2786668698877201E-2</v>
      </c>
      <c r="G84" s="869">
        <f t="shared" si="64"/>
        <v>4.8423915683131771E-2</v>
      </c>
      <c r="H84" s="869">
        <f t="shared" si="64"/>
        <v>4.5458960660514816E-2</v>
      </c>
      <c r="I84" s="869">
        <f t="shared" si="64"/>
        <v>4.8817204301075272E-2</v>
      </c>
      <c r="J84" s="869">
        <f t="shared" si="64"/>
        <v>4.2227979274611402E-2</v>
      </c>
      <c r="K84" s="869">
        <f t="shared" si="64"/>
        <v>2.6544502617801048E-2</v>
      </c>
      <c r="L84" s="869">
        <f t="shared" si="64"/>
        <v>2.3899631914562704E-2</v>
      </c>
      <c r="M84" s="869">
        <f t="shared" si="64"/>
        <v>0</v>
      </c>
      <c r="N84" s="869">
        <f t="shared" si="64"/>
        <v>0</v>
      </c>
      <c r="O84" s="869">
        <f t="shared" si="64"/>
        <v>0</v>
      </c>
      <c r="P84" s="869">
        <f t="shared" si="64"/>
        <v>0</v>
      </c>
      <c r="Q84" s="869">
        <f t="shared" si="64"/>
        <v>0</v>
      </c>
      <c r="R84" s="982">
        <f t="shared" ref="R84:Y84" si="65">Q84</f>
        <v>0</v>
      </c>
      <c r="S84" s="982">
        <f t="shared" si="65"/>
        <v>0</v>
      </c>
      <c r="T84" s="982">
        <f t="shared" si="65"/>
        <v>0</v>
      </c>
      <c r="U84" s="982">
        <f t="shared" si="65"/>
        <v>0</v>
      </c>
      <c r="V84" s="982">
        <f t="shared" si="65"/>
        <v>0</v>
      </c>
      <c r="W84" s="982">
        <f t="shared" si="65"/>
        <v>0</v>
      </c>
      <c r="X84" s="982">
        <f t="shared" si="65"/>
        <v>0</v>
      </c>
      <c r="Y84" s="982">
        <f t="shared" si="65"/>
        <v>0</v>
      </c>
    </row>
    <row r="85" spans="2:25">
      <c r="B85" s="685" t="str">
        <f>B60</f>
        <v>Maxcom</v>
      </c>
      <c r="D85" s="869">
        <f t="shared" ref="D85:O85" si="66">D60/D$70</f>
        <v>1.7688679245283018E-2</v>
      </c>
      <c r="E85" s="869">
        <f t="shared" si="66"/>
        <v>1.7294253682570006E-2</v>
      </c>
      <c r="F85" s="869">
        <f t="shared" si="66"/>
        <v>1.7121373774323021E-2</v>
      </c>
      <c r="G85" s="869">
        <f t="shared" si="66"/>
        <v>1.695079897032396E-2</v>
      </c>
      <c r="H85" s="869">
        <f t="shared" si="66"/>
        <v>1.5638659543467704E-2</v>
      </c>
      <c r="I85" s="869">
        <f t="shared" si="66"/>
        <v>1.7365591397849461E-2</v>
      </c>
      <c r="J85" s="869">
        <f t="shared" si="66"/>
        <v>1.4974093264248705E-2</v>
      </c>
      <c r="K85" s="869">
        <f t="shared" si="66"/>
        <v>1.1570680628272252E-2</v>
      </c>
      <c r="L85" s="869">
        <f t="shared" si="66"/>
        <v>1.0213074809476905E-2</v>
      </c>
      <c r="M85" s="869">
        <f t="shared" si="66"/>
        <v>7.8055424590078052E-3</v>
      </c>
      <c r="N85" s="869">
        <f t="shared" si="66"/>
        <v>6.7619426751592349E-3</v>
      </c>
      <c r="O85" s="869">
        <f t="shared" si="66"/>
        <v>6.2437143814951393E-3</v>
      </c>
      <c r="P85" s="982">
        <f t="shared" ref="P85:Y85" si="67">O85</f>
        <v>6.2437143814951393E-3</v>
      </c>
      <c r="Q85" s="982">
        <f t="shared" si="67"/>
        <v>6.2437143814951393E-3</v>
      </c>
      <c r="R85" s="982">
        <f t="shared" si="67"/>
        <v>6.2437143814951393E-3</v>
      </c>
      <c r="S85" s="982">
        <f t="shared" si="67"/>
        <v>6.2437143814951393E-3</v>
      </c>
      <c r="T85" s="982">
        <f t="shared" si="67"/>
        <v>6.2437143814951393E-3</v>
      </c>
      <c r="U85" s="982">
        <f t="shared" si="67"/>
        <v>6.2437143814951393E-3</v>
      </c>
      <c r="V85" s="982">
        <f t="shared" si="67"/>
        <v>6.2437143814951393E-3</v>
      </c>
      <c r="W85" s="982">
        <f t="shared" si="67"/>
        <v>6.2437143814951393E-3</v>
      </c>
      <c r="X85" s="982">
        <f t="shared" si="67"/>
        <v>6.2437143814951393E-3</v>
      </c>
      <c r="Y85" s="982">
        <f t="shared" si="67"/>
        <v>6.2437143814951393E-3</v>
      </c>
    </row>
    <row r="86" spans="2:25">
      <c r="B86" s="685" t="str">
        <f>B61</f>
        <v>Megacable</v>
      </c>
      <c r="D86" s="869">
        <f t="shared" ref="D86:O86" si="68">D61/D$70</f>
        <v>2.1277686628383922E-2</v>
      </c>
      <c r="E86" s="869">
        <f t="shared" si="68"/>
        <v>2.3276858880900909E-2</v>
      </c>
      <c r="F86" s="869">
        <f t="shared" si="68"/>
        <v>2.5148605395518976E-2</v>
      </c>
      <c r="G86" s="869">
        <f t="shared" si="68"/>
        <v>2.700471125358201E-2</v>
      </c>
      <c r="H86" s="869">
        <f t="shared" si="68"/>
        <v>2.8071879553181155E-2</v>
      </c>
      <c r="I86" s="869">
        <f t="shared" si="68"/>
        <v>3.8763440860215055E-2</v>
      </c>
      <c r="J86" s="869">
        <f t="shared" si="68"/>
        <v>4.6424870466321246E-2</v>
      </c>
      <c r="K86" s="869">
        <f t="shared" si="68"/>
        <v>6.1570680628272249E-2</v>
      </c>
      <c r="L86" s="869">
        <f t="shared" si="68"/>
        <v>7.6053709368033601E-2</v>
      </c>
      <c r="M86" s="869">
        <f t="shared" si="68"/>
        <v>9.497616428309498E-2</v>
      </c>
      <c r="N86" s="869">
        <f t="shared" si="68"/>
        <v>9.6688428343949029E-2</v>
      </c>
      <c r="O86" s="869">
        <f t="shared" si="68"/>
        <v>0.11008213208179685</v>
      </c>
      <c r="P86" s="869">
        <f t="shared" ref="P86:Y86" si="69">P61/P$70</f>
        <v>0.12139529015979815</v>
      </c>
      <c r="Q86" s="869">
        <f t="shared" si="69"/>
        <v>0.12807091798344619</v>
      </c>
      <c r="R86" s="869">
        <f t="shared" si="69"/>
        <v>0.14626106273961803</v>
      </c>
      <c r="S86" s="869">
        <f t="shared" si="69"/>
        <v>0.15689552120997799</v>
      </c>
      <c r="T86" s="869">
        <f t="shared" si="69"/>
        <v>0.1651891265321615</v>
      </c>
      <c r="U86" s="869">
        <f t="shared" si="69"/>
        <v>0.16691401270097461</v>
      </c>
      <c r="V86" s="869">
        <f t="shared" si="69"/>
        <v>0.16858854928321459</v>
      </c>
      <c r="W86" s="869">
        <f t="shared" si="69"/>
        <v>0.16856645996822156</v>
      </c>
      <c r="X86" s="869">
        <f t="shared" si="69"/>
        <v>0.16852828139652284</v>
      </c>
      <c r="Y86" s="869">
        <f t="shared" si="69"/>
        <v>0.16847433433266798</v>
      </c>
    </row>
    <row r="87" spans="2:25">
      <c r="B87" s="685" t="s">
        <v>1042</v>
      </c>
      <c r="D87" s="869">
        <f t="shared" ref="D87:Q87" si="70">D62/D$70</f>
        <v>1.8252666119770302E-2</v>
      </c>
      <c r="E87" s="869">
        <f t="shared" si="70"/>
        <v>2.5187270624905736E-2</v>
      </c>
      <c r="F87" s="869">
        <f t="shared" si="70"/>
        <v>3.297261596301377E-2</v>
      </c>
      <c r="G87" s="869">
        <f t="shared" si="70"/>
        <v>3.662149691582884E-2</v>
      </c>
      <c r="H87" s="869">
        <f t="shared" si="70"/>
        <v>5.1384167071393878E-2</v>
      </c>
      <c r="I87" s="869">
        <f t="shared" si="70"/>
        <v>7.1263440860215049E-2</v>
      </c>
      <c r="J87" s="869">
        <f t="shared" si="70"/>
        <v>9.7979274611398964E-2</v>
      </c>
      <c r="K87" s="869">
        <f t="shared" si="70"/>
        <v>0.1106282722513089</v>
      </c>
      <c r="L87" s="869">
        <f t="shared" si="70"/>
        <v>0.11000839856913268</v>
      </c>
      <c r="M87" s="869">
        <f t="shared" si="70"/>
        <v>0.15603268898318401</v>
      </c>
      <c r="N87" s="869">
        <f t="shared" si="70"/>
        <v>0.16509995541401273</v>
      </c>
      <c r="O87" s="869">
        <f t="shared" si="70"/>
        <v>0.18004232316459939</v>
      </c>
      <c r="P87" s="869">
        <f t="shared" si="70"/>
        <v>0.1849199006768393</v>
      </c>
      <c r="Q87" s="869">
        <f t="shared" si="70"/>
        <v>0.196904589917231</v>
      </c>
      <c r="R87" s="982">
        <v>0.193</v>
      </c>
      <c r="S87" s="982">
        <v>0.18609999999999999</v>
      </c>
      <c r="T87" s="982">
        <f t="shared" ref="T87:Y87" si="71">S87+0.25%</f>
        <v>0.18859999999999999</v>
      </c>
      <c r="U87" s="982">
        <f t="shared" si="71"/>
        <v>0.19109999999999999</v>
      </c>
      <c r="V87" s="982">
        <f t="shared" si="71"/>
        <v>0.19359999999999999</v>
      </c>
      <c r="W87" s="982">
        <f t="shared" si="71"/>
        <v>0.1961</v>
      </c>
      <c r="X87" s="982">
        <f t="shared" si="71"/>
        <v>0.1986</v>
      </c>
      <c r="Y87" s="982">
        <f t="shared" si="71"/>
        <v>0.2011</v>
      </c>
    </row>
    <row r="88" spans="2:25" outlineLevel="1">
      <c r="B88" s="685" t="str">
        <f>B63</f>
        <v>Cablevision</v>
      </c>
      <c r="D88" s="869">
        <f t="shared" ref="D88:I90" si="72">D63/D$70</f>
        <v>6.870385561936013E-3</v>
      </c>
      <c r="E88" s="869">
        <f t="shared" si="72"/>
        <v>9.552058720024131E-3</v>
      </c>
      <c r="F88" s="869">
        <f t="shared" si="72"/>
        <v>1.2752121119748007E-2</v>
      </c>
      <c r="G88" s="869">
        <f t="shared" si="72"/>
        <v>1.5493710233619893E-2</v>
      </c>
      <c r="H88" s="869">
        <f t="shared" si="72"/>
        <v>2.015541525012142E-2</v>
      </c>
      <c r="I88" s="869">
        <f t="shared" si="72"/>
        <v>2.5483870967741934E-2</v>
      </c>
      <c r="J88" s="1001">
        <v>3.2000000000000001E-2</v>
      </c>
      <c r="K88" s="1001">
        <f>J88+0.2%</f>
        <v>3.4000000000000002E-2</v>
      </c>
      <c r="L88" s="1001">
        <f>K88+0.05%</f>
        <v>3.4500000000000003E-2</v>
      </c>
      <c r="M88" s="1001">
        <v>4.4999999999999998E-2</v>
      </c>
      <c r="N88" s="1001">
        <v>0.05</v>
      </c>
      <c r="O88" s="1001">
        <v>6.6900000000000001E-2</v>
      </c>
      <c r="P88" s="869"/>
      <c r="Q88" s="869"/>
      <c r="R88" s="869"/>
      <c r="S88" s="869"/>
      <c r="T88" s="869"/>
      <c r="U88" s="869"/>
      <c r="V88" s="869"/>
      <c r="W88" s="869"/>
      <c r="X88" s="869"/>
      <c r="Y88" s="869"/>
    </row>
    <row r="89" spans="2:25" outlineLevel="1">
      <c r="B89" s="685" t="str">
        <f>B64</f>
        <v>Cablemas</v>
      </c>
      <c r="D89" s="869">
        <f t="shared" si="72"/>
        <v>7.4856439704675962E-3</v>
      </c>
      <c r="E89" s="869">
        <f t="shared" si="72"/>
        <v>1.0306168618973405E-2</v>
      </c>
      <c r="F89" s="869">
        <f t="shared" si="72"/>
        <v>1.3514200071127368E-2</v>
      </c>
      <c r="G89" s="869">
        <f t="shared" si="72"/>
        <v>1.4668026616154257E-2</v>
      </c>
      <c r="H89" s="869">
        <f t="shared" si="72"/>
        <v>1.6901408450704224E-2</v>
      </c>
      <c r="I89" s="869">
        <f t="shared" si="72"/>
        <v>2.327956989247312E-2</v>
      </c>
      <c r="J89" s="1001">
        <v>2.75E-2</v>
      </c>
      <c r="K89" s="1001">
        <v>3.2000000000000001E-2</v>
      </c>
      <c r="L89" s="1001">
        <f>K89+0.05%</f>
        <v>3.2500000000000001E-2</v>
      </c>
      <c r="M89" s="1001">
        <v>4.2500000000000003E-2</v>
      </c>
      <c r="N89" s="1001">
        <v>0.05</v>
      </c>
      <c r="O89" s="1001">
        <v>0.06</v>
      </c>
      <c r="P89" s="869"/>
      <c r="Q89" s="869"/>
      <c r="R89" s="869"/>
      <c r="S89" s="869"/>
      <c r="T89" s="869"/>
      <c r="U89" s="869"/>
      <c r="V89" s="869"/>
      <c r="W89" s="869"/>
      <c r="X89" s="869"/>
      <c r="Y89" s="869"/>
    </row>
    <row r="90" spans="2:25" outlineLevel="1">
      <c r="B90" s="685" t="str">
        <f>B65</f>
        <v>TVI</v>
      </c>
      <c r="D90" s="869">
        <f t="shared" si="72"/>
        <v>3.8966365873666941E-3</v>
      </c>
      <c r="E90" s="869">
        <f t="shared" si="72"/>
        <v>5.3290432859081993E-3</v>
      </c>
      <c r="F90" s="869">
        <f t="shared" si="72"/>
        <v>6.7062947721383938E-3</v>
      </c>
      <c r="G90" s="869">
        <f t="shared" si="72"/>
        <v>6.4597600660546897E-3</v>
      </c>
      <c r="H90" s="869">
        <f t="shared" si="72"/>
        <v>7.4307916464303059E-3</v>
      </c>
      <c r="I90" s="869">
        <f t="shared" si="72"/>
        <v>9.8387096774193543E-3</v>
      </c>
      <c r="J90" s="1001">
        <v>1.4999999999999999E-2</v>
      </c>
      <c r="K90" s="1001">
        <f>J90+0.2%</f>
        <v>1.7000000000000001E-2</v>
      </c>
      <c r="L90" s="1001">
        <f>K90+0.05%</f>
        <v>1.7500000000000002E-2</v>
      </c>
      <c r="M90" s="1001">
        <v>2.5000000000000001E-2</v>
      </c>
      <c r="N90" s="1001">
        <f>M90+0.1%</f>
        <v>2.6000000000000002E-2</v>
      </c>
      <c r="O90" s="1001">
        <v>3.5000000000000003E-2</v>
      </c>
      <c r="P90" s="869"/>
      <c r="Q90" s="869"/>
      <c r="R90" s="869"/>
      <c r="S90" s="869"/>
      <c r="T90" s="869"/>
      <c r="U90" s="869"/>
      <c r="V90" s="869"/>
      <c r="W90" s="869"/>
      <c r="X90" s="869"/>
      <c r="Y90" s="869"/>
    </row>
    <row r="91" spans="2:25" outlineLevel="1">
      <c r="B91" s="685" t="str">
        <f>B66</f>
        <v>Cablecom</v>
      </c>
      <c r="D91" s="869"/>
      <c r="E91" s="869"/>
      <c r="F91" s="869"/>
      <c r="G91" s="869"/>
      <c r="H91" s="869">
        <f>H66/H$70</f>
        <v>6.8965517241379309E-3</v>
      </c>
      <c r="I91" s="869">
        <f>I66/I$70</f>
        <v>7.4193548387096776E-3</v>
      </c>
      <c r="J91" s="1001">
        <f>I91+0.2%</f>
        <v>9.4193548387096777E-3</v>
      </c>
      <c r="K91" s="1001">
        <v>1.2E-2</v>
      </c>
      <c r="L91" s="1001">
        <f>K91+0.05%</f>
        <v>1.2500000000000001E-2</v>
      </c>
      <c r="M91" s="1001">
        <v>1.7999999999999999E-2</v>
      </c>
      <c r="N91" s="1001">
        <f>M91+0.1%</f>
        <v>1.9E-2</v>
      </c>
      <c r="O91" s="1001">
        <f>N91+0.1%</f>
        <v>0.02</v>
      </c>
      <c r="P91" s="869"/>
      <c r="Q91" s="869"/>
      <c r="R91" s="869"/>
      <c r="S91" s="869"/>
      <c r="T91" s="869"/>
      <c r="U91" s="869"/>
      <c r="V91" s="869"/>
      <c r="W91" s="869"/>
      <c r="X91" s="869"/>
      <c r="Y91" s="869"/>
    </row>
    <row r="92" spans="2:25" outlineLevel="1">
      <c r="B92" s="685" t="str">
        <f>B67</f>
        <v>Cablevision Red</v>
      </c>
      <c r="D92" s="869"/>
      <c r="E92" s="869"/>
      <c r="F92" s="869"/>
      <c r="G92" s="869"/>
      <c r="H92" s="869"/>
      <c r="I92" s="869">
        <f>I67/I$70</f>
        <v>5.2419354838709681E-3</v>
      </c>
      <c r="J92" s="869">
        <f>J67/J$70</f>
        <v>1.405991977268929E-2</v>
      </c>
      <c r="K92" s="869">
        <f>K67/K$70</f>
        <v>1.5628272251308889E-2</v>
      </c>
      <c r="L92" s="869">
        <f>L67/L$70</f>
        <v>1.3010887034060866E-2</v>
      </c>
      <c r="M92" s="869">
        <f>M67/M$70</f>
        <v>2.5558462989156053E-2</v>
      </c>
      <c r="N92" s="1001">
        <v>4.4999999999999998E-2</v>
      </c>
      <c r="O92" s="1001">
        <f>N92+0.05%</f>
        <v>4.5499999999999999E-2</v>
      </c>
      <c r="P92" s="869"/>
      <c r="Q92" s="869"/>
      <c r="R92" s="869"/>
      <c r="S92" s="869"/>
      <c r="T92" s="869"/>
      <c r="U92" s="869"/>
      <c r="V92" s="869"/>
      <c r="W92" s="869"/>
      <c r="X92" s="869"/>
      <c r="Y92" s="869"/>
    </row>
    <row r="93" spans="2:25">
      <c r="B93" s="685" t="s">
        <v>866</v>
      </c>
      <c r="D93" s="869"/>
      <c r="E93" s="869"/>
      <c r="F93" s="869"/>
      <c r="G93" s="869"/>
      <c r="H93" s="869"/>
      <c r="I93" s="869"/>
      <c r="J93" s="869"/>
      <c r="K93" s="869"/>
      <c r="L93" s="869"/>
      <c r="M93" s="869"/>
      <c r="N93" s="869">
        <f>N68/N$70</f>
        <v>6.2223408563749485E-2</v>
      </c>
      <c r="O93" s="869">
        <f>O68/O$70</f>
        <v>9.9396580623533362E-2</v>
      </c>
      <c r="P93" s="982">
        <v>0.14000000000000001</v>
      </c>
      <c r="Q93" s="982">
        <f t="shared" ref="Q93:Y93" si="73">P93+1%</f>
        <v>0.15000000000000002</v>
      </c>
      <c r="R93" s="982">
        <f t="shared" si="73"/>
        <v>0.16000000000000003</v>
      </c>
      <c r="S93" s="982">
        <f t="shared" si="73"/>
        <v>0.17000000000000004</v>
      </c>
      <c r="T93" s="982">
        <f t="shared" si="73"/>
        <v>0.18000000000000005</v>
      </c>
      <c r="U93" s="982">
        <f t="shared" si="73"/>
        <v>0.19000000000000006</v>
      </c>
      <c r="V93" s="982">
        <f t="shared" si="73"/>
        <v>0.20000000000000007</v>
      </c>
      <c r="W93" s="982">
        <f t="shared" si="73"/>
        <v>0.21000000000000008</v>
      </c>
      <c r="X93" s="982">
        <f t="shared" si="73"/>
        <v>0.22000000000000008</v>
      </c>
      <c r="Y93" s="982">
        <f t="shared" si="73"/>
        <v>0.23000000000000009</v>
      </c>
    </row>
    <row r="94" spans="2:25">
      <c r="B94" s="743" t="str">
        <f>B69</f>
        <v xml:space="preserve">Others </v>
      </c>
      <c r="C94" s="743"/>
      <c r="D94" s="1026">
        <f t="shared" ref="D94:M94" si="74">D69/D$70</f>
        <v>7.9163248564397048E-2</v>
      </c>
      <c r="E94" s="1026">
        <f t="shared" si="74"/>
        <v>9.7984012870142273E-2</v>
      </c>
      <c r="F94" s="1026">
        <f t="shared" si="74"/>
        <v>0.11934156378600823</v>
      </c>
      <c r="G94" s="1026">
        <f t="shared" si="74"/>
        <v>0.14365510709602217</v>
      </c>
      <c r="H94" s="1026">
        <f t="shared" si="74"/>
        <v>0.15031568722680913</v>
      </c>
      <c r="I94" s="1026">
        <f t="shared" si="74"/>
        <v>4.8225806451612903E-2</v>
      </c>
      <c r="J94" s="1026">
        <f t="shared" si="74"/>
        <v>2.3575129533678758E-2</v>
      </c>
      <c r="K94" s="1026">
        <f t="shared" si="74"/>
        <v>0.11654450261780104</v>
      </c>
      <c r="L94" s="1026">
        <f t="shared" si="74"/>
        <v>0.12530706620353563</v>
      </c>
      <c r="M94" s="1026">
        <f t="shared" si="74"/>
        <v>7.5095185709047108E-2</v>
      </c>
      <c r="N94" s="1026">
        <f>N69/N$70</f>
        <v>0.11107101022605936</v>
      </c>
      <c r="O94" s="1026">
        <f>O69/O$70</f>
        <v>0.10498952396915862</v>
      </c>
      <c r="P94" s="1026">
        <f>P69/P$70</f>
        <v>9.2036392951597892E-2</v>
      </c>
      <c r="Q94" s="1026">
        <f>Q69/Q$70</f>
        <v>0.11249785822949049</v>
      </c>
      <c r="R94" s="1026">
        <f t="shared" ref="R94:Y94" si="75">R95-R87-R86-R85-R84-R83-R93</f>
        <v>0.1082123033905496</v>
      </c>
      <c r="S94" s="1026">
        <f t="shared" si="75"/>
        <v>0.11447784492018981</v>
      </c>
      <c r="T94" s="1026">
        <f t="shared" si="75"/>
        <v>0.11368423959800616</v>
      </c>
      <c r="U94" s="1026">
        <f t="shared" si="75"/>
        <v>0.11945935342919306</v>
      </c>
      <c r="V94" s="1026">
        <f t="shared" si="75"/>
        <v>0.12528481684695308</v>
      </c>
      <c r="W94" s="1026">
        <f t="shared" si="75"/>
        <v>0.13280690616194629</v>
      </c>
      <c r="X94" s="1026">
        <f t="shared" si="75"/>
        <v>0.14034508473364488</v>
      </c>
      <c r="Y94" s="1026">
        <f t="shared" si="75"/>
        <v>0.14789903179749964</v>
      </c>
    </row>
    <row r="95" spans="2:25">
      <c r="B95" s="685" t="str">
        <f>B70</f>
        <v>Total voice (from Cofetel)</v>
      </c>
      <c r="D95" s="807">
        <f t="shared" ref="D95:Y95" si="76">D70/D$70</f>
        <v>1</v>
      </c>
      <c r="E95" s="807">
        <f t="shared" si="76"/>
        <v>1</v>
      </c>
      <c r="F95" s="807">
        <f t="shared" si="76"/>
        <v>1</v>
      </c>
      <c r="G95" s="807">
        <f t="shared" si="76"/>
        <v>1</v>
      </c>
      <c r="H95" s="807">
        <f t="shared" si="76"/>
        <v>1</v>
      </c>
      <c r="I95" s="807">
        <f t="shared" si="76"/>
        <v>1</v>
      </c>
      <c r="J95" s="807">
        <f t="shared" si="76"/>
        <v>1</v>
      </c>
      <c r="K95" s="807">
        <f t="shared" si="76"/>
        <v>1</v>
      </c>
      <c r="L95" s="807">
        <f t="shared" si="76"/>
        <v>1</v>
      </c>
      <c r="M95" s="807">
        <f t="shared" si="76"/>
        <v>1</v>
      </c>
      <c r="N95" s="807">
        <f t="shared" si="76"/>
        <v>1</v>
      </c>
      <c r="O95" s="807">
        <f t="shared" si="76"/>
        <v>1</v>
      </c>
      <c r="P95" s="807">
        <f t="shared" si="76"/>
        <v>1</v>
      </c>
      <c r="Q95" s="807">
        <f t="shared" si="76"/>
        <v>1</v>
      </c>
      <c r="R95" s="807">
        <f t="shared" si="76"/>
        <v>1</v>
      </c>
      <c r="S95" s="807">
        <f t="shared" si="76"/>
        <v>1</v>
      </c>
      <c r="T95" s="807">
        <f t="shared" si="76"/>
        <v>1</v>
      </c>
      <c r="U95" s="807">
        <f t="shared" si="76"/>
        <v>1</v>
      </c>
      <c r="V95" s="807">
        <f t="shared" si="76"/>
        <v>1</v>
      </c>
      <c r="W95" s="807">
        <f t="shared" si="76"/>
        <v>1</v>
      </c>
      <c r="X95" s="807">
        <f t="shared" si="76"/>
        <v>1</v>
      </c>
      <c r="Y95" s="807">
        <f t="shared" si="76"/>
        <v>1</v>
      </c>
    </row>
    <row r="97" spans="2:25">
      <c r="B97" s="874" t="s">
        <v>2850</v>
      </c>
      <c r="D97" s="1005">
        <f>D62</f>
        <v>356</v>
      </c>
      <c r="E97" s="1005">
        <f t="shared" ref="E97:Y97" si="77">E62</f>
        <v>501</v>
      </c>
      <c r="F97" s="1005">
        <f t="shared" si="77"/>
        <v>649</v>
      </c>
      <c r="G97" s="1005">
        <f t="shared" si="77"/>
        <v>754</v>
      </c>
      <c r="H97" s="1005">
        <f t="shared" si="77"/>
        <v>1058</v>
      </c>
      <c r="I97" s="1005">
        <f t="shared" si="77"/>
        <v>1325.5</v>
      </c>
      <c r="J97" s="1005">
        <f t="shared" si="77"/>
        <v>1891</v>
      </c>
      <c r="K97" s="1005">
        <f t="shared" si="77"/>
        <v>2113</v>
      </c>
      <c r="L97" s="1005">
        <f t="shared" si="77"/>
        <v>2121.9520000000002</v>
      </c>
      <c r="M97" s="1005">
        <f t="shared" si="77"/>
        <v>2978.5079999999998</v>
      </c>
      <c r="N97" s="1005">
        <f t="shared" si="77"/>
        <v>3637.9920000000002</v>
      </c>
      <c r="O97" s="1005">
        <f t="shared" si="77"/>
        <v>4296.53</v>
      </c>
      <c r="P97" s="1005">
        <f t="shared" si="77"/>
        <v>4617.2650000000003</v>
      </c>
      <c r="Q97" s="1005">
        <f t="shared" si="77"/>
        <v>5233.7240000000002</v>
      </c>
      <c r="R97" s="1005">
        <f t="shared" si="77"/>
        <v>5351.1450000000004</v>
      </c>
      <c r="S97" s="1005">
        <f t="shared" si="77"/>
        <v>5375.6501714999995</v>
      </c>
      <c r="T97" s="1005">
        <f t="shared" si="77"/>
        <v>5556.8220031799992</v>
      </c>
      <c r="U97" s="1005">
        <f t="shared" si="77"/>
        <v>5686.7856397442993</v>
      </c>
      <c r="V97" s="1005">
        <f t="shared" si="77"/>
        <v>5818.792866839568</v>
      </c>
      <c r="W97" s="1005">
        <f t="shared" si="77"/>
        <v>5952.8715599127663</v>
      </c>
      <c r="X97" s="1005">
        <f t="shared" si="77"/>
        <v>6089.0499475607457</v>
      </c>
      <c r="Y97" s="1005">
        <f t="shared" si="77"/>
        <v>6227.3566158056929</v>
      </c>
    </row>
    <row r="98" spans="2:25">
      <c r="B98" s="874" t="s">
        <v>2848</v>
      </c>
      <c r="J98" s="1005">
        <f>J97-I97</f>
        <v>565.5</v>
      </c>
      <c r="K98" s="1005">
        <f t="shared" ref="K98:Y98" si="78">K97-J97</f>
        <v>222</v>
      </c>
      <c r="L98" s="1005">
        <f t="shared" si="78"/>
        <v>8.9520000000002256</v>
      </c>
      <c r="M98" s="1005">
        <f t="shared" si="78"/>
        <v>856.55599999999959</v>
      </c>
      <c r="N98" s="1005">
        <f t="shared" si="78"/>
        <v>659.48400000000038</v>
      </c>
      <c r="O98" s="1005">
        <f t="shared" si="78"/>
        <v>658.53799999999956</v>
      </c>
      <c r="P98" s="1005">
        <f t="shared" si="78"/>
        <v>320.73500000000058</v>
      </c>
      <c r="Q98" s="1005">
        <f t="shared" si="78"/>
        <v>616.45899999999983</v>
      </c>
      <c r="R98" s="1005">
        <f t="shared" si="78"/>
        <v>117.42100000000028</v>
      </c>
      <c r="S98" s="1005">
        <f t="shared" si="78"/>
        <v>24.505171499999051</v>
      </c>
      <c r="T98" s="1005">
        <f t="shared" si="78"/>
        <v>181.17183167999974</v>
      </c>
      <c r="U98" s="1005">
        <f t="shared" si="78"/>
        <v>129.96363656430003</v>
      </c>
      <c r="V98" s="1005">
        <f t="shared" si="78"/>
        <v>132.00722709526872</v>
      </c>
      <c r="W98" s="1005">
        <f t="shared" si="78"/>
        <v>134.07869307319834</v>
      </c>
      <c r="X98" s="1005">
        <f t="shared" si="78"/>
        <v>136.17838764797943</v>
      </c>
      <c r="Y98" s="1005">
        <f t="shared" si="78"/>
        <v>138.3066682449471</v>
      </c>
    </row>
    <row r="99" spans="2:25">
      <c r="B99" s="874" t="s">
        <v>671</v>
      </c>
      <c r="C99" s="874"/>
      <c r="D99" s="1027">
        <f t="shared" ref="D99:Y99" si="79">D87</f>
        <v>1.8252666119770302E-2</v>
      </c>
      <c r="E99" s="1027">
        <f t="shared" si="79"/>
        <v>2.5187270624905736E-2</v>
      </c>
      <c r="F99" s="1027">
        <f t="shared" si="79"/>
        <v>3.297261596301377E-2</v>
      </c>
      <c r="G99" s="1027">
        <f t="shared" si="79"/>
        <v>3.662149691582884E-2</v>
      </c>
      <c r="H99" s="1027">
        <f t="shared" si="79"/>
        <v>5.1384167071393878E-2</v>
      </c>
      <c r="I99" s="1027">
        <f t="shared" si="79"/>
        <v>7.1263440860215049E-2</v>
      </c>
      <c r="J99" s="1027">
        <f t="shared" si="79"/>
        <v>9.7979274611398964E-2</v>
      </c>
      <c r="K99" s="1027">
        <f t="shared" si="79"/>
        <v>0.1106282722513089</v>
      </c>
      <c r="L99" s="1027">
        <f t="shared" si="79"/>
        <v>0.11000839856913268</v>
      </c>
      <c r="M99" s="1027">
        <f t="shared" si="79"/>
        <v>0.15603268898318401</v>
      </c>
      <c r="N99" s="1027">
        <f t="shared" si="79"/>
        <v>0.16509995541401273</v>
      </c>
      <c r="O99" s="1027">
        <f t="shared" si="79"/>
        <v>0.18004232316459939</v>
      </c>
      <c r="P99" s="1027">
        <f t="shared" si="79"/>
        <v>0.1849199006768393</v>
      </c>
      <c r="Q99" s="1027">
        <f t="shared" si="79"/>
        <v>0.196904589917231</v>
      </c>
      <c r="R99" s="1027">
        <f t="shared" si="79"/>
        <v>0.193</v>
      </c>
      <c r="S99" s="1027">
        <f t="shared" si="79"/>
        <v>0.18609999999999999</v>
      </c>
      <c r="T99" s="1027">
        <f t="shared" si="79"/>
        <v>0.18859999999999999</v>
      </c>
      <c r="U99" s="1027">
        <f t="shared" si="79"/>
        <v>0.19109999999999999</v>
      </c>
      <c r="V99" s="1027">
        <f t="shared" si="79"/>
        <v>0.19359999999999999</v>
      </c>
      <c r="W99" s="1027">
        <f t="shared" si="79"/>
        <v>0.1961</v>
      </c>
      <c r="X99" s="1027">
        <f t="shared" si="79"/>
        <v>0.1986</v>
      </c>
      <c r="Y99" s="1027">
        <f t="shared" si="79"/>
        <v>0.2011</v>
      </c>
    </row>
    <row r="100" spans="2:25">
      <c r="J100" s="807"/>
    </row>
    <row r="101" spans="2:25">
      <c r="B101" s="857" t="s">
        <v>677</v>
      </c>
      <c r="C101" s="857"/>
      <c r="D101" s="857">
        <f t="shared" ref="D101:Y101" si="80">D57</f>
        <v>2009</v>
      </c>
      <c r="E101" s="857">
        <f t="shared" si="80"/>
        <v>2010</v>
      </c>
      <c r="F101" s="857">
        <f t="shared" si="80"/>
        <v>2011</v>
      </c>
      <c r="G101" s="857">
        <f t="shared" si="80"/>
        <v>2012</v>
      </c>
      <c r="H101" s="857">
        <f t="shared" si="80"/>
        <v>2013</v>
      </c>
      <c r="I101" s="857">
        <f t="shared" si="80"/>
        <v>2014</v>
      </c>
      <c r="J101" s="857">
        <f t="shared" si="80"/>
        <v>2015</v>
      </c>
      <c r="K101" s="857">
        <f t="shared" si="80"/>
        <v>2016</v>
      </c>
      <c r="L101" s="857">
        <f t="shared" si="80"/>
        <v>2017</v>
      </c>
      <c r="M101" s="857">
        <f t="shared" si="80"/>
        <v>2018</v>
      </c>
      <c r="N101" s="857">
        <f t="shared" si="80"/>
        <v>2019</v>
      </c>
      <c r="O101" s="857">
        <f t="shared" si="80"/>
        <v>2020</v>
      </c>
      <c r="P101" s="857">
        <f t="shared" si="80"/>
        <v>2021</v>
      </c>
      <c r="Q101" s="857">
        <f t="shared" si="80"/>
        <v>2022</v>
      </c>
      <c r="R101" s="857">
        <f t="shared" si="80"/>
        <v>2023</v>
      </c>
      <c r="S101" s="857">
        <f t="shared" si="80"/>
        <v>2024</v>
      </c>
      <c r="T101" s="857">
        <f t="shared" si="80"/>
        <v>2025</v>
      </c>
      <c r="U101" s="857">
        <f t="shared" si="80"/>
        <v>2026</v>
      </c>
      <c r="V101" s="857">
        <f t="shared" si="80"/>
        <v>2027</v>
      </c>
      <c r="W101" s="857">
        <f t="shared" si="80"/>
        <v>2028</v>
      </c>
      <c r="X101" s="857">
        <f t="shared" si="80"/>
        <v>2029</v>
      </c>
      <c r="Y101" s="857">
        <f t="shared" si="80"/>
        <v>2030</v>
      </c>
    </row>
    <row r="102" spans="2:25">
      <c r="B102" s="685" t="s">
        <v>665</v>
      </c>
      <c r="D102" s="1004">
        <v>6524</v>
      </c>
      <c r="E102" s="1004">
        <v>7359</v>
      </c>
      <c r="F102" s="1004">
        <v>7952</v>
      </c>
      <c r="G102" s="1002">
        <v>8448.5569999999989</v>
      </c>
      <c r="H102" s="1002">
        <v>8908</v>
      </c>
      <c r="I102" s="1002">
        <v>9200</v>
      </c>
      <c r="J102" s="1002">
        <v>8637</v>
      </c>
      <c r="K102" s="1002">
        <v>9060</v>
      </c>
      <c r="L102" s="1002">
        <v>9266</v>
      </c>
      <c r="M102" s="1002">
        <v>9622</v>
      </c>
      <c r="N102" s="1002">
        <v>9693</v>
      </c>
      <c r="O102" s="1002">
        <v>10011</v>
      </c>
      <c r="P102" s="1002">
        <v>10037</v>
      </c>
      <c r="Q102" s="1002">
        <v>10025</v>
      </c>
      <c r="R102" s="1002">
        <v>10489</v>
      </c>
      <c r="S102" s="849">
        <f t="shared" ref="S102:Y103" si="81">S126*S$114</f>
        <v>10421.805416186908</v>
      </c>
      <c r="T102" s="849">
        <f t="shared" si="81"/>
        <v>10320.230900794972</v>
      </c>
      <c r="U102" s="849">
        <f t="shared" si="81"/>
        <v>10182.443599621454</v>
      </c>
      <c r="V102" s="849">
        <f t="shared" si="81"/>
        <v>10006.539308455978</v>
      </c>
      <c r="W102" s="849">
        <f t="shared" si="81"/>
        <v>9735.4464661764305</v>
      </c>
      <c r="X102" s="849">
        <f t="shared" si="81"/>
        <v>9427.434472647361</v>
      </c>
      <c r="Y102" s="849">
        <f t="shared" si="81"/>
        <v>9031.0133411286843</v>
      </c>
    </row>
    <row r="103" spans="2:25">
      <c r="B103" s="685" t="s">
        <v>667</v>
      </c>
      <c r="D103" s="1004">
        <v>62</v>
      </c>
      <c r="E103" s="1004">
        <v>90</v>
      </c>
      <c r="F103" s="1004">
        <v>105</v>
      </c>
      <c r="G103" s="1002">
        <v>135</v>
      </c>
      <c r="H103" s="1002">
        <v>157</v>
      </c>
      <c r="I103" s="1002">
        <v>172</v>
      </c>
      <c r="J103" s="1002">
        <v>163</v>
      </c>
      <c r="K103" s="1002">
        <v>94</v>
      </c>
      <c r="L103" s="1002">
        <v>76</v>
      </c>
      <c r="M103" s="1002">
        <v>58</v>
      </c>
      <c r="N103" s="1002">
        <v>58</v>
      </c>
      <c r="O103" s="1002">
        <v>58</v>
      </c>
      <c r="P103" s="849">
        <f>P127*P$114</f>
        <v>64.98623142153734</v>
      </c>
      <c r="Q103" s="849">
        <f>Q127*Q$114</f>
        <v>65.452897930154109</v>
      </c>
      <c r="R103" s="849">
        <f>R127*R$114</f>
        <v>68.927923553569812</v>
      </c>
      <c r="S103" s="849">
        <f t="shared" si="81"/>
        <v>72.068357770248937</v>
      </c>
      <c r="T103" s="849">
        <f t="shared" si="81"/>
        <v>75.304563033442889</v>
      </c>
      <c r="U103" s="849">
        <f t="shared" si="81"/>
        <v>78.639166897256089</v>
      </c>
      <c r="V103" s="849">
        <f t="shared" si="81"/>
        <v>82.074863709538562</v>
      </c>
      <c r="W103" s="849">
        <f t="shared" si="81"/>
        <v>85.132643826429174</v>
      </c>
      <c r="X103" s="849">
        <f t="shared" si="81"/>
        <v>88.277841593502771</v>
      </c>
      <c r="Y103" s="849">
        <f t="shared" si="81"/>
        <v>91.011547479255611</v>
      </c>
    </row>
    <row r="104" spans="2:25">
      <c r="B104" s="685" t="s">
        <v>89</v>
      </c>
      <c r="D104" s="1004">
        <v>516</v>
      </c>
      <c r="E104" s="1004">
        <v>594</v>
      </c>
      <c r="F104" s="1004">
        <v>683</v>
      </c>
      <c r="G104" s="1002">
        <v>835</v>
      </c>
      <c r="H104" s="1002">
        <v>951</v>
      </c>
      <c r="I104" s="1002">
        <v>1331</v>
      </c>
      <c r="J104" s="1002">
        <v>1831</v>
      </c>
      <c r="K104" s="1002">
        <v>2228</v>
      </c>
      <c r="L104" s="1002">
        <v>2625</v>
      </c>
      <c r="M104" s="1002">
        <v>2942</v>
      </c>
      <c r="N104" s="1002">
        <v>3097.6280000000002</v>
      </c>
      <c r="O104" s="1002">
        <v>3510</v>
      </c>
      <c r="P104" s="1002">
        <v>3833.893</v>
      </c>
      <c r="Q104" s="1002">
        <v>4138</v>
      </c>
      <c r="R104" s="1002">
        <v>4722</v>
      </c>
      <c r="S104" s="878">
        <v>5251.5519999999997</v>
      </c>
      <c r="T104" s="878">
        <v>5701.5519999999997</v>
      </c>
      <c r="U104" s="878">
        <v>6001.5519999999997</v>
      </c>
      <c r="V104" s="878">
        <v>6201.5519999999997</v>
      </c>
      <c r="W104" s="878">
        <v>6351.5519999999997</v>
      </c>
      <c r="X104" s="878">
        <v>6501.5519999999997</v>
      </c>
      <c r="Y104" s="878">
        <v>6651.5519999999997</v>
      </c>
    </row>
    <row r="105" spans="2:25">
      <c r="B105" s="685" t="s">
        <v>1042</v>
      </c>
      <c r="D105" s="849">
        <f>D106+D107+D108+D109+D110</f>
        <v>652</v>
      </c>
      <c r="E105" s="849">
        <f t="shared" ref="E105:K105" si="82">E106+E107+E108+E109+E110</f>
        <v>806</v>
      </c>
      <c r="F105" s="849">
        <f t="shared" si="82"/>
        <v>1066</v>
      </c>
      <c r="G105" s="849">
        <f t="shared" si="82"/>
        <v>1306</v>
      </c>
      <c r="H105" s="849">
        <f t="shared" si="82"/>
        <v>1908</v>
      </c>
      <c r="I105" s="849">
        <f t="shared" si="82"/>
        <v>2418.9</v>
      </c>
      <c r="J105" s="849">
        <f t="shared" si="82"/>
        <v>3066.9999999999995</v>
      </c>
      <c r="K105" s="849">
        <f t="shared" si="82"/>
        <v>3412</v>
      </c>
      <c r="L105" s="1002">
        <f>Interims!AN236</f>
        <v>3797.3359999999998</v>
      </c>
      <c r="M105" s="1002">
        <f>Interims!AS236</f>
        <v>4479.0169999999998</v>
      </c>
      <c r="N105" s="1002">
        <f>Interims!AX236</f>
        <v>4696.0540000000001</v>
      </c>
      <c r="O105" s="1002">
        <f>Interims!BC236</f>
        <v>5430.8590000000004</v>
      </c>
      <c r="P105" s="1002">
        <f>Interims!BH236</f>
        <v>5649.1019999999999</v>
      </c>
      <c r="Q105" s="1002">
        <f>Interims!BM236</f>
        <v>5984.1509999999998</v>
      </c>
      <c r="R105" s="1002">
        <f>Interims!BR236</f>
        <v>5678.4309999999996</v>
      </c>
      <c r="S105" s="849">
        <f t="shared" ref="S105:Y105" si="83">S129*S$114</f>
        <v>5780.6295674905687</v>
      </c>
      <c r="T105" s="849">
        <f t="shared" si="83"/>
        <v>5897.8162438395439</v>
      </c>
      <c r="U105" s="849">
        <f t="shared" si="83"/>
        <v>6010.2849563276595</v>
      </c>
      <c r="V105" s="849">
        <f t="shared" si="83"/>
        <v>6117.6783611249857</v>
      </c>
      <c r="W105" s="849">
        <f t="shared" si="83"/>
        <v>6184.6244241592622</v>
      </c>
      <c r="X105" s="849">
        <f t="shared" si="83"/>
        <v>6413.1133568971372</v>
      </c>
      <c r="Y105" s="849">
        <f t="shared" si="83"/>
        <v>6611.7086715682681</v>
      </c>
    </row>
    <row r="106" spans="2:25" outlineLevel="1">
      <c r="B106" s="685" t="s">
        <v>91</v>
      </c>
      <c r="D106" s="1004">
        <v>251</v>
      </c>
      <c r="E106" s="1004">
        <v>299</v>
      </c>
      <c r="F106" s="1004">
        <v>408</v>
      </c>
      <c r="G106" s="1002">
        <v>509</v>
      </c>
      <c r="H106" s="1002">
        <v>666</v>
      </c>
      <c r="I106" s="1002">
        <v>779</v>
      </c>
      <c r="J106" s="849">
        <f t="shared" ref="J106:M109" si="84">J130*J$114</f>
        <v>933.01</v>
      </c>
      <c r="K106" s="849">
        <f t="shared" si="84"/>
        <v>1051.8330000000001</v>
      </c>
      <c r="L106" s="849">
        <f t="shared" si="84"/>
        <v>1171.6600000000001</v>
      </c>
      <c r="M106" s="849">
        <f t="shared" si="84"/>
        <v>1377</v>
      </c>
      <c r="N106" s="1002">
        <f>Interims!AX236-N107-N108-N109-N110</f>
        <v>1445.663306495459</v>
      </c>
      <c r="O106" s="849">
        <f>Interims!BC236-O107-O108-O109-O110</f>
        <v>1477.8440992099777</v>
      </c>
      <c r="P106" s="849">
        <f t="shared" ref="P106:Y106" si="85">P130*P$114</f>
        <v>1655.8537695898794</v>
      </c>
      <c r="Q106" s="849">
        <f t="shared" si="85"/>
        <v>1667.7444652115726</v>
      </c>
      <c r="R106" s="849">
        <f t="shared" si="85"/>
        <v>1756.288363697234</v>
      </c>
      <c r="S106" s="849">
        <f t="shared" si="85"/>
        <v>1836.306849491654</v>
      </c>
      <c r="T106" s="849">
        <f t="shared" si="85"/>
        <v>1918.7655883199893</v>
      </c>
      <c r="U106" s="849">
        <f t="shared" si="85"/>
        <v>2003.7315304465262</v>
      </c>
      <c r="V106" s="849">
        <f t="shared" si="85"/>
        <v>2091.2733280449088</v>
      </c>
      <c r="W106" s="849">
        <f t="shared" si="85"/>
        <v>2169.1857815350531</v>
      </c>
      <c r="X106" s="849">
        <f t="shared" si="85"/>
        <v>2249.3256429301932</v>
      </c>
      <c r="Y106" s="849">
        <f t="shared" si="85"/>
        <v>2318.9806621066659</v>
      </c>
    </row>
    <row r="107" spans="2:25" outlineLevel="1">
      <c r="B107" s="685" t="s">
        <v>90</v>
      </c>
      <c r="D107" s="1004">
        <v>289</v>
      </c>
      <c r="E107" s="1004">
        <v>360</v>
      </c>
      <c r="F107" s="1004">
        <v>467</v>
      </c>
      <c r="G107" s="1002">
        <v>567</v>
      </c>
      <c r="H107" s="1002">
        <v>705</v>
      </c>
      <c r="I107" s="1002">
        <v>853</v>
      </c>
      <c r="J107" s="849">
        <f t="shared" si="84"/>
        <v>1076.55</v>
      </c>
      <c r="K107" s="849">
        <f t="shared" si="84"/>
        <v>1208.8230000000001</v>
      </c>
      <c r="L107" s="849">
        <f t="shared" si="84"/>
        <v>1339.04</v>
      </c>
      <c r="M107" s="849">
        <f t="shared" si="84"/>
        <v>1542.24</v>
      </c>
      <c r="N107" s="1025">
        <f t="shared" ref="N107:O110" si="86">N131*N$114</f>
        <v>1611.0814159292038</v>
      </c>
      <c r="O107" s="849">
        <f t="shared" si="86"/>
        <v>1864.39</v>
      </c>
      <c r="P107" s="849">
        <f t="shared" ref="P107:Y107" si="87">P131*P$114</f>
        <v>2211.84</v>
      </c>
      <c r="Q107" s="849">
        <f t="shared" si="87"/>
        <v>2227.7232359999998</v>
      </c>
      <c r="R107" s="849">
        <f t="shared" si="87"/>
        <v>2345.9975305200001</v>
      </c>
      <c r="S107" s="849">
        <f t="shared" si="87"/>
        <v>2452.8838334472002</v>
      </c>
      <c r="T107" s="849">
        <f t="shared" si="87"/>
        <v>2563.0297534792803</v>
      </c>
      <c r="U107" s="849">
        <f t="shared" si="87"/>
        <v>2676.5247207792645</v>
      </c>
      <c r="V107" s="849">
        <f t="shared" si="87"/>
        <v>2793.4604388698563</v>
      </c>
      <c r="W107" s="849">
        <f t="shared" si="87"/>
        <v>2897.5335667586337</v>
      </c>
      <c r="X107" s="849">
        <f t="shared" si="87"/>
        <v>3004.5819995874149</v>
      </c>
      <c r="Y107" s="849">
        <f t="shared" si="87"/>
        <v>3097.6250933948158</v>
      </c>
    </row>
    <row r="108" spans="2:25" outlineLevel="1">
      <c r="B108" s="685" t="str">
        <f>B90</f>
        <v>TVI</v>
      </c>
      <c r="D108" s="1004">
        <v>112</v>
      </c>
      <c r="E108" s="1004">
        <v>147</v>
      </c>
      <c r="F108" s="1004">
        <v>191</v>
      </c>
      <c r="G108" s="1002">
        <v>230</v>
      </c>
      <c r="H108" s="1002">
        <v>295</v>
      </c>
      <c r="I108" s="1002">
        <v>391</v>
      </c>
      <c r="J108" s="849">
        <f t="shared" si="84"/>
        <v>502.39000000000004</v>
      </c>
      <c r="K108" s="849">
        <f t="shared" si="84"/>
        <v>580.86300000000006</v>
      </c>
      <c r="L108" s="849">
        <f t="shared" si="84"/>
        <v>652.78200000000015</v>
      </c>
      <c r="M108" s="849">
        <f t="shared" si="84"/>
        <v>743.58000000000015</v>
      </c>
      <c r="N108" s="1025">
        <f t="shared" si="86"/>
        <v>776.42477876106204</v>
      </c>
      <c r="O108" s="849">
        <f t="shared" si="86"/>
        <v>987.03</v>
      </c>
      <c r="P108" s="849">
        <f t="shared" ref="P108:Y108" si="88">P132*P$114</f>
        <v>1105.92</v>
      </c>
      <c r="Q108" s="849">
        <f t="shared" si="88"/>
        <v>1113.8616179999999</v>
      </c>
      <c r="R108" s="849">
        <f t="shared" si="88"/>
        <v>1172.99876526</v>
      </c>
      <c r="S108" s="849">
        <f t="shared" si="88"/>
        <v>1226.4419167236001</v>
      </c>
      <c r="T108" s="849">
        <f t="shared" si="88"/>
        <v>1281.5148767396402</v>
      </c>
      <c r="U108" s="849">
        <f t="shared" si="88"/>
        <v>1338.2623603896322</v>
      </c>
      <c r="V108" s="849">
        <f t="shared" si="88"/>
        <v>1396.7302194349281</v>
      </c>
      <c r="W108" s="849">
        <f t="shared" si="88"/>
        <v>1448.7667833793168</v>
      </c>
      <c r="X108" s="849">
        <f t="shared" si="88"/>
        <v>1502.2909997937074</v>
      </c>
      <c r="Y108" s="849">
        <f t="shared" si="88"/>
        <v>1548.8125466974079</v>
      </c>
    </row>
    <row r="109" spans="2:25" outlineLevel="1">
      <c r="B109" s="685" t="s">
        <v>1510</v>
      </c>
      <c r="D109" s="1004"/>
      <c r="E109" s="1004"/>
      <c r="F109" s="1004"/>
      <c r="G109" s="1002"/>
      <c r="H109" s="1002">
        <v>242</v>
      </c>
      <c r="I109" s="1002">
        <v>252.9</v>
      </c>
      <c r="J109" s="849">
        <f t="shared" si="84"/>
        <v>286.0907708451503</v>
      </c>
      <c r="K109" s="849">
        <f t="shared" si="84"/>
        <v>344.296077992059</v>
      </c>
      <c r="L109" s="849">
        <f t="shared" si="84"/>
        <v>400.55847362450373</v>
      </c>
      <c r="M109" s="849">
        <f t="shared" si="84"/>
        <v>466.914690867839</v>
      </c>
      <c r="N109" s="1025">
        <f t="shared" si="86"/>
        <v>493.63308218593625</v>
      </c>
      <c r="O109" s="849">
        <f t="shared" si="86"/>
        <v>684.34079999999994</v>
      </c>
      <c r="P109" s="849">
        <f t="shared" ref="P109:Y109" si="89">P133*P$114</f>
        <v>766.77119999999991</v>
      </c>
      <c r="Q109" s="849">
        <f t="shared" si="89"/>
        <v>772.27738848000001</v>
      </c>
      <c r="R109" s="849">
        <f t="shared" si="89"/>
        <v>813.27914391359991</v>
      </c>
      <c r="S109" s="849">
        <f t="shared" si="89"/>
        <v>850.333062261696</v>
      </c>
      <c r="T109" s="849">
        <f t="shared" si="89"/>
        <v>888.51698120615049</v>
      </c>
      <c r="U109" s="849">
        <f t="shared" si="89"/>
        <v>927.86190320347828</v>
      </c>
      <c r="V109" s="849">
        <f t="shared" si="89"/>
        <v>968.39961880821693</v>
      </c>
      <c r="W109" s="849">
        <f t="shared" si="89"/>
        <v>1004.478303142993</v>
      </c>
      <c r="X109" s="849">
        <f t="shared" si="89"/>
        <v>1041.5884265236371</v>
      </c>
      <c r="Y109" s="849">
        <f t="shared" si="89"/>
        <v>1073.8433657102028</v>
      </c>
    </row>
    <row r="110" spans="2:25" outlineLevel="1">
      <c r="B110" s="685" t="s">
        <v>2064</v>
      </c>
      <c r="D110" s="1004"/>
      <c r="E110" s="1004"/>
      <c r="F110" s="1004"/>
      <c r="G110" s="1002"/>
      <c r="H110" s="1002"/>
      <c r="I110" s="1002">
        <f>0.22*650</f>
        <v>143</v>
      </c>
      <c r="J110" s="1002">
        <f>3067-J106-J107-J108-J109</f>
        <v>268.95922915484942</v>
      </c>
      <c r="K110" s="1002">
        <f>3412-K106-K107-K108-K109</f>
        <v>226.18492200794077</v>
      </c>
      <c r="L110" s="1002">
        <f>3797-L106-L107-L108-L109</f>
        <v>232.9595263754963</v>
      </c>
      <c r="M110" s="1002">
        <f>4479-M106-M107-M108-M109</f>
        <v>349.26530913216084</v>
      </c>
      <c r="N110" s="1025">
        <f t="shared" si="86"/>
        <v>369.25141662833869</v>
      </c>
      <c r="O110" s="849">
        <f t="shared" si="86"/>
        <v>417.25410079002262</v>
      </c>
      <c r="P110" s="849">
        <f t="shared" ref="P110:Y110" si="90">P134*P$114</f>
        <v>467.51330268148064</v>
      </c>
      <c r="Q110" s="849">
        <f t="shared" si="90"/>
        <v>470.87051844737209</v>
      </c>
      <c r="R110" s="849">
        <f t="shared" si="90"/>
        <v>495.86997864945153</v>
      </c>
      <c r="S110" s="849">
        <f t="shared" si="90"/>
        <v>518.46237615239409</v>
      </c>
      <c r="T110" s="849">
        <f t="shared" si="90"/>
        <v>541.74375403284114</v>
      </c>
      <c r="U110" s="849">
        <f t="shared" si="90"/>
        <v>565.73301501019137</v>
      </c>
      <c r="V110" s="849">
        <f t="shared" si="90"/>
        <v>590.44954232046848</v>
      </c>
      <c r="W110" s="849">
        <f t="shared" si="90"/>
        <v>612.44732323575818</v>
      </c>
      <c r="X110" s="849">
        <f t="shared" si="90"/>
        <v>635.07398989277681</v>
      </c>
      <c r="Y110" s="849">
        <f t="shared" si="90"/>
        <v>654.74036905112496</v>
      </c>
    </row>
    <row r="111" spans="2:25">
      <c r="B111" s="685" t="s">
        <v>595</v>
      </c>
      <c r="D111" s="1004">
        <v>709</v>
      </c>
      <c r="E111" s="1004">
        <v>733</v>
      </c>
      <c r="F111" s="1004">
        <v>617</v>
      </c>
      <c r="G111" s="1002">
        <v>616</v>
      </c>
      <c r="H111" s="1002">
        <v>483</v>
      </c>
      <c r="I111" s="1002">
        <v>280</v>
      </c>
      <c r="J111" s="1002">
        <v>202</v>
      </c>
      <c r="K111" s="1002">
        <v>260</v>
      </c>
      <c r="L111" s="1002">
        <v>100</v>
      </c>
      <c r="M111" s="1002">
        <v>35</v>
      </c>
      <c r="N111" s="1002">
        <v>35</v>
      </c>
      <c r="O111" s="1002">
        <v>35</v>
      </c>
      <c r="P111" s="849">
        <f t="shared" ref="P111:Y111" si="91">P135*P$114</f>
        <v>39.215829306100119</v>
      </c>
      <c r="Q111" s="849">
        <f t="shared" si="91"/>
        <v>39.497438406127472</v>
      </c>
      <c r="R111" s="849">
        <f t="shared" si="91"/>
        <v>41.594436627154188</v>
      </c>
      <c r="S111" s="849">
        <f t="shared" si="91"/>
        <v>43.489526240667459</v>
      </c>
      <c r="T111" s="849">
        <f t="shared" si="91"/>
        <v>45.442408727077598</v>
      </c>
      <c r="U111" s="849">
        <f t="shared" si="91"/>
        <v>47.454669679378668</v>
      </c>
      <c r="V111" s="849">
        <f t="shared" si="91"/>
        <v>49.527934997135333</v>
      </c>
      <c r="W111" s="849">
        <f t="shared" si="91"/>
        <v>51.373147136638295</v>
      </c>
      <c r="X111" s="849">
        <f t="shared" si="91"/>
        <v>53.271111306424082</v>
      </c>
      <c r="Y111" s="849">
        <f t="shared" si="91"/>
        <v>54.920761409895626</v>
      </c>
    </row>
    <row r="112" spans="2:25">
      <c r="B112" s="685" t="s">
        <v>866</v>
      </c>
      <c r="D112" s="1004"/>
      <c r="E112" s="1004"/>
      <c r="F112" s="1002">
        <v>0</v>
      </c>
      <c r="G112" s="1002">
        <v>0</v>
      </c>
      <c r="H112" s="1002">
        <v>0</v>
      </c>
      <c r="I112" s="1002">
        <v>150</v>
      </c>
      <c r="J112" s="1002">
        <v>289</v>
      </c>
      <c r="K112" s="1002">
        <v>586</v>
      </c>
      <c r="L112" s="1002">
        <v>835</v>
      </c>
      <c r="M112" s="1002">
        <v>1188</v>
      </c>
      <c r="N112" s="1002">
        <v>1481.2121212121212</v>
      </c>
      <c r="O112" s="1002">
        <v>2444</v>
      </c>
      <c r="P112" s="1002">
        <v>3458</v>
      </c>
      <c r="Q112" s="1002">
        <v>4297</v>
      </c>
      <c r="R112" s="1002">
        <v>4779</v>
      </c>
      <c r="S112" s="878">
        <v>5149.4799999999996</v>
      </c>
      <c r="T112" s="878">
        <v>5469.48</v>
      </c>
      <c r="U112" s="878">
        <v>5769.48</v>
      </c>
      <c r="V112" s="878">
        <v>6019.48</v>
      </c>
      <c r="W112" s="878">
        <v>6219.48</v>
      </c>
      <c r="X112" s="878">
        <v>6419.48</v>
      </c>
      <c r="Y112" s="878">
        <v>6619.48</v>
      </c>
    </row>
    <row r="113" spans="2:27">
      <c r="B113" s="743" t="s">
        <v>675</v>
      </c>
      <c r="C113" s="743"/>
      <c r="D113" s="1028">
        <v>1088</v>
      </c>
      <c r="E113" s="1028">
        <v>1673</v>
      </c>
      <c r="F113" s="1028">
        <v>1727</v>
      </c>
      <c r="G113" s="1029">
        <v>1470</v>
      </c>
      <c r="H113" s="1029">
        <v>1349</v>
      </c>
      <c r="I113" s="995">
        <f>I114-I102-I103-I104-I105-I111-I117-I112</f>
        <v>552.09999999999991</v>
      </c>
      <c r="J113" s="995">
        <f>J114-J102-J103-J104-J105-J111-J117-J112</f>
        <v>165.00000000000045</v>
      </c>
      <c r="K113" s="995">
        <f>K114-K102-K103-K104-K105-K111-K117-K112</f>
        <v>59</v>
      </c>
      <c r="L113" s="995">
        <f>L114-L102-L103-L104-L105-L111-L117-L112</f>
        <v>38.664000000000215</v>
      </c>
      <c r="M113" s="995">
        <f>M114-M102-M103-M104-M105-M111-M117-M112</f>
        <v>35.983000000000175</v>
      </c>
      <c r="N113" s="995">
        <f>N114-N102-N103-N104-N105-N111-N112</f>
        <v>349.72534781442914</v>
      </c>
      <c r="O113" s="995">
        <f>O114-O102-O103-O104-O105-O111-O112</f>
        <v>445.14099999999962</v>
      </c>
      <c r="P113" s="995">
        <f>P114-P102-P103-P104-P105-P111-P112</f>
        <v>1493.8029392723629</v>
      </c>
      <c r="Q113" s="995">
        <f t="shared" ref="Q113:Y113" si="92">Q137*Q$114</f>
        <v>203.37906366371988</v>
      </c>
      <c r="R113" s="995">
        <f t="shared" si="92"/>
        <v>280.88312747793032</v>
      </c>
      <c r="S113" s="995">
        <f t="shared" si="92"/>
        <v>544.59929406549873</v>
      </c>
      <c r="T113" s="995">
        <f t="shared" si="92"/>
        <v>924.43567760335884</v>
      </c>
      <c r="U113" s="995">
        <f t="shared" si="92"/>
        <v>1512.6280494955597</v>
      </c>
      <c r="V113" s="995">
        <f t="shared" si="92"/>
        <v>2261.6869385329942</v>
      </c>
      <c r="W113" s="995">
        <f t="shared" si="92"/>
        <v>3070.8896129152317</v>
      </c>
      <c r="X113" s="995">
        <f t="shared" si="92"/>
        <v>3769.7623125386322</v>
      </c>
      <c r="Y113" s="995">
        <f t="shared" si="92"/>
        <v>4454.1056458093235</v>
      </c>
    </row>
    <row r="114" spans="2:27">
      <c r="B114" s="685" t="s">
        <v>676</v>
      </c>
      <c r="D114" s="849" t="e">
        <f>D102+#REF!+D103+D104+D105+D111+D117+D113</f>
        <v>#REF!</v>
      </c>
      <c r="E114" s="849" t="e">
        <f>E102+#REF!+E103+E104+E105+E111+E117+E113</f>
        <v>#REF!</v>
      </c>
      <c r="F114" s="849">
        <f>F102+F112+F103+F104+F105+F111+F117+F113</f>
        <v>12150</v>
      </c>
      <c r="G114" s="849">
        <f>G102+G112+G103+G104+G105+G111+G117+G113</f>
        <v>12810.556999999999</v>
      </c>
      <c r="H114" s="849">
        <f>H102+H112+H103+H104+H105+H111+H117+H113</f>
        <v>13756</v>
      </c>
      <c r="I114" s="1002">
        <v>14104</v>
      </c>
      <c r="J114" s="1002">
        <v>14354</v>
      </c>
      <c r="K114" s="1002">
        <v>15699</v>
      </c>
      <c r="L114" s="1002">
        <v>16738</v>
      </c>
      <c r="M114" s="1002">
        <v>18360</v>
      </c>
      <c r="N114" s="1002">
        <f>O114/1.13</f>
        <v>19410.619469026551</v>
      </c>
      <c r="O114" s="1002">
        <v>21934</v>
      </c>
      <c r="P114" s="1002">
        <v>24576</v>
      </c>
      <c r="Q114" s="849">
        <f t="shared" ref="Q114:Y114" si="93">Q120+Q122</f>
        <v>24752.4804</v>
      </c>
      <c r="R114" s="849">
        <f t="shared" si="93"/>
        <v>26066.639228</v>
      </c>
      <c r="S114" s="849">
        <f t="shared" si="93"/>
        <v>27254.264816080002</v>
      </c>
      <c r="T114" s="849">
        <f t="shared" si="93"/>
        <v>28478.108371992003</v>
      </c>
      <c r="U114" s="849">
        <f t="shared" si="93"/>
        <v>29739.16356421405</v>
      </c>
      <c r="V114" s="849">
        <f t="shared" si="93"/>
        <v>31038.449320776184</v>
      </c>
      <c r="W114" s="849">
        <f t="shared" si="93"/>
        <v>32194.817408429266</v>
      </c>
      <c r="X114" s="849">
        <f t="shared" si="93"/>
        <v>33384.244439860166</v>
      </c>
      <c r="Y114" s="849">
        <f t="shared" si="93"/>
        <v>34418.056593275731</v>
      </c>
    </row>
    <row r="115" spans="2:27">
      <c r="B115" s="685" t="s">
        <v>679</v>
      </c>
      <c r="E115" s="685" t="e">
        <f t="shared" ref="E115:T115" si="94">E114-D114</f>
        <v>#REF!</v>
      </c>
      <c r="F115" s="685" t="e">
        <f t="shared" si="94"/>
        <v>#REF!</v>
      </c>
      <c r="G115" s="849">
        <f t="shared" si="94"/>
        <v>660.55699999999888</v>
      </c>
      <c r="H115" s="849">
        <f t="shared" si="94"/>
        <v>945.44300000000112</v>
      </c>
      <c r="I115" s="849">
        <f t="shared" si="94"/>
        <v>348</v>
      </c>
      <c r="J115" s="849">
        <f t="shared" si="94"/>
        <v>250</v>
      </c>
      <c r="K115" s="849">
        <f t="shared" si="94"/>
        <v>1345</v>
      </c>
      <c r="L115" s="849">
        <f t="shared" si="94"/>
        <v>1039</v>
      </c>
      <c r="M115" s="849">
        <f t="shared" si="94"/>
        <v>1622</v>
      </c>
      <c r="N115" s="849">
        <f t="shared" si="94"/>
        <v>1050.6194690265511</v>
      </c>
      <c r="O115" s="849">
        <f t="shared" si="94"/>
        <v>2523.3805309734489</v>
      </c>
      <c r="P115" s="849">
        <f t="shared" si="94"/>
        <v>2642</v>
      </c>
      <c r="Q115" s="849">
        <f t="shared" si="94"/>
        <v>176.48040000000037</v>
      </c>
      <c r="R115" s="849">
        <f t="shared" si="94"/>
        <v>1314.1588279999996</v>
      </c>
      <c r="S115" s="849">
        <f t="shared" si="94"/>
        <v>1187.6255880800018</v>
      </c>
      <c r="T115" s="849">
        <f t="shared" si="94"/>
        <v>1223.8435559120007</v>
      </c>
      <c r="U115" s="849">
        <f>U114-T114</f>
        <v>1261.0551922220475</v>
      </c>
      <c r="V115" s="849">
        <f>V114-U114</f>
        <v>1299.2857565621343</v>
      </c>
      <c r="W115" s="849">
        <f>W114-V114</f>
        <v>1156.3680876530816</v>
      </c>
      <c r="X115" s="849">
        <f>X114-W114</f>
        <v>1189.4270314308997</v>
      </c>
      <c r="Y115" s="849">
        <f>Y114-X114</f>
        <v>1033.8121534155653</v>
      </c>
    </row>
    <row r="116" spans="2:27">
      <c r="G116" s="849"/>
      <c r="H116" s="849"/>
      <c r="I116" s="849"/>
      <c r="J116" s="849"/>
      <c r="K116" s="849"/>
      <c r="L116" s="849"/>
      <c r="M116" s="849"/>
      <c r="N116" s="849"/>
      <c r="O116" s="849"/>
      <c r="P116" s="849"/>
      <c r="Q116" s="849"/>
      <c r="R116" s="849"/>
      <c r="S116" s="849"/>
      <c r="T116" s="849"/>
      <c r="U116" s="849"/>
      <c r="V116" s="849"/>
      <c r="W116" s="849"/>
      <c r="X116" s="849"/>
      <c r="Y116" s="849"/>
    </row>
    <row r="117" spans="2:27">
      <c r="B117" s="685" t="s">
        <v>403</v>
      </c>
      <c r="D117" s="1004"/>
      <c r="E117" s="1004"/>
      <c r="F117" s="1004"/>
      <c r="G117" s="1002"/>
      <c r="H117" s="1002"/>
      <c r="I117" s="1002"/>
      <c r="J117" s="1002"/>
      <c r="K117" s="1002"/>
      <c r="L117" s="1002"/>
      <c r="M117" s="1002"/>
      <c r="N117" s="1002">
        <v>386</v>
      </c>
      <c r="O117" s="1002">
        <v>666</v>
      </c>
      <c r="P117" s="1002">
        <v>727.226</v>
      </c>
      <c r="Q117" s="1002">
        <v>640.29399999999998</v>
      </c>
      <c r="R117" s="1002">
        <v>515.08900000000006</v>
      </c>
      <c r="S117" s="878">
        <f>R117-25</f>
        <v>490.08900000000006</v>
      </c>
      <c r="T117" s="878">
        <f t="shared" ref="T117:Y117" si="95">S117-25</f>
        <v>465.08900000000006</v>
      </c>
      <c r="U117" s="878">
        <f t="shared" si="95"/>
        <v>440.08900000000006</v>
      </c>
      <c r="V117" s="878">
        <f t="shared" si="95"/>
        <v>415.08900000000006</v>
      </c>
      <c r="W117" s="878">
        <f t="shared" si="95"/>
        <v>390.08900000000006</v>
      </c>
      <c r="X117" s="878">
        <f t="shared" si="95"/>
        <v>365.08900000000006</v>
      </c>
      <c r="Y117" s="878">
        <f t="shared" si="95"/>
        <v>340.08900000000006</v>
      </c>
    </row>
    <row r="118" spans="2:27">
      <c r="O118" s="849">
        <f>O117-N117</f>
        <v>280</v>
      </c>
      <c r="P118" s="849">
        <f t="shared" ref="P118:R118" si="96">P117-O117</f>
        <v>61.225999999999999</v>
      </c>
      <c r="Q118" s="849">
        <f t="shared" si="96"/>
        <v>-86.932000000000016</v>
      </c>
      <c r="R118" s="849">
        <f t="shared" si="96"/>
        <v>-125.20499999999993</v>
      </c>
      <c r="S118" s="849">
        <f t="shared" ref="S118" si="97">S117-R117</f>
        <v>-25</v>
      </c>
      <c r="T118" s="849">
        <f t="shared" ref="T118" si="98">T117-S117</f>
        <v>-25</v>
      </c>
      <c r="U118" s="849">
        <f t="shared" ref="U118" si="99">U117-T117</f>
        <v>-25</v>
      </c>
      <c r="V118" s="849">
        <f t="shared" ref="V118" si="100">V117-U117</f>
        <v>-25</v>
      </c>
      <c r="W118" s="849">
        <f t="shared" ref="W118" si="101">W117-V117</f>
        <v>-25</v>
      </c>
      <c r="X118" s="849">
        <f t="shared" ref="X118" si="102">X117-W117</f>
        <v>-25</v>
      </c>
      <c r="Y118" s="849">
        <f t="shared" ref="Y118" si="103">Y117-X117</f>
        <v>-25</v>
      </c>
    </row>
    <row r="119" spans="2:27">
      <c r="O119" s="849"/>
      <c r="P119" s="849"/>
      <c r="Q119" s="849"/>
      <c r="R119" s="849"/>
      <c r="S119" s="849"/>
      <c r="T119" s="849"/>
      <c r="U119" s="849"/>
      <c r="V119" s="849"/>
    </row>
    <row r="120" spans="2:27">
      <c r="B120" s="685" t="s">
        <v>685</v>
      </c>
      <c r="D120" s="1002">
        <v>971</v>
      </c>
      <c r="E120" s="1002">
        <v>1157</v>
      </c>
      <c r="F120" s="1002">
        <v>1259</v>
      </c>
      <c r="G120" s="1002">
        <v>1330</v>
      </c>
      <c r="H120" s="1002">
        <v>1370</v>
      </c>
      <c r="I120" s="1002">
        <v>1560</v>
      </c>
      <c r="J120" s="1002">
        <v>1776</v>
      </c>
      <c r="K120" s="1002">
        <v>2074</v>
      </c>
      <c r="L120" s="849">
        <f t="shared" ref="L120:T120" si="104">K120+L121</f>
        <v>2274</v>
      </c>
      <c r="M120" s="849">
        <f t="shared" si="104"/>
        <v>2474</v>
      </c>
      <c r="N120" s="849">
        <f t="shared" si="104"/>
        <v>2624</v>
      </c>
      <c r="O120" s="849">
        <f t="shared" si="104"/>
        <v>2699</v>
      </c>
      <c r="P120" s="849">
        <f t="shared" si="104"/>
        <v>2749</v>
      </c>
      <c r="Q120" s="849">
        <f t="shared" si="104"/>
        <v>2799</v>
      </c>
      <c r="R120" s="849">
        <f t="shared" si="104"/>
        <v>2849</v>
      </c>
      <c r="S120" s="849">
        <f t="shared" si="104"/>
        <v>2899</v>
      </c>
      <c r="T120" s="849">
        <f t="shared" si="104"/>
        <v>2949</v>
      </c>
      <c r="U120" s="849">
        <f>T120+U121</f>
        <v>2999</v>
      </c>
      <c r="V120" s="849">
        <f>U120+V121</f>
        <v>3049</v>
      </c>
      <c r="W120" s="849">
        <f>V120+W121</f>
        <v>3099</v>
      </c>
      <c r="X120" s="849">
        <f>W120+X121</f>
        <v>3149</v>
      </c>
      <c r="Y120" s="849">
        <f>X120+Y121</f>
        <v>3199</v>
      </c>
    </row>
    <row r="121" spans="2:27">
      <c r="B121" s="685" t="s">
        <v>689</v>
      </c>
      <c r="D121" s="849"/>
      <c r="E121" s="849">
        <f t="shared" ref="E121:K121" si="105">E120-D120</f>
        <v>186</v>
      </c>
      <c r="F121" s="849">
        <f t="shared" si="105"/>
        <v>102</v>
      </c>
      <c r="G121" s="849">
        <f t="shared" si="105"/>
        <v>71</v>
      </c>
      <c r="H121" s="849">
        <f t="shared" si="105"/>
        <v>40</v>
      </c>
      <c r="I121" s="849">
        <f t="shared" si="105"/>
        <v>190</v>
      </c>
      <c r="J121" s="849">
        <f t="shared" si="105"/>
        <v>216</v>
      </c>
      <c r="K121" s="849">
        <f t="shared" si="105"/>
        <v>298</v>
      </c>
      <c r="L121" s="1004">
        <v>200</v>
      </c>
      <c r="M121" s="1004">
        <v>200</v>
      </c>
      <c r="N121" s="1004">
        <v>150</v>
      </c>
      <c r="O121" s="1004">
        <v>75</v>
      </c>
      <c r="P121" s="1004">
        <v>50</v>
      </c>
      <c r="Q121" s="1004">
        <v>50</v>
      </c>
      <c r="R121" s="1004">
        <v>50</v>
      </c>
      <c r="S121" s="1004">
        <v>50</v>
      </c>
      <c r="T121" s="1004">
        <v>50</v>
      </c>
      <c r="U121" s="1004">
        <v>50</v>
      </c>
      <c r="V121" s="1004">
        <v>50</v>
      </c>
      <c r="W121" s="1004">
        <v>50</v>
      </c>
      <c r="X121" s="1004">
        <v>50</v>
      </c>
      <c r="Y121" s="1004">
        <v>50</v>
      </c>
    </row>
    <row r="122" spans="2:27">
      <c r="B122" s="685" t="s">
        <v>686</v>
      </c>
      <c r="D122" s="849" t="e">
        <f t="shared" ref="D122:J122" si="106">D114-D120</f>
        <v>#REF!</v>
      </c>
      <c r="E122" s="849" t="e">
        <f t="shared" si="106"/>
        <v>#REF!</v>
      </c>
      <c r="F122" s="849">
        <f t="shared" si="106"/>
        <v>10891</v>
      </c>
      <c r="G122" s="849">
        <f t="shared" si="106"/>
        <v>11480.556999999999</v>
      </c>
      <c r="H122" s="849">
        <f t="shared" si="106"/>
        <v>12386</v>
      </c>
      <c r="I122" s="849">
        <f t="shared" si="106"/>
        <v>12544</v>
      </c>
      <c r="J122" s="849">
        <f t="shared" si="106"/>
        <v>12578</v>
      </c>
      <c r="K122" s="849">
        <f>K114-K120</f>
        <v>13625</v>
      </c>
      <c r="L122" s="849">
        <f>L114-L120</f>
        <v>14464</v>
      </c>
      <c r="M122" s="849">
        <f>M114-M120</f>
        <v>15886</v>
      </c>
      <c r="N122" s="849">
        <f>N114-N120</f>
        <v>16786.619469026551</v>
      </c>
      <c r="O122" s="849">
        <f>O114-O120</f>
        <v>19235</v>
      </c>
      <c r="P122" s="849">
        <f t="shared" ref="P122:Y122" si="107">P123*P79</f>
        <v>20729.97</v>
      </c>
      <c r="Q122" s="849">
        <f t="shared" si="107"/>
        <v>21953.4804</v>
      </c>
      <c r="R122" s="849">
        <f t="shared" si="107"/>
        <v>23217.639228</v>
      </c>
      <c r="S122" s="849">
        <f t="shared" si="107"/>
        <v>24355.264816080002</v>
      </c>
      <c r="T122" s="849">
        <f t="shared" si="107"/>
        <v>25529.108371992003</v>
      </c>
      <c r="U122" s="849">
        <f t="shared" si="107"/>
        <v>26740.16356421405</v>
      </c>
      <c r="V122" s="849">
        <f t="shared" si="107"/>
        <v>27989.449320776184</v>
      </c>
      <c r="W122" s="849">
        <f t="shared" si="107"/>
        <v>29095.817408429266</v>
      </c>
      <c r="X122" s="849">
        <f t="shared" si="107"/>
        <v>30235.244439860162</v>
      </c>
      <c r="Y122" s="849">
        <f t="shared" si="107"/>
        <v>31219.056593275731</v>
      </c>
    </row>
    <row r="123" spans="2:27">
      <c r="B123" s="874" t="s">
        <v>687</v>
      </c>
      <c r="C123" s="874"/>
      <c r="D123" s="996" t="e">
        <f t="shared" ref="D123:O123" si="108">D122/D79</f>
        <v>#REF!</v>
      </c>
      <c r="E123" s="996" t="e">
        <f t="shared" si="108"/>
        <v>#REF!</v>
      </c>
      <c r="F123" s="996">
        <f t="shared" si="108"/>
        <v>0.37815972222222222</v>
      </c>
      <c r="G123" s="996">
        <f t="shared" si="108"/>
        <v>0.39519989672977623</v>
      </c>
      <c r="H123" s="996">
        <f t="shared" si="108"/>
        <v>0.42273037542662117</v>
      </c>
      <c r="I123" s="996">
        <f t="shared" si="108"/>
        <v>0.42450084602368865</v>
      </c>
      <c r="J123" s="996">
        <f t="shared" si="108"/>
        <v>0.42208053691275166</v>
      </c>
      <c r="K123" s="996">
        <f t="shared" si="108"/>
        <v>0.45341098169717137</v>
      </c>
      <c r="L123" s="996">
        <f t="shared" si="108"/>
        <v>0.47735973597359738</v>
      </c>
      <c r="M123" s="996">
        <f t="shared" si="108"/>
        <v>0.52</v>
      </c>
      <c r="N123" s="996">
        <f t="shared" si="108"/>
        <v>0.54502011263073213</v>
      </c>
      <c r="O123" s="996">
        <f t="shared" si="108"/>
        <v>0.61848874598070736</v>
      </c>
      <c r="P123" s="996">
        <f t="shared" ref="P123:Y123" si="109">O123+P124</f>
        <v>0.65348874598070739</v>
      </c>
      <c r="Q123" s="996">
        <f t="shared" si="109"/>
        <v>0.67848874598070741</v>
      </c>
      <c r="R123" s="996">
        <f t="shared" si="109"/>
        <v>0.70348874598070743</v>
      </c>
      <c r="S123" s="996">
        <f t="shared" si="109"/>
        <v>0.72348874598070745</v>
      </c>
      <c r="T123" s="996">
        <f t="shared" si="109"/>
        <v>0.74348874598070747</v>
      </c>
      <c r="U123" s="996">
        <f t="shared" si="109"/>
        <v>0.76348874598070748</v>
      </c>
      <c r="V123" s="996">
        <f t="shared" si="109"/>
        <v>0.7834887459807075</v>
      </c>
      <c r="W123" s="996">
        <f t="shared" si="109"/>
        <v>0.79848874598070751</v>
      </c>
      <c r="X123" s="996">
        <f t="shared" si="109"/>
        <v>0.81348874598070753</v>
      </c>
      <c r="Y123" s="996">
        <f t="shared" si="109"/>
        <v>0.82348874598070754</v>
      </c>
    </row>
    <row r="124" spans="2:27">
      <c r="B124" s="685" t="s">
        <v>688</v>
      </c>
      <c r="E124" s="869" t="e">
        <f t="shared" ref="E124:O124" si="110">E123-D123</f>
        <v>#REF!</v>
      </c>
      <c r="F124" s="869" t="e">
        <f t="shared" si="110"/>
        <v>#REF!</v>
      </c>
      <c r="G124" s="869">
        <f t="shared" si="110"/>
        <v>1.7040174507554018E-2</v>
      </c>
      <c r="H124" s="869">
        <f t="shared" si="110"/>
        <v>2.753047869684494E-2</v>
      </c>
      <c r="I124" s="869">
        <f t="shared" si="110"/>
        <v>1.770470597067475E-3</v>
      </c>
      <c r="J124" s="869">
        <f t="shared" si="110"/>
        <v>-2.4203091109369912E-3</v>
      </c>
      <c r="K124" s="869">
        <f t="shared" si="110"/>
        <v>3.1330444784419709E-2</v>
      </c>
      <c r="L124" s="869">
        <f t="shared" si="110"/>
        <v>2.394875427642601E-2</v>
      </c>
      <c r="M124" s="869">
        <f t="shared" si="110"/>
        <v>4.2640264026402641E-2</v>
      </c>
      <c r="N124" s="869">
        <f t="shared" si="110"/>
        <v>2.5020112630732116E-2</v>
      </c>
      <c r="O124" s="869">
        <f t="shared" si="110"/>
        <v>7.3468633349975221E-2</v>
      </c>
      <c r="P124" s="982">
        <v>3.5000000000000003E-2</v>
      </c>
      <c r="Q124" s="982">
        <v>2.5000000000000001E-2</v>
      </c>
      <c r="R124" s="982">
        <v>2.5000000000000001E-2</v>
      </c>
      <c r="S124" s="982">
        <v>0.02</v>
      </c>
      <c r="T124" s="982">
        <v>0.02</v>
      </c>
      <c r="U124" s="982">
        <v>0.02</v>
      </c>
      <c r="V124" s="982">
        <v>0.02</v>
      </c>
      <c r="W124" s="982">
        <v>1.4999999999999999E-2</v>
      </c>
      <c r="X124" s="982">
        <v>1.4999999999999999E-2</v>
      </c>
      <c r="Y124" s="982">
        <v>0.01</v>
      </c>
    </row>
    <row r="126" spans="2:27">
      <c r="B126" s="685" t="str">
        <f>B102</f>
        <v>Telmex</v>
      </c>
      <c r="D126" s="869" t="e">
        <f t="shared" ref="D126:R126" si="111">D102/D$114</f>
        <v>#REF!</v>
      </c>
      <c r="E126" s="869" t="e">
        <f t="shared" si="111"/>
        <v>#REF!</v>
      </c>
      <c r="F126" s="869">
        <f t="shared" si="111"/>
        <v>0.65448559670781892</v>
      </c>
      <c r="G126" s="869">
        <f t="shared" si="111"/>
        <v>0.65949958303920742</v>
      </c>
      <c r="H126" s="869">
        <f t="shared" si="111"/>
        <v>0.64757196859552191</v>
      </c>
      <c r="I126" s="869">
        <f t="shared" si="111"/>
        <v>0.6522972206466251</v>
      </c>
      <c r="J126" s="869">
        <f t="shared" si="111"/>
        <v>0.60171380799777063</v>
      </c>
      <c r="K126" s="869">
        <f t="shared" si="111"/>
        <v>0.57710682209057906</v>
      </c>
      <c r="L126" s="869">
        <f t="shared" si="111"/>
        <v>0.55359063209463499</v>
      </c>
      <c r="M126" s="869">
        <f t="shared" si="111"/>
        <v>0.52407407407407403</v>
      </c>
      <c r="N126" s="869">
        <f t="shared" si="111"/>
        <v>0.49936582474696811</v>
      </c>
      <c r="O126" s="869">
        <f t="shared" si="111"/>
        <v>0.45641469864137868</v>
      </c>
      <c r="P126" s="869">
        <f t="shared" si="111"/>
        <v>0.40840657552083331</v>
      </c>
      <c r="Q126" s="869">
        <f t="shared" si="111"/>
        <v>0.40500991569313594</v>
      </c>
      <c r="R126" s="869">
        <f t="shared" si="111"/>
        <v>0.40239172791914929</v>
      </c>
      <c r="S126" s="982">
        <f t="shared" ref="S126:Y126" si="112">R126-2%</f>
        <v>0.38239172791914927</v>
      </c>
      <c r="T126" s="982">
        <f t="shared" si="112"/>
        <v>0.36239172791914925</v>
      </c>
      <c r="U126" s="982">
        <f t="shared" si="112"/>
        <v>0.34239172791914924</v>
      </c>
      <c r="V126" s="982">
        <f t="shared" si="112"/>
        <v>0.32239172791914922</v>
      </c>
      <c r="W126" s="982">
        <f t="shared" si="112"/>
        <v>0.3023917279191492</v>
      </c>
      <c r="X126" s="982">
        <f t="shared" si="112"/>
        <v>0.28239172791914918</v>
      </c>
      <c r="Y126" s="982">
        <f t="shared" si="112"/>
        <v>0.26239172791914916</v>
      </c>
    </row>
    <row r="127" spans="2:27">
      <c r="B127" s="685" t="str">
        <f>B103</f>
        <v>Maxcom</v>
      </c>
      <c r="D127" s="869" t="e">
        <f t="shared" ref="D127:O127" si="113">D103/D$114</f>
        <v>#REF!</v>
      </c>
      <c r="E127" s="869" t="e">
        <f t="shared" si="113"/>
        <v>#REF!</v>
      </c>
      <c r="F127" s="869">
        <f t="shared" si="113"/>
        <v>8.6419753086419745E-3</v>
      </c>
      <c r="G127" s="869">
        <f t="shared" si="113"/>
        <v>1.0538183468525218E-2</v>
      </c>
      <c r="H127" s="869">
        <f t="shared" si="113"/>
        <v>1.1413201512067461E-2</v>
      </c>
      <c r="I127" s="869">
        <f t="shared" si="113"/>
        <v>1.2195121951219513E-2</v>
      </c>
      <c r="J127" s="869">
        <f t="shared" si="113"/>
        <v>1.135571966002508E-2</v>
      </c>
      <c r="K127" s="869">
        <f t="shared" si="113"/>
        <v>5.9876425250015922E-3</v>
      </c>
      <c r="L127" s="869">
        <f t="shared" si="113"/>
        <v>4.5405663759111002E-3</v>
      </c>
      <c r="M127" s="869">
        <f t="shared" si="113"/>
        <v>3.1590413943355122E-3</v>
      </c>
      <c r="N127" s="869">
        <f t="shared" si="113"/>
        <v>2.9880550743138501E-3</v>
      </c>
      <c r="O127" s="869">
        <f t="shared" si="113"/>
        <v>2.6442965259414609E-3</v>
      </c>
      <c r="P127" s="982">
        <f t="shared" ref="P127:Y127" si="114">O127</f>
        <v>2.6442965259414609E-3</v>
      </c>
      <c r="Q127" s="982">
        <f t="shared" si="114"/>
        <v>2.6442965259414609E-3</v>
      </c>
      <c r="R127" s="982">
        <f t="shared" si="114"/>
        <v>2.6442965259414609E-3</v>
      </c>
      <c r="S127" s="982">
        <f t="shared" si="114"/>
        <v>2.6442965259414609E-3</v>
      </c>
      <c r="T127" s="982">
        <f t="shared" si="114"/>
        <v>2.6442965259414609E-3</v>
      </c>
      <c r="U127" s="982">
        <f t="shared" si="114"/>
        <v>2.6442965259414609E-3</v>
      </c>
      <c r="V127" s="982">
        <f t="shared" si="114"/>
        <v>2.6442965259414609E-3</v>
      </c>
      <c r="W127" s="982">
        <f t="shared" si="114"/>
        <v>2.6442965259414609E-3</v>
      </c>
      <c r="X127" s="982">
        <f t="shared" si="114"/>
        <v>2.6442965259414609E-3</v>
      </c>
      <c r="Y127" s="982">
        <f t="shared" si="114"/>
        <v>2.6442965259414609E-3</v>
      </c>
      <c r="AA127" s="685" t="s">
        <v>84</v>
      </c>
    </row>
    <row r="128" spans="2:27">
      <c r="B128" s="685" t="str">
        <f>B104</f>
        <v>Megacable</v>
      </c>
      <c r="D128" s="869" t="e">
        <f t="shared" ref="D128:P128" si="115">D104/D$114</f>
        <v>#REF!</v>
      </c>
      <c r="E128" s="869" t="e">
        <f t="shared" si="115"/>
        <v>#REF!</v>
      </c>
      <c r="F128" s="869">
        <f t="shared" si="115"/>
        <v>5.6213991769547327E-2</v>
      </c>
      <c r="G128" s="869">
        <f t="shared" si="115"/>
        <v>6.5180616268285613E-2</v>
      </c>
      <c r="H128" s="869">
        <f t="shared" si="115"/>
        <v>6.913346903169526E-2</v>
      </c>
      <c r="I128" s="869">
        <f t="shared" si="115"/>
        <v>9.4370391378332391E-2</v>
      </c>
      <c r="J128" s="869">
        <f t="shared" si="115"/>
        <v>0.12756026194788908</v>
      </c>
      <c r="K128" s="869">
        <f t="shared" si="115"/>
        <v>0.14191986750748456</v>
      </c>
      <c r="L128" s="869">
        <f t="shared" si="115"/>
        <v>0.15682877285219263</v>
      </c>
      <c r="M128" s="869">
        <f t="shared" si="115"/>
        <v>0.16023965141612201</v>
      </c>
      <c r="N128" s="869">
        <f t="shared" si="115"/>
        <v>0.15958419075408042</v>
      </c>
      <c r="O128" s="869">
        <f t="shared" si="115"/>
        <v>0.16002553113887116</v>
      </c>
      <c r="P128" s="869">
        <f t="shared" si="115"/>
        <v>0.15600150553385417</v>
      </c>
      <c r="Q128" s="869">
        <f t="shared" ref="Q128:Y128" si="116">Q104/Q$114</f>
        <v>0.1671751652008176</v>
      </c>
      <c r="R128" s="869">
        <f t="shared" si="116"/>
        <v>0.18115108582650616</v>
      </c>
      <c r="S128" s="869">
        <f t="shared" si="116"/>
        <v>0.19268734766610129</v>
      </c>
      <c r="T128" s="869">
        <f t="shared" si="116"/>
        <v>0.20020824155608002</v>
      </c>
      <c r="U128" s="869">
        <f t="shared" si="116"/>
        <v>0.20180634828687083</v>
      </c>
      <c r="V128" s="869">
        <f t="shared" si="116"/>
        <v>0.19980224965197832</v>
      </c>
      <c r="W128" s="869">
        <f t="shared" si="116"/>
        <v>0.19728492071947681</v>
      </c>
      <c r="X128" s="869">
        <f t="shared" si="116"/>
        <v>0.19474911321453386</v>
      </c>
      <c r="Y128" s="869">
        <f t="shared" si="116"/>
        <v>0.19325762865122129</v>
      </c>
    </row>
    <row r="129" spans="2:27">
      <c r="B129" s="685" t="s">
        <v>1042</v>
      </c>
      <c r="D129" s="869" t="e">
        <f t="shared" ref="D129:R129" si="117">D105/D$114</f>
        <v>#REF!</v>
      </c>
      <c r="E129" s="869" t="e">
        <f t="shared" si="117"/>
        <v>#REF!</v>
      </c>
      <c r="F129" s="869">
        <f t="shared" si="117"/>
        <v>8.7736625514403296E-2</v>
      </c>
      <c r="G129" s="869">
        <f t="shared" si="117"/>
        <v>0.10194716748069581</v>
      </c>
      <c r="H129" s="869">
        <f t="shared" si="117"/>
        <v>0.13870311136958419</v>
      </c>
      <c r="I129" s="869">
        <f t="shared" si="117"/>
        <v>0.17150453771979582</v>
      </c>
      <c r="J129" s="869">
        <f t="shared" si="117"/>
        <v>0.21366866378709765</v>
      </c>
      <c r="K129" s="869">
        <f t="shared" si="117"/>
        <v>0.217338683992611</v>
      </c>
      <c r="L129" s="869">
        <f t="shared" si="117"/>
        <v>0.22686915999522045</v>
      </c>
      <c r="M129" s="869">
        <f t="shared" si="117"/>
        <v>0.243955174291939</v>
      </c>
      <c r="N129" s="869">
        <f t="shared" si="117"/>
        <v>0.24193220661985956</v>
      </c>
      <c r="O129" s="869">
        <f t="shared" si="117"/>
        <v>0.24760002735479167</v>
      </c>
      <c r="P129" s="869">
        <f t="shared" si="117"/>
        <v>0.22986254882812499</v>
      </c>
      <c r="Q129" s="869">
        <f t="shared" si="117"/>
        <v>0.24175965007531122</v>
      </c>
      <c r="R129" s="869">
        <f t="shared" si="117"/>
        <v>0.2178428507922264</v>
      </c>
      <c r="S129" s="982">
        <v>0.21210000000000001</v>
      </c>
      <c r="T129" s="982">
        <f>S129-0.5%</f>
        <v>0.20710000000000001</v>
      </c>
      <c r="U129" s="982">
        <f>T129-0.5%</f>
        <v>0.2021</v>
      </c>
      <c r="V129" s="982">
        <f>U129-0.5%</f>
        <v>0.1971</v>
      </c>
      <c r="W129" s="982">
        <f>V129-0.5%</f>
        <v>0.19209999999999999</v>
      </c>
      <c r="X129" s="982">
        <f>W129</f>
        <v>0.19209999999999999</v>
      </c>
      <c r="Y129" s="982">
        <f>X129</f>
        <v>0.19209999999999999</v>
      </c>
    </row>
    <row r="130" spans="2:27" hidden="1" outlineLevel="1">
      <c r="B130" s="685" t="str">
        <f>B106</f>
        <v>Cablevision</v>
      </c>
      <c r="D130" s="869" t="e">
        <f t="shared" ref="D130:I133" si="118">D106/D$114</f>
        <v>#REF!</v>
      </c>
      <c r="E130" s="869" t="e">
        <f t="shared" si="118"/>
        <v>#REF!</v>
      </c>
      <c r="F130" s="869">
        <f t="shared" si="118"/>
        <v>3.3580246913580247E-2</v>
      </c>
      <c r="G130" s="869">
        <f t="shared" si="118"/>
        <v>3.9732854707254343E-2</v>
      </c>
      <c r="H130" s="869">
        <f t="shared" si="118"/>
        <v>4.8415236987496363E-2</v>
      </c>
      <c r="I130" s="869">
        <f t="shared" si="118"/>
        <v>5.5232558139534885E-2</v>
      </c>
      <c r="J130" s="1001">
        <v>6.5000000000000002E-2</v>
      </c>
      <c r="K130" s="1001">
        <f>J130+0.2%</f>
        <v>6.7000000000000004E-2</v>
      </c>
      <c r="L130" s="1001">
        <v>7.0000000000000007E-2</v>
      </c>
      <c r="M130" s="1001">
        <v>7.4999999999999997E-2</v>
      </c>
      <c r="N130" s="869">
        <f>N106/N$114</f>
        <v>7.4477958253846469E-2</v>
      </c>
      <c r="O130" s="869">
        <f>O106/O$114</f>
        <v>6.7376862369379856E-2</v>
      </c>
      <c r="P130" s="1030">
        <f>O130</f>
        <v>6.7376862369379856E-2</v>
      </c>
      <c r="Q130" s="1030">
        <f t="shared" ref="Q130:T131" si="119">P130</f>
        <v>6.7376862369379856E-2</v>
      </c>
      <c r="R130" s="982">
        <f t="shared" si="119"/>
        <v>6.7376862369379856E-2</v>
      </c>
      <c r="S130" s="982">
        <f t="shared" si="119"/>
        <v>6.7376862369379856E-2</v>
      </c>
      <c r="T130" s="982">
        <f t="shared" si="119"/>
        <v>6.7376862369379856E-2</v>
      </c>
      <c r="U130" s="982">
        <f t="shared" ref="U130:U135" si="120">T130</f>
        <v>6.7376862369379856E-2</v>
      </c>
      <c r="V130" s="982">
        <f t="shared" ref="V130:V135" si="121">U130</f>
        <v>6.7376862369379856E-2</v>
      </c>
      <c r="W130" s="982">
        <f t="shared" ref="W130:W135" si="122">V130</f>
        <v>6.7376862369379856E-2</v>
      </c>
      <c r="X130" s="982">
        <f t="shared" ref="X130:X135" si="123">W130</f>
        <v>6.7376862369379856E-2</v>
      </c>
      <c r="Y130" s="982">
        <f t="shared" ref="Y130:Y135" si="124">X130</f>
        <v>6.7376862369379856E-2</v>
      </c>
    </row>
    <row r="131" spans="2:27" hidden="1" outlineLevel="1">
      <c r="B131" s="685" t="str">
        <f>B107</f>
        <v>Cablemas</v>
      </c>
      <c r="D131" s="869" t="e">
        <f t="shared" si="118"/>
        <v>#REF!</v>
      </c>
      <c r="E131" s="869" t="e">
        <f t="shared" si="118"/>
        <v>#REF!</v>
      </c>
      <c r="F131" s="869">
        <f t="shared" si="118"/>
        <v>3.8436213991769545E-2</v>
      </c>
      <c r="G131" s="869">
        <f t="shared" si="118"/>
        <v>4.4260370567805914E-2</v>
      </c>
      <c r="H131" s="869">
        <f t="shared" si="118"/>
        <v>5.1250363477755162E-2</v>
      </c>
      <c r="I131" s="869">
        <f t="shared" si="118"/>
        <v>6.0479296653431651E-2</v>
      </c>
      <c r="J131" s="1001">
        <v>7.4999999999999997E-2</v>
      </c>
      <c r="K131" s="1001">
        <f>J131+0.2%</f>
        <v>7.6999999999999999E-2</v>
      </c>
      <c r="L131" s="1001">
        <v>0.08</v>
      </c>
      <c r="M131" s="1001">
        <v>8.4000000000000005E-2</v>
      </c>
      <c r="N131" s="1001">
        <v>8.3000000000000004E-2</v>
      </c>
      <c r="O131" s="1001">
        <v>8.5000000000000006E-2</v>
      </c>
      <c r="P131" s="1030">
        <v>0.09</v>
      </c>
      <c r="Q131" s="1030">
        <f t="shared" si="119"/>
        <v>0.09</v>
      </c>
      <c r="R131" s="982">
        <f t="shared" si="119"/>
        <v>0.09</v>
      </c>
      <c r="S131" s="982">
        <f t="shared" si="119"/>
        <v>0.09</v>
      </c>
      <c r="T131" s="982">
        <f t="shared" si="119"/>
        <v>0.09</v>
      </c>
      <c r="U131" s="982">
        <f t="shared" si="120"/>
        <v>0.09</v>
      </c>
      <c r="V131" s="982">
        <f t="shared" si="121"/>
        <v>0.09</v>
      </c>
      <c r="W131" s="982">
        <f t="shared" si="122"/>
        <v>0.09</v>
      </c>
      <c r="X131" s="982">
        <f t="shared" si="123"/>
        <v>0.09</v>
      </c>
      <c r="Y131" s="982">
        <f t="shared" si="124"/>
        <v>0.09</v>
      </c>
    </row>
    <row r="132" spans="2:27" hidden="1" outlineLevel="1">
      <c r="B132" s="685" t="str">
        <f>B108</f>
        <v>TVI</v>
      </c>
      <c r="D132" s="869" t="e">
        <f t="shared" si="118"/>
        <v>#REF!</v>
      </c>
      <c r="E132" s="869" t="e">
        <f t="shared" si="118"/>
        <v>#REF!</v>
      </c>
      <c r="F132" s="869">
        <f t="shared" si="118"/>
        <v>1.5720164609053497E-2</v>
      </c>
      <c r="G132" s="869">
        <f t="shared" si="118"/>
        <v>1.7953942205635558E-2</v>
      </c>
      <c r="H132" s="869">
        <f t="shared" si="118"/>
        <v>2.1445187554521662E-2</v>
      </c>
      <c r="I132" s="869">
        <f t="shared" si="118"/>
        <v>2.7722631877481564E-2</v>
      </c>
      <c r="J132" s="1001">
        <v>3.5000000000000003E-2</v>
      </c>
      <c r="K132" s="1001">
        <f>J132+0.2%</f>
        <v>3.7000000000000005E-2</v>
      </c>
      <c r="L132" s="1001">
        <f>K132+0.2%</f>
        <v>3.9000000000000007E-2</v>
      </c>
      <c r="M132" s="1001">
        <f>L132+0.15%</f>
        <v>4.0500000000000008E-2</v>
      </c>
      <c r="N132" s="1001">
        <v>0.04</v>
      </c>
      <c r="O132" s="1001">
        <v>4.4999999999999998E-2</v>
      </c>
      <c r="P132" s="1030">
        <f t="shared" ref="O132:P134" si="125">O132</f>
        <v>4.4999999999999998E-2</v>
      </c>
      <c r="Q132" s="1030">
        <f t="shared" ref="Q132:T135" si="126">P132</f>
        <v>4.4999999999999998E-2</v>
      </c>
      <c r="R132" s="982">
        <f t="shared" si="126"/>
        <v>4.4999999999999998E-2</v>
      </c>
      <c r="S132" s="982">
        <f t="shared" si="126"/>
        <v>4.4999999999999998E-2</v>
      </c>
      <c r="T132" s="982">
        <f t="shared" si="126"/>
        <v>4.4999999999999998E-2</v>
      </c>
      <c r="U132" s="982">
        <f t="shared" si="120"/>
        <v>4.4999999999999998E-2</v>
      </c>
      <c r="V132" s="982">
        <f t="shared" si="121"/>
        <v>4.4999999999999998E-2</v>
      </c>
      <c r="W132" s="982">
        <f t="shared" si="122"/>
        <v>4.4999999999999998E-2</v>
      </c>
      <c r="X132" s="982">
        <f t="shared" si="123"/>
        <v>4.4999999999999998E-2</v>
      </c>
      <c r="Y132" s="982">
        <f t="shared" si="124"/>
        <v>4.4999999999999998E-2</v>
      </c>
    </row>
    <row r="133" spans="2:27" hidden="1" outlineLevel="1">
      <c r="B133" s="685" t="str">
        <f>B109</f>
        <v>Cablecom</v>
      </c>
      <c r="D133" s="869" t="e">
        <f t="shared" si="118"/>
        <v>#REF!</v>
      </c>
      <c r="E133" s="869" t="e">
        <f t="shared" si="118"/>
        <v>#REF!</v>
      </c>
      <c r="F133" s="869">
        <f t="shared" si="118"/>
        <v>0</v>
      </c>
      <c r="G133" s="869">
        <f t="shared" si="118"/>
        <v>0</v>
      </c>
      <c r="H133" s="869">
        <f t="shared" si="118"/>
        <v>1.7592323349810993E-2</v>
      </c>
      <c r="I133" s="869">
        <f t="shared" si="118"/>
        <v>1.7931083380601249E-2</v>
      </c>
      <c r="J133" s="1001">
        <f>I133+0.2%</f>
        <v>1.9931083380601247E-2</v>
      </c>
      <c r="K133" s="1001">
        <f>J133+0.2%</f>
        <v>2.1931083380601249E-2</v>
      </c>
      <c r="L133" s="1001">
        <f>K133+0.2%</f>
        <v>2.3931083380601251E-2</v>
      </c>
      <c r="M133" s="1001">
        <f>L133+0.15%</f>
        <v>2.5431083380601252E-2</v>
      </c>
      <c r="N133" s="1001">
        <f>M133</f>
        <v>2.5431083380601252E-2</v>
      </c>
      <c r="O133" s="1001">
        <v>3.1199999999999999E-2</v>
      </c>
      <c r="P133" s="1030">
        <f t="shared" si="125"/>
        <v>3.1199999999999999E-2</v>
      </c>
      <c r="Q133" s="1030">
        <f t="shared" si="126"/>
        <v>3.1199999999999999E-2</v>
      </c>
      <c r="R133" s="982">
        <f t="shared" si="126"/>
        <v>3.1199999999999999E-2</v>
      </c>
      <c r="S133" s="982">
        <f t="shared" si="126"/>
        <v>3.1199999999999999E-2</v>
      </c>
      <c r="T133" s="982">
        <f t="shared" si="126"/>
        <v>3.1199999999999999E-2</v>
      </c>
      <c r="U133" s="982">
        <f t="shared" si="120"/>
        <v>3.1199999999999999E-2</v>
      </c>
      <c r="V133" s="982">
        <f t="shared" si="121"/>
        <v>3.1199999999999999E-2</v>
      </c>
      <c r="W133" s="982">
        <f t="shared" si="122"/>
        <v>3.1199999999999999E-2</v>
      </c>
      <c r="X133" s="982">
        <f t="shared" si="123"/>
        <v>3.1199999999999999E-2</v>
      </c>
      <c r="Y133" s="982">
        <f t="shared" si="124"/>
        <v>3.1199999999999999E-2</v>
      </c>
    </row>
    <row r="134" spans="2:27" hidden="1" outlineLevel="1">
      <c r="B134" s="685" t="s">
        <v>2064</v>
      </c>
      <c r="D134" s="869"/>
      <c r="E134" s="869"/>
      <c r="F134" s="869"/>
      <c r="G134" s="869"/>
      <c r="H134" s="869"/>
      <c r="I134" s="869">
        <f t="shared" ref="I134:M138" si="127">I110/I$114</f>
        <v>1.0138967668746455E-2</v>
      </c>
      <c r="J134" s="869">
        <f t="shared" si="127"/>
        <v>1.8737580406496406E-2</v>
      </c>
      <c r="K134" s="869">
        <f t="shared" si="127"/>
        <v>1.4407600612009731E-2</v>
      </c>
      <c r="L134" s="869">
        <f t="shared" si="127"/>
        <v>1.3918002531694127E-2</v>
      </c>
      <c r="M134" s="869">
        <f t="shared" si="127"/>
        <v>1.902316498541181E-2</v>
      </c>
      <c r="N134" s="1001">
        <f>M134</f>
        <v>1.902316498541181E-2</v>
      </c>
      <c r="O134" s="1001">
        <f t="shared" si="125"/>
        <v>1.902316498541181E-2</v>
      </c>
      <c r="P134" s="1030">
        <f t="shared" si="125"/>
        <v>1.902316498541181E-2</v>
      </c>
      <c r="Q134" s="1030">
        <f t="shared" si="126"/>
        <v>1.902316498541181E-2</v>
      </c>
      <c r="R134" s="982">
        <f t="shared" si="126"/>
        <v>1.902316498541181E-2</v>
      </c>
      <c r="S134" s="982">
        <f t="shared" si="126"/>
        <v>1.902316498541181E-2</v>
      </c>
      <c r="T134" s="982">
        <f t="shared" si="126"/>
        <v>1.902316498541181E-2</v>
      </c>
      <c r="U134" s="982">
        <f t="shared" si="120"/>
        <v>1.902316498541181E-2</v>
      </c>
      <c r="V134" s="982">
        <f t="shared" si="121"/>
        <v>1.902316498541181E-2</v>
      </c>
      <c r="W134" s="982">
        <f t="shared" si="122"/>
        <v>1.902316498541181E-2</v>
      </c>
      <c r="X134" s="982">
        <f t="shared" si="123"/>
        <v>1.902316498541181E-2</v>
      </c>
      <c r="Y134" s="982">
        <f t="shared" si="124"/>
        <v>1.902316498541181E-2</v>
      </c>
    </row>
    <row r="135" spans="2:27" collapsed="1">
      <c r="B135" s="685" t="str">
        <f>B111</f>
        <v>Other cable</v>
      </c>
      <c r="D135" s="869" t="e">
        <f>D111/D$114</f>
        <v>#REF!</v>
      </c>
      <c r="E135" s="869" t="e">
        <f>E111/E$114</f>
        <v>#REF!</v>
      </c>
      <c r="F135" s="869">
        <f>F111/F$114</f>
        <v>5.0781893004115224E-2</v>
      </c>
      <c r="G135" s="869">
        <f>G111/G$114</f>
        <v>4.8085340863789142E-2</v>
      </c>
      <c r="H135" s="869">
        <f>H111/H$114</f>
        <v>3.5111951148589705E-2</v>
      </c>
      <c r="I135" s="869">
        <f t="shared" si="127"/>
        <v>1.9852524106636415E-2</v>
      </c>
      <c r="J135" s="869">
        <f t="shared" si="127"/>
        <v>1.4072732339417584E-2</v>
      </c>
      <c r="K135" s="869">
        <f t="shared" si="127"/>
        <v>1.656156443085547E-2</v>
      </c>
      <c r="L135" s="869">
        <f t="shared" si="127"/>
        <v>5.9744294419882904E-3</v>
      </c>
      <c r="M135" s="869">
        <f t="shared" si="127"/>
        <v>1.906318082788671E-3</v>
      </c>
      <c r="N135" s="869">
        <f t="shared" ref="N135:O138" si="128">N111/N$114</f>
        <v>1.8031366827755994E-3</v>
      </c>
      <c r="O135" s="869">
        <f t="shared" si="128"/>
        <v>1.5956961794474332E-3</v>
      </c>
      <c r="P135" s="982">
        <f>O135</f>
        <v>1.5956961794474332E-3</v>
      </c>
      <c r="Q135" s="982">
        <f t="shared" si="126"/>
        <v>1.5956961794474332E-3</v>
      </c>
      <c r="R135" s="982">
        <f t="shared" si="126"/>
        <v>1.5956961794474332E-3</v>
      </c>
      <c r="S135" s="982">
        <f t="shared" si="126"/>
        <v>1.5956961794474332E-3</v>
      </c>
      <c r="T135" s="982">
        <f t="shared" si="126"/>
        <v>1.5956961794474332E-3</v>
      </c>
      <c r="U135" s="982">
        <f t="shared" si="120"/>
        <v>1.5956961794474332E-3</v>
      </c>
      <c r="V135" s="982">
        <f t="shared" si="121"/>
        <v>1.5956961794474332E-3</v>
      </c>
      <c r="W135" s="982">
        <f t="shared" si="122"/>
        <v>1.5956961794474332E-3</v>
      </c>
      <c r="X135" s="982">
        <f t="shared" si="123"/>
        <v>1.5956961794474332E-3</v>
      </c>
      <c r="Y135" s="982">
        <f t="shared" si="124"/>
        <v>1.5956961794474332E-3</v>
      </c>
    </row>
    <row r="136" spans="2:27">
      <c r="B136" s="685" t="s">
        <v>866</v>
      </c>
      <c r="D136" s="869"/>
      <c r="E136" s="869"/>
      <c r="F136" s="869">
        <f t="shared" ref="F136:H138" si="129">F112/F$114</f>
        <v>0</v>
      </c>
      <c r="G136" s="869">
        <f t="shared" si="129"/>
        <v>0</v>
      </c>
      <c r="H136" s="869">
        <f t="shared" si="129"/>
        <v>0</v>
      </c>
      <c r="I136" s="869">
        <f t="shared" si="127"/>
        <v>1.0635280771412365E-2</v>
      </c>
      <c r="J136" s="869">
        <f t="shared" si="127"/>
        <v>2.0133760624216245E-2</v>
      </c>
      <c r="K136" s="869">
        <f t="shared" si="127"/>
        <v>3.7327218294158866E-2</v>
      </c>
      <c r="L136" s="869">
        <f t="shared" si="127"/>
        <v>4.9886485840602221E-2</v>
      </c>
      <c r="M136" s="869">
        <f t="shared" si="127"/>
        <v>6.4705882352941183E-2</v>
      </c>
      <c r="N136" s="869">
        <f t="shared" si="128"/>
        <v>7.6309368877983799E-2</v>
      </c>
      <c r="O136" s="869">
        <f t="shared" si="128"/>
        <v>0.11142518464484362</v>
      </c>
      <c r="P136" s="869">
        <f>P112/P$114</f>
        <v>0.14070638020833334</v>
      </c>
      <c r="Q136" s="869">
        <f>Q112/Q$114</f>
        <v>0.17359876386368131</v>
      </c>
      <c r="R136" s="982">
        <f>Q136+1%</f>
        <v>0.18359876386368132</v>
      </c>
      <c r="S136" s="982">
        <f t="shared" ref="S136:Y136" si="130">R136+0.5%</f>
        <v>0.18859876386368132</v>
      </c>
      <c r="T136" s="982">
        <f t="shared" si="130"/>
        <v>0.19359876386368133</v>
      </c>
      <c r="U136" s="982">
        <f t="shared" si="130"/>
        <v>0.19859876386368133</v>
      </c>
      <c r="V136" s="982">
        <f t="shared" si="130"/>
        <v>0.20359876386368134</v>
      </c>
      <c r="W136" s="982">
        <f t="shared" si="130"/>
        <v>0.20859876386368134</v>
      </c>
      <c r="X136" s="982">
        <f t="shared" si="130"/>
        <v>0.21359876386368135</v>
      </c>
      <c r="Y136" s="982">
        <f t="shared" si="130"/>
        <v>0.21859876386368135</v>
      </c>
    </row>
    <row r="137" spans="2:27">
      <c r="B137" s="743" t="str">
        <f>B113</f>
        <v>Other non-cable BB</v>
      </c>
      <c r="C137" s="743"/>
      <c r="D137" s="1026" t="e">
        <f>D113/D$114</f>
        <v>#REF!</v>
      </c>
      <c r="E137" s="1026" t="e">
        <f>E113/E$114</f>
        <v>#REF!</v>
      </c>
      <c r="F137" s="1026">
        <f t="shared" si="129"/>
        <v>0.14213991769547324</v>
      </c>
      <c r="G137" s="1026">
        <f t="shared" si="129"/>
        <v>0.11474910887949683</v>
      </c>
      <c r="H137" s="1026">
        <f t="shared" si="129"/>
        <v>9.8066298342541436E-2</v>
      </c>
      <c r="I137" s="1026">
        <f t="shared" si="127"/>
        <v>3.9144923425978438E-2</v>
      </c>
      <c r="J137" s="1026">
        <f t="shared" si="127"/>
        <v>1.1495053643583702E-2</v>
      </c>
      <c r="K137" s="1026">
        <f t="shared" si="127"/>
        <v>3.7582011593095101E-3</v>
      </c>
      <c r="L137" s="1026">
        <f t="shared" si="127"/>
        <v>2.3099533994503652E-3</v>
      </c>
      <c r="M137" s="1026">
        <f t="shared" si="127"/>
        <v>1.9598583877995738E-3</v>
      </c>
      <c r="N137" s="1026">
        <f t="shared" si="128"/>
        <v>1.8017217244018641E-2</v>
      </c>
      <c r="O137" s="1026">
        <f t="shared" si="128"/>
        <v>2.0294565514725978E-2</v>
      </c>
      <c r="P137" s="1026">
        <f>P113/P$114</f>
        <v>6.0782997203465285E-2</v>
      </c>
      <c r="Q137" s="1026">
        <f t="shared" ref="Q137:Y137" si="131">Q138-Q126-Q127-Q128-Q129-Q135-Q136</f>
        <v>8.2165124616650487E-3</v>
      </c>
      <c r="R137" s="1026">
        <f t="shared" si="131"/>
        <v>1.0775578893047866E-2</v>
      </c>
      <c r="S137" s="1026">
        <f t="shared" si="131"/>
        <v>1.9982167845679161E-2</v>
      </c>
      <c r="T137" s="1026">
        <f t="shared" si="131"/>
        <v>3.2461273955700448E-2</v>
      </c>
      <c r="U137" s="1026">
        <f t="shared" si="131"/>
        <v>5.0863167224909661E-2</v>
      </c>
      <c r="V137" s="1026">
        <f t="shared" si="131"/>
        <v>7.2867265859802161E-2</v>
      </c>
      <c r="W137" s="1026">
        <f t="shared" si="131"/>
        <v>9.538459479230374E-2</v>
      </c>
      <c r="X137" s="1026">
        <f t="shared" si="131"/>
        <v>0.11292040229724673</v>
      </c>
      <c r="Y137" s="1026">
        <f t="shared" si="131"/>
        <v>0.12941188686055924</v>
      </c>
    </row>
    <row r="138" spans="2:27">
      <c r="B138" s="685" t="str">
        <f>B114</f>
        <v>Cofetel broadband numbers</v>
      </c>
      <c r="D138" s="807" t="e">
        <f>D114/D$114</f>
        <v>#REF!</v>
      </c>
      <c r="E138" s="807" t="e">
        <f>E114/E$114</f>
        <v>#REF!</v>
      </c>
      <c r="F138" s="807">
        <f t="shared" si="129"/>
        <v>1</v>
      </c>
      <c r="G138" s="807">
        <f t="shared" si="129"/>
        <v>1</v>
      </c>
      <c r="H138" s="807">
        <f t="shared" si="129"/>
        <v>1</v>
      </c>
      <c r="I138" s="807">
        <f t="shared" si="127"/>
        <v>1</v>
      </c>
      <c r="J138" s="807">
        <f t="shared" si="127"/>
        <v>1</v>
      </c>
      <c r="K138" s="807">
        <f t="shared" si="127"/>
        <v>1</v>
      </c>
      <c r="L138" s="807">
        <f t="shared" si="127"/>
        <v>1</v>
      </c>
      <c r="M138" s="807">
        <f t="shared" si="127"/>
        <v>1</v>
      </c>
      <c r="N138" s="807">
        <f t="shared" si="128"/>
        <v>1</v>
      </c>
      <c r="O138" s="807">
        <f t="shared" si="128"/>
        <v>1</v>
      </c>
      <c r="P138" s="986">
        <v>1</v>
      </c>
      <c r="Q138" s="986">
        <v>1</v>
      </c>
      <c r="R138" s="986">
        <v>1</v>
      </c>
      <c r="S138" s="986">
        <v>1</v>
      </c>
      <c r="T138" s="986">
        <v>1</v>
      </c>
      <c r="U138" s="986">
        <v>1</v>
      </c>
      <c r="V138" s="986">
        <v>1</v>
      </c>
      <c r="W138" s="986">
        <v>1</v>
      </c>
      <c r="X138" s="986">
        <v>1</v>
      </c>
      <c r="Y138" s="986">
        <v>1</v>
      </c>
    </row>
    <row r="139" spans="2:27">
      <c r="K139" s="807"/>
      <c r="M139" s="807"/>
    </row>
    <row r="140" spans="2:27">
      <c r="B140" s="874" t="s">
        <v>3144</v>
      </c>
      <c r="I140" s="1005">
        <f>SUM(I106:I110)</f>
        <v>2418.9</v>
      </c>
      <c r="J140" s="1005">
        <f t="shared" ref="J140:O140" si="132">SUM(J106:J110)</f>
        <v>3066.9999999999995</v>
      </c>
      <c r="K140" s="1005">
        <f t="shared" si="132"/>
        <v>3412</v>
      </c>
      <c r="L140" s="1005">
        <f t="shared" si="132"/>
        <v>3797</v>
      </c>
      <c r="M140" s="1005">
        <f>SUM(M106:M110)</f>
        <v>4479</v>
      </c>
      <c r="N140" s="1005">
        <f t="shared" si="132"/>
        <v>4696.0540000000001</v>
      </c>
      <c r="O140" s="1005">
        <f t="shared" si="132"/>
        <v>5430.8590000000004</v>
      </c>
      <c r="P140" s="1005">
        <f t="shared" ref="P140:Y140" si="133">P105</f>
        <v>5649.1019999999999</v>
      </c>
      <c r="Q140" s="1005">
        <f t="shared" si="133"/>
        <v>5984.1509999999998</v>
      </c>
      <c r="R140" s="1005">
        <f t="shared" si="133"/>
        <v>5678.4309999999996</v>
      </c>
      <c r="S140" s="1005">
        <f t="shared" si="133"/>
        <v>5780.6295674905687</v>
      </c>
      <c r="T140" s="1005">
        <f t="shared" si="133"/>
        <v>5897.8162438395439</v>
      </c>
      <c r="U140" s="1005">
        <f t="shared" si="133"/>
        <v>6010.2849563276595</v>
      </c>
      <c r="V140" s="1005">
        <f t="shared" si="133"/>
        <v>6117.6783611249857</v>
      </c>
      <c r="W140" s="1005">
        <f t="shared" si="133"/>
        <v>6184.6244241592622</v>
      </c>
      <c r="X140" s="1005">
        <f t="shared" si="133"/>
        <v>6413.1133568971372</v>
      </c>
      <c r="Y140" s="1005">
        <f t="shared" si="133"/>
        <v>6611.7086715682681</v>
      </c>
      <c r="AA140" s="1005"/>
    </row>
    <row r="141" spans="2:27">
      <c r="B141" s="874" t="s">
        <v>2849</v>
      </c>
      <c r="C141" s="874"/>
      <c r="J141" s="1005">
        <f t="shared" ref="J141:O141" si="134">SUM(J106:J110)-SUM(I106:I110)</f>
        <v>648.09999999999945</v>
      </c>
      <c r="K141" s="1005">
        <f t="shared" si="134"/>
        <v>345.00000000000045</v>
      </c>
      <c r="L141" s="1005">
        <f t="shared" si="134"/>
        <v>385</v>
      </c>
      <c r="M141" s="1005">
        <f t="shared" si="134"/>
        <v>682</v>
      </c>
      <c r="N141" s="1005">
        <f t="shared" si="134"/>
        <v>217.05400000000009</v>
      </c>
      <c r="O141" s="1005">
        <f t="shared" si="134"/>
        <v>734.80500000000029</v>
      </c>
      <c r="P141" s="1005">
        <f>P140-O140</f>
        <v>218.24299999999948</v>
      </c>
      <c r="Q141" s="1005">
        <f t="shared" ref="Q141:Y141" si="135">Q140-P140</f>
        <v>335.04899999999998</v>
      </c>
      <c r="R141" s="1005">
        <f t="shared" si="135"/>
        <v>-305.72000000000025</v>
      </c>
      <c r="S141" s="1005">
        <f t="shared" si="135"/>
        <v>102.19856749056908</v>
      </c>
      <c r="T141" s="1005">
        <f t="shared" si="135"/>
        <v>117.1866763489752</v>
      </c>
      <c r="U141" s="1005">
        <f t="shared" si="135"/>
        <v>112.46871248811567</v>
      </c>
      <c r="V141" s="1005">
        <f t="shared" si="135"/>
        <v>107.39340479732618</v>
      </c>
      <c r="W141" s="1005">
        <f t="shared" si="135"/>
        <v>66.946063034276449</v>
      </c>
      <c r="X141" s="1005">
        <f t="shared" si="135"/>
        <v>228.48893273787507</v>
      </c>
      <c r="Y141" s="1005">
        <f t="shared" si="135"/>
        <v>198.59531467113084</v>
      </c>
    </row>
    <row r="142" spans="2:27">
      <c r="B142" s="874" t="s">
        <v>3143</v>
      </c>
      <c r="C142" s="874"/>
      <c r="J142" s="996"/>
      <c r="K142" s="996">
        <f t="shared" ref="K142:Y142" si="136">K141/K115</f>
        <v>0.25650557620817876</v>
      </c>
      <c r="L142" s="996">
        <f t="shared" si="136"/>
        <v>0.37054860442733395</v>
      </c>
      <c r="M142" s="996">
        <f t="shared" si="136"/>
        <v>0.42046855733662147</v>
      </c>
      <c r="N142" s="996">
        <f t="shared" si="136"/>
        <v>0.20659620956873276</v>
      </c>
      <c r="O142" s="996">
        <f t="shared" si="136"/>
        <v>0.29119864839273102</v>
      </c>
      <c r="P142" s="996">
        <f t="shared" si="136"/>
        <v>8.2605223315669746E-2</v>
      </c>
      <c r="Q142" s="996">
        <f t="shared" si="136"/>
        <v>1.8985054430973596</v>
      </c>
      <c r="R142" s="996">
        <f t="shared" si="136"/>
        <v>-0.23263550302003552</v>
      </c>
      <c r="S142" s="996">
        <f t="shared" si="136"/>
        <v>8.6052850760642841E-2</v>
      </c>
      <c r="T142" s="996">
        <f t="shared" si="136"/>
        <v>9.5752987204029028E-2</v>
      </c>
      <c r="U142" s="996">
        <f t="shared" si="136"/>
        <v>8.9186193579632075E-2</v>
      </c>
      <c r="V142" s="996">
        <f t="shared" si="136"/>
        <v>8.2655723927494942E-2</v>
      </c>
      <c r="W142" s="996">
        <f t="shared" si="136"/>
        <v>5.7893385115934407E-2</v>
      </c>
      <c r="X142" s="996">
        <f t="shared" si="136"/>
        <v>0.19209999999999938</v>
      </c>
      <c r="Y142" s="996">
        <f t="shared" si="136"/>
        <v>0.19210000000000071</v>
      </c>
    </row>
    <row r="143" spans="2:27">
      <c r="B143" s="874" t="s">
        <v>678</v>
      </c>
      <c r="C143" s="874"/>
      <c r="D143" s="1027" t="e">
        <f t="shared" ref="D143:O143" si="137">SUM(D130:D134)</f>
        <v>#REF!</v>
      </c>
      <c r="E143" s="1027" t="e">
        <f t="shared" si="137"/>
        <v>#REF!</v>
      </c>
      <c r="F143" s="1027">
        <f t="shared" si="137"/>
        <v>8.7736625514403296E-2</v>
      </c>
      <c r="G143" s="1027">
        <f t="shared" si="137"/>
        <v>0.10194716748069582</v>
      </c>
      <c r="H143" s="1027">
        <f t="shared" si="137"/>
        <v>0.13870311136958419</v>
      </c>
      <c r="I143" s="1027">
        <f t="shared" si="137"/>
        <v>0.17150453771979579</v>
      </c>
      <c r="J143" s="1027">
        <f t="shared" si="137"/>
        <v>0.21366866378709767</v>
      </c>
      <c r="K143" s="1027">
        <f t="shared" si="137"/>
        <v>0.21733868399261103</v>
      </c>
      <c r="L143" s="1027">
        <f t="shared" si="137"/>
        <v>0.22684908591229541</v>
      </c>
      <c r="M143" s="1027">
        <f t="shared" si="137"/>
        <v>0.24395424836601307</v>
      </c>
      <c r="N143" s="1027">
        <f t="shared" si="137"/>
        <v>0.24193220661985956</v>
      </c>
      <c r="O143" s="1027">
        <f t="shared" si="137"/>
        <v>0.24760002735479167</v>
      </c>
      <c r="P143" s="1027">
        <f t="shared" ref="P143:Y143" si="138">P129</f>
        <v>0.22986254882812499</v>
      </c>
      <c r="Q143" s="1027">
        <f t="shared" si="138"/>
        <v>0.24175965007531122</v>
      </c>
      <c r="R143" s="1027">
        <f t="shared" si="138"/>
        <v>0.2178428507922264</v>
      </c>
      <c r="S143" s="1027">
        <f t="shared" si="138"/>
        <v>0.21210000000000001</v>
      </c>
      <c r="T143" s="1027">
        <f t="shared" si="138"/>
        <v>0.20710000000000001</v>
      </c>
      <c r="U143" s="1027">
        <f t="shared" si="138"/>
        <v>0.2021</v>
      </c>
      <c r="V143" s="1027">
        <f t="shared" si="138"/>
        <v>0.1971</v>
      </c>
      <c r="W143" s="1027">
        <f t="shared" si="138"/>
        <v>0.19209999999999999</v>
      </c>
      <c r="X143" s="1027">
        <f t="shared" si="138"/>
        <v>0.19209999999999999</v>
      </c>
      <c r="Y143" s="1027">
        <f t="shared" si="138"/>
        <v>0.19209999999999999</v>
      </c>
    </row>
    <row r="144" spans="2:27">
      <c r="C144" s="874"/>
      <c r="D144" s="869"/>
      <c r="E144" s="869"/>
      <c r="F144" s="869"/>
      <c r="G144" s="869"/>
      <c r="H144" s="869"/>
      <c r="I144" s="869"/>
      <c r="J144" s="869"/>
      <c r="K144" s="869"/>
      <c r="L144" s="869"/>
      <c r="M144" s="869"/>
      <c r="N144" s="869"/>
      <c r="O144" s="869"/>
      <c r="P144" s="869"/>
      <c r="Q144" s="869"/>
      <c r="R144" s="869"/>
      <c r="S144" s="869"/>
      <c r="T144" s="869"/>
      <c r="U144" s="869"/>
      <c r="V144" s="869"/>
      <c r="W144" s="869"/>
      <c r="X144" s="869"/>
      <c r="Y144" s="869"/>
    </row>
    <row r="145" spans="2:25">
      <c r="B145" s="685" t="s">
        <v>1896</v>
      </c>
      <c r="C145" s="874"/>
      <c r="D145" s="869"/>
      <c r="E145" s="869"/>
      <c r="F145" s="869"/>
      <c r="G145" s="869"/>
      <c r="H145" s="869"/>
      <c r="I145" s="869"/>
      <c r="J145" s="869"/>
      <c r="K145" s="869"/>
      <c r="L145" s="869"/>
      <c r="M145" s="869"/>
      <c r="N145" s="869"/>
      <c r="O145" s="869"/>
      <c r="P145" s="869"/>
      <c r="Q145" s="869"/>
      <c r="R145" s="869"/>
      <c r="S145" s="869"/>
      <c r="T145" s="869"/>
      <c r="U145" s="869"/>
      <c r="V145" s="869"/>
      <c r="W145" s="869"/>
      <c r="X145" s="869"/>
      <c r="Y145" s="869"/>
    </row>
    <row r="146" spans="2:25">
      <c r="B146" s="685" t="s">
        <v>612</v>
      </c>
      <c r="C146" s="874"/>
      <c r="D146" s="849">
        <f>D63+D64+D65+D66</f>
        <v>356</v>
      </c>
      <c r="E146" s="849">
        <f>E63+E64+E65+E66</f>
        <v>501</v>
      </c>
      <c r="F146" s="849">
        <f>F63+F64+F65+F66</f>
        <v>649</v>
      </c>
      <c r="G146" s="849">
        <f>G63+G64+G65+G66</f>
        <v>754</v>
      </c>
      <c r="H146" s="849">
        <f>H63+H64+H65+H66</f>
        <v>1058</v>
      </c>
      <c r="I146" s="849">
        <f>I63+I64+I65+I66+I67</f>
        <v>1325.5</v>
      </c>
      <c r="J146" s="849">
        <f>J63+J64+J65+J66+J67</f>
        <v>1891</v>
      </c>
      <c r="K146" s="849">
        <f>K63+K64+K65+K66</f>
        <v>1814.5000000000002</v>
      </c>
      <c r="L146" s="849">
        <f>L63+L64+L65+L66</f>
        <v>1871.0330000000001</v>
      </c>
      <c r="M146" s="849">
        <f>M63+M64+M65+M66</f>
        <v>2491.1144999999997</v>
      </c>
      <c r="N146" s="849">
        <f>N63+N64+N65+N66</f>
        <v>2646.4130526315789</v>
      </c>
      <c r="O146" s="849">
        <f>O63+O64+O65+O66</f>
        <v>3210.7179999999998</v>
      </c>
      <c r="P146" s="849">
        <f t="shared" ref="P146:Y146" si="139">P62</f>
        <v>4617.2650000000003</v>
      </c>
      <c r="Q146" s="849">
        <f t="shared" si="139"/>
        <v>5233.7240000000002</v>
      </c>
      <c r="R146" s="849">
        <f t="shared" si="139"/>
        <v>5351.1450000000004</v>
      </c>
      <c r="S146" s="849">
        <f t="shared" si="139"/>
        <v>5375.6501714999995</v>
      </c>
      <c r="T146" s="849">
        <f t="shared" si="139"/>
        <v>5556.8220031799992</v>
      </c>
      <c r="U146" s="849">
        <f t="shared" si="139"/>
        <v>5686.7856397442993</v>
      </c>
      <c r="V146" s="849">
        <f t="shared" si="139"/>
        <v>5818.792866839568</v>
      </c>
      <c r="W146" s="849">
        <f t="shared" si="139"/>
        <v>5952.8715599127663</v>
      </c>
      <c r="X146" s="849">
        <f t="shared" si="139"/>
        <v>6089.0499475607457</v>
      </c>
      <c r="Y146" s="849">
        <f t="shared" si="139"/>
        <v>6227.3566158056929</v>
      </c>
    </row>
    <row r="147" spans="2:25">
      <c r="B147" s="685" t="s">
        <v>611</v>
      </c>
      <c r="C147" s="874"/>
      <c r="D147" s="849">
        <f>D106+D107+D108+D109</f>
        <v>652</v>
      </c>
      <c r="E147" s="849">
        <f>E106+E107+E108+E109</f>
        <v>806</v>
      </c>
      <c r="F147" s="849">
        <f>F106+F107+F108+F109</f>
        <v>1066</v>
      </c>
      <c r="G147" s="849">
        <f>G106+G107+G108+G109</f>
        <v>1306</v>
      </c>
      <c r="H147" s="849">
        <f>H106+H107+H108+H109</f>
        <v>1908</v>
      </c>
      <c r="I147" s="849">
        <f>I106+I107+I108+I109+I110</f>
        <v>2418.9</v>
      </c>
      <c r="J147" s="849">
        <f>J106+J107+J108+J109+J110</f>
        <v>3066.9999999999995</v>
      </c>
      <c r="K147" s="849">
        <f>K106+K107+K108+K109</f>
        <v>3185.8150779920593</v>
      </c>
      <c r="L147" s="849">
        <f>L106+L107+L108+L109</f>
        <v>3564.0404736245036</v>
      </c>
      <c r="M147" s="849">
        <f>M106+M107+M108+M109</f>
        <v>4129.7346908678392</v>
      </c>
      <c r="N147" s="849">
        <f>N106+N107+N108+N109</f>
        <v>4326.8025833716611</v>
      </c>
      <c r="O147" s="849">
        <f>O106+O107+O108+O109</f>
        <v>5013.6048992099777</v>
      </c>
      <c r="P147" s="849">
        <f t="shared" ref="P147:Y147" si="140">P105</f>
        <v>5649.1019999999999</v>
      </c>
      <c r="Q147" s="849">
        <f t="shared" si="140"/>
        <v>5984.1509999999998</v>
      </c>
      <c r="R147" s="849">
        <f t="shared" si="140"/>
        <v>5678.4309999999996</v>
      </c>
      <c r="S147" s="849">
        <f t="shared" si="140"/>
        <v>5780.6295674905687</v>
      </c>
      <c r="T147" s="849">
        <f t="shared" si="140"/>
        <v>5897.8162438395439</v>
      </c>
      <c r="U147" s="849">
        <f t="shared" si="140"/>
        <v>6010.2849563276595</v>
      </c>
      <c r="V147" s="849">
        <f t="shared" si="140"/>
        <v>6117.6783611249857</v>
      </c>
      <c r="W147" s="849">
        <f t="shared" si="140"/>
        <v>6184.6244241592622</v>
      </c>
      <c r="X147" s="849">
        <f t="shared" si="140"/>
        <v>6413.1133568971372</v>
      </c>
      <c r="Y147" s="849">
        <f t="shared" si="140"/>
        <v>6611.7086715682681</v>
      </c>
    </row>
    <row r="148" spans="2:25">
      <c r="B148" s="743" t="s">
        <v>74</v>
      </c>
      <c r="C148" s="857"/>
      <c r="D148" s="995">
        <f>'SKY Mex'!F10</f>
        <v>2344.4509202453987</v>
      </c>
      <c r="E148" s="995">
        <f>'SKY Mex'!G10</f>
        <v>2684.7096114519427</v>
      </c>
      <c r="F148" s="995">
        <f>'SKY Mex'!H10</f>
        <v>3060.0879345603271</v>
      </c>
      <c r="G148" s="995">
        <f>'SKY Mex'!I10</f>
        <v>3198.9539877300613</v>
      </c>
      <c r="H148" s="995">
        <f>'SKY Mex'!J10</f>
        <v>3546.3323108384461</v>
      </c>
      <c r="I148" s="995">
        <f>'SKY Mex'!K10</f>
        <v>3766.6</v>
      </c>
      <c r="J148" s="995">
        <f>'SKY Mex'!L10</f>
        <v>4062</v>
      </c>
      <c r="K148" s="995">
        <f>'SKY Mex'!M10</f>
        <v>4206</v>
      </c>
      <c r="L148" s="995">
        <f>'SKY Mex'!N10</f>
        <v>4185</v>
      </c>
      <c r="M148" s="995">
        <f>'SKY Mex'!O10</f>
        <v>4384</v>
      </c>
      <c r="N148" s="995">
        <f>'SKY Mex'!P10</f>
        <v>4318.8630000000003</v>
      </c>
      <c r="O148" s="995">
        <f>'SKY Mex'!Q10</f>
        <v>4284.7</v>
      </c>
      <c r="P148" s="995">
        <f>'SKY Mex'!R10</f>
        <v>4166.46</v>
      </c>
      <c r="Q148" s="995">
        <f>'SKY Mex'!S10</f>
        <v>4458.22</v>
      </c>
      <c r="R148" s="995">
        <f>'SKY Mex'!T10</f>
        <v>4059.4940000000001</v>
      </c>
      <c r="S148" s="995">
        <f>'SKY Mex'!U10</f>
        <v>4105</v>
      </c>
      <c r="T148" s="995">
        <f>'SKY Mex'!V10</f>
        <v>4063.95</v>
      </c>
      <c r="U148" s="995">
        <f>'SKY Mex'!W10</f>
        <v>3860.7524999999996</v>
      </c>
      <c r="V148" s="995">
        <f>'SKY Mex'!X10</f>
        <v>3667.7148749999997</v>
      </c>
      <c r="W148" s="995">
        <f>'SKY Mex'!Y10</f>
        <v>3484.3291312499996</v>
      </c>
      <c r="X148" s="995">
        <f>'SKY Mex'!Z10</f>
        <v>3310.1126746874993</v>
      </c>
      <c r="Y148" s="995">
        <f>'SKY Mex'!AA10</f>
        <v>3144.6070409531244</v>
      </c>
    </row>
    <row r="149" spans="2:25">
      <c r="B149" s="685" t="s">
        <v>1898</v>
      </c>
      <c r="C149" s="874"/>
      <c r="D149" s="849">
        <f t="shared" ref="D149:T149" si="141">SUM(D146:D148)</f>
        <v>3352.4509202453987</v>
      </c>
      <c r="E149" s="849">
        <f t="shared" si="141"/>
        <v>3991.7096114519427</v>
      </c>
      <c r="F149" s="849">
        <f t="shared" si="141"/>
        <v>4775.0879345603271</v>
      </c>
      <c r="G149" s="849">
        <f t="shared" si="141"/>
        <v>5258.9539877300613</v>
      </c>
      <c r="H149" s="849">
        <f t="shared" si="141"/>
        <v>6512.3323108384466</v>
      </c>
      <c r="I149" s="849">
        <f t="shared" si="141"/>
        <v>7511</v>
      </c>
      <c r="J149" s="849">
        <f t="shared" si="141"/>
        <v>9020</v>
      </c>
      <c r="K149" s="849">
        <f t="shared" si="141"/>
        <v>9206.3150779920597</v>
      </c>
      <c r="L149" s="849">
        <f t="shared" si="141"/>
        <v>9620.0734736245031</v>
      </c>
      <c r="M149" s="849">
        <f t="shared" si="141"/>
        <v>11004.849190867839</v>
      </c>
      <c r="N149" s="849">
        <f t="shared" si="141"/>
        <v>11292.07863600324</v>
      </c>
      <c r="O149" s="849">
        <f t="shared" si="141"/>
        <v>12509.022899209976</v>
      </c>
      <c r="P149" s="849">
        <f t="shared" si="141"/>
        <v>14432.827000000001</v>
      </c>
      <c r="Q149" s="849">
        <f t="shared" si="141"/>
        <v>15676.095000000001</v>
      </c>
      <c r="R149" s="849">
        <f t="shared" si="141"/>
        <v>15089.070000000002</v>
      </c>
      <c r="S149" s="849">
        <f t="shared" si="141"/>
        <v>15261.279738990568</v>
      </c>
      <c r="T149" s="849">
        <f t="shared" si="141"/>
        <v>15518.588247019543</v>
      </c>
      <c r="U149" s="849">
        <f>SUM(U146:U148)</f>
        <v>15557.823096071959</v>
      </c>
      <c r="V149" s="849">
        <f>SUM(V146:V148)</f>
        <v>15604.186102964553</v>
      </c>
      <c r="W149" s="849">
        <f>SUM(W146:W148)</f>
        <v>15621.82511532203</v>
      </c>
      <c r="X149" s="849">
        <f>SUM(X146:X148)</f>
        <v>15812.275979145383</v>
      </c>
      <c r="Y149" s="849">
        <f>SUM(Y146:Y148)</f>
        <v>15983.672328327084</v>
      </c>
    </row>
    <row r="150" spans="2:25">
      <c r="C150" s="874"/>
      <c r="D150" s="849"/>
      <c r="E150" s="849"/>
      <c r="F150" s="849"/>
      <c r="G150" s="849"/>
      <c r="H150" s="849"/>
      <c r="I150" s="849"/>
      <c r="J150" s="849"/>
      <c r="K150" s="849"/>
      <c r="L150" s="849"/>
      <c r="M150" s="849"/>
      <c r="N150" s="849"/>
      <c r="O150" s="849"/>
      <c r="P150" s="849"/>
      <c r="Q150" s="849"/>
      <c r="R150" s="849"/>
      <c r="S150" s="849"/>
      <c r="T150" s="849"/>
      <c r="U150" s="849"/>
      <c r="V150" s="849"/>
      <c r="W150" s="849"/>
      <c r="X150" s="849"/>
      <c r="Y150" s="849"/>
    </row>
    <row r="151" spans="2:25">
      <c r="B151" s="685" t="s">
        <v>1899</v>
      </c>
      <c r="C151" s="874"/>
      <c r="D151" s="849"/>
      <c r="E151" s="849"/>
      <c r="F151" s="1031">
        <v>1.5609999999999999</v>
      </c>
      <c r="G151" s="1031">
        <v>1.5918832649338805</v>
      </c>
      <c r="H151" s="1031">
        <v>1.6319999999999999</v>
      </c>
      <c r="I151" s="1031">
        <v>1.7</v>
      </c>
      <c r="J151" s="1031">
        <f>I151+0.08</f>
        <v>1.78</v>
      </c>
      <c r="K151" s="1031">
        <f>J151+0.06</f>
        <v>1.84</v>
      </c>
      <c r="L151" s="1031">
        <f>K151+0.04</f>
        <v>1.8800000000000001</v>
      </c>
      <c r="M151" s="1031">
        <f>L151+0.04</f>
        <v>1.9200000000000002</v>
      </c>
      <c r="N151" s="1031">
        <f>M151+0.04</f>
        <v>1.9600000000000002</v>
      </c>
      <c r="O151" s="1032">
        <f>'Cable cos'!O51</f>
        <v>2.4283545605474637</v>
      </c>
      <c r="P151" s="1032">
        <f>'Cable cos'!P51</f>
        <v>2.25</v>
      </c>
      <c r="Q151" s="1032">
        <f>'Cable cos'!Q51</f>
        <v>2.25</v>
      </c>
      <c r="R151" s="1032">
        <f>'Cable cos'!R51</f>
        <v>2.25</v>
      </c>
      <c r="S151" s="1032">
        <f>'Cable cos'!S51</f>
        <v>2.25</v>
      </c>
      <c r="T151" s="1032">
        <f>'Cable cos'!T51</f>
        <v>2.25</v>
      </c>
      <c r="U151" s="1032">
        <f>'Cable cos'!U51</f>
        <v>2.25</v>
      </c>
      <c r="V151" s="1032">
        <f>'Cable cos'!V51</f>
        <v>2.25</v>
      </c>
      <c r="W151" s="1032">
        <f>'Cable cos'!W51</f>
        <v>2.25</v>
      </c>
      <c r="X151" s="1032">
        <f>'Cable cos'!X51</f>
        <v>2.25</v>
      </c>
      <c r="Y151" s="1032">
        <f>'Cable cos'!Y51</f>
        <v>2.25</v>
      </c>
    </row>
    <row r="152" spans="2:25">
      <c r="B152" s="685" t="s">
        <v>1897</v>
      </c>
      <c r="C152" s="874"/>
      <c r="D152" s="849"/>
      <c r="E152" s="849"/>
      <c r="F152" s="849">
        <f t="shared" ref="F152:T152" si="142">F149/F151</f>
        <v>3058.9929113134704</v>
      </c>
      <c r="G152" s="849">
        <f t="shared" si="142"/>
        <v>3303.6052979352689</v>
      </c>
      <c r="H152" s="849">
        <f t="shared" si="142"/>
        <v>3990.399700268656</v>
      </c>
      <c r="I152" s="849">
        <f t="shared" si="142"/>
        <v>4418.2352941176468</v>
      </c>
      <c r="J152" s="849">
        <f t="shared" si="142"/>
        <v>5067.4157303370785</v>
      </c>
      <c r="K152" s="849">
        <f t="shared" si="142"/>
        <v>5003.4321076043798</v>
      </c>
      <c r="L152" s="849">
        <f t="shared" si="142"/>
        <v>5117.0603583109059</v>
      </c>
      <c r="M152" s="849">
        <f t="shared" si="142"/>
        <v>5731.6922869103319</v>
      </c>
      <c r="N152" s="849">
        <f t="shared" si="142"/>
        <v>5761.2646102057342</v>
      </c>
      <c r="O152" s="849">
        <f t="shared" si="142"/>
        <v>5151.2341329553883</v>
      </c>
      <c r="P152" s="849">
        <f t="shared" si="142"/>
        <v>6414.5897777777782</v>
      </c>
      <c r="Q152" s="849">
        <f t="shared" si="142"/>
        <v>6967.1533333333336</v>
      </c>
      <c r="R152" s="849">
        <f t="shared" si="142"/>
        <v>6706.253333333334</v>
      </c>
      <c r="S152" s="849">
        <f t="shared" si="142"/>
        <v>6782.7909951069196</v>
      </c>
      <c r="T152" s="849">
        <f t="shared" si="142"/>
        <v>6897.1503320086858</v>
      </c>
      <c r="U152" s="849">
        <f>U149/U151</f>
        <v>6914.5880426986487</v>
      </c>
      <c r="V152" s="849">
        <f>V149/V151</f>
        <v>6935.1938235398011</v>
      </c>
      <c r="W152" s="849">
        <f>W149/W151</f>
        <v>6943.0333845875684</v>
      </c>
      <c r="X152" s="849">
        <f>X149/X151</f>
        <v>7027.6782129535031</v>
      </c>
      <c r="Y152" s="849">
        <f>Y149/Y151</f>
        <v>7103.8543681453702</v>
      </c>
    </row>
    <row r="153" spans="2:25">
      <c r="C153" s="874"/>
      <c r="D153" s="869"/>
      <c r="E153" s="869"/>
      <c r="F153" s="869"/>
      <c r="G153" s="869"/>
      <c r="H153" s="869"/>
      <c r="I153" s="869"/>
      <c r="J153" s="869"/>
      <c r="K153" s="869"/>
      <c r="L153" s="869"/>
      <c r="M153" s="869"/>
      <c r="N153" s="869"/>
      <c r="O153" s="869"/>
      <c r="P153" s="869"/>
      <c r="Q153" s="869"/>
      <c r="R153" s="869"/>
      <c r="S153" s="869"/>
      <c r="T153" s="869"/>
      <c r="U153" s="869"/>
      <c r="V153" s="869"/>
      <c r="W153" s="869"/>
      <c r="X153" s="869"/>
      <c r="Y153" s="869"/>
    </row>
    <row r="154" spans="2:25">
      <c r="B154" s="685" t="s">
        <v>1848</v>
      </c>
      <c r="C154" s="874"/>
      <c r="D154" s="869"/>
      <c r="E154" s="869"/>
      <c r="F154" s="869"/>
      <c r="G154" s="869"/>
      <c r="H154" s="869"/>
      <c r="I154" s="869"/>
      <c r="J154" s="869"/>
      <c r="K154" s="869"/>
      <c r="L154" s="869"/>
      <c r="M154" s="869"/>
      <c r="N154" s="869"/>
      <c r="O154" s="869"/>
      <c r="P154" s="869"/>
      <c r="Q154" s="869"/>
      <c r="R154" s="869"/>
      <c r="S154" s="869"/>
      <c r="T154" s="869"/>
      <c r="U154" s="869"/>
      <c r="V154" s="869"/>
      <c r="W154" s="869"/>
      <c r="X154" s="869"/>
      <c r="Y154" s="869"/>
    </row>
    <row r="155" spans="2:25">
      <c r="B155" s="685" t="str">
        <f>B104</f>
        <v>Megacable</v>
      </c>
      <c r="C155" s="874"/>
      <c r="D155" s="869"/>
      <c r="E155" s="1002">
        <v>5214</v>
      </c>
      <c r="F155" s="1002">
        <v>5720</v>
      </c>
      <c r="G155" s="1002">
        <v>6210</v>
      </c>
      <c r="H155" s="1002">
        <v>6573</v>
      </c>
      <c r="I155" s="1002">
        <v>7174</v>
      </c>
      <c r="J155" s="869"/>
      <c r="K155" s="869"/>
      <c r="L155" s="869"/>
      <c r="M155" s="869"/>
      <c r="N155" s="869"/>
      <c r="O155" s="869"/>
      <c r="P155" s="869"/>
      <c r="Q155" s="869"/>
      <c r="R155" s="869"/>
      <c r="S155" s="869"/>
      <c r="T155" s="869"/>
      <c r="U155" s="869"/>
      <c r="V155" s="869"/>
      <c r="W155" s="869"/>
      <c r="X155" s="869"/>
      <c r="Y155" s="869"/>
    </row>
    <row r="156" spans="2:25">
      <c r="B156" s="685" t="str">
        <f>B106</f>
        <v>Cablevision</v>
      </c>
      <c r="C156" s="874"/>
      <c r="D156" s="869"/>
      <c r="E156" s="869"/>
      <c r="F156" s="1002">
        <v>2400</v>
      </c>
      <c r="G156" s="1002">
        <v>2500</v>
      </c>
      <c r="H156" s="878">
        <f>G156+100</f>
        <v>2600</v>
      </c>
      <c r="I156" s="869"/>
      <c r="J156" s="869"/>
      <c r="K156" s="869"/>
      <c r="L156" s="869"/>
      <c r="M156" s="869"/>
      <c r="N156" s="869"/>
      <c r="O156" s="869"/>
      <c r="P156" s="869"/>
      <c r="Q156" s="869"/>
      <c r="R156" s="869"/>
      <c r="S156" s="869"/>
      <c r="T156" s="869"/>
      <c r="U156" s="869"/>
      <c r="V156" s="869"/>
      <c r="W156" s="869"/>
      <c r="X156" s="869"/>
      <c r="Y156" s="869"/>
    </row>
    <row r="157" spans="2:25">
      <c r="B157" s="685" t="str">
        <f>B107</f>
        <v>Cablemas</v>
      </c>
      <c r="C157" s="874"/>
      <c r="D157" s="869"/>
      <c r="E157" s="869"/>
      <c r="F157" s="1002">
        <v>3000</v>
      </c>
      <c r="G157" s="1002">
        <v>3300</v>
      </c>
      <c r="H157" s="878">
        <f>G157+200</f>
        <v>3500</v>
      </c>
      <c r="I157" s="869"/>
      <c r="J157" s="869"/>
      <c r="K157" s="869"/>
      <c r="L157" s="869"/>
      <c r="M157" s="869"/>
      <c r="N157" s="869"/>
      <c r="O157" s="869"/>
      <c r="P157" s="869"/>
      <c r="Q157" s="869"/>
      <c r="R157" s="869"/>
      <c r="S157" s="869"/>
      <c r="T157" s="869"/>
      <c r="U157" s="869"/>
      <c r="V157" s="869"/>
      <c r="W157" s="869"/>
      <c r="X157" s="869"/>
      <c r="Y157" s="869"/>
    </row>
    <row r="158" spans="2:25">
      <c r="B158" s="685" t="str">
        <f>B108</f>
        <v>TVI</v>
      </c>
      <c r="C158" s="874"/>
      <c r="D158" s="869"/>
      <c r="E158" s="869"/>
      <c r="F158" s="1002">
        <v>1600</v>
      </c>
      <c r="G158" s="1002">
        <v>1700</v>
      </c>
      <c r="H158" s="878">
        <f>G158+100</f>
        <v>1800</v>
      </c>
      <c r="I158" s="869"/>
      <c r="J158" s="869"/>
      <c r="K158" s="869"/>
      <c r="L158" s="869"/>
      <c r="M158" s="869"/>
      <c r="N158" s="869"/>
      <c r="O158" s="869"/>
      <c r="P158" s="869"/>
      <c r="Q158" s="869"/>
      <c r="R158" s="869"/>
      <c r="S158" s="869"/>
      <c r="T158" s="869"/>
      <c r="U158" s="869"/>
      <c r="V158" s="869"/>
      <c r="W158" s="869"/>
      <c r="X158" s="869"/>
      <c r="Y158" s="869"/>
    </row>
    <row r="159" spans="2:25">
      <c r="B159" s="685" t="str">
        <f>B109</f>
        <v>Cablecom</v>
      </c>
      <c r="C159" s="874"/>
      <c r="D159" s="869"/>
      <c r="E159" s="869"/>
      <c r="F159" s="849">
        <f>'SKY Mex'!H8/'SKY Mex'!H5*F156</f>
        <v>1875.8997814364434</v>
      </c>
      <c r="G159" s="849">
        <f>'SKY Mex'!I8/'SKY Mex'!I5*G156</f>
        <v>1829.4798138461656</v>
      </c>
      <c r="H159" s="849">
        <f>'SKY Mex'!J8/'SKY Mex'!J5*H156</f>
        <v>2040.276627913285</v>
      </c>
      <c r="I159" s="869"/>
      <c r="J159" s="869"/>
      <c r="K159" s="869"/>
      <c r="L159" s="869"/>
      <c r="M159" s="869"/>
      <c r="N159" s="869"/>
      <c r="O159" s="869"/>
      <c r="P159" s="869"/>
      <c r="Q159" s="869"/>
      <c r="R159" s="869"/>
      <c r="S159" s="869"/>
      <c r="T159" s="869"/>
      <c r="U159" s="869"/>
      <c r="V159" s="869"/>
      <c r="W159" s="869"/>
      <c r="X159" s="869"/>
      <c r="Y159" s="869"/>
    </row>
    <row r="160" spans="2:25">
      <c r="B160" s="685" t="s">
        <v>2064</v>
      </c>
      <c r="C160" s="874"/>
      <c r="D160" s="869"/>
      <c r="E160" s="869"/>
      <c r="F160" s="849"/>
      <c r="G160" s="849"/>
      <c r="H160" s="849"/>
      <c r="I160" s="869"/>
      <c r="J160" s="869"/>
      <c r="K160" s="869"/>
      <c r="L160" s="869"/>
      <c r="M160" s="869"/>
      <c r="N160" s="869"/>
      <c r="O160" s="869"/>
      <c r="P160" s="869"/>
      <c r="Q160" s="869"/>
      <c r="R160" s="869"/>
      <c r="S160" s="869"/>
      <c r="T160" s="869"/>
      <c r="U160" s="869"/>
      <c r="V160" s="869"/>
      <c r="W160" s="869"/>
      <c r="X160" s="869"/>
      <c r="Y160" s="869"/>
    </row>
    <row r="161" spans="1:25">
      <c r="B161" s="743" t="s">
        <v>595</v>
      </c>
      <c r="C161" s="857"/>
      <c r="D161" s="1026"/>
      <c r="E161" s="1026"/>
      <c r="F161" s="995">
        <f>'SKY Mex'!H12/('SKY Mex'!H11+'SKY Mex'!H10)*SUM(F155:F159)</f>
        <v>1846.0748888560604</v>
      </c>
      <c r="G161" s="995">
        <f>'SKY Mex'!I12/('SKY Mex'!I11+'SKY Mex'!I10)*SUM(G155:G159)</f>
        <v>1923.8917318831266</v>
      </c>
      <c r="H161" s="1029">
        <v>3000</v>
      </c>
      <c r="I161" s="1026"/>
      <c r="J161" s="1026"/>
      <c r="K161" s="1026"/>
      <c r="L161" s="1026"/>
      <c r="M161" s="1026"/>
      <c r="N161" s="1026"/>
      <c r="O161" s="1026"/>
      <c r="P161" s="1026"/>
      <c r="Q161" s="1026"/>
      <c r="R161" s="1026"/>
      <c r="S161" s="1026"/>
      <c r="T161" s="1026"/>
      <c r="U161" s="1026"/>
      <c r="V161" s="1026"/>
      <c r="W161" s="1026"/>
      <c r="X161" s="1026"/>
      <c r="Y161" s="1026"/>
    </row>
    <row r="162" spans="1:25">
      <c r="B162" s="685" t="s">
        <v>596</v>
      </c>
      <c r="C162" s="874"/>
      <c r="D162" s="869"/>
      <c r="E162" s="869"/>
      <c r="F162" s="849">
        <f>SUM(F155:F161)</f>
        <v>16441.974670292504</v>
      </c>
      <c r="G162" s="849">
        <f>SUM(G155:G161)</f>
        <v>17463.371545729293</v>
      </c>
      <c r="H162" s="849">
        <f>SUM(H155:H161)</f>
        <v>19513.276627913285</v>
      </c>
      <c r="I162" s="849">
        <f t="shared" ref="I162:T162" si="143">H162+I163</f>
        <v>20813.276627913285</v>
      </c>
      <c r="J162" s="849">
        <f t="shared" si="143"/>
        <v>22113.276627913285</v>
      </c>
      <c r="K162" s="849">
        <f t="shared" si="143"/>
        <v>23413.276627913285</v>
      </c>
      <c r="L162" s="849">
        <f t="shared" si="143"/>
        <v>23763.276627913285</v>
      </c>
      <c r="M162" s="849">
        <f t="shared" si="143"/>
        <v>24013.276627913285</v>
      </c>
      <c r="N162" s="849">
        <f t="shared" si="143"/>
        <v>24263.276627913285</v>
      </c>
      <c r="O162" s="849">
        <f t="shared" si="143"/>
        <v>24513.276627913285</v>
      </c>
      <c r="P162" s="849">
        <f t="shared" si="143"/>
        <v>24763.276627913285</v>
      </c>
      <c r="Q162" s="849">
        <f t="shared" si="143"/>
        <v>25013.276627913285</v>
      </c>
      <c r="R162" s="849">
        <f t="shared" si="143"/>
        <v>25263.276627913285</v>
      </c>
      <c r="S162" s="849">
        <f t="shared" si="143"/>
        <v>25513.276627913285</v>
      </c>
      <c r="T162" s="849">
        <f t="shared" si="143"/>
        <v>25763.276627913285</v>
      </c>
      <c r="U162" s="849">
        <f>T162+U163</f>
        <v>26013.276627913285</v>
      </c>
      <c r="V162" s="849">
        <f>U162+V163</f>
        <v>26263.276627913285</v>
      </c>
      <c r="W162" s="849">
        <f>V162+W163</f>
        <v>26513.276627913285</v>
      </c>
      <c r="X162" s="849">
        <f>W162+X163</f>
        <v>26763.276627913285</v>
      </c>
      <c r="Y162" s="849">
        <f>X162+Y163</f>
        <v>27013.276627913285</v>
      </c>
    </row>
    <row r="163" spans="1:25">
      <c r="B163" s="685" t="s">
        <v>1852</v>
      </c>
      <c r="C163" s="874"/>
      <c r="D163" s="869"/>
      <c r="E163" s="869"/>
      <c r="F163" s="849"/>
      <c r="G163" s="849">
        <f>G162-F162</f>
        <v>1021.3968754367888</v>
      </c>
      <c r="H163" s="849">
        <f>H162-G162</f>
        <v>2049.9050821839919</v>
      </c>
      <c r="I163" s="1002">
        <v>1300</v>
      </c>
      <c r="J163" s="1002">
        <v>1300</v>
      </c>
      <c r="K163" s="1002">
        <v>1300</v>
      </c>
      <c r="L163" s="1002">
        <v>350</v>
      </c>
      <c r="M163" s="1002">
        <v>250</v>
      </c>
      <c r="N163" s="1002">
        <v>250</v>
      </c>
      <c r="O163" s="1002">
        <v>250</v>
      </c>
      <c r="P163" s="1002">
        <v>250</v>
      </c>
      <c r="Q163" s="1002">
        <v>250</v>
      </c>
      <c r="R163" s="1002">
        <v>250</v>
      </c>
      <c r="S163" s="1002">
        <v>250</v>
      </c>
      <c r="T163" s="1002">
        <v>250</v>
      </c>
      <c r="U163" s="1002">
        <v>250</v>
      </c>
      <c r="V163" s="1002">
        <v>250</v>
      </c>
      <c r="W163" s="1002">
        <v>250</v>
      </c>
      <c r="X163" s="1002">
        <v>250</v>
      </c>
      <c r="Y163" s="1002">
        <v>250</v>
      </c>
    </row>
    <row r="164" spans="1:25">
      <c r="B164" s="685" t="s">
        <v>1850</v>
      </c>
      <c r="C164" s="874"/>
      <c r="D164" s="869"/>
      <c r="E164" s="869"/>
      <c r="F164" s="807">
        <f t="shared" ref="F164:Y164" si="144">F162/F79</f>
        <v>0.57090189827404525</v>
      </c>
      <c r="G164" s="807">
        <f t="shared" si="144"/>
        <v>0.60114876233147307</v>
      </c>
      <c r="H164" s="807">
        <f t="shared" si="144"/>
        <v>0.66598213747144319</v>
      </c>
      <c r="I164" s="807">
        <f t="shared" si="144"/>
        <v>0.70434100263665933</v>
      </c>
      <c r="J164" s="807">
        <f t="shared" si="144"/>
        <v>0.74205626268165381</v>
      </c>
      <c r="K164" s="807">
        <f t="shared" si="144"/>
        <v>0.77914398096217252</v>
      </c>
      <c r="L164" s="807">
        <f t="shared" si="144"/>
        <v>0.78426655537667611</v>
      </c>
      <c r="M164" s="807">
        <f t="shared" si="144"/>
        <v>0.78603196818046761</v>
      </c>
      <c r="N164" s="807">
        <f t="shared" si="144"/>
        <v>0.78776872168549628</v>
      </c>
      <c r="O164" s="807">
        <f t="shared" si="144"/>
        <v>0.78820825170139175</v>
      </c>
      <c r="P164" s="807">
        <f t="shared" si="144"/>
        <v>0.78063415383372059</v>
      </c>
      <c r="Q164" s="807">
        <f t="shared" si="144"/>
        <v>0.77305403894598057</v>
      </c>
      <c r="R164" s="807">
        <f t="shared" si="144"/>
        <v>0.76547105499430967</v>
      </c>
      <c r="S164" s="807">
        <f t="shared" si="144"/>
        <v>0.75788822879893425</v>
      </c>
      <c r="T164" s="807">
        <f t="shared" si="144"/>
        <v>0.75030846958431008</v>
      </c>
      <c r="U164" s="807">
        <f t="shared" si="144"/>
        <v>0.74273457242700724</v>
      </c>
      <c r="V164" s="807">
        <f t="shared" si="144"/>
        <v>0.73516922161359544</v>
      </c>
      <c r="W164" s="807">
        <f t="shared" si="144"/>
        <v>0.7276149939107337</v>
      </c>
      <c r="X164" s="807">
        <f t="shared" si="144"/>
        <v>0.72007436174961681</v>
      </c>
      <c r="Y164" s="807">
        <f t="shared" si="144"/>
        <v>0.71254969632687881</v>
      </c>
    </row>
    <row r="167" spans="1:25">
      <c r="A167" s="959" t="s">
        <v>620</v>
      </c>
      <c r="B167" s="743" t="s">
        <v>918</v>
      </c>
      <c r="C167" s="743"/>
      <c r="D167" s="743">
        <f t="shared" ref="D167:Y167" si="145">D1</f>
        <v>2009</v>
      </c>
      <c r="E167" s="743">
        <f t="shared" si="145"/>
        <v>2010</v>
      </c>
      <c r="F167" s="743">
        <f t="shared" si="145"/>
        <v>2011</v>
      </c>
      <c r="G167" s="743">
        <f t="shared" si="145"/>
        <v>2012</v>
      </c>
      <c r="H167" s="743">
        <f t="shared" si="145"/>
        <v>2013</v>
      </c>
      <c r="I167" s="743">
        <f t="shared" si="145"/>
        <v>2014</v>
      </c>
      <c r="J167" s="743">
        <f t="shared" si="145"/>
        <v>2015</v>
      </c>
      <c r="K167" s="743">
        <f t="shared" si="145"/>
        <v>2016</v>
      </c>
      <c r="L167" s="743">
        <f t="shared" si="145"/>
        <v>2017</v>
      </c>
      <c r="M167" s="743">
        <f t="shared" si="145"/>
        <v>2018</v>
      </c>
      <c r="N167" s="743">
        <f t="shared" si="145"/>
        <v>2019</v>
      </c>
      <c r="O167" s="743">
        <f t="shared" si="145"/>
        <v>2020</v>
      </c>
      <c r="P167" s="743">
        <f t="shared" si="145"/>
        <v>2021</v>
      </c>
      <c r="Q167" s="743">
        <f t="shared" si="145"/>
        <v>2022</v>
      </c>
      <c r="R167" s="743">
        <f t="shared" si="145"/>
        <v>2023</v>
      </c>
      <c r="S167" s="743">
        <f t="shared" si="145"/>
        <v>2024</v>
      </c>
      <c r="T167" s="743">
        <f t="shared" si="145"/>
        <v>2025</v>
      </c>
      <c r="U167" s="743">
        <f t="shared" si="145"/>
        <v>2026</v>
      </c>
      <c r="V167" s="743">
        <f t="shared" si="145"/>
        <v>2027</v>
      </c>
      <c r="W167" s="743">
        <f t="shared" si="145"/>
        <v>2028</v>
      </c>
      <c r="X167" s="743">
        <f t="shared" si="145"/>
        <v>2029</v>
      </c>
      <c r="Y167" s="743">
        <f t="shared" si="145"/>
        <v>2030</v>
      </c>
    </row>
    <row r="168" spans="1:25">
      <c r="A168" s="807">
        <v>0.51</v>
      </c>
      <c r="B168" s="685" t="str">
        <f>Interims!A258</f>
        <v>Cablevision</v>
      </c>
      <c r="F168" s="978">
        <f>Interims!K258</f>
        <v>4391.3999999999996</v>
      </c>
      <c r="G168" s="978">
        <f>Interims!P258</f>
        <v>5041.1000000000004</v>
      </c>
      <c r="H168" s="978">
        <f>Interims!U258</f>
        <v>5678.0999999999995</v>
      </c>
      <c r="I168" s="848">
        <f>(1+I169)*H168</f>
        <v>6558.2054999999991</v>
      </c>
      <c r="J168" s="848">
        <f>(1+J169)*I168</f>
        <v>7541.9363249999988</v>
      </c>
      <c r="K168" s="848"/>
      <c r="L168" s="848"/>
      <c r="M168" s="848"/>
      <c r="N168" s="848"/>
      <c r="O168" s="848"/>
      <c r="P168" s="848"/>
      <c r="Q168" s="848"/>
      <c r="R168" s="848"/>
      <c r="S168" s="848"/>
      <c r="T168" s="848"/>
      <c r="U168" s="848"/>
      <c r="V168" s="848"/>
      <c r="W168" s="848"/>
      <c r="X168" s="848"/>
      <c r="Y168" s="848"/>
    </row>
    <row r="169" spans="1:25">
      <c r="A169" s="959" t="s">
        <v>621</v>
      </c>
      <c r="B169" s="685" t="s">
        <v>181</v>
      </c>
      <c r="F169" s="849"/>
      <c r="G169" s="807">
        <f>G168/F168-1</f>
        <v>0.1479482625130939</v>
      </c>
      <c r="H169" s="807">
        <f>H168/G168-1</f>
        <v>0.12636131003154061</v>
      </c>
      <c r="I169" s="993">
        <v>0.155</v>
      </c>
      <c r="J169" s="993">
        <v>0.15</v>
      </c>
      <c r="K169" s="807"/>
      <c r="L169" s="807"/>
      <c r="M169" s="807"/>
      <c r="N169" s="807"/>
      <c r="O169" s="807"/>
      <c r="P169" s="807"/>
      <c r="Q169" s="807"/>
      <c r="R169" s="807"/>
      <c r="S169" s="807"/>
      <c r="T169" s="807"/>
      <c r="U169" s="807"/>
      <c r="V169" s="807"/>
      <c r="W169" s="807"/>
      <c r="X169" s="807"/>
      <c r="Y169" s="807"/>
    </row>
    <row r="170" spans="1:25">
      <c r="A170" s="807">
        <v>1</v>
      </c>
      <c r="B170" s="685" t="str">
        <f>Interims!A259</f>
        <v>Cablemas</v>
      </c>
      <c r="F170" s="978">
        <f>Interims!K259</f>
        <v>4726.2</v>
      </c>
      <c r="G170" s="978">
        <f>Interims!P259</f>
        <v>5439.7</v>
      </c>
      <c r="H170" s="978">
        <f>Interims!U259</f>
        <v>6139.5</v>
      </c>
      <c r="I170" s="848">
        <f>(1+I171)*H170</f>
        <v>6814.8450000000003</v>
      </c>
      <c r="J170" s="848">
        <f>(1+J171)*I170</f>
        <v>7700.7748499999998</v>
      </c>
      <c r="K170" s="848"/>
      <c r="L170" s="848"/>
      <c r="M170" s="848"/>
      <c r="N170" s="848"/>
      <c r="O170" s="848"/>
      <c r="P170" s="848"/>
      <c r="Q170" s="848"/>
      <c r="R170" s="848"/>
      <c r="S170" s="848"/>
      <c r="T170" s="848"/>
      <c r="U170" s="848"/>
      <c r="V170" s="848"/>
      <c r="W170" s="848"/>
      <c r="X170" s="848"/>
      <c r="Y170" s="848"/>
    </row>
    <row r="171" spans="1:25">
      <c r="B171" s="685" t="s">
        <v>181</v>
      </c>
      <c r="F171" s="849"/>
      <c r="G171" s="807">
        <f>G170/F170-1</f>
        <v>0.15096695019254369</v>
      </c>
      <c r="H171" s="807">
        <f>H170/G170-1</f>
        <v>0.12864680037502074</v>
      </c>
      <c r="I171" s="993">
        <v>0.11</v>
      </c>
      <c r="J171" s="993">
        <v>0.13</v>
      </c>
      <c r="K171" s="807"/>
      <c r="L171" s="807"/>
      <c r="M171" s="807"/>
      <c r="N171" s="807"/>
      <c r="O171" s="807"/>
      <c r="P171" s="807"/>
      <c r="Q171" s="807"/>
      <c r="R171" s="807"/>
      <c r="S171" s="807"/>
      <c r="T171" s="807"/>
      <c r="U171" s="807"/>
      <c r="V171" s="807"/>
      <c r="W171" s="807"/>
      <c r="X171" s="807"/>
      <c r="Y171" s="807"/>
    </row>
    <row r="172" spans="1:25">
      <c r="A172" s="807">
        <v>0.5</v>
      </c>
      <c r="B172" s="685" t="str">
        <f>Interims!A260</f>
        <v>TVI</v>
      </c>
      <c r="F172" s="978">
        <f>Interims!K260</f>
        <v>2172.6999999999998</v>
      </c>
      <c r="G172" s="978">
        <f>Interims!P260</f>
        <v>2474.5999999999995</v>
      </c>
      <c r="H172" s="978">
        <f>Interims!U260</f>
        <v>2713.2</v>
      </c>
      <c r="I172" s="848">
        <f>(1+I173)*H172</f>
        <v>3201.5759999999996</v>
      </c>
      <c r="J172" s="848">
        <f>(1+J173)*I172</f>
        <v>3777.8596799999991</v>
      </c>
      <c r="K172" s="848"/>
      <c r="L172" s="848"/>
      <c r="M172" s="848"/>
      <c r="N172" s="848"/>
      <c r="O172" s="848"/>
      <c r="P172" s="848"/>
      <c r="Q172" s="848"/>
      <c r="R172" s="848"/>
      <c r="S172" s="848"/>
      <c r="T172" s="848"/>
      <c r="U172" s="848"/>
      <c r="V172" s="848"/>
      <c r="W172" s="848"/>
      <c r="X172" s="848"/>
      <c r="Y172" s="848"/>
    </row>
    <row r="173" spans="1:25">
      <c r="A173" s="959" t="s">
        <v>622</v>
      </c>
      <c r="B173" s="685" t="s">
        <v>181</v>
      </c>
      <c r="F173" s="849"/>
      <c r="G173" s="807">
        <f>G172/F172-1</f>
        <v>0.13895153495650558</v>
      </c>
      <c r="H173" s="807">
        <f>H172/G172-1</f>
        <v>9.641962337347465E-2</v>
      </c>
      <c r="I173" s="993">
        <v>0.18</v>
      </c>
      <c r="J173" s="993">
        <v>0.18</v>
      </c>
      <c r="K173" s="807"/>
      <c r="L173" s="807"/>
      <c r="M173" s="807"/>
      <c r="N173" s="807"/>
      <c r="O173" s="807"/>
      <c r="P173" s="807"/>
      <c r="Q173" s="807"/>
      <c r="R173" s="807"/>
      <c r="S173" s="807"/>
      <c r="T173" s="807"/>
      <c r="U173" s="807"/>
      <c r="V173" s="807"/>
      <c r="W173" s="807"/>
      <c r="X173" s="807"/>
      <c r="Y173" s="807"/>
    </row>
    <row r="174" spans="1:25">
      <c r="A174" s="807">
        <v>1</v>
      </c>
      <c r="B174" s="685" t="str">
        <f>Interims!A261</f>
        <v>Bestel</v>
      </c>
      <c r="F174" s="978">
        <f>Interims!K261</f>
        <v>2727</v>
      </c>
      <c r="G174" s="978">
        <f>Interims!P261</f>
        <v>3039.8</v>
      </c>
      <c r="H174" s="978">
        <f>Interims!U261</f>
        <v>3051.4</v>
      </c>
      <c r="I174" s="848">
        <f>I182-I176-I172-I170-I168</f>
        <v>3442.8734999999988</v>
      </c>
      <c r="J174" s="848">
        <f>(1+J175)*I174</f>
        <v>3787.1608499999988</v>
      </c>
      <c r="K174" s="848"/>
      <c r="L174" s="848"/>
      <c r="M174" s="848"/>
      <c r="N174" s="848"/>
      <c r="O174" s="848"/>
      <c r="P174" s="848"/>
      <c r="Q174" s="848"/>
      <c r="R174" s="848"/>
      <c r="S174" s="848"/>
      <c r="T174" s="848"/>
      <c r="U174" s="848"/>
      <c r="V174" s="848"/>
      <c r="W174" s="848"/>
      <c r="X174" s="848"/>
      <c r="Y174" s="848"/>
    </row>
    <row r="175" spans="1:25">
      <c r="B175" s="685" t="s">
        <v>181</v>
      </c>
      <c r="F175" s="849"/>
      <c r="G175" s="807">
        <f>G174/F174-1</f>
        <v>0.11470480381371484</v>
      </c>
      <c r="H175" s="807">
        <f>H174/G174-1</f>
        <v>3.8160405289822119E-3</v>
      </c>
      <c r="I175" s="807">
        <f>I174/H174-1</f>
        <v>0.12829307858687766</v>
      </c>
      <c r="J175" s="993">
        <v>0.1</v>
      </c>
      <c r="K175" s="807"/>
      <c r="L175" s="807"/>
      <c r="M175" s="807"/>
      <c r="N175" s="807"/>
      <c r="O175" s="807"/>
      <c r="P175" s="807"/>
      <c r="Q175" s="807"/>
      <c r="R175" s="807"/>
      <c r="S175" s="807"/>
      <c r="T175" s="807"/>
      <c r="U175" s="807"/>
      <c r="V175" s="807"/>
      <c r="W175" s="807"/>
      <c r="X175" s="807"/>
      <c r="Y175" s="807"/>
    </row>
    <row r="176" spans="1:25">
      <c r="B176" s="685" t="s">
        <v>1510</v>
      </c>
      <c r="F176" s="849"/>
      <c r="G176" s="807"/>
      <c r="H176" s="807"/>
      <c r="I176" s="978">
        <f>SUM(Interims!V262:Y262)</f>
        <v>1369.7</v>
      </c>
      <c r="J176" s="978">
        <f>3900*1.08</f>
        <v>4212</v>
      </c>
      <c r="K176" s="848"/>
      <c r="L176" s="848"/>
      <c r="M176" s="848"/>
      <c r="N176" s="848"/>
      <c r="O176" s="848"/>
      <c r="P176" s="848"/>
      <c r="Q176" s="848"/>
      <c r="R176" s="848"/>
      <c r="S176" s="848"/>
      <c r="T176" s="848"/>
      <c r="U176" s="848"/>
      <c r="V176" s="848"/>
      <c r="W176" s="848"/>
      <c r="X176" s="848"/>
      <c r="Y176" s="848"/>
    </row>
    <row r="177" spans="2:27">
      <c r="B177" s="685" t="s">
        <v>181</v>
      </c>
      <c r="F177" s="849"/>
      <c r="G177" s="807"/>
      <c r="H177" s="807"/>
      <c r="I177" s="807"/>
      <c r="J177" s="807"/>
      <c r="K177" s="807"/>
      <c r="L177" s="807"/>
      <c r="M177" s="807"/>
      <c r="N177" s="807"/>
      <c r="O177" s="807"/>
      <c r="P177" s="807"/>
      <c r="Q177" s="807"/>
      <c r="R177" s="807"/>
      <c r="S177" s="807"/>
      <c r="T177" s="807"/>
      <c r="U177" s="807"/>
      <c r="V177" s="807"/>
      <c r="W177" s="807"/>
      <c r="X177" s="807"/>
      <c r="Y177" s="807"/>
    </row>
    <row r="178" spans="2:27">
      <c r="B178" s="685" t="s">
        <v>2064</v>
      </c>
      <c r="F178" s="849"/>
      <c r="G178" s="807"/>
      <c r="H178" s="807"/>
      <c r="I178" s="807"/>
      <c r="J178" s="978">
        <f>2100</f>
        <v>2100</v>
      </c>
      <c r="K178" s="848"/>
      <c r="L178" s="848"/>
      <c r="M178" s="848"/>
      <c r="N178" s="848"/>
      <c r="O178" s="848"/>
      <c r="P178" s="848"/>
      <c r="Q178" s="848"/>
      <c r="R178" s="848"/>
      <c r="S178" s="848"/>
      <c r="T178" s="848"/>
      <c r="U178" s="848"/>
      <c r="V178" s="848"/>
      <c r="W178" s="848"/>
      <c r="X178" s="848"/>
      <c r="Y178" s="848"/>
    </row>
    <row r="179" spans="2:27">
      <c r="B179" s="685" t="s">
        <v>181</v>
      </c>
      <c r="F179" s="849"/>
      <c r="G179" s="807"/>
      <c r="H179" s="807"/>
      <c r="I179" s="807"/>
      <c r="J179" s="807"/>
      <c r="K179" s="807"/>
      <c r="L179" s="807"/>
      <c r="M179" s="807"/>
      <c r="N179" s="807"/>
      <c r="O179" s="807"/>
      <c r="P179" s="807"/>
      <c r="Q179" s="807"/>
      <c r="R179" s="807"/>
      <c r="S179" s="807"/>
      <c r="T179" s="807"/>
      <c r="U179" s="807"/>
      <c r="V179" s="807"/>
      <c r="W179" s="807"/>
      <c r="X179" s="807"/>
      <c r="Y179" s="807"/>
    </row>
    <row r="180" spans="2:27">
      <c r="B180" s="685" t="s">
        <v>1931</v>
      </c>
      <c r="F180" s="849"/>
      <c r="G180" s="807"/>
      <c r="H180" s="807"/>
      <c r="I180" s="848"/>
      <c r="J180" s="848"/>
      <c r="K180" s="848"/>
      <c r="L180" s="848"/>
      <c r="M180" s="848"/>
      <c r="N180" s="848"/>
      <c r="O180" s="848"/>
      <c r="P180" s="848"/>
      <c r="Q180" s="848"/>
      <c r="R180" s="848"/>
      <c r="S180" s="848"/>
      <c r="T180" s="848"/>
      <c r="U180" s="848"/>
      <c r="V180" s="848"/>
      <c r="W180" s="848"/>
      <c r="X180" s="848"/>
      <c r="Y180" s="848"/>
    </row>
    <row r="181" spans="2:27">
      <c r="B181" s="743" t="s">
        <v>181</v>
      </c>
      <c r="C181" s="743"/>
      <c r="D181" s="743"/>
      <c r="E181" s="743"/>
      <c r="F181" s="995"/>
      <c r="G181" s="910"/>
      <c r="H181" s="910"/>
      <c r="I181" s="910"/>
      <c r="J181" s="910"/>
      <c r="K181" s="910"/>
      <c r="L181" s="910"/>
      <c r="M181" s="910"/>
      <c r="N181" s="910"/>
      <c r="O181" s="910"/>
      <c r="P181" s="910"/>
      <c r="Q181" s="910"/>
      <c r="R181" s="910"/>
      <c r="S181" s="910"/>
      <c r="T181" s="910"/>
      <c r="U181" s="910"/>
      <c r="V181" s="910"/>
      <c r="W181" s="910"/>
      <c r="X181" s="910"/>
      <c r="Y181" s="910"/>
    </row>
    <row r="182" spans="2:27">
      <c r="B182" s="685" t="s">
        <v>503</v>
      </c>
      <c r="D182" s="848"/>
      <c r="E182" s="848"/>
      <c r="F182" s="848">
        <f>F168+F170+F172+F174+F176+F180</f>
        <v>14017.3</v>
      </c>
      <c r="G182" s="848">
        <f>G168+G170+G172+G174+G176+G180</f>
        <v>15995.199999999997</v>
      </c>
      <c r="H182" s="848">
        <f>H168+H170+H172+H174+H176+H180</f>
        <v>17582.2</v>
      </c>
      <c r="I182" s="848">
        <f>I185-I184</f>
        <v>21387.200000000001</v>
      </c>
      <c r="J182" s="848">
        <f ca="1">J185-J184</f>
        <v>29100.594623922971</v>
      </c>
      <c r="K182" s="848"/>
      <c r="L182" s="848"/>
      <c r="M182" s="848"/>
      <c r="N182" s="848"/>
      <c r="O182" s="848"/>
      <c r="P182" s="848"/>
      <c r="Q182" s="848"/>
      <c r="R182" s="848"/>
      <c r="S182" s="848"/>
      <c r="T182" s="848"/>
      <c r="U182" s="848"/>
      <c r="V182" s="848"/>
      <c r="W182" s="848"/>
      <c r="X182" s="848"/>
      <c r="Y182" s="848"/>
    </row>
    <row r="183" spans="2:27">
      <c r="B183" s="685" t="s">
        <v>181</v>
      </c>
      <c r="D183" s="848"/>
      <c r="E183" s="848"/>
      <c r="F183" s="848"/>
      <c r="G183" s="807">
        <f>G182/F182-1</f>
        <v>0.14110420694427583</v>
      </c>
      <c r="H183" s="807">
        <f>H182/G182-1</f>
        <v>9.9217265179554204E-2</v>
      </c>
      <c r="I183" s="807">
        <f>I182/H182-1</f>
        <v>0.21641205309915712</v>
      </c>
      <c r="J183" s="807">
        <f ca="1">J182/I182-1</f>
        <v>0.36065471982882147</v>
      </c>
      <c r="K183" s="807"/>
      <c r="L183" s="807"/>
      <c r="M183" s="807"/>
      <c r="N183" s="807"/>
      <c r="O183" s="807"/>
      <c r="P183" s="807"/>
      <c r="Q183" s="807"/>
      <c r="R183" s="807"/>
      <c r="S183" s="807"/>
      <c r="T183" s="807"/>
      <c r="U183" s="807"/>
      <c r="V183" s="807"/>
      <c r="W183" s="807"/>
      <c r="X183" s="807"/>
      <c r="Y183" s="807"/>
    </row>
    <row r="184" spans="2:27">
      <c r="B184" s="685" t="s">
        <v>504</v>
      </c>
      <c r="F184" s="849">
        <f>F185-F182</f>
        <v>-381.89999999999782</v>
      </c>
      <c r="G184" s="849">
        <f>G185-G182</f>
        <v>-424.79999999999745</v>
      </c>
      <c r="H184" s="849">
        <f>H185-H182</f>
        <v>-443.40000000000146</v>
      </c>
      <c r="I184" s="1002">
        <v>-450</v>
      </c>
      <c r="J184" s="1002">
        <f ca="1">I184/I182*J182</f>
        <v>-612.29462392296966</v>
      </c>
      <c r="K184" s="849"/>
      <c r="L184" s="849"/>
      <c r="M184" s="849"/>
      <c r="N184" s="849"/>
      <c r="O184" s="849"/>
      <c r="P184" s="849"/>
      <c r="Q184" s="849"/>
      <c r="R184" s="849"/>
      <c r="S184" s="849"/>
      <c r="T184" s="849"/>
      <c r="U184" s="849"/>
      <c r="V184" s="849"/>
      <c r="W184" s="849"/>
      <c r="X184" s="849"/>
      <c r="Y184" s="849"/>
    </row>
    <row r="185" spans="2:27">
      <c r="B185" s="685" t="s">
        <v>505</v>
      </c>
      <c r="D185" s="978">
        <f>Master!H52</f>
        <v>9241.7000000000007</v>
      </c>
      <c r="E185" s="978">
        <f>Master!I52</f>
        <v>11814.2</v>
      </c>
      <c r="F185" s="1003">
        <f>Master!J52</f>
        <v>13635.400000000001</v>
      </c>
      <c r="G185" s="1003">
        <f>Master!K52</f>
        <v>15570.4</v>
      </c>
      <c r="H185" s="1003">
        <f>Master!L52</f>
        <v>17138.8</v>
      </c>
      <c r="I185" s="1003">
        <f>Master!M52</f>
        <v>20937.2</v>
      </c>
      <c r="J185" s="1003">
        <f>Master!N52</f>
        <v>28488.3</v>
      </c>
      <c r="K185" s="1003">
        <f>Master!O52</f>
        <v>31891.599999999999</v>
      </c>
      <c r="L185" s="1003">
        <f>Master!P52</f>
        <v>33048</v>
      </c>
      <c r="M185" s="1003">
        <f>Master!Q52</f>
        <v>36233</v>
      </c>
      <c r="N185" s="1003">
        <f>Master!R52</f>
        <v>41702</v>
      </c>
      <c r="O185" s="1003">
        <f>Master!S52</f>
        <v>45367.1</v>
      </c>
      <c r="P185" s="1003">
        <f>Master!T52</f>
        <v>48020.9</v>
      </c>
      <c r="Q185" s="1003">
        <f>Master!U52</f>
        <v>48411.8</v>
      </c>
      <c r="R185" s="1003">
        <f>Master!V52</f>
        <v>48802.5</v>
      </c>
      <c r="S185" s="876">
        <f t="shared" ref="S185:Y185" si="146">(1+S186)*R185</f>
        <v>48802.5</v>
      </c>
      <c r="T185" s="876">
        <f t="shared" si="146"/>
        <v>49290.525000000001</v>
      </c>
      <c r="U185" s="876">
        <f t="shared" si="146"/>
        <v>50276.335500000001</v>
      </c>
      <c r="V185" s="876">
        <f t="shared" si="146"/>
        <v>51533.243887499993</v>
      </c>
      <c r="W185" s="876">
        <f t="shared" si="146"/>
        <v>53208.074313843739</v>
      </c>
      <c r="X185" s="876">
        <f t="shared" si="146"/>
        <v>55070.356914828262</v>
      </c>
      <c r="Y185" s="876">
        <f t="shared" si="146"/>
        <v>56997.819406847244</v>
      </c>
      <c r="AA185" s="848"/>
    </row>
    <row r="186" spans="2:27">
      <c r="B186" s="685" t="s">
        <v>181</v>
      </c>
      <c r="D186" s="807"/>
      <c r="E186" s="807">
        <f t="shared" ref="E186:R186" si="147">E185/D185-1</f>
        <v>0.27835787787961097</v>
      </c>
      <c r="F186" s="1027">
        <f t="shared" si="147"/>
        <v>0.15415347632510046</v>
      </c>
      <c r="G186" s="1027">
        <f t="shared" si="147"/>
        <v>0.14191002830866695</v>
      </c>
      <c r="H186" s="1027">
        <f t="shared" si="147"/>
        <v>0.10072958947747002</v>
      </c>
      <c r="I186" s="1027">
        <f t="shared" si="147"/>
        <v>0.22162578476906214</v>
      </c>
      <c r="J186" s="1027">
        <f t="shared" si="147"/>
        <v>0.36065471982882125</v>
      </c>
      <c r="K186" s="1027">
        <f t="shared" si="147"/>
        <v>0.11946307782493171</v>
      </c>
      <c r="L186" s="1027">
        <f t="shared" si="147"/>
        <v>3.6260331874224061E-2</v>
      </c>
      <c r="M186" s="1027">
        <f t="shared" si="147"/>
        <v>9.6374969740982808E-2</v>
      </c>
      <c r="N186" s="1027">
        <f t="shared" si="147"/>
        <v>0.15093975105566759</v>
      </c>
      <c r="O186" s="1027">
        <f t="shared" si="147"/>
        <v>8.7887871085319702E-2</v>
      </c>
      <c r="P186" s="1027">
        <f t="shared" si="147"/>
        <v>5.849613486425187E-2</v>
      </c>
      <c r="Q186" s="1027">
        <f t="shared" si="147"/>
        <v>8.1402056188035754E-3</v>
      </c>
      <c r="R186" s="1027">
        <f t="shared" si="147"/>
        <v>8.0703464857740936E-3</v>
      </c>
      <c r="S186" s="1033">
        <v>0</v>
      </c>
      <c r="T186" s="1033">
        <v>0.01</v>
      </c>
      <c r="U186" s="1033">
        <v>0.02</v>
      </c>
      <c r="V186" s="1033">
        <v>2.5000000000000001E-2</v>
      </c>
      <c r="W186" s="1033">
        <v>3.2500000000000001E-2</v>
      </c>
      <c r="X186" s="1033">
        <v>3.5000000000000003E-2</v>
      </c>
      <c r="Y186" s="1033">
        <v>3.5000000000000003E-2</v>
      </c>
    </row>
    <row r="187" spans="2:27">
      <c r="B187" s="685" t="s">
        <v>2132</v>
      </c>
      <c r="D187" s="807"/>
      <c r="E187" s="807"/>
      <c r="F187" s="807"/>
      <c r="G187" s="807"/>
      <c r="H187" s="807"/>
      <c r="I187" s="869">
        <f>(I168+I170+I172+I174)/(H168+H170+H172+H174)-1</f>
        <v>0.13850940155384395</v>
      </c>
      <c r="J187" s="869">
        <f>(J168+J170+J172+J174)/(I168+I170+I172+I174)-1</f>
        <v>0.13938961933308369</v>
      </c>
      <c r="K187" s="807"/>
      <c r="L187" s="807"/>
      <c r="M187" s="807"/>
      <c r="N187" s="807"/>
      <c r="O187" s="807"/>
      <c r="P187" s="807"/>
      <c r="Q187" s="807"/>
      <c r="R187" s="807"/>
      <c r="S187" s="807"/>
      <c r="T187" s="807"/>
      <c r="U187" s="807"/>
      <c r="V187" s="807"/>
      <c r="W187" s="807"/>
      <c r="X187" s="807"/>
      <c r="Y187" s="807"/>
    </row>
    <row r="188" spans="2:27">
      <c r="D188" s="807"/>
      <c r="E188" s="807"/>
      <c r="F188" s="807"/>
      <c r="G188" s="807"/>
      <c r="H188" s="807"/>
      <c r="I188" s="869"/>
      <c r="J188" s="869"/>
      <c r="K188" s="807"/>
      <c r="L188" s="807"/>
      <c r="M188" s="807"/>
      <c r="N188" s="807"/>
      <c r="O188" s="807"/>
      <c r="P188" s="807"/>
      <c r="Q188" s="807"/>
      <c r="R188" s="807"/>
      <c r="S188" s="807"/>
      <c r="T188" s="807"/>
      <c r="U188" s="807"/>
      <c r="V188" s="807"/>
      <c r="W188" s="807"/>
      <c r="X188" s="807"/>
      <c r="Y188" s="807"/>
    </row>
    <row r="189" spans="2:27">
      <c r="B189" s="992" t="s">
        <v>4715</v>
      </c>
      <c r="D189" s="807"/>
      <c r="E189" s="807"/>
      <c r="F189" s="807"/>
      <c r="G189" s="807"/>
      <c r="H189" s="807"/>
      <c r="I189" s="869"/>
      <c r="J189" s="869"/>
      <c r="K189" s="848">
        <f>SUM(Interims!AF111:AI111)</f>
        <v>27517</v>
      </c>
      <c r="L189" s="848">
        <f>SUM(Interims!AK111:AN111)</f>
        <v>29067.9</v>
      </c>
      <c r="M189" s="848">
        <f>SUM(Interims!AP111:AS111)</f>
        <v>32279.800000000003</v>
      </c>
      <c r="N189" s="848">
        <f>N185-N191</f>
        <v>37152.104976126735</v>
      </c>
      <c r="O189" s="848">
        <f t="shared" ref="O189:T189" si="148">O185-O191</f>
        <v>40417.324388816829</v>
      </c>
      <c r="P189" s="848">
        <f t="shared" si="148"/>
        <v>42781.581647117273</v>
      </c>
      <c r="Q189" s="848">
        <f t="shared" si="148"/>
        <v>43129.832518422438</v>
      </c>
      <c r="R189" s="848">
        <f t="shared" si="148"/>
        <v>43477.905210719517</v>
      </c>
      <c r="S189" s="848">
        <f t="shared" si="148"/>
        <v>43477.905210719517</v>
      </c>
      <c r="T189" s="848">
        <f t="shared" si="148"/>
        <v>43912.684262826711</v>
      </c>
      <c r="U189" s="848">
        <f>U185-U191</f>
        <v>44790.937948083243</v>
      </c>
      <c r="V189" s="848">
        <f>V185-V191</f>
        <v>45910.711396785322</v>
      </c>
      <c r="W189" s="848">
        <f>W185-W191</f>
        <v>47402.809517180838</v>
      </c>
      <c r="X189" s="848">
        <f>X185-X191</f>
        <v>49061.907850282165</v>
      </c>
      <c r="Y189" s="848">
        <f>Y185-Y191</f>
        <v>50779.074625042034</v>
      </c>
    </row>
    <row r="190" spans="2:27">
      <c r="B190" s="992" t="s">
        <v>181</v>
      </c>
      <c r="D190" s="807"/>
      <c r="E190" s="807"/>
      <c r="F190" s="807"/>
      <c r="G190" s="807"/>
      <c r="H190" s="807"/>
      <c r="I190" s="869"/>
      <c r="J190" s="869"/>
      <c r="K190" s="848"/>
      <c r="L190" s="869">
        <f>L189/K189-1</f>
        <v>5.6361521968237849E-2</v>
      </c>
      <c r="M190" s="869">
        <f t="shared" ref="M190:T190" si="149">M189/L189-1</f>
        <v>0.11049645829248078</v>
      </c>
      <c r="N190" s="869">
        <f t="shared" si="149"/>
        <v>0.15093975105566737</v>
      </c>
      <c r="O190" s="869">
        <f t="shared" si="149"/>
        <v>8.7887871085319702E-2</v>
      </c>
      <c r="P190" s="869">
        <f t="shared" si="149"/>
        <v>5.849613486425187E-2</v>
      </c>
      <c r="Q190" s="869">
        <f t="shared" si="149"/>
        <v>8.1402056188035754E-3</v>
      </c>
      <c r="R190" s="869">
        <f t="shared" si="149"/>
        <v>8.0703464857740936E-3</v>
      </c>
      <c r="S190" s="869">
        <f t="shared" si="149"/>
        <v>0</v>
      </c>
      <c r="T190" s="869">
        <f t="shared" si="149"/>
        <v>1.0000000000000009E-2</v>
      </c>
      <c r="U190" s="869">
        <f>U189/T189-1</f>
        <v>2.0000000000000018E-2</v>
      </c>
      <c r="V190" s="869">
        <f>V189/U189-1</f>
        <v>2.4999999999999911E-2</v>
      </c>
      <c r="W190" s="869">
        <f>W189/V189-1</f>
        <v>3.2499999999999751E-2</v>
      </c>
      <c r="X190" s="869">
        <f>X189/W189-1</f>
        <v>3.499999999999992E-2</v>
      </c>
      <c r="Y190" s="869">
        <f>Y189/X189-1</f>
        <v>3.499999999999992E-2</v>
      </c>
    </row>
    <row r="191" spans="2:27">
      <c r="B191" s="992" t="s">
        <v>4716</v>
      </c>
      <c r="D191" s="807"/>
      <c r="E191" s="807"/>
      <c r="F191" s="807"/>
      <c r="G191" s="807"/>
      <c r="H191" s="807"/>
      <c r="I191" s="869"/>
      <c r="J191" s="869"/>
      <c r="K191" s="848">
        <f>K185-K189</f>
        <v>4374.5999999999985</v>
      </c>
      <c r="L191" s="848">
        <f>L185-L189</f>
        <v>3980.0999999999985</v>
      </c>
      <c r="M191" s="848">
        <f>M185-M189</f>
        <v>3953.1999999999971</v>
      </c>
      <c r="N191" s="848">
        <f>M191/M185*N185</f>
        <v>4549.8950238732614</v>
      </c>
      <c r="O191" s="848">
        <f t="shared" ref="O191:T191" si="150">N191/N185*O185</f>
        <v>4949.7756111831723</v>
      </c>
      <c r="P191" s="848">
        <f t="shared" si="150"/>
        <v>5239.3183528827285</v>
      </c>
      <c r="Q191" s="848">
        <f t="shared" si="150"/>
        <v>5281.9674815775643</v>
      </c>
      <c r="R191" s="848">
        <f t="shared" si="150"/>
        <v>5324.5947892804861</v>
      </c>
      <c r="S191" s="848">
        <f t="shared" si="150"/>
        <v>5324.5947892804861</v>
      </c>
      <c r="T191" s="848">
        <f t="shared" si="150"/>
        <v>5377.840737173291</v>
      </c>
      <c r="U191" s="848">
        <f>T191/T185*U185</f>
        <v>5485.3975519167561</v>
      </c>
      <c r="V191" s="848">
        <f>U191/U185*V185</f>
        <v>5622.5324907146742</v>
      </c>
      <c r="W191" s="848">
        <f>V191/V185*W185</f>
        <v>5805.2647966629002</v>
      </c>
      <c r="X191" s="848">
        <f>W191/W185*X185</f>
        <v>6008.449064546101</v>
      </c>
      <c r="Y191" s="848">
        <f>X191/X185*Y185</f>
        <v>6218.7447818052133</v>
      </c>
    </row>
    <row r="192" spans="2:27">
      <c r="D192" s="807"/>
      <c r="E192" s="807"/>
      <c r="F192" s="807"/>
      <c r="G192" s="807"/>
      <c r="H192" s="807"/>
      <c r="I192" s="869"/>
      <c r="J192" s="869"/>
      <c r="K192" s="807"/>
      <c r="L192" s="807"/>
      <c r="M192" s="807"/>
      <c r="N192" s="807"/>
      <c r="O192" s="807"/>
      <c r="P192" s="807"/>
      <c r="Q192" s="807"/>
      <c r="R192" s="807"/>
      <c r="S192" s="807"/>
      <c r="T192" s="807"/>
      <c r="U192" s="807"/>
      <c r="V192" s="807"/>
      <c r="W192" s="807"/>
      <c r="X192" s="807"/>
      <c r="Y192" s="807"/>
    </row>
    <row r="193" spans="2:25">
      <c r="B193" s="874" t="s">
        <v>2851</v>
      </c>
      <c r="D193" s="807"/>
      <c r="E193" s="807"/>
      <c r="F193" s="807"/>
      <c r="G193" s="807"/>
      <c r="H193" s="807"/>
      <c r="I193" s="876">
        <f>I97+I140+'SKY Mex'!K10</f>
        <v>7511</v>
      </c>
      <c r="J193" s="876">
        <f>J97+J140+'SKY Mex'!L10</f>
        <v>9020</v>
      </c>
      <c r="K193" s="876">
        <f>K97+K140+'SKY Mex'!M10</f>
        <v>9731</v>
      </c>
      <c r="L193" s="876">
        <f>L97+L140+'SKY Mex'!N10</f>
        <v>10103.952000000001</v>
      </c>
      <c r="M193" s="876">
        <f>M97+M140+'SKY Mex'!O10</f>
        <v>11841.508</v>
      </c>
      <c r="N193" s="876">
        <f>N97+N140+'SKY Mex'!P10</f>
        <v>12652.909</v>
      </c>
      <c r="O193" s="876">
        <f>O97+O140+'SKY Mex'!Q10</f>
        <v>14012.089</v>
      </c>
      <c r="P193" s="876">
        <f>P97+P140+'SKY Mex'!R10</f>
        <v>14432.827000000001</v>
      </c>
      <c r="Q193" s="876">
        <f>Q97+Q140+'SKY Mex'!S10</f>
        <v>15676.095000000001</v>
      </c>
      <c r="R193" s="876">
        <f>R97+R140+'SKY Mex'!T10</f>
        <v>15089.070000000002</v>
      </c>
      <c r="S193" s="876">
        <f>S97+S140+'SKY Mex'!U10</f>
        <v>15261.279738990568</v>
      </c>
      <c r="T193" s="876">
        <f>T97+T140+'SKY Mex'!V10</f>
        <v>15518.588247019543</v>
      </c>
      <c r="U193" s="876">
        <f>U97+U140+'SKY Mex'!W10</f>
        <v>15557.823096071959</v>
      </c>
      <c r="V193" s="876">
        <f>V97+V140+'SKY Mex'!X10</f>
        <v>15604.186102964553</v>
      </c>
      <c r="W193" s="876">
        <f>W97+W140+'SKY Mex'!Y10</f>
        <v>15621.82511532203</v>
      </c>
      <c r="X193" s="876">
        <f>X97+X140+'SKY Mex'!Z10</f>
        <v>15812.275979145383</v>
      </c>
      <c r="Y193" s="876">
        <f>Y97+Y140+'SKY Mex'!AA10</f>
        <v>15983.672328327084</v>
      </c>
    </row>
    <row r="194" spans="2:25">
      <c r="B194" s="874" t="s">
        <v>2853</v>
      </c>
      <c r="D194" s="807"/>
      <c r="E194" s="807"/>
      <c r="F194" s="807"/>
      <c r="G194" s="807"/>
      <c r="H194" s="807"/>
      <c r="I194" s="876"/>
      <c r="J194" s="876">
        <f>J193-I193</f>
        <v>1509</v>
      </c>
      <c r="K194" s="876">
        <f t="shared" ref="K194:T194" si="151">K193-J193</f>
        <v>711</v>
      </c>
      <c r="L194" s="876">
        <f t="shared" si="151"/>
        <v>372.95200000000114</v>
      </c>
      <c r="M194" s="876">
        <f t="shared" si="151"/>
        <v>1737.5559999999987</v>
      </c>
      <c r="N194" s="876">
        <f t="shared" si="151"/>
        <v>811.40099999999984</v>
      </c>
      <c r="O194" s="876">
        <f t="shared" si="151"/>
        <v>1359.1800000000003</v>
      </c>
      <c r="P194" s="876">
        <f t="shared" si="151"/>
        <v>420.73800000000119</v>
      </c>
      <c r="Q194" s="876">
        <f t="shared" si="151"/>
        <v>1243.268</v>
      </c>
      <c r="R194" s="876">
        <f t="shared" si="151"/>
        <v>-587.02499999999964</v>
      </c>
      <c r="S194" s="876">
        <f t="shared" si="151"/>
        <v>172.20973899056662</v>
      </c>
      <c r="T194" s="876">
        <f t="shared" si="151"/>
        <v>257.30850802897476</v>
      </c>
      <c r="U194" s="876">
        <f>U193-T193</f>
        <v>39.234849052416394</v>
      </c>
      <c r="V194" s="876">
        <f>V193-U193</f>
        <v>46.363006892594058</v>
      </c>
      <c r="W194" s="876">
        <f>W193-V193</f>
        <v>17.639012357476531</v>
      </c>
      <c r="X194" s="876">
        <f>X193-W193</f>
        <v>190.45086382335285</v>
      </c>
      <c r="Y194" s="876">
        <f>Y193-X193</f>
        <v>171.39634918170123</v>
      </c>
    </row>
    <row r="195" spans="2:25">
      <c r="B195" s="874" t="s">
        <v>2852</v>
      </c>
      <c r="D195" s="807"/>
      <c r="E195" s="807"/>
      <c r="F195" s="807"/>
      <c r="G195" s="807"/>
      <c r="H195" s="807"/>
      <c r="I195" s="848"/>
      <c r="J195" s="876">
        <f t="shared" ref="J195:T195" si="152">J185/AVERAGE(I193,J193)/12*1000</f>
        <v>287.22097876716475</v>
      </c>
      <c r="K195" s="876">
        <f t="shared" si="152"/>
        <v>283.4657707144508</v>
      </c>
      <c r="L195" s="876">
        <f t="shared" si="152"/>
        <v>277.69162234423356</v>
      </c>
      <c r="M195" s="876">
        <f t="shared" si="152"/>
        <v>275.17460710932164</v>
      </c>
      <c r="N195" s="876">
        <f t="shared" si="152"/>
        <v>283.75173548051106</v>
      </c>
      <c r="O195" s="876">
        <f t="shared" si="152"/>
        <v>283.56211889959013</v>
      </c>
      <c r="P195" s="876">
        <f t="shared" si="152"/>
        <v>281.36779638700057</v>
      </c>
      <c r="Q195" s="876">
        <f t="shared" si="152"/>
        <v>267.98147516982954</v>
      </c>
      <c r="R195" s="876">
        <f t="shared" si="152"/>
        <v>264.38180975138602</v>
      </c>
      <c r="S195" s="876">
        <f t="shared" si="152"/>
        <v>267.99526430335374</v>
      </c>
      <c r="T195" s="876">
        <f t="shared" si="152"/>
        <v>266.89807453800239</v>
      </c>
      <c r="U195" s="876">
        <f>U185/AVERAGE(T193,U193)/12*1000</f>
        <v>269.63825254754823</v>
      </c>
      <c r="V195" s="876">
        <f>V185/AVERAGE(U193,V193)/12*1000</f>
        <v>275.62003227685187</v>
      </c>
      <c r="W195" s="876">
        <f>W185/AVERAGE(V193,W193)/12*1000</f>
        <v>283.99440209152732</v>
      </c>
      <c r="X195" s="876">
        <f>X185/AVERAGE(W193,X193)/12*1000</f>
        <v>291.98839793619851</v>
      </c>
      <c r="Y195" s="876">
        <f>Y185/AVERAGE(X193,Y193)/12*1000</f>
        <v>298.76877632158357</v>
      </c>
    </row>
    <row r="196" spans="2:25">
      <c r="B196" s="874" t="s">
        <v>181</v>
      </c>
      <c r="D196" s="807"/>
      <c r="E196" s="807"/>
      <c r="F196" s="807"/>
      <c r="G196" s="807"/>
      <c r="H196" s="807"/>
      <c r="I196" s="869"/>
      <c r="J196" s="1005"/>
      <c r="K196" s="1027">
        <f>K195/J195-1</f>
        <v>-1.3074281930353426E-2</v>
      </c>
      <c r="L196" s="1027">
        <f t="shared" ref="L196:T196" si="153">L195/K195-1</f>
        <v>-2.0369825801767827E-2</v>
      </c>
      <c r="M196" s="1027">
        <f t="shared" si="153"/>
        <v>-9.0640661524594712E-3</v>
      </c>
      <c r="N196" s="1027">
        <f t="shared" si="153"/>
        <v>3.1169766939221466E-2</v>
      </c>
      <c r="O196" s="1027">
        <f t="shared" si="153"/>
        <v>-6.6824818040256417E-4</v>
      </c>
      <c r="P196" s="1027">
        <f t="shared" si="153"/>
        <v>-7.738419084696524E-3</v>
      </c>
      <c r="Q196" s="1027">
        <f t="shared" si="153"/>
        <v>-4.757588248926381E-2</v>
      </c>
      <c r="R196" s="1027">
        <f t="shared" si="153"/>
        <v>-1.3432515871338757E-2</v>
      </c>
      <c r="S196" s="1027">
        <f t="shared" si="153"/>
        <v>1.3667561150919161E-2</v>
      </c>
      <c r="T196" s="1027">
        <f t="shared" si="153"/>
        <v>-4.0940640059572431E-3</v>
      </c>
      <c r="U196" s="1027">
        <f>U195/T195-1</f>
        <v>1.0266758253273611E-2</v>
      </c>
      <c r="V196" s="1027">
        <f>V195/U195-1</f>
        <v>2.2184462600493893E-2</v>
      </c>
      <c r="W196" s="1027">
        <f>W195/V195-1</f>
        <v>3.038374876273009E-2</v>
      </c>
      <c r="X196" s="1027">
        <f>X195/W195-1</f>
        <v>2.8148427524620212E-2</v>
      </c>
      <c r="Y196" s="1027">
        <f>Y195/X195-1</f>
        <v>2.322139658051281E-2</v>
      </c>
    </row>
    <row r="198" spans="2:25">
      <c r="B198" s="743" t="s">
        <v>57</v>
      </c>
      <c r="C198" s="743"/>
      <c r="D198" s="743">
        <f t="shared" ref="D198:Y198" si="154">D1</f>
        <v>2009</v>
      </c>
      <c r="E198" s="743">
        <f t="shared" si="154"/>
        <v>2010</v>
      </c>
      <c r="F198" s="743">
        <f t="shared" si="154"/>
        <v>2011</v>
      </c>
      <c r="G198" s="743">
        <f t="shared" si="154"/>
        <v>2012</v>
      </c>
      <c r="H198" s="743">
        <f t="shared" si="154"/>
        <v>2013</v>
      </c>
      <c r="I198" s="743">
        <f t="shared" si="154"/>
        <v>2014</v>
      </c>
      <c r="J198" s="743">
        <f t="shared" si="154"/>
        <v>2015</v>
      </c>
      <c r="K198" s="743">
        <f t="shared" si="154"/>
        <v>2016</v>
      </c>
      <c r="L198" s="743">
        <f t="shared" si="154"/>
        <v>2017</v>
      </c>
      <c r="M198" s="743">
        <f t="shared" si="154"/>
        <v>2018</v>
      </c>
      <c r="N198" s="743">
        <f t="shared" si="154"/>
        <v>2019</v>
      </c>
      <c r="O198" s="743">
        <f t="shared" si="154"/>
        <v>2020</v>
      </c>
      <c r="P198" s="743">
        <f t="shared" si="154"/>
        <v>2021</v>
      </c>
      <c r="Q198" s="743">
        <f t="shared" si="154"/>
        <v>2022</v>
      </c>
      <c r="R198" s="743">
        <f t="shared" si="154"/>
        <v>2023</v>
      </c>
      <c r="S198" s="743">
        <f t="shared" si="154"/>
        <v>2024</v>
      </c>
      <c r="T198" s="743">
        <f t="shared" si="154"/>
        <v>2025</v>
      </c>
      <c r="U198" s="743">
        <f t="shared" si="154"/>
        <v>2026</v>
      </c>
      <c r="V198" s="743">
        <f t="shared" si="154"/>
        <v>2027</v>
      </c>
      <c r="W198" s="743">
        <f t="shared" si="154"/>
        <v>2028</v>
      </c>
      <c r="X198" s="743">
        <f t="shared" si="154"/>
        <v>2029</v>
      </c>
      <c r="Y198" s="743">
        <f t="shared" si="154"/>
        <v>2030</v>
      </c>
    </row>
    <row r="199" spans="2:25">
      <c r="B199" s="685" t="str">
        <f>B168</f>
        <v>Cablevision</v>
      </c>
      <c r="F199" s="848">
        <f>Interims!K297</f>
        <v>1697.2</v>
      </c>
      <c r="G199" s="848">
        <f>Interims!P297</f>
        <v>2033.8000000000002</v>
      </c>
      <c r="H199" s="848">
        <f>Interims!U297</f>
        <v>2266.1999999999998</v>
      </c>
      <c r="I199" s="848">
        <f>I212*I168</f>
        <v>2721.6552824999994</v>
      </c>
      <c r="J199" s="848">
        <f>J212*J168</f>
        <v>3016.7745299999997</v>
      </c>
      <c r="K199" s="848"/>
      <c r="L199" s="848"/>
      <c r="M199" s="848"/>
      <c r="N199" s="848"/>
      <c r="O199" s="848"/>
      <c r="P199" s="848"/>
      <c r="Q199" s="848"/>
      <c r="R199" s="848"/>
      <c r="S199" s="848"/>
      <c r="T199" s="848"/>
      <c r="U199" s="848"/>
      <c r="V199" s="848"/>
      <c r="W199" s="848"/>
      <c r="X199" s="848"/>
      <c r="Y199" s="848"/>
    </row>
    <row r="200" spans="2:25">
      <c r="B200" s="685" t="str">
        <f>B170</f>
        <v>Cablemas</v>
      </c>
      <c r="F200" s="848">
        <f>Interims!K298</f>
        <v>1806.1</v>
      </c>
      <c r="G200" s="848">
        <f>Interims!P298</f>
        <v>2007.6000000000001</v>
      </c>
      <c r="H200" s="848">
        <f>Interims!U298</f>
        <v>2108.9000000000005</v>
      </c>
      <c r="I200" s="848">
        <f>I170*I213</f>
        <v>2453.3442</v>
      </c>
      <c r="J200" s="848">
        <f>J170*J213</f>
        <v>3080.3099400000001</v>
      </c>
      <c r="K200" s="848"/>
      <c r="L200" s="848"/>
      <c r="M200" s="848"/>
      <c r="N200" s="848"/>
      <c r="O200" s="848"/>
      <c r="P200" s="848"/>
      <c r="Q200" s="848"/>
      <c r="R200" s="848"/>
      <c r="S200" s="848"/>
      <c r="T200" s="848"/>
      <c r="U200" s="848"/>
      <c r="V200" s="848"/>
      <c r="W200" s="848"/>
      <c r="X200" s="848"/>
      <c r="Y200" s="848"/>
    </row>
    <row r="201" spans="2:25">
      <c r="B201" s="685" t="str">
        <f>B172</f>
        <v>TVI</v>
      </c>
      <c r="F201" s="848">
        <f>Interims!K299</f>
        <v>926.2</v>
      </c>
      <c r="G201" s="848">
        <f>Interims!P299</f>
        <v>1065.5999999999999</v>
      </c>
      <c r="H201" s="848">
        <f>Interims!U299</f>
        <v>1177.5999999999999</v>
      </c>
      <c r="I201" s="848">
        <f>I214*I172</f>
        <v>1344.6619199999998</v>
      </c>
      <c r="J201" s="848">
        <f>J214*J172</f>
        <v>1586.7010655999995</v>
      </c>
      <c r="K201" s="848"/>
      <c r="L201" s="848"/>
      <c r="M201" s="848"/>
      <c r="N201" s="848"/>
      <c r="O201" s="848"/>
      <c r="P201" s="848"/>
      <c r="Q201" s="848"/>
      <c r="R201" s="848"/>
      <c r="S201" s="848"/>
      <c r="T201" s="848"/>
      <c r="U201" s="848"/>
      <c r="V201" s="848"/>
      <c r="W201" s="848"/>
      <c r="X201" s="848"/>
      <c r="Y201" s="848"/>
    </row>
    <row r="202" spans="2:25">
      <c r="B202" s="685" t="str">
        <f>B174</f>
        <v>Bestel</v>
      </c>
      <c r="F202" s="848">
        <f>Interims!K300</f>
        <v>573.4</v>
      </c>
      <c r="G202" s="848">
        <f>Interims!P300</f>
        <v>955.59999999999991</v>
      </c>
      <c r="H202" s="848">
        <f>Interims!U300</f>
        <v>820.7</v>
      </c>
      <c r="I202" s="848">
        <f>I206-I203-I199-I200-I201</f>
        <v>1137.5385974999992</v>
      </c>
      <c r="J202" s="848">
        <f>J215*J174</f>
        <v>1211.8914719999996</v>
      </c>
      <c r="K202" s="848"/>
      <c r="L202" s="848"/>
      <c r="M202" s="848"/>
      <c r="N202" s="848"/>
      <c r="O202" s="848"/>
      <c r="P202" s="848"/>
      <c r="Q202" s="848"/>
      <c r="R202" s="848"/>
      <c r="S202" s="848"/>
      <c r="T202" s="848"/>
      <c r="U202" s="848"/>
      <c r="V202" s="848"/>
      <c r="W202" s="848"/>
      <c r="X202" s="848"/>
      <c r="Y202" s="848"/>
    </row>
    <row r="203" spans="2:25">
      <c r="B203" s="685" t="str">
        <f>B176</f>
        <v>Cablecom</v>
      </c>
      <c r="F203" s="848"/>
      <c r="G203" s="848"/>
      <c r="H203" s="848"/>
      <c r="I203" s="1034">
        <f>SUM(Interims!V301:Y301)</f>
        <v>588.1</v>
      </c>
      <c r="J203" s="848">
        <f>J216*J176</f>
        <v>1811.16</v>
      </c>
      <c r="K203" s="848"/>
      <c r="L203" s="848"/>
      <c r="M203" s="848"/>
      <c r="N203" s="848"/>
      <c r="O203" s="848"/>
      <c r="P203" s="848"/>
      <c r="Q203" s="848"/>
      <c r="R203" s="848"/>
      <c r="S203" s="848"/>
      <c r="T203" s="848"/>
      <c r="U203" s="848"/>
      <c r="V203" s="848"/>
      <c r="W203" s="848"/>
      <c r="X203" s="848"/>
      <c r="Y203" s="848"/>
    </row>
    <row r="204" spans="2:25">
      <c r="B204" s="685" t="str">
        <f>B178</f>
        <v>Cablevision Red</v>
      </c>
      <c r="F204" s="848"/>
      <c r="G204" s="848"/>
      <c r="H204" s="848"/>
      <c r="I204" s="848"/>
      <c r="J204" s="1034">
        <v>1050</v>
      </c>
      <c r="K204" s="848"/>
      <c r="L204" s="848"/>
      <c r="M204" s="848"/>
      <c r="N204" s="848"/>
      <c r="O204" s="848"/>
      <c r="P204" s="848"/>
      <c r="Q204" s="848"/>
      <c r="R204" s="848"/>
      <c r="S204" s="848"/>
      <c r="T204" s="848"/>
      <c r="U204" s="848"/>
      <c r="V204" s="848"/>
      <c r="W204" s="848"/>
      <c r="X204" s="848"/>
      <c r="Y204" s="848"/>
    </row>
    <row r="205" spans="2:25">
      <c r="B205" s="743" t="s">
        <v>1931</v>
      </c>
      <c r="C205" s="743"/>
      <c r="D205" s="743"/>
      <c r="E205" s="743"/>
      <c r="F205" s="901"/>
      <c r="G205" s="901"/>
      <c r="H205" s="901"/>
      <c r="I205" s="1035">
        <f>Mobile!E28</f>
        <v>0</v>
      </c>
      <c r="J205" s="1035">
        <f>Mobile!F28</f>
        <v>0</v>
      </c>
      <c r="K205" s="1035">
        <f>Mobile!G28</f>
        <v>0</v>
      </c>
      <c r="L205" s="1035">
        <f>Mobile!H28</f>
        <v>0</v>
      </c>
      <c r="M205" s="1035">
        <f>Mobile!I28</f>
        <v>0</v>
      </c>
      <c r="N205" s="1035">
        <f>Mobile!J28</f>
        <v>0</v>
      </c>
      <c r="O205" s="1035">
        <f>Mobile!K28</f>
        <v>-10.511688000000001</v>
      </c>
      <c r="P205" s="1035">
        <f>Mobile!L28</f>
        <v>0</v>
      </c>
      <c r="Q205" s="1035">
        <f>Mobile!M28</f>
        <v>55.130299200000003</v>
      </c>
      <c r="R205" s="1035">
        <f>Mobile!N28</f>
        <v>76.281600000000012</v>
      </c>
      <c r="S205" s="1035">
        <f>Mobile!O28</f>
        <v>91.498072085722498</v>
      </c>
      <c r="T205" s="1035">
        <f>Mobile!P28</f>
        <v>106.22947165865904</v>
      </c>
      <c r="U205" s="1035">
        <f>Mobile!Q28</f>
        <v>0</v>
      </c>
      <c r="V205" s="1035">
        <f>Mobile!R28</f>
        <v>0</v>
      </c>
      <c r="W205" s="1035">
        <f>Mobile!S28</f>
        <v>0</v>
      </c>
      <c r="X205" s="1035">
        <f>Mobile!T28</f>
        <v>0</v>
      </c>
      <c r="Y205" s="1035">
        <f>Mobile!U28</f>
        <v>0</v>
      </c>
    </row>
    <row r="206" spans="2:25">
      <c r="B206" s="685" t="s">
        <v>503</v>
      </c>
      <c r="F206" s="848">
        <f>SUM(F199:F205)</f>
        <v>5002.8999999999996</v>
      </c>
      <c r="G206" s="848">
        <f>SUM(G199:G205)</f>
        <v>6062.6</v>
      </c>
      <c r="H206" s="848">
        <f>SUM(H199:H205)</f>
        <v>6373.4000000000005</v>
      </c>
      <c r="I206" s="848">
        <f>I208-I207</f>
        <v>8245.2999999999993</v>
      </c>
      <c r="J206" s="848">
        <f>SUM(J199:J205)</f>
        <v>11756.837007599999</v>
      </c>
      <c r="K206" s="848"/>
      <c r="L206" s="848"/>
      <c r="M206" s="848"/>
      <c r="N206" s="848"/>
      <c r="O206" s="848"/>
      <c r="P206" s="848"/>
      <c r="Q206" s="848"/>
      <c r="R206" s="848"/>
      <c r="S206" s="848"/>
      <c r="T206" s="848"/>
      <c r="U206" s="848"/>
      <c r="V206" s="848"/>
      <c r="W206" s="848"/>
      <c r="X206" s="848"/>
      <c r="Y206" s="848"/>
    </row>
    <row r="207" spans="2:25">
      <c r="B207" s="685" t="s">
        <v>504</v>
      </c>
      <c r="F207" s="849">
        <f>F208-F206</f>
        <v>-223.89999999999964</v>
      </c>
      <c r="G207" s="849">
        <f>G208-G206</f>
        <v>-249.80000000000109</v>
      </c>
      <c r="H207" s="849">
        <f>H208-H206</f>
        <v>-241.60000000000036</v>
      </c>
      <c r="I207" s="1002">
        <f>H207*1.5</f>
        <v>-362.40000000000055</v>
      </c>
      <c r="J207" s="849">
        <f>J208-J206</f>
        <v>-351.23700759999883</v>
      </c>
      <c r="K207" s="849"/>
      <c r="L207" s="849"/>
      <c r="M207" s="849"/>
      <c r="N207" s="849"/>
      <c r="O207" s="849"/>
      <c r="P207" s="849"/>
      <c r="Q207" s="849"/>
      <c r="R207" s="849"/>
      <c r="S207" s="849"/>
      <c r="T207" s="849"/>
      <c r="U207" s="849"/>
      <c r="V207" s="849"/>
      <c r="W207" s="849"/>
      <c r="X207" s="849"/>
      <c r="Y207" s="849"/>
    </row>
    <row r="208" spans="2:25">
      <c r="B208" s="685" t="s">
        <v>505</v>
      </c>
      <c r="D208" s="978">
        <f>Master!H68</f>
        <v>2972</v>
      </c>
      <c r="E208" s="978">
        <f>Master!I68</f>
        <v>3907</v>
      </c>
      <c r="F208" s="978">
        <f>Master!J68</f>
        <v>4779</v>
      </c>
      <c r="G208" s="978">
        <f>Master!K68</f>
        <v>5812.7999999999993</v>
      </c>
      <c r="H208" s="978">
        <f>Master!L68</f>
        <v>6131.8</v>
      </c>
      <c r="I208" s="978">
        <f>Master!M68</f>
        <v>7882.9</v>
      </c>
      <c r="J208" s="978">
        <f>Master!N68</f>
        <v>11405.6</v>
      </c>
      <c r="K208" s="978">
        <f>Master!O68</f>
        <v>13236.1</v>
      </c>
      <c r="L208" s="978">
        <f>Master!P68</f>
        <v>14035</v>
      </c>
      <c r="M208" s="978">
        <f>Master!Q68</f>
        <v>15303</v>
      </c>
      <c r="N208" s="978">
        <f>Master!R68</f>
        <v>17798</v>
      </c>
      <c r="O208" s="978">
        <f>Master!S68</f>
        <v>18898.3</v>
      </c>
      <c r="P208" s="978">
        <f>Master!T68</f>
        <v>20285</v>
      </c>
      <c r="Q208" s="978">
        <f>Master!U68</f>
        <v>19902.8</v>
      </c>
      <c r="R208" s="978">
        <f>Master!V68</f>
        <v>18821</v>
      </c>
      <c r="S208" s="848">
        <f>S219*S185</f>
        <v>18178.931250000001</v>
      </c>
      <c r="T208" s="848">
        <f t="shared" ref="T208:Y208" si="155">T219*T185</f>
        <v>18237.49425</v>
      </c>
      <c r="U208" s="848">
        <f t="shared" si="155"/>
        <v>18602.244135000001</v>
      </c>
      <c r="V208" s="848">
        <f t="shared" si="155"/>
        <v>19067.300238374999</v>
      </c>
      <c r="W208" s="848">
        <f t="shared" si="155"/>
        <v>19686.987496122183</v>
      </c>
      <c r="X208" s="848">
        <f t="shared" si="155"/>
        <v>20376.032058486457</v>
      </c>
      <c r="Y208" s="848">
        <f t="shared" si="155"/>
        <v>21089.193180533479</v>
      </c>
    </row>
    <row r="209" spans="2:25">
      <c r="B209" s="685" t="s">
        <v>181</v>
      </c>
      <c r="E209" s="807">
        <f t="shared" ref="E209:T209" si="156">E208/D208-1</f>
        <v>0.31460296096904439</v>
      </c>
      <c r="F209" s="807">
        <f t="shared" si="156"/>
        <v>0.22318914768364473</v>
      </c>
      <c r="G209" s="807">
        <f t="shared" si="156"/>
        <v>0.21632140615191453</v>
      </c>
      <c r="H209" s="807">
        <f t="shared" si="156"/>
        <v>5.4878887971373747E-2</v>
      </c>
      <c r="I209" s="807">
        <f t="shared" si="156"/>
        <v>0.28557682898985615</v>
      </c>
      <c r="J209" s="807">
        <f t="shared" si="156"/>
        <v>0.44687868677770881</v>
      </c>
      <c r="K209" s="807">
        <f t="shared" si="156"/>
        <v>0.16049133758855305</v>
      </c>
      <c r="L209" s="807">
        <f t="shared" si="156"/>
        <v>6.0357658222588206E-2</v>
      </c>
      <c r="M209" s="807">
        <f t="shared" si="156"/>
        <v>9.0345564659779054E-2</v>
      </c>
      <c r="N209" s="807">
        <f t="shared" si="156"/>
        <v>0.16303992681173618</v>
      </c>
      <c r="O209" s="807">
        <f t="shared" si="156"/>
        <v>6.1821552983481354E-2</v>
      </c>
      <c r="P209" s="807">
        <f t="shared" si="156"/>
        <v>7.3376970415328424E-2</v>
      </c>
      <c r="Q209" s="807">
        <f t="shared" si="156"/>
        <v>-1.8841508503820603E-2</v>
      </c>
      <c r="R209" s="807">
        <f t="shared" si="156"/>
        <v>-5.4354161223546416E-2</v>
      </c>
      <c r="S209" s="807">
        <f t="shared" si="156"/>
        <v>-3.4114486477870409E-2</v>
      </c>
      <c r="T209" s="807">
        <f t="shared" si="156"/>
        <v>3.2214765100671006E-3</v>
      </c>
      <c r="U209" s="807">
        <f>U208/T208-1</f>
        <v>2.0000000000000018E-2</v>
      </c>
      <c r="V209" s="807">
        <f>V208/U208-1</f>
        <v>2.4999999999999911E-2</v>
      </c>
      <c r="W209" s="807">
        <f>W208/V208-1</f>
        <v>3.2499999999999751E-2</v>
      </c>
      <c r="X209" s="807">
        <f>X208/W208-1</f>
        <v>3.499999999999992E-2</v>
      </c>
      <c r="Y209" s="807">
        <f>Y208/X208-1</f>
        <v>3.499999999999992E-2</v>
      </c>
    </row>
    <row r="211" spans="2:25">
      <c r="B211" s="743" t="s">
        <v>506</v>
      </c>
      <c r="C211" s="743"/>
      <c r="D211" s="743">
        <f t="shared" ref="D211:M211" si="157">D198</f>
        <v>2009</v>
      </c>
      <c r="E211" s="743">
        <f t="shared" si="157"/>
        <v>2010</v>
      </c>
      <c r="F211" s="743">
        <f t="shared" si="157"/>
        <v>2011</v>
      </c>
      <c r="G211" s="743">
        <f t="shared" si="157"/>
        <v>2012</v>
      </c>
      <c r="H211" s="743">
        <f t="shared" si="157"/>
        <v>2013</v>
      </c>
      <c r="I211" s="743">
        <f t="shared" si="157"/>
        <v>2014</v>
      </c>
      <c r="J211" s="743">
        <f t="shared" si="157"/>
        <v>2015</v>
      </c>
      <c r="K211" s="743">
        <f t="shared" si="157"/>
        <v>2016</v>
      </c>
      <c r="L211" s="743">
        <f t="shared" si="157"/>
        <v>2017</v>
      </c>
      <c r="M211" s="743">
        <f t="shared" si="157"/>
        <v>2018</v>
      </c>
      <c r="N211" s="743">
        <f t="shared" ref="N211:T211" si="158">N198</f>
        <v>2019</v>
      </c>
      <c r="O211" s="743">
        <f t="shared" si="158"/>
        <v>2020</v>
      </c>
      <c r="P211" s="743">
        <f t="shared" si="158"/>
        <v>2021</v>
      </c>
      <c r="Q211" s="743">
        <f t="shared" si="158"/>
        <v>2022</v>
      </c>
      <c r="R211" s="743">
        <f t="shared" si="158"/>
        <v>2023</v>
      </c>
      <c r="S211" s="743">
        <f t="shared" si="158"/>
        <v>2024</v>
      </c>
      <c r="T211" s="743">
        <f t="shared" si="158"/>
        <v>2025</v>
      </c>
      <c r="U211" s="743">
        <f>U198</f>
        <v>2026</v>
      </c>
      <c r="V211" s="743">
        <f>V198</f>
        <v>2027</v>
      </c>
      <c r="W211" s="743">
        <f>W198</f>
        <v>2028</v>
      </c>
      <c r="X211" s="743">
        <f>X198</f>
        <v>2029</v>
      </c>
      <c r="Y211" s="743">
        <f>Y198</f>
        <v>2030</v>
      </c>
    </row>
    <row r="212" spans="2:25">
      <c r="B212" s="685" t="str">
        <f t="shared" ref="B212:B217" si="159">B199</f>
        <v>Cablevision</v>
      </c>
      <c r="F212" s="869">
        <f>F199/F168</f>
        <v>0.38648267067450021</v>
      </c>
      <c r="G212" s="869">
        <f>G199/G168</f>
        <v>0.40344369284481563</v>
      </c>
      <c r="H212" s="869">
        <f>H199/H168</f>
        <v>0.3991123791409098</v>
      </c>
      <c r="I212" s="1001">
        <v>0.41499999999999998</v>
      </c>
      <c r="J212" s="1001">
        <v>0.4</v>
      </c>
      <c r="K212" s="869"/>
      <c r="L212" s="869"/>
      <c r="M212" s="869"/>
      <c r="N212" s="869"/>
      <c r="O212" s="869"/>
      <c r="P212" s="869"/>
      <c r="Q212" s="869"/>
      <c r="R212" s="869"/>
      <c r="S212" s="869"/>
      <c r="T212" s="869"/>
      <c r="U212" s="869"/>
      <c r="V212" s="869"/>
      <c r="W212" s="869"/>
      <c r="X212" s="869"/>
      <c r="Y212" s="869"/>
    </row>
    <row r="213" spans="2:25">
      <c r="B213" s="685" t="str">
        <f t="shared" si="159"/>
        <v>Cablemas</v>
      </c>
      <c r="F213" s="869">
        <f>F200/F170</f>
        <v>0.38214633320638142</v>
      </c>
      <c r="G213" s="869">
        <f>G200/G170</f>
        <v>0.36906447046712137</v>
      </c>
      <c r="H213" s="869">
        <f>H200/H170</f>
        <v>0.34349702744523181</v>
      </c>
      <c r="I213" s="1001">
        <v>0.36</v>
      </c>
      <c r="J213" s="1001">
        <v>0.4</v>
      </c>
      <c r="K213" s="869"/>
      <c r="L213" s="869"/>
      <c r="M213" s="869"/>
      <c r="N213" s="869"/>
      <c r="O213" s="869"/>
      <c r="P213" s="869"/>
      <c r="Q213" s="869"/>
      <c r="R213" s="869"/>
      <c r="S213" s="869"/>
      <c r="T213" s="869"/>
      <c r="U213" s="869"/>
      <c r="V213" s="869"/>
      <c r="W213" s="869"/>
      <c r="X213" s="869"/>
      <c r="Y213" s="869"/>
    </row>
    <row r="214" spans="2:25">
      <c r="B214" s="685" t="str">
        <f t="shared" si="159"/>
        <v>TVI</v>
      </c>
      <c r="F214" s="869">
        <f>F201/F172</f>
        <v>0.42628986974731908</v>
      </c>
      <c r="G214" s="869">
        <f>G201/G172</f>
        <v>0.43061504889679147</v>
      </c>
      <c r="H214" s="869">
        <f>H201/H172</f>
        <v>0.43402624207577767</v>
      </c>
      <c r="I214" s="1001">
        <v>0.42</v>
      </c>
      <c r="J214" s="1001">
        <v>0.42</v>
      </c>
      <c r="K214" s="869"/>
      <c r="L214" s="869"/>
      <c r="M214" s="869"/>
      <c r="N214" s="869"/>
      <c r="O214" s="869"/>
      <c r="P214" s="869"/>
      <c r="Q214" s="869"/>
      <c r="R214" s="869"/>
      <c r="S214" s="869"/>
      <c r="T214" s="869"/>
      <c r="U214" s="869"/>
      <c r="V214" s="869"/>
      <c r="W214" s="869"/>
      <c r="X214" s="869"/>
      <c r="Y214" s="869"/>
    </row>
    <row r="215" spans="2:25">
      <c r="B215" s="685" t="str">
        <f t="shared" si="159"/>
        <v>Bestel</v>
      </c>
      <c r="F215" s="869">
        <f>F202/F174</f>
        <v>0.21026769343601026</v>
      </c>
      <c r="G215" s="869">
        <f>G202/G174</f>
        <v>0.31436278702546216</v>
      </c>
      <c r="H215" s="869">
        <f>H202/H174</f>
        <v>0.26895851084747985</v>
      </c>
      <c r="I215" s="869">
        <f>I202/I174</f>
        <v>0.33040383200254081</v>
      </c>
      <c r="J215" s="1001">
        <v>0.32</v>
      </c>
      <c r="K215" s="869"/>
      <c r="L215" s="869"/>
      <c r="M215" s="869"/>
      <c r="N215" s="869"/>
      <c r="O215" s="869"/>
      <c r="P215" s="869"/>
      <c r="Q215" s="869"/>
      <c r="R215" s="869"/>
      <c r="S215" s="869"/>
      <c r="T215" s="869"/>
      <c r="U215" s="869"/>
      <c r="V215" s="869"/>
      <c r="W215" s="869"/>
      <c r="X215" s="869"/>
      <c r="Y215" s="869"/>
    </row>
    <row r="216" spans="2:25">
      <c r="B216" s="685" t="str">
        <f t="shared" si="159"/>
        <v>Cablecom</v>
      </c>
      <c r="F216" s="869"/>
      <c r="G216" s="869"/>
      <c r="H216" s="869"/>
      <c r="I216" s="1001">
        <v>0.44</v>
      </c>
      <c r="J216" s="1001">
        <v>0.43</v>
      </c>
      <c r="K216" s="869"/>
      <c r="L216" s="869"/>
      <c r="M216" s="869"/>
      <c r="N216" s="869"/>
      <c r="O216" s="869"/>
      <c r="P216" s="869"/>
      <c r="Q216" s="869"/>
      <c r="R216" s="869"/>
      <c r="S216" s="869"/>
      <c r="T216" s="869"/>
      <c r="U216" s="869"/>
      <c r="V216" s="869"/>
      <c r="W216" s="869"/>
      <c r="X216" s="869"/>
      <c r="Y216" s="869"/>
    </row>
    <row r="217" spans="2:25">
      <c r="B217" s="685" t="str">
        <f t="shared" si="159"/>
        <v>Cablevision Red</v>
      </c>
      <c r="F217" s="869"/>
      <c r="G217" s="869"/>
      <c r="H217" s="869"/>
      <c r="I217" s="869"/>
      <c r="J217" s="869">
        <f>J204/J178</f>
        <v>0.5</v>
      </c>
      <c r="K217" s="869"/>
      <c r="L217" s="869"/>
      <c r="M217" s="869"/>
      <c r="N217" s="869"/>
      <c r="O217" s="869"/>
      <c r="P217" s="869"/>
      <c r="Q217" s="869"/>
      <c r="R217" s="869"/>
      <c r="S217" s="869"/>
      <c r="T217" s="869"/>
      <c r="U217" s="869"/>
      <c r="V217" s="869"/>
      <c r="W217" s="869"/>
      <c r="X217" s="869"/>
      <c r="Y217" s="869"/>
    </row>
    <row r="218" spans="2:25">
      <c r="B218" s="743" t="s">
        <v>1931</v>
      </c>
      <c r="C218" s="743"/>
      <c r="D218" s="743"/>
      <c r="E218" s="743"/>
      <c r="F218" s="1026"/>
      <c r="G218" s="1026"/>
      <c r="H218" s="1026"/>
      <c r="I218" s="1026"/>
      <c r="J218" s="1026"/>
      <c r="K218" s="1026"/>
      <c r="L218" s="1026"/>
      <c r="M218" s="1026"/>
      <c r="N218" s="1026"/>
      <c r="O218" s="1026"/>
      <c r="P218" s="1026"/>
      <c r="Q218" s="1026"/>
      <c r="R218" s="1026"/>
      <c r="S218" s="1026"/>
      <c r="T218" s="1026"/>
      <c r="U218" s="1026"/>
      <c r="V218" s="1026"/>
      <c r="W218" s="1026"/>
      <c r="X218" s="1026"/>
      <c r="Y218" s="1026"/>
    </row>
    <row r="219" spans="2:25">
      <c r="B219" s="685" t="str">
        <f>B206</f>
        <v xml:space="preserve">Total cable </v>
      </c>
      <c r="F219" s="869">
        <f t="shared" ref="F219:O219" si="160">F208/F185</f>
        <v>0.350484767590243</v>
      </c>
      <c r="G219" s="869">
        <f t="shared" si="160"/>
        <v>0.37332374248574213</v>
      </c>
      <c r="H219" s="869">
        <f t="shared" si="160"/>
        <v>0.35777300627815251</v>
      </c>
      <c r="I219" s="869">
        <f t="shared" si="160"/>
        <v>0.37650211107502435</v>
      </c>
      <c r="J219" s="869">
        <f t="shared" si="160"/>
        <v>0.40036084989276299</v>
      </c>
      <c r="K219" s="869">
        <f t="shared" si="160"/>
        <v>0.4150340528540431</v>
      </c>
      <c r="L219" s="869">
        <f t="shared" si="160"/>
        <v>0.42468530622125394</v>
      </c>
      <c r="M219" s="869">
        <f t="shared" si="160"/>
        <v>0.42234979162641789</v>
      </c>
      <c r="N219" s="869">
        <f t="shared" si="160"/>
        <v>0.42679008201045515</v>
      </c>
      <c r="O219" s="869">
        <f t="shared" si="160"/>
        <v>0.41656398579587411</v>
      </c>
      <c r="P219" s="869">
        <f>P208/P185</f>
        <v>0.4224202378547674</v>
      </c>
      <c r="Q219" s="869">
        <f>Q208/Q185</f>
        <v>0.41111464560293148</v>
      </c>
      <c r="R219" s="869">
        <f>R208/R185</f>
        <v>0.38565647251677682</v>
      </c>
      <c r="S219" s="1001">
        <v>0.3725</v>
      </c>
      <c r="T219" s="1001">
        <v>0.37</v>
      </c>
      <c r="U219" s="1001">
        <v>0.37</v>
      </c>
      <c r="V219" s="1001">
        <v>0.37</v>
      </c>
      <c r="W219" s="1001">
        <v>0.37</v>
      </c>
      <c r="X219" s="1001">
        <v>0.37</v>
      </c>
      <c r="Y219" s="1001">
        <v>0.37</v>
      </c>
    </row>
    <row r="221" spans="2:25">
      <c r="B221" s="685" t="str">
        <f>B212</f>
        <v>Cablevision</v>
      </c>
      <c r="G221" s="848">
        <f>122*Master!K$92</f>
        <v>1605.52</v>
      </c>
    </row>
    <row r="222" spans="2:25">
      <c r="B222" s="685" t="str">
        <f>B213</f>
        <v>Cablemas</v>
      </c>
      <c r="G222" s="848">
        <f>219*Master!K$92</f>
        <v>2882.04</v>
      </c>
    </row>
    <row r="223" spans="2:25">
      <c r="B223" s="685" t="str">
        <f>B214</f>
        <v>TVI</v>
      </c>
      <c r="G223" s="848">
        <f>88*Master!K$92</f>
        <v>1158.08</v>
      </c>
    </row>
    <row r="224" spans="2:25">
      <c r="B224" s="685" t="str">
        <f>B215</f>
        <v>Bestel</v>
      </c>
      <c r="G224" s="848">
        <f>G226-G221-G222-G223</f>
        <v>342.16000000000076</v>
      </c>
    </row>
    <row r="225" spans="2:25">
      <c r="B225" s="743" t="str">
        <f>B216</f>
        <v>Cablecom</v>
      </c>
      <c r="C225" s="743"/>
      <c r="D225" s="743"/>
      <c r="E225" s="743"/>
      <c r="F225" s="743"/>
      <c r="G225" s="901"/>
      <c r="H225" s="743"/>
      <c r="I225" s="743"/>
      <c r="J225" s="743"/>
      <c r="K225" s="743"/>
      <c r="L225" s="743"/>
      <c r="M225" s="743"/>
      <c r="N225" s="743"/>
      <c r="O225" s="743"/>
      <c r="P225" s="743"/>
      <c r="Q225" s="743"/>
      <c r="R225" s="743"/>
      <c r="S225" s="743"/>
      <c r="T225" s="743"/>
      <c r="U225" s="743"/>
      <c r="V225" s="743"/>
      <c r="W225" s="743"/>
      <c r="X225" s="743"/>
      <c r="Y225" s="743"/>
    </row>
    <row r="226" spans="2:25">
      <c r="B226" s="685" t="s">
        <v>201</v>
      </c>
      <c r="F226" s="978">
        <f>Master!J89</f>
        <v>5050.6399999999994</v>
      </c>
      <c r="G226" s="978">
        <f>Master!K89</f>
        <v>5987.8</v>
      </c>
      <c r="H226" s="978">
        <f>Master!L89</f>
        <v>7654.7239999999993</v>
      </c>
      <c r="I226" s="978">
        <f>Master!M89</f>
        <v>9355.5990000000002</v>
      </c>
      <c r="J226" s="978">
        <f>Master!N89</f>
        <v>17095.164000000001</v>
      </c>
      <c r="K226" s="978">
        <f>Master!O89</f>
        <v>18552.170000000002</v>
      </c>
      <c r="L226" s="978">
        <f>Master!P89</f>
        <v>10578.33</v>
      </c>
      <c r="M226" s="978">
        <f>Master!Q89</f>
        <v>12801.25</v>
      </c>
      <c r="N226" s="978">
        <f>Master!R89</f>
        <v>12966.800000000001</v>
      </c>
      <c r="O226" s="978">
        <f>Master!S89</f>
        <v>14230.5</v>
      </c>
      <c r="P226" s="978">
        <f>Master!T89</f>
        <v>17333.977760915466</v>
      </c>
      <c r="Q226" s="978">
        <f>Master!U89</f>
        <v>12989.048999999999</v>
      </c>
      <c r="R226" s="978">
        <f>Master!V89</f>
        <v>11204.1</v>
      </c>
      <c r="S226" s="848">
        <f t="shared" ref="S226:Y226" si="161">S236*(S185-S180)</f>
        <v>10614.543750000001</v>
      </c>
      <c r="T226" s="848">
        <f>T236*(T185-T180)</f>
        <v>10351.010249999999</v>
      </c>
      <c r="U226" s="848">
        <f t="shared" si="161"/>
        <v>10683.721293750001</v>
      </c>
      <c r="V226" s="848">
        <f t="shared" si="161"/>
        <v>10821.981216374998</v>
      </c>
      <c r="W226" s="848">
        <f t="shared" si="161"/>
        <v>11040.675420122576</v>
      </c>
      <c r="X226" s="848">
        <f t="shared" si="161"/>
        <v>11289.423167539793</v>
      </c>
      <c r="Y226" s="848">
        <f t="shared" si="161"/>
        <v>11684.552978403684</v>
      </c>
    </row>
    <row r="227" spans="2:25">
      <c r="B227" s="743" t="s">
        <v>1932</v>
      </c>
      <c r="C227" s="743"/>
      <c r="D227" s="743"/>
      <c r="E227" s="743"/>
      <c r="F227" s="901"/>
      <c r="G227" s="901"/>
      <c r="H227" s="901"/>
      <c r="I227" s="901"/>
      <c r="J227" s="901"/>
      <c r="K227" s="901"/>
      <c r="L227" s="901"/>
      <c r="M227" s="901"/>
      <c r="N227" s="901"/>
      <c r="O227" s="901"/>
      <c r="P227" s="901"/>
      <c r="Q227" s="901"/>
      <c r="R227" s="901"/>
      <c r="S227" s="901"/>
      <c r="T227" s="901"/>
      <c r="U227" s="901"/>
      <c r="V227" s="901"/>
      <c r="W227" s="901"/>
      <c r="X227" s="901"/>
      <c r="Y227" s="901"/>
    </row>
    <row r="228" spans="2:25">
      <c r="B228" s="685" t="s">
        <v>1933</v>
      </c>
      <c r="F228" s="848">
        <f>F226+F227</f>
        <v>5050.6399999999994</v>
      </c>
      <c r="G228" s="848">
        <f>G226+G227</f>
        <v>5987.8</v>
      </c>
      <c r="H228" s="848">
        <f>H226+H227</f>
        <v>7654.7239999999993</v>
      </c>
      <c r="I228" s="848">
        <f>I226+I227</f>
        <v>9355.5990000000002</v>
      </c>
      <c r="J228" s="848">
        <f>J226+J227</f>
        <v>17095.164000000001</v>
      </c>
      <c r="K228" s="848">
        <f t="shared" ref="K228:S228" si="162">K226+K227</f>
        <v>18552.170000000002</v>
      </c>
      <c r="L228" s="848">
        <f t="shared" si="162"/>
        <v>10578.33</v>
      </c>
      <c r="M228" s="848">
        <f>M226+M227</f>
        <v>12801.25</v>
      </c>
      <c r="N228" s="848">
        <f>N226+N227</f>
        <v>12966.800000000001</v>
      </c>
      <c r="O228" s="848">
        <f t="shared" si="162"/>
        <v>14230.5</v>
      </c>
      <c r="P228" s="848">
        <f t="shared" si="162"/>
        <v>17333.977760915466</v>
      </c>
      <c r="Q228" s="848">
        <f t="shared" si="162"/>
        <v>12989.048999999999</v>
      </c>
      <c r="R228" s="848">
        <f t="shared" si="162"/>
        <v>11204.1</v>
      </c>
      <c r="S228" s="848">
        <f t="shared" si="162"/>
        <v>10614.543750000001</v>
      </c>
      <c r="T228" s="848">
        <f t="shared" ref="T228:Y228" si="163">T226+T227</f>
        <v>10351.010249999999</v>
      </c>
      <c r="U228" s="848">
        <f t="shared" si="163"/>
        <v>10683.721293750001</v>
      </c>
      <c r="V228" s="848">
        <f t="shared" si="163"/>
        <v>10821.981216374998</v>
      </c>
      <c r="W228" s="848">
        <f t="shared" si="163"/>
        <v>11040.675420122576</v>
      </c>
      <c r="X228" s="848">
        <f t="shared" si="163"/>
        <v>11289.423167539793</v>
      </c>
      <c r="Y228" s="848">
        <f t="shared" si="163"/>
        <v>11684.552978403684</v>
      </c>
    </row>
    <row r="229" spans="2:25">
      <c r="B229" s="685" t="s">
        <v>1200</v>
      </c>
      <c r="F229" s="848">
        <f>F228/Master!J92</f>
        <v>405.99999999999994</v>
      </c>
      <c r="G229" s="848">
        <f>G228/Master!K92</f>
        <v>455</v>
      </c>
      <c r="H229" s="848">
        <f>H228/Master!L92</f>
        <v>599.9</v>
      </c>
      <c r="I229" s="848">
        <f>I228/Master!M92</f>
        <v>702.9</v>
      </c>
      <c r="J229" s="848">
        <f>J228/Master!N92</f>
        <v>1077.2</v>
      </c>
      <c r="K229" s="848">
        <f>K228/Master!O92</f>
        <v>984.2</v>
      </c>
      <c r="L229" s="848">
        <f>L228/Master!P92</f>
        <v>559.70000000000005</v>
      </c>
      <c r="M229" s="848">
        <f>M228/Master!Q92</f>
        <v>665</v>
      </c>
      <c r="N229" s="848">
        <f>N228/Master!R92</f>
        <v>673.6</v>
      </c>
      <c r="O229" s="848">
        <f>O228/Master!S92</f>
        <v>662.5</v>
      </c>
      <c r="P229" s="848">
        <f>P228/Master!T92</f>
        <v>854.5</v>
      </c>
      <c r="Q229" s="848">
        <f>Q228/Master!U92</f>
        <v>645.9</v>
      </c>
      <c r="R229" s="848">
        <f>R228/Master!V92</f>
        <v>633</v>
      </c>
      <c r="S229" s="848">
        <f>S228/Master!W92</f>
        <v>623.06549366048364</v>
      </c>
      <c r="T229" s="848">
        <f>T228/Master!X92</f>
        <v>599.32894736842104</v>
      </c>
      <c r="U229" s="848">
        <f>U228/Master!Y92</f>
        <v>606.46381578947376</v>
      </c>
      <c r="V229" s="848">
        <f>V228/Master!Z92</f>
        <v>602.26683436532494</v>
      </c>
      <c r="W229" s="848">
        <f>W228/Master!AA92</f>
        <v>602.38984638214788</v>
      </c>
      <c r="X229" s="848">
        <f>X228/Master!AB92</f>
        <v>603.8840805864977</v>
      </c>
      <c r="Y229" s="848">
        <f>Y228/Master!AC92</f>
        <v>612.76472883041663</v>
      </c>
    </row>
    <row r="230" spans="2:25">
      <c r="F230" s="848"/>
      <c r="G230" s="848"/>
      <c r="H230" s="848"/>
      <c r="I230" s="848"/>
      <c r="J230" s="848"/>
      <c r="K230" s="807">
        <f>K229/J229-1</f>
        <v>-8.6334942443371698E-2</v>
      </c>
      <c r="L230" s="807">
        <f>L229/K229-1</f>
        <v>-0.43131477342003655</v>
      </c>
      <c r="M230" s="807">
        <f>M229/L229-1</f>
        <v>0.18813650169733775</v>
      </c>
      <c r="N230" s="848"/>
      <c r="O230" s="848"/>
      <c r="P230" s="848"/>
      <c r="Q230" s="848"/>
      <c r="R230" s="848"/>
      <c r="S230" s="848"/>
      <c r="T230" s="848"/>
      <c r="U230" s="848"/>
      <c r="V230" s="848"/>
      <c r="W230" s="848"/>
      <c r="X230" s="848"/>
      <c r="Y230" s="848"/>
    </row>
    <row r="231" spans="2:25">
      <c r="B231" s="685" t="str">
        <f>B221</f>
        <v>Cablevision</v>
      </c>
      <c r="F231" s="848"/>
      <c r="G231" s="807">
        <f>G221/G168</f>
        <v>0.3184860447124635</v>
      </c>
      <c r="H231" s="848"/>
      <c r="I231" s="848"/>
      <c r="J231" s="848"/>
      <c r="K231" s="807">
        <f>K228/J228-1</f>
        <v>8.5229132636575056E-2</v>
      </c>
      <c r="L231" s="807">
        <f>L228/K228-1</f>
        <v>-0.4298063245431667</v>
      </c>
      <c r="M231" s="807">
        <f>M228/L228-1</f>
        <v>0.21013902950654773</v>
      </c>
      <c r="N231" s="848"/>
      <c r="O231" s="848"/>
      <c r="P231" s="848"/>
      <c r="Q231" s="848"/>
      <c r="R231" s="848"/>
      <c r="S231" s="848"/>
      <c r="T231" s="848"/>
      <c r="U231" s="848"/>
      <c r="V231" s="848"/>
      <c r="W231" s="848"/>
      <c r="X231" s="848"/>
      <c r="Y231" s="848"/>
    </row>
    <row r="232" spans="2:25">
      <c r="B232" s="685" t="str">
        <f>B222</f>
        <v>Cablemas</v>
      </c>
      <c r="F232" s="848"/>
      <c r="G232" s="807">
        <f>G222/G170</f>
        <v>0.52981598249903483</v>
      </c>
      <c r="H232" s="848"/>
      <c r="I232" s="848"/>
      <c r="J232" s="848"/>
      <c r="K232" s="848"/>
      <c r="L232" s="848"/>
      <c r="M232" s="848"/>
      <c r="N232" s="848"/>
      <c r="O232" s="848"/>
      <c r="P232" s="848"/>
      <c r="Q232" s="848"/>
      <c r="R232" s="848"/>
      <c r="S232" s="848"/>
      <c r="T232" s="848"/>
      <c r="U232" s="848"/>
      <c r="V232" s="848"/>
      <c r="W232" s="848"/>
      <c r="X232" s="848"/>
      <c r="Y232" s="848"/>
    </row>
    <row r="233" spans="2:25">
      <c r="B233" s="685" t="str">
        <f>B223</f>
        <v>TVI</v>
      </c>
      <c r="F233" s="848"/>
      <c r="G233" s="807">
        <f>G223/G172</f>
        <v>0.46798674533257906</v>
      </c>
      <c r="H233" s="848"/>
      <c r="I233" s="848"/>
      <c r="J233" s="848"/>
      <c r="K233" s="848"/>
      <c r="L233" s="848"/>
      <c r="M233" s="848"/>
      <c r="N233" s="848"/>
      <c r="O233" s="848"/>
      <c r="P233" s="848"/>
      <c r="Q233" s="848"/>
      <c r="R233" s="848"/>
      <c r="S233" s="848"/>
      <c r="T233" s="848"/>
      <c r="U233" s="848"/>
      <c r="V233" s="848"/>
      <c r="W233" s="848"/>
      <c r="X233" s="848"/>
      <c r="Y233" s="848"/>
    </row>
    <row r="234" spans="2:25">
      <c r="B234" s="685" t="str">
        <f>B224</f>
        <v>Bestel</v>
      </c>
      <c r="F234" s="848"/>
      <c r="G234" s="807">
        <f>G224/G174</f>
        <v>0.11256003684452949</v>
      </c>
      <c r="H234" s="848"/>
      <c r="I234" s="848"/>
      <c r="J234" s="848"/>
      <c r="K234" s="848"/>
      <c r="L234" s="848"/>
      <c r="M234" s="848"/>
      <c r="N234" s="848"/>
      <c r="O234" s="848"/>
      <c r="P234" s="848"/>
      <c r="Q234" s="848"/>
      <c r="R234" s="848"/>
      <c r="S234" s="848"/>
      <c r="T234" s="848"/>
      <c r="U234" s="848"/>
      <c r="V234" s="848"/>
      <c r="W234" s="848"/>
      <c r="X234" s="848"/>
      <c r="Y234" s="848"/>
    </row>
    <row r="235" spans="2:25">
      <c r="B235" s="743" t="str">
        <f>B225</f>
        <v>Cablecom</v>
      </c>
      <c r="C235" s="743"/>
      <c r="D235" s="743"/>
      <c r="E235" s="743"/>
      <c r="F235" s="901"/>
      <c r="G235" s="910"/>
      <c r="H235" s="901"/>
      <c r="I235" s="901"/>
      <c r="J235" s="901"/>
      <c r="K235" s="901"/>
      <c r="L235" s="901"/>
      <c r="M235" s="901"/>
      <c r="N235" s="901"/>
      <c r="O235" s="901"/>
      <c r="P235" s="901"/>
      <c r="Q235" s="901"/>
      <c r="R235" s="901"/>
      <c r="S235" s="901"/>
      <c r="T235" s="901"/>
      <c r="U235" s="901"/>
      <c r="V235" s="901"/>
      <c r="W235" s="901"/>
      <c r="X235" s="901"/>
      <c r="Y235" s="901"/>
    </row>
    <row r="236" spans="2:25">
      <c r="B236" s="685" t="s">
        <v>1934</v>
      </c>
      <c r="F236" s="807">
        <f t="shared" ref="F236:R236" si="164">F226/F185</f>
        <v>0.37040644205523848</v>
      </c>
      <c r="G236" s="807">
        <f t="shared" si="164"/>
        <v>0.38456301700662798</v>
      </c>
      <c r="H236" s="807">
        <f t="shared" si="164"/>
        <v>0.44663126940042475</v>
      </c>
      <c r="I236" s="807">
        <f t="shared" si="164"/>
        <v>0.44684098160212443</v>
      </c>
      <c r="J236" s="807">
        <f t="shared" si="164"/>
        <v>0.60007666305114737</v>
      </c>
      <c r="K236" s="807">
        <f t="shared" si="164"/>
        <v>0.58172590901679444</v>
      </c>
      <c r="L236" s="807">
        <f t="shared" si="164"/>
        <v>0.32008986928104577</v>
      </c>
      <c r="M236" s="807">
        <f t="shared" si="164"/>
        <v>0.35330361824855794</v>
      </c>
      <c r="N236" s="807">
        <f t="shared" si="164"/>
        <v>0.310939523284255</v>
      </c>
      <c r="O236" s="807">
        <f t="shared" si="164"/>
        <v>0.31367444690094803</v>
      </c>
      <c r="P236" s="807">
        <f t="shared" si="164"/>
        <v>0.36096736547868669</v>
      </c>
      <c r="Q236" s="807">
        <f t="shared" si="164"/>
        <v>0.26830336818709483</v>
      </c>
      <c r="R236" s="807">
        <f t="shared" si="164"/>
        <v>0.22958045182111572</v>
      </c>
      <c r="S236" s="993">
        <v>0.2175</v>
      </c>
      <c r="T236" s="993">
        <v>0.21</v>
      </c>
      <c r="U236" s="993">
        <v>0.21249999999999999</v>
      </c>
      <c r="V236" s="993">
        <v>0.21</v>
      </c>
      <c r="W236" s="993">
        <v>0.20749999999999999</v>
      </c>
      <c r="X236" s="993">
        <v>0.20499999999999999</v>
      </c>
      <c r="Y236" s="993">
        <v>0.20499999999999999</v>
      </c>
    </row>
    <row r="237" spans="2:25">
      <c r="B237" s="743" t="s">
        <v>1935</v>
      </c>
      <c r="C237" s="743"/>
      <c r="D237" s="743"/>
      <c r="E237" s="743"/>
      <c r="F237" s="910"/>
      <c r="G237" s="910"/>
      <c r="H237" s="910"/>
      <c r="I237" s="910"/>
      <c r="J237" s="910"/>
      <c r="K237" s="910"/>
      <c r="L237" s="910"/>
      <c r="M237" s="910"/>
      <c r="N237" s="910"/>
      <c r="O237" s="910"/>
      <c r="P237" s="910"/>
      <c r="Q237" s="910"/>
      <c r="R237" s="910"/>
      <c r="S237" s="910"/>
      <c r="T237" s="910"/>
      <c r="U237" s="910"/>
      <c r="V237" s="910"/>
      <c r="W237" s="910"/>
      <c r="X237" s="910"/>
      <c r="Y237" s="910"/>
    </row>
    <row r="238" spans="2:25">
      <c r="B238" s="685" t="s">
        <v>1936</v>
      </c>
      <c r="F238" s="807"/>
      <c r="G238" s="807"/>
      <c r="H238" s="807"/>
      <c r="I238" s="807">
        <f t="shared" ref="I238:T238" si="165">I228/I185</f>
        <v>0.44684098160212443</v>
      </c>
      <c r="J238" s="807">
        <f t="shared" si="165"/>
        <v>0.60007666305114737</v>
      </c>
      <c r="K238" s="807">
        <f t="shared" si="165"/>
        <v>0.58172590901679444</v>
      </c>
      <c r="L238" s="807">
        <f t="shared" si="165"/>
        <v>0.32008986928104577</v>
      </c>
      <c r="M238" s="807">
        <f t="shared" si="165"/>
        <v>0.35330361824855794</v>
      </c>
      <c r="N238" s="807">
        <f t="shared" si="165"/>
        <v>0.310939523284255</v>
      </c>
      <c r="O238" s="807">
        <f t="shared" si="165"/>
        <v>0.31367444690094803</v>
      </c>
      <c r="P238" s="807">
        <f t="shared" si="165"/>
        <v>0.36096736547868669</v>
      </c>
      <c r="Q238" s="807">
        <f t="shared" si="165"/>
        <v>0.26830336818709483</v>
      </c>
      <c r="R238" s="807">
        <f t="shared" si="165"/>
        <v>0.22958045182111572</v>
      </c>
      <c r="S238" s="807">
        <f t="shared" si="165"/>
        <v>0.21750000000000003</v>
      </c>
      <c r="T238" s="807">
        <f t="shared" si="165"/>
        <v>0.21</v>
      </c>
      <c r="U238" s="807">
        <f>U228/U185</f>
        <v>0.21250000000000002</v>
      </c>
      <c r="V238" s="807">
        <f>V228/V185</f>
        <v>0.21</v>
      </c>
      <c r="W238" s="807">
        <f>W228/W185</f>
        <v>0.20749999999999999</v>
      </c>
      <c r="X238" s="807">
        <f>X228/X185</f>
        <v>0.20499999999999999</v>
      </c>
      <c r="Y238" s="807">
        <f>Y228/Y185</f>
        <v>0.20499999999999999</v>
      </c>
    </row>
    <row r="240" spans="2:25">
      <c r="B240" s="685" t="s">
        <v>1057</v>
      </c>
      <c r="F240" s="848">
        <f t="shared" ref="F240:T240" si="166">F208-F228</f>
        <v>-271.63999999999942</v>
      </c>
      <c r="G240" s="848">
        <f t="shared" si="166"/>
        <v>-175.00000000000091</v>
      </c>
      <c r="H240" s="848">
        <f t="shared" si="166"/>
        <v>-1522.9239999999991</v>
      </c>
      <c r="I240" s="848">
        <f t="shared" si="166"/>
        <v>-1472.6990000000005</v>
      </c>
      <c r="J240" s="848">
        <f t="shared" si="166"/>
        <v>-5689.5640000000003</v>
      </c>
      <c r="K240" s="848">
        <f t="shared" si="166"/>
        <v>-5316.0700000000015</v>
      </c>
      <c r="L240" s="848">
        <f t="shared" si="166"/>
        <v>3456.67</v>
      </c>
      <c r="M240" s="848">
        <f t="shared" si="166"/>
        <v>2501.75</v>
      </c>
      <c r="N240" s="848">
        <f t="shared" si="166"/>
        <v>4831.1999999999989</v>
      </c>
      <c r="O240" s="848">
        <f t="shared" si="166"/>
        <v>4667.7999999999993</v>
      </c>
      <c r="P240" s="848">
        <f t="shared" si="166"/>
        <v>2951.0222390845338</v>
      </c>
      <c r="Q240" s="848">
        <f t="shared" si="166"/>
        <v>6913.7510000000002</v>
      </c>
      <c r="R240" s="848">
        <f t="shared" si="166"/>
        <v>7616.9</v>
      </c>
      <c r="S240" s="848">
        <f t="shared" si="166"/>
        <v>7564.3875000000007</v>
      </c>
      <c r="T240" s="848">
        <f t="shared" si="166"/>
        <v>7886.4840000000004</v>
      </c>
      <c r="U240" s="848">
        <f>U208-U228</f>
        <v>7918.5228412500001</v>
      </c>
      <c r="V240" s="848">
        <f>V208-V228</f>
        <v>8245.3190220000015</v>
      </c>
      <c r="W240" s="848">
        <f>W208-W228</f>
        <v>8646.3120759996073</v>
      </c>
      <c r="X240" s="848">
        <f>X208-X228</f>
        <v>9086.6088909466635</v>
      </c>
      <c r="Y240" s="848">
        <f>Y208-Y228</f>
        <v>9404.6402021297945</v>
      </c>
    </row>
    <row r="241" spans="2:25">
      <c r="B241" s="685" t="s">
        <v>158</v>
      </c>
      <c r="F241" s="807">
        <f t="shared" ref="F241:T241" si="167">F240/F185</f>
        <v>-1.992167446499548E-2</v>
      </c>
      <c r="G241" s="807">
        <f t="shared" si="167"/>
        <v>-1.1239274520885842E-2</v>
      </c>
      <c r="H241" s="807">
        <f t="shared" si="167"/>
        <v>-8.8858263122272227E-2</v>
      </c>
      <c r="I241" s="807">
        <f t="shared" si="167"/>
        <v>-7.0338870527100111E-2</v>
      </c>
      <c r="J241" s="807">
        <f t="shared" si="167"/>
        <v>-0.19971581315838433</v>
      </c>
      <c r="K241" s="807">
        <f t="shared" si="167"/>
        <v>-0.16669185616275137</v>
      </c>
      <c r="L241" s="807">
        <f t="shared" si="167"/>
        <v>0.10459543694020819</v>
      </c>
      <c r="M241" s="807">
        <f t="shared" si="167"/>
        <v>6.9046173377859968E-2</v>
      </c>
      <c r="N241" s="807">
        <f t="shared" si="167"/>
        <v>0.11585055872620016</v>
      </c>
      <c r="O241" s="807">
        <f t="shared" si="167"/>
        <v>0.10288953889492605</v>
      </c>
      <c r="P241" s="807">
        <f t="shared" si="167"/>
        <v>6.14528723760807E-2</v>
      </c>
      <c r="Q241" s="807">
        <f t="shared" si="167"/>
        <v>0.14281127741583663</v>
      </c>
      <c r="R241" s="807">
        <f t="shared" si="167"/>
        <v>0.15607602069566107</v>
      </c>
      <c r="S241" s="807">
        <f t="shared" si="167"/>
        <v>0.15500000000000003</v>
      </c>
      <c r="T241" s="807">
        <f t="shared" si="167"/>
        <v>0.16</v>
      </c>
      <c r="U241" s="807">
        <f>U240/U185</f>
        <v>0.1575</v>
      </c>
      <c r="V241" s="807">
        <f>V240/V185</f>
        <v>0.16000000000000006</v>
      </c>
      <c r="W241" s="807">
        <f>W240/W185</f>
        <v>0.16250000000000001</v>
      </c>
      <c r="X241" s="807">
        <f>X240/X185</f>
        <v>0.16500000000000001</v>
      </c>
      <c r="Y241" s="807">
        <f>Y240/Y185</f>
        <v>0.16499999999999998</v>
      </c>
    </row>
    <row r="243" spans="2:25">
      <c r="B243" s="685" t="s">
        <v>224</v>
      </c>
      <c r="F243" s="905">
        <f t="shared" ref="F243:M243" si="168">F245-F244</f>
        <v>70</v>
      </c>
      <c r="G243" s="905">
        <f t="shared" si="168"/>
        <v>802.52200000000073</v>
      </c>
      <c r="H243" s="905">
        <f t="shared" si="168"/>
        <v>2405.6397400000001</v>
      </c>
      <c r="I243" s="905">
        <f t="shared" si="168"/>
        <v>4636.9884199999997</v>
      </c>
      <c r="J243" s="905">
        <f t="shared" si="168"/>
        <v>10236.03548</v>
      </c>
      <c r="K243" s="905">
        <f t="shared" si="168"/>
        <v>15148.20218</v>
      </c>
      <c r="L243" s="905">
        <f t="shared" si="168"/>
        <v>15148.20218</v>
      </c>
      <c r="M243" s="905">
        <f t="shared" si="168"/>
        <v>15148.20218</v>
      </c>
      <c r="N243" s="905">
        <f t="shared" ref="N243:T243" si="169">N245-N244</f>
        <v>15148.20218</v>
      </c>
      <c r="O243" s="905">
        <f t="shared" si="169"/>
        <v>15148.20218</v>
      </c>
      <c r="P243" s="905">
        <f t="shared" si="169"/>
        <v>15148.20218</v>
      </c>
      <c r="Q243" s="905">
        <f t="shared" si="169"/>
        <v>15148.20218</v>
      </c>
      <c r="R243" s="905">
        <f t="shared" si="169"/>
        <v>15148.20218</v>
      </c>
      <c r="S243" s="905">
        <f t="shared" si="169"/>
        <v>15148.20218</v>
      </c>
      <c r="T243" s="905">
        <f t="shared" si="169"/>
        <v>15148.20218</v>
      </c>
      <c r="U243" s="905">
        <f>U245-U244</f>
        <v>15148.20218</v>
      </c>
      <c r="V243" s="905">
        <f>V245-V244</f>
        <v>15148.20218</v>
      </c>
      <c r="W243" s="905">
        <f>W245-W244</f>
        <v>15148.20218</v>
      </c>
      <c r="X243" s="905">
        <f>X245-X244</f>
        <v>15148.20218</v>
      </c>
      <c r="Y243" s="905">
        <f>Y245-Y244</f>
        <v>15148.20218</v>
      </c>
    </row>
    <row r="244" spans="2:25">
      <c r="B244" s="743" t="s">
        <v>562</v>
      </c>
      <c r="C244" s="743"/>
      <c r="D244" s="743"/>
      <c r="E244" s="743"/>
      <c r="F244" s="909">
        <v>1200</v>
      </c>
      <c r="G244" s="909">
        <f t="shared" ref="G244:T244" si="170">F244+G256</f>
        <v>467.47799999999927</v>
      </c>
      <c r="H244" s="909">
        <f t="shared" si="170"/>
        <v>-1135.6397400000001</v>
      </c>
      <c r="I244" s="909">
        <f t="shared" si="170"/>
        <v>-3366.9884200000001</v>
      </c>
      <c r="J244" s="909">
        <f t="shared" si="170"/>
        <v>-8966.0354800000005</v>
      </c>
      <c r="K244" s="909">
        <f t="shared" si="170"/>
        <v>-13878.20218</v>
      </c>
      <c r="L244" s="909">
        <f t="shared" si="170"/>
        <v>-13878.20218</v>
      </c>
      <c r="M244" s="909">
        <f t="shared" si="170"/>
        <v>-13878.20218</v>
      </c>
      <c r="N244" s="909">
        <f t="shared" si="170"/>
        <v>-13878.20218</v>
      </c>
      <c r="O244" s="909">
        <f t="shared" si="170"/>
        <v>-13878.20218</v>
      </c>
      <c r="P244" s="909">
        <f t="shared" si="170"/>
        <v>-13878.20218</v>
      </c>
      <c r="Q244" s="909">
        <f t="shared" si="170"/>
        <v>-13878.20218</v>
      </c>
      <c r="R244" s="909">
        <f t="shared" si="170"/>
        <v>-13878.20218</v>
      </c>
      <c r="S244" s="909">
        <f t="shared" si="170"/>
        <v>-13878.20218</v>
      </c>
      <c r="T244" s="909">
        <f t="shared" si="170"/>
        <v>-13878.20218</v>
      </c>
      <c r="U244" s="909">
        <f>T244+U256</f>
        <v>-13878.20218</v>
      </c>
      <c r="V244" s="909">
        <f>U244+V256</f>
        <v>-13878.20218</v>
      </c>
      <c r="W244" s="909">
        <f>V244+W256</f>
        <v>-13878.20218</v>
      </c>
      <c r="X244" s="909">
        <f>W244+X256</f>
        <v>-13878.20218</v>
      </c>
      <c r="Y244" s="909">
        <f>X244+Y256</f>
        <v>-13878.20218</v>
      </c>
    </row>
    <row r="245" spans="2:25">
      <c r="B245" s="685" t="s">
        <v>270</v>
      </c>
      <c r="F245" s="905">
        <v>1270</v>
      </c>
      <c r="G245" s="905">
        <f t="shared" ref="G245:T245" si="171">F245</f>
        <v>1270</v>
      </c>
      <c r="H245" s="905">
        <f t="shared" si="171"/>
        <v>1270</v>
      </c>
      <c r="I245" s="905">
        <f t="shared" si="171"/>
        <v>1270</v>
      </c>
      <c r="J245" s="905">
        <f t="shared" si="171"/>
        <v>1270</v>
      </c>
      <c r="K245" s="905">
        <f t="shared" si="171"/>
        <v>1270</v>
      </c>
      <c r="L245" s="905">
        <f t="shared" si="171"/>
        <v>1270</v>
      </c>
      <c r="M245" s="905">
        <f t="shared" si="171"/>
        <v>1270</v>
      </c>
      <c r="N245" s="905">
        <f t="shared" si="171"/>
        <v>1270</v>
      </c>
      <c r="O245" s="905">
        <f t="shared" si="171"/>
        <v>1270</v>
      </c>
      <c r="P245" s="905">
        <f t="shared" si="171"/>
        <v>1270</v>
      </c>
      <c r="Q245" s="905">
        <f t="shared" si="171"/>
        <v>1270</v>
      </c>
      <c r="R245" s="905">
        <f t="shared" si="171"/>
        <v>1270</v>
      </c>
      <c r="S245" s="905">
        <f t="shared" si="171"/>
        <v>1270</v>
      </c>
      <c r="T245" s="905">
        <f t="shared" si="171"/>
        <v>1270</v>
      </c>
      <c r="U245" s="905">
        <f t="shared" ref="U245:Y246" si="172">T245</f>
        <v>1270</v>
      </c>
      <c r="V245" s="905">
        <f t="shared" si="172"/>
        <v>1270</v>
      </c>
      <c r="W245" s="905">
        <f t="shared" si="172"/>
        <v>1270</v>
      </c>
      <c r="X245" s="905">
        <f t="shared" si="172"/>
        <v>1270</v>
      </c>
      <c r="Y245" s="905">
        <f t="shared" si="172"/>
        <v>1270</v>
      </c>
    </row>
    <row r="246" spans="2:25">
      <c r="B246" s="685" t="s">
        <v>959</v>
      </c>
      <c r="F246" s="869">
        <v>0.08</v>
      </c>
      <c r="G246" s="869">
        <v>0.08</v>
      </c>
      <c r="H246" s="869">
        <v>8.7499999999999994E-2</v>
      </c>
      <c r="I246" s="869">
        <f t="shared" ref="I246:T246" si="173">H246</f>
        <v>8.7499999999999994E-2</v>
      </c>
      <c r="J246" s="869">
        <f t="shared" si="173"/>
        <v>8.7499999999999994E-2</v>
      </c>
      <c r="K246" s="869">
        <f t="shared" si="173"/>
        <v>8.7499999999999994E-2</v>
      </c>
      <c r="L246" s="869">
        <f t="shared" si="173"/>
        <v>8.7499999999999994E-2</v>
      </c>
      <c r="M246" s="869">
        <f t="shared" si="173"/>
        <v>8.7499999999999994E-2</v>
      </c>
      <c r="N246" s="869">
        <f t="shared" si="173"/>
        <v>8.7499999999999994E-2</v>
      </c>
      <c r="O246" s="869">
        <f t="shared" si="173"/>
        <v>8.7499999999999994E-2</v>
      </c>
      <c r="P246" s="869">
        <f t="shared" si="173"/>
        <v>8.7499999999999994E-2</v>
      </c>
      <c r="Q246" s="869">
        <f t="shared" si="173"/>
        <v>8.7499999999999994E-2</v>
      </c>
      <c r="R246" s="869">
        <f t="shared" si="173"/>
        <v>8.7499999999999994E-2</v>
      </c>
      <c r="S246" s="869">
        <f t="shared" si="173"/>
        <v>8.7499999999999994E-2</v>
      </c>
      <c r="T246" s="869">
        <f t="shared" si="173"/>
        <v>8.7499999999999994E-2</v>
      </c>
      <c r="U246" s="869">
        <f t="shared" si="172"/>
        <v>8.7499999999999994E-2</v>
      </c>
      <c r="V246" s="869">
        <f t="shared" si="172"/>
        <v>8.7499999999999994E-2</v>
      </c>
      <c r="W246" s="869">
        <f t="shared" si="172"/>
        <v>8.7499999999999994E-2</v>
      </c>
      <c r="X246" s="869">
        <f t="shared" si="172"/>
        <v>8.7499999999999994E-2</v>
      </c>
      <c r="Y246" s="869">
        <f t="shared" si="172"/>
        <v>8.7499999999999994E-2</v>
      </c>
    </row>
    <row r="247" spans="2:25">
      <c r="B247" s="685" t="s">
        <v>960</v>
      </c>
      <c r="F247" s="905">
        <f>G247</f>
        <v>101.60000000000001</v>
      </c>
      <c r="G247" s="905">
        <f t="shared" ref="G247:T247" si="174">G246*AVERAGE(F245:G245)</f>
        <v>101.60000000000001</v>
      </c>
      <c r="H247" s="905">
        <f t="shared" si="174"/>
        <v>111.125</v>
      </c>
      <c r="I247" s="905">
        <f t="shared" si="174"/>
        <v>111.125</v>
      </c>
      <c r="J247" s="905">
        <f t="shared" si="174"/>
        <v>111.125</v>
      </c>
      <c r="K247" s="905">
        <f t="shared" si="174"/>
        <v>111.125</v>
      </c>
      <c r="L247" s="905">
        <f t="shared" si="174"/>
        <v>111.125</v>
      </c>
      <c r="M247" s="905">
        <f t="shared" si="174"/>
        <v>111.125</v>
      </c>
      <c r="N247" s="905">
        <f t="shared" si="174"/>
        <v>111.125</v>
      </c>
      <c r="O247" s="905">
        <f t="shared" si="174"/>
        <v>111.125</v>
      </c>
      <c r="P247" s="905">
        <f t="shared" si="174"/>
        <v>111.125</v>
      </c>
      <c r="Q247" s="905">
        <f t="shared" si="174"/>
        <v>111.125</v>
      </c>
      <c r="R247" s="905">
        <f t="shared" si="174"/>
        <v>111.125</v>
      </c>
      <c r="S247" s="905">
        <f t="shared" si="174"/>
        <v>111.125</v>
      </c>
      <c r="T247" s="905">
        <f t="shared" si="174"/>
        <v>111.125</v>
      </c>
      <c r="U247" s="905">
        <f>U246*AVERAGE(T245:U245)</f>
        <v>111.125</v>
      </c>
      <c r="V247" s="905">
        <f>V246*AVERAGE(U245:V245)</f>
        <v>111.125</v>
      </c>
      <c r="W247" s="905">
        <f>W246*AVERAGE(V245:W245)</f>
        <v>111.125</v>
      </c>
      <c r="X247" s="905">
        <f>X246*AVERAGE(W245:X245)</f>
        <v>111.125</v>
      </c>
      <c r="Y247" s="905">
        <f>Y246*AVERAGE(X245:Y245)</f>
        <v>111.125</v>
      </c>
    </row>
    <row r="249" spans="2:25">
      <c r="B249" s="685" t="s">
        <v>533</v>
      </c>
      <c r="F249" s="848">
        <f>F226*0.5</f>
        <v>2525.3199999999997</v>
      </c>
      <c r="G249" s="848">
        <f>G226*0.7</f>
        <v>4191.46</v>
      </c>
      <c r="H249" s="848">
        <f>H226*0.8</f>
        <v>6123.7791999999999</v>
      </c>
      <c r="I249" s="978">
        <f>I226*0.6</f>
        <v>5613.3594000000003</v>
      </c>
      <c r="J249" s="978">
        <f>J226*0.7</f>
        <v>11966.614799999999</v>
      </c>
      <c r="K249" s="978">
        <f>K226*0.8</f>
        <v>14841.736000000003</v>
      </c>
      <c r="L249" s="978">
        <f>L226*0.9</f>
        <v>9520.4969999999994</v>
      </c>
      <c r="M249" s="978">
        <f>M226*0.9</f>
        <v>11521.125</v>
      </c>
      <c r="N249" s="978">
        <f>N226*0.9</f>
        <v>11670.12</v>
      </c>
      <c r="O249" s="978">
        <f>O226*0.95</f>
        <v>13518.974999999999</v>
      </c>
      <c r="P249" s="978">
        <f t="shared" ref="P249:Y249" si="175">P226*1</f>
        <v>17333.977760915466</v>
      </c>
      <c r="Q249" s="978">
        <f t="shared" si="175"/>
        <v>12989.048999999999</v>
      </c>
      <c r="R249" s="978">
        <f t="shared" si="175"/>
        <v>11204.1</v>
      </c>
      <c r="S249" s="978">
        <f t="shared" si="175"/>
        <v>10614.543750000001</v>
      </c>
      <c r="T249" s="978">
        <f t="shared" si="175"/>
        <v>10351.010249999999</v>
      </c>
      <c r="U249" s="978">
        <f t="shared" si="175"/>
        <v>10683.721293750001</v>
      </c>
      <c r="V249" s="978">
        <f t="shared" si="175"/>
        <v>10821.981216374998</v>
      </c>
      <c r="W249" s="978">
        <f t="shared" si="175"/>
        <v>11040.675420122576</v>
      </c>
      <c r="X249" s="978">
        <f t="shared" si="175"/>
        <v>11289.423167539793</v>
      </c>
      <c r="Y249" s="978">
        <f t="shared" si="175"/>
        <v>11684.552978403684</v>
      </c>
    </row>
    <row r="250" spans="2:25">
      <c r="B250" s="685" t="s">
        <v>186</v>
      </c>
      <c r="F250" s="848">
        <f t="shared" ref="F250:M250" si="176">F208-F249</f>
        <v>2253.6800000000003</v>
      </c>
      <c r="G250" s="848">
        <f t="shared" si="176"/>
        <v>1621.3399999999992</v>
      </c>
      <c r="H250" s="848">
        <f t="shared" si="176"/>
        <v>8.0208000000002357</v>
      </c>
      <c r="I250" s="848">
        <f t="shared" si="176"/>
        <v>2269.5405999999994</v>
      </c>
      <c r="J250" s="848">
        <f t="shared" si="176"/>
        <v>-561.01479999999901</v>
      </c>
      <c r="K250" s="848">
        <f t="shared" si="176"/>
        <v>-1605.6360000000022</v>
      </c>
      <c r="L250" s="848">
        <f t="shared" si="176"/>
        <v>4514.5030000000006</v>
      </c>
      <c r="M250" s="848">
        <f t="shared" si="176"/>
        <v>3781.875</v>
      </c>
      <c r="N250" s="848">
        <f t="shared" ref="N250:T250" si="177">N208-N249</f>
        <v>6127.8799999999992</v>
      </c>
      <c r="O250" s="848">
        <f t="shared" si="177"/>
        <v>5379.3250000000007</v>
      </c>
      <c r="P250" s="848">
        <f t="shared" si="177"/>
        <v>2951.0222390845338</v>
      </c>
      <c r="Q250" s="848">
        <f t="shared" si="177"/>
        <v>6913.7510000000002</v>
      </c>
      <c r="R250" s="848">
        <f t="shared" si="177"/>
        <v>7616.9</v>
      </c>
      <c r="S250" s="848">
        <f t="shared" si="177"/>
        <v>7564.3875000000007</v>
      </c>
      <c r="T250" s="848">
        <f t="shared" si="177"/>
        <v>7886.4840000000004</v>
      </c>
      <c r="U250" s="848">
        <f>U208-U249</f>
        <v>7918.5228412500001</v>
      </c>
      <c r="V250" s="848">
        <f>V208-V249</f>
        <v>8245.3190220000015</v>
      </c>
      <c r="W250" s="848">
        <f>W208-W249</f>
        <v>8646.3120759996073</v>
      </c>
      <c r="X250" s="848">
        <f>X208-X249</f>
        <v>9086.6088909466635</v>
      </c>
      <c r="Y250" s="848">
        <f>Y208-Y249</f>
        <v>9404.6402021297945</v>
      </c>
    </row>
    <row r="252" spans="2:25">
      <c r="B252" s="685" t="s">
        <v>961</v>
      </c>
      <c r="F252" s="905">
        <f t="shared" ref="F252:M252" si="178">F250-F247</f>
        <v>2152.0800000000004</v>
      </c>
      <c r="G252" s="905">
        <f t="shared" si="178"/>
        <v>1519.7399999999993</v>
      </c>
      <c r="H252" s="905">
        <f t="shared" si="178"/>
        <v>-103.10419999999976</v>
      </c>
      <c r="I252" s="905">
        <f t="shared" si="178"/>
        <v>2158.4155999999994</v>
      </c>
      <c r="J252" s="905">
        <f t="shared" si="178"/>
        <v>-672.13979999999901</v>
      </c>
      <c r="K252" s="905">
        <f t="shared" si="178"/>
        <v>-1716.7610000000022</v>
      </c>
      <c r="L252" s="905">
        <f t="shared" si="178"/>
        <v>4403.3780000000006</v>
      </c>
      <c r="M252" s="905">
        <f t="shared" si="178"/>
        <v>3670.75</v>
      </c>
      <c r="N252" s="905">
        <f t="shared" ref="N252:T252" si="179">N250-N247</f>
        <v>6016.7549999999992</v>
      </c>
      <c r="O252" s="905">
        <f t="shared" si="179"/>
        <v>5268.2000000000007</v>
      </c>
      <c r="P252" s="905">
        <f t="shared" si="179"/>
        <v>2839.8972390845338</v>
      </c>
      <c r="Q252" s="905">
        <f t="shared" si="179"/>
        <v>6802.6260000000002</v>
      </c>
      <c r="R252" s="905">
        <f t="shared" si="179"/>
        <v>7505.7749999999996</v>
      </c>
      <c r="S252" s="905">
        <f t="shared" si="179"/>
        <v>7453.2625000000007</v>
      </c>
      <c r="T252" s="905">
        <f t="shared" si="179"/>
        <v>7775.3590000000004</v>
      </c>
      <c r="U252" s="905">
        <f>U250-U247</f>
        <v>7807.3978412500001</v>
      </c>
      <c r="V252" s="905">
        <f>V250-V247</f>
        <v>8134.1940220000015</v>
      </c>
      <c r="W252" s="905">
        <f>W250-W247</f>
        <v>8535.1870759996073</v>
      </c>
      <c r="X252" s="905">
        <f>X250-X247</f>
        <v>8975.4838909466635</v>
      </c>
      <c r="Y252" s="905">
        <f>Y250-Y247</f>
        <v>9293.5152021297945</v>
      </c>
    </row>
    <row r="253" spans="2:25">
      <c r="B253" s="685" t="s">
        <v>192</v>
      </c>
      <c r="F253" s="848">
        <f t="shared" ref="F253:M253" si="180">0.3*F252</f>
        <v>645.62400000000014</v>
      </c>
      <c r="G253" s="848">
        <f t="shared" si="180"/>
        <v>455.9219999999998</v>
      </c>
      <c r="H253" s="848">
        <f t="shared" si="180"/>
        <v>-30.931259999999927</v>
      </c>
      <c r="I253" s="848">
        <f t="shared" si="180"/>
        <v>647.52467999999976</v>
      </c>
      <c r="J253" s="848">
        <f t="shared" si="180"/>
        <v>-201.64193999999969</v>
      </c>
      <c r="K253" s="848">
        <f t="shared" si="180"/>
        <v>-515.02830000000063</v>
      </c>
      <c r="L253" s="848">
        <f t="shared" si="180"/>
        <v>1321.0134</v>
      </c>
      <c r="M253" s="848">
        <f t="shared" si="180"/>
        <v>1101.2249999999999</v>
      </c>
      <c r="N253" s="848">
        <f t="shared" ref="N253:T253" si="181">0.3*N252</f>
        <v>1805.0264999999997</v>
      </c>
      <c r="O253" s="848">
        <f t="shared" si="181"/>
        <v>1580.4600000000003</v>
      </c>
      <c r="P253" s="848">
        <f t="shared" si="181"/>
        <v>851.96917172536007</v>
      </c>
      <c r="Q253" s="848">
        <f t="shared" si="181"/>
        <v>2040.7878000000001</v>
      </c>
      <c r="R253" s="848">
        <f t="shared" si="181"/>
        <v>2251.7324999999996</v>
      </c>
      <c r="S253" s="848">
        <f t="shared" si="181"/>
        <v>2235.9787500000002</v>
      </c>
      <c r="T253" s="848">
        <f t="shared" si="181"/>
        <v>2332.6077</v>
      </c>
      <c r="U253" s="848">
        <f>0.3*U252</f>
        <v>2342.2193523749997</v>
      </c>
      <c r="V253" s="848">
        <f>0.3*V252</f>
        <v>2440.2582066000004</v>
      </c>
      <c r="W253" s="848">
        <f>0.3*W252</f>
        <v>2560.5561227998819</v>
      </c>
      <c r="X253" s="848">
        <f>0.3*X252</f>
        <v>2692.6451672839989</v>
      </c>
      <c r="Y253" s="848">
        <f>0.3*Y252</f>
        <v>2788.0545606389383</v>
      </c>
    </row>
    <row r="254" spans="2:25">
      <c r="B254" s="685" t="s">
        <v>194</v>
      </c>
      <c r="F254" s="848">
        <f t="shared" ref="F254:M254" si="182">F252-F253</f>
        <v>1506.4560000000001</v>
      </c>
      <c r="G254" s="848">
        <f t="shared" si="182"/>
        <v>1063.8179999999995</v>
      </c>
      <c r="H254" s="848">
        <f t="shared" si="182"/>
        <v>-72.172939999999841</v>
      </c>
      <c r="I254" s="848">
        <f t="shared" si="182"/>
        <v>1510.8909199999996</v>
      </c>
      <c r="J254" s="848">
        <f t="shared" si="182"/>
        <v>-470.49785999999932</v>
      </c>
      <c r="K254" s="848">
        <f t="shared" si="182"/>
        <v>-1201.7327000000016</v>
      </c>
      <c r="L254" s="848">
        <f t="shared" si="182"/>
        <v>3082.3646000000008</v>
      </c>
      <c r="M254" s="848">
        <f t="shared" si="182"/>
        <v>2569.5250000000001</v>
      </c>
      <c r="N254" s="848">
        <f t="shared" ref="N254:T254" si="183">N252-N253</f>
        <v>4211.7284999999993</v>
      </c>
      <c r="O254" s="848">
        <f t="shared" si="183"/>
        <v>3687.7400000000007</v>
      </c>
      <c r="P254" s="848">
        <f t="shared" si="183"/>
        <v>1987.9280673591738</v>
      </c>
      <c r="Q254" s="848">
        <f t="shared" si="183"/>
        <v>4761.8382000000001</v>
      </c>
      <c r="R254" s="848">
        <f t="shared" si="183"/>
        <v>5254.0424999999996</v>
      </c>
      <c r="S254" s="848">
        <f t="shared" si="183"/>
        <v>5217.2837500000005</v>
      </c>
      <c r="T254" s="848">
        <f t="shared" si="183"/>
        <v>5442.7512999999999</v>
      </c>
      <c r="U254" s="848">
        <f>U252-U253</f>
        <v>5465.1784888750008</v>
      </c>
      <c r="V254" s="848">
        <f>V252-V253</f>
        <v>5693.935815400001</v>
      </c>
      <c r="W254" s="848">
        <f>W252-W253</f>
        <v>5974.6309531997249</v>
      </c>
      <c r="X254" s="848">
        <f>X252-X253</f>
        <v>6282.8387236626641</v>
      </c>
      <c r="Y254" s="848">
        <f>Y252-Y253</f>
        <v>6505.4606414908558</v>
      </c>
    </row>
    <row r="256" spans="2:25">
      <c r="B256" s="685" t="s">
        <v>372</v>
      </c>
      <c r="F256" s="848">
        <f t="shared" ref="F256:M256" si="184">F240-F247-F253-F258</f>
        <v>-1018.8639999999996</v>
      </c>
      <c r="G256" s="848">
        <f t="shared" si="184"/>
        <v>-732.52200000000073</v>
      </c>
      <c r="H256" s="848">
        <f t="shared" si="184"/>
        <v>-1603.1177399999992</v>
      </c>
      <c r="I256" s="848">
        <f t="shared" si="184"/>
        <v>-2231.3486800000001</v>
      </c>
      <c r="J256" s="848">
        <f t="shared" si="184"/>
        <v>-5599.0470600000008</v>
      </c>
      <c r="K256" s="848">
        <f t="shared" si="184"/>
        <v>-4912.1667000000007</v>
      </c>
      <c r="L256" s="848">
        <f t="shared" si="184"/>
        <v>0</v>
      </c>
      <c r="M256" s="848">
        <f t="shared" si="184"/>
        <v>0</v>
      </c>
      <c r="N256" s="848">
        <f t="shared" ref="N256:T256" si="185">N240-N247-N253-N258</f>
        <v>0</v>
      </c>
      <c r="O256" s="848">
        <f t="shared" si="185"/>
        <v>0</v>
      </c>
      <c r="P256" s="848">
        <f t="shared" si="185"/>
        <v>0</v>
      </c>
      <c r="Q256" s="848">
        <f t="shared" si="185"/>
        <v>0</v>
      </c>
      <c r="R256" s="848">
        <f t="shared" si="185"/>
        <v>0</v>
      </c>
      <c r="S256" s="848">
        <f t="shared" si="185"/>
        <v>0</v>
      </c>
      <c r="T256" s="848">
        <f t="shared" si="185"/>
        <v>0</v>
      </c>
      <c r="U256" s="848">
        <f>U240-U247-U253-U258</f>
        <v>0</v>
      </c>
      <c r="V256" s="848">
        <f>V240-V247-V253-V258</f>
        <v>0</v>
      </c>
      <c r="W256" s="848">
        <f>W240-W247-W253-W258</f>
        <v>0</v>
      </c>
      <c r="X256" s="848">
        <f>X240-X247-X253-X258</f>
        <v>0</v>
      </c>
      <c r="Y256" s="848">
        <f>Y240-Y247-Y253-Y258</f>
        <v>0</v>
      </c>
    </row>
    <row r="258" spans="2:25">
      <c r="B258" s="685" t="s">
        <v>962</v>
      </c>
      <c r="F258" s="848">
        <f t="shared" ref="F258:M258" si="186">IF((F240-F247-F253)&lt;0,0,F240-F247-F253)</f>
        <v>0</v>
      </c>
      <c r="G258" s="848">
        <f t="shared" si="186"/>
        <v>0</v>
      </c>
      <c r="H258" s="848">
        <f t="shared" si="186"/>
        <v>0</v>
      </c>
      <c r="I258" s="848">
        <f t="shared" si="186"/>
        <v>0</v>
      </c>
      <c r="J258" s="848">
        <f t="shared" si="186"/>
        <v>0</v>
      </c>
      <c r="K258" s="848">
        <f t="shared" si="186"/>
        <v>0</v>
      </c>
      <c r="L258" s="848">
        <f t="shared" si="186"/>
        <v>2024.5316</v>
      </c>
      <c r="M258" s="848">
        <f t="shared" si="186"/>
        <v>1289.4000000000001</v>
      </c>
      <c r="N258" s="848">
        <f t="shared" ref="N258:T258" si="187">IF((N240-N247-N253)&lt;0,0,N240-N247-N253)</f>
        <v>2915.048499999999</v>
      </c>
      <c r="O258" s="848">
        <f t="shared" si="187"/>
        <v>2976.2149999999992</v>
      </c>
      <c r="P258" s="848">
        <f t="shared" si="187"/>
        <v>1987.9280673591738</v>
      </c>
      <c r="Q258" s="848">
        <f t="shared" si="187"/>
        <v>4761.8382000000001</v>
      </c>
      <c r="R258" s="848">
        <f t="shared" si="187"/>
        <v>5254.0424999999996</v>
      </c>
      <c r="S258" s="848">
        <f t="shared" si="187"/>
        <v>5217.2837500000005</v>
      </c>
      <c r="T258" s="848">
        <f t="shared" si="187"/>
        <v>5442.7512999999999</v>
      </c>
      <c r="U258" s="848">
        <f>IF((U240-U247-U253)&lt;0,0,U240-U247-U253)</f>
        <v>5465.1784888750008</v>
      </c>
      <c r="V258" s="848">
        <f>IF((V240-V247-V253)&lt;0,0,V240-V247-V253)</f>
        <v>5693.935815400001</v>
      </c>
      <c r="W258" s="848">
        <f>IF((W240-W247-W253)&lt;0,0,W240-W247-W253)</f>
        <v>5974.6309531997249</v>
      </c>
      <c r="X258" s="848">
        <f>IF((X240-X247-X253)&lt;0,0,X240-X247-X253)</f>
        <v>6282.8387236626641</v>
      </c>
      <c r="Y258" s="848">
        <f>IF((Y240-Y247-Y253)&lt;0,0,Y240-Y247-Y253)</f>
        <v>6505.4606414908558</v>
      </c>
    </row>
    <row r="260" spans="2:25">
      <c r="B260" s="685" t="s">
        <v>1098</v>
      </c>
      <c r="F260" s="869"/>
      <c r="G260" s="869">
        <f>(G106+G107+G108)/'SKY Mex'!I10</f>
        <v>0.40825845104659403</v>
      </c>
      <c r="H260" s="869">
        <f>(H106+H107+H108)/'SKY Mex'!J10</f>
        <v>0.4697811299037889</v>
      </c>
      <c r="I260" s="869">
        <f>(I106+I107+I108)/'SKY Mex'!K10</f>
        <v>0.53708915202038976</v>
      </c>
      <c r="J260" s="869">
        <f>(J106+J107+J108+J109)/'SKY Mex'!L10</f>
        <v>0.68883327691904239</v>
      </c>
      <c r="K260" s="869">
        <f>(K106+K107+K108+K109)/'SKY Mex'!M10</f>
        <v>0.75744533475797893</v>
      </c>
      <c r="L260" s="869">
        <f>(L106+L107+L108+L109)/'SKY Mex'!N10</f>
        <v>0.85162257434277266</v>
      </c>
      <c r="M260" s="869">
        <f>(M106+M107+M108+M109)/'SKY Mex'!O10</f>
        <v>0.9420015262016056</v>
      </c>
      <c r="N260" s="869">
        <f>(N106+N107+N108+N109)/'SKY Mex'!P10</f>
        <v>1.0018383503648207</v>
      </c>
      <c r="O260" s="869">
        <f>(O106+O107+O108+O109)/'SKY Mex'!Q10</f>
        <v>1.1701180710924868</v>
      </c>
      <c r="P260" s="869">
        <f>(P106+P107+P108+P109)/'SKY Mex'!R10</f>
        <v>1.3777607296337611</v>
      </c>
      <c r="Q260" s="869">
        <f>(Q106+Q107+Q108+Q109)/'SKY Mex'!S10</f>
        <v>1.2968419476139743</v>
      </c>
      <c r="R260" s="869">
        <f>(R106+R107+R108+R109)/'SKY Mex'!T10</f>
        <v>1.4998331820150084</v>
      </c>
      <c r="S260" s="869">
        <f>(S106+S107+S108+S109)/'SKY Mex'!U10</f>
        <v>1.5507833524784775</v>
      </c>
      <c r="T260" s="869">
        <f>(T106+T107+T108+T109)/'SKY Mex'!V10</f>
        <v>1.6367886415298074</v>
      </c>
      <c r="U260" s="869">
        <f>(U106+U107+U108+U109)/'SKY Mex'!W10</f>
        <v>1.7992296876888385</v>
      </c>
      <c r="V260" s="869">
        <f>(V106+V107+V108+V109)/'SKY Mex'!X10</f>
        <v>1.9766704480151041</v>
      </c>
      <c r="W260" s="869">
        <f>(W106+W107+W108+W109)/'SKY Mex'!Y10</f>
        <v>2.158224482116653</v>
      </c>
      <c r="X260" s="869">
        <f>(X106+X107+X108+X109)/'SKY Mex'!Z10</f>
        <v>2.3557467177672815</v>
      </c>
      <c r="Y260" s="869">
        <f>(Y106+Y107+Y108+Y109)/'SKY Mex'!AA10</f>
        <v>2.5565234584835141</v>
      </c>
    </row>
    <row r="262" spans="2:25">
      <c r="B262" s="874" t="s">
        <v>3146</v>
      </c>
    </row>
    <row r="263" spans="2:25">
      <c r="B263" s="685" t="s">
        <v>2335</v>
      </c>
      <c r="F263" s="848">
        <v>5720</v>
      </c>
      <c r="G263" s="848">
        <v>6210</v>
      </c>
      <c r="H263" s="848">
        <v>6573</v>
      </c>
      <c r="I263" s="848">
        <v>7174</v>
      </c>
      <c r="J263" s="848">
        <v>7487</v>
      </c>
      <c r="K263" s="848">
        <v>7868</v>
      </c>
      <c r="L263" s="848">
        <v>8168</v>
      </c>
      <c r="M263" s="848">
        <v>8468</v>
      </c>
      <c r="N263" s="848">
        <v>8768</v>
      </c>
      <c r="O263" s="848">
        <v>9068</v>
      </c>
      <c r="P263" s="848">
        <v>9368</v>
      </c>
      <c r="Q263" s="848">
        <v>9668</v>
      </c>
      <c r="R263" s="848">
        <v>9968</v>
      </c>
      <c r="S263" s="848">
        <v>10268</v>
      </c>
      <c r="T263" s="848">
        <v>10568</v>
      </c>
      <c r="U263" s="848">
        <v>10568</v>
      </c>
      <c r="V263" s="848">
        <v>10568</v>
      </c>
      <c r="W263" s="848">
        <v>10568</v>
      </c>
      <c r="X263" s="848">
        <v>10568</v>
      </c>
      <c r="Y263" s="848">
        <v>10568</v>
      </c>
    </row>
    <row r="264" spans="2:25">
      <c r="B264" s="685" t="s">
        <v>1042</v>
      </c>
      <c r="F264" s="848"/>
      <c r="G264" s="848"/>
      <c r="H264" s="848"/>
      <c r="I264" s="848"/>
      <c r="J264" s="848"/>
      <c r="K264" s="848">
        <v>12500</v>
      </c>
      <c r="L264" s="848">
        <f>K264*1.01</f>
        <v>12625</v>
      </c>
      <c r="M264" s="848">
        <f>L264*1.01</f>
        <v>12751.25</v>
      </c>
      <c r="N264" s="848">
        <f t="shared" ref="N264:T264" si="188">M264*1.01</f>
        <v>12878.762500000001</v>
      </c>
      <c r="O264" s="848">
        <f t="shared" si="188"/>
        <v>13007.550125000002</v>
      </c>
      <c r="P264" s="848">
        <f t="shared" si="188"/>
        <v>13137.625626250001</v>
      </c>
      <c r="Q264" s="848">
        <f t="shared" si="188"/>
        <v>13269.001882512501</v>
      </c>
      <c r="R264" s="848">
        <f t="shared" si="188"/>
        <v>13401.691901337626</v>
      </c>
      <c r="S264" s="848">
        <f t="shared" si="188"/>
        <v>13535.708820351003</v>
      </c>
      <c r="T264" s="848">
        <f t="shared" si="188"/>
        <v>13671.065908554514</v>
      </c>
      <c r="U264" s="848">
        <f>T264*1.01</f>
        <v>13807.77656764006</v>
      </c>
      <c r="V264" s="848">
        <f>U264*1.01</f>
        <v>13945.85433331646</v>
      </c>
      <c r="W264" s="848">
        <f>V264*1.01</f>
        <v>14085.312876649625</v>
      </c>
      <c r="X264" s="848">
        <f>W264*1.01</f>
        <v>14226.16600541612</v>
      </c>
      <c r="Y264" s="848">
        <f>X264*1.01</f>
        <v>14368.427665470281</v>
      </c>
    </row>
    <row r="265" spans="2:25">
      <c r="B265" s="743" t="s">
        <v>3145</v>
      </c>
      <c r="C265" s="743"/>
      <c r="D265" s="743"/>
      <c r="E265" s="743"/>
      <c r="F265" s="901"/>
      <c r="G265" s="901"/>
      <c r="H265" s="901"/>
      <c r="I265" s="901"/>
      <c r="J265" s="901"/>
      <c r="K265" s="901">
        <f>K266-K263-K264</f>
        <v>9632</v>
      </c>
      <c r="L265" s="901">
        <f ca="1">L266-L263-L264</f>
        <v>9633.25</v>
      </c>
      <c r="M265" s="901">
        <f ca="1">L265</f>
        <v>9633.25</v>
      </c>
      <c r="N265" s="901">
        <f t="shared" ref="N265:T265" ca="1" si="189">M265</f>
        <v>9633.25</v>
      </c>
      <c r="O265" s="901">
        <f t="shared" ca="1" si="189"/>
        <v>9633.25</v>
      </c>
      <c r="P265" s="901">
        <f t="shared" ca="1" si="189"/>
        <v>9633.25</v>
      </c>
      <c r="Q265" s="901">
        <f t="shared" ca="1" si="189"/>
        <v>9633.25</v>
      </c>
      <c r="R265" s="901">
        <f t="shared" ca="1" si="189"/>
        <v>9633.25</v>
      </c>
      <c r="S265" s="901">
        <f t="shared" ca="1" si="189"/>
        <v>9633.25</v>
      </c>
      <c r="T265" s="901">
        <f t="shared" ca="1" si="189"/>
        <v>9633.25</v>
      </c>
      <c r="U265" s="901">
        <f ca="1">T265</f>
        <v>9633.25</v>
      </c>
      <c r="V265" s="901">
        <f ca="1">U265</f>
        <v>9633.25</v>
      </c>
      <c r="W265" s="901">
        <f ca="1">V265</f>
        <v>9633.25</v>
      </c>
      <c r="X265" s="901">
        <f ca="1">W265</f>
        <v>9633.25</v>
      </c>
      <c r="Y265" s="901">
        <f ca="1">X265</f>
        <v>9633.25</v>
      </c>
    </row>
    <row r="266" spans="2:25">
      <c r="B266" s="685" t="s">
        <v>3153</v>
      </c>
      <c r="F266" s="848"/>
      <c r="G266" s="848"/>
      <c r="H266" s="848"/>
      <c r="I266" s="848"/>
      <c r="J266" s="848"/>
      <c r="K266" s="848">
        <v>30000</v>
      </c>
      <c r="L266" s="848">
        <f ca="1">SUM(L263:L265)</f>
        <v>30426.25</v>
      </c>
      <c r="M266" s="848">
        <f ca="1">SUM(M263:M265)</f>
        <v>30852.5</v>
      </c>
      <c r="N266" s="848">
        <f t="shared" ref="N266:T266" ca="1" si="190">SUM(N263:N265)</f>
        <v>31280.012500000001</v>
      </c>
      <c r="O266" s="848">
        <f t="shared" ca="1" si="190"/>
        <v>31708.800125000002</v>
      </c>
      <c r="P266" s="848">
        <f t="shared" ca="1" si="190"/>
        <v>32138.875626250003</v>
      </c>
      <c r="Q266" s="848">
        <f t="shared" ca="1" si="190"/>
        <v>32570.251882512501</v>
      </c>
      <c r="R266" s="848">
        <f t="shared" ca="1" si="190"/>
        <v>33002.941901337625</v>
      </c>
      <c r="S266" s="848">
        <f t="shared" ca="1" si="190"/>
        <v>33436.958820351007</v>
      </c>
      <c r="T266" s="848">
        <f t="shared" ca="1" si="190"/>
        <v>33872.315908554512</v>
      </c>
      <c r="U266" s="848">
        <f ca="1">SUM(U263:U265)</f>
        <v>34009.02656764006</v>
      </c>
      <c r="V266" s="848">
        <f ca="1">SUM(V263:V265)</f>
        <v>34147.104333316456</v>
      </c>
      <c r="W266" s="848">
        <f ca="1">SUM(W263:W265)</f>
        <v>34286.562876649623</v>
      </c>
      <c r="X266" s="848">
        <f ca="1">SUM(X263:X265)</f>
        <v>34427.416005416118</v>
      </c>
      <c r="Y266" s="848">
        <f ca="1">SUM(Y263:Y265)</f>
        <v>34569.677665470284</v>
      </c>
    </row>
    <row r="268" spans="2:25">
      <c r="B268" s="874" t="s">
        <v>3149</v>
      </c>
    </row>
    <row r="269" spans="2:25">
      <c r="B269" s="685" t="s">
        <v>2335</v>
      </c>
      <c r="K269" s="848">
        <f t="shared" ref="K269:Y269" si="191">K104</f>
        <v>2228</v>
      </c>
      <c r="L269" s="848">
        <f t="shared" si="191"/>
        <v>2625</v>
      </c>
      <c r="M269" s="848">
        <f t="shared" si="191"/>
        <v>2942</v>
      </c>
      <c r="N269" s="848">
        <f t="shared" si="191"/>
        <v>3097.6280000000002</v>
      </c>
      <c r="O269" s="848">
        <f t="shared" si="191"/>
        <v>3510</v>
      </c>
      <c r="P269" s="848">
        <f t="shared" si="191"/>
        <v>3833.893</v>
      </c>
      <c r="Q269" s="848">
        <f t="shared" si="191"/>
        <v>4138</v>
      </c>
      <c r="R269" s="848">
        <f t="shared" si="191"/>
        <v>4722</v>
      </c>
      <c r="S269" s="848">
        <f t="shared" si="191"/>
        <v>5251.5519999999997</v>
      </c>
      <c r="T269" s="848">
        <f t="shared" si="191"/>
        <v>5701.5519999999997</v>
      </c>
      <c r="U269" s="848">
        <f t="shared" si="191"/>
        <v>6001.5519999999997</v>
      </c>
      <c r="V269" s="848">
        <f t="shared" si="191"/>
        <v>6201.5519999999997</v>
      </c>
      <c r="W269" s="848">
        <f t="shared" si="191"/>
        <v>6351.5519999999997</v>
      </c>
      <c r="X269" s="848">
        <f t="shared" si="191"/>
        <v>6501.5519999999997</v>
      </c>
      <c r="Y269" s="848">
        <f t="shared" si="191"/>
        <v>6651.5519999999997</v>
      </c>
    </row>
    <row r="270" spans="2:25">
      <c r="B270" s="685" t="s">
        <v>665</v>
      </c>
      <c r="K270" s="848">
        <f>K276*K$272</f>
        <v>1421.3103448275865</v>
      </c>
      <c r="L270" s="848">
        <f t="shared" ref="L270:Y270" si="192">K270/K102*L102</f>
        <v>1453.6271142574412</v>
      </c>
      <c r="M270" s="848">
        <f t="shared" si="192"/>
        <v>1509.4755119129181</v>
      </c>
      <c r="N270" s="848">
        <f t="shared" si="192"/>
        <v>1520.6138159397126</v>
      </c>
      <c r="O270" s="848">
        <f t="shared" si="192"/>
        <v>1570.500867778032</v>
      </c>
      <c r="P270" s="848">
        <f t="shared" si="192"/>
        <v>1574.5796833371398</v>
      </c>
      <c r="Q270" s="848">
        <f t="shared" si="192"/>
        <v>1572.69715307909</v>
      </c>
      <c r="R270" s="848">
        <f t="shared" si="192"/>
        <v>1645.4883230570149</v>
      </c>
      <c r="S270" s="848">
        <f t="shared" si="192"/>
        <v>1634.9470032899144</v>
      </c>
      <c r="T270" s="848">
        <f t="shared" si="192"/>
        <v>1619.0122450672422</v>
      </c>
      <c r="U270" s="848">
        <f t="shared" si="192"/>
        <v>1597.3965147643953</v>
      </c>
      <c r="V270" s="848">
        <f t="shared" si="192"/>
        <v>1569.8010855444113</v>
      </c>
      <c r="W270" s="848">
        <f t="shared" si="192"/>
        <v>1527.2727123500808</v>
      </c>
      <c r="X270" s="848">
        <f t="shared" si="192"/>
        <v>1478.9525542116885</v>
      </c>
      <c r="Y270" s="848">
        <f t="shared" si="192"/>
        <v>1416.7629896271683</v>
      </c>
    </row>
    <row r="271" spans="2:25">
      <c r="B271" s="743" t="s">
        <v>44</v>
      </c>
      <c r="C271" s="743"/>
      <c r="D271" s="743"/>
      <c r="E271" s="743"/>
      <c r="F271" s="743"/>
      <c r="G271" s="743"/>
      <c r="H271" s="743"/>
      <c r="I271" s="743"/>
      <c r="J271" s="743"/>
      <c r="K271" s="901">
        <f>K277*K$272</f>
        <v>192.06896551724139</v>
      </c>
      <c r="L271" s="901">
        <f>K271*1.02</f>
        <v>195.91034482758621</v>
      </c>
      <c r="M271" s="901">
        <f t="shared" ref="M271:T271" si="193">L271*1.02</f>
        <v>199.82855172413795</v>
      </c>
      <c r="N271" s="901">
        <f t="shared" si="193"/>
        <v>203.82512275862072</v>
      </c>
      <c r="O271" s="901">
        <f t="shared" si="193"/>
        <v>207.90162521379315</v>
      </c>
      <c r="P271" s="901">
        <f t="shared" si="193"/>
        <v>212.05965771806902</v>
      </c>
      <c r="Q271" s="901">
        <f t="shared" si="193"/>
        <v>216.3008508724304</v>
      </c>
      <c r="R271" s="901">
        <f t="shared" si="193"/>
        <v>220.62686788987901</v>
      </c>
      <c r="S271" s="901">
        <f t="shared" si="193"/>
        <v>225.0394052476766</v>
      </c>
      <c r="T271" s="901">
        <f t="shared" si="193"/>
        <v>229.54019335263013</v>
      </c>
      <c r="U271" s="901">
        <f>T271*1.02</f>
        <v>234.13099721968274</v>
      </c>
      <c r="V271" s="901">
        <f>U271*1.02</f>
        <v>238.81361716407639</v>
      </c>
      <c r="W271" s="901">
        <f>V271*1.02</f>
        <v>243.58988950735792</v>
      </c>
      <c r="X271" s="901">
        <f>W271*1.02</f>
        <v>248.46168729750508</v>
      </c>
      <c r="Y271" s="901">
        <f>X271*1.02</f>
        <v>253.43092104345519</v>
      </c>
    </row>
    <row r="272" spans="2:25">
      <c r="B272" s="685" t="s">
        <v>98</v>
      </c>
      <c r="K272" s="848">
        <f>K269/K275</f>
        <v>3841.3793103448279</v>
      </c>
      <c r="L272" s="848">
        <f>SUM(L269:L271)</f>
        <v>4274.5374590850279</v>
      </c>
      <c r="M272" s="848">
        <f t="shared" ref="M272:T272" si="194">SUM(M269:M271)</f>
        <v>4651.304063637057</v>
      </c>
      <c r="N272" s="848">
        <f t="shared" si="194"/>
        <v>4822.0669386983336</v>
      </c>
      <c r="O272" s="848">
        <f t="shared" si="194"/>
        <v>5288.4024929918251</v>
      </c>
      <c r="P272" s="848">
        <f t="shared" si="194"/>
        <v>5620.5323410552082</v>
      </c>
      <c r="Q272" s="848">
        <f t="shared" si="194"/>
        <v>5926.9980039515203</v>
      </c>
      <c r="R272" s="848">
        <f t="shared" si="194"/>
        <v>6588.1151909468936</v>
      </c>
      <c r="S272" s="848">
        <f t="shared" si="194"/>
        <v>7111.5384085375908</v>
      </c>
      <c r="T272" s="848">
        <f t="shared" si="194"/>
        <v>7550.1044384198722</v>
      </c>
      <c r="U272" s="848">
        <f>SUM(U269:U271)</f>
        <v>7833.0795119840786</v>
      </c>
      <c r="V272" s="848">
        <f>SUM(V269:V271)</f>
        <v>8010.1667027084877</v>
      </c>
      <c r="W272" s="848">
        <f>SUM(W269:W271)</f>
        <v>8122.4146018574384</v>
      </c>
      <c r="X272" s="848">
        <f>SUM(X269:X271)</f>
        <v>8228.9662415091934</v>
      </c>
      <c r="Y272" s="848">
        <f>SUM(Y269:Y271)</f>
        <v>8321.7459106706228</v>
      </c>
    </row>
    <row r="274" spans="2:25">
      <c r="B274" s="874" t="s">
        <v>3147</v>
      </c>
    </row>
    <row r="275" spans="2:25">
      <c r="B275" s="685" t="s">
        <v>2335</v>
      </c>
      <c r="K275" s="869">
        <v>0.57999999999999996</v>
      </c>
      <c r="L275" s="869">
        <f>L269/L$272</f>
        <v>0.61410153148169766</v>
      </c>
      <c r="M275" s="869">
        <f t="shared" ref="M275:T275" si="195">M269/M$272</f>
        <v>0.63251078831847474</v>
      </c>
      <c r="N275" s="869">
        <f t="shared" si="195"/>
        <v>0.64238593934495902</v>
      </c>
      <c r="O275" s="869">
        <f t="shared" si="195"/>
        <v>0.66371650127830495</v>
      </c>
      <c r="P275" s="869">
        <f t="shared" si="195"/>
        <v>0.68212275410201062</v>
      </c>
      <c r="Q275" s="869">
        <f t="shared" si="195"/>
        <v>0.69816119344754324</v>
      </c>
      <c r="R275" s="869">
        <f t="shared" si="195"/>
        <v>0.71674520908328543</v>
      </c>
      <c r="S275" s="869">
        <f t="shared" si="195"/>
        <v>0.73845512719095663</v>
      </c>
      <c r="T275" s="869">
        <f t="shared" si="195"/>
        <v>0.7551620042481495</v>
      </c>
      <c r="U275" s="869">
        <f t="shared" ref="U275:Y277" si="196">U269/U$272</f>
        <v>0.76618040080124727</v>
      </c>
      <c r="V275" s="869">
        <f t="shared" si="196"/>
        <v>0.7742101045041998</v>
      </c>
      <c r="W275" s="869">
        <f t="shared" si="196"/>
        <v>0.7819783046469363</v>
      </c>
      <c r="X275" s="869">
        <f t="shared" si="196"/>
        <v>0.79008125798406659</v>
      </c>
      <c r="Y275" s="869">
        <f t="shared" si="196"/>
        <v>0.79929765597276836</v>
      </c>
    </row>
    <row r="276" spans="2:25">
      <c r="B276" s="685" t="s">
        <v>665</v>
      </c>
      <c r="K276" s="869">
        <f>K278-K275-K277</f>
        <v>0.37000000000000005</v>
      </c>
      <c r="L276" s="869">
        <f>L270/L$272</f>
        <v>0.34006652840716772</v>
      </c>
      <c r="M276" s="869">
        <f t="shared" ref="M276:T276" si="197">M270/M$272</f>
        <v>0.32452737796990927</v>
      </c>
      <c r="N276" s="869">
        <f t="shared" si="197"/>
        <v>0.31534481691583199</v>
      </c>
      <c r="O276" s="869">
        <f t="shared" si="197"/>
        <v>0.2969707524832414</v>
      </c>
      <c r="P276" s="869">
        <f t="shared" si="197"/>
        <v>0.28014778454980399</v>
      </c>
      <c r="Q276" s="869">
        <f t="shared" si="197"/>
        <v>0.26534464024293164</v>
      </c>
      <c r="R276" s="869">
        <f t="shared" si="197"/>
        <v>0.24976617368776044</v>
      </c>
      <c r="S276" s="869">
        <f t="shared" si="197"/>
        <v>0.22990060790884811</v>
      </c>
      <c r="T276" s="869">
        <f t="shared" si="197"/>
        <v>0.21443574168704851</v>
      </c>
      <c r="U276" s="869">
        <f t="shared" si="196"/>
        <v>0.20392956720539954</v>
      </c>
      <c r="V276" s="869">
        <f t="shared" si="196"/>
        <v>0.19597608187275459</v>
      </c>
      <c r="W276" s="869">
        <f t="shared" si="196"/>
        <v>0.1880318584083141</v>
      </c>
      <c r="X276" s="869">
        <f t="shared" si="196"/>
        <v>0.17972519400449605</v>
      </c>
      <c r="Y276" s="869">
        <f t="shared" si="196"/>
        <v>0.17024828741893128</v>
      </c>
    </row>
    <row r="277" spans="2:25">
      <c r="B277" s="743" t="s">
        <v>44</v>
      </c>
      <c r="C277" s="743"/>
      <c r="D277" s="743"/>
      <c r="E277" s="743"/>
      <c r="F277" s="743"/>
      <c r="G277" s="743"/>
      <c r="H277" s="743"/>
      <c r="I277" s="743"/>
      <c r="J277" s="743"/>
      <c r="K277" s="1036">
        <v>0.05</v>
      </c>
      <c r="L277" s="1026">
        <f>L271/L$272</f>
        <v>4.5831940111134541E-2</v>
      </c>
      <c r="M277" s="1026">
        <f t="shared" ref="M277:T277" si="198">M271/M$272</f>
        <v>4.2961833711615771E-2</v>
      </c>
      <c r="N277" s="1026">
        <f t="shared" si="198"/>
        <v>4.2269243739208893E-2</v>
      </c>
      <c r="O277" s="1026">
        <f t="shared" si="198"/>
        <v>3.9312746238453627E-2</v>
      </c>
      <c r="P277" s="1026">
        <f t="shared" si="198"/>
        <v>3.7729461348185493E-2</v>
      </c>
      <c r="Q277" s="1026">
        <f t="shared" si="198"/>
        <v>3.649416630952515E-2</v>
      </c>
      <c r="R277" s="1026">
        <f t="shared" si="198"/>
        <v>3.3488617228954194E-2</v>
      </c>
      <c r="S277" s="1026">
        <f t="shared" si="198"/>
        <v>3.1644264900195271E-2</v>
      </c>
      <c r="T277" s="1026">
        <f t="shared" si="198"/>
        <v>3.0402254064801994E-2</v>
      </c>
      <c r="U277" s="1026">
        <f t="shared" si="196"/>
        <v>2.9890031993353092E-2</v>
      </c>
      <c r="V277" s="1026">
        <f t="shared" si="196"/>
        <v>2.9813813623045578E-2</v>
      </c>
      <c r="W277" s="1026">
        <f t="shared" si="196"/>
        <v>2.9989836944749614E-2</v>
      </c>
      <c r="X277" s="1026">
        <f t="shared" si="196"/>
        <v>3.0193548011437362E-2</v>
      </c>
      <c r="Y277" s="1026">
        <f t="shared" si="196"/>
        <v>3.0454056608300362E-2</v>
      </c>
    </row>
    <row r="278" spans="2:25">
      <c r="B278" s="685" t="s">
        <v>98</v>
      </c>
      <c r="K278" s="869">
        <v>1</v>
      </c>
      <c r="L278" s="869">
        <f>SUM(L275:L277)</f>
        <v>0.99999999999999989</v>
      </c>
      <c r="M278" s="869">
        <f t="shared" ref="M278:T278" si="199">SUM(M275:M277)</f>
        <v>0.99999999999999978</v>
      </c>
      <c r="N278" s="869">
        <f t="shared" si="199"/>
        <v>1</v>
      </c>
      <c r="O278" s="869">
        <f t="shared" si="199"/>
        <v>0.99999999999999989</v>
      </c>
      <c r="P278" s="869">
        <f t="shared" si="199"/>
        <v>1.0000000000000002</v>
      </c>
      <c r="Q278" s="869">
        <f t="shared" si="199"/>
        <v>1</v>
      </c>
      <c r="R278" s="869">
        <f t="shared" si="199"/>
        <v>1</v>
      </c>
      <c r="S278" s="869">
        <f t="shared" si="199"/>
        <v>1</v>
      </c>
      <c r="T278" s="869">
        <f t="shared" si="199"/>
        <v>1</v>
      </c>
      <c r="U278" s="869">
        <f>SUM(U275:U277)</f>
        <v>0.99999999999999989</v>
      </c>
      <c r="V278" s="869">
        <f>SUM(V275:V277)</f>
        <v>1</v>
      </c>
      <c r="W278" s="869">
        <f>SUM(W275:W277)</f>
        <v>1</v>
      </c>
      <c r="X278" s="869">
        <f>SUM(X275:X277)</f>
        <v>1</v>
      </c>
      <c r="Y278" s="869">
        <f>SUM(Y275:Y277)</f>
        <v>1</v>
      </c>
    </row>
    <row r="280" spans="2:25">
      <c r="B280" s="685" t="s">
        <v>3151</v>
      </c>
      <c r="K280" s="848">
        <f>K272-K281</f>
        <v>3156.9593103448278</v>
      </c>
      <c r="L280" s="848">
        <f>L282*L263</f>
        <v>3472.9448492939237</v>
      </c>
      <c r="M280" s="848">
        <f t="shared" ref="M280:T280" si="200">M282*M263</f>
        <v>3961.5793453716769</v>
      </c>
      <c r="N280" s="848">
        <f t="shared" si="200"/>
        <v>4321.3045124280343</v>
      </c>
      <c r="O280" s="848">
        <f t="shared" si="200"/>
        <v>5135.3729329449261</v>
      </c>
      <c r="P280" s="848">
        <f t="shared" si="200"/>
        <v>5633.1483762492353</v>
      </c>
      <c r="Q280" s="848">
        <f t="shared" si="200"/>
        <v>6055.2438195535451</v>
      </c>
      <c r="R280" s="848">
        <f t="shared" si="200"/>
        <v>6492.3392628578549</v>
      </c>
      <c r="S280" s="848">
        <f t="shared" si="200"/>
        <v>6893.0947061621655</v>
      </c>
      <c r="T280" s="848">
        <f t="shared" si="200"/>
        <v>7305.8501494664752</v>
      </c>
      <c r="U280" s="848">
        <f>U282*U263</f>
        <v>7517.2101494664748</v>
      </c>
      <c r="V280" s="848">
        <f>V282*V263</f>
        <v>7728.5701494664754</v>
      </c>
      <c r="W280" s="848">
        <f>W282*W263</f>
        <v>7887.0901494664768</v>
      </c>
      <c r="X280" s="848">
        <f>X282*X263</f>
        <v>8045.6101494664763</v>
      </c>
      <c r="Y280" s="848">
        <f>Y282*Y263</f>
        <v>8151.2901494664784</v>
      </c>
    </row>
    <row r="281" spans="2:25">
      <c r="B281" s="685" t="s">
        <v>3152</v>
      </c>
      <c r="K281" s="848">
        <f>K120*0.33</f>
        <v>684.42000000000007</v>
      </c>
      <c r="L281" s="848">
        <f t="shared" ref="L281:Y281" si="201">K281*L120/K120</f>
        <v>750.42000000000007</v>
      </c>
      <c r="M281" s="848">
        <f t="shared" si="201"/>
        <v>816.42000000000007</v>
      </c>
      <c r="N281" s="848">
        <f t="shared" si="201"/>
        <v>865.92000000000007</v>
      </c>
      <c r="O281" s="848">
        <f t="shared" si="201"/>
        <v>890.67000000000007</v>
      </c>
      <c r="P281" s="848">
        <f t="shared" si="201"/>
        <v>907.17000000000007</v>
      </c>
      <c r="Q281" s="848">
        <f t="shared" si="201"/>
        <v>923.67000000000007</v>
      </c>
      <c r="R281" s="848">
        <f t="shared" si="201"/>
        <v>940.17000000000007</v>
      </c>
      <c r="S281" s="848">
        <f t="shared" si="201"/>
        <v>956.67000000000007</v>
      </c>
      <c r="T281" s="848">
        <f t="shared" si="201"/>
        <v>973.17000000000007</v>
      </c>
      <c r="U281" s="848">
        <f t="shared" si="201"/>
        <v>989.67000000000007</v>
      </c>
      <c r="V281" s="848">
        <f t="shared" si="201"/>
        <v>1006.1700000000001</v>
      </c>
      <c r="W281" s="848">
        <f t="shared" si="201"/>
        <v>1022.6700000000001</v>
      </c>
      <c r="X281" s="848">
        <f t="shared" si="201"/>
        <v>1039.17</v>
      </c>
      <c r="Y281" s="848">
        <f t="shared" si="201"/>
        <v>1055.67</v>
      </c>
    </row>
    <row r="282" spans="2:25">
      <c r="B282" s="685" t="s">
        <v>3150</v>
      </c>
      <c r="K282" s="869">
        <f>K280/K263</f>
        <v>0.40124038006416213</v>
      </c>
      <c r="L282" s="869">
        <f t="shared" ref="L282:Y282" si="202">K282+L123-K123</f>
        <v>0.42518913434058808</v>
      </c>
      <c r="M282" s="869">
        <f t="shared" si="202"/>
        <v>0.46782939836699067</v>
      </c>
      <c r="N282" s="869">
        <f t="shared" si="202"/>
        <v>0.49284951099772289</v>
      </c>
      <c r="O282" s="869">
        <f t="shared" si="202"/>
        <v>0.56631814434769812</v>
      </c>
      <c r="P282" s="869">
        <f t="shared" si="202"/>
        <v>0.60131814434769804</v>
      </c>
      <c r="Q282" s="869">
        <f t="shared" si="202"/>
        <v>0.62631814434769806</v>
      </c>
      <c r="R282" s="869">
        <f t="shared" si="202"/>
        <v>0.65131814434769808</v>
      </c>
      <c r="S282" s="869">
        <f t="shared" si="202"/>
        <v>0.67131814434769821</v>
      </c>
      <c r="T282" s="869">
        <f t="shared" si="202"/>
        <v>0.69131814434769823</v>
      </c>
      <c r="U282" s="869">
        <f t="shared" si="202"/>
        <v>0.71131814434769824</v>
      </c>
      <c r="V282" s="869">
        <f t="shared" si="202"/>
        <v>0.73131814434769826</v>
      </c>
      <c r="W282" s="869">
        <f t="shared" si="202"/>
        <v>0.74631814434769839</v>
      </c>
      <c r="X282" s="869">
        <f t="shared" si="202"/>
        <v>0.7613181443476984</v>
      </c>
      <c r="Y282" s="869">
        <f t="shared" si="202"/>
        <v>0.77131814434769852</v>
      </c>
    </row>
    <row r="287" spans="2:25">
      <c r="B287" s="874" t="s">
        <v>3148</v>
      </c>
    </row>
    <row r="288" spans="2:25">
      <c r="B288" s="685" t="s">
        <v>2335</v>
      </c>
    </row>
    <row r="289" spans="2:2">
      <c r="B289" s="685" t="s">
        <v>665</v>
      </c>
    </row>
    <row r="290" spans="2:2">
      <c r="B290" s="685" t="s">
        <v>44</v>
      </c>
    </row>
    <row r="291" spans="2:2">
      <c r="B291" s="685" t="s">
        <v>98</v>
      </c>
    </row>
  </sheetData>
  <pageMargins left="0.70866141732283472" right="0.70866141732283472" top="0.74803149606299213" bottom="0.74803149606299213" header="0.31496062992125984" footer="0.31496062992125984"/>
  <pageSetup paperSize="9" scale="30" fitToHeight="2"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pageSetUpPr fitToPage="1"/>
  </sheetPr>
  <dimension ref="A1:AP256"/>
  <sheetViews>
    <sheetView zoomScale="72" zoomScaleNormal="72" workbookViewId="0">
      <pane xSplit="2" ySplit="1" topLeftCell="C2" activePane="bottomRight" state="frozen"/>
      <selection pane="topRight" activeCell="C1" sqref="C1"/>
      <selection pane="bottomLeft" activeCell="A2" sqref="A2"/>
      <selection pane="bottomRight"/>
    </sheetView>
  </sheetViews>
  <sheetFormatPr defaultColWidth="9.140625" defaultRowHeight="15" outlineLevelCol="1"/>
  <cols>
    <col min="1" max="1" width="2" style="685" customWidth="1"/>
    <col min="2" max="2" width="56.140625" style="685" customWidth="1"/>
    <col min="3" max="5" width="9.140625" style="685" hidden="1" customWidth="1" outlineLevel="1"/>
    <col min="6" max="6" width="9.42578125" style="685" hidden="1" customWidth="1" outlineLevel="1" collapsed="1"/>
    <col min="7" max="11" width="9.42578125" style="685" hidden="1" customWidth="1" outlineLevel="1"/>
    <col min="12" max="12" width="9.42578125" style="685" customWidth="1" collapsed="1"/>
    <col min="13" max="22" width="9.42578125" style="685" customWidth="1"/>
    <col min="23" max="37" width="9.140625" style="685"/>
    <col min="38" max="38" width="19.140625" style="685" bestFit="1" customWidth="1"/>
    <col min="39" max="16384" width="9.140625" style="685"/>
  </cols>
  <sheetData>
    <row r="1" spans="2:29" ht="22.5" customHeight="1">
      <c r="C1" s="1155">
        <v>2006</v>
      </c>
      <c r="D1" s="1155">
        <v>2007</v>
      </c>
      <c r="E1" s="1155">
        <v>2008</v>
      </c>
      <c r="F1" s="1155">
        <v>2009</v>
      </c>
      <c r="G1" s="1155">
        <v>2010</v>
      </c>
      <c r="H1" s="1155">
        <v>2011</v>
      </c>
      <c r="I1" s="1155">
        <v>2012</v>
      </c>
      <c r="J1" s="1155">
        <v>2013</v>
      </c>
      <c r="K1" s="1155">
        <v>2014</v>
      </c>
      <c r="L1" s="1155">
        <v>2015</v>
      </c>
      <c r="M1" s="1155">
        <v>2016</v>
      </c>
      <c r="N1" s="1155">
        <v>2017</v>
      </c>
      <c r="O1" s="1155">
        <v>2018</v>
      </c>
      <c r="P1" s="1155">
        <v>2019</v>
      </c>
      <c r="Q1" s="1155">
        <v>2020</v>
      </c>
      <c r="R1" s="1155">
        <v>2021</v>
      </c>
      <c r="S1" s="1155">
        <v>2022</v>
      </c>
      <c r="T1" s="1155">
        <v>2023</v>
      </c>
      <c r="U1" s="1155">
        <v>2024</v>
      </c>
      <c r="V1" s="1155">
        <v>2025</v>
      </c>
      <c r="W1" s="1155">
        <v>2026</v>
      </c>
      <c r="X1" s="1155">
        <v>2027</v>
      </c>
      <c r="Y1" s="1155">
        <v>2028</v>
      </c>
      <c r="Z1" s="1155">
        <v>2029</v>
      </c>
      <c r="AA1" s="1155">
        <v>2030</v>
      </c>
      <c r="AB1" s="904">
        <f ca="1">SOP!G35</f>
        <v>3.2037910886818382</v>
      </c>
    </row>
    <row r="3" spans="2:29">
      <c r="B3" s="874" t="s">
        <v>604</v>
      </c>
    </row>
    <row r="4" spans="2:29">
      <c r="B4" s="743" t="s">
        <v>917</v>
      </c>
      <c r="C4" s="743">
        <f>C1</f>
        <v>2006</v>
      </c>
      <c r="D4" s="743">
        <f t="shared" ref="D4:AA4" si="0">D1</f>
        <v>2007</v>
      </c>
      <c r="E4" s="743">
        <f t="shared" si="0"/>
        <v>2008</v>
      </c>
      <c r="F4" s="743">
        <f t="shared" si="0"/>
        <v>2009</v>
      </c>
      <c r="G4" s="743">
        <f t="shared" si="0"/>
        <v>2010</v>
      </c>
      <c r="H4" s="743">
        <f t="shared" si="0"/>
        <v>2011</v>
      </c>
      <c r="I4" s="743">
        <f t="shared" si="0"/>
        <v>2012</v>
      </c>
      <c r="J4" s="743">
        <f t="shared" si="0"/>
        <v>2013</v>
      </c>
      <c r="K4" s="743">
        <f t="shared" si="0"/>
        <v>2014</v>
      </c>
      <c r="L4" s="743">
        <f t="shared" si="0"/>
        <v>2015</v>
      </c>
      <c r="M4" s="743">
        <f t="shared" si="0"/>
        <v>2016</v>
      </c>
      <c r="N4" s="743">
        <f t="shared" si="0"/>
        <v>2017</v>
      </c>
      <c r="O4" s="743">
        <f t="shared" si="0"/>
        <v>2018</v>
      </c>
      <c r="P4" s="743">
        <f t="shared" si="0"/>
        <v>2019</v>
      </c>
      <c r="Q4" s="743">
        <f t="shared" si="0"/>
        <v>2020</v>
      </c>
      <c r="R4" s="743">
        <f t="shared" si="0"/>
        <v>2021</v>
      </c>
      <c r="S4" s="743">
        <f t="shared" si="0"/>
        <v>2022</v>
      </c>
      <c r="T4" s="743">
        <f t="shared" si="0"/>
        <v>2023</v>
      </c>
      <c r="U4" s="743">
        <f t="shared" si="0"/>
        <v>2024</v>
      </c>
      <c r="V4" s="743">
        <f t="shared" si="0"/>
        <v>2025</v>
      </c>
      <c r="W4" s="743">
        <f t="shared" si="0"/>
        <v>2026</v>
      </c>
      <c r="X4" s="743">
        <f t="shared" si="0"/>
        <v>2027</v>
      </c>
      <c r="Y4" s="743">
        <f t="shared" si="0"/>
        <v>2028</v>
      </c>
      <c r="Z4" s="743">
        <f t="shared" si="0"/>
        <v>2029</v>
      </c>
      <c r="AA4" s="743">
        <f t="shared" si="0"/>
        <v>2030</v>
      </c>
    </row>
    <row r="5" spans="2:29">
      <c r="B5" s="685" t="s">
        <v>91</v>
      </c>
      <c r="F5" s="978">
        <v>632</v>
      </c>
      <c r="G5" s="978">
        <v>669</v>
      </c>
      <c r="H5" s="978">
        <v>727</v>
      </c>
      <c r="I5" s="978">
        <v>787</v>
      </c>
      <c r="J5" s="978">
        <v>867</v>
      </c>
      <c r="K5" s="978">
        <v>903.1</v>
      </c>
      <c r="L5" s="848"/>
      <c r="M5" s="848"/>
      <c r="N5" s="848"/>
      <c r="O5" s="848"/>
      <c r="P5" s="848"/>
      <c r="Q5" s="848"/>
      <c r="R5" s="848"/>
      <c r="S5" s="848"/>
      <c r="T5" s="848"/>
      <c r="U5" s="848"/>
      <c r="V5" s="848"/>
      <c r="W5" s="848"/>
      <c r="X5" s="848"/>
      <c r="Y5" s="848"/>
      <c r="Z5" s="848"/>
      <c r="AA5" s="848"/>
    </row>
    <row r="6" spans="2:29">
      <c r="B6" s="685" t="s">
        <v>90</v>
      </c>
      <c r="F6" s="978">
        <v>913</v>
      </c>
      <c r="G6" s="978">
        <v>997</v>
      </c>
      <c r="H6" s="978">
        <v>1085</v>
      </c>
      <c r="I6" s="978">
        <v>1147</v>
      </c>
      <c r="J6" s="978">
        <v>1185</v>
      </c>
      <c r="K6" s="978">
        <v>1214</v>
      </c>
      <c r="L6" s="848"/>
      <c r="M6" s="848"/>
      <c r="N6" s="848"/>
      <c r="O6" s="848"/>
      <c r="P6" s="848"/>
      <c r="Q6" s="848"/>
      <c r="R6" s="848"/>
      <c r="S6" s="848"/>
      <c r="T6" s="848"/>
      <c r="U6" s="848"/>
      <c r="V6" s="848"/>
      <c r="W6" s="848"/>
      <c r="X6" s="848"/>
      <c r="Y6" s="848"/>
      <c r="Z6" s="848"/>
      <c r="AA6" s="848"/>
    </row>
    <row r="7" spans="2:29">
      <c r="B7" s="685" t="s">
        <v>155</v>
      </c>
      <c r="F7" s="978">
        <v>237</v>
      </c>
      <c r="G7" s="978">
        <v>302</v>
      </c>
      <c r="H7" s="978">
        <v>370</v>
      </c>
      <c r="I7" s="978">
        <v>375</v>
      </c>
      <c r="J7" s="978">
        <v>443</v>
      </c>
      <c r="K7" s="978">
        <v>489</v>
      </c>
      <c r="L7" s="848"/>
      <c r="M7" s="848"/>
      <c r="N7" s="848"/>
      <c r="O7" s="848"/>
      <c r="P7" s="848"/>
      <c r="Q7" s="848"/>
      <c r="R7" s="848"/>
      <c r="S7" s="848"/>
      <c r="T7" s="848"/>
      <c r="U7" s="848"/>
      <c r="V7" s="848"/>
      <c r="W7" s="848"/>
      <c r="X7" s="848"/>
      <c r="Y7" s="848"/>
      <c r="Z7" s="848"/>
      <c r="AA7" s="848"/>
    </row>
    <row r="8" spans="2:29">
      <c r="B8" s="685" t="s">
        <v>1510</v>
      </c>
      <c r="F8" s="978">
        <f t="shared" ref="F8:J9" si="1">F7/G7*G8</f>
        <v>363.98159509202452</v>
      </c>
      <c r="G8" s="978">
        <f t="shared" si="1"/>
        <v>463.8077709611452</v>
      </c>
      <c r="H8" s="978">
        <f t="shared" si="1"/>
        <v>568.24130879345603</v>
      </c>
      <c r="I8" s="978">
        <f t="shared" si="1"/>
        <v>575.92024539877298</v>
      </c>
      <c r="J8" s="978">
        <f t="shared" si="1"/>
        <v>680.35378323108387</v>
      </c>
      <c r="K8" s="978">
        <v>751</v>
      </c>
      <c r="L8" s="848"/>
      <c r="M8" s="848"/>
      <c r="N8" s="848"/>
      <c r="O8" s="848"/>
      <c r="P8" s="848"/>
      <c r="Q8" s="848"/>
      <c r="R8" s="848"/>
      <c r="S8" s="848"/>
      <c r="T8" s="848"/>
      <c r="U8" s="848"/>
      <c r="V8" s="848"/>
      <c r="W8" s="848"/>
      <c r="X8" s="848"/>
      <c r="Y8" s="848"/>
      <c r="Z8" s="848"/>
      <c r="AA8" s="848"/>
    </row>
    <row r="9" spans="2:29">
      <c r="B9" s="743" t="s">
        <v>2064</v>
      </c>
      <c r="C9" s="743"/>
      <c r="D9" s="743"/>
      <c r="E9" s="743"/>
      <c r="F9" s="988">
        <f t="shared" si="1"/>
        <v>198.46932515337423</v>
      </c>
      <c r="G9" s="988">
        <f t="shared" si="1"/>
        <v>252.90184049079755</v>
      </c>
      <c r="H9" s="988">
        <f t="shared" si="1"/>
        <v>309.84662576687117</v>
      </c>
      <c r="I9" s="988">
        <f t="shared" si="1"/>
        <v>314.03374233128835</v>
      </c>
      <c r="J9" s="988">
        <f t="shared" si="1"/>
        <v>370.97852760736197</v>
      </c>
      <c r="K9" s="988">
        <f>650-'Cable cos'!I67-'Cable cos'!I110</f>
        <v>409.5</v>
      </c>
      <c r="L9" s="901"/>
      <c r="M9" s="901"/>
      <c r="N9" s="901"/>
      <c r="O9" s="901"/>
      <c r="P9" s="901"/>
      <c r="Q9" s="901"/>
      <c r="R9" s="901"/>
      <c r="S9" s="901"/>
      <c r="T9" s="901"/>
      <c r="U9" s="901"/>
      <c r="V9" s="901"/>
      <c r="W9" s="901"/>
      <c r="X9" s="901"/>
      <c r="Y9" s="901"/>
      <c r="Z9" s="901"/>
      <c r="AA9" s="901"/>
    </row>
    <row r="10" spans="2:29">
      <c r="B10" s="685" t="s">
        <v>1847</v>
      </c>
      <c r="F10" s="848">
        <f t="shared" ref="F10:K10" si="2">SUM(F5:F9)</f>
        <v>2344.4509202453987</v>
      </c>
      <c r="G10" s="848">
        <f t="shared" si="2"/>
        <v>2684.7096114519427</v>
      </c>
      <c r="H10" s="848">
        <f t="shared" si="2"/>
        <v>3060.0879345603271</v>
      </c>
      <c r="I10" s="848">
        <f t="shared" si="2"/>
        <v>3198.9539877300613</v>
      </c>
      <c r="J10" s="848">
        <f t="shared" si="2"/>
        <v>3546.3323108384461</v>
      </c>
      <c r="K10" s="848">
        <f t="shared" si="2"/>
        <v>3766.6</v>
      </c>
      <c r="L10" s="978">
        <v>4062</v>
      </c>
      <c r="M10" s="978">
        <v>4206</v>
      </c>
      <c r="N10" s="978">
        <v>4185</v>
      </c>
      <c r="O10" s="978">
        <v>4384</v>
      </c>
      <c r="P10" s="1037">
        <v>4318.8630000000003</v>
      </c>
      <c r="Q10" s="1037">
        <v>4284.7</v>
      </c>
      <c r="R10" s="1037">
        <v>4166.46</v>
      </c>
      <c r="S10" s="1037">
        <v>4458.22</v>
      </c>
      <c r="T10" s="1037">
        <v>4059.4940000000001</v>
      </c>
      <c r="U10" s="902">
        <v>4105</v>
      </c>
      <c r="V10" s="902">
        <f>U10*0.99</f>
        <v>4063.95</v>
      </c>
      <c r="W10" s="902">
        <f t="shared" ref="W10:AA10" si="3">V10*0.95</f>
        <v>3860.7524999999996</v>
      </c>
      <c r="X10" s="902">
        <f t="shared" si="3"/>
        <v>3667.7148749999997</v>
      </c>
      <c r="Y10" s="902">
        <f t="shared" si="3"/>
        <v>3484.3291312499996</v>
      </c>
      <c r="Z10" s="902">
        <f t="shared" si="3"/>
        <v>3310.1126746874993</v>
      </c>
      <c r="AA10" s="902">
        <f t="shared" si="3"/>
        <v>3144.6070409531244</v>
      </c>
      <c r="AC10" s="849"/>
    </row>
    <row r="11" spans="2:29">
      <c r="B11" s="685" t="s">
        <v>89</v>
      </c>
      <c r="F11" s="978">
        <v>1593</v>
      </c>
      <c r="G11" s="978">
        <v>1757</v>
      </c>
      <c r="H11" s="978">
        <v>1944</v>
      </c>
      <c r="I11" s="978">
        <v>2100</v>
      </c>
      <c r="J11" s="978">
        <v>2143</v>
      </c>
      <c r="K11" s="978">
        <v>2406</v>
      </c>
      <c r="L11" s="978">
        <v>2834</v>
      </c>
      <c r="M11" s="978">
        <v>3030</v>
      </c>
      <c r="N11" s="978">
        <v>3040</v>
      </c>
      <c r="O11" s="978">
        <v>3202</v>
      </c>
      <c r="P11" s="978">
        <v>3224.7979999999998</v>
      </c>
      <c r="Q11" s="978">
        <v>3413</v>
      </c>
      <c r="R11" s="978">
        <v>3539.82</v>
      </c>
      <c r="S11" s="978">
        <v>3675.6149999999998</v>
      </c>
      <c r="T11" s="978">
        <v>3914.09</v>
      </c>
      <c r="U11" s="902">
        <v>4114.09</v>
      </c>
      <c r="V11" s="902">
        <v>4264.09</v>
      </c>
      <c r="W11" s="902">
        <v>4404.09</v>
      </c>
      <c r="X11" s="902">
        <v>4534.09</v>
      </c>
      <c r="Y11" s="902">
        <v>4654.09</v>
      </c>
      <c r="Z11" s="902">
        <v>4764.09</v>
      </c>
      <c r="AA11" s="902">
        <v>4864.09</v>
      </c>
    </row>
    <row r="12" spans="2:29">
      <c r="B12" s="743" t="s">
        <v>595</v>
      </c>
      <c r="C12" s="743"/>
      <c r="D12" s="743"/>
      <c r="E12" s="743"/>
      <c r="F12" s="901">
        <f>F13-F10-F11</f>
        <v>1201.5490797546013</v>
      </c>
      <c r="G12" s="901">
        <f>G13-G10-G11</f>
        <v>946.29038854805731</v>
      </c>
      <c r="H12" s="901">
        <f>H13-H10-H11</f>
        <v>632.91206543967292</v>
      </c>
      <c r="I12" s="901">
        <f>I13-I10-I11</f>
        <v>656.04601226993873</v>
      </c>
      <c r="J12" s="988">
        <v>2188</v>
      </c>
      <c r="K12" s="988">
        <v>1462</v>
      </c>
      <c r="L12" s="988">
        <v>669</v>
      </c>
      <c r="M12" s="988">
        <f>L12</f>
        <v>669</v>
      </c>
      <c r="N12" s="988">
        <v>737</v>
      </c>
      <c r="O12" s="988">
        <f t="shared" ref="O12:V12" si="4">N12</f>
        <v>737</v>
      </c>
      <c r="P12" s="988">
        <f t="shared" si="4"/>
        <v>737</v>
      </c>
      <c r="Q12" s="988">
        <f t="shared" si="4"/>
        <v>737</v>
      </c>
      <c r="R12" s="988">
        <f t="shared" si="4"/>
        <v>737</v>
      </c>
      <c r="S12" s="988">
        <f t="shared" si="4"/>
        <v>737</v>
      </c>
      <c r="T12" s="988">
        <f t="shared" si="4"/>
        <v>737</v>
      </c>
      <c r="U12" s="1019">
        <f t="shared" si="4"/>
        <v>737</v>
      </c>
      <c r="V12" s="1019">
        <f t="shared" si="4"/>
        <v>737</v>
      </c>
      <c r="W12" s="1019">
        <f>V12</f>
        <v>737</v>
      </c>
      <c r="X12" s="1019">
        <f>W12</f>
        <v>737</v>
      </c>
      <c r="Y12" s="1019">
        <f>X12</f>
        <v>737</v>
      </c>
      <c r="Z12" s="1019">
        <f>Y12</f>
        <v>737</v>
      </c>
      <c r="AA12" s="1019">
        <f>Z12</f>
        <v>737</v>
      </c>
    </row>
    <row r="13" spans="2:29">
      <c r="B13" s="685" t="s">
        <v>596</v>
      </c>
      <c r="F13" s="978">
        <v>5139</v>
      </c>
      <c r="G13" s="978">
        <v>5388</v>
      </c>
      <c r="H13" s="978">
        <v>5637</v>
      </c>
      <c r="I13" s="978">
        <v>5955</v>
      </c>
      <c r="J13" s="848">
        <f>SUM(J10:J12)</f>
        <v>7877.3323108384466</v>
      </c>
      <c r="K13" s="848">
        <f>SUM(K10:K12)</f>
        <v>7634.6</v>
      </c>
      <c r="L13" s="848">
        <f>SUM(L10:L12)</f>
        <v>7565</v>
      </c>
      <c r="M13" s="848">
        <f>SUM(M10:M12)</f>
        <v>7905</v>
      </c>
      <c r="N13" s="848">
        <f t="shared" ref="N13:V13" si="5">SUM(N10:N12)</f>
        <v>7962</v>
      </c>
      <c r="O13" s="848">
        <f t="shared" si="5"/>
        <v>8323</v>
      </c>
      <c r="P13" s="848">
        <f t="shared" si="5"/>
        <v>8280.6610000000001</v>
      </c>
      <c r="Q13" s="848">
        <f t="shared" si="5"/>
        <v>8434.7000000000007</v>
      </c>
      <c r="R13" s="848">
        <f t="shared" si="5"/>
        <v>8443.2800000000007</v>
      </c>
      <c r="S13" s="848">
        <f t="shared" si="5"/>
        <v>8870.8349999999991</v>
      </c>
      <c r="T13" s="848">
        <f t="shared" si="5"/>
        <v>8710.5840000000007</v>
      </c>
      <c r="U13" s="848">
        <f t="shared" si="5"/>
        <v>8956.09</v>
      </c>
      <c r="V13" s="848">
        <f t="shared" si="5"/>
        <v>9065.0400000000009</v>
      </c>
      <c r="W13" s="848">
        <f>SUM(W10:W12)</f>
        <v>9001.8424999999988</v>
      </c>
      <c r="X13" s="848">
        <f>SUM(X10:X12)</f>
        <v>8938.8048749999998</v>
      </c>
      <c r="Y13" s="848">
        <f>SUM(Y10:Y12)</f>
        <v>8875.4191312500006</v>
      </c>
      <c r="Z13" s="848">
        <f>SUM(Z10:Z12)</f>
        <v>8811.2026746874999</v>
      </c>
      <c r="AA13" s="848">
        <f>SUM(AA10:AA12)</f>
        <v>8745.6970409531241</v>
      </c>
    </row>
    <row r="14" spans="2:29">
      <c r="B14" s="685" t="s">
        <v>597</v>
      </c>
      <c r="C14" s="807"/>
      <c r="D14" s="807"/>
      <c r="E14" s="807"/>
      <c r="F14" s="807">
        <f t="shared" ref="F14:T14" si="6">F10/F13</f>
        <v>0.45620761242370084</v>
      </c>
      <c r="G14" s="807">
        <f t="shared" si="6"/>
        <v>0.4982757259561883</v>
      </c>
      <c r="H14" s="807">
        <f t="shared" si="6"/>
        <v>0.54285753673236248</v>
      </c>
      <c r="I14" s="807">
        <f t="shared" si="6"/>
        <v>0.53718790725945609</v>
      </c>
      <c r="J14" s="807">
        <f t="shared" si="6"/>
        <v>0.45019457995431222</v>
      </c>
      <c r="K14" s="807">
        <f t="shared" si="6"/>
        <v>0.49335918057265604</v>
      </c>
      <c r="L14" s="807">
        <f t="shared" si="6"/>
        <v>0.53694646397884993</v>
      </c>
      <c r="M14" s="807">
        <f t="shared" si="6"/>
        <v>0.53206831119544595</v>
      </c>
      <c r="N14" s="807">
        <f t="shared" si="6"/>
        <v>0.52562170308967593</v>
      </c>
      <c r="O14" s="807">
        <f t="shared" si="6"/>
        <v>0.52673314910489011</v>
      </c>
      <c r="P14" s="807">
        <f t="shared" si="6"/>
        <v>0.52156017496670859</v>
      </c>
      <c r="Q14" s="807">
        <f t="shared" si="6"/>
        <v>0.50798487201678777</v>
      </c>
      <c r="R14" s="807">
        <f t="shared" si="6"/>
        <v>0.49346462512199046</v>
      </c>
      <c r="S14" s="807">
        <f t="shared" si="6"/>
        <v>0.50257050210042242</v>
      </c>
      <c r="T14" s="807">
        <f t="shared" si="6"/>
        <v>0.46604154210555798</v>
      </c>
      <c r="U14" s="807">
        <f t="shared" ref="U14:V14" si="7">T14</f>
        <v>0.46604154210555798</v>
      </c>
      <c r="V14" s="807">
        <f t="shared" si="7"/>
        <v>0.46604154210555798</v>
      </c>
      <c r="W14" s="807">
        <f>V14</f>
        <v>0.46604154210555798</v>
      </c>
      <c r="X14" s="807">
        <f>W14</f>
        <v>0.46604154210555798</v>
      </c>
      <c r="Y14" s="807">
        <f>X14</f>
        <v>0.46604154210555798</v>
      </c>
      <c r="Z14" s="807">
        <f>Y14</f>
        <v>0.46604154210555798</v>
      </c>
      <c r="AA14" s="807">
        <f>Z14</f>
        <v>0.46604154210555798</v>
      </c>
    </row>
    <row r="15" spans="2:29">
      <c r="K15" s="807"/>
    </row>
    <row r="16" spans="2:29">
      <c r="B16" s="685" t="s">
        <v>403</v>
      </c>
      <c r="C16" s="1002">
        <v>1430.1</v>
      </c>
      <c r="D16" s="1002">
        <v>1585.1</v>
      </c>
      <c r="E16" s="1004">
        <v>1639</v>
      </c>
      <c r="F16" s="978">
        <v>1823</v>
      </c>
      <c r="G16" s="978">
        <v>2899</v>
      </c>
      <c r="H16" s="978">
        <v>3849</v>
      </c>
      <c r="I16" s="978">
        <v>4971</v>
      </c>
      <c r="J16" s="978">
        <f>6015-203</f>
        <v>5812</v>
      </c>
      <c r="K16" s="978">
        <v>6446</v>
      </c>
      <c r="L16" s="978">
        <f>7284.162-192.024</f>
        <v>7092.1379999999999</v>
      </c>
      <c r="M16" s="978">
        <f>8026.519-206.814</f>
        <v>7819.7049999999999</v>
      </c>
      <c r="N16" s="978">
        <f>8002.526-174.809</f>
        <v>7827.7169999999996</v>
      </c>
      <c r="O16" s="978">
        <f>7637.04-159.027</f>
        <v>7478.0129999999999</v>
      </c>
      <c r="P16" s="978">
        <f>7429.351-169.692</f>
        <v>7259.6589999999997</v>
      </c>
      <c r="Q16" s="978">
        <f>7477-170</f>
        <v>7307</v>
      </c>
      <c r="R16" s="978">
        <f>7408-170</f>
        <v>7238</v>
      </c>
      <c r="S16" s="978">
        <f>6257.059-170</f>
        <v>6087.0590000000002</v>
      </c>
      <c r="T16" s="978">
        <f>5567.426-170</f>
        <v>5397.4260000000004</v>
      </c>
      <c r="U16" s="848">
        <f t="shared" ref="U16:AA16" si="8">U19*U20</f>
        <v>5152.5210774008401</v>
      </c>
      <c r="V16" s="848">
        <f t="shared" si="8"/>
        <v>5072.0185536109457</v>
      </c>
      <c r="W16" s="848">
        <f t="shared" si="8"/>
        <v>4968.4897178410083</v>
      </c>
      <c r="X16" s="848">
        <f t="shared" si="8"/>
        <v>4864.960882071071</v>
      </c>
      <c r="Y16" s="848">
        <f t="shared" si="8"/>
        <v>4761.4320463011336</v>
      </c>
      <c r="Z16" s="848">
        <f t="shared" si="8"/>
        <v>4657.9032105311962</v>
      </c>
      <c r="AA16" s="848">
        <f t="shared" si="8"/>
        <v>4554.3743747612589</v>
      </c>
    </row>
    <row r="17" spans="2:27">
      <c r="B17" s="685" t="s">
        <v>598</v>
      </c>
      <c r="F17" s="978">
        <v>617</v>
      </c>
      <c r="G17" s="978">
        <v>1468</v>
      </c>
      <c r="H17" s="978">
        <v>1796</v>
      </c>
      <c r="I17" s="978">
        <v>1938</v>
      </c>
      <c r="J17" s="978">
        <v>1958</v>
      </c>
      <c r="K17" s="978">
        <v>2309</v>
      </c>
      <c r="L17" s="978">
        <v>2463</v>
      </c>
      <c r="M17" s="978">
        <v>4275</v>
      </c>
      <c r="N17" s="978">
        <v>5501</v>
      </c>
      <c r="O17" s="978">
        <v>5400</v>
      </c>
      <c r="P17" s="848">
        <f t="shared" ref="P17:V17" si="9">P19-P16-P18</f>
        <v>5126.888724702354</v>
      </c>
      <c r="Q17" s="848">
        <f t="shared" si="9"/>
        <v>4853.0443164532226</v>
      </c>
      <c r="R17" s="848">
        <f t="shared" si="9"/>
        <v>4693.3985555330328</v>
      </c>
      <c r="S17" s="848">
        <f t="shared" si="9"/>
        <v>5613.5514419417896</v>
      </c>
      <c r="T17" s="848">
        <f t="shared" si="9"/>
        <v>6070.2539756794931</v>
      </c>
      <c r="U17" s="848">
        <f t="shared" si="9"/>
        <v>6080.0860793453003</v>
      </c>
      <c r="V17" s="848">
        <f t="shared" si="9"/>
        <v>5923.3734315307884</v>
      </c>
      <c r="W17" s="848">
        <f>W19-W16-W18</f>
        <v>5786.1375329520342</v>
      </c>
      <c r="X17" s="848">
        <f>X19-X16-X18</f>
        <v>5648.9016343732801</v>
      </c>
      <c r="Y17" s="848">
        <f>Y19-Y16-Y18</f>
        <v>5511.665735794526</v>
      </c>
      <c r="Z17" s="848">
        <f>Z19-Z16-Z18</f>
        <v>5374.4298372157718</v>
      </c>
      <c r="AA17" s="848">
        <f>AA19-AA16-AA18</f>
        <v>5237.1939386370177</v>
      </c>
    </row>
    <row r="18" spans="2:27">
      <c r="B18" s="743" t="s">
        <v>1907</v>
      </c>
      <c r="C18" s="743"/>
      <c r="D18" s="743"/>
      <c r="E18" s="743"/>
      <c r="F18" s="901"/>
      <c r="G18" s="901"/>
      <c r="H18" s="901"/>
      <c r="I18" s="901"/>
      <c r="J18" s="901"/>
      <c r="K18" s="901"/>
      <c r="L18" s="901"/>
      <c r="M18" s="901"/>
      <c r="N18" s="901"/>
      <c r="O18" s="901"/>
      <c r="P18" s="988">
        <v>500</v>
      </c>
      <c r="Q18" s="988">
        <f t="shared" ref="Q18:V18" si="10">P18+50</f>
        <v>550</v>
      </c>
      <c r="R18" s="988">
        <f t="shared" si="10"/>
        <v>600</v>
      </c>
      <c r="S18" s="988">
        <f t="shared" si="10"/>
        <v>650</v>
      </c>
      <c r="T18" s="988">
        <f t="shared" si="10"/>
        <v>700</v>
      </c>
      <c r="U18" s="988">
        <f t="shared" si="10"/>
        <v>750</v>
      </c>
      <c r="V18" s="988">
        <f t="shared" si="10"/>
        <v>800</v>
      </c>
      <c r="W18" s="988">
        <f>V18</f>
        <v>800</v>
      </c>
      <c r="X18" s="988">
        <f>W18</f>
        <v>800</v>
      </c>
      <c r="Y18" s="988">
        <f>X18</f>
        <v>800</v>
      </c>
      <c r="Z18" s="988">
        <f>Y18</f>
        <v>800</v>
      </c>
      <c r="AA18" s="988">
        <f>Z18</f>
        <v>800</v>
      </c>
    </row>
    <row r="19" spans="2:27">
      <c r="B19" s="685" t="s">
        <v>599</v>
      </c>
      <c r="F19" s="848">
        <f>F16+F17+F18</f>
        <v>2440</v>
      </c>
      <c r="G19" s="848">
        <f t="shared" ref="G19:N19" si="11">G16+G17+G18</f>
        <v>4367</v>
      </c>
      <c r="H19" s="848">
        <f t="shared" si="11"/>
        <v>5645</v>
      </c>
      <c r="I19" s="848">
        <f t="shared" si="11"/>
        <v>6909</v>
      </c>
      <c r="J19" s="848">
        <f t="shared" si="11"/>
        <v>7770</v>
      </c>
      <c r="K19" s="848">
        <f t="shared" si="11"/>
        <v>8755</v>
      </c>
      <c r="L19" s="848">
        <f t="shared" si="11"/>
        <v>9555.137999999999</v>
      </c>
      <c r="M19" s="848">
        <f t="shared" si="11"/>
        <v>12094.705</v>
      </c>
      <c r="N19" s="848">
        <f t="shared" si="11"/>
        <v>13328.717000000001</v>
      </c>
      <c r="O19" s="848">
        <f>O16+O17+O18</f>
        <v>12878.012999999999</v>
      </c>
      <c r="P19" s="848">
        <f t="shared" ref="P19:V19" si="12">P23*P46</f>
        <v>12886.547724702354</v>
      </c>
      <c r="Q19" s="848">
        <f t="shared" si="12"/>
        <v>12710.044316453223</v>
      </c>
      <c r="R19" s="848">
        <f t="shared" si="12"/>
        <v>12531.398555533033</v>
      </c>
      <c r="S19" s="848">
        <f t="shared" si="12"/>
        <v>12350.61044194179</v>
      </c>
      <c r="T19" s="848">
        <f t="shared" si="12"/>
        <v>12167.679975679494</v>
      </c>
      <c r="U19" s="848">
        <f t="shared" si="12"/>
        <v>11982.60715674614</v>
      </c>
      <c r="V19" s="848">
        <f t="shared" si="12"/>
        <v>11795.391985141734</v>
      </c>
      <c r="W19" s="848">
        <f>W23*W46</f>
        <v>11554.627250793043</v>
      </c>
      <c r="X19" s="848">
        <f>X23*X46</f>
        <v>11313.862516444351</v>
      </c>
      <c r="Y19" s="848">
        <f>Y23*Y46</f>
        <v>11073.09778209566</v>
      </c>
      <c r="Z19" s="848">
        <f>Z23*Z46</f>
        <v>10832.333047746968</v>
      </c>
      <c r="AA19" s="848">
        <f>AA23*AA46</f>
        <v>10591.568313398277</v>
      </c>
    </row>
    <row r="20" spans="2:27">
      <c r="B20" s="685" t="s">
        <v>603</v>
      </c>
      <c r="C20" s="807"/>
      <c r="D20" s="807"/>
      <c r="E20" s="807"/>
      <c r="F20" s="807">
        <f t="shared" ref="F20:N20" si="13">F16/F19</f>
        <v>0.74713114754098364</v>
      </c>
      <c r="G20" s="807">
        <f t="shared" si="13"/>
        <v>0.6638424547744447</v>
      </c>
      <c r="H20" s="807">
        <f t="shared" si="13"/>
        <v>0.68184233835252439</v>
      </c>
      <c r="I20" s="807">
        <f t="shared" si="13"/>
        <v>0.71949630916196261</v>
      </c>
      <c r="J20" s="807">
        <f t="shared" si="13"/>
        <v>0.74800514800514806</v>
      </c>
      <c r="K20" s="807">
        <f t="shared" si="13"/>
        <v>0.73626499143346658</v>
      </c>
      <c r="L20" s="807">
        <f t="shared" si="13"/>
        <v>0.74223292222467119</v>
      </c>
      <c r="M20" s="807">
        <f t="shared" si="13"/>
        <v>0.64653953941001452</v>
      </c>
      <c r="N20" s="807">
        <f t="shared" si="13"/>
        <v>0.58728210674740855</v>
      </c>
      <c r="O20" s="807">
        <f>O16/O19</f>
        <v>0.58068065314113293</v>
      </c>
      <c r="P20" s="807">
        <f t="shared" ref="P20" si="14">P16/P19</f>
        <v>0.56335173353557566</v>
      </c>
      <c r="Q20" s="807">
        <f t="shared" ref="Q20" si="15">Q16/Q19</f>
        <v>0.57489964771728197</v>
      </c>
      <c r="R20" s="807">
        <f t="shared" ref="R20" si="16">R16/R19</f>
        <v>0.57758916276780459</v>
      </c>
      <c r="S20" s="807">
        <f t="shared" ref="S20" si="17">S16/S19</f>
        <v>0.49285491017745836</v>
      </c>
      <c r="T20" s="807">
        <f t="shared" ref="T20" si="18">T16/T19</f>
        <v>0.4435871103438177</v>
      </c>
      <c r="U20" s="993">
        <v>0.43</v>
      </c>
      <c r="V20" s="993">
        <f t="shared" ref="V20:AA20" si="19">U20</f>
        <v>0.43</v>
      </c>
      <c r="W20" s="993">
        <f t="shared" si="19"/>
        <v>0.43</v>
      </c>
      <c r="X20" s="993">
        <f t="shared" si="19"/>
        <v>0.43</v>
      </c>
      <c r="Y20" s="993">
        <f t="shared" si="19"/>
        <v>0.43</v>
      </c>
      <c r="Z20" s="993">
        <f t="shared" si="19"/>
        <v>0.43</v>
      </c>
      <c r="AA20" s="993">
        <f t="shared" si="19"/>
        <v>0.43</v>
      </c>
    </row>
    <row r="22" spans="2:27">
      <c r="B22" s="743" t="s">
        <v>4222</v>
      </c>
      <c r="C22" s="743"/>
      <c r="D22" s="743"/>
      <c r="E22" s="743"/>
      <c r="F22" s="901">
        <v>471</v>
      </c>
      <c r="G22" s="901">
        <v>318</v>
      </c>
      <c r="H22" s="901">
        <v>216</v>
      </c>
      <c r="I22" s="901">
        <v>155</v>
      </c>
      <c r="J22" s="901">
        <f t="shared" ref="J22:O22" si="20">J23-J13-J19</f>
        <v>-914.33231083844657</v>
      </c>
      <c r="K22" s="901">
        <f t="shared" si="20"/>
        <v>-294.60000000000036</v>
      </c>
      <c r="L22" s="901">
        <f t="shared" si="20"/>
        <v>94.86200000000099</v>
      </c>
      <c r="M22" s="901">
        <f t="shared" si="20"/>
        <v>500.29500000000007</v>
      </c>
      <c r="N22" s="901">
        <f t="shared" si="20"/>
        <v>1051.2829999999994</v>
      </c>
      <c r="O22" s="901">
        <f t="shared" si="20"/>
        <v>1798.987000000001</v>
      </c>
      <c r="P22" s="901">
        <f t="shared" ref="P22:V22" si="21">P23-P13-P19</f>
        <v>2266.5589088503784</v>
      </c>
      <c r="Q22" s="901">
        <f t="shared" si="21"/>
        <v>2396.1409506522432</v>
      </c>
      <c r="R22" s="901">
        <f t="shared" si="21"/>
        <v>2673.3243451251637</v>
      </c>
      <c r="S22" s="901">
        <f t="shared" si="21"/>
        <v>2533.675092269139</v>
      </c>
      <c r="T22" s="901">
        <f t="shared" si="21"/>
        <v>2983.974192084168</v>
      </c>
      <c r="U22" s="901">
        <f t="shared" si="21"/>
        <v>3030.6586445702524</v>
      </c>
      <c r="V22" s="901">
        <f t="shared" si="21"/>
        <v>3216.0414497273923</v>
      </c>
      <c r="W22" s="901">
        <f>W23-W13-W19</f>
        <v>3520.0036840760858</v>
      </c>
      <c r="X22" s="901">
        <f>X23-X13-X19</f>
        <v>3823.8060434247764</v>
      </c>
      <c r="Y22" s="901">
        <f>Y23-Y13-Y19</f>
        <v>4127.956521523467</v>
      </c>
      <c r="Z22" s="901">
        <f>Z23-Z13-Z19</f>
        <v>4432.9377124346593</v>
      </c>
      <c r="AA22" s="901">
        <f>AA23-AA13-AA19</f>
        <v>4739.2080805177266</v>
      </c>
    </row>
    <row r="23" spans="2:27">
      <c r="B23" s="685" t="s">
        <v>98</v>
      </c>
      <c r="F23" s="848">
        <f>F13+F19+F22</f>
        <v>8050</v>
      </c>
      <c r="G23" s="848">
        <f>G13+G19+G22</f>
        <v>10073</v>
      </c>
      <c r="H23" s="848">
        <f>H13+H19+H22</f>
        <v>11498</v>
      </c>
      <c r="I23" s="848">
        <f>I13+I19+I22</f>
        <v>13019</v>
      </c>
      <c r="J23" s="978">
        <v>14733</v>
      </c>
      <c r="K23" s="978">
        <v>16095</v>
      </c>
      <c r="L23" s="978">
        <v>17215</v>
      </c>
      <c r="M23" s="978">
        <v>20500</v>
      </c>
      <c r="N23" s="978">
        <v>22342</v>
      </c>
      <c r="O23" s="978">
        <v>23000</v>
      </c>
      <c r="P23" s="848">
        <f t="shared" ref="P23:V23" si="22">P28*P29</f>
        <v>23433.767633552732</v>
      </c>
      <c r="Q23" s="848">
        <f t="shared" si="22"/>
        <v>23540.885267105466</v>
      </c>
      <c r="R23" s="848">
        <f t="shared" si="22"/>
        <v>23648.002900658197</v>
      </c>
      <c r="S23" s="848">
        <f t="shared" si="22"/>
        <v>23755.120534210928</v>
      </c>
      <c r="T23" s="848">
        <f t="shared" si="22"/>
        <v>23862.238167763662</v>
      </c>
      <c r="U23" s="848">
        <f t="shared" si="22"/>
        <v>23969.355801316393</v>
      </c>
      <c r="V23" s="848">
        <f t="shared" si="22"/>
        <v>24076.473434869127</v>
      </c>
      <c r="W23" s="848">
        <f>W28*W29</f>
        <v>24076.473434869127</v>
      </c>
      <c r="X23" s="848">
        <f>X28*X29</f>
        <v>24076.473434869127</v>
      </c>
      <c r="Y23" s="848">
        <f>Y28*Y29</f>
        <v>24076.473434869127</v>
      </c>
      <c r="Z23" s="848">
        <f>Z28*Z29</f>
        <v>24076.473434869127</v>
      </c>
      <c r="AA23" s="848">
        <f>AA28*AA29</f>
        <v>24076.473434869127</v>
      </c>
    </row>
    <row r="25" spans="2:27">
      <c r="B25" s="685" t="s">
        <v>866</v>
      </c>
      <c r="Q25" s="978">
        <v>1642</v>
      </c>
      <c r="R25" s="994">
        <f>Q25+R26</f>
        <v>2242</v>
      </c>
      <c r="S25" s="994">
        <f t="shared" ref="S25" si="23">R25+S26</f>
        <v>2842</v>
      </c>
      <c r="T25" s="994">
        <f t="shared" ref="T25" si="24">S25+T26</f>
        <v>3442</v>
      </c>
      <c r="U25" s="994">
        <f t="shared" ref="U25" si="25">T25+U26</f>
        <v>4042</v>
      </c>
      <c r="V25" s="994">
        <f t="shared" ref="V25" si="26">U25+V26</f>
        <v>4642</v>
      </c>
      <c r="W25" s="994">
        <f t="shared" ref="W25" si="27">V25+W26</f>
        <v>5242</v>
      </c>
      <c r="X25" s="994">
        <f t="shared" ref="X25" si="28">W25+X26</f>
        <v>5842</v>
      </c>
      <c r="Y25" s="994">
        <f t="shared" ref="Y25" si="29">X25+Y26</f>
        <v>6442</v>
      </c>
      <c r="Z25" s="994">
        <f t="shared" ref="Z25" si="30">Y25+Z26</f>
        <v>7042</v>
      </c>
      <c r="AA25" s="994">
        <f t="shared" ref="AA25" si="31">Z25+AA26</f>
        <v>7642</v>
      </c>
    </row>
    <row r="26" spans="2:27">
      <c r="B26" s="685" t="s">
        <v>5592</v>
      </c>
      <c r="R26" s="1038">
        <v>600</v>
      </c>
      <c r="S26" s="1038">
        <v>600</v>
      </c>
      <c r="T26" s="1038">
        <v>600</v>
      </c>
      <c r="U26" s="1038">
        <v>600</v>
      </c>
      <c r="V26" s="1038">
        <v>600</v>
      </c>
      <c r="W26" s="1038">
        <v>600</v>
      </c>
      <c r="X26" s="1038">
        <v>600</v>
      </c>
      <c r="Y26" s="1038">
        <v>600</v>
      </c>
      <c r="Z26" s="1038">
        <v>600</v>
      </c>
      <c r="AA26" s="1038">
        <v>600</v>
      </c>
    </row>
    <row r="28" spans="2:27">
      <c r="B28" s="685" t="s">
        <v>600</v>
      </c>
      <c r="F28" s="1004">
        <v>27925</v>
      </c>
      <c r="G28" s="1004">
        <v>28625</v>
      </c>
      <c r="H28" s="1004">
        <v>29325</v>
      </c>
      <c r="I28" s="1004">
        <v>30025</v>
      </c>
      <c r="J28" s="1004">
        <v>30725</v>
      </c>
      <c r="K28" s="1004">
        <v>31425</v>
      </c>
      <c r="L28" s="1004">
        <v>32215</v>
      </c>
      <c r="M28" s="902">
        <f t="shared" ref="M28:V28" si="32">L28+150</f>
        <v>32365</v>
      </c>
      <c r="N28" s="902">
        <f t="shared" si="32"/>
        <v>32515</v>
      </c>
      <c r="O28" s="902">
        <f t="shared" si="32"/>
        <v>32665</v>
      </c>
      <c r="P28" s="902">
        <f t="shared" si="32"/>
        <v>32815</v>
      </c>
      <c r="Q28" s="902">
        <f t="shared" si="32"/>
        <v>32965</v>
      </c>
      <c r="R28" s="902">
        <f t="shared" si="32"/>
        <v>33115</v>
      </c>
      <c r="S28" s="902">
        <f t="shared" si="32"/>
        <v>33265</v>
      </c>
      <c r="T28" s="902">
        <f t="shared" si="32"/>
        <v>33415</v>
      </c>
      <c r="U28" s="902">
        <f t="shared" si="32"/>
        <v>33565</v>
      </c>
      <c r="V28" s="902">
        <f t="shared" si="32"/>
        <v>33715</v>
      </c>
      <c r="W28" s="902">
        <f>V28</f>
        <v>33715</v>
      </c>
      <c r="X28" s="902">
        <f>W28</f>
        <v>33715</v>
      </c>
      <c r="Y28" s="902">
        <f>X28</f>
        <v>33715</v>
      </c>
      <c r="Z28" s="902">
        <f>Y28</f>
        <v>33715</v>
      </c>
      <c r="AA28" s="902">
        <f>Z28</f>
        <v>33715</v>
      </c>
    </row>
    <row r="29" spans="2:27">
      <c r="B29" s="874" t="s">
        <v>601</v>
      </c>
      <c r="C29" s="996"/>
      <c r="D29" s="996"/>
      <c r="E29" s="996"/>
      <c r="F29" s="996">
        <f t="shared" ref="F29:K29" si="33">F23/F28</f>
        <v>0.28827215756490598</v>
      </c>
      <c r="G29" s="996">
        <f t="shared" si="33"/>
        <v>0.35189519650655021</v>
      </c>
      <c r="H29" s="996">
        <f t="shared" si="33"/>
        <v>0.39208866155157718</v>
      </c>
      <c r="I29" s="996">
        <f t="shared" si="33"/>
        <v>0.43360532889258951</v>
      </c>
      <c r="J29" s="996">
        <f t="shared" si="33"/>
        <v>0.47951179820992679</v>
      </c>
      <c r="K29" s="996">
        <f t="shared" si="33"/>
        <v>0.51217183770883057</v>
      </c>
      <c r="L29" s="996">
        <f>L23/L28</f>
        <v>0.53437839515753527</v>
      </c>
      <c r="M29" s="996">
        <f>M23/M28</f>
        <v>0.6334002780781709</v>
      </c>
      <c r="N29" s="996">
        <f>N23/N28</f>
        <v>0.68712901737659537</v>
      </c>
      <c r="O29" s="996">
        <f>O23/O28</f>
        <v>0.70411755701821521</v>
      </c>
      <c r="P29" s="996">
        <f t="shared" ref="P29:V29" si="34">O29+P30</f>
        <v>0.71411755701821522</v>
      </c>
      <c r="Q29" s="996">
        <f t="shared" si="34"/>
        <v>0.71411755701821522</v>
      </c>
      <c r="R29" s="996">
        <f t="shared" si="34"/>
        <v>0.71411755701821522</v>
      </c>
      <c r="S29" s="996">
        <f t="shared" si="34"/>
        <v>0.71411755701821522</v>
      </c>
      <c r="T29" s="996">
        <f t="shared" si="34"/>
        <v>0.71411755701821522</v>
      </c>
      <c r="U29" s="996">
        <f t="shared" si="34"/>
        <v>0.71411755701821522</v>
      </c>
      <c r="V29" s="996">
        <f t="shared" si="34"/>
        <v>0.71411755701821522</v>
      </c>
      <c r="W29" s="996">
        <f>V29+W30</f>
        <v>0.71411755701821522</v>
      </c>
      <c r="X29" s="996">
        <f>W29+X30</f>
        <v>0.71411755701821522</v>
      </c>
      <c r="Y29" s="996">
        <f>X29+Y30</f>
        <v>0.71411755701821522</v>
      </c>
      <c r="Z29" s="996">
        <f>Y29+Z30</f>
        <v>0.71411755701821522</v>
      </c>
      <c r="AA29" s="996">
        <f>Z29+AA30</f>
        <v>0.71411755701821522</v>
      </c>
    </row>
    <row r="30" spans="2:27">
      <c r="B30" s="685" t="s">
        <v>602</v>
      </c>
      <c r="C30" s="807"/>
      <c r="D30" s="807"/>
      <c r="E30" s="807"/>
      <c r="F30" s="807"/>
      <c r="G30" s="807">
        <f t="shared" ref="G30:O30" si="35">G29-F29</f>
        <v>6.3623038941644228E-2</v>
      </c>
      <c r="H30" s="807">
        <f t="shared" si="35"/>
        <v>4.0193465045026966E-2</v>
      </c>
      <c r="I30" s="807">
        <f t="shared" si="35"/>
        <v>4.1516667341012337E-2</v>
      </c>
      <c r="J30" s="807">
        <f t="shared" si="35"/>
        <v>4.5906469317337273E-2</v>
      </c>
      <c r="K30" s="807">
        <f t="shared" si="35"/>
        <v>3.2660039498903781E-2</v>
      </c>
      <c r="L30" s="807">
        <f t="shared" si="35"/>
        <v>2.22065574487047E-2</v>
      </c>
      <c r="M30" s="807">
        <f t="shared" si="35"/>
        <v>9.9021882920635629E-2</v>
      </c>
      <c r="N30" s="807">
        <f t="shared" si="35"/>
        <v>5.3728739298424477E-2</v>
      </c>
      <c r="O30" s="807">
        <f t="shared" si="35"/>
        <v>1.6988539641619838E-2</v>
      </c>
      <c r="P30" s="993">
        <v>0.01</v>
      </c>
      <c r="Q30" s="993">
        <v>0</v>
      </c>
      <c r="R30" s="993">
        <v>0</v>
      </c>
      <c r="S30" s="993">
        <v>0</v>
      </c>
      <c r="T30" s="993">
        <v>0</v>
      </c>
      <c r="U30" s="993">
        <v>0</v>
      </c>
      <c r="V30" s="993">
        <v>0</v>
      </c>
      <c r="W30" s="993">
        <v>0</v>
      </c>
      <c r="X30" s="993">
        <v>0</v>
      </c>
      <c r="Y30" s="993">
        <v>0</v>
      </c>
      <c r="Z30" s="993">
        <v>0</v>
      </c>
      <c r="AA30" s="993">
        <v>0</v>
      </c>
    </row>
    <row r="32" spans="2:27">
      <c r="B32" s="743" t="s">
        <v>520</v>
      </c>
      <c r="C32" s="743"/>
      <c r="D32" s="743">
        <f>E32-1</f>
        <v>2007</v>
      </c>
      <c r="E32" s="743">
        <f>F32-1</f>
        <v>2008</v>
      </c>
      <c r="F32" s="743">
        <f t="shared" ref="F32:V32" si="36">F4</f>
        <v>2009</v>
      </c>
      <c r="G32" s="743">
        <f t="shared" si="36"/>
        <v>2010</v>
      </c>
      <c r="H32" s="743">
        <f t="shared" si="36"/>
        <v>2011</v>
      </c>
      <c r="I32" s="743">
        <f t="shared" si="36"/>
        <v>2012</v>
      </c>
      <c r="J32" s="743">
        <f t="shared" si="36"/>
        <v>2013</v>
      </c>
      <c r="K32" s="743">
        <f t="shared" si="36"/>
        <v>2014</v>
      </c>
      <c r="L32" s="743">
        <f t="shared" si="36"/>
        <v>2015</v>
      </c>
      <c r="M32" s="743">
        <f t="shared" si="36"/>
        <v>2016</v>
      </c>
      <c r="N32" s="743">
        <f t="shared" si="36"/>
        <v>2017</v>
      </c>
      <c r="O32" s="743">
        <f t="shared" si="36"/>
        <v>2018</v>
      </c>
      <c r="P32" s="743">
        <f t="shared" si="36"/>
        <v>2019</v>
      </c>
      <c r="Q32" s="743">
        <f t="shared" si="36"/>
        <v>2020</v>
      </c>
      <c r="R32" s="743">
        <f t="shared" si="36"/>
        <v>2021</v>
      </c>
      <c r="S32" s="743">
        <f t="shared" si="36"/>
        <v>2022</v>
      </c>
      <c r="T32" s="743">
        <f t="shared" si="36"/>
        <v>2023</v>
      </c>
      <c r="U32" s="743">
        <f t="shared" si="36"/>
        <v>2024</v>
      </c>
      <c r="V32" s="743">
        <f t="shared" si="36"/>
        <v>2025</v>
      </c>
      <c r="W32" s="743">
        <f>W4</f>
        <v>2026</v>
      </c>
      <c r="X32" s="743">
        <f>X4</f>
        <v>2027</v>
      </c>
      <c r="Y32" s="743">
        <f>Y4</f>
        <v>2028</v>
      </c>
      <c r="Z32" s="743">
        <f>Z4</f>
        <v>2029</v>
      </c>
      <c r="AA32" s="743">
        <f>AA4</f>
        <v>2030</v>
      </c>
    </row>
    <row r="33" spans="2:27">
      <c r="B33" s="685" t="str">
        <f t="shared" ref="B33:B41" si="37">B5</f>
        <v>Cablevision</v>
      </c>
      <c r="C33" s="869"/>
      <c r="D33" s="869"/>
      <c r="E33" s="869"/>
      <c r="F33" s="869">
        <f t="shared" ref="F33:K40" si="38">F5/F$23</f>
        <v>7.8509316770186341E-2</v>
      </c>
      <c r="G33" s="869">
        <f t="shared" si="38"/>
        <v>6.6415169264370091E-2</v>
      </c>
      <c r="H33" s="869">
        <f t="shared" si="38"/>
        <v>6.3228387545660111E-2</v>
      </c>
      <c r="I33" s="869">
        <f t="shared" si="38"/>
        <v>6.0450111375681695E-2</v>
      </c>
      <c r="J33" s="869">
        <f t="shared" si="38"/>
        <v>5.8847485237222559E-2</v>
      </c>
      <c r="K33" s="869">
        <f t="shared" si="38"/>
        <v>5.6110593351972667E-2</v>
      </c>
      <c r="L33" s="869"/>
      <c r="M33" s="869"/>
      <c r="N33" s="869"/>
      <c r="O33" s="869"/>
      <c r="P33" s="869"/>
      <c r="Q33" s="869"/>
      <c r="R33" s="869"/>
      <c r="S33" s="869"/>
      <c r="T33" s="869"/>
      <c r="U33" s="869"/>
      <c r="V33" s="869"/>
      <c r="W33" s="869"/>
      <c r="X33" s="869"/>
      <c r="Y33" s="869"/>
      <c r="Z33" s="869"/>
      <c r="AA33" s="869"/>
    </row>
    <row r="34" spans="2:27">
      <c r="B34" s="685" t="str">
        <f t="shared" si="37"/>
        <v>Cablemas</v>
      </c>
      <c r="C34" s="869"/>
      <c r="D34" s="869"/>
      <c r="E34" s="869"/>
      <c r="F34" s="869">
        <f t="shared" si="38"/>
        <v>0.11341614906832298</v>
      </c>
      <c r="G34" s="869">
        <f t="shared" si="38"/>
        <v>9.8977464509083693E-2</v>
      </c>
      <c r="H34" s="869">
        <f t="shared" si="38"/>
        <v>9.4364237258653685E-2</v>
      </c>
      <c r="I34" s="869">
        <f t="shared" si="38"/>
        <v>8.8102004762270522E-2</v>
      </c>
      <c r="J34" s="869">
        <f t="shared" si="38"/>
        <v>8.0431683974750562E-2</v>
      </c>
      <c r="K34" s="869">
        <f t="shared" si="38"/>
        <v>7.5427151289220257E-2</v>
      </c>
      <c r="L34" s="869"/>
      <c r="M34" s="869"/>
      <c r="N34" s="869"/>
      <c r="O34" s="869"/>
      <c r="P34" s="869"/>
      <c r="Q34" s="869"/>
      <c r="R34" s="869"/>
      <c r="S34" s="869"/>
      <c r="T34" s="869"/>
      <c r="U34" s="869"/>
      <c r="V34" s="869"/>
      <c r="W34" s="869"/>
      <c r="X34" s="869"/>
      <c r="Y34" s="869"/>
      <c r="Z34" s="869"/>
      <c r="AA34" s="869"/>
    </row>
    <row r="35" spans="2:27">
      <c r="B35" s="685" t="str">
        <f t="shared" si="37"/>
        <v>TVI</v>
      </c>
      <c r="C35" s="869"/>
      <c r="D35" s="869"/>
      <c r="E35" s="869"/>
      <c r="F35" s="869">
        <f t="shared" si="38"/>
        <v>2.9440993788819876E-2</v>
      </c>
      <c r="G35" s="869">
        <f t="shared" si="38"/>
        <v>2.9981137694827756E-2</v>
      </c>
      <c r="H35" s="869">
        <f t="shared" si="38"/>
        <v>3.2179509479909552E-2</v>
      </c>
      <c r="I35" s="869">
        <f t="shared" si="38"/>
        <v>2.8804055611030034E-2</v>
      </c>
      <c r="J35" s="869">
        <f t="shared" si="38"/>
        <v>3.0068553587185229E-2</v>
      </c>
      <c r="K35" s="869">
        <f t="shared" si="38"/>
        <v>3.038210624417521E-2</v>
      </c>
      <c r="L35" s="869"/>
      <c r="M35" s="869"/>
      <c r="N35" s="869"/>
      <c r="O35" s="869"/>
      <c r="P35" s="869"/>
      <c r="Q35" s="869"/>
      <c r="R35" s="869"/>
      <c r="S35" s="869"/>
      <c r="T35" s="869"/>
      <c r="U35" s="869"/>
      <c r="V35" s="869"/>
      <c r="W35" s="869"/>
      <c r="X35" s="869"/>
      <c r="Y35" s="869"/>
      <c r="Z35" s="869"/>
      <c r="AA35" s="869"/>
    </row>
    <row r="36" spans="2:27">
      <c r="B36" s="685" t="str">
        <f t="shared" si="37"/>
        <v>Cablecom</v>
      </c>
      <c r="C36" s="869"/>
      <c r="D36" s="869"/>
      <c r="E36" s="869"/>
      <c r="F36" s="869">
        <f t="shared" si="38"/>
        <v>4.5215104980375717E-2</v>
      </c>
      <c r="G36" s="869">
        <f t="shared" si="38"/>
        <v>4.6044651142772279E-2</v>
      </c>
      <c r="H36" s="869">
        <f t="shared" si="38"/>
        <v>4.94208826572844E-2</v>
      </c>
      <c r="I36" s="869">
        <f t="shared" si="38"/>
        <v>4.4236903402624851E-2</v>
      </c>
      <c r="J36" s="869">
        <f t="shared" si="38"/>
        <v>4.6178903361914332E-2</v>
      </c>
      <c r="K36" s="869">
        <f t="shared" si="38"/>
        <v>4.666045355700528E-2</v>
      </c>
      <c r="L36" s="869"/>
      <c r="M36" s="869"/>
      <c r="N36" s="869"/>
      <c r="O36" s="869"/>
      <c r="P36" s="869"/>
      <c r="Q36" s="869"/>
      <c r="R36" s="869"/>
      <c r="S36" s="869"/>
      <c r="T36" s="869"/>
      <c r="U36" s="869"/>
      <c r="V36" s="869"/>
      <c r="W36" s="869"/>
      <c r="X36" s="869"/>
      <c r="Y36" s="869"/>
      <c r="Z36" s="869"/>
      <c r="AA36" s="869"/>
    </row>
    <row r="37" spans="2:27">
      <c r="B37" s="743" t="str">
        <f t="shared" si="37"/>
        <v>Cablevision Red</v>
      </c>
      <c r="C37" s="1026"/>
      <c r="D37" s="1026"/>
      <c r="E37" s="1026"/>
      <c r="F37" s="1026">
        <f t="shared" si="38"/>
        <v>2.4654574553214188E-2</v>
      </c>
      <c r="G37" s="1026">
        <f t="shared" si="38"/>
        <v>2.510690365241711E-2</v>
      </c>
      <c r="H37" s="1026">
        <f t="shared" si="38"/>
        <v>2.6947871435629777E-2</v>
      </c>
      <c r="I37" s="1026">
        <f t="shared" si="38"/>
        <v>2.4121187674267481E-2</v>
      </c>
      <c r="J37" s="1026">
        <f t="shared" si="38"/>
        <v>2.5180107758593768E-2</v>
      </c>
      <c r="K37" s="1026">
        <f t="shared" si="38"/>
        <v>2.544268406337372E-2</v>
      </c>
      <c r="L37" s="1026"/>
      <c r="M37" s="1026"/>
      <c r="N37" s="1026"/>
      <c r="O37" s="1026"/>
      <c r="P37" s="1026"/>
      <c r="Q37" s="1026"/>
      <c r="R37" s="1026"/>
      <c r="S37" s="1026"/>
      <c r="T37" s="1026"/>
      <c r="U37" s="1026"/>
      <c r="V37" s="1026"/>
      <c r="W37" s="1026"/>
      <c r="X37" s="1026"/>
      <c r="Y37" s="1026"/>
      <c r="Z37" s="1026"/>
      <c r="AA37" s="1026"/>
    </row>
    <row r="38" spans="2:27">
      <c r="B38" s="685" t="str">
        <f t="shared" si="37"/>
        <v>Televisa group (pro forma)</v>
      </c>
      <c r="C38" s="869"/>
      <c r="D38" s="869"/>
      <c r="E38" s="869"/>
      <c r="F38" s="869">
        <f t="shared" si="38"/>
        <v>0.29123613916091912</v>
      </c>
      <c r="G38" s="869">
        <f t="shared" si="38"/>
        <v>0.26652532626347092</v>
      </c>
      <c r="H38" s="869">
        <f t="shared" si="38"/>
        <v>0.26614088837713751</v>
      </c>
      <c r="I38" s="869">
        <f t="shared" si="38"/>
        <v>0.24571426282587458</v>
      </c>
      <c r="J38" s="869">
        <f t="shared" si="38"/>
        <v>0.24070673391966646</v>
      </c>
      <c r="K38" s="869">
        <f t="shared" si="38"/>
        <v>0.23402298850574713</v>
      </c>
      <c r="L38" s="869">
        <f t="shared" ref="L38:V38" si="39">L10/L$23</f>
        <v>0.23595701423177462</v>
      </c>
      <c r="M38" s="869">
        <f t="shared" si="39"/>
        <v>0.20517073170731706</v>
      </c>
      <c r="N38" s="869">
        <f t="shared" si="39"/>
        <v>0.18731537015486527</v>
      </c>
      <c r="O38" s="869">
        <f>O10/O$23</f>
        <v>0.19060869565217392</v>
      </c>
      <c r="P38" s="869">
        <f t="shared" si="39"/>
        <v>0.18430083747251141</v>
      </c>
      <c r="Q38" s="869">
        <f t="shared" si="39"/>
        <v>0.18201099709649265</v>
      </c>
      <c r="R38" s="869">
        <f t="shared" si="39"/>
        <v>0.17618654807776746</v>
      </c>
      <c r="S38" s="869">
        <f t="shared" si="39"/>
        <v>0.18767406351735813</v>
      </c>
      <c r="T38" s="869">
        <f t="shared" si="39"/>
        <v>0.1701220971586862</v>
      </c>
      <c r="U38" s="869">
        <f t="shared" si="39"/>
        <v>0.17126033899394802</v>
      </c>
      <c r="V38" s="869">
        <f t="shared" si="39"/>
        <v>0.16879340784661265</v>
      </c>
      <c r="W38" s="869">
        <f t="shared" ref="W38:AA40" si="40">W10/W$23</f>
        <v>0.16035373745428202</v>
      </c>
      <c r="X38" s="869">
        <f t="shared" si="40"/>
        <v>0.15233605058156791</v>
      </c>
      <c r="Y38" s="869">
        <f t="shared" si="40"/>
        <v>0.14471924805248951</v>
      </c>
      <c r="Z38" s="869">
        <f t="shared" si="40"/>
        <v>0.13748328564986503</v>
      </c>
      <c r="AA38" s="869">
        <f t="shared" si="40"/>
        <v>0.13060912136737179</v>
      </c>
    </row>
    <row r="39" spans="2:27">
      <c r="B39" s="685" t="str">
        <f t="shared" si="37"/>
        <v>Megacable</v>
      </c>
      <c r="C39" s="869"/>
      <c r="D39" s="869"/>
      <c r="E39" s="869"/>
      <c r="F39" s="869">
        <f t="shared" si="38"/>
        <v>0.19788819875776398</v>
      </c>
      <c r="G39" s="869">
        <f t="shared" si="38"/>
        <v>0.17442668519805421</v>
      </c>
      <c r="H39" s="869">
        <f t="shared" si="38"/>
        <v>0.16907288224038963</v>
      </c>
      <c r="I39" s="869">
        <f t="shared" si="38"/>
        <v>0.16130271142176819</v>
      </c>
      <c r="J39" s="869">
        <f t="shared" si="38"/>
        <v>0.14545577954252359</v>
      </c>
      <c r="K39" s="869">
        <f t="shared" si="38"/>
        <v>0.1494874184529357</v>
      </c>
      <c r="L39" s="869">
        <f t="shared" ref="L39:V39" si="41">L11/L$23</f>
        <v>0.16462387452802787</v>
      </c>
      <c r="M39" s="869">
        <f t="shared" si="41"/>
        <v>0.14780487804878048</v>
      </c>
      <c r="N39" s="869">
        <f t="shared" si="41"/>
        <v>0.1360666010204995</v>
      </c>
      <c r="O39" s="869">
        <f>O11/O$23</f>
        <v>0.13921739130434782</v>
      </c>
      <c r="P39" s="869">
        <f t="shared" si="41"/>
        <v>0.13761329592526547</v>
      </c>
      <c r="Q39" s="869">
        <f t="shared" si="41"/>
        <v>0.14498180341455166</v>
      </c>
      <c r="R39" s="869">
        <f t="shared" si="41"/>
        <v>0.14968790450805788</v>
      </c>
      <c r="S39" s="869">
        <f t="shared" si="41"/>
        <v>0.15472937696554998</v>
      </c>
      <c r="T39" s="869">
        <f t="shared" si="41"/>
        <v>0.164028620135377</v>
      </c>
      <c r="U39" s="869">
        <f t="shared" si="41"/>
        <v>0.17163957321598333</v>
      </c>
      <c r="V39" s="869">
        <f t="shared" si="41"/>
        <v>0.17710608704946237</v>
      </c>
      <c r="W39" s="869">
        <f t="shared" si="40"/>
        <v>0.18292089212790227</v>
      </c>
      <c r="X39" s="869">
        <f t="shared" si="40"/>
        <v>0.18832035398645358</v>
      </c>
      <c r="Y39" s="869">
        <f t="shared" si="40"/>
        <v>0.19330447262511635</v>
      </c>
      <c r="Z39" s="869">
        <f t="shared" si="40"/>
        <v>0.19787324804389053</v>
      </c>
      <c r="AA39" s="869">
        <f t="shared" si="40"/>
        <v>0.20202668024277617</v>
      </c>
    </row>
    <row r="40" spans="2:27">
      <c r="B40" s="743" t="str">
        <f t="shared" si="37"/>
        <v>Other cable</v>
      </c>
      <c r="C40" s="1026"/>
      <c r="D40" s="1026"/>
      <c r="E40" s="1026"/>
      <c r="F40" s="1026">
        <f t="shared" si="38"/>
        <v>0.1492607552490188</v>
      </c>
      <c r="G40" s="1026">
        <f t="shared" si="38"/>
        <v>9.3943253107123731E-2</v>
      </c>
      <c r="H40" s="1026">
        <f t="shared" si="38"/>
        <v>5.5045404891256991E-2</v>
      </c>
      <c r="I40" s="1026">
        <f t="shared" si="38"/>
        <v>5.0391428855514148E-2</v>
      </c>
      <c r="J40" s="1026">
        <f t="shared" si="38"/>
        <v>0.1485101472884002</v>
      </c>
      <c r="K40" s="1026">
        <f t="shared" si="38"/>
        <v>9.0835663249456355E-2</v>
      </c>
      <c r="L40" s="1026">
        <f t="shared" ref="L40:V40" si="42">L12/L$23</f>
        <v>3.8861458030787104E-2</v>
      </c>
      <c r="M40" s="1026">
        <f t="shared" si="42"/>
        <v>3.2634146341463416E-2</v>
      </c>
      <c r="N40" s="1026">
        <f t="shared" si="42"/>
        <v>3.2987198997403995E-2</v>
      </c>
      <c r="O40" s="1026">
        <f>O12/O$23</f>
        <v>3.2043478260869562E-2</v>
      </c>
      <c r="P40" s="1026">
        <f t="shared" si="42"/>
        <v>3.1450341725875748E-2</v>
      </c>
      <c r="Q40" s="1026">
        <f t="shared" si="42"/>
        <v>3.1307233846037084E-2</v>
      </c>
      <c r="R40" s="1026">
        <f t="shared" si="42"/>
        <v>3.1165422428947986E-2</v>
      </c>
      <c r="S40" s="1026">
        <f t="shared" si="42"/>
        <v>3.1024889936408014E-2</v>
      </c>
      <c r="T40" s="1026">
        <f t="shared" si="42"/>
        <v>3.0885619145132801E-2</v>
      </c>
      <c r="U40" s="1026">
        <f t="shared" si="42"/>
        <v>3.0747593139717342E-2</v>
      </c>
      <c r="V40" s="1026">
        <f t="shared" si="42"/>
        <v>3.0610795305787114E-2</v>
      </c>
      <c r="W40" s="1026">
        <f t="shared" si="40"/>
        <v>3.0610795305787114E-2</v>
      </c>
      <c r="X40" s="1026">
        <f t="shared" si="40"/>
        <v>3.0610795305787114E-2</v>
      </c>
      <c r="Y40" s="1026">
        <f t="shared" si="40"/>
        <v>3.0610795305787114E-2</v>
      </c>
      <c r="Z40" s="1026">
        <f t="shared" si="40"/>
        <v>3.0610795305787114E-2</v>
      </c>
      <c r="AA40" s="1026">
        <f t="shared" si="40"/>
        <v>3.0610795305787114E-2</v>
      </c>
    </row>
    <row r="41" spans="2:27">
      <c r="B41" s="685" t="str">
        <f t="shared" si="37"/>
        <v>Total cable</v>
      </c>
      <c r="C41" s="869"/>
      <c r="D41" s="869"/>
      <c r="E41" s="869"/>
      <c r="F41" s="869">
        <f>F49-F48-F46</f>
        <v>0.63838509316770187</v>
      </c>
      <c r="G41" s="869">
        <f t="shared" ref="G41:V41" si="43">G49-G48-G46</f>
        <v>0.53489526456864889</v>
      </c>
      <c r="H41" s="869">
        <f t="shared" si="43"/>
        <v>0.49025917550878412</v>
      </c>
      <c r="I41" s="869">
        <f t="shared" si="43"/>
        <v>0.45740840310315689</v>
      </c>
      <c r="J41" s="869">
        <f t="shared" si="43"/>
        <v>0.53467266075059017</v>
      </c>
      <c r="K41" s="869">
        <f t="shared" si="43"/>
        <v>0.47434607020813924</v>
      </c>
      <c r="L41" s="869">
        <f t="shared" si="43"/>
        <v>0.43944234679058958</v>
      </c>
      <c r="M41" s="869">
        <f t="shared" si="43"/>
        <v>0.38560975609756099</v>
      </c>
      <c r="N41" s="869">
        <f t="shared" si="43"/>
        <v>0.35636917017276881</v>
      </c>
      <c r="O41" s="869">
        <f>O49-O48-O46</f>
        <v>0.36186956521739133</v>
      </c>
      <c r="P41" s="869">
        <f t="shared" si="43"/>
        <v>0.35336447512365254</v>
      </c>
      <c r="Q41" s="869">
        <f t="shared" si="43"/>
        <v>0.35830003435708146</v>
      </c>
      <c r="R41" s="869">
        <f t="shared" si="43"/>
        <v>0.3570398750147733</v>
      </c>
      <c r="S41" s="869">
        <f t="shared" si="43"/>
        <v>0.37342833041931611</v>
      </c>
      <c r="T41" s="869">
        <f t="shared" si="43"/>
        <v>0.36503633643919609</v>
      </c>
      <c r="U41" s="869">
        <f t="shared" si="43"/>
        <v>0.37364750534964875</v>
      </c>
      <c r="V41" s="869">
        <f t="shared" si="43"/>
        <v>0.37651029020186211</v>
      </c>
      <c r="W41" s="869">
        <f>W49-W48-W46</f>
        <v>0.37388542488797138</v>
      </c>
      <c r="X41" s="869">
        <f>X49-X48-X46</f>
        <v>0.37126719987380852</v>
      </c>
      <c r="Y41" s="869">
        <f>Y49-Y48-Y46</f>
        <v>0.36863451598339292</v>
      </c>
      <c r="Z41" s="869">
        <f>Z49-Z48-Z46</f>
        <v>0.36596732899954265</v>
      </c>
      <c r="AA41" s="869">
        <f>AA49-AA48-AA46</f>
        <v>0.36324659691593497</v>
      </c>
    </row>
    <row r="42" spans="2:27">
      <c r="C42" s="869"/>
      <c r="D42" s="869"/>
      <c r="E42" s="869"/>
      <c r="F42" s="869"/>
      <c r="G42" s="869"/>
      <c r="H42" s="869"/>
    </row>
    <row r="43" spans="2:27">
      <c r="B43" s="685" t="str">
        <f>B16</f>
        <v>SKY Mexico</v>
      </c>
      <c r="C43" s="869"/>
      <c r="D43" s="869"/>
      <c r="E43" s="869"/>
      <c r="F43" s="869">
        <f t="shared" ref="F43:V43" si="44">F16/F$23</f>
        <v>0.22645962732919256</v>
      </c>
      <c r="G43" s="869">
        <f t="shared" si="44"/>
        <v>0.28779906681227041</v>
      </c>
      <c r="H43" s="869">
        <f t="shared" si="44"/>
        <v>0.33475387023830233</v>
      </c>
      <c r="I43" s="869">
        <f t="shared" si="44"/>
        <v>0.38182656117981412</v>
      </c>
      <c r="J43" s="869">
        <f t="shared" si="44"/>
        <v>0.39448856308966268</v>
      </c>
      <c r="K43" s="869">
        <f t="shared" si="44"/>
        <v>0.40049704877291087</v>
      </c>
      <c r="L43" s="869">
        <f t="shared" si="44"/>
        <v>0.41197432471681672</v>
      </c>
      <c r="M43" s="869">
        <f t="shared" si="44"/>
        <v>0.38144902439024392</v>
      </c>
      <c r="N43" s="869">
        <f t="shared" si="44"/>
        <v>0.35035883090144121</v>
      </c>
      <c r="O43" s="869">
        <f>O16/O$23</f>
        <v>0.325131</v>
      </c>
      <c r="P43" s="869">
        <f t="shared" si="44"/>
        <v>0.30979478475349981</v>
      </c>
      <c r="Q43" s="869">
        <f t="shared" si="44"/>
        <v>0.31039614343689687</v>
      </c>
      <c r="R43" s="869">
        <f t="shared" si="44"/>
        <v>0.30607235758578766</v>
      </c>
      <c r="S43" s="869">
        <f t="shared" si="44"/>
        <v>0.25624197491373385</v>
      </c>
      <c r="T43" s="869">
        <f t="shared" si="44"/>
        <v>0.22619110420629249</v>
      </c>
      <c r="U43" s="869">
        <f t="shared" si="44"/>
        <v>0.21496285173913038</v>
      </c>
      <c r="V43" s="869">
        <f t="shared" si="44"/>
        <v>0.21066285173913035</v>
      </c>
      <c r="W43" s="869">
        <f t="shared" ref="W43:AA45" si="45">W16/W$23</f>
        <v>0.20636285173913035</v>
      </c>
      <c r="X43" s="869">
        <f t="shared" si="45"/>
        <v>0.20206285173913036</v>
      </c>
      <c r="Y43" s="869">
        <f t="shared" si="45"/>
        <v>0.19776285173913036</v>
      </c>
      <c r="Z43" s="869">
        <f t="shared" si="45"/>
        <v>0.19346285173913033</v>
      </c>
      <c r="AA43" s="869">
        <f t="shared" si="45"/>
        <v>0.18916285173913033</v>
      </c>
    </row>
    <row r="44" spans="2:27">
      <c r="B44" s="685" t="str">
        <f>B17</f>
        <v>Other DTH (Dish)</v>
      </c>
      <c r="C44" s="869"/>
      <c r="D44" s="869"/>
      <c r="E44" s="869"/>
      <c r="F44" s="869">
        <f t="shared" ref="F44:V44" si="46">F17/F$23</f>
        <v>7.6645962732919251E-2</v>
      </c>
      <c r="G44" s="869">
        <f t="shared" si="46"/>
        <v>0.14573612627816937</v>
      </c>
      <c r="H44" s="869">
        <f t="shared" si="46"/>
        <v>0.15620107844842582</v>
      </c>
      <c r="I44" s="869">
        <f t="shared" si="46"/>
        <v>0.1488593593978032</v>
      </c>
      <c r="J44" s="869">
        <f t="shared" si="46"/>
        <v>0.13289893436503089</v>
      </c>
      <c r="K44" s="869">
        <f t="shared" si="46"/>
        <v>0.14346070208139175</v>
      </c>
      <c r="L44" s="869">
        <f t="shared" si="46"/>
        <v>0.1430729015393552</v>
      </c>
      <c r="M44" s="869">
        <f t="shared" si="46"/>
        <v>0.20853658536585365</v>
      </c>
      <c r="N44" s="869">
        <f t="shared" si="46"/>
        <v>0.24621788559663413</v>
      </c>
      <c r="O44" s="869">
        <f>O17/O$23</f>
        <v>0.23478260869565218</v>
      </c>
      <c r="P44" s="869">
        <f t="shared" si="46"/>
        <v>0.2187820927848417</v>
      </c>
      <c r="Q44" s="869">
        <f t="shared" si="46"/>
        <v>0.20615385791096641</v>
      </c>
      <c r="R44" s="869">
        <f t="shared" si="46"/>
        <v>0.19846912972944539</v>
      </c>
      <c r="S44" s="869">
        <f t="shared" si="46"/>
        <v>0.23630911212836977</v>
      </c>
      <c r="T44" s="869">
        <f t="shared" si="46"/>
        <v>0.25438745238407739</v>
      </c>
      <c r="U44" s="869">
        <f t="shared" si="46"/>
        <v>0.25366080464337648</v>
      </c>
      <c r="V44" s="869">
        <f t="shared" si="46"/>
        <v>0.24602329936543657</v>
      </c>
      <c r="W44" s="869">
        <f t="shared" si="45"/>
        <v>0.24032329936543656</v>
      </c>
      <c r="X44" s="869">
        <f t="shared" si="45"/>
        <v>0.23462329936543658</v>
      </c>
      <c r="Y44" s="869">
        <f t="shared" si="45"/>
        <v>0.22892329936543657</v>
      </c>
      <c r="Z44" s="869">
        <f t="shared" si="45"/>
        <v>0.22322329936543656</v>
      </c>
      <c r="AA44" s="869">
        <f t="shared" si="45"/>
        <v>0.21752329936543655</v>
      </c>
    </row>
    <row r="45" spans="2:27">
      <c r="B45" s="743" t="s">
        <v>1907</v>
      </c>
      <c r="C45" s="1026"/>
      <c r="D45" s="1026"/>
      <c r="E45" s="1026"/>
      <c r="F45" s="1026"/>
      <c r="G45" s="1026"/>
      <c r="H45" s="1026"/>
      <c r="I45" s="1026"/>
      <c r="J45" s="1026"/>
      <c r="K45" s="1026"/>
      <c r="L45" s="1026">
        <f t="shared" ref="L45:V45" si="47">L18/L$23</f>
        <v>0</v>
      </c>
      <c r="M45" s="1026">
        <f t="shared" si="47"/>
        <v>0</v>
      </c>
      <c r="N45" s="1026">
        <f t="shared" si="47"/>
        <v>0</v>
      </c>
      <c r="O45" s="1026">
        <f>O18/O$23</f>
        <v>0</v>
      </c>
      <c r="P45" s="1026">
        <f t="shared" si="47"/>
        <v>2.1336731157310544E-2</v>
      </c>
      <c r="Q45" s="1026">
        <f t="shared" si="47"/>
        <v>2.3363607347788869E-2</v>
      </c>
      <c r="R45" s="1026">
        <f t="shared" si="47"/>
        <v>2.5372121380418985E-2</v>
      </c>
      <c r="S45" s="1026">
        <f t="shared" si="47"/>
        <v>2.7362521653548452E-2</v>
      </c>
      <c r="T45" s="1026">
        <f t="shared" si="47"/>
        <v>2.9335052105282172E-2</v>
      </c>
      <c r="U45" s="1026">
        <f t="shared" si="47"/>
        <v>3.1289952313145193E-2</v>
      </c>
      <c r="V45" s="1026">
        <f t="shared" si="47"/>
        <v>3.3227457591085058E-2</v>
      </c>
      <c r="W45" s="1026">
        <f t="shared" si="45"/>
        <v>3.3227457591085058E-2</v>
      </c>
      <c r="X45" s="1026">
        <f t="shared" si="45"/>
        <v>3.3227457591085058E-2</v>
      </c>
      <c r="Y45" s="1026">
        <f t="shared" si="45"/>
        <v>3.3227457591085058E-2</v>
      </c>
      <c r="Z45" s="1026">
        <f t="shared" si="45"/>
        <v>3.3227457591085058E-2</v>
      </c>
      <c r="AA45" s="1026">
        <f t="shared" si="45"/>
        <v>3.3227457591085058E-2</v>
      </c>
    </row>
    <row r="46" spans="2:27">
      <c r="B46" s="685" t="str">
        <f>B19</f>
        <v>Total DTH</v>
      </c>
      <c r="C46" s="869"/>
      <c r="D46" s="869"/>
      <c r="E46" s="869"/>
      <c r="F46" s="869">
        <f t="shared" ref="F46:N46" si="48">F19/F$23</f>
        <v>0.3031055900621118</v>
      </c>
      <c r="G46" s="869">
        <f t="shared" si="48"/>
        <v>0.43353519309043981</v>
      </c>
      <c r="H46" s="869">
        <f t="shared" si="48"/>
        <v>0.49095494868672812</v>
      </c>
      <c r="I46" s="869">
        <f t="shared" si="48"/>
        <v>0.53068592057761732</v>
      </c>
      <c r="J46" s="869">
        <f t="shared" si="48"/>
        <v>0.5273874974546936</v>
      </c>
      <c r="K46" s="869">
        <f t="shared" si="48"/>
        <v>0.54395775085430254</v>
      </c>
      <c r="L46" s="869">
        <f t="shared" si="48"/>
        <v>0.55504722625617187</v>
      </c>
      <c r="M46" s="869">
        <f t="shared" si="48"/>
        <v>0.5899856097560976</v>
      </c>
      <c r="N46" s="869">
        <f t="shared" si="48"/>
        <v>0.59657671649807542</v>
      </c>
      <c r="O46" s="869">
        <f>O19/O$23</f>
        <v>0.5599136086956521</v>
      </c>
      <c r="P46" s="982">
        <f>O46-1%</f>
        <v>0.54991360869565209</v>
      </c>
      <c r="Q46" s="982">
        <f t="shared" ref="Q46:V46" si="49">P46-1%</f>
        <v>0.53991360869565208</v>
      </c>
      <c r="R46" s="982">
        <f t="shared" si="49"/>
        <v>0.52991360869565207</v>
      </c>
      <c r="S46" s="982">
        <f t="shared" si="49"/>
        <v>0.51991360869565206</v>
      </c>
      <c r="T46" s="982">
        <f t="shared" si="49"/>
        <v>0.50991360869565205</v>
      </c>
      <c r="U46" s="982">
        <f t="shared" si="49"/>
        <v>0.49991360869565205</v>
      </c>
      <c r="V46" s="982">
        <f t="shared" si="49"/>
        <v>0.48991360869565204</v>
      </c>
      <c r="W46" s="982">
        <f>V46-1%</f>
        <v>0.47991360869565203</v>
      </c>
      <c r="X46" s="982">
        <f>W46-1%</f>
        <v>0.46991360869565202</v>
      </c>
      <c r="Y46" s="982">
        <f>X46-1%</f>
        <v>0.45991360869565201</v>
      </c>
      <c r="Z46" s="982">
        <f>Y46-1%</f>
        <v>0.449913608695652</v>
      </c>
      <c r="AA46" s="982">
        <f>Z46-1%</f>
        <v>0.43991360869565199</v>
      </c>
    </row>
    <row r="47" spans="2:27">
      <c r="C47" s="869"/>
      <c r="D47" s="869"/>
      <c r="E47" s="869"/>
      <c r="F47" s="869"/>
      <c r="G47" s="869"/>
      <c r="H47" s="869"/>
      <c r="I47" s="869"/>
      <c r="J47" s="869"/>
      <c r="K47" s="869"/>
    </row>
    <row r="48" spans="2:27">
      <c r="B48" s="743" t="str">
        <f>B22</f>
        <v>Other (MMDS, other fixed wireless)</v>
      </c>
      <c r="C48" s="1026"/>
      <c r="D48" s="1026"/>
      <c r="E48" s="1026"/>
      <c r="F48" s="1026">
        <f t="shared" ref="F48:V48" si="50">F22/F$23</f>
        <v>5.8509316770186337E-2</v>
      </c>
      <c r="G48" s="1026">
        <f t="shared" si="50"/>
        <v>3.1569542340911347E-2</v>
      </c>
      <c r="H48" s="1026">
        <f t="shared" si="50"/>
        <v>1.8785875804487737E-2</v>
      </c>
      <c r="I48" s="1026">
        <f t="shared" si="50"/>
        <v>1.1905676319225747E-2</v>
      </c>
      <c r="J48" s="1026">
        <f t="shared" si="50"/>
        <v>-6.2060158205283822E-2</v>
      </c>
      <c r="K48" s="1026">
        <f t="shared" si="50"/>
        <v>-1.8303821062441775E-2</v>
      </c>
      <c r="L48" s="1026">
        <f t="shared" si="50"/>
        <v>5.5104269532385121E-3</v>
      </c>
      <c r="M48" s="1026">
        <f t="shared" si="50"/>
        <v>2.4404634146341468E-2</v>
      </c>
      <c r="N48" s="1026">
        <f t="shared" si="50"/>
        <v>4.7054113329155822E-2</v>
      </c>
      <c r="O48" s="1026">
        <f>O22/O$23</f>
        <v>7.821682608695657E-2</v>
      </c>
      <c r="P48" s="1026">
        <f t="shared" si="50"/>
        <v>9.6721916180695325E-2</v>
      </c>
      <c r="Q48" s="1026">
        <f t="shared" si="50"/>
        <v>0.10178635694726647</v>
      </c>
      <c r="R48" s="1026">
        <f t="shared" si="50"/>
        <v>0.11304651628957457</v>
      </c>
      <c r="S48" s="1026">
        <f t="shared" si="50"/>
        <v>0.10665806088503182</v>
      </c>
      <c r="T48" s="1026">
        <f t="shared" si="50"/>
        <v>0.12505005486515192</v>
      </c>
      <c r="U48" s="1026">
        <f t="shared" si="50"/>
        <v>0.12643888595469926</v>
      </c>
      <c r="V48" s="1026">
        <f t="shared" si="50"/>
        <v>0.1335761011024858</v>
      </c>
      <c r="W48" s="1026">
        <f>W22/W$23</f>
        <v>0.14620096641637664</v>
      </c>
      <c r="X48" s="1026">
        <f>X22/X$23</f>
        <v>0.15881919143053941</v>
      </c>
      <c r="Y48" s="1026">
        <f>Y22/Y$23</f>
        <v>0.17145187532095502</v>
      </c>
      <c r="Z48" s="1026">
        <f>Z22/Z$23</f>
        <v>0.18411906230480532</v>
      </c>
      <c r="AA48" s="1026">
        <f>AA22/AA$23</f>
        <v>0.19683979438841298</v>
      </c>
    </row>
    <row r="49" spans="1:29">
      <c r="B49" s="685" t="str">
        <f>B23</f>
        <v>Total</v>
      </c>
      <c r="C49" s="869"/>
      <c r="D49" s="869"/>
      <c r="E49" s="869"/>
      <c r="F49" s="869">
        <f t="shared" ref="F49:O49" si="51">F23/F$23</f>
        <v>1</v>
      </c>
      <c r="G49" s="869">
        <f t="shared" si="51"/>
        <v>1</v>
      </c>
      <c r="H49" s="869">
        <f t="shared" si="51"/>
        <v>1</v>
      </c>
      <c r="I49" s="869">
        <f t="shared" si="51"/>
        <v>1</v>
      </c>
      <c r="J49" s="869">
        <f t="shared" si="51"/>
        <v>1</v>
      </c>
      <c r="K49" s="869">
        <f t="shared" si="51"/>
        <v>1</v>
      </c>
      <c r="L49" s="869">
        <f t="shared" si="51"/>
        <v>1</v>
      </c>
      <c r="M49" s="869">
        <f t="shared" si="51"/>
        <v>1</v>
      </c>
      <c r="N49" s="869">
        <f t="shared" si="51"/>
        <v>1</v>
      </c>
      <c r="O49" s="869">
        <f t="shared" si="51"/>
        <v>1</v>
      </c>
      <c r="P49" s="869">
        <f t="shared" ref="P49:V49" si="52">O49</f>
        <v>1</v>
      </c>
      <c r="Q49" s="869">
        <f t="shared" si="52"/>
        <v>1</v>
      </c>
      <c r="R49" s="869">
        <f t="shared" si="52"/>
        <v>1</v>
      </c>
      <c r="S49" s="869">
        <f t="shared" si="52"/>
        <v>1</v>
      </c>
      <c r="T49" s="869">
        <f t="shared" si="52"/>
        <v>1</v>
      </c>
      <c r="U49" s="869">
        <f t="shared" si="52"/>
        <v>1</v>
      </c>
      <c r="V49" s="869">
        <f t="shared" si="52"/>
        <v>1</v>
      </c>
      <c r="W49" s="869">
        <f>V49</f>
        <v>1</v>
      </c>
      <c r="X49" s="869">
        <f>W49</f>
        <v>1</v>
      </c>
      <c r="Y49" s="869">
        <f>X49</f>
        <v>1</v>
      </c>
      <c r="Z49" s="869">
        <f>Y49</f>
        <v>1</v>
      </c>
      <c r="AA49" s="869">
        <f>Z49</f>
        <v>1</v>
      </c>
    </row>
    <row r="50" spans="1:29">
      <c r="C50" s="869"/>
      <c r="D50" s="869"/>
      <c r="E50" s="869"/>
      <c r="F50" s="869"/>
      <c r="G50" s="869"/>
      <c r="H50" s="869"/>
      <c r="I50" s="869"/>
      <c r="J50" s="869"/>
      <c r="K50" s="869"/>
      <c r="L50" s="869"/>
      <c r="M50" s="869"/>
      <c r="N50" s="869"/>
      <c r="O50" s="869"/>
      <c r="P50" s="869"/>
      <c r="Q50" s="869"/>
      <c r="R50" s="869"/>
      <c r="S50" s="869"/>
      <c r="T50" s="869"/>
      <c r="U50" s="869"/>
      <c r="V50" s="869"/>
      <c r="W50" s="869"/>
      <c r="X50" s="869"/>
      <c r="Y50" s="869"/>
      <c r="Z50" s="869"/>
      <c r="AA50" s="869"/>
    </row>
    <row r="51" spans="1:29">
      <c r="B51" s="874" t="s">
        <v>660</v>
      </c>
      <c r="C51" s="1027"/>
      <c r="D51" s="1027"/>
      <c r="E51" s="1027"/>
      <c r="F51" s="1027">
        <f t="shared" ref="F51:V51" si="53">F38+F43</f>
        <v>0.51769576649011162</v>
      </c>
      <c r="G51" s="1027">
        <f t="shared" si="53"/>
        <v>0.55432439307574133</v>
      </c>
      <c r="H51" s="1027">
        <f t="shared" si="53"/>
        <v>0.60089475861543984</v>
      </c>
      <c r="I51" s="1027">
        <f t="shared" si="53"/>
        <v>0.62754082400568867</v>
      </c>
      <c r="J51" s="1027">
        <f t="shared" si="53"/>
        <v>0.63519529700932909</v>
      </c>
      <c r="K51" s="1027">
        <f t="shared" si="53"/>
        <v>0.63452003727865802</v>
      </c>
      <c r="L51" s="1027">
        <f t="shared" si="53"/>
        <v>0.64793133894859134</v>
      </c>
      <c r="M51" s="1027">
        <f t="shared" si="53"/>
        <v>0.58661975609756101</v>
      </c>
      <c r="N51" s="1027">
        <f t="shared" si="53"/>
        <v>0.53767420105630648</v>
      </c>
      <c r="O51" s="1027">
        <f t="shared" si="53"/>
        <v>0.51573969565217392</v>
      </c>
      <c r="P51" s="1027">
        <f t="shared" si="53"/>
        <v>0.49409562222601122</v>
      </c>
      <c r="Q51" s="1027">
        <f t="shared" si="53"/>
        <v>0.49240714053338952</v>
      </c>
      <c r="R51" s="1027">
        <f t="shared" si="53"/>
        <v>0.48225890566355512</v>
      </c>
      <c r="S51" s="1027">
        <f t="shared" si="53"/>
        <v>0.44391603843109195</v>
      </c>
      <c r="T51" s="1027">
        <f t="shared" si="53"/>
        <v>0.39631320136497872</v>
      </c>
      <c r="U51" s="1027">
        <f t="shared" si="53"/>
        <v>0.38622319073307843</v>
      </c>
      <c r="V51" s="1027">
        <f t="shared" si="53"/>
        <v>0.37945625958574303</v>
      </c>
      <c r="W51" s="1027">
        <f>W38+W43</f>
        <v>0.36671658919341238</v>
      </c>
      <c r="X51" s="1027">
        <f>X38+X43</f>
        <v>0.35439890232069826</v>
      </c>
      <c r="Y51" s="1027">
        <f>Y38+Y43</f>
        <v>0.34248209979161987</v>
      </c>
      <c r="Z51" s="1027">
        <f>Z38+Z43</f>
        <v>0.33094613738899537</v>
      </c>
      <c r="AA51" s="1027">
        <f>AA38+AA43</f>
        <v>0.31977197310650213</v>
      </c>
    </row>
    <row r="52" spans="1:29">
      <c r="B52" s="685" t="s">
        <v>1242</v>
      </c>
      <c r="C52" s="1027"/>
      <c r="D52" s="1027"/>
      <c r="E52" s="1027"/>
      <c r="F52" s="869">
        <f>F43*SOP!$C$5+F34*100%+F33*50%+F35*50%+F36*100%</f>
        <v>0.43906603665739441</v>
      </c>
      <c r="G52" s="869">
        <f>G43*SOP!$C$5+G34*100%+G33*50%+G35*50%+G36*100%</f>
        <v>0.48101933594372531</v>
      </c>
      <c r="H52" s="869">
        <f>H43*SOP!$C$5+H34*100%+H33*50%+H35*50%+H36*100%</f>
        <v>0.52624293866702521</v>
      </c>
      <c r="I52" s="869">
        <f>I43*SOP!$C$5+I34*100%+I33*50%+I35*50%+I36*100%</f>
        <v>0.55879255283806539</v>
      </c>
      <c r="J52" s="869">
        <f>J43*SOP!$C$5+J34*100%+J33*50%+J35*50%+J36*100%</f>
        <v>0.56555716983853144</v>
      </c>
      <c r="K52" s="869">
        <f>K43*SOP!$C$5+K34*100%+K33*50%+K35*50%+K36*100%</f>
        <v>0.56583100341721038</v>
      </c>
      <c r="L52" s="869">
        <f>L43*SOP!$C$5+L34*100%+L33*50%+L35*50%+L36*100%</f>
        <v>0.41197432471681672</v>
      </c>
      <c r="M52" s="869">
        <f>M43*SOP!$C$5+M34*100%+M33*50%+M35*50%+M36*100%</f>
        <v>0.38144902439024392</v>
      </c>
      <c r="N52" s="869">
        <f>N43*SOP!$C$5+N34*100%+N33*50%+N35*50%+N36*100%</f>
        <v>0.35035883090144121</v>
      </c>
      <c r="O52" s="869">
        <f>O43*SOP!$C$5+O34*100%+O33*50%+O35*50%+O36*100%</f>
        <v>0.325131</v>
      </c>
      <c r="P52" s="869">
        <f>P43*SOP!$C$5+P34*100%+P33*50%+P35*50%+P36*100%</f>
        <v>0.30979478475349981</v>
      </c>
      <c r="Q52" s="869">
        <f>Q43*SOP!$C$5+Q34*100%+Q33*50%+Q35*50%+Q36*100%</f>
        <v>0.31039614343689687</v>
      </c>
      <c r="R52" s="869">
        <f>R43*SOP!$C$5+R34*100%+R33*50%+R35*50%+R36*100%</f>
        <v>0.30607235758578766</v>
      </c>
      <c r="S52" s="869">
        <f>S43*SOP!$C$5+S34*100%+S33*50%+S35*50%+S36*100%</f>
        <v>0.25624197491373385</v>
      </c>
      <c r="T52" s="869">
        <f>T43*SOP!$C$5+T34*100%+T33*50%+T35*50%+T36*100%</f>
        <v>0.22619110420629249</v>
      </c>
      <c r="U52" s="869">
        <f>U43*SOP!$C$5+U34*100%+U33*50%+U35*50%+U36*100%</f>
        <v>0.21496285173913038</v>
      </c>
      <c r="V52" s="869">
        <f>V43*SOP!$C$5+V34*100%+V33*50%+V35*50%+V36*100%</f>
        <v>0.21066285173913035</v>
      </c>
      <c r="W52" s="869">
        <f>W43*SOP!$C$5+W34*100%+W33*50%+W35*50%+W36*100%</f>
        <v>0.20636285173913035</v>
      </c>
      <c r="X52" s="869">
        <f>X43*SOP!$C$5+X34*100%+X33*50%+X35*50%+X36*100%</f>
        <v>0.20206285173913036</v>
      </c>
      <c r="Y52" s="869">
        <f>Y43*SOP!$C$5+Y34*100%+Y33*50%+Y35*50%+Y36*100%</f>
        <v>0.19776285173913036</v>
      </c>
      <c r="Z52" s="869">
        <f>Z43*SOP!$C$5+Z34*100%+Z33*50%+Z35*50%+Z36*100%</f>
        <v>0.19346285173913033</v>
      </c>
      <c r="AA52" s="869">
        <f>AA43*SOP!$C$5+AA34*100%+AA33*50%+AA35*50%+AA36*100%</f>
        <v>0.18916285173913033</v>
      </c>
    </row>
    <row r="53" spans="1:29">
      <c r="A53" s="685" t="s">
        <v>84</v>
      </c>
      <c r="H53" s="807"/>
    </row>
    <row r="54" spans="1:29">
      <c r="B54" s="743" t="s">
        <v>930</v>
      </c>
      <c r="C54" s="743"/>
      <c r="D54" s="743">
        <f t="shared" ref="D54:V54" si="54">D32</f>
        <v>2007</v>
      </c>
      <c r="E54" s="743">
        <f t="shared" si="54"/>
        <v>2008</v>
      </c>
      <c r="F54" s="743">
        <f t="shared" si="54"/>
        <v>2009</v>
      </c>
      <c r="G54" s="743">
        <f t="shared" si="54"/>
        <v>2010</v>
      </c>
      <c r="H54" s="743">
        <f t="shared" si="54"/>
        <v>2011</v>
      </c>
      <c r="I54" s="743">
        <f t="shared" si="54"/>
        <v>2012</v>
      </c>
      <c r="J54" s="743">
        <f t="shared" si="54"/>
        <v>2013</v>
      </c>
      <c r="K54" s="743">
        <f t="shared" si="54"/>
        <v>2014</v>
      </c>
      <c r="L54" s="743">
        <f t="shared" si="54"/>
        <v>2015</v>
      </c>
      <c r="M54" s="743">
        <f t="shared" si="54"/>
        <v>2016</v>
      </c>
      <c r="N54" s="743">
        <f t="shared" si="54"/>
        <v>2017</v>
      </c>
      <c r="O54" s="743">
        <f t="shared" si="54"/>
        <v>2018</v>
      </c>
      <c r="P54" s="743">
        <f t="shared" si="54"/>
        <v>2019</v>
      </c>
      <c r="Q54" s="743">
        <f t="shared" si="54"/>
        <v>2020</v>
      </c>
      <c r="R54" s="743">
        <f t="shared" si="54"/>
        <v>2021</v>
      </c>
      <c r="S54" s="743">
        <f t="shared" si="54"/>
        <v>2022</v>
      </c>
      <c r="T54" s="743">
        <f t="shared" si="54"/>
        <v>2023</v>
      </c>
      <c r="U54" s="743">
        <f t="shared" si="54"/>
        <v>2024</v>
      </c>
      <c r="V54" s="743">
        <f t="shared" si="54"/>
        <v>2025</v>
      </c>
      <c r="W54" s="743">
        <f>W32</f>
        <v>2026</v>
      </c>
      <c r="X54" s="743">
        <f>X32</f>
        <v>2027</v>
      </c>
      <c r="Y54" s="743">
        <f>Y32</f>
        <v>2028</v>
      </c>
      <c r="Z54" s="743">
        <f>Z32</f>
        <v>2029</v>
      </c>
      <c r="AA54" s="743">
        <f>AA32</f>
        <v>2030</v>
      </c>
    </row>
    <row r="55" spans="1:29">
      <c r="B55" s="685" t="s">
        <v>605</v>
      </c>
      <c r="F55" s="848">
        <v>129</v>
      </c>
      <c r="G55" s="848">
        <v>1367</v>
      </c>
      <c r="H55" s="848">
        <v>2370</v>
      </c>
      <c r="I55" s="848"/>
      <c r="J55" s="848"/>
      <c r="K55" s="848"/>
      <c r="L55" s="848"/>
      <c r="M55" s="848"/>
      <c r="N55" s="848"/>
      <c r="O55" s="848"/>
      <c r="P55" s="848"/>
      <c r="Q55" s="848"/>
      <c r="R55" s="848"/>
      <c r="S55" s="848"/>
      <c r="T55" s="848"/>
      <c r="U55" s="848"/>
      <c r="V55" s="848"/>
      <c r="W55" s="848"/>
      <c r="X55" s="848"/>
      <c r="Y55" s="848"/>
      <c r="Z55" s="848"/>
      <c r="AA55" s="848"/>
    </row>
    <row r="56" spans="1:29">
      <c r="B56" s="685" t="s">
        <v>607</v>
      </c>
      <c r="F56" s="848"/>
      <c r="G56" s="848">
        <f>G58-G55-G57</f>
        <v>1471</v>
      </c>
      <c r="H56" s="848">
        <f>H58-H55-H57</f>
        <v>1344</v>
      </c>
      <c r="I56" s="848"/>
      <c r="J56" s="848"/>
      <c r="K56" s="848"/>
      <c r="L56" s="848"/>
      <c r="M56" s="848"/>
      <c r="N56" s="848"/>
      <c r="O56" s="848"/>
      <c r="P56" s="848"/>
      <c r="Q56" s="848"/>
      <c r="R56" s="848"/>
      <c r="S56" s="848"/>
      <c r="T56" s="848"/>
      <c r="U56" s="848"/>
      <c r="V56" s="848"/>
      <c r="W56" s="848"/>
      <c r="X56" s="848"/>
      <c r="Y56" s="848"/>
      <c r="Z56" s="848"/>
      <c r="AA56" s="848"/>
    </row>
    <row r="57" spans="1:29">
      <c r="B57" s="743" t="s">
        <v>606</v>
      </c>
      <c r="C57" s="743"/>
      <c r="D57" s="743"/>
      <c r="E57" s="743"/>
      <c r="F57" s="901"/>
      <c r="G57" s="901">
        <v>61</v>
      </c>
      <c r="H57" s="901">
        <v>135</v>
      </c>
      <c r="I57" s="901"/>
      <c r="J57" s="901"/>
      <c r="K57" s="901"/>
      <c r="L57" s="901"/>
      <c r="M57" s="901"/>
      <c r="N57" s="901"/>
      <c r="O57" s="901"/>
      <c r="P57" s="901"/>
      <c r="Q57" s="901"/>
      <c r="R57" s="901"/>
      <c r="S57" s="901"/>
      <c r="T57" s="901"/>
      <c r="U57" s="901"/>
      <c r="V57" s="901"/>
      <c r="W57" s="901"/>
      <c r="X57" s="901"/>
      <c r="Y57" s="901"/>
      <c r="Z57" s="901"/>
      <c r="AA57" s="901"/>
    </row>
    <row r="58" spans="1:29">
      <c r="B58" s="685" t="s">
        <v>1082</v>
      </c>
      <c r="C58" s="685">
        <f t="shared" ref="C58:V58" si="55">C16</f>
        <v>1430.1</v>
      </c>
      <c r="D58" s="685">
        <f t="shared" si="55"/>
        <v>1585.1</v>
      </c>
      <c r="E58" s="685">
        <f t="shared" si="55"/>
        <v>1639</v>
      </c>
      <c r="F58" s="848">
        <f t="shared" si="55"/>
        <v>1823</v>
      </c>
      <c r="G58" s="848">
        <f t="shared" si="55"/>
        <v>2899</v>
      </c>
      <c r="H58" s="848">
        <f t="shared" si="55"/>
        <v>3849</v>
      </c>
      <c r="I58" s="848">
        <f t="shared" si="55"/>
        <v>4971</v>
      </c>
      <c r="J58" s="848">
        <f t="shared" si="55"/>
        <v>5812</v>
      </c>
      <c r="K58" s="848">
        <f t="shared" si="55"/>
        <v>6446</v>
      </c>
      <c r="L58" s="848">
        <f t="shared" si="55"/>
        <v>7092.1379999999999</v>
      </c>
      <c r="M58" s="848">
        <f t="shared" si="55"/>
        <v>7819.7049999999999</v>
      </c>
      <c r="N58" s="848">
        <f t="shared" si="55"/>
        <v>7827.7169999999996</v>
      </c>
      <c r="O58" s="848">
        <f t="shared" si="55"/>
        <v>7478.0129999999999</v>
      </c>
      <c r="P58" s="848">
        <f t="shared" si="55"/>
        <v>7259.6589999999997</v>
      </c>
      <c r="Q58" s="848">
        <f t="shared" si="55"/>
        <v>7307</v>
      </c>
      <c r="R58" s="848">
        <f t="shared" si="55"/>
        <v>7238</v>
      </c>
      <c r="S58" s="848">
        <f t="shared" si="55"/>
        <v>6087.0590000000002</v>
      </c>
      <c r="T58" s="848">
        <f t="shared" si="55"/>
        <v>5397.4260000000004</v>
      </c>
      <c r="U58" s="848">
        <f t="shared" si="55"/>
        <v>5152.5210774008401</v>
      </c>
      <c r="V58" s="848">
        <f t="shared" si="55"/>
        <v>5072.0185536109457</v>
      </c>
      <c r="W58" s="848">
        <f>W16</f>
        <v>4968.4897178410083</v>
      </c>
      <c r="X58" s="848">
        <f>X16</f>
        <v>4864.960882071071</v>
      </c>
      <c r="Y58" s="848">
        <f>Y16</f>
        <v>4761.4320463011336</v>
      </c>
      <c r="Z58" s="848">
        <f>Z16</f>
        <v>4657.9032105311962</v>
      </c>
      <c r="AA58" s="848">
        <f>AA16</f>
        <v>4554.3743747612589</v>
      </c>
      <c r="AC58" s="848"/>
    </row>
    <row r="59" spans="1:29">
      <c r="B59" s="685" t="s">
        <v>519</v>
      </c>
      <c r="D59" s="849">
        <f>D58-C58</f>
        <v>155</v>
      </c>
      <c r="E59" s="849">
        <f t="shared" ref="E59:V59" si="56">E58-D58</f>
        <v>53.900000000000091</v>
      </c>
      <c r="F59" s="849">
        <f t="shared" si="56"/>
        <v>184</v>
      </c>
      <c r="G59" s="849">
        <f t="shared" si="56"/>
        <v>1076</v>
      </c>
      <c r="H59" s="849">
        <f t="shared" si="56"/>
        <v>950</v>
      </c>
      <c r="I59" s="849">
        <f t="shared" si="56"/>
        <v>1122</v>
      </c>
      <c r="J59" s="849">
        <f t="shared" si="56"/>
        <v>841</v>
      </c>
      <c r="K59" s="849">
        <f t="shared" si="56"/>
        <v>634</v>
      </c>
      <c r="L59" s="849">
        <f t="shared" si="56"/>
        <v>646.13799999999992</v>
      </c>
      <c r="M59" s="849">
        <f t="shared" si="56"/>
        <v>727.56700000000001</v>
      </c>
      <c r="N59" s="849">
        <f>N58-M58</f>
        <v>8.0119999999997162</v>
      </c>
      <c r="O59" s="849">
        <f>O58-N58</f>
        <v>-349.70399999999972</v>
      </c>
      <c r="P59" s="849">
        <f>P58-O58</f>
        <v>-218.35400000000027</v>
      </c>
      <c r="Q59" s="849">
        <f>Q58-P58</f>
        <v>47.341000000000349</v>
      </c>
      <c r="R59" s="849">
        <f t="shared" si="56"/>
        <v>-69</v>
      </c>
      <c r="S59" s="849">
        <f t="shared" si="56"/>
        <v>-1150.9409999999998</v>
      </c>
      <c r="T59" s="849">
        <f t="shared" si="56"/>
        <v>-689.63299999999981</v>
      </c>
      <c r="U59" s="849">
        <f t="shared" si="56"/>
        <v>-244.90492259916027</v>
      </c>
      <c r="V59" s="849">
        <f t="shared" si="56"/>
        <v>-80.50252378989444</v>
      </c>
      <c r="W59" s="849">
        <f>W58-V58</f>
        <v>-103.52883576993736</v>
      </c>
      <c r="X59" s="849">
        <f>X58-W58</f>
        <v>-103.52883576993736</v>
      </c>
      <c r="Y59" s="849">
        <f>Y58-X58</f>
        <v>-103.52883576993736</v>
      </c>
      <c r="Z59" s="849">
        <f>Z58-Y58</f>
        <v>-103.52883576993736</v>
      </c>
      <c r="AA59" s="849">
        <f>AA58-Z58</f>
        <v>-103.52883576993736</v>
      </c>
    </row>
    <row r="60" spans="1:29">
      <c r="H60" s="807"/>
    </row>
    <row r="61" spans="1:29">
      <c r="B61" s="874" t="s">
        <v>3141</v>
      </c>
      <c r="C61" s="874"/>
      <c r="D61" s="1003">
        <v>8226</v>
      </c>
      <c r="E61" s="1003">
        <v>9162</v>
      </c>
      <c r="F61" s="876">
        <f>Master!H51</f>
        <v>10005.1</v>
      </c>
      <c r="G61" s="876">
        <f>Master!I51</f>
        <v>11248.2</v>
      </c>
      <c r="H61" s="876">
        <f>Master!J51</f>
        <v>12479.2</v>
      </c>
      <c r="I61" s="876">
        <f>Master!K51</f>
        <v>14465.4</v>
      </c>
      <c r="J61" s="876">
        <f>Master!L51</f>
        <v>16098.3</v>
      </c>
      <c r="K61" s="876">
        <f>Master!M51</f>
        <v>17498.5</v>
      </c>
      <c r="L61" s="876">
        <f>Master!N51</f>
        <v>19253.5</v>
      </c>
      <c r="M61" s="876">
        <f>Master!O51</f>
        <v>21941.200000000001</v>
      </c>
      <c r="N61" s="876">
        <f>Master!P51</f>
        <v>22197</v>
      </c>
      <c r="O61" s="876">
        <f>Master!Q51-O86</f>
        <v>22002</v>
      </c>
      <c r="P61" s="876">
        <f>Master!R51-P86</f>
        <v>20770.408640000001</v>
      </c>
      <c r="Q61" s="876">
        <f>Master!S51-Q86</f>
        <v>20563.264480000002</v>
      </c>
      <c r="R61" s="876">
        <f>Master!T51-R86</f>
        <v>19945.454730239999</v>
      </c>
      <c r="S61" s="876">
        <f>Master!U51-S86</f>
        <v>18296.2533248</v>
      </c>
      <c r="T61" s="876">
        <f>Master!V51-T86</f>
        <v>15859.335089920001</v>
      </c>
      <c r="U61" s="876">
        <f t="shared" ref="U61:AA61" si="57">U64*AVERAGE(T58,U58)*12/1000</f>
        <v>14168.156375290926</v>
      </c>
      <c r="V61" s="876">
        <f t="shared" si="57"/>
        <v>13044.58984770212</v>
      </c>
      <c r="W61" s="876">
        <f t="shared" si="57"/>
        <v>12297.408422345456</v>
      </c>
      <c r="X61" s="876">
        <f t="shared" si="57"/>
        <v>11682.494183561092</v>
      </c>
      <c r="Y61" s="876">
        <f t="shared" si="57"/>
        <v>11093.407131523678</v>
      </c>
      <c r="Z61" s="876">
        <f t="shared" si="57"/>
        <v>10529.151057843303</v>
      </c>
      <c r="AA61" s="876">
        <f t="shared" si="57"/>
        <v>9988.7662821653794</v>
      </c>
    </row>
    <row r="62" spans="1:29">
      <c r="B62" s="685" t="s">
        <v>181</v>
      </c>
      <c r="E62" s="807">
        <f>E61/D61-1</f>
        <v>0.11378555798687096</v>
      </c>
      <c r="F62" s="807">
        <f t="shared" ref="F62:V62" si="58">F61/E61-1</f>
        <v>9.2021392709015437E-2</v>
      </c>
      <c r="G62" s="807">
        <f t="shared" si="58"/>
        <v>0.12424663421654958</v>
      </c>
      <c r="H62" s="807">
        <f t="shared" si="58"/>
        <v>0.10943973257943496</v>
      </c>
      <c r="I62" s="807">
        <f t="shared" si="58"/>
        <v>0.15916084364382321</v>
      </c>
      <c r="J62" s="807">
        <f t="shared" si="58"/>
        <v>0.11288315566800788</v>
      </c>
      <c r="K62" s="807">
        <f t="shared" si="58"/>
        <v>8.6978128125330123E-2</v>
      </c>
      <c r="L62" s="807">
        <f t="shared" si="58"/>
        <v>0.10029431094093777</v>
      </c>
      <c r="M62" s="807">
        <f t="shared" si="58"/>
        <v>0.13959539823928124</v>
      </c>
      <c r="N62" s="807">
        <f t="shared" si="58"/>
        <v>1.1658432537873908E-2</v>
      </c>
      <c r="O62" s="807">
        <f t="shared" si="58"/>
        <v>-8.7849709420192434E-3</v>
      </c>
      <c r="P62" s="807">
        <f t="shared" si="58"/>
        <v>-5.5976336696663909E-2</v>
      </c>
      <c r="Q62" s="807">
        <f t="shared" si="58"/>
        <v>-9.9730421095846067E-3</v>
      </c>
      <c r="R62" s="807">
        <f t="shared" si="58"/>
        <v>-3.0044341955572706E-2</v>
      </c>
      <c r="S62" s="807">
        <f t="shared" si="58"/>
        <v>-8.2685575623381857E-2</v>
      </c>
      <c r="T62" s="807">
        <f t="shared" si="58"/>
        <v>-0.13319220015263078</v>
      </c>
      <c r="U62" s="807">
        <f t="shared" si="58"/>
        <v>-0.10663616759721328</v>
      </c>
      <c r="V62" s="807">
        <f t="shared" si="58"/>
        <v>-7.9302239319456569E-2</v>
      </c>
      <c r="W62" s="807">
        <f>W61/V61-1</f>
        <v>-5.7279027863669119E-2</v>
      </c>
      <c r="X62" s="807">
        <f>X61/W61-1</f>
        <v>-5.0003563162707598E-2</v>
      </c>
      <c r="Y62" s="807">
        <f>Y61/X61-1</f>
        <v>-5.042476741536428E-2</v>
      </c>
      <c r="Z62" s="807">
        <f>Z61/Y61-1</f>
        <v>-5.0864091346377482E-2</v>
      </c>
      <c r="AA62" s="807">
        <f>AA61/Z61-1</f>
        <v>-5.1322729886697172E-2</v>
      </c>
    </row>
    <row r="64" spans="1:29">
      <c r="B64" s="685" t="s">
        <v>608</v>
      </c>
      <c r="D64" s="849">
        <f t="shared" ref="D64:T64" si="59">D61/AVERAGE(C58,D58)/12*1000</f>
        <v>454.69620589015653</v>
      </c>
      <c r="E64" s="849">
        <f t="shared" si="59"/>
        <v>473.62054526844702</v>
      </c>
      <c r="F64" s="849">
        <f t="shared" si="59"/>
        <v>481.66281532832659</v>
      </c>
      <c r="G64" s="849">
        <f t="shared" si="59"/>
        <v>397.01397712833545</v>
      </c>
      <c r="H64" s="849">
        <f t="shared" si="59"/>
        <v>308.21971942303895</v>
      </c>
      <c r="I64" s="849">
        <f t="shared" si="59"/>
        <v>273.34467120181404</v>
      </c>
      <c r="J64" s="849">
        <f t="shared" si="59"/>
        <v>248.8222201613651</v>
      </c>
      <c r="K64" s="849">
        <f t="shared" si="59"/>
        <v>237.9194539620384</v>
      </c>
      <c r="L64" s="849">
        <f t="shared" si="59"/>
        <v>237.02791821642435</v>
      </c>
      <c r="M64" s="849">
        <f t="shared" si="59"/>
        <v>245.23237447354205</v>
      </c>
      <c r="N64" s="849">
        <f t="shared" si="59"/>
        <v>236.42872289122133</v>
      </c>
      <c r="O64" s="849">
        <f t="shared" si="59"/>
        <v>239.58347625366449</v>
      </c>
      <c r="P64" s="849">
        <f t="shared" si="59"/>
        <v>234.8902033735948</v>
      </c>
      <c r="Q64" s="849">
        <f t="shared" si="59"/>
        <v>235.27774945968508</v>
      </c>
      <c r="R64" s="849">
        <f t="shared" si="59"/>
        <v>228.54881093434167</v>
      </c>
      <c r="S64" s="849">
        <f t="shared" si="59"/>
        <v>228.84518215891825</v>
      </c>
      <c r="T64" s="849">
        <f t="shared" si="59"/>
        <v>230.15594647793668</v>
      </c>
      <c r="U64" s="849">
        <f t="shared" ref="U64:AA64" si="60">(1+U65)*T64</f>
        <v>223.82665794979343</v>
      </c>
      <c r="V64" s="849">
        <f t="shared" si="60"/>
        <v>212.63532505230376</v>
      </c>
      <c r="W64" s="849">
        <f t="shared" si="60"/>
        <v>204.1299120502116</v>
      </c>
      <c r="X64" s="849">
        <f t="shared" si="60"/>
        <v>198.00601468870525</v>
      </c>
      <c r="Y64" s="849">
        <f t="shared" si="60"/>
        <v>192.0658342480441</v>
      </c>
      <c r="Z64" s="849">
        <f t="shared" si="60"/>
        <v>186.30385922060276</v>
      </c>
      <c r="AA64" s="849">
        <f t="shared" si="60"/>
        <v>180.71474344398467</v>
      </c>
    </row>
    <row r="65" spans="2:29">
      <c r="B65" s="685" t="s">
        <v>181</v>
      </c>
      <c r="E65" s="807">
        <f t="shared" ref="E65:T65" si="61">E64/D64-1</f>
        <v>4.1619743321241076E-2</v>
      </c>
      <c r="F65" s="807">
        <f t="shared" si="61"/>
        <v>1.698040792407185E-2</v>
      </c>
      <c r="G65" s="807">
        <f t="shared" si="61"/>
        <v>-0.17574293781073813</v>
      </c>
      <c r="H65" s="807">
        <f t="shared" si="61"/>
        <v>-0.2236552434439697</v>
      </c>
      <c r="I65" s="807">
        <f t="shared" si="61"/>
        <v>-0.1131499577201226</v>
      </c>
      <c r="J65" s="807">
        <f t="shared" si="61"/>
        <v>-8.971256301661612E-2</v>
      </c>
      <c r="K65" s="807">
        <f t="shared" si="61"/>
        <v>-4.3817494242500032E-2</v>
      </c>
      <c r="L65" s="807">
        <f t="shared" si="61"/>
        <v>-3.7472166767678061E-3</v>
      </c>
      <c r="M65" s="807">
        <f t="shared" si="61"/>
        <v>3.4613881431580618E-2</v>
      </c>
      <c r="N65" s="807">
        <f t="shared" si="61"/>
        <v>-3.5899222528102848E-2</v>
      </c>
      <c r="O65" s="807">
        <f t="shared" si="61"/>
        <v>1.3343359148010991E-2</v>
      </c>
      <c r="P65" s="807">
        <f t="shared" si="61"/>
        <v>-1.9589301204982035E-2</v>
      </c>
      <c r="Q65" s="807">
        <f t="shared" si="61"/>
        <v>1.6499031484675797E-3</v>
      </c>
      <c r="R65" s="807">
        <f t="shared" si="61"/>
        <v>-2.8599978284374106E-2</v>
      </c>
      <c r="S65" s="807">
        <f t="shared" si="61"/>
        <v>1.2967524239788641E-3</v>
      </c>
      <c r="T65" s="807">
        <f t="shared" si="61"/>
        <v>5.7277339494443691E-3</v>
      </c>
      <c r="U65" s="993">
        <v>-2.75E-2</v>
      </c>
      <c r="V65" s="993">
        <v>-0.05</v>
      </c>
      <c r="W65" s="993">
        <v>-0.04</v>
      </c>
      <c r="X65" s="993">
        <v>-0.03</v>
      </c>
      <c r="Y65" s="993">
        <v>-0.03</v>
      </c>
      <c r="Z65" s="993">
        <v>-0.03</v>
      </c>
      <c r="AA65" s="993">
        <v>-0.03</v>
      </c>
      <c r="AC65" s="869"/>
    </row>
    <row r="66" spans="2:29">
      <c r="B66" s="685" t="s">
        <v>609</v>
      </c>
      <c r="D66" s="906"/>
      <c r="E66" s="906" t="e">
        <f>E64/Valuation!D19</f>
        <v>#DIV/0!</v>
      </c>
      <c r="F66" s="906">
        <f>F64/Valuation!E19</f>
        <v>35.678727061357527</v>
      </c>
      <c r="G66" s="906">
        <f>G64/Valuation!F19</f>
        <v>31.434202464634634</v>
      </c>
      <c r="H66" s="906">
        <f>H64/Valuation!G19</f>
        <v>24.77650477677162</v>
      </c>
      <c r="I66" s="906">
        <f>I64/Valuation!H19</f>
        <v>20.770871671870367</v>
      </c>
      <c r="J66" s="906">
        <f>J64/Valuation!I19</f>
        <v>19.500173993837389</v>
      </c>
      <c r="K66" s="906">
        <f>K64/Valuation!J19</f>
        <v>17.875240718410097</v>
      </c>
      <c r="L66" s="906">
        <f>L64/Valuation!K19</f>
        <v>14.935596610990823</v>
      </c>
      <c r="M66" s="906">
        <f>M64/Valuation!L19</f>
        <v>13.009675038384193</v>
      </c>
      <c r="N66" s="906">
        <f>N64/Valuation!M19</f>
        <v>12.50945623763076</v>
      </c>
      <c r="O66" s="906">
        <f>O64/Valuation!N19</f>
        <v>12.445894870320233</v>
      </c>
      <c r="P66" s="906">
        <f>P64/Valuation!O19</f>
        <v>12.20208848693999</v>
      </c>
      <c r="Q66" s="906">
        <f>Q64/Valuation!P19</f>
        <v>10.953340291419231</v>
      </c>
      <c r="R66" s="906">
        <f>R64/Valuation!Q19</f>
        <v>11.266597986743971</v>
      </c>
      <c r="S66" s="906">
        <f>S64/Valuation!R19</f>
        <v>11.379670917897476</v>
      </c>
      <c r="T66" s="906">
        <f>T64/Valuation!S19</f>
        <v>13.003160817962526</v>
      </c>
      <c r="U66" s="906">
        <f>U64/Valuation!T19</f>
        <v>13.138451394094471</v>
      </c>
      <c r="V66" s="906">
        <f>V64/Valuation!U19</f>
        <v>12.311697356974335</v>
      </c>
      <c r="W66" s="906"/>
      <c r="X66" s="906"/>
      <c r="Y66" s="906"/>
      <c r="Z66" s="906"/>
      <c r="AA66" s="906"/>
    </row>
    <row r="67" spans="2:29">
      <c r="D67" s="906"/>
      <c r="E67" s="906"/>
      <c r="F67" s="906"/>
      <c r="G67" s="906"/>
      <c r="H67" s="906"/>
      <c r="I67" s="906"/>
      <c r="J67" s="906"/>
      <c r="K67" s="906"/>
      <c r="L67" s="906"/>
      <c r="M67" s="906"/>
      <c r="N67" s="906"/>
      <c r="O67" s="906"/>
      <c r="P67" s="906"/>
      <c r="Q67" s="906"/>
      <c r="R67" s="906"/>
      <c r="S67" s="906"/>
      <c r="T67" s="906"/>
      <c r="U67" s="906"/>
      <c r="V67" s="906"/>
      <c r="W67" s="906"/>
      <c r="X67" s="906"/>
      <c r="Y67" s="906"/>
      <c r="Z67" s="906"/>
      <c r="AA67" s="906"/>
    </row>
    <row r="68" spans="2:29">
      <c r="B68" s="685" t="s">
        <v>3287</v>
      </c>
      <c r="D68" s="906"/>
      <c r="E68" s="906"/>
      <c r="F68" s="906"/>
      <c r="G68" s="906"/>
      <c r="H68" s="906"/>
      <c r="I68" s="906"/>
      <c r="J68" s="906"/>
      <c r="K68" s="906"/>
      <c r="L68" s="906"/>
      <c r="M68" s="906"/>
      <c r="N68" s="906"/>
      <c r="O68" s="905">
        <f t="shared" ref="O68:V68" si="62">O69*O72</f>
        <v>0</v>
      </c>
      <c r="P68" s="905">
        <f t="shared" si="62"/>
        <v>386</v>
      </c>
      <c r="Q68" s="905">
        <f t="shared" si="62"/>
        <v>599.4</v>
      </c>
      <c r="R68" s="905">
        <f t="shared" si="62"/>
        <v>581.7808</v>
      </c>
      <c r="S68" s="905">
        <f t="shared" si="62"/>
        <v>512.23519999999996</v>
      </c>
      <c r="T68" s="905">
        <f t="shared" si="62"/>
        <v>412.07120000000009</v>
      </c>
      <c r="U68" s="905">
        <f t="shared" si="62"/>
        <v>392.07120000000009</v>
      </c>
      <c r="V68" s="905">
        <f t="shared" si="62"/>
        <v>372.07120000000009</v>
      </c>
      <c r="W68" s="905">
        <f>W69*W72</f>
        <v>352.07120000000009</v>
      </c>
      <c r="X68" s="905">
        <f>X69*X72</f>
        <v>332.07120000000009</v>
      </c>
      <c r="Y68" s="905">
        <f>Y69*Y72</f>
        <v>312.07120000000009</v>
      </c>
      <c r="Z68" s="905">
        <f>Z69*Z72</f>
        <v>292.07120000000003</v>
      </c>
      <c r="AA68" s="905">
        <f>AA69*AA72</f>
        <v>272.07120000000003</v>
      </c>
    </row>
    <row r="69" spans="2:29">
      <c r="B69" s="685" t="s">
        <v>1613</v>
      </c>
      <c r="D69" s="906"/>
      <c r="E69" s="906"/>
      <c r="F69" s="906"/>
      <c r="G69" s="906"/>
      <c r="H69" s="906"/>
      <c r="I69" s="906"/>
      <c r="J69" s="906"/>
      <c r="K69" s="906"/>
      <c r="L69" s="906"/>
      <c r="M69" s="906"/>
      <c r="N69" s="906"/>
      <c r="O69" s="993">
        <v>1</v>
      </c>
      <c r="P69" s="993">
        <v>1</v>
      </c>
      <c r="Q69" s="993">
        <v>0.9</v>
      </c>
      <c r="R69" s="993">
        <v>0.8</v>
      </c>
      <c r="S69" s="993">
        <v>0.8</v>
      </c>
      <c r="T69" s="993">
        <v>0.8</v>
      </c>
      <c r="U69" s="993">
        <v>0.8</v>
      </c>
      <c r="V69" s="993">
        <v>0.8</v>
      </c>
      <c r="W69" s="993">
        <v>0.8</v>
      </c>
      <c r="X69" s="993">
        <v>0.8</v>
      </c>
      <c r="Y69" s="993">
        <v>0.8</v>
      </c>
      <c r="Z69" s="993">
        <v>0.8</v>
      </c>
      <c r="AA69" s="993">
        <v>0.8</v>
      </c>
    </row>
    <row r="70" spans="2:29">
      <c r="B70" s="685" t="s">
        <v>3288</v>
      </c>
      <c r="D70" s="906"/>
      <c r="E70" s="906"/>
      <c r="F70" s="906"/>
      <c r="G70" s="906"/>
      <c r="H70" s="906"/>
      <c r="I70" s="906"/>
      <c r="J70" s="906"/>
      <c r="K70" s="906"/>
      <c r="L70" s="906"/>
      <c r="M70" s="906"/>
      <c r="N70" s="906"/>
      <c r="O70" s="905">
        <f t="shared" ref="O70:V70" si="63">O72-O68</f>
        <v>0</v>
      </c>
      <c r="P70" s="905">
        <f t="shared" si="63"/>
        <v>0</v>
      </c>
      <c r="Q70" s="905">
        <f t="shared" si="63"/>
        <v>66.600000000000023</v>
      </c>
      <c r="R70" s="905">
        <f t="shared" si="63"/>
        <v>145.4452</v>
      </c>
      <c r="S70" s="905">
        <f t="shared" si="63"/>
        <v>128.05880000000002</v>
      </c>
      <c r="T70" s="905">
        <f t="shared" si="63"/>
        <v>103.01779999999997</v>
      </c>
      <c r="U70" s="905">
        <f t="shared" si="63"/>
        <v>98.017799999999966</v>
      </c>
      <c r="V70" s="905">
        <f t="shared" si="63"/>
        <v>93.017799999999966</v>
      </c>
      <c r="W70" s="905">
        <f>W72-W68</f>
        <v>88.017799999999966</v>
      </c>
      <c r="X70" s="905">
        <f>X72-X68</f>
        <v>83.017799999999966</v>
      </c>
      <c r="Y70" s="905">
        <f>Y72-Y68</f>
        <v>78.017799999999966</v>
      </c>
      <c r="Z70" s="905">
        <f>Z72-Z68</f>
        <v>73.017800000000022</v>
      </c>
      <c r="AA70" s="905">
        <f>AA72-AA68</f>
        <v>68.017800000000022</v>
      </c>
    </row>
    <row r="71" spans="2:29">
      <c r="B71" s="743" t="s">
        <v>1613</v>
      </c>
      <c r="C71" s="743"/>
      <c r="D71" s="924"/>
      <c r="E71" s="924"/>
      <c r="F71" s="924"/>
      <c r="G71" s="924"/>
      <c r="H71" s="924"/>
      <c r="I71" s="924"/>
      <c r="J71" s="924"/>
      <c r="K71" s="924"/>
      <c r="L71" s="924"/>
      <c r="M71" s="924"/>
      <c r="N71" s="924"/>
      <c r="O71" s="910"/>
      <c r="P71" s="910">
        <f t="shared" ref="P71:V71" si="64">P70/P72</f>
        <v>0</v>
      </c>
      <c r="Q71" s="910">
        <f t="shared" si="64"/>
        <v>0.10000000000000003</v>
      </c>
      <c r="R71" s="910">
        <f t="shared" si="64"/>
        <v>0.2</v>
      </c>
      <c r="S71" s="910">
        <f t="shared" si="64"/>
        <v>0.20000000000000004</v>
      </c>
      <c r="T71" s="910">
        <f t="shared" si="64"/>
        <v>0.1999999999999999</v>
      </c>
      <c r="U71" s="910">
        <f t="shared" si="64"/>
        <v>0.1999999999999999</v>
      </c>
      <c r="V71" s="910">
        <f t="shared" si="64"/>
        <v>0.1999999999999999</v>
      </c>
      <c r="W71" s="910">
        <f>W70/W72</f>
        <v>0.1999999999999999</v>
      </c>
      <c r="X71" s="910">
        <f>X70/X72</f>
        <v>0.1999999999999999</v>
      </c>
      <c r="Y71" s="910">
        <f>Y70/Y72</f>
        <v>0.19999999999999987</v>
      </c>
      <c r="Z71" s="910">
        <f>Z70/Z72</f>
        <v>0.20000000000000004</v>
      </c>
      <c r="AA71" s="910">
        <f>AA70/AA72</f>
        <v>0.20000000000000004</v>
      </c>
    </row>
    <row r="72" spans="2:29">
      <c r="B72" s="685" t="s">
        <v>3275</v>
      </c>
      <c r="O72" s="849">
        <f>'Cable cos'!M117</f>
        <v>0</v>
      </c>
      <c r="P72" s="849">
        <f>'Cable cos'!N117</f>
        <v>386</v>
      </c>
      <c r="Q72" s="849">
        <f>'Cable cos'!O117</f>
        <v>666</v>
      </c>
      <c r="R72" s="849">
        <f>'Cable cos'!P117</f>
        <v>727.226</v>
      </c>
      <c r="S72" s="849">
        <f>'Cable cos'!Q117</f>
        <v>640.29399999999998</v>
      </c>
      <c r="T72" s="849">
        <f>'Cable cos'!R117</f>
        <v>515.08900000000006</v>
      </c>
      <c r="U72" s="849">
        <f>'Cable cos'!S117</f>
        <v>490.08900000000006</v>
      </c>
      <c r="V72" s="849">
        <f>'Cable cos'!T117</f>
        <v>465.08900000000006</v>
      </c>
      <c r="W72" s="849">
        <f>'Cable cos'!U117</f>
        <v>440.08900000000006</v>
      </c>
      <c r="X72" s="849">
        <f>'Cable cos'!V117</f>
        <v>415.08900000000006</v>
      </c>
      <c r="Y72" s="849">
        <f>'Cable cos'!W117</f>
        <v>390.08900000000006</v>
      </c>
      <c r="Z72" s="849">
        <f>'Cable cos'!X117</f>
        <v>365.08900000000006</v>
      </c>
      <c r="AA72" s="849">
        <f>'Cable cos'!Y117</f>
        <v>340.08900000000006</v>
      </c>
    </row>
    <row r="73" spans="2:29">
      <c r="B73" s="685" t="s">
        <v>3142</v>
      </c>
      <c r="O73" s="807">
        <f t="shared" ref="O73:V73" si="65">O72/O58</f>
        <v>0</v>
      </c>
      <c r="P73" s="807">
        <f t="shared" si="65"/>
        <v>5.3170541481356082E-2</v>
      </c>
      <c r="Q73" s="807">
        <f t="shared" si="65"/>
        <v>9.114547693992063E-2</v>
      </c>
      <c r="R73" s="807">
        <f t="shared" si="65"/>
        <v>0.10047333517546284</v>
      </c>
      <c r="S73" s="807">
        <f t="shared" si="65"/>
        <v>0.10518938620440511</v>
      </c>
      <c r="T73" s="807">
        <f t="shared" si="65"/>
        <v>9.5432341267856199E-2</v>
      </c>
      <c r="U73" s="807">
        <f t="shared" si="65"/>
        <v>9.5116350353140658E-2</v>
      </c>
      <c r="V73" s="807">
        <f t="shared" si="65"/>
        <v>9.1697022612207732E-2</v>
      </c>
      <c r="W73" s="807">
        <f>W72/W58</f>
        <v>8.8576011019951342E-2</v>
      </c>
      <c r="X73" s="807">
        <f>X72/X58</f>
        <v>8.5322166007487363E-2</v>
      </c>
      <c r="Y73" s="807">
        <f>Y72/Y58</f>
        <v>8.1926822898383364E-2</v>
      </c>
      <c r="Z73" s="807">
        <f>Z72/Z58</f>
        <v>7.838054667485557E-2</v>
      </c>
      <c r="AA73" s="807">
        <f>AA72/AA58</f>
        <v>7.4673044421787918E-2</v>
      </c>
    </row>
    <row r="74" spans="2:29">
      <c r="O74" s="807"/>
      <c r="P74" s="807"/>
      <c r="Q74" s="1032"/>
      <c r="R74" s="1032"/>
      <c r="S74" s="1032"/>
      <c r="T74" s="1032"/>
      <c r="U74" s="1032"/>
      <c r="V74" s="1032"/>
      <c r="W74" s="1032"/>
      <c r="X74" s="1032"/>
      <c r="Y74" s="1032"/>
      <c r="Z74" s="1032"/>
      <c r="AA74" s="1032"/>
    </row>
    <row r="75" spans="2:29">
      <c r="B75" s="685" t="s">
        <v>3276</v>
      </c>
      <c r="O75" s="849"/>
      <c r="P75" s="1157">
        <v>1.145</v>
      </c>
      <c r="Q75" s="1157">
        <v>0.89200000000000002</v>
      </c>
      <c r="R75" s="1157">
        <v>0.60099999999999998</v>
      </c>
      <c r="S75" s="1157">
        <v>0.45300000000000001</v>
      </c>
      <c r="T75" s="1157">
        <v>0.34399999999999997</v>
      </c>
      <c r="U75" s="868">
        <f>T75-0.05</f>
        <v>0.29399999999999998</v>
      </c>
      <c r="V75" s="868">
        <f>U75-0.03</f>
        <v>0.26400000000000001</v>
      </c>
      <c r="W75" s="868">
        <f>V75-0.025</f>
        <v>0.23900000000000002</v>
      </c>
      <c r="X75" s="868">
        <f t="shared" ref="X75:AA75" si="66">W75-0.025</f>
        <v>0.21400000000000002</v>
      </c>
      <c r="Y75" s="868">
        <f t="shared" si="66"/>
        <v>0.18900000000000003</v>
      </c>
      <c r="Z75" s="868">
        <f t="shared" si="66"/>
        <v>0.16400000000000003</v>
      </c>
      <c r="AA75" s="868">
        <f t="shared" si="66"/>
        <v>0.13900000000000004</v>
      </c>
    </row>
    <row r="76" spans="2:29">
      <c r="B76" s="685" t="s">
        <v>3142</v>
      </c>
      <c r="O76" s="807"/>
      <c r="P76" s="807">
        <f t="shared" ref="P76:V76" si="67">P75/P58</f>
        <v>1.5772090672578425E-4</v>
      </c>
      <c r="Q76" s="807">
        <f t="shared" si="67"/>
        <v>1.2207472286848229E-4</v>
      </c>
      <c r="R76" s="807">
        <f t="shared" si="67"/>
        <v>8.3033987289306437E-5</v>
      </c>
      <c r="S76" s="807">
        <f t="shared" si="67"/>
        <v>7.4420175654614154E-5</v>
      </c>
      <c r="T76" s="807">
        <f t="shared" si="67"/>
        <v>6.3734083616894411E-5</v>
      </c>
      <c r="U76" s="807">
        <f t="shared" si="67"/>
        <v>5.7059446353261037E-5</v>
      </c>
      <c r="V76" s="807">
        <f t="shared" si="67"/>
        <v>5.2050282783774375E-5</v>
      </c>
      <c r="W76" s="807">
        <f>W75/W58</f>
        <v>4.8103148758020235E-5</v>
      </c>
      <c r="X76" s="807">
        <f>X75/X58</f>
        <v>4.3988020703035484E-5</v>
      </c>
      <c r="Y76" s="807">
        <f>Y75/Y58</f>
        <v>3.9693940428452113E-5</v>
      </c>
      <c r="Z76" s="807">
        <f>Z75/Z58</f>
        <v>3.5208975495499224E-5</v>
      </c>
      <c r="AA76" s="807">
        <f>AA75/AA58</f>
        <v>3.0520108485215697E-5</v>
      </c>
    </row>
    <row r="77" spans="2:29">
      <c r="N77" s="807"/>
      <c r="O77" s="807"/>
      <c r="P77" s="807"/>
      <c r="Q77" s="807"/>
      <c r="R77" s="807"/>
      <c r="S77" s="807"/>
      <c r="T77" s="807"/>
      <c r="U77" s="807"/>
      <c r="V77" s="807"/>
      <c r="W77" s="807"/>
      <c r="X77" s="807"/>
      <c r="Y77" s="807"/>
      <c r="Z77" s="807"/>
      <c r="AA77" s="807"/>
    </row>
    <row r="78" spans="2:29">
      <c r="B78" s="685" t="s">
        <v>3277</v>
      </c>
      <c r="N78" s="1002">
        <f>389*0.8</f>
        <v>311.20000000000005</v>
      </c>
      <c r="O78" s="849">
        <f>O82/(1-O80)</f>
        <v>299.9518072289157</v>
      </c>
      <c r="P78" s="849">
        <f t="shared" ref="P78:V78" si="68">P82/(1-P80)</f>
        <v>289.48837209302332</v>
      </c>
      <c r="Q78" s="849">
        <f t="shared" si="68"/>
        <v>279.7303370786517</v>
      </c>
      <c r="R78" s="849">
        <f t="shared" si="68"/>
        <v>276.62222222222226</v>
      </c>
      <c r="S78" s="849">
        <f t="shared" si="68"/>
        <v>276.62222222222226</v>
      </c>
      <c r="T78" s="849">
        <f t="shared" si="68"/>
        <v>276.62222222222226</v>
      </c>
      <c r="U78" s="849">
        <f t="shared" si="68"/>
        <v>276.62222222222226</v>
      </c>
      <c r="V78" s="849">
        <f t="shared" si="68"/>
        <v>276.62222222222226</v>
      </c>
      <c r="W78" s="849">
        <f>W82/(1-W80)</f>
        <v>276.62222222222226</v>
      </c>
      <c r="X78" s="849">
        <f>X82/(1-X80)</f>
        <v>276.62222222222226</v>
      </c>
      <c r="Y78" s="849">
        <f>Y82/(1-Y80)</f>
        <v>276.62222222222226</v>
      </c>
      <c r="Z78" s="849">
        <f>Z82/(1-Z80)</f>
        <v>276.62222222222226</v>
      </c>
      <c r="AA78" s="849">
        <f>AA82/(1-AA80)</f>
        <v>276.62222222222226</v>
      </c>
    </row>
    <row r="79" spans="2:29">
      <c r="B79" s="685" t="s">
        <v>181</v>
      </c>
      <c r="N79" s="849"/>
      <c r="O79" s="807">
        <f>O78/N78-1</f>
        <v>-3.6144578313253017E-2</v>
      </c>
      <c r="P79" s="807">
        <f t="shared" ref="P79:V79" si="69">P78/O78-1</f>
        <v>-3.4883720930232509E-2</v>
      </c>
      <c r="Q79" s="807">
        <f t="shared" si="69"/>
        <v>-3.3707865168539519E-2</v>
      </c>
      <c r="R79" s="807">
        <f t="shared" si="69"/>
        <v>-1.1111111111111072E-2</v>
      </c>
      <c r="S79" s="807">
        <f t="shared" si="69"/>
        <v>0</v>
      </c>
      <c r="T79" s="807">
        <f t="shared" si="69"/>
        <v>0</v>
      </c>
      <c r="U79" s="807">
        <f t="shared" si="69"/>
        <v>0</v>
      </c>
      <c r="V79" s="807">
        <f t="shared" si="69"/>
        <v>0</v>
      </c>
      <c r="W79" s="807">
        <f>W78/V78-1</f>
        <v>0</v>
      </c>
      <c r="X79" s="807">
        <f>X78/W78-1</f>
        <v>0</v>
      </c>
      <c r="Y79" s="807">
        <f>Y78/X78-1</f>
        <v>0</v>
      </c>
      <c r="Z79" s="807">
        <f>Z78/Y78-1</f>
        <v>0</v>
      </c>
      <c r="AA79" s="807">
        <f>AA78/Z78-1</f>
        <v>0</v>
      </c>
    </row>
    <row r="80" spans="2:29">
      <c r="B80" s="685" t="s">
        <v>3154</v>
      </c>
      <c r="N80" s="993">
        <v>0.2</v>
      </c>
      <c r="O80" s="993">
        <f>N80-3%</f>
        <v>0.17</v>
      </c>
      <c r="P80" s="993">
        <f>O80-3%</f>
        <v>0.14000000000000001</v>
      </c>
      <c r="Q80" s="993">
        <f>P80-3%</f>
        <v>0.11000000000000001</v>
      </c>
      <c r="R80" s="993">
        <f>Q80-1%</f>
        <v>0.10000000000000002</v>
      </c>
      <c r="S80" s="993">
        <f t="shared" ref="S80:AA80" si="70">R80</f>
        <v>0.10000000000000002</v>
      </c>
      <c r="T80" s="993">
        <f t="shared" si="70"/>
        <v>0.10000000000000002</v>
      </c>
      <c r="U80" s="993">
        <f t="shared" si="70"/>
        <v>0.10000000000000002</v>
      </c>
      <c r="V80" s="993">
        <f t="shared" si="70"/>
        <v>0.10000000000000002</v>
      </c>
      <c r="W80" s="993">
        <f t="shared" si="70"/>
        <v>0.10000000000000002</v>
      </c>
      <c r="X80" s="993">
        <f t="shared" si="70"/>
        <v>0.10000000000000002</v>
      </c>
      <c r="Y80" s="993">
        <f t="shared" si="70"/>
        <v>0.10000000000000002</v>
      </c>
      <c r="Z80" s="993">
        <f t="shared" si="70"/>
        <v>0.10000000000000002</v>
      </c>
      <c r="AA80" s="993">
        <f t="shared" si="70"/>
        <v>0.10000000000000002</v>
      </c>
    </row>
    <row r="81" spans="2:31">
      <c r="O81" s="807"/>
      <c r="P81" s="807"/>
      <c r="Q81" s="807"/>
      <c r="R81" s="807"/>
      <c r="S81" s="807"/>
      <c r="T81" s="807"/>
      <c r="U81" s="807"/>
      <c r="V81" s="807"/>
      <c r="W81" s="807"/>
      <c r="X81" s="807"/>
      <c r="Y81" s="807"/>
      <c r="Z81" s="807"/>
      <c r="AA81" s="807"/>
    </row>
    <row r="82" spans="2:31">
      <c r="B82" s="685" t="s">
        <v>3278</v>
      </c>
      <c r="N82" s="849">
        <f>(1-N80)*N78</f>
        <v>248.96000000000004</v>
      </c>
      <c r="O82" s="1002">
        <f>N82</f>
        <v>248.96000000000004</v>
      </c>
      <c r="P82" s="1002">
        <f t="shared" ref="P82:V82" si="71">O82</f>
        <v>248.96000000000004</v>
      </c>
      <c r="Q82" s="1002">
        <f t="shared" si="71"/>
        <v>248.96000000000004</v>
      </c>
      <c r="R82" s="1002">
        <f t="shared" si="71"/>
        <v>248.96000000000004</v>
      </c>
      <c r="S82" s="1002">
        <f t="shared" si="71"/>
        <v>248.96000000000004</v>
      </c>
      <c r="T82" s="1002">
        <f t="shared" si="71"/>
        <v>248.96000000000004</v>
      </c>
      <c r="U82" s="1002">
        <f>T82</f>
        <v>248.96000000000004</v>
      </c>
      <c r="V82" s="1002">
        <f t="shared" si="71"/>
        <v>248.96000000000004</v>
      </c>
      <c r="W82" s="1002">
        <f>V82</f>
        <v>248.96000000000004</v>
      </c>
      <c r="X82" s="1002">
        <f>W82</f>
        <v>248.96000000000004</v>
      </c>
      <c r="Y82" s="1002">
        <f>X82</f>
        <v>248.96000000000004</v>
      </c>
      <c r="Z82" s="1002">
        <f>Y82</f>
        <v>248.96000000000004</v>
      </c>
      <c r="AA82" s="1002">
        <f>Z82</f>
        <v>248.96000000000004</v>
      </c>
    </row>
    <row r="83" spans="2:31">
      <c r="N83" s="849"/>
      <c r="O83" s="849"/>
      <c r="P83" s="849"/>
      <c r="Q83" s="849"/>
      <c r="R83" s="849"/>
      <c r="S83" s="849"/>
      <c r="T83" s="849"/>
      <c r="U83" s="849"/>
      <c r="V83" s="849"/>
      <c r="W83" s="849"/>
      <c r="X83" s="849"/>
      <c r="Y83" s="849"/>
      <c r="Z83" s="849"/>
      <c r="AA83" s="849"/>
    </row>
    <row r="84" spans="2:31">
      <c r="B84" s="685" t="s">
        <v>3283</v>
      </c>
      <c r="O84" s="849">
        <f t="shared" ref="O84:V84" si="72">O82*12*AVERAGE(N68:O68)/1000</f>
        <v>0</v>
      </c>
      <c r="P84" s="849">
        <f t="shared" si="72"/>
        <v>576.59136000000012</v>
      </c>
      <c r="Q84" s="849">
        <f t="shared" si="72"/>
        <v>1471.9511040000002</v>
      </c>
      <c r="R84" s="849">
        <f t="shared" si="72"/>
        <v>1764.4006318080003</v>
      </c>
      <c r="S84" s="849">
        <f t="shared" si="72"/>
        <v>1634.1973401600003</v>
      </c>
      <c r="T84" s="849">
        <f t="shared" si="72"/>
        <v>1380.6919280640004</v>
      </c>
      <c r="U84" s="849">
        <f t="shared" si="72"/>
        <v>1201.1957514240003</v>
      </c>
      <c r="V84" s="849">
        <f t="shared" si="72"/>
        <v>1141.4453514240004</v>
      </c>
      <c r="W84" s="849">
        <f>W82*12*AVERAGE(V68:W68)/1000</f>
        <v>1081.6949514240002</v>
      </c>
      <c r="X84" s="849">
        <f>X82*12*AVERAGE(W68:X68)/1000</f>
        <v>1021.9445514240005</v>
      </c>
      <c r="Y84" s="849">
        <f>Y82*12*AVERAGE(X68:Y68)/1000</f>
        <v>962.19415142400044</v>
      </c>
      <c r="Z84" s="849">
        <f>Z82*12*AVERAGE(Y68:Z68)/1000</f>
        <v>902.44375142400031</v>
      </c>
      <c r="AA84" s="849">
        <f>AA82*12*AVERAGE(Z68:AA68)/1000</f>
        <v>842.69335142400018</v>
      </c>
    </row>
    <row r="85" spans="2:31">
      <c r="B85" s="743" t="s">
        <v>3210</v>
      </c>
      <c r="C85" s="743"/>
      <c r="D85" s="743"/>
      <c r="E85" s="743"/>
      <c r="F85" s="743"/>
      <c r="G85" s="743"/>
      <c r="H85" s="743"/>
      <c r="I85" s="743"/>
      <c r="J85" s="743"/>
      <c r="K85" s="743"/>
      <c r="L85" s="743"/>
      <c r="M85" s="743"/>
      <c r="N85" s="743"/>
      <c r="O85" s="995">
        <f t="shared" ref="O85:V85" si="73">O82*12*AVERAGE(N70:O70)/1000</f>
        <v>0</v>
      </c>
      <c r="P85" s="995">
        <f t="shared" si="73"/>
        <v>0</v>
      </c>
      <c r="Q85" s="995">
        <f t="shared" si="73"/>
        <v>99.484416000000053</v>
      </c>
      <c r="R85" s="995">
        <f t="shared" si="73"/>
        <v>316.74463795200006</v>
      </c>
      <c r="S85" s="995">
        <f t="shared" si="73"/>
        <v>408.54933504000007</v>
      </c>
      <c r="T85" s="995">
        <f t="shared" si="73"/>
        <v>345.17298201600005</v>
      </c>
      <c r="U85" s="995">
        <f t="shared" si="73"/>
        <v>300.2989378559999</v>
      </c>
      <c r="V85" s="995">
        <f t="shared" si="73"/>
        <v>285.36133785599992</v>
      </c>
      <c r="W85" s="995">
        <f>W82*12*AVERAGE(V70:W70)/1000</f>
        <v>270.42373785599995</v>
      </c>
      <c r="X85" s="995">
        <f>X82*12*AVERAGE(W70:X70)/1000</f>
        <v>255.48613785599994</v>
      </c>
      <c r="Y85" s="995">
        <f>Y82*12*AVERAGE(X70:Y70)/1000</f>
        <v>240.54853785599991</v>
      </c>
      <c r="Z85" s="995">
        <f>Z82*12*AVERAGE(Y70:Z70)/1000</f>
        <v>225.61093785599999</v>
      </c>
      <c r="AA85" s="995">
        <f>AA82*12*AVERAGE(Z70:AA70)/1000</f>
        <v>210.67333785600007</v>
      </c>
    </row>
    <row r="86" spans="2:31">
      <c r="B86" s="874" t="s">
        <v>3156</v>
      </c>
      <c r="C86" s="874"/>
      <c r="D86" s="874"/>
      <c r="E86" s="874"/>
      <c r="F86" s="874"/>
      <c r="G86" s="874"/>
      <c r="H86" s="874"/>
      <c r="I86" s="876"/>
      <c r="J86" s="876"/>
      <c r="K86" s="876"/>
      <c r="L86" s="876"/>
      <c r="M86" s="876"/>
      <c r="N86" s="876"/>
      <c r="O86" s="876">
        <f t="shared" ref="O86:V86" si="74">O82*AVERAGE(N72,O72)*12/1000</f>
        <v>0</v>
      </c>
      <c r="P86" s="876">
        <f t="shared" si="74"/>
        <v>576.59136000000012</v>
      </c>
      <c r="Q86" s="876">
        <f>Q82*AVERAGE(P72,Q72)*12/1000</f>
        <v>1571.4355200000002</v>
      </c>
      <c r="R86" s="876">
        <f t="shared" si="74"/>
        <v>2081.1452697600007</v>
      </c>
      <c r="S86" s="876">
        <f t="shared" si="74"/>
        <v>2042.7466752000005</v>
      </c>
      <c r="T86" s="876">
        <f t="shared" si="74"/>
        <v>1725.8649100800003</v>
      </c>
      <c r="U86" s="876">
        <f t="shared" si="74"/>
        <v>1501.4946892800006</v>
      </c>
      <c r="V86" s="876">
        <f t="shared" si="74"/>
        <v>1426.8066892800005</v>
      </c>
      <c r="W86" s="876">
        <f>W82*AVERAGE(V72,W72)*12/1000</f>
        <v>1352.1186892800006</v>
      </c>
      <c r="X86" s="876">
        <f>X82*AVERAGE(W72,X72)*12/1000</f>
        <v>1277.4306892800005</v>
      </c>
      <c r="Y86" s="876">
        <f>Y82*AVERAGE(X72,Y72)*12/1000</f>
        <v>1202.7426892800006</v>
      </c>
      <c r="Z86" s="876">
        <f>Z82*AVERAGE(Y72,Z72)*12/1000</f>
        <v>1128.0546892800005</v>
      </c>
      <c r="AA86" s="876">
        <f>AA82*AVERAGE(Z72,AA72)*12/1000</f>
        <v>1053.3666892800006</v>
      </c>
    </row>
    <row r="87" spans="2:31">
      <c r="B87" s="685" t="s">
        <v>3237</v>
      </c>
      <c r="C87" s="874"/>
      <c r="D87" s="874"/>
      <c r="E87" s="874"/>
      <c r="F87" s="874"/>
      <c r="G87" s="874"/>
      <c r="H87" s="874"/>
      <c r="I87" s="876"/>
      <c r="J87" s="876"/>
      <c r="K87" s="876"/>
      <c r="L87" s="876"/>
      <c r="M87" s="876"/>
      <c r="N87" s="876"/>
      <c r="O87" s="807">
        <f t="shared" ref="O87:V87" si="75">O86/O61</f>
        <v>0</v>
      </c>
      <c r="P87" s="807">
        <f t="shared" si="75"/>
        <v>2.7760231875726835E-2</v>
      </c>
      <c r="Q87" s="807">
        <f t="shared" si="75"/>
        <v>7.641955495579951E-2</v>
      </c>
      <c r="R87" s="807">
        <f t="shared" si="75"/>
        <v>0.10434183115437844</v>
      </c>
      <c r="S87" s="807">
        <f t="shared" si="75"/>
        <v>0.11164835985469884</v>
      </c>
      <c r="T87" s="807">
        <f t="shared" si="75"/>
        <v>0.10882328296202902</v>
      </c>
      <c r="U87" s="807">
        <f t="shared" si="75"/>
        <v>0.10597671634247255</v>
      </c>
      <c r="V87" s="807">
        <f t="shared" si="75"/>
        <v>0.10937919136885248</v>
      </c>
      <c r="W87" s="807">
        <f>W86/W61</f>
        <v>0.1099515152170667</v>
      </c>
      <c r="X87" s="807">
        <f>X86/X61</f>
        <v>0.10934571583844867</v>
      </c>
      <c r="Y87" s="807">
        <f>Y86/Y61</f>
        <v>0.10841959327916635</v>
      </c>
      <c r="Z87" s="807">
        <f>Z86/Z61</f>
        <v>0.10713633825584616</v>
      </c>
      <c r="AA87" s="807">
        <f>AA86/AA61</f>
        <v>0.10545513425023799</v>
      </c>
    </row>
    <row r="88" spans="2:31">
      <c r="B88" s="685" t="s">
        <v>3266</v>
      </c>
      <c r="C88" s="874"/>
      <c r="D88" s="874"/>
      <c r="E88" s="874"/>
      <c r="F88" s="874"/>
      <c r="G88" s="874"/>
      <c r="H88" s="874"/>
      <c r="I88" s="876"/>
      <c r="J88" s="876"/>
      <c r="K88" s="876"/>
      <c r="L88" s="876"/>
      <c r="M88" s="876"/>
      <c r="N88" s="807"/>
      <c r="O88" s="807">
        <f>O86/Master!Q56</f>
        <v>0</v>
      </c>
      <c r="P88" s="807">
        <f>P86/Master!R56</f>
        <v>5.7286430483275818E-3</v>
      </c>
      <c r="Q88" s="807">
        <f>Q86/Master!S56</f>
        <v>1.6177301023386246E-2</v>
      </c>
      <c r="R88" s="807">
        <f>R86/Master!T56</f>
        <v>2.0103449416065029E-2</v>
      </c>
      <c r="S88" s="807">
        <f>S86/Master!U56</f>
        <v>2.7046718311164546E-2</v>
      </c>
      <c r="T88" s="807">
        <f>T86/Master!V56</f>
        <v>2.3395879645211535E-2</v>
      </c>
      <c r="U88" s="807">
        <f>U86/Master!W56</f>
        <v>2.3350613695212619E-2</v>
      </c>
      <c r="V88" s="807">
        <f>V86/Master!X56</f>
        <v>2.2436256645722668E-2</v>
      </c>
      <c r="W88" s="807">
        <f>W86/Master!Y56</f>
        <v>2.1207275469781361E-2</v>
      </c>
      <c r="X88" s="807">
        <f>X86/Master!Z56</f>
        <v>1.9859590478917877E-2</v>
      </c>
      <c r="Y88" s="807">
        <f>Y86/Master!AA56</f>
        <v>1.8409842699750958E-2</v>
      </c>
      <c r="Z88" s="807">
        <f>Z86/Master!AB56</f>
        <v>1.6950072197871369E-2</v>
      </c>
      <c r="AA88" s="807">
        <f>AA86/Master!AC56</f>
        <v>1.5522520372383357E-2</v>
      </c>
    </row>
    <row r="89" spans="2:31">
      <c r="N89" s="849"/>
      <c r="O89" s="849"/>
      <c r="P89" s="849"/>
      <c r="Q89" s="849"/>
      <c r="R89" s="849"/>
      <c r="S89" s="849"/>
      <c r="T89" s="849"/>
      <c r="U89" s="849"/>
      <c r="V89" s="849"/>
      <c r="W89" s="849"/>
      <c r="X89" s="849"/>
      <c r="Y89" s="849"/>
      <c r="Z89" s="849"/>
      <c r="AA89" s="849"/>
    </row>
    <row r="90" spans="2:31">
      <c r="B90" s="997" t="s">
        <v>3159</v>
      </c>
      <c r="C90" s="997"/>
      <c r="D90" s="997"/>
      <c r="E90" s="997"/>
      <c r="F90" s="997"/>
      <c r="G90" s="997"/>
      <c r="H90" s="997"/>
      <c r="I90" s="1039">
        <f t="shared" ref="I90:AA90" si="76">I61+I86</f>
        <v>14465.4</v>
      </c>
      <c r="J90" s="1039">
        <f t="shared" si="76"/>
        <v>16098.3</v>
      </c>
      <c r="K90" s="1039">
        <f t="shared" si="76"/>
        <v>17498.5</v>
      </c>
      <c r="L90" s="1039">
        <f t="shared" si="76"/>
        <v>19253.5</v>
      </c>
      <c r="M90" s="1039">
        <f t="shared" si="76"/>
        <v>21941.200000000001</v>
      </c>
      <c r="N90" s="1039">
        <f t="shared" si="76"/>
        <v>22197</v>
      </c>
      <c r="O90" s="1039">
        <f t="shared" si="76"/>
        <v>22002</v>
      </c>
      <c r="P90" s="1039">
        <f t="shared" si="76"/>
        <v>21347</v>
      </c>
      <c r="Q90" s="1039">
        <f t="shared" si="76"/>
        <v>22134.7</v>
      </c>
      <c r="R90" s="1039">
        <f t="shared" si="76"/>
        <v>22026.6</v>
      </c>
      <c r="S90" s="1039">
        <f t="shared" si="76"/>
        <v>20339</v>
      </c>
      <c r="T90" s="1039">
        <f t="shared" si="76"/>
        <v>17585.2</v>
      </c>
      <c r="U90" s="1039">
        <f t="shared" si="76"/>
        <v>15669.651064570926</v>
      </c>
      <c r="V90" s="1039">
        <f t="shared" si="76"/>
        <v>14471.39653698212</v>
      </c>
      <c r="W90" s="1039">
        <f t="shared" si="76"/>
        <v>13649.527111625455</v>
      </c>
      <c r="X90" s="1039">
        <f t="shared" si="76"/>
        <v>12959.924872841093</v>
      </c>
      <c r="Y90" s="1039">
        <f t="shared" si="76"/>
        <v>12296.149820803679</v>
      </c>
      <c r="Z90" s="1039">
        <f t="shared" si="76"/>
        <v>11657.205747123304</v>
      </c>
      <c r="AA90" s="1039">
        <f t="shared" si="76"/>
        <v>11042.13297144538</v>
      </c>
    </row>
    <row r="91" spans="2:31">
      <c r="B91" s="685" t="s">
        <v>181</v>
      </c>
      <c r="J91" s="807">
        <f t="shared" ref="J91:V91" si="77">J90/I90-1</f>
        <v>0.11288315566800788</v>
      </c>
      <c r="K91" s="807">
        <f t="shared" si="77"/>
        <v>8.6978128125330123E-2</v>
      </c>
      <c r="L91" s="807">
        <f t="shared" si="77"/>
        <v>0.10029431094093777</v>
      </c>
      <c r="M91" s="807">
        <f t="shared" si="77"/>
        <v>0.13959539823928124</v>
      </c>
      <c r="N91" s="807">
        <f t="shared" si="77"/>
        <v>1.1658432537873908E-2</v>
      </c>
      <c r="O91" s="807">
        <f t="shared" si="77"/>
        <v>-8.7849709420192434E-3</v>
      </c>
      <c r="P91" s="807">
        <f t="shared" si="77"/>
        <v>-2.9770020907190275E-2</v>
      </c>
      <c r="Q91" s="807">
        <f t="shared" si="77"/>
        <v>3.6899798566543351E-2</v>
      </c>
      <c r="R91" s="807">
        <f t="shared" si="77"/>
        <v>-4.8837345886776351E-3</v>
      </c>
      <c r="S91" s="807">
        <f t="shared" si="77"/>
        <v>-7.6616454650286436E-2</v>
      </c>
      <c r="T91" s="807">
        <f t="shared" si="77"/>
        <v>-0.13539505383745509</v>
      </c>
      <c r="U91" s="807">
        <f t="shared" si="77"/>
        <v>-0.10892960759212722</v>
      </c>
      <c r="V91" s="807">
        <f t="shared" si="77"/>
        <v>-7.6469764556407971E-2</v>
      </c>
      <c r="W91" s="807">
        <f>W90/V90-1</f>
        <v>-5.6792682258160143E-2</v>
      </c>
      <c r="X91" s="807">
        <f>X90/W90-1</f>
        <v>-5.052206081169075E-2</v>
      </c>
      <c r="Y91" s="807">
        <f>Y90/X90-1</f>
        <v>-5.1217507705498044E-2</v>
      </c>
      <c r="Z91" s="807">
        <f>Z90/Y90-1</f>
        <v>-5.1962938236109868E-2</v>
      </c>
      <c r="AA91" s="807">
        <f>AA90/Z90-1</f>
        <v>-5.2763311296080362E-2</v>
      </c>
    </row>
    <row r="93" spans="2:31">
      <c r="B93" s="685" t="s">
        <v>3155</v>
      </c>
      <c r="F93" s="848">
        <f>Master!H67</f>
        <v>4479</v>
      </c>
      <c r="G93" s="848">
        <f>Master!I67</f>
        <v>5075</v>
      </c>
      <c r="H93" s="848">
        <f>Master!J67</f>
        <v>5789.8</v>
      </c>
      <c r="I93" s="848">
        <f>Master!K67</f>
        <v>6558</v>
      </c>
      <c r="J93" s="848">
        <f>Master!L67</f>
        <v>7340.5</v>
      </c>
      <c r="K93" s="848">
        <f>Master!M67</f>
        <v>8211.2999999999993</v>
      </c>
      <c r="L93" s="848">
        <f>Master!N67</f>
        <v>8972.2999999999993</v>
      </c>
      <c r="M93" s="848">
        <f>Master!O67</f>
        <v>9898.5</v>
      </c>
      <c r="N93" s="848">
        <f>Master!P67</f>
        <v>10107</v>
      </c>
      <c r="O93" s="848">
        <f>Master!Q67</f>
        <v>9767</v>
      </c>
      <c r="P93" s="848">
        <f>Master!R67</f>
        <v>9121</v>
      </c>
      <c r="Q93" s="848">
        <f>Master!S67</f>
        <v>9135.7999999999993</v>
      </c>
      <c r="R93" s="848">
        <f>Master!T67</f>
        <v>8504.2000000000007</v>
      </c>
      <c r="S93" s="848">
        <f>Master!U67</f>
        <v>6416.33</v>
      </c>
      <c r="T93" s="848">
        <f>Master!V67</f>
        <v>5731.4</v>
      </c>
      <c r="U93" s="848">
        <f t="shared" ref="U93:AA93" si="78">U94*U61</f>
        <v>4547.9781964683871</v>
      </c>
      <c r="V93" s="848">
        <f t="shared" si="78"/>
        <v>4565.6064466957414</v>
      </c>
      <c r="W93" s="848">
        <f t="shared" si="78"/>
        <v>4242.6059057091816</v>
      </c>
      <c r="X93" s="848">
        <f t="shared" si="78"/>
        <v>3972.048022410771</v>
      </c>
      <c r="Y93" s="848">
        <f t="shared" si="78"/>
        <v>3716.2913890604318</v>
      </c>
      <c r="Z93" s="848">
        <f t="shared" si="78"/>
        <v>3474.6198490882894</v>
      </c>
      <c r="AA93" s="848">
        <f t="shared" si="78"/>
        <v>3246.3490417037478</v>
      </c>
      <c r="AC93" s="807"/>
      <c r="AE93" s="750"/>
    </row>
    <row r="94" spans="2:31">
      <c r="B94" s="685" t="s">
        <v>158</v>
      </c>
      <c r="F94" s="869">
        <f t="shared" ref="F94:P94" si="79">F93/F61</f>
        <v>0.44767168743940589</v>
      </c>
      <c r="G94" s="869">
        <f t="shared" si="79"/>
        <v>0.45118330043918137</v>
      </c>
      <c r="H94" s="869">
        <f t="shared" si="79"/>
        <v>0.46395602282197573</v>
      </c>
      <c r="I94" s="869">
        <f t="shared" si="79"/>
        <v>0.45335766726118876</v>
      </c>
      <c r="J94" s="869">
        <f t="shared" si="79"/>
        <v>0.45597982395656689</v>
      </c>
      <c r="K94" s="869">
        <f t="shared" si="79"/>
        <v>0.46925736491699283</v>
      </c>
      <c r="L94" s="869">
        <f t="shared" si="79"/>
        <v>0.46600877762484738</v>
      </c>
      <c r="M94" s="869">
        <f t="shared" si="79"/>
        <v>0.45113758591143599</v>
      </c>
      <c r="N94" s="869">
        <f t="shared" si="79"/>
        <v>0.45533180159481013</v>
      </c>
      <c r="O94" s="869">
        <f t="shared" si="79"/>
        <v>0.44391418961912554</v>
      </c>
      <c r="P94" s="869">
        <f t="shared" si="79"/>
        <v>0.43913435494160791</v>
      </c>
      <c r="Q94" s="869">
        <f>Q93/Q61</f>
        <v>0.44427770740806027</v>
      </c>
      <c r="R94" s="869">
        <f>R93/R61</f>
        <v>0.42637283105440993</v>
      </c>
      <c r="S94" s="869">
        <f>S93/S61</f>
        <v>0.35069092486289882</v>
      </c>
      <c r="T94" s="869">
        <f>T93/T61</f>
        <v>0.36138967790918342</v>
      </c>
      <c r="U94" s="1001">
        <v>0.32100000000000001</v>
      </c>
      <c r="V94" s="1001">
        <v>0.35</v>
      </c>
      <c r="W94" s="1001">
        <f>V94-0.5%</f>
        <v>0.34499999999999997</v>
      </c>
      <c r="X94" s="1001">
        <f t="shared" ref="X94:AA94" si="80">W94-0.5%</f>
        <v>0.33999999999999997</v>
      </c>
      <c r="Y94" s="1001">
        <f t="shared" si="80"/>
        <v>0.33499999999999996</v>
      </c>
      <c r="Z94" s="1001">
        <f t="shared" si="80"/>
        <v>0.32999999999999996</v>
      </c>
      <c r="AA94" s="1001">
        <f t="shared" si="80"/>
        <v>0.32499999999999996</v>
      </c>
      <c r="AC94" s="807"/>
    </row>
    <row r="95" spans="2:31">
      <c r="B95" s="685" t="s">
        <v>181</v>
      </c>
      <c r="G95" s="807">
        <f>G93/F93-1</f>
        <v>0.13306541638758662</v>
      </c>
      <c r="H95" s="807">
        <f t="shared" ref="H95:V95" si="81">H93/G93-1</f>
        <v>0.14084729064039414</v>
      </c>
      <c r="I95" s="807">
        <f t="shared" si="81"/>
        <v>0.13268161249093224</v>
      </c>
      <c r="J95" s="807">
        <f t="shared" si="81"/>
        <v>0.11931991460811231</v>
      </c>
      <c r="K95" s="807">
        <f t="shared" si="81"/>
        <v>0.11862952114978542</v>
      </c>
      <c r="L95" s="807">
        <f t="shared" si="81"/>
        <v>9.2677164395406297E-2</v>
      </c>
      <c r="M95" s="807">
        <f t="shared" si="81"/>
        <v>0.10322882649933685</v>
      </c>
      <c r="N95" s="807">
        <f t="shared" si="81"/>
        <v>2.1063797545082696E-2</v>
      </c>
      <c r="O95" s="807">
        <f t="shared" si="81"/>
        <v>-3.3640051449490449E-2</v>
      </c>
      <c r="P95" s="807">
        <f t="shared" si="81"/>
        <v>-6.6141087334903204E-2</v>
      </c>
      <c r="Q95" s="807">
        <f t="shared" si="81"/>
        <v>1.6226290976866231E-3</v>
      </c>
      <c r="R95" s="807">
        <f t="shared" si="81"/>
        <v>-6.9134613279625112E-2</v>
      </c>
      <c r="S95" s="807">
        <f t="shared" si="81"/>
        <v>-0.24551045365819246</v>
      </c>
      <c r="T95" s="807">
        <f t="shared" si="81"/>
        <v>-0.10674793846326491</v>
      </c>
      <c r="U95" s="807">
        <f t="shared" si="81"/>
        <v>-0.20648040679966717</v>
      </c>
      <c r="V95" s="807">
        <f t="shared" si="81"/>
        <v>3.8760630473213542E-3</v>
      </c>
      <c r="W95" s="807">
        <f>W93/V93-1</f>
        <v>-7.0746470322759492E-2</v>
      </c>
      <c r="X95" s="807">
        <f>X93/W93-1</f>
        <v>-6.3771627464697334E-2</v>
      </c>
      <c r="Y95" s="807">
        <f>Y93/X93-1</f>
        <v>-6.4389109071020689E-2</v>
      </c>
      <c r="Z95" s="807">
        <f>Z93/Y93-1</f>
        <v>-6.5030298938222653E-2</v>
      </c>
      <c r="AA95" s="807">
        <f>AA93/Z93-1</f>
        <v>-6.5696627918716888E-2</v>
      </c>
    </row>
    <row r="97" spans="2:27">
      <c r="B97" s="685" t="s">
        <v>3274</v>
      </c>
      <c r="N97" s="993">
        <v>0.25</v>
      </c>
      <c r="O97" s="807">
        <f>N97</f>
        <v>0.25</v>
      </c>
      <c r="P97" s="807">
        <f t="shared" ref="P97:V97" si="82">O97</f>
        <v>0.25</v>
      </c>
      <c r="Q97" s="807">
        <f t="shared" si="82"/>
        <v>0.25</v>
      </c>
      <c r="R97" s="807">
        <f t="shared" si="82"/>
        <v>0.25</v>
      </c>
      <c r="S97" s="807">
        <f t="shared" si="82"/>
        <v>0.25</v>
      </c>
      <c r="T97" s="807">
        <f t="shared" si="82"/>
        <v>0.25</v>
      </c>
      <c r="U97" s="807">
        <f t="shared" si="82"/>
        <v>0.25</v>
      </c>
      <c r="V97" s="807">
        <f t="shared" si="82"/>
        <v>0.25</v>
      </c>
      <c r="W97" s="807">
        <f>V97</f>
        <v>0.25</v>
      </c>
      <c r="X97" s="807">
        <f>W97</f>
        <v>0.25</v>
      </c>
      <c r="Y97" s="807">
        <f>X97</f>
        <v>0.25</v>
      </c>
      <c r="Z97" s="807">
        <f>Y97</f>
        <v>0.25</v>
      </c>
      <c r="AA97" s="807">
        <f>Z97</f>
        <v>0.25</v>
      </c>
    </row>
    <row r="98" spans="2:27">
      <c r="B98" s="685" t="s">
        <v>3279</v>
      </c>
      <c r="N98" s="1002">
        <f>187*0.8</f>
        <v>149.6</v>
      </c>
      <c r="O98" s="848">
        <f>(1+O99)*N98</f>
        <v>144.19277108433735</v>
      </c>
      <c r="P98" s="848">
        <f t="shared" ref="P98:V98" si="83">(1+P99)*O98</f>
        <v>139.16279069767444</v>
      </c>
      <c r="Q98" s="848">
        <f t="shared" si="83"/>
        <v>134.47191011235955</v>
      </c>
      <c r="R98" s="848">
        <f t="shared" si="83"/>
        <v>132.97777777777779</v>
      </c>
      <c r="S98" s="848">
        <f t="shared" si="83"/>
        <v>132.97777777777779</v>
      </c>
      <c r="T98" s="848">
        <f t="shared" si="83"/>
        <v>132.97777777777779</v>
      </c>
      <c r="U98" s="848">
        <f t="shared" si="83"/>
        <v>132.97777777777779</v>
      </c>
      <c r="V98" s="848">
        <f t="shared" si="83"/>
        <v>132.97777777777779</v>
      </c>
      <c r="W98" s="848">
        <f>(1+W99)*V98</f>
        <v>132.97777777777779</v>
      </c>
      <c r="X98" s="848">
        <f>(1+X99)*W98</f>
        <v>132.97777777777779</v>
      </c>
      <c r="Y98" s="848">
        <f>(1+Y99)*X98</f>
        <v>132.97777777777779</v>
      </c>
      <c r="Z98" s="848">
        <f>(1+Z99)*Y98</f>
        <v>132.97777777777779</v>
      </c>
      <c r="AA98" s="848">
        <f>(1+AA99)*Z98</f>
        <v>132.97777777777779</v>
      </c>
    </row>
    <row r="99" spans="2:27">
      <c r="B99" s="685" t="s">
        <v>181</v>
      </c>
      <c r="O99" s="807">
        <f t="shared" ref="O99:V99" si="84">O79</f>
        <v>-3.6144578313253017E-2</v>
      </c>
      <c r="P99" s="807">
        <f t="shared" si="84"/>
        <v>-3.4883720930232509E-2</v>
      </c>
      <c r="Q99" s="807">
        <f t="shared" si="84"/>
        <v>-3.3707865168539519E-2</v>
      </c>
      <c r="R99" s="807">
        <f t="shared" si="84"/>
        <v>-1.1111111111111072E-2</v>
      </c>
      <c r="S99" s="807">
        <f t="shared" si="84"/>
        <v>0</v>
      </c>
      <c r="T99" s="807">
        <f t="shared" si="84"/>
        <v>0</v>
      </c>
      <c r="U99" s="807">
        <f t="shared" si="84"/>
        <v>0</v>
      </c>
      <c r="V99" s="807">
        <f t="shared" si="84"/>
        <v>0</v>
      </c>
      <c r="W99" s="807">
        <f>W79</f>
        <v>0</v>
      </c>
      <c r="X99" s="807">
        <f>X79</f>
        <v>0</v>
      </c>
      <c r="Y99" s="807">
        <f>Y79</f>
        <v>0</v>
      </c>
      <c r="Z99" s="807">
        <f>Z79</f>
        <v>0</v>
      </c>
      <c r="AA99" s="807">
        <f>AA79</f>
        <v>0</v>
      </c>
    </row>
    <row r="100" spans="2:27">
      <c r="B100" s="685" t="s">
        <v>3207</v>
      </c>
      <c r="N100" s="849">
        <f t="shared" ref="N100:V100" si="85">(1-N97)*N98</f>
        <v>112.19999999999999</v>
      </c>
      <c r="O100" s="849">
        <f t="shared" si="85"/>
        <v>108.14457831325302</v>
      </c>
      <c r="P100" s="849">
        <f t="shared" si="85"/>
        <v>104.37209302325583</v>
      </c>
      <c r="Q100" s="849">
        <f t="shared" si="85"/>
        <v>100.85393258426967</v>
      </c>
      <c r="R100" s="849">
        <f t="shared" si="85"/>
        <v>99.733333333333348</v>
      </c>
      <c r="S100" s="849">
        <f t="shared" si="85"/>
        <v>99.733333333333348</v>
      </c>
      <c r="T100" s="849">
        <f t="shared" si="85"/>
        <v>99.733333333333348</v>
      </c>
      <c r="U100" s="849">
        <f t="shared" si="85"/>
        <v>99.733333333333348</v>
      </c>
      <c r="V100" s="849">
        <f t="shared" si="85"/>
        <v>99.733333333333348</v>
      </c>
      <c r="W100" s="849">
        <f>(1-W97)*W98</f>
        <v>99.733333333333348</v>
      </c>
      <c r="X100" s="849">
        <f>(1-X97)*X98</f>
        <v>99.733333333333348</v>
      </c>
      <c r="Y100" s="849">
        <f>(1-Y97)*Y98</f>
        <v>99.733333333333348</v>
      </c>
      <c r="Z100" s="849">
        <f>(1-Z97)*Z98</f>
        <v>99.733333333333348</v>
      </c>
      <c r="AA100" s="849">
        <f>(1-AA97)*AA98</f>
        <v>99.733333333333348</v>
      </c>
    </row>
    <row r="101" spans="2:27">
      <c r="B101" s="685" t="s">
        <v>3282</v>
      </c>
      <c r="N101" s="849"/>
      <c r="O101" s="849">
        <f t="shared" ref="O101:V101" si="86">O100*AVERAGE(N68,O68)*12/1000</f>
        <v>0</v>
      </c>
      <c r="P101" s="849">
        <f t="shared" si="86"/>
        <v>241.72576744186048</v>
      </c>
      <c r="Q101" s="849">
        <f t="shared" si="86"/>
        <v>596.28879101123607</v>
      </c>
      <c r="R101" s="849">
        <f t="shared" si="86"/>
        <v>706.81859072000009</v>
      </c>
      <c r="S101" s="849">
        <f t="shared" si="86"/>
        <v>654.6591744000001</v>
      </c>
      <c r="T101" s="849">
        <f t="shared" si="86"/>
        <v>553.10494976000007</v>
      </c>
      <c r="U101" s="849">
        <f t="shared" si="86"/>
        <v>481.19881216000022</v>
      </c>
      <c r="V101" s="849">
        <f t="shared" si="86"/>
        <v>457.26281216000012</v>
      </c>
      <c r="W101" s="849">
        <f>W100*AVERAGE(V68,W68)*12/1000</f>
        <v>433.3268121600002</v>
      </c>
      <c r="X101" s="849">
        <f>X100*AVERAGE(W68,X68)*12/1000</f>
        <v>409.39081216000022</v>
      </c>
      <c r="Y101" s="849">
        <f>Y100*AVERAGE(X68,Y68)*12/1000</f>
        <v>385.45481216000013</v>
      </c>
      <c r="Z101" s="849">
        <f>Z100*AVERAGE(Y68,Z68)*12/1000</f>
        <v>361.51881216000021</v>
      </c>
      <c r="AA101" s="849">
        <f>AA100*AVERAGE(Z68,AA68)*12/1000</f>
        <v>337.58281216000012</v>
      </c>
    </row>
    <row r="102" spans="2:27">
      <c r="O102" s="807"/>
      <c r="P102" s="807"/>
      <c r="Q102" s="807"/>
      <c r="R102" s="807"/>
      <c r="S102" s="807"/>
      <c r="T102" s="807"/>
      <c r="U102" s="807"/>
      <c r="V102" s="807"/>
      <c r="W102" s="807"/>
      <c r="X102" s="807"/>
      <c r="Y102" s="807"/>
      <c r="Z102" s="807"/>
      <c r="AA102" s="807"/>
    </row>
    <row r="103" spans="2:27">
      <c r="B103" s="685" t="s">
        <v>3208</v>
      </c>
      <c r="N103" s="993">
        <v>0.3</v>
      </c>
      <c r="O103" s="807">
        <f>N103</f>
        <v>0.3</v>
      </c>
      <c r="P103" s="807">
        <f t="shared" ref="P103:V103" si="87">O103</f>
        <v>0.3</v>
      </c>
      <c r="Q103" s="807">
        <f t="shared" si="87"/>
        <v>0.3</v>
      </c>
      <c r="R103" s="807">
        <f t="shared" si="87"/>
        <v>0.3</v>
      </c>
      <c r="S103" s="807">
        <f t="shared" si="87"/>
        <v>0.3</v>
      </c>
      <c r="T103" s="807">
        <f t="shared" si="87"/>
        <v>0.3</v>
      </c>
      <c r="U103" s="807">
        <f t="shared" si="87"/>
        <v>0.3</v>
      </c>
      <c r="V103" s="807">
        <f t="shared" si="87"/>
        <v>0.3</v>
      </c>
      <c r="W103" s="807">
        <f>V103</f>
        <v>0.3</v>
      </c>
      <c r="X103" s="807">
        <f>W103</f>
        <v>0.3</v>
      </c>
      <c r="Y103" s="807">
        <f>X103</f>
        <v>0.3</v>
      </c>
      <c r="Z103" s="807">
        <f>Y103</f>
        <v>0.3</v>
      </c>
      <c r="AA103" s="807">
        <f>Z103</f>
        <v>0.3</v>
      </c>
    </row>
    <row r="104" spans="2:27">
      <c r="B104" s="685" t="s">
        <v>3280</v>
      </c>
      <c r="N104" s="849">
        <f>N78-N98</f>
        <v>161.60000000000005</v>
      </c>
      <c r="O104" s="848">
        <f t="shared" ref="O104:V104" si="88">(1+O105)*N104</f>
        <v>155.75903614457837</v>
      </c>
      <c r="P104" s="848">
        <f t="shared" si="88"/>
        <v>150.32558139534891</v>
      </c>
      <c r="Q104" s="848">
        <f t="shared" si="88"/>
        <v>145.25842696629218</v>
      </c>
      <c r="R104" s="848">
        <f t="shared" si="88"/>
        <v>143.6444444444445</v>
      </c>
      <c r="S104" s="848">
        <f t="shared" si="88"/>
        <v>143.6444444444445</v>
      </c>
      <c r="T104" s="848">
        <f t="shared" si="88"/>
        <v>143.6444444444445</v>
      </c>
      <c r="U104" s="848">
        <f t="shared" si="88"/>
        <v>143.6444444444445</v>
      </c>
      <c r="V104" s="848">
        <f t="shared" si="88"/>
        <v>143.6444444444445</v>
      </c>
      <c r="W104" s="848">
        <f>(1+W105)*V104</f>
        <v>143.6444444444445</v>
      </c>
      <c r="X104" s="848">
        <f>(1+X105)*W104</f>
        <v>143.6444444444445</v>
      </c>
      <c r="Y104" s="848">
        <f>(1+Y105)*X104</f>
        <v>143.6444444444445</v>
      </c>
      <c r="Z104" s="848">
        <f>(1+Z105)*Y104</f>
        <v>143.6444444444445</v>
      </c>
      <c r="AA104" s="848">
        <f>(1+AA105)*Z104</f>
        <v>143.6444444444445</v>
      </c>
    </row>
    <row r="105" spans="2:27">
      <c r="B105" s="685" t="s">
        <v>181</v>
      </c>
      <c r="O105" s="807">
        <f t="shared" ref="O105:V105" si="89">O79</f>
        <v>-3.6144578313253017E-2</v>
      </c>
      <c r="P105" s="807">
        <f t="shared" si="89"/>
        <v>-3.4883720930232509E-2</v>
      </c>
      <c r="Q105" s="807">
        <f t="shared" si="89"/>
        <v>-3.3707865168539519E-2</v>
      </c>
      <c r="R105" s="807">
        <f t="shared" si="89"/>
        <v>-1.1111111111111072E-2</v>
      </c>
      <c r="S105" s="807">
        <f t="shared" si="89"/>
        <v>0</v>
      </c>
      <c r="T105" s="807">
        <f t="shared" si="89"/>
        <v>0</v>
      </c>
      <c r="U105" s="807">
        <f t="shared" si="89"/>
        <v>0</v>
      </c>
      <c r="V105" s="807">
        <f t="shared" si="89"/>
        <v>0</v>
      </c>
      <c r="W105" s="807">
        <f>W79</f>
        <v>0</v>
      </c>
      <c r="X105" s="807">
        <f>X79</f>
        <v>0</v>
      </c>
      <c r="Y105" s="807">
        <f>Y79</f>
        <v>0</v>
      </c>
      <c r="Z105" s="807">
        <f>Z79</f>
        <v>0</v>
      </c>
      <c r="AA105" s="807">
        <f>AA79</f>
        <v>0</v>
      </c>
    </row>
    <row r="106" spans="2:27">
      <c r="B106" s="685" t="s">
        <v>3209</v>
      </c>
      <c r="N106" s="849">
        <f>(1-N103)*N104</f>
        <v>113.12000000000003</v>
      </c>
      <c r="O106" s="849">
        <f t="shared" ref="O106:V106" si="90">(1-O103)*O104</f>
        <v>109.03132530120486</v>
      </c>
      <c r="P106" s="849">
        <f t="shared" si="90"/>
        <v>105.22790697674422</v>
      </c>
      <c r="Q106" s="849">
        <f t="shared" si="90"/>
        <v>101.68089887640451</v>
      </c>
      <c r="R106" s="849">
        <f t="shared" si="90"/>
        <v>100.55111111111114</v>
      </c>
      <c r="S106" s="849">
        <f t="shared" si="90"/>
        <v>100.55111111111114</v>
      </c>
      <c r="T106" s="849">
        <f t="shared" si="90"/>
        <v>100.55111111111114</v>
      </c>
      <c r="U106" s="849">
        <f t="shared" si="90"/>
        <v>100.55111111111114</v>
      </c>
      <c r="V106" s="849">
        <f t="shared" si="90"/>
        <v>100.55111111111114</v>
      </c>
      <c r="W106" s="849">
        <f>(1-W103)*W104</f>
        <v>100.55111111111114</v>
      </c>
      <c r="X106" s="849">
        <f>(1-X103)*X104</f>
        <v>100.55111111111114</v>
      </c>
      <c r="Y106" s="849">
        <f>(1-Y103)*Y104</f>
        <v>100.55111111111114</v>
      </c>
      <c r="Z106" s="849">
        <f>(1-Z103)*Z104</f>
        <v>100.55111111111114</v>
      </c>
      <c r="AA106" s="849">
        <f>(1-AA103)*AA104</f>
        <v>100.55111111111114</v>
      </c>
    </row>
    <row r="107" spans="2:27">
      <c r="B107" s="685" t="s">
        <v>3281</v>
      </c>
      <c r="N107" s="849"/>
      <c r="O107" s="849">
        <f t="shared" ref="O107:V107" si="91">O106*AVERAGE(N68,O68)*12/1000</f>
        <v>0</v>
      </c>
      <c r="P107" s="849">
        <f t="shared" si="91"/>
        <v>243.70783255813964</v>
      </c>
      <c r="Q107" s="849">
        <f t="shared" si="91"/>
        <v>601.1781465168541</v>
      </c>
      <c r="R107" s="849">
        <f t="shared" si="91"/>
        <v>712.6142511786669</v>
      </c>
      <c r="S107" s="849">
        <f t="shared" si="91"/>
        <v>660.02714624000032</v>
      </c>
      <c r="T107" s="849">
        <f t="shared" si="91"/>
        <v>557.6402131626669</v>
      </c>
      <c r="U107" s="849">
        <f t="shared" si="91"/>
        <v>485.14447086933353</v>
      </c>
      <c r="V107" s="849">
        <f t="shared" si="91"/>
        <v>461.01220420266685</v>
      </c>
      <c r="W107" s="849">
        <f>W106*AVERAGE(V68,W68)*12/1000</f>
        <v>436.87993753600023</v>
      </c>
      <c r="X107" s="849">
        <f>X106*AVERAGE(W68,X68)*12/1000</f>
        <v>412.74767086933355</v>
      </c>
      <c r="Y107" s="849">
        <f>Y106*AVERAGE(X68,Y68)*12/1000</f>
        <v>388.61540420266687</v>
      </c>
      <c r="Z107" s="849">
        <f>Z106*AVERAGE(Y68,Z68)*12/1000</f>
        <v>364.48313753600024</v>
      </c>
      <c r="AA107" s="849">
        <f>AA106*AVERAGE(Z68,AA68)*12/1000</f>
        <v>340.35087086933351</v>
      </c>
    </row>
    <row r="108" spans="2:27">
      <c r="O108" s="807"/>
      <c r="P108" s="807"/>
      <c r="Q108" s="807"/>
      <c r="R108" s="807"/>
      <c r="S108" s="807"/>
      <c r="T108" s="807"/>
      <c r="U108" s="807"/>
      <c r="V108" s="807"/>
      <c r="W108" s="807"/>
      <c r="X108" s="807"/>
      <c r="Y108" s="807"/>
      <c r="Z108" s="807"/>
      <c r="AA108" s="807"/>
    </row>
    <row r="109" spans="2:27">
      <c r="B109" s="685" t="s">
        <v>3284</v>
      </c>
      <c r="N109" s="849"/>
      <c r="O109" s="849">
        <f t="shared" ref="O109:V109" si="92">O84-O101-O107</f>
        <v>0</v>
      </c>
      <c r="P109" s="849">
        <f t="shared" si="92"/>
        <v>91.157759999999968</v>
      </c>
      <c r="Q109" s="849">
        <f t="shared" si="92"/>
        <v>274.48416647191004</v>
      </c>
      <c r="R109" s="849">
        <f t="shared" si="92"/>
        <v>344.96778990933319</v>
      </c>
      <c r="S109" s="849">
        <f t="shared" si="92"/>
        <v>319.51101951999988</v>
      </c>
      <c r="T109" s="849">
        <f t="shared" si="92"/>
        <v>269.94676514133346</v>
      </c>
      <c r="U109" s="849">
        <f t="shared" si="92"/>
        <v>234.85246839466652</v>
      </c>
      <c r="V109" s="849">
        <f t="shared" si="92"/>
        <v>223.17033506133345</v>
      </c>
      <c r="W109" s="849">
        <f>W84-W101-W107</f>
        <v>211.48820172799986</v>
      </c>
      <c r="X109" s="849">
        <f>X84-X101-X107</f>
        <v>199.80606839466668</v>
      </c>
      <c r="Y109" s="849">
        <f>Y84-Y101-Y107</f>
        <v>188.1239350613335</v>
      </c>
      <c r="Z109" s="849">
        <f>Z84-Z101-Z107</f>
        <v>176.44180172799992</v>
      </c>
      <c r="AA109" s="849">
        <f>AA84-AA101-AA107</f>
        <v>164.75966839466656</v>
      </c>
    </row>
    <row r="110" spans="2:27">
      <c r="B110" s="685" t="s">
        <v>158</v>
      </c>
      <c r="N110" s="807"/>
      <c r="O110" s="807" t="e">
        <f t="shared" ref="O110:V110" si="93">O109/O84</f>
        <v>#DIV/0!</v>
      </c>
      <c r="P110" s="807">
        <f t="shared" si="93"/>
        <v>0.15809768637532123</v>
      </c>
      <c r="Q110" s="807">
        <f t="shared" si="93"/>
        <v>0.18647641604806325</v>
      </c>
      <c r="R110" s="807">
        <f t="shared" si="93"/>
        <v>0.1955155669808625</v>
      </c>
      <c r="S110" s="807">
        <f t="shared" si="93"/>
        <v>0.1955155669808625</v>
      </c>
      <c r="T110" s="807">
        <f t="shared" si="93"/>
        <v>0.19551556698086264</v>
      </c>
      <c r="U110" s="807">
        <f t="shared" si="93"/>
        <v>0.19551556698086245</v>
      </c>
      <c r="V110" s="807">
        <f t="shared" si="93"/>
        <v>0.19551556698086264</v>
      </c>
      <c r="W110" s="807">
        <f>W109/W84</f>
        <v>0.19551556698086245</v>
      </c>
      <c r="X110" s="807">
        <f>X109/X84</f>
        <v>0.19551556698086253</v>
      </c>
      <c r="Y110" s="807">
        <f>Y109/Y84</f>
        <v>0.1955155669808627</v>
      </c>
      <c r="Z110" s="807">
        <f>Z109/Z84</f>
        <v>0.19551556698086245</v>
      </c>
      <c r="AA110" s="807">
        <f>AA109/AA84</f>
        <v>0.19551556698086245</v>
      </c>
    </row>
    <row r="111" spans="2:27">
      <c r="N111" s="849"/>
      <c r="O111" s="849"/>
      <c r="P111" s="849"/>
      <c r="Q111" s="849"/>
      <c r="R111" s="849"/>
      <c r="S111" s="849"/>
      <c r="T111" s="849"/>
      <c r="U111" s="849"/>
      <c r="V111" s="849"/>
      <c r="W111" s="849"/>
      <c r="X111" s="849"/>
      <c r="Y111" s="849"/>
      <c r="Z111" s="849"/>
      <c r="AA111" s="849"/>
    </row>
    <row r="112" spans="2:27">
      <c r="B112" s="685" t="s">
        <v>3204</v>
      </c>
      <c r="N112" s="1002">
        <v>66</v>
      </c>
      <c r="O112" s="849">
        <f>N112</f>
        <v>66</v>
      </c>
      <c r="P112" s="849">
        <f t="shared" ref="P112:V112" si="94">O112</f>
        <v>66</v>
      </c>
      <c r="Q112" s="849">
        <f t="shared" si="94"/>
        <v>66</v>
      </c>
      <c r="R112" s="849">
        <f t="shared" si="94"/>
        <v>66</v>
      </c>
      <c r="S112" s="849">
        <f t="shared" si="94"/>
        <v>66</v>
      </c>
      <c r="T112" s="849">
        <f t="shared" si="94"/>
        <v>66</v>
      </c>
      <c r="U112" s="849">
        <f t="shared" si="94"/>
        <v>66</v>
      </c>
      <c r="V112" s="849">
        <f t="shared" si="94"/>
        <v>66</v>
      </c>
      <c r="W112" s="849">
        <f>V112</f>
        <v>66</v>
      </c>
      <c r="X112" s="849">
        <f>W112</f>
        <v>66</v>
      </c>
      <c r="Y112" s="849">
        <f>X112</f>
        <v>66</v>
      </c>
      <c r="Z112" s="849">
        <f>Y112</f>
        <v>66</v>
      </c>
      <c r="AA112" s="849">
        <f>Z112</f>
        <v>66</v>
      </c>
    </row>
    <row r="113" spans="2:42">
      <c r="B113" s="685" t="s">
        <v>3202</v>
      </c>
      <c r="N113" s="863">
        <f t="shared" ref="N113:V113" si="95">(N78-N112)/N78</f>
        <v>0.78791773778920315</v>
      </c>
      <c r="O113" s="863">
        <f t="shared" si="95"/>
        <v>0.77996465295629824</v>
      </c>
      <c r="P113" s="863">
        <f t="shared" si="95"/>
        <v>0.77201156812339333</v>
      </c>
      <c r="Q113" s="863">
        <f t="shared" si="95"/>
        <v>0.76405848329048842</v>
      </c>
      <c r="R113" s="863">
        <f t="shared" si="95"/>
        <v>0.76140745501285345</v>
      </c>
      <c r="S113" s="863">
        <f t="shared" si="95"/>
        <v>0.76140745501285345</v>
      </c>
      <c r="T113" s="863">
        <f t="shared" si="95"/>
        <v>0.76140745501285345</v>
      </c>
      <c r="U113" s="863">
        <f t="shared" si="95"/>
        <v>0.76140745501285345</v>
      </c>
      <c r="V113" s="863">
        <f t="shared" si="95"/>
        <v>0.76140745501285345</v>
      </c>
      <c r="W113" s="863">
        <f>(W78-W112)/W78</f>
        <v>0.76140745501285345</v>
      </c>
      <c r="X113" s="863">
        <f>(X78-X112)/X78</f>
        <v>0.76140745501285345</v>
      </c>
      <c r="Y113" s="863">
        <f>(Y78-Y112)/Y78</f>
        <v>0.76140745501285345</v>
      </c>
      <c r="Z113" s="863">
        <f>(Z78-Z112)/Z78</f>
        <v>0.76140745501285345</v>
      </c>
      <c r="AA113" s="863">
        <f>(AA78-AA112)/AA78</f>
        <v>0.76140745501285345</v>
      </c>
    </row>
    <row r="114" spans="2:42">
      <c r="B114" s="685" t="s">
        <v>3203</v>
      </c>
      <c r="N114" s="1040">
        <f t="shared" ref="N114:V114" si="96">N112*12*(N70+M70)/2/1000</f>
        <v>0</v>
      </c>
      <c r="O114" s="1040">
        <f t="shared" si="96"/>
        <v>0</v>
      </c>
      <c r="P114" s="1040">
        <f t="shared" si="96"/>
        <v>0</v>
      </c>
      <c r="Q114" s="1040">
        <f t="shared" si="96"/>
        <v>26.37360000000001</v>
      </c>
      <c r="R114" s="1040">
        <f t="shared" si="96"/>
        <v>83.969899200000015</v>
      </c>
      <c r="S114" s="1040">
        <f t="shared" si="96"/>
        <v>108.30758400000001</v>
      </c>
      <c r="T114" s="1040">
        <f t="shared" si="96"/>
        <v>91.506333600000005</v>
      </c>
      <c r="U114" s="1040">
        <f t="shared" si="96"/>
        <v>79.610097599999975</v>
      </c>
      <c r="V114" s="1040">
        <f t="shared" si="96"/>
        <v>75.650097599999981</v>
      </c>
      <c r="W114" s="1040">
        <f>W112*12*(W70+V70)/2/1000</f>
        <v>71.690097599999973</v>
      </c>
      <c r="X114" s="1040">
        <f>X112*12*(X70+W70)/2/1000</f>
        <v>67.730097599999979</v>
      </c>
      <c r="Y114" s="1040">
        <f>Y112*12*(Y70+X70)/2/1000</f>
        <v>63.770097599999971</v>
      </c>
      <c r="Z114" s="1040">
        <f>Z112*12*(Z70+Y70)/2/1000</f>
        <v>59.810097599999992</v>
      </c>
      <c r="AA114" s="1040">
        <f>AA112*12*(AA70+Z70)/2/1000</f>
        <v>55.850097600000012</v>
      </c>
      <c r="AM114" s="874">
        <v>2023</v>
      </c>
    </row>
    <row r="115" spans="2:42">
      <c r="B115" s="685" t="s">
        <v>3206</v>
      </c>
      <c r="N115" s="1002">
        <f>7*20</f>
        <v>140</v>
      </c>
      <c r="O115" s="849">
        <f t="shared" ref="O115:V115" si="97">N115*0.9</f>
        <v>126</v>
      </c>
      <c r="P115" s="849">
        <f t="shared" si="97"/>
        <v>113.4</v>
      </c>
      <c r="Q115" s="849">
        <f t="shared" si="97"/>
        <v>102.06</v>
      </c>
      <c r="R115" s="849">
        <f t="shared" si="97"/>
        <v>91.853999999999999</v>
      </c>
      <c r="S115" s="849">
        <f t="shared" si="97"/>
        <v>82.668599999999998</v>
      </c>
      <c r="T115" s="849">
        <f t="shared" si="97"/>
        <v>74.401740000000004</v>
      </c>
      <c r="U115" s="849">
        <f t="shared" si="97"/>
        <v>66.961566000000005</v>
      </c>
      <c r="V115" s="849">
        <f t="shared" si="97"/>
        <v>60.265409400000003</v>
      </c>
      <c r="W115" s="849">
        <f>V115*0.9</f>
        <v>54.238868460000006</v>
      </c>
      <c r="X115" s="849">
        <f>W115*0.9</f>
        <v>48.814981614000004</v>
      </c>
      <c r="Y115" s="849">
        <f>X115*0.9</f>
        <v>43.933483452600008</v>
      </c>
      <c r="Z115" s="849">
        <f>Y115*0.9</f>
        <v>39.540135107340006</v>
      </c>
      <c r="AA115" s="849">
        <f>Z115*0.9</f>
        <v>35.586121596606006</v>
      </c>
      <c r="AL115" s="1597" t="s">
        <v>7695</v>
      </c>
      <c r="AM115" s="1598">
        <f>-(T125-T90)</f>
        <v>11433.341593122372</v>
      </c>
    </row>
    <row r="116" spans="2:42">
      <c r="B116" s="685" t="s">
        <v>3205</v>
      </c>
      <c r="N116" s="1040">
        <f t="shared" ref="N116:V116" si="98">N115*12*(N70+M70)/2/1000</f>
        <v>0</v>
      </c>
      <c r="O116" s="1040">
        <f t="shared" si="98"/>
        <v>0</v>
      </c>
      <c r="P116" s="1040">
        <f t="shared" si="98"/>
        <v>0</v>
      </c>
      <c r="Q116" s="1040">
        <f t="shared" si="98"/>
        <v>40.783176000000012</v>
      </c>
      <c r="R116" s="1040">
        <f t="shared" si="98"/>
        <v>116.86319880480002</v>
      </c>
      <c r="S116" s="1040">
        <f t="shared" si="98"/>
        <v>135.6611566464</v>
      </c>
      <c r="T116" s="1040">
        <f t="shared" si="98"/>
        <v>103.15500667970399</v>
      </c>
      <c r="U116" s="1040">
        <f t="shared" si="98"/>
        <v>80.769951586497584</v>
      </c>
      <c r="V116" s="1040">
        <f t="shared" si="98"/>
        <v>69.077031863847822</v>
      </c>
      <c r="W116" s="1040">
        <f>W115*12*(W70+V70)/2/1000</f>
        <v>58.91499656986305</v>
      </c>
      <c r="X116" s="1040">
        <f>X115*12*(X70+W70)/2/1000</f>
        <v>50.094598016036734</v>
      </c>
      <c r="Y116" s="1040">
        <f>Y115*12*(Y70+X70)/2/1000</f>
        <v>42.449129207277068</v>
      </c>
      <c r="Z116" s="1040">
        <f>Z115*12*(Z70+Y70)/2/1000</f>
        <v>35.831808180108972</v>
      </c>
      <c r="AA116" s="1040">
        <f>AA115*12*(AA70+Z70)/2/1000</f>
        <v>30.113460066301727</v>
      </c>
      <c r="AL116" s="685" t="s">
        <v>7696</v>
      </c>
      <c r="AM116" s="848">
        <f>T128</f>
        <v>2640.8399999999997</v>
      </c>
    </row>
    <row r="117" spans="2:42">
      <c r="B117" s="685" t="s">
        <v>3158</v>
      </c>
      <c r="N117" s="849">
        <f t="shared" ref="N117:V117" si="99">N85-N114-N116</f>
        <v>0</v>
      </c>
      <c r="O117" s="849">
        <f t="shared" si="99"/>
        <v>0</v>
      </c>
      <c r="P117" s="849">
        <f t="shared" si="99"/>
        <v>0</v>
      </c>
      <c r="Q117" s="849">
        <f t="shared" si="99"/>
        <v>32.327640000000031</v>
      </c>
      <c r="R117" s="849">
        <f t="shared" si="99"/>
        <v>115.91153994720003</v>
      </c>
      <c r="S117" s="849">
        <f t="shared" si="99"/>
        <v>164.58059439360005</v>
      </c>
      <c r="T117" s="849">
        <f t="shared" si="99"/>
        <v>150.51164173629604</v>
      </c>
      <c r="U117" s="849">
        <f t="shared" si="99"/>
        <v>139.91888866950234</v>
      </c>
      <c r="V117" s="849">
        <f t="shared" si="99"/>
        <v>140.63420839215212</v>
      </c>
      <c r="W117" s="849">
        <f>W85-W114-W116</f>
        <v>139.81864368613691</v>
      </c>
      <c r="X117" s="849">
        <f>X85-X114-X116</f>
        <v>137.66144223996321</v>
      </c>
      <c r="Y117" s="849">
        <f>Y85-Y114-Y116</f>
        <v>134.3293110487229</v>
      </c>
      <c r="Z117" s="849">
        <f>Z85-Z114-Z116</f>
        <v>129.96903207589105</v>
      </c>
      <c r="AA117" s="849">
        <f>AA85-AA114-AA116</f>
        <v>124.70978018969835</v>
      </c>
      <c r="AL117" s="1597" t="s">
        <v>7692</v>
      </c>
      <c r="AM117" s="1598">
        <f>AM115+AM116</f>
        <v>14074.181593122372</v>
      </c>
    </row>
    <row r="118" spans="2:42">
      <c r="B118" s="685" t="s">
        <v>3157</v>
      </c>
      <c r="N118" s="807"/>
      <c r="O118" s="807" t="e">
        <f t="shared" ref="O118:V118" si="100">O117/O85</f>
        <v>#DIV/0!</v>
      </c>
      <c r="P118" s="807" t="e">
        <f t="shared" si="100"/>
        <v>#DIV/0!</v>
      </c>
      <c r="Q118" s="807">
        <f t="shared" si="100"/>
        <v>0.32495179948586134</v>
      </c>
      <c r="R118" s="807">
        <f t="shared" si="100"/>
        <v>0.36594633676092547</v>
      </c>
      <c r="S118" s="807">
        <f t="shared" si="100"/>
        <v>0.40284142030848336</v>
      </c>
      <c r="T118" s="807">
        <f t="shared" si="100"/>
        <v>0.43604699550128539</v>
      </c>
      <c r="U118" s="807">
        <f t="shared" si="100"/>
        <v>0.46593201317480715</v>
      </c>
      <c r="V118" s="807">
        <f t="shared" si="100"/>
        <v>0.49282852908097685</v>
      </c>
      <c r="W118" s="807">
        <f>W117/W85</f>
        <v>0.51703539339652949</v>
      </c>
      <c r="X118" s="807">
        <f>X117/X85</f>
        <v>0.53882157128052699</v>
      </c>
      <c r="Y118" s="807">
        <f>Y117/Y85</f>
        <v>0.55842913137612482</v>
      </c>
      <c r="Z118" s="807">
        <f>Z117/Z85</f>
        <v>0.57607593546216274</v>
      </c>
      <c r="AA118" s="807">
        <f>AA117/AA85</f>
        <v>0.59195805913959676</v>
      </c>
      <c r="AL118" s="1644">
        <v>0.15</v>
      </c>
      <c r="AM118" s="848">
        <f>AL118*AM117</f>
        <v>2111.1272389683559</v>
      </c>
    </row>
    <row r="119" spans="2:42">
      <c r="N119" s="807"/>
      <c r="O119" s="807"/>
      <c r="P119" s="807"/>
      <c r="Q119" s="807"/>
      <c r="R119" s="807"/>
      <c r="S119" s="807"/>
      <c r="T119" s="807"/>
      <c r="U119" s="807"/>
      <c r="V119" s="807"/>
      <c r="W119" s="807"/>
      <c r="X119" s="807"/>
      <c r="Y119" s="807"/>
      <c r="Z119" s="807"/>
      <c r="AA119" s="807"/>
      <c r="AL119" s="685" t="s">
        <v>7693</v>
      </c>
      <c r="AM119" s="848">
        <f>28%*AM118</f>
        <v>591.11562691113966</v>
      </c>
    </row>
    <row r="120" spans="2:42">
      <c r="B120" s="874" t="s">
        <v>3211</v>
      </c>
      <c r="C120" s="874"/>
      <c r="D120" s="874"/>
      <c r="E120" s="874"/>
      <c r="F120" s="874"/>
      <c r="G120" s="874"/>
      <c r="H120" s="874"/>
      <c r="I120" s="874"/>
      <c r="J120" s="874"/>
      <c r="K120" s="874"/>
      <c r="L120" s="874"/>
      <c r="M120" s="874"/>
      <c r="N120" s="1005"/>
      <c r="O120" s="1005">
        <f t="shared" ref="O120:U120" si="101">O109+O117</f>
        <v>0</v>
      </c>
      <c r="P120" s="1005">
        <f t="shared" si="101"/>
        <v>91.157759999999968</v>
      </c>
      <c r="Q120" s="1005">
        <f t="shared" si="101"/>
        <v>306.81180647191007</v>
      </c>
      <c r="R120" s="1005">
        <f t="shared" si="101"/>
        <v>460.87932985653322</v>
      </c>
      <c r="S120" s="1005">
        <f t="shared" si="101"/>
        <v>484.09161391359993</v>
      </c>
      <c r="T120" s="1005">
        <f t="shared" si="101"/>
        <v>420.4584068776295</v>
      </c>
      <c r="U120" s="1005">
        <f t="shared" si="101"/>
        <v>374.77135706416885</v>
      </c>
      <c r="V120" s="1005">
        <f t="shared" ref="V120:AA120" si="102">V109+V117</f>
        <v>363.80454345348556</v>
      </c>
      <c r="W120" s="1005">
        <f t="shared" si="102"/>
        <v>351.30684541413677</v>
      </c>
      <c r="X120" s="1005">
        <f t="shared" si="102"/>
        <v>337.46751063462989</v>
      </c>
      <c r="Y120" s="1005">
        <f t="shared" si="102"/>
        <v>322.4532461100564</v>
      </c>
      <c r="Z120" s="1005">
        <f t="shared" si="102"/>
        <v>306.41083380389097</v>
      </c>
      <c r="AA120" s="1005">
        <f t="shared" si="102"/>
        <v>289.4694485843649</v>
      </c>
      <c r="AL120" s="685" t="s">
        <v>7694</v>
      </c>
      <c r="AM120" s="848">
        <f>AM118-AM119</f>
        <v>1520.0116120572161</v>
      </c>
    </row>
    <row r="121" spans="2:42">
      <c r="B121" s="874" t="s">
        <v>3212</v>
      </c>
      <c r="C121" s="874"/>
      <c r="D121" s="874"/>
      <c r="E121" s="874"/>
      <c r="F121" s="874"/>
      <c r="G121" s="874"/>
      <c r="H121" s="874"/>
      <c r="I121" s="874"/>
      <c r="J121" s="874"/>
      <c r="K121" s="874"/>
      <c r="L121" s="874"/>
      <c r="M121" s="874"/>
      <c r="N121" s="996"/>
      <c r="O121" s="996" t="e">
        <f t="shared" ref="O121:V121" si="103">O120/O86</f>
        <v>#DIV/0!</v>
      </c>
      <c r="P121" s="996">
        <f t="shared" si="103"/>
        <v>0.15809768637532123</v>
      </c>
      <c r="Q121" s="996">
        <f t="shared" si="103"/>
        <v>0.19524301351665388</v>
      </c>
      <c r="R121" s="996">
        <f t="shared" si="103"/>
        <v>0.2214546656369078</v>
      </c>
      <c r="S121" s="996">
        <f t="shared" si="103"/>
        <v>0.23698073764638666</v>
      </c>
      <c r="T121" s="996">
        <f t="shared" si="103"/>
        <v>0.24362185268494721</v>
      </c>
      <c r="U121" s="996">
        <f t="shared" si="103"/>
        <v>0.2495988562196513</v>
      </c>
      <c r="V121" s="996">
        <f t="shared" si="103"/>
        <v>0.25497815940088542</v>
      </c>
      <c r="W121" s="996">
        <f>W120/W86</f>
        <v>0.25981953226399579</v>
      </c>
      <c r="X121" s="996">
        <f>X120/X86</f>
        <v>0.26417676784079536</v>
      </c>
      <c r="Y121" s="996">
        <f>Y120/Y86</f>
        <v>0.26809827985991502</v>
      </c>
      <c r="Z121" s="996">
        <f>Z120/Z86</f>
        <v>0.27162764067712242</v>
      </c>
      <c r="AA121" s="996">
        <f>AA120/AA86</f>
        <v>0.27480406541260921</v>
      </c>
      <c r="AL121" s="685" t="s">
        <v>7697</v>
      </c>
      <c r="AM121" s="685">
        <v>0</v>
      </c>
    </row>
    <row r="122" spans="2:42">
      <c r="B122" s="685" t="s">
        <v>3238</v>
      </c>
      <c r="C122" s="874"/>
      <c r="D122" s="874"/>
      <c r="E122" s="874"/>
      <c r="F122" s="874"/>
      <c r="G122" s="874"/>
      <c r="H122" s="874"/>
      <c r="I122" s="874"/>
      <c r="J122" s="874"/>
      <c r="K122" s="874"/>
      <c r="L122" s="874"/>
      <c r="M122" s="874"/>
      <c r="N122" s="807"/>
      <c r="O122" s="807">
        <f t="shared" ref="O122:V122" si="104">O120/O93</f>
        <v>0</v>
      </c>
      <c r="P122" s="807">
        <f t="shared" si="104"/>
        <v>9.9942725578335678E-3</v>
      </c>
      <c r="Q122" s="807">
        <f t="shared" si="104"/>
        <v>3.3583463568807342E-2</v>
      </c>
      <c r="R122" s="807">
        <f t="shared" si="104"/>
        <v>5.4194319260663343E-2</v>
      </c>
      <c r="S122" s="807">
        <f t="shared" si="104"/>
        <v>7.5446807429418367E-2</v>
      </c>
      <c r="T122" s="807">
        <f t="shared" si="104"/>
        <v>7.3360506486657623E-2</v>
      </c>
      <c r="U122" s="807">
        <f t="shared" si="104"/>
        <v>8.2403947616808651E-2</v>
      </c>
      <c r="V122" s="807">
        <f t="shared" si="104"/>
        <v>7.9683728262820636E-2</v>
      </c>
      <c r="W122" s="807">
        <f>W120/W93</f>
        <v>8.2804496392509822E-2</v>
      </c>
      <c r="X122" s="807">
        <f>X120/X93</f>
        <v>8.4960581727763052E-2</v>
      </c>
      <c r="Y122" s="807">
        <f>Y120/Y93</f>
        <v>8.6767481973898816E-2</v>
      </c>
      <c r="Z122" s="807">
        <f>Z120/Z93</f>
        <v>8.8185426640065553E-2</v>
      </c>
      <c r="AA122" s="807">
        <f>AA120/AA93</f>
        <v>8.916769110953196E-2</v>
      </c>
      <c r="AP122" s="685">
        <v>400</v>
      </c>
    </row>
    <row r="123" spans="2:42">
      <c r="B123" s="685" t="s">
        <v>3265</v>
      </c>
      <c r="C123" s="874"/>
      <c r="D123" s="874"/>
      <c r="E123" s="874"/>
      <c r="F123" s="874"/>
      <c r="G123" s="874"/>
      <c r="H123" s="874"/>
      <c r="I123" s="874"/>
      <c r="J123" s="874"/>
      <c r="K123" s="874"/>
      <c r="L123" s="874"/>
      <c r="M123" s="874"/>
      <c r="N123" s="807"/>
      <c r="O123" s="807"/>
      <c r="P123" s="807"/>
      <c r="Q123" s="807"/>
      <c r="R123" s="807"/>
      <c r="S123" s="807"/>
      <c r="T123" s="807"/>
      <c r="U123" s="807"/>
      <c r="V123" s="807">
        <f>V120/(Master!X73-'SKY Mex'!V120)</f>
        <v>1.729265149446808E-2</v>
      </c>
      <c r="W123" s="807">
        <f>W120/(Master!Y73-'SKY Mex'!W120)</f>
        <v>1.6677633499657195E-2</v>
      </c>
      <c r="X123" s="807">
        <f>X120/(Master!Z73-'SKY Mex'!X120)</f>
        <v>1.5885726356955641E-2</v>
      </c>
      <c r="Y123" s="807">
        <f>Y120/(Master!AA73-'SKY Mex'!Y120)</f>
        <v>1.4934299222395597E-2</v>
      </c>
      <c r="Z123" s="807">
        <f>Z120/(Master!AB73-'SKY Mex'!Z120)</f>
        <v>1.3913477735560223E-2</v>
      </c>
      <c r="AA123" s="807">
        <f>AA120/(Master!AC73-'SKY Mex'!AA120)</f>
        <v>1.2870502555516299E-2</v>
      </c>
    </row>
    <row r="124" spans="2:42">
      <c r="N124" s="807"/>
      <c r="O124" s="807"/>
      <c r="P124" s="807"/>
      <c r="Q124" s="807"/>
      <c r="R124" s="807"/>
      <c r="S124" s="807"/>
      <c r="T124" s="807"/>
      <c r="U124" s="807"/>
      <c r="V124" s="807"/>
      <c r="W124" s="807"/>
      <c r="X124" s="807"/>
      <c r="Y124" s="807"/>
      <c r="Z124" s="807"/>
      <c r="AA124" s="807"/>
      <c r="AL124" s="685" t="s">
        <v>457</v>
      </c>
      <c r="AM124" s="869">
        <v>0.1</v>
      </c>
    </row>
    <row r="125" spans="2:42">
      <c r="B125" s="997" t="s">
        <v>3160</v>
      </c>
      <c r="C125" s="997"/>
      <c r="D125" s="997"/>
      <c r="E125" s="997"/>
      <c r="F125" s="997"/>
      <c r="G125" s="997"/>
      <c r="H125" s="997"/>
      <c r="I125" s="997"/>
      <c r="J125" s="997"/>
      <c r="K125" s="997"/>
      <c r="L125" s="997"/>
      <c r="M125" s="997"/>
      <c r="N125" s="1039"/>
      <c r="O125" s="1039">
        <f t="shared" ref="O125:V125" si="105">O93+O120</f>
        <v>9767</v>
      </c>
      <c r="P125" s="1039">
        <f t="shared" si="105"/>
        <v>9212.1577600000001</v>
      </c>
      <c r="Q125" s="1039">
        <f t="shared" si="105"/>
        <v>9442.6118064719085</v>
      </c>
      <c r="R125" s="1039">
        <f t="shared" si="105"/>
        <v>8965.0793298565331</v>
      </c>
      <c r="S125" s="1039">
        <f>S93+S120</f>
        <v>6900.4216139135997</v>
      </c>
      <c r="T125" s="1039">
        <f>T93+T120</f>
        <v>6151.858406877629</v>
      </c>
      <c r="U125" s="1039">
        <f>U93+U120</f>
        <v>4922.7495535325561</v>
      </c>
      <c r="V125" s="1039">
        <f t="shared" si="105"/>
        <v>4929.4109901492266</v>
      </c>
      <c r="W125" s="1039">
        <f>W93+W120</f>
        <v>4593.9127511233182</v>
      </c>
      <c r="X125" s="1039">
        <f>X93+X120</f>
        <v>4309.5155330454008</v>
      </c>
      <c r="Y125" s="1039">
        <f>Y93+Y120</f>
        <v>4038.7446351704884</v>
      </c>
      <c r="Z125" s="1039">
        <f>Z93+Z120</f>
        <v>3781.0306828921803</v>
      </c>
      <c r="AA125" s="1039">
        <f>AA93+AA120</f>
        <v>3535.8184902881126</v>
      </c>
      <c r="AL125" s="685" t="s">
        <v>467</v>
      </c>
      <c r="AM125" s="869">
        <v>0</v>
      </c>
    </row>
    <row r="126" spans="2:42">
      <c r="B126" s="874" t="s">
        <v>3244</v>
      </c>
      <c r="C126" s="874"/>
      <c r="D126" s="874"/>
      <c r="E126" s="874"/>
      <c r="F126" s="874"/>
      <c r="G126" s="874"/>
      <c r="H126" s="874"/>
      <c r="I126" s="874"/>
      <c r="J126" s="874"/>
      <c r="K126" s="874"/>
      <c r="L126" s="874"/>
      <c r="M126" s="874"/>
      <c r="N126" s="1027"/>
      <c r="O126" s="1027">
        <f t="shared" ref="O126:V126" si="106">O125/O90</f>
        <v>0.44391418961912554</v>
      </c>
      <c r="P126" s="1027">
        <f t="shared" si="106"/>
        <v>0.43154343748536095</v>
      </c>
      <c r="Q126" s="1027">
        <f t="shared" si="106"/>
        <v>0.42659768627864431</v>
      </c>
      <c r="R126" s="1027">
        <f t="shared" si="106"/>
        <v>0.40701149200768771</v>
      </c>
      <c r="S126" s="1027">
        <f t="shared" si="106"/>
        <v>0.33927044662537981</v>
      </c>
      <c r="T126" s="1027">
        <f t="shared" si="106"/>
        <v>0.34983158604267389</v>
      </c>
      <c r="U126" s="1027">
        <f t="shared" si="106"/>
        <v>0.31415821151645751</v>
      </c>
      <c r="V126" s="1027">
        <f t="shared" si="106"/>
        <v>0.34063132590914486</v>
      </c>
      <c r="W126" s="1027">
        <f>W125/W90</f>
        <v>0.33656204449827654</v>
      </c>
      <c r="X126" s="1027">
        <f>X125/X90</f>
        <v>0.33252627429009646</v>
      </c>
      <c r="Y126" s="1027">
        <f>Y125/Y90</f>
        <v>0.32845603656661654</v>
      </c>
      <c r="Z126" s="1027">
        <f>Z125/Z90</f>
        <v>0.32435137243976675</v>
      </c>
      <c r="AA126" s="1027">
        <f>AA125/AA90</f>
        <v>0.32021154784421013</v>
      </c>
      <c r="AL126" s="874" t="s">
        <v>307</v>
      </c>
      <c r="AM126" s="876">
        <f>AM120/(AM124-AM125)</f>
        <v>15200.11612057216</v>
      </c>
      <c r="AN126" s="685" t="s">
        <v>1250</v>
      </c>
      <c r="AP126" s="685">
        <f>AP122/(AM124-AM125)</f>
        <v>4000</v>
      </c>
    </row>
    <row r="128" spans="2:42">
      <c r="B128" s="685" t="s">
        <v>3239</v>
      </c>
      <c r="F128" s="848">
        <f>Master!H88</f>
        <v>1738.8000000000002</v>
      </c>
      <c r="G128" s="848">
        <f>Master!I88</f>
        <v>5519.31</v>
      </c>
      <c r="H128" s="848">
        <f>Master!J88</f>
        <v>3005.5039999999999</v>
      </c>
      <c r="I128" s="848">
        <f>Master!K88</f>
        <v>3842.7200000000003</v>
      </c>
      <c r="J128" s="848">
        <f>Master!L88</f>
        <v>5074.652</v>
      </c>
      <c r="K128" s="848">
        <f>Master!M88</f>
        <v>5174.9280000000008</v>
      </c>
      <c r="L128" s="848">
        <f>Master!N88</f>
        <v>5738.5919999999996</v>
      </c>
      <c r="M128" s="848">
        <f>Master!O88</f>
        <v>6533.4100000000008</v>
      </c>
      <c r="N128" s="848">
        <f>Master!P88</f>
        <v>3995.4599999999996</v>
      </c>
      <c r="O128" s="978">
        <f>Master!Q88</f>
        <v>4034.7999999999997</v>
      </c>
      <c r="P128" s="978">
        <f>Master!R88</f>
        <v>4025.1749999999997</v>
      </c>
      <c r="Q128" s="978">
        <f>Master!S88</f>
        <v>5374.2960000000003</v>
      </c>
      <c r="R128" s="978">
        <f>Master!T88</f>
        <v>4951.6956950725162</v>
      </c>
      <c r="S128" s="978">
        <f>Master!U88</f>
        <v>3883.241</v>
      </c>
      <c r="T128" s="978">
        <f>Master!V88</f>
        <v>2640.8399999999997</v>
      </c>
      <c r="U128" s="848">
        <f t="shared" ref="U128:AA128" si="107">U129*U61</f>
        <v>2266.9050200465481</v>
      </c>
      <c r="V128" s="848">
        <f t="shared" si="107"/>
        <v>1956.688477155318</v>
      </c>
      <c r="W128" s="848">
        <f t="shared" si="107"/>
        <v>1844.6112633518183</v>
      </c>
      <c r="X128" s="848">
        <f t="shared" si="107"/>
        <v>1752.3741275341638</v>
      </c>
      <c r="Y128" s="848">
        <f t="shared" si="107"/>
        <v>1664.0110697285515</v>
      </c>
      <c r="Z128" s="848">
        <f t="shared" si="107"/>
        <v>1579.3726586764953</v>
      </c>
      <c r="AA128" s="848">
        <f t="shared" si="107"/>
        <v>1498.3149423248069</v>
      </c>
      <c r="AL128" s="685" t="s">
        <v>1524</v>
      </c>
      <c r="AM128" s="685">
        <f>Interims!BT180</f>
        <v>16.97</v>
      </c>
    </row>
    <row r="129" spans="2:40">
      <c r="B129" s="685" t="s">
        <v>202</v>
      </c>
      <c r="F129" s="807">
        <f t="shared" ref="F129:T129" si="108">F128/F61</f>
        <v>0.17379136640313442</v>
      </c>
      <c r="G129" s="807">
        <f t="shared" si="108"/>
        <v>0.49068384274817306</v>
      </c>
      <c r="H129" s="807">
        <f t="shared" si="108"/>
        <v>0.24084107955638179</v>
      </c>
      <c r="I129" s="807">
        <f t="shared" si="108"/>
        <v>0.26564906604725763</v>
      </c>
      <c r="J129" s="807">
        <f t="shared" si="108"/>
        <v>0.31522906145369389</v>
      </c>
      <c r="K129" s="807">
        <f t="shared" si="108"/>
        <v>0.2957355201874447</v>
      </c>
      <c r="L129" s="807">
        <f t="shared" si="108"/>
        <v>0.29805448360038433</v>
      </c>
      <c r="M129" s="807">
        <f t="shared" si="108"/>
        <v>0.29776903724500031</v>
      </c>
      <c r="N129" s="807">
        <f t="shared" si="108"/>
        <v>0.18</v>
      </c>
      <c r="O129" s="807">
        <f t="shared" si="108"/>
        <v>0.18338332878829197</v>
      </c>
      <c r="P129" s="807">
        <f t="shared" si="108"/>
        <v>0.1937937317346877</v>
      </c>
      <c r="Q129" s="807">
        <f t="shared" si="108"/>
        <v>0.26135422248870477</v>
      </c>
      <c r="R129" s="807">
        <f t="shared" si="108"/>
        <v>0.24826186026057745</v>
      </c>
      <c r="S129" s="807">
        <f t="shared" si="108"/>
        <v>0.21224241548603767</v>
      </c>
      <c r="T129" s="807">
        <f t="shared" si="108"/>
        <v>0.16651643874266112</v>
      </c>
      <c r="U129" s="993">
        <v>0.16</v>
      </c>
      <c r="V129" s="993">
        <v>0.15</v>
      </c>
      <c r="W129" s="993">
        <v>0.15</v>
      </c>
      <c r="X129" s="993">
        <v>0.15</v>
      </c>
      <c r="Y129" s="993">
        <v>0.15</v>
      </c>
      <c r="Z129" s="993">
        <v>0.15</v>
      </c>
      <c r="AA129" s="993">
        <v>0.15</v>
      </c>
      <c r="AM129" s="685">
        <f>AM126/AM128</f>
        <v>895.70513379918452</v>
      </c>
      <c r="AN129" s="685" t="s">
        <v>7690</v>
      </c>
    </row>
    <row r="130" spans="2:40">
      <c r="B130" s="743" t="s">
        <v>619</v>
      </c>
      <c r="C130" s="743"/>
      <c r="D130" s="743"/>
      <c r="E130" s="743"/>
      <c r="F130" s="901"/>
      <c r="G130" s="901"/>
      <c r="H130" s="901"/>
      <c r="I130" s="988">
        <f>450*Valuation!H19</f>
        <v>5922</v>
      </c>
      <c r="J130" s="988">
        <f>70*Valuation!I19</f>
        <v>893.19999999999993</v>
      </c>
      <c r="K130" s="988">
        <f>100*Valuation!J19</f>
        <v>1331</v>
      </c>
      <c r="L130" s="988">
        <f>100*Valuation!K19</f>
        <v>1587</v>
      </c>
      <c r="M130" s="988">
        <v>0</v>
      </c>
      <c r="N130" s="988">
        <v>0</v>
      </c>
      <c r="O130" s="988">
        <v>0</v>
      </c>
      <c r="P130" s="988">
        <v>0</v>
      </c>
      <c r="Q130" s="988"/>
      <c r="R130" s="988"/>
      <c r="S130" s="988"/>
      <c r="T130" s="988"/>
      <c r="U130" s="988"/>
      <c r="V130" s="988"/>
      <c r="W130" s="988"/>
      <c r="X130" s="988"/>
      <c r="Y130" s="988"/>
      <c r="Z130" s="988"/>
      <c r="AA130" s="988"/>
      <c r="AL130" s="685" t="s">
        <v>7691</v>
      </c>
      <c r="AM130" s="808">
        <f>AM129/SOP!G29</f>
        <v>1.5621408615785659</v>
      </c>
    </row>
    <row r="131" spans="2:40">
      <c r="B131" s="685" t="s">
        <v>1056</v>
      </c>
      <c r="F131" s="848">
        <f>F128+F130</f>
        <v>1738.8000000000002</v>
      </c>
      <c r="G131" s="848">
        <f t="shared" ref="G131:N131" si="109">G128+G130</f>
        <v>5519.31</v>
      </c>
      <c r="H131" s="848">
        <f t="shared" si="109"/>
        <v>3005.5039999999999</v>
      </c>
      <c r="I131" s="848">
        <f t="shared" si="109"/>
        <v>9764.7200000000012</v>
      </c>
      <c r="J131" s="848">
        <f t="shared" si="109"/>
        <v>5967.8519999999999</v>
      </c>
      <c r="K131" s="848">
        <f t="shared" si="109"/>
        <v>6505.9280000000008</v>
      </c>
      <c r="L131" s="848">
        <f t="shared" si="109"/>
        <v>7325.5919999999996</v>
      </c>
      <c r="M131" s="848">
        <f t="shared" si="109"/>
        <v>6533.4100000000008</v>
      </c>
      <c r="N131" s="848">
        <f t="shared" si="109"/>
        <v>3995.4599999999996</v>
      </c>
      <c r="O131" s="848">
        <f>O147-O142</f>
        <v>4034.7999999999997</v>
      </c>
      <c r="P131" s="848">
        <f ca="1">P147-P142</f>
        <v>4106.9212841726621</v>
      </c>
      <c r="Q131" s="848">
        <f t="shared" ref="Q131:V131" si="110">Q128+Q130</f>
        <v>5374.2960000000003</v>
      </c>
      <c r="R131" s="848">
        <f t="shared" si="110"/>
        <v>4951.6956950725162</v>
      </c>
      <c r="S131" s="848">
        <f t="shared" si="110"/>
        <v>3883.241</v>
      </c>
      <c r="T131" s="848">
        <f t="shared" si="110"/>
        <v>2640.8399999999997</v>
      </c>
      <c r="U131" s="848">
        <f t="shared" si="110"/>
        <v>2266.9050200465481</v>
      </c>
      <c r="V131" s="848">
        <f t="shared" si="110"/>
        <v>1956.688477155318</v>
      </c>
      <c r="W131" s="848">
        <f>W128+W130</f>
        <v>1844.6112633518183</v>
      </c>
      <c r="X131" s="848">
        <f>X128+X130</f>
        <v>1752.3741275341638</v>
      </c>
      <c r="Y131" s="848">
        <f>Y128+Y130</f>
        <v>1664.0110697285515</v>
      </c>
      <c r="Z131" s="848">
        <f>Z128+Z130</f>
        <v>1579.3726586764953</v>
      </c>
      <c r="AA131" s="848">
        <f>AA128+AA130</f>
        <v>1498.3149423248069</v>
      </c>
    </row>
    <row r="133" spans="2:40">
      <c r="B133" s="685" t="s">
        <v>3269</v>
      </c>
      <c r="N133" s="1002">
        <f>100*20</f>
        <v>2000</v>
      </c>
      <c r="O133" s="849">
        <f>N133</f>
        <v>2000</v>
      </c>
      <c r="P133" s="849">
        <f t="shared" ref="P133:V133" si="111">O133</f>
        <v>2000</v>
      </c>
      <c r="Q133" s="849">
        <f t="shared" si="111"/>
        <v>2000</v>
      </c>
      <c r="R133" s="849">
        <f t="shared" si="111"/>
        <v>2000</v>
      </c>
      <c r="S133" s="849">
        <f t="shared" si="111"/>
        <v>2000</v>
      </c>
      <c r="T133" s="849">
        <f t="shared" si="111"/>
        <v>2000</v>
      </c>
      <c r="U133" s="849">
        <f t="shared" si="111"/>
        <v>2000</v>
      </c>
      <c r="V133" s="849">
        <f t="shared" si="111"/>
        <v>2000</v>
      </c>
      <c r="W133" s="849">
        <f>V133</f>
        <v>2000</v>
      </c>
      <c r="X133" s="849">
        <f>W133</f>
        <v>2000</v>
      </c>
      <c r="Y133" s="849">
        <f>X133</f>
        <v>2000</v>
      </c>
      <c r="Z133" s="849">
        <f>Y133</f>
        <v>2000</v>
      </c>
      <c r="AA133" s="849">
        <f>Z133</f>
        <v>2000</v>
      </c>
    </row>
    <row r="134" spans="2:40">
      <c r="B134" s="685" t="s">
        <v>3271</v>
      </c>
      <c r="N134" s="905">
        <f>+IF(N68-M68&gt;0,N68-M68,0)</f>
        <v>0</v>
      </c>
      <c r="O134" s="905">
        <f t="shared" ref="O134:V134" si="112">+IF(O68-N68&gt;0,O68-N68,0)</f>
        <v>0</v>
      </c>
      <c r="P134" s="905">
        <f t="shared" si="112"/>
        <v>386</v>
      </c>
      <c r="Q134" s="905">
        <f t="shared" si="112"/>
        <v>213.39999999999998</v>
      </c>
      <c r="R134" s="905">
        <f t="shared" si="112"/>
        <v>0</v>
      </c>
      <c r="S134" s="905">
        <f t="shared" si="112"/>
        <v>0</v>
      </c>
      <c r="T134" s="905">
        <f t="shared" si="112"/>
        <v>0</v>
      </c>
      <c r="U134" s="905">
        <f t="shared" si="112"/>
        <v>0</v>
      </c>
      <c r="V134" s="905">
        <f t="shared" si="112"/>
        <v>0</v>
      </c>
      <c r="W134" s="905">
        <f>+IF(W68-V68&gt;0,W68-V68,0)</f>
        <v>0</v>
      </c>
      <c r="X134" s="905">
        <f>+IF(X68-W68&gt;0,X68-W68,0)</f>
        <v>0</v>
      </c>
      <c r="Y134" s="905">
        <f>+IF(Y68-X68&gt;0,Y68-X68,0)</f>
        <v>0</v>
      </c>
      <c r="Z134" s="905">
        <f>+IF(Z68-Y68&gt;0,Z68-Y68,0)</f>
        <v>0</v>
      </c>
      <c r="AA134" s="905">
        <f>+IF(AA68-Z68&gt;0,AA68-Z68,0)</f>
        <v>0</v>
      </c>
    </row>
    <row r="135" spans="2:40">
      <c r="B135" s="874" t="s">
        <v>3272</v>
      </c>
      <c r="N135" s="1041">
        <f>N133*N134/1000</f>
        <v>0</v>
      </c>
      <c r="O135" s="1041">
        <f t="shared" ref="O135:V135" si="113">O133*O134/1000</f>
        <v>0</v>
      </c>
      <c r="P135" s="1041">
        <f t="shared" si="113"/>
        <v>772</v>
      </c>
      <c r="Q135" s="1041">
        <f t="shared" si="113"/>
        <v>426.79999999999995</v>
      </c>
      <c r="R135" s="1041">
        <f t="shared" si="113"/>
        <v>0</v>
      </c>
      <c r="S135" s="1041">
        <f t="shared" si="113"/>
        <v>0</v>
      </c>
      <c r="T135" s="1041">
        <f t="shared" si="113"/>
        <v>0</v>
      </c>
      <c r="U135" s="1041">
        <f t="shared" si="113"/>
        <v>0</v>
      </c>
      <c r="V135" s="1041">
        <f t="shared" si="113"/>
        <v>0</v>
      </c>
      <c r="W135" s="1041">
        <f>W133*W134/1000</f>
        <v>0</v>
      </c>
      <c r="X135" s="1041">
        <f>X133*X134/1000</f>
        <v>0</v>
      </c>
      <c r="Y135" s="1041">
        <f>Y133*Y134/1000</f>
        <v>0</v>
      </c>
      <c r="Z135" s="1041">
        <f>Z133*Z134/1000</f>
        <v>0</v>
      </c>
      <c r="AA135" s="1041">
        <f>AA133*AA134/1000</f>
        <v>0</v>
      </c>
    </row>
    <row r="137" spans="2:40">
      <c r="B137" s="685" t="s">
        <v>3270</v>
      </c>
      <c r="N137" s="1002">
        <f>150*20</f>
        <v>3000</v>
      </c>
      <c r="O137" s="849">
        <f>N137</f>
        <v>3000</v>
      </c>
      <c r="P137" s="849">
        <f t="shared" ref="P137:V137" si="114">O137</f>
        <v>3000</v>
      </c>
      <c r="Q137" s="849">
        <f t="shared" si="114"/>
        <v>3000</v>
      </c>
      <c r="R137" s="849">
        <f t="shared" si="114"/>
        <v>3000</v>
      </c>
      <c r="S137" s="849">
        <f t="shared" si="114"/>
        <v>3000</v>
      </c>
      <c r="T137" s="849">
        <f t="shared" si="114"/>
        <v>3000</v>
      </c>
      <c r="U137" s="849">
        <f t="shared" si="114"/>
        <v>3000</v>
      </c>
      <c r="V137" s="849">
        <f t="shared" si="114"/>
        <v>3000</v>
      </c>
      <c r="W137" s="849">
        <f>V137</f>
        <v>3000</v>
      </c>
      <c r="X137" s="849">
        <f>W137</f>
        <v>3000</v>
      </c>
      <c r="Y137" s="849">
        <f>X137</f>
        <v>3000</v>
      </c>
      <c r="Z137" s="849">
        <f>Y137</f>
        <v>3000</v>
      </c>
      <c r="AA137" s="849">
        <f>Z137</f>
        <v>3000</v>
      </c>
    </row>
    <row r="138" spans="2:40">
      <c r="B138" s="685" t="s">
        <v>3240</v>
      </c>
      <c r="N138" s="1042"/>
      <c r="O138" s="1043">
        <f t="shared" ref="O138:V138" si="115">O70-N70</f>
        <v>0</v>
      </c>
      <c r="P138" s="1043">
        <f t="shared" si="115"/>
        <v>0</v>
      </c>
      <c r="Q138" s="1043">
        <f t="shared" si="115"/>
        <v>66.600000000000023</v>
      </c>
      <c r="R138" s="1043">
        <f t="shared" si="115"/>
        <v>78.845199999999977</v>
      </c>
      <c r="S138" s="1043">
        <f t="shared" si="115"/>
        <v>-17.386399999999981</v>
      </c>
      <c r="T138" s="1043">
        <f t="shared" si="115"/>
        <v>-25.041000000000054</v>
      </c>
      <c r="U138" s="1043">
        <f t="shared" si="115"/>
        <v>-5</v>
      </c>
      <c r="V138" s="1043">
        <f t="shared" si="115"/>
        <v>-5</v>
      </c>
      <c r="W138" s="1043">
        <f>W70-V70</f>
        <v>-5</v>
      </c>
      <c r="X138" s="1043">
        <f>X70-W70</f>
        <v>-5</v>
      </c>
      <c r="Y138" s="1043">
        <f>Y70-X70</f>
        <v>-5</v>
      </c>
      <c r="Z138" s="1043">
        <f>Z70-Y70</f>
        <v>-4.9999999999999432</v>
      </c>
      <c r="AA138" s="1043">
        <f>AA70-Z70</f>
        <v>-5</v>
      </c>
    </row>
    <row r="139" spans="2:40">
      <c r="B139" s="874" t="s">
        <v>3286</v>
      </c>
      <c r="C139" s="874"/>
      <c r="D139" s="874"/>
      <c r="E139" s="874"/>
      <c r="F139" s="874"/>
      <c r="G139" s="874"/>
      <c r="H139" s="874"/>
      <c r="I139" s="874"/>
      <c r="J139" s="874"/>
      <c r="K139" s="874"/>
      <c r="L139" s="874"/>
      <c r="M139" s="874"/>
      <c r="N139" s="1044"/>
      <c r="O139" s="1041">
        <f t="shared" ref="O139:V139" si="116">O137*O138/1000</f>
        <v>0</v>
      </c>
      <c r="P139" s="1041">
        <f t="shared" si="116"/>
        <v>0</v>
      </c>
      <c r="Q139" s="1041">
        <f t="shared" si="116"/>
        <v>199.80000000000007</v>
      </c>
      <c r="R139" s="1041">
        <f t="shared" si="116"/>
        <v>236.53559999999993</v>
      </c>
      <c r="S139" s="1041">
        <f t="shared" si="116"/>
        <v>-52.159199999999942</v>
      </c>
      <c r="T139" s="1041">
        <f t="shared" si="116"/>
        <v>-75.123000000000161</v>
      </c>
      <c r="U139" s="1041">
        <f t="shared" si="116"/>
        <v>-15</v>
      </c>
      <c r="V139" s="1041">
        <f t="shared" si="116"/>
        <v>-15</v>
      </c>
      <c r="W139" s="1041">
        <f>W137*W138/1000</f>
        <v>-15</v>
      </c>
      <c r="X139" s="1041">
        <f>X137*X138/1000</f>
        <v>-15</v>
      </c>
      <c r="Y139" s="1041">
        <f>Y137*Y138/1000</f>
        <v>-15</v>
      </c>
      <c r="Z139" s="1041">
        <f>Z137*Z138/1000</f>
        <v>-14.999999999999829</v>
      </c>
      <c r="AA139" s="1041">
        <f>AA137*AA138/1000</f>
        <v>-15</v>
      </c>
    </row>
    <row r="140" spans="2:40">
      <c r="B140" s="685" t="s">
        <v>3241</v>
      </c>
      <c r="N140" s="869"/>
      <c r="O140" s="869" t="e">
        <f t="shared" ref="O140:V140" si="117">O139/O86</f>
        <v>#DIV/0!</v>
      </c>
      <c r="P140" s="869">
        <f t="shared" si="117"/>
        <v>0</v>
      </c>
      <c r="Q140" s="869">
        <f t="shared" si="117"/>
        <v>0.12714489233385792</v>
      </c>
      <c r="R140" s="869">
        <f t="shared" si="117"/>
        <v>0.11365645802672747</v>
      </c>
      <c r="S140" s="869">
        <f t="shared" si="117"/>
        <v>-2.5533856269717419E-2</v>
      </c>
      <c r="T140" s="869">
        <f t="shared" si="117"/>
        <v>-4.3527740532437111E-2</v>
      </c>
      <c r="U140" s="869">
        <f t="shared" si="117"/>
        <v>-9.9900453242314346E-3</v>
      </c>
      <c r="V140" s="869">
        <f t="shared" si="117"/>
        <v>-1.0512986876708116E-2</v>
      </c>
      <c r="W140" s="869">
        <f>W139/W86</f>
        <v>-1.1093700663206909E-2</v>
      </c>
      <c r="X140" s="869">
        <f>X139/X86</f>
        <v>-1.1742320053743554E-2</v>
      </c>
      <c r="Y140" s="869">
        <f>Y139/Y86</f>
        <v>-1.2471495469225815E-2</v>
      </c>
      <c r="Z140" s="869">
        <f>Z139/Z86</f>
        <v>-1.329722764556196E-2</v>
      </c>
      <c r="AA140" s="869">
        <f>AA139/AA86</f>
        <v>-1.4240055388739159E-2</v>
      </c>
    </row>
    <row r="141" spans="2:40">
      <c r="N141" s="869"/>
      <c r="O141" s="869"/>
      <c r="P141" s="869"/>
      <c r="Q141" s="869"/>
      <c r="R141" s="869"/>
      <c r="S141" s="869"/>
      <c r="T141" s="869"/>
      <c r="U141" s="869"/>
      <c r="V141" s="869"/>
      <c r="W141" s="869"/>
      <c r="X141" s="869"/>
      <c r="Y141" s="869"/>
      <c r="Z141" s="869"/>
      <c r="AA141" s="869"/>
    </row>
    <row r="142" spans="2:40">
      <c r="B142" s="874" t="s">
        <v>3285</v>
      </c>
      <c r="N142" s="1041"/>
      <c r="O142" s="1041">
        <f t="shared" ref="O142:V142" si="118">O135+O139</f>
        <v>0</v>
      </c>
      <c r="P142" s="1041">
        <f t="shared" si="118"/>
        <v>772</v>
      </c>
      <c r="Q142" s="1041">
        <f t="shared" si="118"/>
        <v>626.6</v>
      </c>
      <c r="R142" s="1041">
        <f t="shared" si="118"/>
        <v>236.53559999999993</v>
      </c>
      <c r="S142" s="1041">
        <f t="shared" si="118"/>
        <v>-52.159199999999942</v>
      </c>
      <c r="T142" s="1041">
        <f t="shared" si="118"/>
        <v>-75.123000000000161</v>
      </c>
      <c r="U142" s="1041">
        <f t="shared" si="118"/>
        <v>-15</v>
      </c>
      <c r="V142" s="1041">
        <f t="shared" si="118"/>
        <v>-15</v>
      </c>
      <c r="W142" s="1041">
        <f>W135+W139</f>
        <v>-15</v>
      </c>
      <c r="X142" s="1041">
        <f>X135+X139</f>
        <v>-15</v>
      </c>
      <c r="Y142" s="1041">
        <f>Y135+Y139</f>
        <v>-15</v>
      </c>
      <c r="Z142" s="1041">
        <f>Z135+Z139</f>
        <v>-14.999999999999829</v>
      </c>
      <c r="AA142" s="1041">
        <f>AA135+AA139</f>
        <v>-15</v>
      </c>
    </row>
    <row r="143" spans="2:40">
      <c r="B143" s="685" t="s">
        <v>202</v>
      </c>
      <c r="N143" s="869"/>
      <c r="O143" s="869" t="e">
        <f t="shared" ref="O143:V143" si="119">O142/O86</f>
        <v>#DIV/0!</v>
      </c>
      <c r="P143" s="869">
        <f t="shared" si="119"/>
        <v>1.3389031705227075</v>
      </c>
      <c r="Q143" s="869">
        <f t="shared" si="119"/>
        <v>0.39874369137335008</v>
      </c>
      <c r="R143" s="869">
        <f t="shared" si="119"/>
        <v>0.11365645802672747</v>
      </c>
      <c r="S143" s="869">
        <f t="shared" si="119"/>
        <v>-2.5533856269717419E-2</v>
      </c>
      <c r="T143" s="869">
        <f t="shared" si="119"/>
        <v>-4.3527740532437111E-2</v>
      </c>
      <c r="U143" s="869">
        <f t="shared" si="119"/>
        <v>-9.9900453242314346E-3</v>
      </c>
      <c r="V143" s="869">
        <f t="shared" si="119"/>
        <v>-1.0512986876708116E-2</v>
      </c>
      <c r="W143" s="869">
        <f>W142/W86</f>
        <v>-1.1093700663206909E-2</v>
      </c>
      <c r="X143" s="869">
        <f>X142/X86</f>
        <v>-1.1742320053743554E-2</v>
      </c>
      <c r="Y143" s="869">
        <f>Y142/Y86</f>
        <v>-1.2471495469225815E-2</v>
      </c>
      <c r="Z143" s="869">
        <f>Z142/Z86</f>
        <v>-1.329722764556196E-2</v>
      </c>
      <c r="AA143" s="869">
        <f>AA142/AA86</f>
        <v>-1.4240055388739159E-2</v>
      </c>
    </row>
    <row r="144" spans="2:40">
      <c r="N144" s="869"/>
      <c r="O144" s="869"/>
      <c r="P144" s="869"/>
      <c r="Q144" s="869"/>
      <c r="R144" s="869"/>
      <c r="S144" s="869"/>
      <c r="T144" s="869"/>
      <c r="U144" s="869"/>
      <c r="V144" s="869"/>
      <c r="W144" s="869"/>
      <c r="X144" s="869"/>
      <c r="Y144" s="869"/>
      <c r="Z144" s="869"/>
      <c r="AA144" s="869"/>
    </row>
    <row r="145" spans="2:27">
      <c r="B145" s="874" t="s">
        <v>3243</v>
      </c>
      <c r="C145" s="874"/>
      <c r="D145" s="874"/>
      <c r="E145" s="874"/>
      <c r="F145" s="874"/>
      <c r="G145" s="874"/>
      <c r="H145" s="874"/>
      <c r="I145" s="874"/>
      <c r="J145" s="874"/>
      <c r="K145" s="874"/>
      <c r="L145" s="874"/>
      <c r="M145" s="874"/>
      <c r="N145" s="1041"/>
      <c r="O145" s="1041">
        <f t="shared" ref="O145:V145" si="120">O120-O135-O139</f>
        <v>0</v>
      </c>
      <c r="P145" s="1041">
        <f t="shared" si="120"/>
        <v>-680.84224000000006</v>
      </c>
      <c r="Q145" s="1041">
        <f t="shared" si="120"/>
        <v>-319.78819352808995</v>
      </c>
      <c r="R145" s="1041">
        <f t="shared" si="120"/>
        <v>224.34372985653329</v>
      </c>
      <c r="S145" s="1041">
        <f t="shared" si="120"/>
        <v>536.25081391359981</v>
      </c>
      <c r="T145" s="1041">
        <f t="shared" si="120"/>
        <v>495.58140687762966</v>
      </c>
      <c r="U145" s="1041">
        <f t="shared" si="120"/>
        <v>389.77135706416885</v>
      </c>
      <c r="V145" s="1041">
        <f t="shared" si="120"/>
        <v>378.80454345348556</v>
      </c>
      <c r="W145" s="1041">
        <f>W120-W135-W139</f>
        <v>366.30684541413677</v>
      </c>
      <c r="X145" s="1041">
        <f>X120-X135-X139</f>
        <v>352.46751063462989</v>
      </c>
      <c r="Y145" s="1041">
        <f>Y120-Y135-Y139</f>
        <v>337.4532461100564</v>
      </c>
      <c r="Z145" s="1041">
        <f>Z120-Z135-Z139</f>
        <v>321.4108338038908</v>
      </c>
      <c r="AA145" s="1041">
        <f>AA120-AA135-AA139</f>
        <v>304.4694485843649</v>
      </c>
    </row>
    <row r="147" spans="2:27">
      <c r="B147" s="997" t="s">
        <v>3242</v>
      </c>
      <c r="C147" s="997"/>
      <c r="D147" s="997"/>
      <c r="E147" s="997"/>
      <c r="F147" s="1039">
        <f t="shared" ref="F147:M147" si="121">F131+F139</f>
        <v>1738.8000000000002</v>
      </c>
      <c r="G147" s="1039">
        <f t="shared" si="121"/>
        <v>5519.31</v>
      </c>
      <c r="H147" s="1039">
        <f t="shared" si="121"/>
        <v>3005.5039999999999</v>
      </c>
      <c r="I147" s="1039">
        <f t="shared" si="121"/>
        <v>9764.7200000000012</v>
      </c>
      <c r="J147" s="1039">
        <f t="shared" si="121"/>
        <v>5967.8519999999999</v>
      </c>
      <c r="K147" s="1039">
        <f t="shared" si="121"/>
        <v>6505.9280000000008</v>
      </c>
      <c r="L147" s="1039">
        <f t="shared" si="121"/>
        <v>7325.5919999999996</v>
      </c>
      <c r="M147" s="1039">
        <f t="shared" si="121"/>
        <v>6533.4100000000008</v>
      </c>
      <c r="N147" s="1039">
        <f>N131+N135+N139</f>
        <v>3995.4599999999996</v>
      </c>
      <c r="O147" s="1039">
        <f>Master!Q88</f>
        <v>4034.7999999999997</v>
      </c>
      <c r="P147" s="1039">
        <f ca="1">P131+P135+P139</f>
        <v>4878.9212841726621</v>
      </c>
      <c r="Q147" s="1039">
        <f t="shared" ref="Q147:V147" si="122">Q131+Q135+Q139</f>
        <v>6000.8960000000006</v>
      </c>
      <c r="R147" s="1039">
        <f t="shared" si="122"/>
        <v>5188.2312950725163</v>
      </c>
      <c r="S147" s="1039">
        <f t="shared" si="122"/>
        <v>3831.0817999999999</v>
      </c>
      <c r="T147" s="1039">
        <f>T131+T135+T139</f>
        <v>2565.7169999999996</v>
      </c>
      <c r="U147" s="1039">
        <f t="shared" si="122"/>
        <v>2251.9050200465481</v>
      </c>
      <c r="V147" s="1039">
        <f t="shared" si="122"/>
        <v>1941.688477155318</v>
      </c>
      <c r="W147" s="1039">
        <f>W131+W135+W139</f>
        <v>1829.6112633518183</v>
      </c>
      <c r="X147" s="1039">
        <f>X131+X135+X139</f>
        <v>1737.3741275341638</v>
      </c>
      <c r="Y147" s="1039">
        <f>Y131+Y135+Y139</f>
        <v>1649.0110697285515</v>
      </c>
      <c r="Z147" s="1039">
        <f>Z131+Z135+Z139</f>
        <v>1564.3726586764956</v>
      </c>
      <c r="AA147" s="1039">
        <f>AA131+AA135+AA139</f>
        <v>1483.3149423248069</v>
      </c>
    </row>
    <row r="148" spans="2:27">
      <c r="B148" s="685" t="s">
        <v>3245</v>
      </c>
      <c r="C148" s="874"/>
      <c r="D148" s="874"/>
      <c r="E148" s="874"/>
      <c r="F148" s="996"/>
      <c r="G148" s="996"/>
      <c r="H148" s="996"/>
      <c r="I148" s="807">
        <f t="shared" ref="I148:V148" si="123">I139/I131</f>
        <v>0</v>
      </c>
      <c r="J148" s="807">
        <f t="shared" si="123"/>
        <v>0</v>
      </c>
      <c r="K148" s="807">
        <f t="shared" si="123"/>
        <v>0</v>
      </c>
      <c r="L148" s="807">
        <f t="shared" si="123"/>
        <v>0</v>
      </c>
      <c r="M148" s="807">
        <f t="shared" si="123"/>
        <v>0</v>
      </c>
      <c r="N148" s="807">
        <f t="shared" si="123"/>
        <v>0</v>
      </c>
      <c r="O148" s="807">
        <f t="shared" si="123"/>
        <v>0</v>
      </c>
      <c r="P148" s="807">
        <f t="shared" ca="1" si="123"/>
        <v>0</v>
      </c>
      <c r="Q148" s="807">
        <f t="shared" si="123"/>
        <v>3.7176962340741943E-2</v>
      </c>
      <c r="R148" s="807">
        <f t="shared" si="123"/>
        <v>4.7768605860691107E-2</v>
      </c>
      <c r="S148" s="807">
        <f t="shared" si="123"/>
        <v>-1.3431873015349791E-2</v>
      </c>
      <c r="T148" s="807">
        <f t="shared" si="123"/>
        <v>-2.844663061753085E-2</v>
      </c>
      <c r="U148" s="807">
        <f t="shared" si="123"/>
        <v>-6.6169512473407436E-3</v>
      </c>
      <c r="V148" s="807">
        <f t="shared" si="123"/>
        <v>-7.6660133563046127E-3</v>
      </c>
      <c r="W148" s="807">
        <f>W139/W131</f>
        <v>-8.1317946485611834E-3</v>
      </c>
      <c r="X148" s="807">
        <f>X139/X131</f>
        <v>-8.5598159458717318E-3</v>
      </c>
      <c r="Y148" s="807">
        <f>Y139/Y131</f>
        <v>-9.014363109042859E-3</v>
      </c>
      <c r="Z148" s="807">
        <f>Z139/Z131</f>
        <v>-9.497441859332767E-3</v>
      </c>
      <c r="AA148" s="807">
        <f>AA139/AA131</f>
        <v>-1.0011246351668753E-2</v>
      </c>
    </row>
    <row r="150" spans="2:27">
      <c r="B150" s="685" t="s">
        <v>3246</v>
      </c>
      <c r="F150" s="848">
        <f t="shared" ref="F150:V150" si="124">F93-F131</f>
        <v>2740.2</v>
      </c>
      <c r="G150" s="848">
        <f t="shared" si="124"/>
        <v>-444.3100000000004</v>
      </c>
      <c r="H150" s="848">
        <f t="shared" si="124"/>
        <v>2784.2960000000003</v>
      </c>
      <c r="I150" s="848">
        <f t="shared" si="124"/>
        <v>-3206.7200000000012</v>
      </c>
      <c r="J150" s="848">
        <f t="shared" si="124"/>
        <v>1372.6480000000001</v>
      </c>
      <c r="K150" s="848">
        <f t="shared" si="124"/>
        <v>1705.3719999999985</v>
      </c>
      <c r="L150" s="848">
        <f t="shared" si="124"/>
        <v>1646.7079999999996</v>
      </c>
      <c r="M150" s="848">
        <f t="shared" si="124"/>
        <v>3365.0899999999992</v>
      </c>
      <c r="N150" s="848">
        <f t="shared" si="124"/>
        <v>6111.5400000000009</v>
      </c>
      <c r="O150" s="848">
        <f t="shared" si="124"/>
        <v>5732.2000000000007</v>
      </c>
      <c r="P150" s="848">
        <f t="shared" ca="1" si="124"/>
        <v>5014.0787158273379</v>
      </c>
      <c r="Q150" s="848">
        <f t="shared" si="124"/>
        <v>3761.503999999999</v>
      </c>
      <c r="R150" s="848">
        <f t="shared" si="124"/>
        <v>3552.5043049274846</v>
      </c>
      <c r="S150" s="848">
        <f t="shared" si="124"/>
        <v>2533.0889999999999</v>
      </c>
      <c r="T150" s="848">
        <f t="shared" si="124"/>
        <v>3090.56</v>
      </c>
      <c r="U150" s="848">
        <f t="shared" si="124"/>
        <v>2281.073176421839</v>
      </c>
      <c r="V150" s="848">
        <f t="shared" si="124"/>
        <v>2608.9179695404237</v>
      </c>
      <c r="W150" s="848">
        <f>W93-W131</f>
        <v>2397.9946423573633</v>
      </c>
      <c r="X150" s="848">
        <f>X93-X131</f>
        <v>2219.6738948766069</v>
      </c>
      <c r="Y150" s="848">
        <f>Y93-Y131</f>
        <v>2052.2803193318805</v>
      </c>
      <c r="Z150" s="848">
        <f>Z93-Z131</f>
        <v>1895.247190411794</v>
      </c>
      <c r="AA150" s="848">
        <f>AA93-AA131</f>
        <v>1748.0340993789409</v>
      </c>
    </row>
    <row r="151" spans="2:27">
      <c r="B151" s="685" t="s">
        <v>3248</v>
      </c>
      <c r="F151" s="848"/>
      <c r="G151" s="848"/>
      <c r="H151" s="848"/>
      <c r="I151" s="848"/>
      <c r="J151" s="848"/>
      <c r="K151" s="848"/>
      <c r="L151" s="848"/>
      <c r="M151" s="848"/>
      <c r="N151" s="807">
        <f>N145/N150</f>
        <v>0</v>
      </c>
      <c r="O151" s="807">
        <f t="shared" ref="O151:V151" si="125">O145/O150</f>
        <v>0</v>
      </c>
      <c r="P151" s="807">
        <f t="shared" ca="1" si="125"/>
        <v>-0.13578610919107981</v>
      </c>
      <c r="Q151" s="807">
        <f t="shared" si="125"/>
        <v>-8.5016045052215827E-2</v>
      </c>
      <c r="R151" s="807">
        <f t="shared" si="125"/>
        <v>6.315086783860005E-2</v>
      </c>
      <c r="S151" s="807">
        <f t="shared" si="125"/>
        <v>0.211698370611376</v>
      </c>
      <c r="T151" s="807">
        <f t="shared" si="125"/>
        <v>0.16035327153578305</v>
      </c>
      <c r="U151" s="807">
        <f t="shared" si="125"/>
        <v>0.17087192164329251</v>
      </c>
      <c r="V151" s="807">
        <f t="shared" si="125"/>
        <v>0.14519603447716459</v>
      </c>
      <c r="W151" s="807">
        <f>W145/W150</f>
        <v>0.15275548950102599</v>
      </c>
      <c r="X151" s="807">
        <f>X145/X150</f>
        <v>0.15879247462800106</v>
      </c>
      <c r="Y151" s="807">
        <f>Y145/Y150</f>
        <v>0.16442843744655419</v>
      </c>
      <c r="Z151" s="807">
        <f>Z145/Z150</f>
        <v>0.16958781705623083</v>
      </c>
      <c r="AA151" s="807">
        <f>AA145/AA150</f>
        <v>0.17417820893341832</v>
      </c>
    </row>
    <row r="152" spans="2:27">
      <c r="B152" s="685" t="s">
        <v>3267</v>
      </c>
      <c r="F152" s="848"/>
      <c r="G152" s="848"/>
      <c r="H152" s="848"/>
      <c r="I152" s="848"/>
      <c r="J152" s="848"/>
      <c r="K152" s="848"/>
      <c r="L152" s="848"/>
      <c r="M152" s="848"/>
      <c r="N152" s="807"/>
      <c r="O152" s="807"/>
      <c r="P152" s="807"/>
      <c r="Q152" s="807"/>
      <c r="R152" s="807"/>
      <c r="S152" s="807"/>
      <c r="T152" s="807"/>
      <c r="U152" s="807"/>
      <c r="V152" s="807">
        <f>V145/Master!X116</f>
        <v>4.1584801366961702E-2</v>
      </c>
      <c r="W152" s="807">
        <f>W145/Master!Y116</f>
        <v>4.114640206261571E-2</v>
      </c>
      <c r="X152" s="807">
        <f>X145/Master!Z116</f>
        <v>3.9069487799106968E-2</v>
      </c>
      <c r="Y152" s="807">
        <f>Y145/Master!AA116</f>
        <v>3.6583384877049201E-2</v>
      </c>
      <c r="Z152" s="807">
        <f>Z145/Master!AB116</f>
        <v>3.3921249120557516E-2</v>
      </c>
      <c r="AA152" s="807">
        <f>AA145/Master!AC116</f>
        <v>3.1674252669877716E-2</v>
      </c>
    </row>
    <row r="153" spans="2:27">
      <c r="F153" s="848"/>
      <c r="G153" s="848"/>
      <c r="H153" s="848"/>
      <c r="I153" s="848"/>
      <c r="J153" s="848"/>
      <c r="K153" s="848"/>
      <c r="L153" s="848"/>
      <c r="M153" s="848"/>
      <c r="N153" s="848"/>
      <c r="O153" s="848"/>
      <c r="P153" s="848"/>
      <c r="Q153" s="848"/>
      <c r="R153" s="848"/>
      <c r="S153" s="848"/>
      <c r="T153" s="848"/>
      <c r="U153" s="848"/>
      <c r="V153" s="848"/>
      <c r="W153" s="848"/>
      <c r="X153" s="848"/>
      <c r="Y153" s="848"/>
      <c r="Z153" s="848"/>
      <c r="AA153" s="848"/>
    </row>
    <row r="154" spans="2:27">
      <c r="B154" s="997" t="s">
        <v>3247</v>
      </c>
      <c r="C154" s="1045"/>
      <c r="D154" s="1045"/>
      <c r="E154" s="1045"/>
      <c r="F154" s="1046"/>
      <c r="G154" s="1046"/>
      <c r="H154" s="1046"/>
      <c r="I154" s="1046"/>
      <c r="J154" s="1046"/>
      <c r="K154" s="1046"/>
      <c r="L154" s="1046"/>
      <c r="M154" s="1046"/>
      <c r="N154" s="1039">
        <f t="shared" ref="N154:V154" si="126">N125-N147</f>
        <v>-3995.4599999999996</v>
      </c>
      <c r="O154" s="1039">
        <f t="shared" si="126"/>
        <v>5732.2000000000007</v>
      </c>
      <c r="P154" s="1039">
        <f t="shared" ca="1" si="126"/>
        <v>4333.2364758273379</v>
      </c>
      <c r="Q154" s="1039">
        <f t="shared" si="126"/>
        <v>3441.7158064719079</v>
      </c>
      <c r="R154" s="1039">
        <f t="shared" si="126"/>
        <v>3776.8480347840168</v>
      </c>
      <c r="S154" s="1039">
        <f t="shared" si="126"/>
        <v>3069.3398139135998</v>
      </c>
      <c r="T154" s="1039">
        <f t="shared" si="126"/>
        <v>3586.1414068776294</v>
      </c>
      <c r="U154" s="1039">
        <f t="shared" si="126"/>
        <v>2670.844533486008</v>
      </c>
      <c r="V154" s="1039">
        <f t="shared" si="126"/>
        <v>2987.7225129939088</v>
      </c>
      <c r="W154" s="1039">
        <f>W125-W147</f>
        <v>2764.3014877715</v>
      </c>
      <c r="X154" s="1039">
        <f>X125-X147</f>
        <v>2572.1414055112373</v>
      </c>
      <c r="Y154" s="1039">
        <f>Y125-Y147</f>
        <v>2389.7335654419367</v>
      </c>
      <c r="Z154" s="1039">
        <f>Z125-Z147</f>
        <v>2216.6580242156847</v>
      </c>
      <c r="AA154" s="1039">
        <f>AA125-AA147</f>
        <v>2052.5035479633057</v>
      </c>
    </row>
    <row r="156" spans="2:27">
      <c r="B156" s="685" t="s">
        <v>224</v>
      </c>
      <c r="F156" s="905">
        <f>F158-F157</f>
        <v>3200</v>
      </c>
      <c r="G156" s="905">
        <f>G158-G157</f>
        <v>3200</v>
      </c>
      <c r="H156" s="905">
        <f>H158-H157</f>
        <v>3200</v>
      </c>
      <c r="I156" s="905">
        <f>I158-I157</f>
        <v>3200</v>
      </c>
      <c r="J156" s="905">
        <f t="shared" ref="J156:O156" si="127">J158-J157</f>
        <v>3200</v>
      </c>
      <c r="K156" s="905">
        <f t="shared" si="127"/>
        <v>3200</v>
      </c>
      <c r="L156" s="905">
        <f t="shared" si="127"/>
        <v>3200</v>
      </c>
      <c r="M156" s="905">
        <f t="shared" si="127"/>
        <v>3200</v>
      </c>
      <c r="N156" s="905">
        <f t="shared" si="127"/>
        <v>3200</v>
      </c>
      <c r="O156" s="905">
        <f t="shared" si="127"/>
        <v>3200</v>
      </c>
      <c r="P156" s="905">
        <f t="shared" ref="P156:V156" ca="1" si="128">P158-P157</f>
        <v>2521.6577068345327</v>
      </c>
      <c r="Q156" s="905">
        <f t="shared" ca="1" si="128"/>
        <v>2037.9221468345329</v>
      </c>
      <c r="R156" s="905">
        <f t="shared" ca="1" si="128"/>
        <v>1583.4465441446853</v>
      </c>
      <c r="S156" s="905">
        <f t="shared" ca="1" si="128"/>
        <v>1271.6890841446857</v>
      </c>
      <c r="T156" s="905">
        <f t="shared" ca="1" si="128"/>
        <v>881.88568414468591</v>
      </c>
      <c r="U156" s="905">
        <f t="shared" ca="1" si="128"/>
        <v>605.41043944562853</v>
      </c>
      <c r="V156" s="905">
        <f t="shared" ca="1" si="128"/>
        <v>283.03692370996941</v>
      </c>
      <c r="W156" s="905">
        <f ca="1">W158-W157</f>
        <v>-9.8073262200614408</v>
      </c>
      <c r="X156" s="905">
        <f ca="1">X158-X157</f>
        <v>-277.68667150278634</v>
      </c>
      <c r="Y156" s="905">
        <f ca="1">Y158-Y157</f>
        <v>-522.13091620924934</v>
      </c>
      <c r="Z156" s="905">
        <f ca="1">Z158-Z157</f>
        <v>-744.59052286690076</v>
      </c>
      <c r="AA156" s="905">
        <f ca="1">AA158-AA157</f>
        <v>-946.4402967799524</v>
      </c>
    </row>
    <row r="157" spans="2:27">
      <c r="B157" s="743" t="s">
        <v>562</v>
      </c>
      <c r="C157" s="743"/>
      <c r="D157" s="743"/>
      <c r="E157" s="743"/>
      <c r="F157" s="909">
        <v>300</v>
      </c>
      <c r="G157" s="909">
        <v>300</v>
      </c>
      <c r="H157" s="909">
        <v>300</v>
      </c>
      <c r="I157" s="909">
        <f>H157+I170</f>
        <v>300</v>
      </c>
      <c r="J157" s="909">
        <f t="shared" ref="J157:V157" si="129">I157+J170</f>
        <v>300</v>
      </c>
      <c r="K157" s="909">
        <f t="shared" si="129"/>
        <v>300</v>
      </c>
      <c r="L157" s="909">
        <f t="shared" si="129"/>
        <v>300</v>
      </c>
      <c r="M157" s="909">
        <f t="shared" si="129"/>
        <v>300</v>
      </c>
      <c r="N157" s="909">
        <f t="shared" si="129"/>
        <v>300</v>
      </c>
      <c r="O157" s="909">
        <f t="shared" si="129"/>
        <v>300</v>
      </c>
      <c r="P157" s="909">
        <f t="shared" ca="1" si="129"/>
        <v>978.34229316546725</v>
      </c>
      <c r="Q157" s="909">
        <f t="shared" ca="1" si="129"/>
        <v>1462.0778531654671</v>
      </c>
      <c r="R157" s="909">
        <f t="shared" ca="1" si="129"/>
        <v>1916.5534558553147</v>
      </c>
      <c r="S157" s="909">
        <f t="shared" ca="1" si="129"/>
        <v>2228.3109158553143</v>
      </c>
      <c r="T157" s="909">
        <f t="shared" ca="1" si="129"/>
        <v>2618.1143158553141</v>
      </c>
      <c r="U157" s="909">
        <f t="shared" ca="1" si="129"/>
        <v>2894.5895605543715</v>
      </c>
      <c r="V157" s="909">
        <f t="shared" ca="1" si="129"/>
        <v>3216.9630762900306</v>
      </c>
      <c r="W157" s="909">
        <f ca="1">V157+W170</f>
        <v>3509.8073262200614</v>
      </c>
      <c r="X157" s="909">
        <f ca="1">W157+X170</f>
        <v>3777.6866715027863</v>
      </c>
      <c r="Y157" s="909">
        <f ca="1">X157+Y170</f>
        <v>4022.1309162092493</v>
      </c>
      <c r="Z157" s="909">
        <f ca="1">Y157+Z170</f>
        <v>4244.5905228669008</v>
      </c>
      <c r="AA157" s="909">
        <f ca="1">Z157+AA170</f>
        <v>4446.4402967799524</v>
      </c>
    </row>
    <row r="158" spans="2:27">
      <c r="B158" s="685" t="s">
        <v>270</v>
      </c>
      <c r="F158" s="1663">
        <f>(1400+2100)</f>
        <v>3500</v>
      </c>
      <c r="G158" s="1663">
        <f>(1400+2100)</f>
        <v>3500</v>
      </c>
      <c r="H158" s="1663">
        <f>(1400+2100)</f>
        <v>3500</v>
      </c>
      <c r="I158" s="1663">
        <f>H158</f>
        <v>3500</v>
      </c>
      <c r="J158" s="1663">
        <f t="shared" ref="J158:V158" si="130">I158</f>
        <v>3500</v>
      </c>
      <c r="K158" s="1663">
        <f t="shared" si="130"/>
        <v>3500</v>
      </c>
      <c r="L158" s="1663">
        <f t="shared" si="130"/>
        <v>3500</v>
      </c>
      <c r="M158" s="1663">
        <f t="shared" si="130"/>
        <v>3500</v>
      </c>
      <c r="N158" s="1663">
        <f t="shared" si="130"/>
        <v>3500</v>
      </c>
      <c r="O158" s="1663">
        <f t="shared" si="130"/>
        <v>3500</v>
      </c>
      <c r="P158" s="1663">
        <f t="shared" si="130"/>
        <v>3500</v>
      </c>
      <c r="Q158" s="1663">
        <f t="shared" si="130"/>
        <v>3500</v>
      </c>
      <c r="R158" s="1663">
        <f t="shared" si="130"/>
        <v>3500</v>
      </c>
      <c r="S158" s="1663">
        <f t="shared" si="130"/>
        <v>3500</v>
      </c>
      <c r="T158" s="1663">
        <f t="shared" si="130"/>
        <v>3500</v>
      </c>
      <c r="U158" s="1663">
        <f t="shared" si="130"/>
        <v>3500</v>
      </c>
      <c r="V158" s="1663">
        <f t="shared" si="130"/>
        <v>3500</v>
      </c>
      <c r="W158" s="1663">
        <f t="shared" ref="W158:AA159" si="131">V158</f>
        <v>3500</v>
      </c>
      <c r="X158" s="1663">
        <f t="shared" si="131"/>
        <v>3500</v>
      </c>
      <c r="Y158" s="1663">
        <f t="shared" si="131"/>
        <v>3500</v>
      </c>
      <c r="Z158" s="1663">
        <f t="shared" si="131"/>
        <v>3500</v>
      </c>
      <c r="AA158" s="1663">
        <f t="shared" si="131"/>
        <v>3500</v>
      </c>
    </row>
    <row r="159" spans="2:27">
      <c r="B159" s="685" t="s">
        <v>959</v>
      </c>
      <c r="G159" s="869">
        <f>H159</f>
        <v>8.7499999999999994E-2</v>
      </c>
      <c r="H159" s="869">
        <v>8.7499999999999994E-2</v>
      </c>
      <c r="I159" s="869">
        <f>H159</f>
        <v>8.7499999999999994E-2</v>
      </c>
      <c r="J159" s="869">
        <f t="shared" ref="J159:V159" si="132">I159</f>
        <v>8.7499999999999994E-2</v>
      </c>
      <c r="K159" s="869">
        <f t="shared" si="132"/>
        <v>8.7499999999999994E-2</v>
      </c>
      <c r="L159" s="869">
        <f t="shared" si="132"/>
        <v>8.7499999999999994E-2</v>
      </c>
      <c r="M159" s="869">
        <f t="shared" si="132"/>
        <v>8.7499999999999994E-2</v>
      </c>
      <c r="N159" s="869">
        <f t="shared" si="132"/>
        <v>8.7499999999999994E-2</v>
      </c>
      <c r="O159" s="869">
        <f t="shared" si="132"/>
        <v>8.7499999999999994E-2</v>
      </c>
      <c r="P159" s="869">
        <f t="shared" si="132"/>
        <v>8.7499999999999994E-2</v>
      </c>
      <c r="Q159" s="869">
        <f t="shared" si="132"/>
        <v>8.7499999999999994E-2</v>
      </c>
      <c r="R159" s="869">
        <f t="shared" si="132"/>
        <v>8.7499999999999994E-2</v>
      </c>
      <c r="S159" s="869">
        <f t="shared" si="132"/>
        <v>8.7499999999999994E-2</v>
      </c>
      <c r="T159" s="869">
        <f t="shared" si="132"/>
        <v>8.7499999999999994E-2</v>
      </c>
      <c r="U159" s="869">
        <f t="shared" si="132"/>
        <v>8.7499999999999994E-2</v>
      </c>
      <c r="V159" s="869">
        <f t="shared" si="132"/>
        <v>8.7499999999999994E-2</v>
      </c>
      <c r="W159" s="869">
        <f t="shared" si="131"/>
        <v>8.7499999999999994E-2</v>
      </c>
      <c r="X159" s="869">
        <f t="shared" si="131"/>
        <v>8.7499999999999994E-2</v>
      </c>
      <c r="Y159" s="869">
        <f t="shared" si="131"/>
        <v>8.7499999999999994E-2</v>
      </c>
      <c r="Z159" s="869">
        <f t="shared" si="131"/>
        <v>8.7499999999999994E-2</v>
      </c>
      <c r="AA159" s="869">
        <f t="shared" si="131"/>
        <v>8.7499999999999994E-2</v>
      </c>
    </row>
    <row r="160" spans="2:27">
      <c r="B160" s="685" t="s">
        <v>960</v>
      </c>
      <c r="G160" s="905">
        <f>G159*AVERAGE(F158:G158)</f>
        <v>306.25</v>
      </c>
      <c r="H160" s="905">
        <f>H159*AVERAGE(G158:H158)</f>
        <v>306.25</v>
      </c>
      <c r="I160" s="905">
        <f t="shared" ref="I160:V160" si="133">I159*AVERAGE(H158:I158)</f>
        <v>306.25</v>
      </c>
      <c r="J160" s="905">
        <f t="shared" si="133"/>
        <v>306.25</v>
      </c>
      <c r="K160" s="905">
        <f t="shared" si="133"/>
        <v>306.25</v>
      </c>
      <c r="L160" s="905">
        <f t="shared" si="133"/>
        <v>306.25</v>
      </c>
      <c r="M160" s="905">
        <f t="shared" si="133"/>
        <v>306.25</v>
      </c>
      <c r="N160" s="905">
        <f t="shared" si="133"/>
        <v>306.25</v>
      </c>
      <c r="O160" s="905">
        <f t="shared" si="133"/>
        <v>306.25</v>
      </c>
      <c r="P160" s="905">
        <f t="shared" si="133"/>
        <v>306.25</v>
      </c>
      <c r="Q160" s="905">
        <f t="shared" si="133"/>
        <v>306.25</v>
      </c>
      <c r="R160" s="905">
        <f t="shared" si="133"/>
        <v>306.25</v>
      </c>
      <c r="S160" s="905">
        <f t="shared" si="133"/>
        <v>306.25</v>
      </c>
      <c r="T160" s="905">
        <f t="shared" si="133"/>
        <v>306.25</v>
      </c>
      <c r="U160" s="905">
        <f t="shared" si="133"/>
        <v>306.25</v>
      </c>
      <c r="V160" s="905">
        <f t="shared" si="133"/>
        <v>306.25</v>
      </c>
      <c r="W160" s="905">
        <f>W159*AVERAGE(V158:W158)</f>
        <v>306.25</v>
      </c>
      <c r="X160" s="905">
        <f>X159*AVERAGE(W158:X158)</f>
        <v>306.25</v>
      </c>
      <c r="Y160" s="905">
        <f>Y159*AVERAGE(X158:Y158)</f>
        <v>306.25</v>
      </c>
      <c r="Z160" s="905">
        <f>Z159*AVERAGE(Y158:Z158)</f>
        <v>306.25</v>
      </c>
      <c r="AA160" s="905">
        <f>AA159*AVERAGE(Z158:AA158)</f>
        <v>306.25</v>
      </c>
    </row>
    <row r="162" spans="2:27">
      <c r="B162" s="685" t="s">
        <v>533</v>
      </c>
      <c r="F162" s="848">
        <f>F128*0.6</f>
        <v>1043.28</v>
      </c>
      <c r="G162" s="848">
        <f>G128*0.65</f>
        <v>3587.5515000000005</v>
      </c>
      <c r="H162" s="848">
        <f>H128*0.7</f>
        <v>2103.8527999999997</v>
      </c>
      <c r="I162" s="848">
        <f>I128*0.75</f>
        <v>2882.04</v>
      </c>
      <c r="J162" s="848">
        <f>J128*0.6</f>
        <v>3044.7912000000001</v>
      </c>
      <c r="K162" s="848">
        <f>K128*0.7</f>
        <v>3622.4496000000004</v>
      </c>
      <c r="L162" s="848">
        <f>L128*0.8</f>
        <v>4590.8735999999999</v>
      </c>
      <c r="M162" s="848">
        <f>M128*0.9</f>
        <v>5880.0690000000004</v>
      </c>
      <c r="N162" s="848">
        <f>N128*1.2</f>
        <v>4794.5519999999997</v>
      </c>
      <c r="O162" s="848">
        <f>O128*1.2</f>
        <v>4841.7599999999993</v>
      </c>
      <c r="P162" s="848">
        <f>P128*1.1</f>
        <v>4427.6925000000001</v>
      </c>
      <c r="Q162" s="848">
        <f t="shared" ref="Q162:V162" si="134">Q128*1</f>
        <v>5374.2960000000003</v>
      </c>
      <c r="R162" s="848">
        <f t="shared" si="134"/>
        <v>4951.6956950725162</v>
      </c>
      <c r="S162" s="848">
        <f t="shared" si="134"/>
        <v>3883.241</v>
      </c>
      <c r="T162" s="848">
        <f t="shared" si="134"/>
        <v>2640.8399999999997</v>
      </c>
      <c r="U162" s="848">
        <f t="shared" si="134"/>
        <v>2266.9050200465481</v>
      </c>
      <c r="V162" s="848">
        <f t="shared" si="134"/>
        <v>1956.688477155318</v>
      </c>
      <c r="W162" s="848">
        <f>W128*1</f>
        <v>1844.6112633518183</v>
      </c>
      <c r="X162" s="848">
        <f>X128*1</f>
        <v>1752.3741275341638</v>
      </c>
      <c r="Y162" s="848">
        <f>Y128*1</f>
        <v>1664.0110697285515</v>
      </c>
      <c r="Z162" s="848">
        <f>Z128*1</f>
        <v>1579.3726586764953</v>
      </c>
      <c r="AA162" s="848">
        <f>AA128*1</f>
        <v>1498.3149423248069</v>
      </c>
    </row>
    <row r="163" spans="2:27">
      <c r="B163" s="685" t="s">
        <v>186</v>
      </c>
      <c r="F163" s="848">
        <f t="shared" ref="F163:V163" si="135">F93-F162</f>
        <v>3435.7200000000003</v>
      </c>
      <c r="G163" s="848">
        <f t="shared" si="135"/>
        <v>1487.4484999999995</v>
      </c>
      <c r="H163" s="848">
        <f t="shared" si="135"/>
        <v>3685.9472000000005</v>
      </c>
      <c r="I163" s="848">
        <f t="shared" si="135"/>
        <v>3675.96</v>
      </c>
      <c r="J163" s="848">
        <f t="shared" si="135"/>
        <v>4295.7088000000003</v>
      </c>
      <c r="K163" s="848">
        <f t="shared" si="135"/>
        <v>4588.8503999999994</v>
      </c>
      <c r="L163" s="848">
        <f t="shared" si="135"/>
        <v>4381.4263999999994</v>
      </c>
      <c r="M163" s="848">
        <f t="shared" si="135"/>
        <v>4018.4309999999996</v>
      </c>
      <c r="N163" s="848">
        <f t="shared" si="135"/>
        <v>5312.4480000000003</v>
      </c>
      <c r="O163" s="848">
        <f t="shared" si="135"/>
        <v>4925.2400000000007</v>
      </c>
      <c r="P163" s="848">
        <f t="shared" si="135"/>
        <v>4693.3074999999999</v>
      </c>
      <c r="Q163" s="848">
        <f t="shared" si="135"/>
        <v>3761.503999999999</v>
      </c>
      <c r="R163" s="848">
        <f t="shared" si="135"/>
        <v>3552.5043049274846</v>
      </c>
      <c r="S163" s="848">
        <f t="shared" si="135"/>
        <v>2533.0889999999999</v>
      </c>
      <c r="T163" s="848">
        <f t="shared" si="135"/>
        <v>3090.56</v>
      </c>
      <c r="U163" s="848">
        <f t="shared" si="135"/>
        <v>2281.073176421839</v>
      </c>
      <c r="V163" s="848">
        <f t="shared" si="135"/>
        <v>2608.9179695404237</v>
      </c>
      <c r="W163" s="848">
        <f>W93-W162</f>
        <v>2397.9946423573633</v>
      </c>
      <c r="X163" s="848">
        <f>X93-X162</f>
        <v>2219.6738948766069</v>
      </c>
      <c r="Y163" s="848">
        <f>Y93-Y162</f>
        <v>2052.2803193318805</v>
      </c>
      <c r="Z163" s="848">
        <f>Z93-Z162</f>
        <v>1895.247190411794</v>
      </c>
      <c r="AA163" s="848">
        <f>AA93-AA162</f>
        <v>1748.0340993789409</v>
      </c>
    </row>
    <row r="165" spans="2:27">
      <c r="B165" s="685" t="s">
        <v>961</v>
      </c>
      <c r="G165" s="905">
        <f t="shared" ref="G165:O165" si="136">G163-G160</f>
        <v>1181.1984999999995</v>
      </c>
      <c r="H165" s="905">
        <f t="shared" si="136"/>
        <v>3379.6972000000005</v>
      </c>
      <c r="I165" s="905">
        <f t="shared" si="136"/>
        <v>3369.71</v>
      </c>
      <c r="J165" s="905">
        <f t="shared" si="136"/>
        <v>3989.4588000000003</v>
      </c>
      <c r="K165" s="905">
        <f t="shared" si="136"/>
        <v>4282.6003999999994</v>
      </c>
      <c r="L165" s="905">
        <f t="shared" si="136"/>
        <v>4075.1763999999994</v>
      </c>
      <c r="M165" s="905">
        <f t="shared" si="136"/>
        <v>3712.1809999999996</v>
      </c>
      <c r="N165" s="905">
        <f t="shared" si="136"/>
        <v>5006.1980000000003</v>
      </c>
      <c r="O165" s="905">
        <f t="shared" si="136"/>
        <v>4618.9900000000007</v>
      </c>
      <c r="P165" s="905">
        <f t="shared" ref="P165:V165" si="137">P163-P160</f>
        <v>4387.0574999999999</v>
      </c>
      <c r="Q165" s="905">
        <f t="shared" si="137"/>
        <v>3455.253999999999</v>
      </c>
      <c r="R165" s="905">
        <f t="shared" si="137"/>
        <v>3246.2543049274846</v>
      </c>
      <c r="S165" s="905">
        <f t="shared" si="137"/>
        <v>2226.8389999999999</v>
      </c>
      <c r="T165" s="905">
        <f t="shared" si="137"/>
        <v>2784.31</v>
      </c>
      <c r="U165" s="905">
        <f t="shared" si="137"/>
        <v>1974.823176421839</v>
      </c>
      <c r="V165" s="905">
        <f t="shared" si="137"/>
        <v>2302.6679695404237</v>
      </c>
      <c r="W165" s="905">
        <f>W163-W160</f>
        <v>2091.7446423573633</v>
      </c>
      <c r="X165" s="905">
        <f>X163-X160</f>
        <v>1913.4238948766069</v>
      </c>
      <c r="Y165" s="905">
        <f>Y163-Y160</f>
        <v>1746.0303193318805</v>
      </c>
      <c r="Z165" s="905">
        <f>Z163-Z160</f>
        <v>1588.997190411794</v>
      </c>
      <c r="AA165" s="905">
        <f>AA163-AA160</f>
        <v>1441.7840993789409</v>
      </c>
    </row>
    <row r="166" spans="2:27">
      <c r="B166" s="685" t="s">
        <v>192</v>
      </c>
      <c r="G166" s="848">
        <f>0.3*G165</f>
        <v>354.35954999999984</v>
      </c>
      <c r="H166" s="848">
        <f t="shared" ref="H166:O166" si="138">0.3*H165</f>
        <v>1013.9091600000002</v>
      </c>
      <c r="I166" s="848">
        <f t="shared" si="138"/>
        <v>1010.913</v>
      </c>
      <c r="J166" s="848">
        <f t="shared" si="138"/>
        <v>1196.83764</v>
      </c>
      <c r="K166" s="848">
        <f t="shared" si="138"/>
        <v>1284.7801199999997</v>
      </c>
      <c r="L166" s="848">
        <f t="shared" si="138"/>
        <v>1222.5529199999999</v>
      </c>
      <c r="M166" s="848">
        <f t="shared" si="138"/>
        <v>1113.6542999999999</v>
      </c>
      <c r="N166" s="848">
        <f t="shared" si="138"/>
        <v>1501.8594000000001</v>
      </c>
      <c r="O166" s="848">
        <f t="shared" si="138"/>
        <v>1385.6970000000001</v>
      </c>
      <c r="P166" s="848">
        <f t="shared" ref="P166:V166" si="139">0.3*P165</f>
        <v>1316.11725</v>
      </c>
      <c r="Q166" s="848">
        <f t="shared" si="139"/>
        <v>1036.5761999999997</v>
      </c>
      <c r="R166" s="848">
        <f t="shared" si="139"/>
        <v>973.87629147824532</v>
      </c>
      <c r="S166" s="848">
        <f t="shared" si="139"/>
        <v>668.05169999999998</v>
      </c>
      <c r="T166" s="848">
        <f t="shared" si="139"/>
        <v>835.29300000000001</v>
      </c>
      <c r="U166" s="848">
        <f t="shared" si="139"/>
        <v>592.44695292655172</v>
      </c>
      <c r="V166" s="848">
        <f t="shared" si="139"/>
        <v>690.80039086212707</v>
      </c>
      <c r="W166" s="848">
        <f>0.3*W165</f>
        <v>627.52339270720893</v>
      </c>
      <c r="X166" s="848">
        <f>0.3*X165</f>
        <v>574.0271684629821</v>
      </c>
      <c r="Y166" s="848">
        <f>0.3*Y165</f>
        <v>523.80909579956415</v>
      </c>
      <c r="Z166" s="848">
        <f>0.3*Z165</f>
        <v>476.69915712353816</v>
      </c>
      <c r="AA166" s="848">
        <f>0.3*AA165</f>
        <v>432.53522981368229</v>
      </c>
    </row>
    <row r="167" spans="2:27">
      <c r="B167" s="685" t="s">
        <v>194</v>
      </c>
      <c r="G167" s="848">
        <f>G165-G166</f>
        <v>826.83894999999961</v>
      </c>
      <c r="H167" s="848">
        <f t="shared" ref="H167:O167" si="140">H165-H166</f>
        <v>2365.7880400000004</v>
      </c>
      <c r="I167" s="848">
        <f t="shared" si="140"/>
        <v>2358.797</v>
      </c>
      <c r="J167" s="848">
        <f t="shared" si="140"/>
        <v>2792.6211600000006</v>
      </c>
      <c r="K167" s="848">
        <f t="shared" si="140"/>
        <v>2997.8202799999999</v>
      </c>
      <c r="L167" s="848">
        <f t="shared" si="140"/>
        <v>2852.6234799999993</v>
      </c>
      <c r="M167" s="848">
        <f t="shared" si="140"/>
        <v>2598.5266999999994</v>
      </c>
      <c r="N167" s="848">
        <f t="shared" si="140"/>
        <v>3504.3386</v>
      </c>
      <c r="O167" s="848">
        <f t="shared" si="140"/>
        <v>3233.2930000000006</v>
      </c>
      <c r="P167" s="848">
        <f t="shared" ref="P167:V167" si="141">P165-P166</f>
        <v>3070.9402499999997</v>
      </c>
      <c r="Q167" s="848">
        <f t="shared" si="141"/>
        <v>2418.6777999999995</v>
      </c>
      <c r="R167" s="848">
        <f t="shared" si="141"/>
        <v>2272.378013449239</v>
      </c>
      <c r="S167" s="848">
        <f t="shared" si="141"/>
        <v>1558.7873</v>
      </c>
      <c r="T167" s="848">
        <f t="shared" si="141"/>
        <v>1949.0169999999998</v>
      </c>
      <c r="U167" s="848">
        <f t="shared" si="141"/>
        <v>1382.3762234952874</v>
      </c>
      <c r="V167" s="848">
        <f t="shared" si="141"/>
        <v>1611.8675786782965</v>
      </c>
      <c r="W167" s="848">
        <f>W165-W166</f>
        <v>1464.2212496501543</v>
      </c>
      <c r="X167" s="848">
        <f>X165-X166</f>
        <v>1339.3967264136249</v>
      </c>
      <c r="Y167" s="848">
        <f>Y165-Y166</f>
        <v>1222.2212235323163</v>
      </c>
      <c r="Z167" s="848">
        <f>Z165-Z166</f>
        <v>1112.2980332882557</v>
      </c>
      <c r="AA167" s="848">
        <f>AA165-AA166</f>
        <v>1009.2488695652587</v>
      </c>
    </row>
    <row r="168" spans="2:27">
      <c r="G168" s="848"/>
      <c r="H168" s="848"/>
      <c r="I168" s="978">
        <v>2109</v>
      </c>
      <c r="J168" s="978">
        <f>4042-700</f>
        <v>3342</v>
      </c>
      <c r="K168" s="848"/>
      <c r="L168" s="848"/>
      <c r="M168" s="848"/>
      <c r="N168" s="848"/>
      <c r="O168" s="848"/>
      <c r="P168" s="848"/>
      <c r="Q168" s="848"/>
      <c r="R168" s="848"/>
      <c r="S168" s="848"/>
      <c r="T168" s="848"/>
      <c r="U168" s="848"/>
      <c r="V168" s="848"/>
      <c r="W168" s="848"/>
      <c r="X168" s="848"/>
      <c r="Y168" s="848"/>
      <c r="Z168" s="848"/>
      <c r="AA168" s="848"/>
    </row>
    <row r="170" spans="2:27">
      <c r="B170" s="685" t="s">
        <v>372</v>
      </c>
      <c r="G170" s="848">
        <f t="shared" ref="G170:V170" si="142">G150-G160-G166-G172</f>
        <v>0</v>
      </c>
      <c r="H170" s="848">
        <f t="shared" si="142"/>
        <v>0</v>
      </c>
      <c r="I170" s="848">
        <f t="shared" si="142"/>
        <v>0</v>
      </c>
      <c r="J170" s="848">
        <f t="shared" si="142"/>
        <v>0</v>
      </c>
      <c r="K170" s="848">
        <f t="shared" si="142"/>
        <v>0</v>
      </c>
      <c r="L170" s="848">
        <f t="shared" si="142"/>
        <v>0</v>
      </c>
      <c r="M170" s="848">
        <f t="shared" si="142"/>
        <v>0</v>
      </c>
      <c r="N170" s="848">
        <f t="shared" si="142"/>
        <v>0</v>
      </c>
      <c r="O170" s="848">
        <f t="shared" si="142"/>
        <v>0</v>
      </c>
      <c r="P170" s="848">
        <f t="shared" ca="1" si="142"/>
        <v>678.34229316546725</v>
      </c>
      <c r="Q170" s="848">
        <f t="shared" si="142"/>
        <v>483.73555999999985</v>
      </c>
      <c r="R170" s="848">
        <f t="shared" si="142"/>
        <v>454.47560268984762</v>
      </c>
      <c r="S170" s="848">
        <f t="shared" si="142"/>
        <v>311.75745999999981</v>
      </c>
      <c r="T170" s="848">
        <f t="shared" si="142"/>
        <v>389.80339999999978</v>
      </c>
      <c r="U170" s="848">
        <f t="shared" si="142"/>
        <v>276.47524469905738</v>
      </c>
      <c r="V170" s="848">
        <f t="shared" si="142"/>
        <v>322.37351573565911</v>
      </c>
      <c r="W170" s="848">
        <f>W150-W160-W166-W172</f>
        <v>292.84424993003086</v>
      </c>
      <c r="X170" s="848">
        <f>X150-X160-X166-X172</f>
        <v>267.8793452827249</v>
      </c>
      <c r="Y170" s="848">
        <f>Y150-Y160-Y166-Y172</f>
        <v>244.44424470646322</v>
      </c>
      <c r="Z170" s="848">
        <f>Z150-Z160-Z166-Z172</f>
        <v>222.45960665765108</v>
      </c>
      <c r="AA170" s="848">
        <f>AA150-AA160-AA166-AA172</f>
        <v>201.84977391305165</v>
      </c>
    </row>
    <row r="172" spans="2:27">
      <c r="B172" s="685" t="s">
        <v>962</v>
      </c>
      <c r="G172" s="848">
        <f t="shared" ref="G172:O172" si="143">G150-G160-G166</f>
        <v>-1104.9195500000003</v>
      </c>
      <c r="H172" s="848">
        <f t="shared" si="143"/>
        <v>1464.1368400000001</v>
      </c>
      <c r="I172" s="848">
        <f t="shared" si="143"/>
        <v>-4523.8830000000016</v>
      </c>
      <c r="J172" s="848">
        <f t="shared" si="143"/>
        <v>-130.43963999999983</v>
      </c>
      <c r="K172" s="848">
        <f t="shared" si="143"/>
        <v>114.34187999999881</v>
      </c>
      <c r="L172" s="848">
        <f t="shared" si="143"/>
        <v>117.90507999999977</v>
      </c>
      <c r="M172" s="848">
        <f t="shared" si="143"/>
        <v>1945.1856999999993</v>
      </c>
      <c r="N172" s="848">
        <f t="shared" si="143"/>
        <v>4303.4306000000006</v>
      </c>
      <c r="O172" s="848">
        <f t="shared" si="143"/>
        <v>4040.2530000000006</v>
      </c>
      <c r="P172" s="848">
        <f ca="1">(P150-P160-P166)*0.8</f>
        <v>2713.3691726618704</v>
      </c>
      <c r="Q172" s="848">
        <f t="shared" ref="Q172:V172" si="144">(Q150-Q160-Q166)*0.8</f>
        <v>1934.9422399999996</v>
      </c>
      <c r="R172" s="848">
        <f t="shared" si="144"/>
        <v>1817.9024107593914</v>
      </c>
      <c r="S172" s="848">
        <f t="shared" si="144"/>
        <v>1247.0298400000001</v>
      </c>
      <c r="T172" s="848">
        <f t="shared" si="144"/>
        <v>1559.2136</v>
      </c>
      <c r="U172" s="848">
        <f t="shared" si="144"/>
        <v>1105.90097879623</v>
      </c>
      <c r="V172" s="848">
        <f t="shared" si="144"/>
        <v>1289.4940629426374</v>
      </c>
      <c r="W172" s="848">
        <f>(W150-W160-W166)*0.8</f>
        <v>1171.3769997201234</v>
      </c>
      <c r="X172" s="848">
        <f>(X150-X160-X166)*0.8</f>
        <v>1071.5173811309</v>
      </c>
      <c r="Y172" s="848">
        <f>(Y150-Y160-Y166)*0.8</f>
        <v>977.77697882585312</v>
      </c>
      <c r="Z172" s="848">
        <f>(Z150-Z160-Z166)*0.8</f>
        <v>889.83842663060466</v>
      </c>
      <c r="AA172" s="848">
        <f>(AA150-AA160-AA166)*0.8</f>
        <v>807.39909565220705</v>
      </c>
    </row>
    <row r="174" spans="2:27">
      <c r="B174" s="685" t="s">
        <v>519</v>
      </c>
      <c r="H174" s="848">
        <f t="shared" ref="H174:V174" si="145">H58-G58</f>
        <v>950</v>
      </c>
      <c r="I174" s="848">
        <f t="shared" si="145"/>
        <v>1122</v>
      </c>
      <c r="J174" s="848">
        <f t="shared" si="145"/>
        <v>841</v>
      </c>
      <c r="K174" s="848">
        <f t="shared" si="145"/>
        <v>634</v>
      </c>
      <c r="L174" s="848">
        <f t="shared" si="145"/>
        <v>646.13799999999992</v>
      </c>
      <c r="M174" s="848">
        <f t="shared" si="145"/>
        <v>727.56700000000001</v>
      </c>
      <c r="N174" s="848">
        <f t="shared" si="145"/>
        <v>8.0119999999997162</v>
      </c>
      <c r="O174" s="848">
        <f t="shared" si="145"/>
        <v>-349.70399999999972</v>
      </c>
      <c r="P174" s="848">
        <f t="shared" si="145"/>
        <v>-218.35400000000027</v>
      </c>
      <c r="Q174" s="848">
        <f t="shared" si="145"/>
        <v>47.341000000000349</v>
      </c>
      <c r="R174" s="848">
        <f t="shared" si="145"/>
        <v>-69</v>
      </c>
      <c r="S174" s="848">
        <f t="shared" si="145"/>
        <v>-1150.9409999999998</v>
      </c>
      <c r="T174" s="848">
        <f t="shared" si="145"/>
        <v>-689.63299999999981</v>
      </c>
      <c r="U174" s="848">
        <f t="shared" si="145"/>
        <v>-244.90492259916027</v>
      </c>
      <c r="V174" s="848">
        <f t="shared" si="145"/>
        <v>-80.50252378989444</v>
      </c>
      <c r="W174" s="848">
        <f>W58-V58</f>
        <v>-103.52883576993736</v>
      </c>
      <c r="X174" s="848">
        <f>X58-W58</f>
        <v>-103.52883576993736</v>
      </c>
      <c r="Y174" s="848">
        <f>Y58-X58</f>
        <v>-103.52883576993736</v>
      </c>
      <c r="Z174" s="848">
        <f>Z58-Y58</f>
        <v>-103.52883576993736</v>
      </c>
      <c r="AA174" s="848">
        <f>AA58-Z58</f>
        <v>-103.52883576993736</v>
      </c>
    </row>
    <row r="175" spans="2:27">
      <c r="B175" s="685" t="s">
        <v>1090</v>
      </c>
      <c r="H175" s="869">
        <v>1.4999999999999999E-2</v>
      </c>
      <c r="I175" s="869">
        <v>1.4999999999999999E-2</v>
      </c>
      <c r="J175" s="869">
        <v>1.4999999999999999E-2</v>
      </c>
      <c r="K175" s="869">
        <v>1.4999999999999999E-2</v>
      </c>
      <c r="L175" s="869">
        <v>1.4999999999999999E-2</v>
      </c>
      <c r="M175" s="869">
        <v>1.4999999999999999E-2</v>
      </c>
      <c r="N175" s="869">
        <v>1.4999999999999999E-2</v>
      </c>
      <c r="O175" s="869">
        <v>1.4999999999999999E-2</v>
      </c>
      <c r="P175" s="869">
        <v>1.4999999999999999E-2</v>
      </c>
      <c r="Q175" s="869">
        <v>1.4999999999999999E-2</v>
      </c>
      <c r="R175" s="869">
        <v>1.4999999999999999E-2</v>
      </c>
      <c r="S175" s="869">
        <v>1.4999999999999999E-2</v>
      </c>
      <c r="T175" s="869">
        <v>1.4999999999999999E-2</v>
      </c>
      <c r="U175" s="869">
        <v>1.4999999999999999E-2</v>
      </c>
      <c r="V175" s="869">
        <v>1.4999999999999999E-2</v>
      </c>
      <c r="W175" s="869">
        <v>1.4999999999999999E-2</v>
      </c>
      <c r="X175" s="869">
        <v>1.4999999999999999E-2</v>
      </c>
      <c r="Y175" s="869">
        <v>1.4999999999999999E-2</v>
      </c>
      <c r="Z175" s="869">
        <v>1.4999999999999999E-2</v>
      </c>
      <c r="AA175" s="869">
        <v>1.4999999999999999E-2</v>
      </c>
    </row>
    <row r="176" spans="2:27">
      <c r="B176" s="685" t="s">
        <v>1092</v>
      </c>
      <c r="H176" s="848">
        <f t="shared" ref="H176:V176" si="146">H175*12*G58</f>
        <v>521.81999999999994</v>
      </c>
      <c r="I176" s="848">
        <f t="shared" si="146"/>
        <v>692.81999999999994</v>
      </c>
      <c r="J176" s="848">
        <f t="shared" si="146"/>
        <v>894.78</v>
      </c>
      <c r="K176" s="848">
        <f t="shared" si="146"/>
        <v>1046.1599999999999</v>
      </c>
      <c r="L176" s="848">
        <f t="shared" si="146"/>
        <v>1160.28</v>
      </c>
      <c r="M176" s="848">
        <f t="shared" si="146"/>
        <v>1276.58484</v>
      </c>
      <c r="N176" s="848">
        <f t="shared" si="146"/>
        <v>1407.5468999999998</v>
      </c>
      <c r="O176" s="848">
        <f t="shared" si="146"/>
        <v>1408.9890599999999</v>
      </c>
      <c r="P176" s="848">
        <f t="shared" si="146"/>
        <v>1346.04234</v>
      </c>
      <c r="Q176" s="848">
        <f t="shared" si="146"/>
        <v>1306.7386199999999</v>
      </c>
      <c r="R176" s="848">
        <f t="shared" si="146"/>
        <v>1315.26</v>
      </c>
      <c r="S176" s="848">
        <f t="shared" si="146"/>
        <v>1302.8399999999999</v>
      </c>
      <c r="T176" s="848">
        <f t="shared" si="146"/>
        <v>1095.6706200000001</v>
      </c>
      <c r="U176" s="848">
        <f t="shared" si="146"/>
        <v>971.53668000000005</v>
      </c>
      <c r="V176" s="848">
        <f t="shared" si="146"/>
        <v>927.45379393215114</v>
      </c>
      <c r="W176" s="848">
        <f>W175*12*V58</f>
        <v>912.96333964997018</v>
      </c>
      <c r="X176" s="848">
        <f>X175*12*W58</f>
        <v>894.32814921138151</v>
      </c>
      <c r="Y176" s="848">
        <f>Y175*12*X58</f>
        <v>875.69295877279274</v>
      </c>
      <c r="Z176" s="848">
        <f>Z175*12*Y58</f>
        <v>857.05776833420407</v>
      </c>
      <c r="AA176" s="848">
        <f>AA175*12*Z58</f>
        <v>838.42257789561529</v>
      </c>
    </row>
    <row r="177" spans="2:27">
      <c r="B177" s="685" t="s">
        <v>1091</v>
      </c>
      <c r="H177" s="848">
        <f>H174+H176</f>
        <v>1471.82</v>
      </c>
      <c r="I177" s="848">
        <f t="shared" ref="I177:N177" si="147">I174+I176</f>
        <v>1814.82</v>
      </c>
      <c r="J177" s="848">
        <f t="shared" si="147"/>
        <v>1735.78</v>
      </c>
      <c r="K177" s="848">
        <f t="shared" si="147"/>
        <v>1680.1599999999999</v>
      </c>
      <c r="L177" s="848">
        <f t="shared" si="147"/>
        <v>1806.4179999999999</v>
      </c>
      <c r="M177" s="848">
        <f t="shared" si="147"/>
        <v>2004.15184</v>
      </c>
      <c r="N177" s="848">
        <f t="shared" si="147"/>
        <v>1415.5588999999995</v>
      </c>
      <c r="O177" s="848">
        <f t="shared" ref="O177:V177" si="148">O174+O176</f>
        <v>1059.2850600000002</v>
      </c>
      <c r="P177" s="848">
        <f t="shared" si="148"/>
        <v>1127.6883399999997</v>
      </c>
      <c r="Q177" s="848">
        <f t="shared" si="148"/>
        <v>1354.0796200000002</v>
      </c>
      <c r="R177" s="848">
        <f t="shared" si="148"/>
        <v>1246.26</v>
      </c>
      <c r="S177" s="848">
        <f t="shared" si="148"/>
        <v>151.89900000000011</v>
      </c>
      <c r="T177" s="848">
        <f t="shared" si="148"/>
        <v>406.03762000000029</v>
      </c>
      <c r="U177" s="848">
        <f t="shared" si="148"/>
        <v>726.63175740083977</v>
      </c>
      <c r="V177" s="848">
        <f t="shared" si="148"/>
        <v>846.9512701422567</v>
      </c>
      <c r="W177" s="848">
        <f>W174+W176</f>
        <v>809.43450388003282</v>
      </c>
      <c r="X177" s="848">
        <f>X174+X176</f>
        <v>790.79931344144416</v>
      </c>
      <c r="Y177" s="848">
        <f>Y174+Y176</f>
        <v>772.16412300285538</v>
      </c>
      <c r="Z177" s="848">
        <f>Z174+Z176</f>
        <v>753.52893256426671</v>
      </c>
      <c r="AA177" s="848">
        <f>AA174+AA176</f>
        <v>734.89374212567793</v>
      </c>
    </row>
    <row r="178" spans="2:27">
      <c r="B178" s="685" t="s">
        <v>1089</v>
      </c>
      <c r="H178" s="848">
        <f t="shared" ref="H178:V178" si="149">0.9*H128</f>
        <v>2704.9535999999998</v>
      </c>
      <c r="I178" s="848">
        <f t="shared" si="149"/>
        <v>3458.4480000000003</v>
      </c>
      <c r="J178" s="848">
        <f t="shared" si="149"/>
        <v>4567.1868000000004</v>
      </c>
      <c r="K178" s="848">
        <f t="shared" si="149"/>
        <v>4657.4352000000008</v>
      </c>
      <c r="L178" s="848">
        <f t="shared" si="149"/>
        <v>5164.7327999999998</v>
      </c>
      <c r="M178" s="848">
        <f t="shared" si="149"/>
        <v>5880.0690000000004</v>
      </c>
      <c r="N178" s="848">
        <f t="shared" si="149"/>
        <v>3595.9139999999998</v>
      </c>
      <c r="O178" s="848">
        <f t="shared" si="149"/>
        <v>3631.3199999999997</v>
      </c>
      <c r="P178" s="848">
        <f t="shared" si="149"/>
        <v>3622.6574999999998</v>
      </c>
      <c r="Q178" s="848">
        <f t="shared" si="149"/>
        <v>4836.8664000000008</v>
      </c>
      <c r="R178" s="848">
        <f t="shared" si="149"/>
        <v>4456.5261255652649</v>
      </c>
      <c r="S178" s="848">
        <f t="shared" si="149"/>
        <v>3494.9169000000002</v>
      </c>
      <c r="T178" s="848">
        <f t="shared" si="149"/>
        <v>2376.7559999999999</v>
      </c>
      <c r="U178" s="848">
        <f t="shared" si="149"/>
        <v>2040.2145180418934</v>
      </c>
      <c r="V178" s="848">
        <f t="shared" si="149"/>
        <v>1761.0196294397863</v>
      </c>
      <c r="W178" s="848">
        <f>0.9*W128</f>
        <v>1660.1501370166366</v>
      </c>
      <c r="X178" s="848">
        <f>0.9*X128</f>
        <v>1577.1367147807475</v>
      </c>
      <c r="Y178" s="848">
        <f>0.9*Y128</f>
        <v>1497.6099627556964</v>
      </c>
      <c r="Z178" s="848">
        <f>0.9*Z128</f>
        <v>1421.4353928088458</v>
      </c>
      <c r="AA178" s="848">
        <f>0.9*AA128</f>
        <v>1348.4834480923262</v>
      </c>
    </row>
    <row r="179" spans="2:27">
      <c r="B179" s="685" t="s">
        <v>1093</v>
      </c>
      <c r="H179" s="848">
        <f>H178*1000/H177</f>
        <v>1837.8290823606146</v>
      </c>
      <c r="I179" s="848">
        <f t="shared" ref="I179:N179" si="150">I178*1000/I177</f>
        <v>1905.6699838000466</v>
      </c>
      <c r="J179" s="848">
        <f t="shared" si="150"/>
        <v>2631.2014195347342</v>
      </c>
      <c r="K179" s="848">
        <f t="shared" si="150"/>
        <v>2772.0188553471107</v>
      </c>
      <c r="L179" s="848">
        <f t="shared" si="150"/>
        <v>2859.1017139997498</v>
      </c>
      <c r="M179" s="848">
        <f t="shared" si="150"/>
        <v>2933.9438672471042</v>
      </c>
      <c r="N179" s="848">
        <f t="shared" si="150"/>
        <v>2540.2786136274517</v>
      </c>
      <c r="O179" s="848">
        <f t="shared" ref="O179:V179" si="151">O178*1000/O177</f>
        <v>3428.0857317104037</v>
      </c>
      <c r="P179" s="848">
        <f t="shared" si="151"/>
        <v>3212.4633832783984</v>
      </c>
      <c r="Q179" s="848">
        <f t="shared" si="151"/>
        <v>3572.0694178973017</v>
      </c>
      <c r="R179" s="848">
        <f t="shared" si="151"/>
        <v>3575.920053251541</v>
      </c>
      <c r="S179" s="848">
        <f t="shared" si="151"/>
        <v>23008.16266071533</v>
      </c>
      <c r="T179" s="848">
        <f t="shared" si="151"/>
        <v>5853.5364284718207</v>
      </c>
      <c r="U179" s="848">
        <f t="shared" si="151"/>
        <v>2807.7695438742403</v>
      </c>
      <c r="V179" s="848">
        <f t="shared" si="151"/>
        <v>2079.2455144957744</v>
      </c>
      <c r="W179" s="848">
        <f>W178*1000/W177</f>
        <v>2050.9999623918789</v>
      </c>
      <c r="X179" s="848">
        <f>X178*1000/X177</f>
        <v>1994.3577187962856</v>
      </c>
      <c r="Y179" s="848">
        <f>Y178*1000/Y177</f>
        <v>1939.4969516735218</v>
      </c>
      <c r="Z179" s="848">
        <f>Z178*1000/Z177</f>
        <v>1886.371354012495</v>
      </c>
      <c r="AA179" s="848">
        <f>AA178*1000/AA177</f>
        <v>1834.9366320521954</v>
      </c>
    </row>
    <row r="180" spans="2:27">
      <c r="B180" s="685" t="s">
        <v>1094</v>
      </c>
      <c r="H180" s="848">
        <f>H179/Valuation!G19</f>
        <v>147.7354567813999</v>
      </c>
      <c r="I180" s="848">
        <f>I179/Valuation!H19</f>
        <v>144.80774952887893</v>
      </c>
      <c r="J180" s="848">
        <f>J179/Valuation!I19</f>
        <v>206.20700780052778</v>
      </c>
      <c r="K180" s="848">
        <f>K179/Valuation!J19</f>
        <v>208.2658794400534</v>
      </c>
      <c r="L180" s="848">
        <f>L179/Valuation!K19</f>
        <v>180.15763793319155</v>
      </c>
      <c r="M180" s="848">
        <f>M179/Valuation!L19</f>
        <v>155.64688950913018</v>
      </c>
      <c r="N180" s="848">
        <f>N179/Valuation!M19</f>
        <v>134.40627585330432</v>
      </c>
      <c r="O180" s="848">
        <f>O179/Valuation!N19</f>
        <v>178.08237567326773</v>
      </c>
      <c r="P180" s="848">
        <f>P179/Valuation!O19</f>
        <v>166.88121471576096</v>
      </c>
      <c r="Q180" s="848">
        <f>Q179/Valuation!P19</f>
        <v>166.29745893376636</v>
      </c>
      <c r="R180" s="848">
        <f>R179/Valuation!Q19</f>
        <v>176.2794280487218</v>
      </c>
      <c r="S180" s="848">
        <f>S179/Valuation!R19</f>
        <v>1144.1154977978781</v>
      </c>
      <c r="T180" s="848">
        <f>T179/Valuation!S19</f>
        <v>330.70827279501816</v>
      </c>
      <c r="U180" s="848">
        <f>U179/Valuation!T19</f>
        <v>164.8138966819817</v>
      </c>
      <c r="V180" s="848">
        <f>V179/Valuation!U19</f>
        <v>120.38941083294391</v>
      </c>
      <c r="W180" s="848">
        <f>W179/Valuation!V19</f>
        <v>116.42546910166078</v>
      </c>
      <c r="X180" s="848">
        <f>X179/Valuation!W19</f>
        <v>110.99035249423859</v>
      </c>
      <c r="Y180" s="848">
        <f>Y179/Valuation!X19</f>
        <v>105.82081497005787</v>
      </c>
      <c r="Z180" s="848">
        <f>Z179/Valuation!Y19</f>
        <v>100.90414841016074</v>
      </c>
      <c r="AA180" s="848">
        <f>AA179/Valuation!Z19</f>
        <v>96.228281033826264</v>
      </c>
    </row>
    <row r="182" spans="2:27">
      <c r="B182" s="874" t="s">
        <v>3268</v>
      </c>
    </row>
    <row r="184" spans="2:27">
      <c r="B184" s="857" t="s">
        <v>3249</v>
      </c>
      <c r="C184" s="743"/>
      <c r="D184" s="743"/>
      <c r="E184" s="743"/>
      <c r="F184" s="857">
        <f t="shared" ref="F184:N184" si="152">N32</f>
        <v>2017</v>
      </c>
      <c r="G184" s="857">
        <f t="shared" si="152"/>
        <v>2018</v>
      </c>
      <c r="H184" s="857">
        <f t="shared" si="152"/>
        <v>2019</v>
      </c>
      <c r="I184" s="857">
        <f t="shared" si="152"/>
        <v>2020</v>
      </c>
      <c r="J184" s="857">
        <f t="shared" si="152"/>
        <v>2021</v>
      </c>
      <c r="K184" s="857">
        <f t="shared" si="152"/>
        <v>2022</v>
      </c>
      <c r="L184" s="857">
        <f t="shared" si="152"/>
        <v>2023</v>
      </c>
      <c r="M184" s="857">
        <f t="shared" si="152"/>
        <v>2024</v>
      </c>
      <c r="N184" s="857">
        <f t="shared" si="152"/>
        <v>2025</v>
      </c>
    </row>
    <row r="185" spans="2:27">
      <c r="B185" s="874"/>
      <c r="F185" s="874"/>
      <c r="G185" s="874"/>
      <c r="H185" s="874"/>
      <c r="I185" s="874"/>
      <c r="J185" s="874"/>
      <c r="K185" s="874"/>
      <c r="L185" s="874"/>
      <c r="M185" s="874"/>
      <c r="N185" s="874"/>
    </row>
    <row r="186" spans="2:27">
      <c r="B186" s="1047" t="s">
        <v>3289</v>
      </c>
      <c r="C186" s="1045" t="s">
        <v>899</v>
      </c>
      <c r="D186" s="1045" t="s">
        <v>899</v>
      </c>
      <c r="E186" s="1045" t="s">
        <v>899</v>
      </c>
      <c r="F186" s="1046">
        <f>N58</f>
        <v>7827.7169999999996</v>
      </c>
      <c r="G186" s="1046">
        <f t="shared" ref="G186:N186" si="153">O58</f>
        <v>7478.0129999999999</v>
      </c>
      <c r="H186" s="1046">
        <f t="shared" si="153"/>
        <v>7259.6589999999997</v>
      </c>
      <c r="I186" s="1046">
        <f t="shared" si="153"/>
        <v>7307</v>
      </c>
      <c r="J186" s="1046">
        <f t="shared" si="153"/>
        <v>7238</v>
      </c>
      <c r="K186" s="1046">
        <f t="shared" si="153"/>
        <v>6087.0590000000002</v>
      </c>
      <c r="L186" s="1046">
        <f t="shared" si="153"/>
        <v>5397.4260000000004</v>
      </c>
      <c r="M186" s="1046">
        <f t="shared" si="153"/>
        <v>5152.5210774008401</v>
      </c>
      <c r="N186" s="1048">
        <f t="shared" si="153"/>
        <v>5072.0185536109457</v>
      </c>
    </row>
    <row r="188" spans="2:27">
      <c r="B188" s="685" t="s">
        <v>3290</v>
      </c>
      <c r="F188" s="848">
        <f>'Cable cos'!L114</f>
        <v>16738</v>
      </c>
      <c r="G188" s="848">
        <f>'Cable cos'!M114</f>
        <v>18360</v>
      </c>
      <c r="H188" s="848">
        <f>'Cable cos'!N114</f>
        <v>19410.619469026551</v>
      </c>
      <c r="I188" s="848">
        <f>'Cable cos'!O114</f>
        <v>21934</v>
      </c>
      <c r="J188" s="848">
        <f>'Cable cos'!P114</f>
        <v>24576</v>
      </c>
      <c r="K188" s="848">
        <f>'Cable cos'!Q114</f>
        <v>24752.4804</v>
      </c>
      <c r="L188" s="848">
        <f>'Cable cos'!R114</f>
        <v>26066.639228</v>
      </c>
      <c r="M188" s="848">
        <f>'Cable cos'!S114</f>
        <v>27254.264816080002</v>
      </c>
      <c r="N188" s="848">
        <f>'Cable cos'!T114</f>
        <v>28478.108371992003</v>
      </c>
    </row>
    <row r="189" spans="2:27">
      <c r="B189" s="685" t="s">
        <v>687</v>
      </c>
      <c r="F189" s="807">
        <f>'Cable cos'!L123</f>
        <v>0.47735973597359738</v>
      </c>
      <c r="G189" s="807">
        <f>'Cable cos'!M123</f>
        <v>0.52</v>
      </c>
      <c r="H189" s="807">
        <f>'Cable cos'!N123</f>
        <v>0.54502011263073213</v>
      </c>
      <c r="I189" s="807">
        <f>'Cable cos'!O123</f>
        <v>0.61848874598070736</v>
      </c>
      <c r="J189" s="807">
        <f>'Cable cos'!P123</f>
        <v>0.65348874598070739</v>
      </c>
      <c r="K189" s="807">
        <f>'Cable cos'!Q123</f>
        <v>0.67848874598070741</v>
      </c>
      <c r="L189" s="807">
        <f>'Cable cos'!R123</f>
        <v>0.70348874598070743</v>
      </c>
      <c r="M189" s="807">
        <f>'Cable cos'!S123</f>
        <v>0.72348874598070745</v>
      </c>
      <c r="N189" s="807">
        <f>'Cable cos'!T123</f>
        <v>0.74348874598070747</v>
      </c>
    </row>
    <row r="191" spans="2:27">
      <c r="B191" s="685" t="str">
        <f>B68</f>
        <v>Bitstream / re-selling subs, 000s</v>
      </c>
      <c r="C191" s="685">
        <f>C68</f>
        <v>0</v>
      </c>
      <c r="D191" s="685">
        <f>D68</f>
        <v>0</v>
      </c>
      <c r="E191" s="685">
        <f>E68</f>
        <v>0</v>
      </c>
      <c r="F191" s="849">
        <f t="shared" ref="F191:N196" si="154">N68</f>
        <v>0</v>
      </c>
      <c r="G191" s="849">
        <f t="shared" si="154"/>
        <v>0</v>
      </c>
      <c r="H191" s="849">
        <f t="shared" si="154"/>
        <v>386</v>
      </c>
      <c r="I191" s="849">
        <f t="shared" si="154"/>
        <v>599.4</v>
      </c>
      <c r="J191" s="849">
        <f t="shared" si="154"/>
        <v>581.7808</v>
      </c>
      <c r="K191" s="849">
        <f t="shared" si="154"/>
        <v>512.23519999999996</v>
      </c>
      <c r="L191" s="849">
        <f t="shared" si="154"/>
        <v>412.07120000000009</v>
      </c>
      <c r="M191" s="849">
        <f t="shared" si="154"/>
        <v>392.07120000000009</v>
      </c>
      <c r="N191" s="849">
        <f t="shared" si="154"/>
        <v>372.07120000000009</v>
      </c>
    </row>
    <row r="192" spans="2:27">
      <c r="B192" s="685" t="s">
        <v>3273</v>
      </c>
      <c r="C192" s="685">
        <f t="shared" ref="C192:E196" si="155">C69</f>
        <v>0</v>
      </c>
      <c r="D192" s="685">
        <f t="shared" si="155"/>
        <v>0</v>
      </c>
      <c r="E192" s="685">
        <f t="shared" si="155"/>
        <v>0</v>
      </c>
      <c r="F192" s="807">
        <f t="shared" si="154"/>
        <v>0</v>
      </c>
      <c r="G192" s="807">
        <f t="shared" si="154"/>
        <v>1</v>
      </c>
      <c r="H192" s="807">
        <f t="shared" si="154"/>
        <v>1</v>
      </c>
      <c r="I192" s="807">
        <f t="shared" si="154"/>
        <v>0.9</v>
      </c>
      <c r="J192" s="807">
        <f t="shared" si="154"/>
        <v>0.8</v>
      </c>
      <c r="K192" s="807">
        <f t="shared" si="154"/>
        <v>0.8</v>
      </c>
      <c r="L192" s="807">
        <f t="shared" si="154"/>
        <v>0.8</v>
      </c>
      <c r="M192" s="807">
        <f t="shared" si="154"/>
        <v>0.8</v>
      </c>
      <c r="N192" s="807">
        <f t="shared" si="154"/>
        <v>0.8</v>
      </c>
    </row>
    <row r="193" spans="2:14">
      <c r="B193" s="685" t="str">
        <f>B70</f>
        <v>ULL subs, 000s</v>
      </c>
      <c r="C193" s="685">
        <f t="shared" si="155"/>
        <v>0</v>
      </c>
      <c r="D193" s="685">
        <f t="shared" si="155"/>
        <v>0</v>
      </c>
      <c r="E193" s="685">
        <f t="shared" si="155"/>
        <v>0</v>
      </c>
      <c r="F193" s="848">
        <f t="shared" si="154"/>
        <v>0</v>
      </c>
      <c r="G193" s="848">
        <f t="shared" si="154"/>
        <v>0</v>
      </c>
      <c r="H193" s="848">
        <f t="shared" si="154"/>
        <v>0</v>
      </c>
      <c r="I193" s="848">
        <f t="shared" si="154"/>
        <v>66.600000000000023</v>
      </c>
      <c r="J193" s="848">
        <f t="shared" si="154"/>
        <v>145.4452</v>
      </c>
      <c r="K193" s="848">
        <f t="shared" si="154"/>
        <v>128.05880000000002</v>
      </c>
      <c r="L193" s="848">
        <f t="shared" si="154"/>
        <v>103.01779999999997</v>
      </c>
      <c r="M193" s="848">
        <f t="shared" si="154"/>
        <v>98.017799999999966</v>
      </c>
      <c r="N193" s="848">
        <f t="shared" si="154"/>
        <v>93.017799999999966</v>
      </c>
    </row>
    <row r="194" spans="2:14">
      <c r="B194" s="743" t="s">
        <v>3273</v>
      </c>
      <c r="C194" s="743">
        <f t="shared" si="155"/>
        <v>0</v>
      </c>
      <c r="D194" s="743">
        <f t="shared" si="155"/>
        <v>0</v>
      </c>
      <c r="E194" s="743">
        <f t="shared" si="155"/>
        <v>0</v>
      </c>
      <c r="F194" s="910">
        <f t="shared" si="154"/>
        <v>0</v>
      </c>
      <c r="G194" s="910">
        <f t="shared" si="154"/>
        <v>0</v>
      </c>
      <c r="H194" s="910">
        <f t="shared" si="154"/>
        <v>0</v>
      </c>
      <c r="I194" s="910">
        <f t="shared" si="154"/>
        <v>0.10000000000000003</v>
      </c>
      <c r="J194" s="910">
        <f t="shared" si="154"/>
        <v>0.2</v>
      </c>
      <c r="K194" s="910">
        <f t="shared" si="154"/>
        <v>0.20000000000000004</v>
      </c>
      <c r="L194" s="910">
        <f t="shared" si="154"/>
        <v>0.1999999999999999</v>
      </c>
      <c r="M194" s="910">
        <f t="shared" si="154"/>
        <v>0.1999999999999999</v>
      </c>
      <c r="N194" s="910">
        <f t="shared" si="154"/>
        <v>0.1999999999999999</v>
      </c>
    </row>
    <row r="195" spans="2:14">
      <c r="B195" s="685" t="s">
        <v>3291</v>
      </c>
      <c r="C195" s="685">
        <f t="shared" si="155"/>
        <v>0</v>
      </c>
      <c r="D195" s="685">
        <f t="shared" si="155"/>
        <v>0</v>
      </c>
      <c r="E195" s="685">
        <f t="shared" si="155"/>
        <v>0</v>
      </c>
      <c r="F195" s="848">
        <f t="shared" si="154"/>
        <v>0</v>
      </c>
      <c r="G195" s="848">
        <f t="shared" si="154"/>
        <v>0</v>
      </c>
      <c r="H195" s="848">
        <f t="shared" si="154"/>
        <v>386</v>
      </c>
      <c r="I195" s="848">
        <f t="shared" si="154"/>
        <v>666</v>
      </c>
      <c r="J195" s="848">
        <f t="shared" si="154"/>
        <v>727.226</v>
      </c>
      <c r="K195" s="848">
        <f t="shared" si="154"/>
        <v>640.29399999999998</v>
      </c>
      <c r="L195" s="848">
        <f t="shared" si="154"/>
        <v>515.08900000000006</v>
      </c>
      <c r="M195" s="848">
        <f t="shared" si="154"/>
        <v>490.08900000000006</v>
      </c>
      <c r="N195" s="848">
        <f t="shared" si="154"/>
        <v>465.08900000000006</v>
      </c>
    </row>
    <row r="196" spans="2:14">
      <c r="B196" s="685" t="str">
        <f>B73</f>
        <v>as % TV</v>
      </c>
      <c r="C196" s="685">
        <f t="shared" si="155"/>
        <v>0</v>
      </c>
      <c r="D196" s="685">
        <f t="shared" si="155"/>
        <v>0</v>
      </c>
      <c r="E196" s="685">
        <f t="shared" si="155"/>
        <v>0</v>
      </c>
      <c r="F196" s="807">
        <f t="shared" si="154"/>
        <v>0</v>
      </c>
      <c r="G196" s="807">
        <f t="shared" si="154"/>
        <v>0</v>
      </c>
      <c r="H196" s="807">
        <f t="shared" si="154"/>
        <v>5.3170541481356082E-2</v>
      </c>
      <c r="I196" s="807">
        <f t="shared" si="154"/>
        <v>9.114547693992063E-2</v>
      </c>
      <c r="J196" s="807">
        <f t="shared" si="154"/>
        <v>0.10047333517546284</v>
      </c>
      <c r="K196" s="807">
        <f t="shared" si="154"/>
        <v>0.10518938620440511</v>
      </c>
      <c r="L196" s="807">
        <f t="shared" si="154"/>
        <v>9.5432341267856199E-2</v>
      </c>
      <c r="M196" s="807">
        <f t="shared" si="154"/>
        <v>9.5116350353140658E-2</v>
      </c>
      <c r="N196" s="807">
        <f t="shared" si="154"/>
        <v>9.1697022612207732E-2</v>
      </c>
    </row>
    <row r="197" spans="2:14">
      <c r="B197" s="685" t="str">
        <f>B75</f>
        <v>Voice subs, 000s</v>
      </c>
      <c r="C197" s="685">
        <f t="shared" ref="C197:E198" si="156">C75</f>
        <v>0</v>
      </c>
      <c r="D197" s="685">
        <f t="shared" si="156"/>
        <v>0</v>
      </c>
      <c r="E197" s="685">
        <f t="shared" si="156"/>
        <v>0</v>
      </c>
      <c r="F197" s="848">
        <f t="shared" ref="F197:N198" si="157">N75</f>
        <v>0</v>
      </c>
      <c r="G197" s="848">
        <f t="shared" si="157"/>
        <v>0</v>
      </c>
      <c r="H197" s="848">
        <f t="shared" si="157"/>
        <v>1.145</v>
      </c>
      <c r="I197" s="848">
        <f t="shared" si="157"/>
        <v>0.89200000000000002</v>
      </c>
      <c r="J197" s="848">
        <f t="shared" si="157"/>
        <v>0.60099999999999998</v>
      </c>
      <c r="K197" s="848">
        <f t="shared" si="157"/>
        <v>0.45300000000000001</v>
      </c>
      <c r="L197" s="848">
        <f t="shared" si="157"/>
        <v>0.34399999999999997</v>
      </c>
      <c r="M197" s="848">
        <f t="shared" si="157"/>
        <v>0.29399999999999998</v>
      </c>
      <c r="N197" s="848">
        <f t="shared" si="157"/>
        <v>0.26400000000000001</v>
      </c>
    </row>
    <row r="198" spans="2:14">
      <c r="B198" s="685" t="str">
        <f>B76</f>
        <v>as % TV</v>
      </c>
      <c r="C198" s="685">
        <f t="shared" si="156"/>
        <v>0</v>
      </c>
      <c r="D198" s="685">
        <f t="shared" si="156"/>
        <v>0</v>
      </c>
      <c r="E198" s="685">
        <f t="shared" si="156"/>
        <v>0</v>
      </c>
      <c r="F198" s="869">
        <f t="shared" si="157"/>
        <v>0</v>
      </c>
      <c r="G198" s="869">
        <f t="shared" si="157"/>
        <v>0</v>
      </c>
      <c r="H198" s="869">
        <f t="shared" si="157"/>
        <v>1.5772090672578425E-4</v>
      </c>
      <c r="I198" s="869">
        <f t="shared" si="157"/>
        <v>1.2207472286848229E-4</v>
      </c>
      <c r="J198" s="869">
        <f t="shared" si="157"/>
        <v>8.3033987289306437E-5</v>
      </c>
      <c r="K198" s="869">
        <f t="shared" si="157"/>
        <v>7.4420175654614154E-5</v>
      </c>
      <c r="L198" s="869">
        <f t="shared" si="157"/>
        <v>6.3734083616894411E-5</v>
      </c>
      <c r="M198" s="869">
        <f t="shared" si="157"/>
        <v>5.7059446353261037E-5</v>
      </c>
      <c r="N198" s="869">
        <f t="shared" si="157"/>
        <v>5.2050282783774375E-5</v>
      </c>
    </row>
    <row r="200" spans="2:14">
      <c r="B200" s="685" t="s">
        <v>3292</v>
      </c>
    </row>
    <row r="201" spans="2:14">
      <c r="B201" s="685" t="s">
        <v>665</v>
      </c>
      <c r="F201" s="869">
        <f>'Cable cos'!L126</f>
        <v>0.55359063209463499</v>
      </c>
      <c r="G201" s="869">
        <f>'Cable cos'!M126</f>
        <v>0.52407407407407403</v>
      </c>
      <c r="H201" s="869">
        <f>'Cable cos'!N126</f>
        <v>0.49936582474696811</v>
      </c>
      <c r="I201" s="869">
        <f>'Cable cos'!O126</f>
        <v>0.45641469864137868</v>
      </c>
      <c r="J201" s="869">
        <f>'Cable cos'!P126</f>
        <v>0.40840657552083331</v>
      </c>
      <c r="K201" s="869">
        <f>'Cable cos'!Q126</f>
        <v>0.40500991569313594</v>
      </c>
      <c r="L201" s="869">
        <f>'Cable cos'!R126</f>
        <v>0.40239172791914929</v>
      </c>
      <c r="M201" s="869">
        <f>'Cable cos'!S126</f>
        <v>0.38239172791914927</v>
      </c>
      <c r="N201" s="869">
        <f>'Cable cos'!T126</f>
        <v>0.36239172791914925</v>
      </c>
    </row>
    <row r="202" spans="2:14">
      <c r="B202" s="685" t="s">
        <v>3293</v>
      </c>
      <c r="F202" s="869" t="e">
        <f>'Cable cos'!#REF!</f>
        <v>#REF!</v>
      </c>
      <c r="G202" s="869" t="e">
        <f>'Cable cos'!#REF!</f>
        <v>#REF!</v>
      </c>
      <c r="H202" s="869" t="e">
        <f>'Cable cos'!#REF!</f>
        <v>#REF!</v>
      </c>
      <c r="I202" s="869" t="e">
        <f>'Cable cos'!#REF!</f>
        <v>#REF!</v>
      </c>
      <c r="J202" s="869" t="e">
        <f>'Cable cos'!#REF!</f>
        <v>#REF!</v>
      </c>
      <c r="K202" s="869" t="e">
        <f>'Cable cos'!#REF!</f>
        <v>#REF!</v>
      </c>
      <c r="L202" s="869" t="e">
        <f>'Cable cos'!#REF!</f>
        <v>#REF!</v>
      </c>
      <c r="M202" s="869" t="e">
        <f>'Cable cos'!#REF!</f>
        <v>#REF!</v>
      </c>
      <c r="N202" s="869" t="e">
        <f>'Cable cos'!#REF!</f>
        <v>#REF!</v>
      </c>
    </row>
    <row r="203" spans="2:14">
      <c r="B203" s="743" t="s">
        <v>3294</v>
      </c>
      <c r="C203" s="743"/>
      <c r="D203" s="743"/>
      <c r="E203" s="743"/>
      <c r="F203" s="1026" t="e">
        <f>100%-F202-F201</f>
        <v>#REF!</v>
      </c>
      <c r="G203" s="1026" t="e">
        <f t="shared" ref="G203:N203" si="158">100%-G202-G201</f>
        <v>#REF!</v>
      </c>
      <c r="H203" s="1026" t="e">
        <f t="shared" si="158"/>
        <v>#REF!</v>
      </c>
      <c r="I203" s="1026" t="e">
        <f t="shared" si="158"/>
        <v>#REF!</v>
      </c>
      <c r="J203" s="1026" t="e">
        <f t="shared" si="158"/>
        <v>#REF!</v>
      </c>
      <c r="K203" s="1026" t="e">
        <f t="shared" si="158"/>
        <v>#REF!</v>
      </c>
      <c r="L203" s="1026" t="e">
        <f t="shared" si="158"/>
        <v>#REF!</v>
      </c>
      <c r="M203" s="1026" t="e">
        <f t="shared" si="158"/>
        <v>#REF!</v>
      </c>
      <c r="N203" s="1026" t="e">
        <f t="shared" si="158"/>
        <v>#REF!</v>
      </c>
    </row>
    <row r="204" spans="2:14">
      <c r="B204" s="685" t="s">
        <v>98</v>
      </c>
      <c r="F204" s="869" t="e">
        <f>SUM(F201:F203)</f>
        <v>#REF!</v>
      </c>
      <c r="G204" s="869" t="e">
        <f t="shared" ref="G204:N204" si="159">SUM(G201:G203)</f>
        <v>#REF!</v>
      </c>
      <c r="H204" s="869" t="e">
        <f t="shared" si="159"/>
        <v>#REF!</v>
      </c>
      <c r="I204" s="869" t="e">
        <f t="shared" si="159"/>
        <v>#REF!</v>
      </c>
      <c r="J204" s="869" t="e">
        <f t="shared" si="159"/>
        <v>#REF!</v>
      </c>
      <c r="K204" s="869" t="e">
        <f t="shared" si="159"/>
        <v>#REF!</v>
      </c>
      <c r="L204" s="869" t="e">
        <f t="shared" si="159"/>
        <v>#REF!</v>
      </c>
      <c r="M204" s="869" t="e">
        <f t="shared" si="159"/>
        <v>#REF!</v>
      </c>
      <c r="N204" s="869" t="e">
        <f t="shared" si="159"/>
        <v>#REF!</v>
      </c>
    </row>
    <row r="206" spans="2:14">
      <c r="B206" s="685" t="str">
        <f t="shared" ref="B206:E208" si="160">B78</f>
        <v>Est dual-play ARPU of Telmex, MXN / m</v>
      </c>
      <c r="C206" s="685">
        <f t="shared" si="160"/>
        <v>0</v>
      </c>
      <c r="D206" s="685">
        <f t="shared" si="160"/>
        <v>0</v>
      </c>
      <c r="E206" s="685">
        <f t="shared" si="160"/>
        <v>0</v>
      </c>
      <c r="F206" s="808">
        <f t="shared" ref="F206:N208" si="161">N78</f>
        <v>311.20000000000005</v>
      </c>
      <c r="G206" s="808">
        <f t="shared" si="161"/>
        <v>299.9518072289157</v>
      </c>
      <c r="H206" s="808">
        <f t="shared" si="161"/>
        <v>289.48837209302332</v>
      </c>
      <c r="I206" s="808">
        <f t="shared" si="161"/>
        <v>279.7303370786517</v>
      </c>
      <c r="J206" s="808">
        <f t="shared" si="161"/>
        <v>276.62222222222226</v>
      </c>
      <c r="K206" s="808">
        <f t="shared" si="161"/>
        <v>276.62222222222226</v>
      </c>
      <c r="L206" s="808">
        <f t="shared" si="161"/>
        <v>276.62222222222226</v>
      </c>
      <c r="M206" s="808">
        <f t="shared" si="161"/>
        <v>276.62222222222226</v>
      </c>
      <c r="N206" s="808">
        <f t="shared" si="161"/>
        <v>276.62222222222226</v>
      </c>
    </row>
    <row r="207" spans="2:14">
      <c r="B207" s="685" t="str">
        <f t="shared" si="160"/>
        <v>% change</v>
      </c>
      <c r="C207" s="685">
        <f t="shared" si="160"/>
        <v>0</v>
      </c>
      <c r="D207" s="685">
        <f t="shared" si="160"/>
        <v>0</v>
      </c>
      <c r="E207" s="685">
        <f t="shared" si="160"/>
        <v>0</v>
      </c>
      <c r="F207" s="807">
        <f t="shared" si="161"/>
        <v>0</v>
      </c>
      <c r="G207" s="807">
        <f t="shared" si="161"/>
        <v>-3.6144578313253017E-2</v>
      </c>
      <c r="H207" s="807">
        <f t="shared" si="161"/>
        <v>-3.4883720930232509E-2</v>
      </c>
      <c r="I207" s="807">
        <f t="shared" si="161"/>
        <v>-3.3707865168539519E-2</v>
      </c>
      <c r="J207" s="807">
        <f t="shared" si="161"/>
        <v>-1.1111111111111072E-2</v>
      </c>
      <c r="K207" s="807">
        <f t="shared" si="161"/>
        <v>0</v>
      </c>
      <c r="L207" s="807">
        <f t="shared" si="161"/>
        <v>0</v>
      </c>
      <c r="M207" s="807">
        <f t="shared" si="161"/>
        <v>0</v>
      </c>
      <c r="N207" s="807">
        <f t="shared" si="161"/>
        <v>0</v>
      </c>
    </row>
    <row r="208" spans="2:14">
      <c r="B208" s="685" t="str">
        <f t="shared" si="160"/>
        <v>discount</v>
      </c>
      <c r="C208" s="685">
        <f t="shared" si="160"/>
        <v>0</v>
      </c>
      <c r="D208" s="685">
        <f t="shared" si="160"/>
        <v>0</v>
      </c>
      <c r="E208" s="685">
        <f t="shared" si="160"/>
        <v>0</v>
      </c>
      <c r="F208" s="807">
        <f t="shared" si="161"/>
        <v>0.2</v>
      </c>
      <c r="G208" s="807">
        <f t="shared" si="161"/>
        <v>0.17</v>
      </c>
      <c r="H208" s="807">
        <f t="shared" si="161"/>
        <v>0.14000000000000001</v>
      </c>
      <c r="I208" s="807">
        <f t="shared" si="161"/>
        <v>0.11000000000000001</v>
      </c>
      <c r="J208" s="807">
        <f t="shared" si="161"/>
        <v>0.10000000000000002</v>
      </c>
      <c r="K208" s="807">
        <f t="shared" si="161"/>
        <v>0.10000000000000002</v>
      </c>
      <c r="L208" s="807">
        <f t="shared" si="161"/>
        <v>0.10000000000000002</v>
      </c>
      <c r="M208" s="807">
        <f t="shared" si="161"/>
        <v>0.10000000000000002</v>
      </c>
      <c r="N208" s="807">
        <f t="shared" si="161"/>
        <v>0.10000000000000002</v>
      </c>
    </row>
    <row r="209" spans="2:14">
      <c r="C209" s="685">
        <f t="shared" ref="C209:E214" si="162">C81</f>
        <v>0</v>
      </c>
      <c r="D209" s="685">
        <f t="shared" si="162"/>
        <v>0</v>
      </c>
      <c r="E209" s="685">
        <f t="shared" si="162"/>
        <v>0</v>
      </c>
    </row>
    <row r="210" spans="2:14">
      <c r="B210" s="685" t="str">
        <f>B82</f>
        <v>SKY dual-play price, MXN / m</v>
      </c>
      <c r="C210" s="685">
        <f t="shared" si="162"/>
        <v>0</v>
      </c>
      <c r="D210" s="685">
        <f t="shared" si="162"/>
        <v>0</v>
      </c>
      <c r="E210" s="685">
        <f t="shared" si="162"/>
        <v>0</v>
      </c>
      <c r="F210" s="849">
        <f t="shared" ref="F210:N210" si="163">N82</f>
        <v>248.96000000000004</v>
      </c>
      <c r="G210" s="849">
        <f t="shared" si="163"/>
        <v>248.96000000000004</v>
      </c>
      <c r="H210" s="849">
        <f t="shared" si="163"/>
        <v>248.96000000000004</v>
      </c>
      <c r="I210" s="849">
        <f t="shared" si="163"/>
        <v>248.96000000000004</v>
      </c>
      <c r="J210" s="849">
        <f t="shared" si="163"/>
        <v>248.96000000000004</v>
      </c>
      <c r="K210" s="849">
        <f t="shared" si="163"/>
        <v>248.96000000000004</v>
      </c>
      <c r="L210" s="849">
        <f t="shared" si="163"/>
        <v>248.96000000000004</v>
      </c>
      <c r="M210" s="849">
        <f t="shared" si="163"/>
        <v>248.96000000000004</v>
      </c>
      <c r="N210" s="849">
        <f t="shared" si="163"/>
        <v>248.96000000000004</v>
      </c>
    </row>
    <row r="211" spans="2:14">
      <c r="C211" s="685">
        <f t="shared" si="162"/>
        <v>0</v>
      </c>
      <c r="D211" s="685">
        <f t="shared" si="162"/>
        <v>0</v>
      </c>
      <c r="E211" s="685">
        <f t="shared" si="162"/>
        <v>0</v>
      </c>
    </row>
    <row r="212" spans="2:14">
      <c r="B212" s="685" t="str">
        <f>B84</f>
        <v>Bitstream / re-selling revenue</v>
      </c>
      <c r="C212" s="685">
        <f t="shared" si="162"/>
        <v>0</v>
      </c>
      <c r="D212" s="685">
        <f t="shared" si="162"/>
        <v>0</v>
      </c>
      <c r="E212" s="685">
        <f t="shared" si="162"/>
        <v>0</v>
      </c>
      <c r="F212" s="848">
        <f t="shared" ref="F212:N214" si="164">N84</f>
        <v>0</v>
      </c>
      <c r="G212" s="848">
        <f t="shared" si="164"/>
        <v>0</v>
      </c>
      <c r="H212" s="848">
        <f t="shared" si="164"/>
        <v>576.59136000000012</v>
      </c>
      <c r="I212" s="848">
        <f t="shared" si="164"/>
        <v>1471.9511040000002</v>
      </c>
      <c r="J212" s="848">
        <f t="shared" si="164"/>
        <v>1764.4006318080003</v>
      </c>
      <c r="K212" s="848">
        <f t="shared" si="164"/>
        <v>1634.1973401600003</v>
      </c>
      <c r="L212" s="848">
        <f t="shared" si="164"/>
        <v>1380.6919280640004</v>
      </c>
      <c r="M212" s="848">
        <f t="shared" si="164"/>
        <v>1201.1957514240003</v>
      </c>
      <c r="N212" s="848">
        <f t="shared" si="164"/>
        <v>1141.4453514240004</v>
      </c>
    </row>
    <row r="213" spans="2:14">
      <c r="B213" s="743" t="str">
        <f>B85</f>
        <v>FULL revenue</v>
      </c>
      <c r="C213" s="743">
        <f t="shared" si="162"/>
        <v>0</v>
      </c>
      <c r="D213" s="743">
        <f t="shared" si="162"/>
        <v>0</v>
      </c>
      <c r="E213" s="743">
        <f t="shared" si="162"/>
        <v>0</v>
      </c>
      <c r="F213" s="901">
        <f t="shared" si="164"/>
        <v>0</v>
      </c>
      <c r="G213" s="901">
        <f t="shared" si="164"/>
        <v>0</v>
      </c>
      <c r="H213" s="901">
        <f t="shared" si="164"/>
        <v>0</v>
      </c>
      <c r="I213" s="901">
        <f t="shared" si="164"/>
        <v>99.484416000000053</v>
      </c>
      <c r="J213" s="901">
        <f t="shared" si="164"/>
        <v>316.74463795200006</v>
      </c>
      <c r="K213" s="901">
        <f t="shared" si="164"/>
        <v>408.54933504000007</v>
      </c>
      <c r="L213" s="901">
        <f t="shared" si="164"/>
        <v>345.17298201600005</v>
      </c>
      <c r="M213" s="901">
        <f t="shared" si="164"/>
        <v>300.2989378559999</v>
      </c>
      <c r="N213" s="901">
        <f t="shared" si="164"/>
        <v>285.36133785599992</v>
      </c>
    </row>
    <row r="214" spans="2:14">
      <c r="B214" s="1007" t="str">
        <f>B86</f>
        <v>SKY BB / voice revenue</v>
      </c>
      <c r="C214" s="997">
        <f t="shared" si="162"/>
        <v>0</v>
      </c>
      <c r="D214" s="997">
        <f t="shared" si="162"/>
        <v>0</v>
      </c>
      <c r="E214" s="997">
        <f t="shared" si="162"/>
        <v>0</v>
      </c>
      <c r="F214" s="1039">
        <f t="shared" si="164"/>
        <v>0</v>
      </c>
      <c r="G214" s="1039">
        <f t="shared" si="164"/>
        <v>0</v>
      </c>
      <c r="H214" s="1039">
        <f t="shared" si="164"/>
        <v>576.59136000000012</v>
      </c>
      <c r="I214" s="1039">
        <f t="shared" si="164"/>
        <v>1571.4355200000002</v>
      </c>
      <c r="J214" s="1039">
        <f t="shared" si="164"/>
        <v>2081.1452697600007</v>
      </c>
      <c r="K214" s="1039">
        <f t="shared" si="164"/>
        <v>2042.7466752000005</v>
      </c>
      <c r="L214" s="1039">
        <f t="shared" si="164"/>
        <v>1725.8649100800003</v>
      </c>
      <c r="M214" s="1039">
        <f t="shared" si="164"/>
        <v>1501.4946892800006</v>
      </c>
      <c r="N214" s="1049">
        <f t="shared" si="164"/>
        <v>1426.8066892800005</v>
      </c>
    </row>
    <row r="216" spans="2:14">
      <c r="B216" s="685" t="str">
        <f t="shared" ref="B216:E219" si="165">B97</f>
        <v>WLR regulated return</v>
      </c>
      <c r="C216" s="685">
        <f t="shared" si="165"/>
        <v>0</v>
      </c>
      <c r="D216" s="685">
        <f t="shared" si="165"/>
        <v>0</v>
      </c>
      <c r="E216" s="685">
        <f t="shared" si="165"/>
        <v>0</v>
      </c>
      <c r="F216" s="993">
        <f t="shared" ref="F216:N219" si="166">N97</f>
        <v>0.25</v>
      </c>
      <c r="G216" s="993">
        <f t="shared" si="166"/>
        <v>0.25</v>
      </c>
      <c r="H216" s="993">
        <f t="shared" si="166"/>
        <v>0.25</v>
      </c>
      <c r="I216" s="993">
        <f t="shared" si="166"/>
        <v>0.25</v>
      </c>
      <c r="J216" s="993">
        <f t="shared" si="166"/>
        <v>0.25</v>
      </c>
      <c r="K216" s="993">
        <f t="shared" si="166"/>
        <v>0.25</v>
      </c>
      <c r="L216" s="993">
        <f t="shared" si="166"/>
        <v>0.25</v>
      </c>
      <c r="M216" s="993">
        <f t="shared" si="166"/>
        <v>0.25</v>
      </c>
      <c r="N216" s="993">
        <f t="shared" si="166"/>
        <v>0.25</v>
      </c>
    </row>
    <row r="217" spans="2:14">
      <c r="B217" s="685" t="str">
        <f t="shared" si="165"/>
        <v>Retail voice compenent off monthly fee, MXN</v>
      </c>
      <c r="C217" s="685">
        <f t="shared" si="165"/>
        <v>0</v>
      </c>
      <c r="D217" s="685">
        <f t="shared" si="165"/>
        <v>0</v>
      </c>
      <c r="E217" s="685">
        <f t="shared" si="165"/>
        <v>0</v>
      </c>
      <c r="F217" s="849">
        <f t="shared" si="166"/>
        <v>149.6</v>
      </c>
      <c r="G217" s="849">
        <f t="shared" si="166"/>
        <v>144.19277108433735</v>
      </c>
      <c r="H217" s="849">
        <f t="shared" si="166"/>
        <v>139.16279069767444</v>
      </c>
      <c r="I217" s="849">
        <f t="shared" si="166"/>
        <v>134.47191011235955</v>
      </c>
      <c r="J217" s="849">
        <f t="shared" si="166"/>
        <v>132.97777777777779</v>
      </c>
      <c r="K217" s="849">
        <f t="shared" si="166"/>
        <v>132.97777777777779</v>
      </c>
      <c r="L217" s="849">
        <f t="shared" si="166"/>
        <v>132.97777777777779</v>
      </c>
      <c r="M217" s="849">
        <f t="shared" si="166"/>
        <v>132.97777777777779</v>
      </c>
      <c r="N217" s="849">
        <f t="shared" si="166"/>
        <v>132.97777777777779</v>
      </c>
    </row>
    <row r="218" spans="2:14">
      <c r="B218" s="685" t="str">
        <f t="shared" si="165"/>
        <v>% change</v>
      </c>
      <c r="C218" s="685">
        <f t="shared" si="165"/>
        <v>0</v>
      </c>
      <c r="D218" s="685">
        <f t="shared" si="165"/>
        <v>0</v>
      </c>
      <c r="E218" s="685">
        <f t="shared" si="165"/>
        <v>0</v>
      </c>
      <c r="F218" s="807">
        <f t="shared" si="166"/>
        <v>0</v>
      </c>
      <c r="G218" s="807">
        <f t="shared" si="166"/>
        <v>-3.6144578313253017E-2</v>
      </c>
      <c r="H218" s="807">
        <f t="shared" si="166"/>
        <v>-3.4883720930232509E-2</v>
      </c>
      <c r="I218" s="807">
        <f t="shared" si="166"/>
        <v>-3.3707865168539519E-2</v>
      </c>
      <c r="J218" s="807">
        <f t="shared" si="166"/>
        <v>-1.1111111111111072E-2</v>
      </c>
      <c r="K218" s="807">
        <f t="shared" si="166"/>
        <v>0</v>
      </c>
      <c r="L218" s="807">
        <f t="shared" si="166"/>
        <v>0</v>
      </c>
      <c r="M218" s="807">
        <f t="shared" si="166"/>
        <v>0</v>
      </c>
      <c r="N218" s="807">
        <f t="shared" si="166"/>
        <v>0</v>
      </c>
    </row>
    <row r="219" spans="2:14">
      <c r="B219" s="685" t="str">
        <f t="shared" si="165"/>
        <v>WLR fees/line/month</v>
      </c>
      <c r="C219" s="685">
        <f t="shared" si="165"/>
        <v>0</v>
      </c>
      <c r="D219" s="685">
        <f t="shared" si="165"/>
        <v>0</v>
      </c>
      <c r="E219" s="685">
        <f t="shared" si="165"/>
        <v>0</v>
      </c>
      <c r="F219" s="849">
        <f t="shared" si="166"/>
        <v>112.19999999999999</v>
      </c>
      <c r="G219" s="849">
        <f t="shared" si="166"/>
        <v>108.14457831325302</v>
      </c>
      <c r="H219" s="849">
        <f t="shared" si="166"/>
        <v>104.37209302325583</v>
      </c>
      <c r="I219" s="849">
        <f t="shared" si="166"/>
        <v>100.85393258426967</v>
      </c>
      <c r="J219" s="849">
        <f t="shared" si="166"/>
        <v>99.733333333333348</v>
      </c>
      <c r="K219" s="849">
        <f t="shared" si="166"/>
        <v>99.733333333333348</v>
      </c>
      <c r="L219" s="849">
        <f t="shared" si="166"/>
        <v>99.733333333333348</v>
      </c>
      <c r="M219" s="849">
        <f t="shared" si="166"/>
        <v>99.733333333333348</v>
      </c>
      <c r="N219" s="849">
        <f t="shared" si="166"/>
        <v>99.733333333333348</v>
      </c>
    </row>
    <row r="220" spans="2:14">
      <c r="F220" s="849"/>
      <c r="G220" s="849"/>
      <c r="H220" s="849"/>
      <c r="I220" s="849"/>
      <c r="J220" s="849"/>
      <c r="K220" s="849"/>
      <c r="L220" s="849"/>
      <c r="M220" s="849"/>
      <c r="N220" s="849"/>
    </row>
    <row r="221" spans="2:14">
      <c r="B221" s="685" t="str">
        <f>B101</f>
        <v>Total WLR cost, MXN mn</v>
      </c>
      <c r="C221" s="685">
        <f>C101</f>
        <v>0</v>
      </c>
      <c r="D221" s="685">
        <f>D101</f>
        <v>0</v>
      </c>
      <c r="E221" s="685">
        <f>E101</f>
        <v>0</v>
      </c>
      <c r="F221" s="849">
        <f t="shared" ref="F221:N221" si="167">N101</f>
        <v>0</v>
      </c>
      <c r="G221" s="849">
        <f t="shared" si="167"/>
        <v>0</v>
      </c>
      <c r="H221" s="849">
        <f t="shared" si="167"/>
        <v>241.72576744186048</v>
      </c>
      <c r="I221" s="849">
        <f t="shared" si="167"/>
        <v>596.28879101123607</v>
      </c>
      <c r="J221" s="849">
        <f t="shared" si="167"/>
        <v>706.81859072000009</v>
      </c>
      <c r="K221" s="849">
        <f t="shared" si="167"/>
        <v>654.6591744000001</v>
      </c>
      <c r="L221" s="849">
        <f t="shared" si="167"/>
        <v>553.10494976000007</v>
      </c>
      <c r="M221" s="849">
        <f t="shared" si="167"/>
        <v>481.19881216000022</v>
      </c>
      <c r="N221" s="849">
        <f t="shared" si="167"/>
        <v>457.26281216000012</v>
      </c>
    </row>
    <row r="223" spans="2:14">
      <c r="B223" s="685" t="str">
        <f t="shared" ref="B223:E226" si="168">B103</f>
        <v>Bitstream return</v>
      </c>
      <c r="C223" s="685">
        <f t="shared" si="168"/>
        <v>0</v>
      </c>
      <c r="D223" s="685">
        <f t="shared" si="168"/>
        <v>0</v>
      </c>
      <c r="E223" s="685">
        <f t="shared" si="168"/>
        <v>0</v>
      </c>
      <c r="F223" s="993">
        <f t="shared" ref="F223:N226" si="169">N103</f>
        <v>0.3</v>
      </c>
      <c r="G223" s="993">
        <f t="shared" si="169"/>
        <v>0.3</v>
      </c>
      <c r="H223" s="993">
        <f t="shared" si="169"/>
        <v>0.3</v>
      </c>
      <c r="I223" s="993">
        <f t="shared" si="169"/>
        <v>0.3</v>
      </c>
      <c r="J223" s="993">
        <f t="shared" si="169"/>
        <v>0.3</v>
      </c>
      <c r="K223" s="993">
        <f t="shared" si="169"/>
        <v>0.3</v>
      </c>
      <c r="L223" s="993">
        <f t="shared" si="169"/>
        <v>0.3</v>
      </c>
      <c r="M223" s="993">
        <f t="shared" si="169"/>
        <v>0.3</v>
      </c>
      <c r="N223" s="993">
        <f t="shared" si="169"/>
        <v>0.3</v>
      </c>
    </row>
    <row r="224" spans="2:14">
      <c r="B224" s="685" t="str">
        <f t="shared" si="168"/>
        <v>Retail data compenent, MXN</v>
      </c>
      <c r="C224" s="685">
        <f t="shared" si="168"/>
        <v>0</v>
      </c>
      <c r="D224" s="685">
        <f t="shared" si="168"/>
        <v>0</v>
      </c>
      <c r="E224" s="685">
        <f t="shared" si="168"/>
        <v>0</v>
      </c>
      <c r="F224" s="849">
        <f t="shared" si="169"/>
        <v>161.60000000000005</v>
      </c>
      <c r="G224" s="849">
        <f t="shared" si="169"/>
        <v>155.75903614457837</v>
      </c>
      <c r="H224" s="849">
        <f t="shared" si="169"/>
        <v>150.32558139534891</v>
      </c>
      <c r="I224" s="849">
        <f t="shared" si="169"/>
        <v>145.25842696629218</v>
      </c>
      <c r="J224" s="849">
        <f t="shared" si="169"/>
        <v>143.6444444444445</v>
      </c>
      <c r="K224" s="849">
        <f t="shared" si="169"/>
        <v>143.6444444444445</v>
      </c>
      <c r="L224" s="849">
        <f t="shared" si="169"/>
        <v>143.6444444444445</v>
      </c>
      <c r="M224" s="849">
        <f t="shared" si="169"/>
        <v>143.6444444444445</v>
      </c>
      <c r="N224" s="849">
        <f t="shared" si="169"/>
        <v>143.6444444444445</v>
      </c>
    </row>
    <row r="225" spans="2:14">
      <c r="B225" s="685" t="str">
        <f t="shared" si="168"/>
        <v>% change</v>
      </c>
      <c r="C225" s="685">
        <f t="shared" si="168"/>
        <v>0</v>
      </c>
      <c r="D225" s="685">
        <f t="shared" si="168"/>
        <v>0</v>
      </c>
      <c r="E225" s="685">
        <f t="shared" si="168"/>
        <v>0</v>
      </c>
      <c r="F225" s="807">
        <f t="shared" si="169"/>
        <v>0</v>
      </c>
      <c r="G225" s="807">
        <f t="shared" si="169"/>
        <v>-3.6144578313253017E-2</v>
      </c>
      <c r="H225" s="807">
        <f t="shared" si="169"/>
        <v>-3.4883720930232509E-2</v>
      </c>
      <c r="I225" s="807">
        <f t="shared" si="169"/>
        <v>-3.3707865168539519E-2</v>
      </c>
      <c r="J225" s="807">
        <f t="shared" si="169"/>
        <v>-1.1111111111111072E-2</v>
      </c>
      <c r="K225" s="807">
        <f t="shared" si="169"/>
        <v>0</v>
      </c>
      <c r="L225" s="807">
        <f t="shared" si="169"/>
        <v>0</v>
      </c>
      <c r="M225" s="807">
        <f t="shared" si="169"/>
        <v>0</v>
      </c>
      <c r="N225" s="807">
        <f t="shared" si="169"/>
        <v>0</v>
      </c>
    </row>
    <row r="226" spans="2:14">
      <c r="B226" s="685" t="str">
        <f t="shared" si="168"/>
        <v>Bitstream fees/line/month</v>
      </c>
      <c r="C226" s="685">
        <f t="shared" si="168"/>
        <v>0</v>
      </c>
      <c r="D226" s="685">
        <f t="shared" si="168"/>
        <v>0</v>
      </c>
      <c r="E226" s="685">
        <f t="shared" si="168"/>
        <v>0</v>
      </c>
      <c r="F226" s="849">
        <f t="shared" si="169"/>
        <v>113.12000000000003</v>
      </c>
      <c r="G226" s="849">
        <f t="shared" si="169"/>
        <v>109.03132530120486</v>
      </c>
      <c r="H226" s="849">
        <f t="shared" si="169"/>
        <v>105.22790697674422</v>
      </c>
      <c r="I226" s="849">
        <f t="shared" si="169"/>
        <v>101.68089887640451</v>
      </c>
      <c r="J226" s="849">
        <f t="shared" si="169"/>
        <v>100.55111111111114</v>
      </c>
      <c r="K226" s="849">
        <f t="shared" si="169"/>
        <v>100.55111111111114</v>
      </c>
      <c r="L226" s="849">
        <f t="shared" si="169"/>
        <v>100.55111111111114</v>
      </c>
      <c r="M226" s="849">
        <f t="shared" si="169"/>
        <v>100.55111111111114</v>
      </c>
      <c r="N226" s="849">
        <f t="shared" si="169"/>
        <v>100.55111111111114</v>
      </c>
    </row>
    <row r="227" spans="2:14">
      <c r="F227" s="849"/>
      <c r="G227" s="849"/>
      <c r="H227" s="849"/>
      <c r="I227" s="849"/>
      <c r="J227" s="849"/>
      <c r="K227" s="849"/>
      <c r="L227" s="849"/>
      <c r="M227" s="849"/>
      <c r="N227" s="849"/>
    </row>
    <row r="228" spans="2:14">
      <c r="B228" s="685" t="str">
        <f>B107</f>
        <v>Total bitstream cost, MXN mn</v>
      </c>
      <c r="C228" s="685">
        <f>C107</f>
        <v>0</v>
      </c>
      <c r="D228" s="685">
        <f>D107</f>
        <v>0</v>
      </c>
      <c r="E228" s="685">
        <f>E107</f>
        <v>0</v>
      </c>
      <c r="F228" s="848">
        <f t="shared" ref="F228:N228" si="170">N107</f>
        <v>0</v>
      </c>
      <c r="G228" s="848">
        <f t="shared" si="170"/>
        <v>0</v>
      </c>
      <c r="H228" s="848">
        <f t="shared" si="170"/>
        <v>243.70783255813964</v>
      </c>
      <c r="I228" s="848">
        <f t="shared" si="170"/>
        <v>601.1781465168541</v>
      </c>
      <c r="J228" s="848">
        <f t="shared" si="170"/>
        <v>712.6142511786669</v>
      </c>
      <c r="K228" s="848">
        <f t="shared" si="170"/>
        <v>660.02714624000032</v>
      </c>
      <c r="L228" s="848">
        <f t="shared" si="170"/>
        <v>557.6402131626669</v>
      </c>
      <c r="M228" s="848">
        <f t="shared" si="170"/>
        <v>485.14447086933353</v>
      </c>
      <c r="N228" s="848">
        <f t="shared" si="170"/>
        <v>461.01220420266685</v>
      </c>
    </row>
    <row r="230" spans="2:14">
      <c r="B230" s="685" t="str">
        <f t="shared" ref="B230:E231" si="171">B109</f>
        <v>EBITDA from Bitstream / re-selling</v>
      </c>
      <c r="C230" s="685">
        <f t="shared" si="171"/>
        <v>0</v>
      </c>
      <c r="D230" s="685">
        <f t="shared" si="171"/>
        <v>0</v>
      </c>
      <c r="E230" s="685">
        <f t="shared" si="171"/>
        <v>0</v>
      </c>
      <c r="F230" s="848">
        <f t="shared" ref="F230:N231" si="172">N109</f>
        <v>0</v>
      </c>
      <c r="G230" s="848">
        <f t="shared" si="172"/>
        <v>0</v>
      </c>
      <c r="H230" s="848">
        <f t="shared" si="172"/>
        <v>91.157759999999968</v>
      </c>
      <c r="I230" s="848">
        <f t="shared" si="172"/>
        <v>274.48416647191004</v>
      </c>
      <c r="J230" s="848">
        <f t="shared" si="172"/>
        <v>344.96778990933319</v>
      </c>
      <c r="K230" s="848">
        <f t="shared" si="172"/>
        <v>319.51101951999988</v>
      </c>
      <c r="L230" s="848">
        <f t="shared" si="172"/>
        <v>269.94676514133346</v>
      </c>
      <c r="M230" s="848">
        <f t="shared" si="172"/>
        <v>234.85246839466652</v>
      </c>
      <c r="N230" s="848">
        <f t="shared" si="172"/>
        <v>223.17033506133345</v>
      </c>
    </row>
    <row r="231" spans="2:14">
      <c r="B231" s="685" t="str">
        <f t="shared" si="171"/>
        <v>% margin</v>
      </c>
      <c r="C231" s="685">
        <f t="shared" si="171"/>
        <v>0</v>
      </c>
      <c r="D231" s="685">
        <f t="shared" si="171"/>
        <v>0</v>
      </c>
      <c r="E231" s="685">
        <f t="shared" si="171"/>
        <v>0</v>
      </c>
      <c r="F231" s="807">
        <f t="shared" si="172"/>
        <v>0</v>
      </c>
      <c r="G231" s="807" t="e">
        <f t="shared" si="172"/>
        <v>#DIV/0!</v>
      </c>
      <c r="H231" s="807">
        <f t="shared" si="172"/>
        <v>0.15809768637532123</v>
      </c>
      <c r="I231" s="807">
        <f t="shared" si="172"/>
        <v>0.18647641604806325</v>
      </c>
      <c r="J231" s="807">
        <f t="shared" si="172"/>
        <v>0.1955155669808625</v>
      </c>
      <c r="K231" s="807">
        <f t="shared" si="172"/>
        <v>0.1955155669808625</v>
      </c>
      <c r="L231" s="807">
        <f t="shared" si="172"/>
        <v>0.19551556698086264</v>
      </c>
      <c r="M231" s="807">
        <f t="shared" si="172"/>
        <v>0.19551556698086245</v>
      </c>
      <c r="N231" s="807">
        <f t="shared" si="172"/>
        <v>0.19551556698086264</v>
      </c>
    </row>
    <row r="233" spans="2:14">
      <c r="B233" s="685" t="str">
        <f t="shared" ref="B233:E237" si="173">B112</f>
        <v>FULL wholesale price per line per month (MXN)</v>
      </c>
      <c r="C233" s="685">
        <f t="shared" si="173"/>
        <v>0</v>
      </c>
      <c r="D233" s="685">
        <f t="shared" si="173"/>
        <v>0</v>
      </c>
      <c r="E233" s="685">
        <f t="shared" si="173"/>
        <v>0</v>
      </c>
      <c r="F233" s="1004">
        <f t="shared" ref="F233:N237" si="174">N112</f>
        <v>66</v>
      </c>
      <c r="G233" s="685">
        <f t="shared" si="174"/>
        <v>66</v>
      </c>
      <c r="H233" s="685">
        <f t="shared" si="174"/>
        <v>66</v>
      </c>
      <c r="I233" s="685">
        <f t="shared" si="174"/>
        <v>66</v>
      </c>
      <c r="J233" s="685">
        <f t="shared" si="174"/>
        <v>66</v>
      </c>
      <c r="K233" s="685">
        <f t="shared" si="174"/>
        <v>66</v>
      </c>
      <c r="L233" s="685">
        <f t="shared" si="174"/>
        <v>66</v>
      </c>
      <c r="M233" s="685">
        <f t="shared" si="174"/>
        <v>66</v>
      </c>
      <c r="N233" s="685">
        <f t="shared" si="174"/>
        <v>66</v>
      </c>
    </row>
    <row r="234" spans="2:14">
      <c r="B234" s="685" t="str">
        <f t="shared" si="173"/>
        <v>Implied allowed return on ULL</v>
      </c>
      <c r="C234" s="685">
        <f t="shared" si="173"/>
        <v>0</v>
      </c>
      <c r="D234" s="685">
        <f t="shared" si="173"/>
        <v>0</v>
      </c>
      <c r="E234" s="685">
        <f t="shared" si="173"/>
        <v>0</v>
      </c>
      <c r="F234" s="807">
        <f t="shared" si="174"/>
        <v>0.78791773778920315</v>
      </c>
      <c r="G234" s="807">
        <f t="shared" si="174"/>
        <v>0.77996465295629824</v>
      </c>
      <c r="H234" s="807">
        <f t="shared" si="174"/>
        <v>0.77201156812339333</v>
      </c>
      <c r="I234" s="807">
        <f t="shared" si="174"/>
        <v>0.76405848329048842</v>
      </c>
      <c r="J234" s="807">
        <f t="shared" si="174"/>
        <v>0.76140745501285345</v>
      </c>
      <c r="K234" s="807">
        <f t="shared" si="174"/>
        <v>0.76140745501285345</v>
      </c>
      <c r="L234" s="807">
        <f t="shared" si="174"/>
        <v>0.76140745501285345</v>
      </c>
      <c r="M234" s="807">
        <f t="shared" si="174"/>
        <v>0.76140745501285345</v>
      </c>
      <c r="N234" s="807">
        <f t="shared" si="174"/>
        <v>0.76140745501285345</v>
      </c>
    </row>
    <row r="235" spans="2:14">
      <c r="B235" s="685" t="str">
        <f t="shared" si="173"/>
        <v>FULL costs (MXNm)</v>
      </c>
      <c r="C235" s="685">
        <f t="shared" si="173"/>
        <v>0</v>
      </c>
      <c r="D235" s="685">
        <f t="shared" si="173"/>
        <v>0</v>
      </c>
      <c r="E235" s="685">
        <f t="shared" si="173"/>
        <v>0</v>
      </c>
      <c r="F235" s="848">
        <f t="shared" si="174"/>
        <v>0</v>
      </c>
      <c r="G235" s="848">
        <f t="shared" si="174"/>
        <v>0</v>
      </c>
      <c r="H235" s="848">
        <f t="shared" si="174"/>
        <v>0</v>
      </c>
      <c r="I235" s="848">
        <f t="shared" si="174"/>
        <v>26.37360000000001</v>
      </c>
      <c r="J235" s="848">
        <f t="shared" si="174"/>
        <v>83.969899200000015</v>
      </c>
      <c r="K235" s="848">
        <f t="shared" si="174"/>
        <v>108.30758400000001</v>
      </c>
      <c r="L235" s="848">
        <f t="shared" si="174"/>
        <v>91.506333600000005</v>
      </c>
      <c r="M235" s="848">
        <f t="shared" si="174"/>
        <v>79.610097599999975</v>
      </c>
      <c r="N235" s="848">
        <f t="shared" si="174"/>
        <v>75.650097599999981</v>
      </c>
    </row>
    <row r="236" spans="2:14">
      <c r="B236" s="685" t="str">
        <f t="shared" si="173"/>
        <v>Other ULL costs (backhaul, ancillaries etc.) MXN per line/month</v>
      </c>
      <c r="C236" s="685">
        <f t="shared" si="173"/>
        <v>0</v>
      </c>
      <c r="D236" s="685">
        <f t="shared" si="173"/>
        <v>0</v>
      </c>
      <c r="E236" s="685">
        <f t="shared" si="173"/>
        <v>0</v>
      </c>
      <c r="F236" s="1002">
        <f t="shared" si="174"/>
        <v>140</v>
      </c>
      <c r="G236" s="849">
        <f t="shared" si="174"/>
        <v>126</v>
      </c>
      <c r="H236" s="849">
        <f t="shared" si="174"/>
        <v>113.4</v>
      </c>
      <c r="I236" s="849">
        <f t="shared" si="174"/>
        <v>102.06</v>
      </c>
      <c r="J236" s="849">
        <f t="shared" si="174"/>
        <v>91.853999999999999</v>
      </c>
      <c r="K236" s="849">
        <f t="shared" si="174"/>
        <v>82.668599999999998</v>
      </c>
      <c r="L236" s="849">
        <f t="shared" si="174"/>
        <v>74.401740000000004</v>
      </c>
      <c r="M236" s="849">
        <f t="shared" si="174"/>
        <v>66.961566000000005</v>
      </c>
      <c r="N236" s="849">
        <f t="shared" si="174"/>
        <v>60.265409400000003</v>
      </c>
    </row>
    <row r="237" spans="2:14">
      <c r="B237" s="685" t="str">
        <f t="shared" si="173"/>
        <v>FULL other costs (MXNm)</v>
      </c>
      <c r="C237" s="685">
        <f t="shared" si="173"/>
        <v>0</v>
      </c>
      <c r="D237" s="685">
        <f t="shared" si="173"/>
        <v>0</v>
      </c>
      <c r="E237" s="685">
        <f t="shared" si="173"/>
        <v>0</v>
      </c>
      <c r="F237" s="849">
        <f t="shared" si="174"/>
        <v>0</v>
      </c>
      <c r="G237" s="849">
        <f t="shared" si="174"/>
        <v>0</v>
      </c>
      <c r="H237" s="849">
        <f t="shared" si="174"/>
        <v>0</v>
      </c>
      <c r="I237" s="849">
        <f t="shared" si="174"/>
        <v>40.783176000000012</v>
      </c>
      <c r="J237" s="849">
        <f t="shared" si="174"/>
        <v>116.86319880480002</v>
      </c>
      <c r="K237" s="849">
        <f t="shared" si="174"/>
        <v>135.6611566464</v>
      </c>
      <c r="L237" s="849">
        <f t="shared" si="174"/>
        <v>103.15500667970399</v>
      </c>
      <c r="M237" s="849">
        <f t="shared" si="174"/>
        <v>80.769951586497584</v>
      </c>
      <c r="N237" s="849">
        <f t="shared" si="174"/>
        <v>69.077031863847822</v>
      </c>
    </row>
    <row r="238" spans="2:14">
      <c r="F238" s="849"/>
      <c r="G238" s="849"/>
      <c r="H238" s="849"/>
      <c r="I238" s="849"/>
      <c r="J238" s="849"/>
      <c r="K238" s="849"/>
      <c r="L238" s="849"/>
      <c r="M238" s="849"/>
      <c r="N238" s="849"/>
    </row>
    <row r="239" spans="2:14">
      <c r="B239" s="685" t="str">
        <f t="shared" ref="B239:E240" si="175">B117</f>
        <v>EBITDA from ULL</v>
      </c>
      <c r="C239" s="685">
        <f t="shared" si="175"/>
        <v>0</v>
      </c>
      <c r="D239" s="685">
        <f t="shared" si="175"/>
        <v>0</v>
      </c>
      <c r="E239" s="685">
        <f t="shared" si="175"/>
        <v>0</v>
      </c>
      <c r="F239" s="849">
        <f t="shared" ref="F239:N240" si="176">N117</f>
        <v>0</v>
      </c>
      <c r="G239" s="849">
        <f t="shared" si="176"/>
        <v>0</v>
      </c>
      <c r="H239" s="849">
        <f t="shared" si="176"/>
        <v>0</v>
      </c>
      <c r="I239" s="849">
        <f t="shared" si="176"/>
        <v>32.327640000000031</v>
      </c>
      <c r="J239" s="849">
        <f t="shared" si="176"/>
        <v>115.91153994720003</v>
      </c>
      <c r="K239" s="849">
        <f t="shared" si="176"/>
        <v>164.58059439360005</v>
      </c>
      <c r="L239" s="849">
        <f t="shared" si="176"/>
        <v>150.51164173629604</v>
      </c>
      <c r="M239" s="849">
        <f t="shared" si="176"/>
        <v>139.91888866950234</v>
      </c>
      <c r="N239" s="849">
        <f t="shared" si="176"/>
        <v>140.63420839215212</v>
      </c>
    </row>
    <row r="240" spans="2:14">
      <c r="B240" s="685" t="str">
        <f t="shared" si="175"/>
        <v>EBITDA margin on ULL</v>
      </c>
      <c r="C240" s="685">
        <f t="shared" si="175"/>
        <v>0</v>
      </c>
      <c r="D240" s="685">
        <f t="shared" si="175"/>
        <v>0</v>
      </c>
      <c r="E240" s="685">
        <f t="shared" si="175"/>
        <v>0</v>
      </c>
      <c r="F240" s="807">
        <f t="shared" si="176"/>
        <v>0</v>
      </c>
      <c r="G240" s="807" t="e">
        <f t="shared" si="176"/>
        <v>#DIV/0!</v>
      </c>
      <c r="H240" s="807" t="e">
        <f t="shared" si="176"/>
        <v>#DIV/0!</v>
      </c>
      <c r="I240" s="807">
        <f t="shared" si="176"/>
        <v>0.32495179948586134</v>
      </c>
      <c r="J240" s="807">
        <f t="shared" si="176"/>
        <v>0.36594633676092547</v>
      </c>
      <c r="K240" s="807">
        <f t="shared" si="176"/>
        <v>0.40284142030848336</v>
      </c>
      <c r="L240" s="807">
        <f t="shared" si="176"/>
        <v>0.43604699550128539</v>
      </c>
      <c r="M240" s="807">
        <f t="shared" si="176"/>
        <v>0.46593201317480715</v>
      </c>
      <c r="N240" s="807">
        <f t="shared" si="176"/>
        <v>0.49282852908097685</v>
      </c>
    </row>
    <row r="242" spans="2:14">
      <c r="B242" s="1007" t="str">
        <f t="shared" ref="B242:E243" si="177">B120</f>
        <v>SKY BB / voice EBITDA</v>
      </c>
      <c r="C242" s="997">
        <f t="shared" si="177"/>
        <v>0</v>
      </c>
      <c r="D242" s="997">
        <f t="shared" si="177"/>
        <v>0</v>
      </c>
      <c r="E242" s="997">
        <f t="shared" si="177"/>
        <v>0</v>
      </c>
      <c r="F242" s="1039">
        <f t="shared" ref="F242:N243" si="178">N120</f>
        <v>0</v>
      </c>
      <c r="G242" s="1039">
        <f t="shared" si="178"/>
        <v>0</v>
      </c>
      <c r="H242" s="1039">
        <f t="shared" si="178"/>
        <v>91.157759999999968</v>
      </c>
      <c r="I242" s="1039">
        <f t="shared" si="178"/>
        <v>306.81180647191007</v>
      </c>
      <c r="J242" s="1039">
        <f t="shared" si="178"/>
        <v>460.87932985653322</v>
      </c>
      <c r="K242" s="1039">
        <f t="shared" si="178"/>
        <v>484.09161391359993</v>
      </c>
      <c r="L242" s="1039">
        <f t="shared" si="178"/>
        <v>420.4584068776295</v>
      </c>
      <c r="M242" s="1039">
        <f t="shared" si="178"/>
        <v>374.77135706416885</v>
      </c>
      <c r="N242" s="1049">
        <f t="shared" si="178"/>
        <v>363.80454345348556</v>
      </c>
    </row>
    <row r="243" spans="2:14">
      <c r="B243" s="685" t="str">
        <f t="shared" si="177"/>
        <v>BB / ULL margin</v>
      </c>
      <c r="C243" s="685">
        <f t="shared" si="177"/>
        <v>0</v>
      </c>
      <c r="D243" s="685">
        <f t="shared" si="177"/>
        <v>0</v>
      </c>
      <c r="E243" s="685">
        <f t="shared" si="177"/>
        <v>0</v>
      </c>
      <c r="F243" s="807">
        <f t="shared" si="178"/>
        <v>0</v>
      </c>
      <c r="G243" s="807" t="e">
        <f t="shared" si="178"/>
        <v>#DIV/0!</v>
      </c>
      <c r="H243" s="807">
        <f t="shared" si="178"/>
        <v>0.15809768637532123</v>
      </c>
      <c r="I243" s="807">
        <f t="shared" si="178"/>
        <v>0.19524301351665388</v>
      </c>
      <c r="J243" s="807">
        <f t="shared" si="178"/>
        <v>0.2214546656369078</v>
      </c>
      <c r="K243" s="807">
        <f t="shared" si="178"/>
        <v>0.23698073764638666</v>
      </c>
      <c r="L243" s="807">
        <f t="shared" si="178"/>
        <v>0.24362185268494721</v>
      </c>
      <c r="M243" s="807">
        <f t="shared" si="178"/>
        <v>0.2495988562196513</v>
      </c>
      <c r="N243" s="807">
        <f t="shared" si="178"/>
        <v>0.25497815940088542</v>
      </c>
    </row>
    <row r="245" spans="2:14">
      <c r="B245" s="685" t="str">
        <f t="shared" ref="B245:E247" si="179">B133</f>
        <v>Bitstream capex/add</v>
      </c>
      <c r="C245" s="685">
        <f t="shared" si="179"/>
        <v>0</v>
      </c>
      <c r="D245" s="685">
        <f t="shared" si="179"/>
        <v>0</v>
      </c>
      <c r="E245" s="685">
        <f t="shared" si="179"/>
        <v>0</v>
      </c>
      <c r="F245" s="978">
        <f t="shared" ref="F245:N247" si="180">N133</f>
        <v>2000</v>
      </c>
      <c r="G245" s="848">
        <f t="shared" si="180"/>
        <v>2000</v>
      </c>
      <c r="H245" s="848">
        <f t="shared" si="180"/>
        <v>2000</v>
      </c>
      <c r="I245" s="848">
        <f t="shared" si="180"/>
        <v>2000</v>
      </c>
      <c r="J245" s="848">
        <f t="shared" si="180"/>
        <v>2000</v>
      </c>
      <c r="K245" s="848">
        <f t="shared" si="180"/>
        <v>2000</v>
      </c>
      <c r="L245" s="848">
        <f t="shared" si="180"/>
        <v>2000</v>
      </c>
      <c r="M245" s="848">
        <f t="shared" si="180"/>
        <v>2000</v>
      </c>
      <c r="N245" s="848">
        <f t="shared" si="180"/>
        <v>2000</v>
      </c>
    </row>
    <row r="246" spans="2:14">
      <c r="B246" s="685" t="str">
        <f t="shared" si="179"/>
        <v>Bistream add</v>
      </c>
      <c r="C246" s="685">
        <f t="shared" si="179"/>
        <v>0</v>
      </c>
      <c r="D246" s="685">
        <f t="shared" si="179"/>
        <v>0</v>
      </c>
      <c r="E246" s="685">
        <f t="shared" si="179"/>
        <v>0</v>
      </c>
      <c r="F246" s="849">
        <f t="shared" si="180"/>
        <v>0</v>
      </c>
      <c r="G246" s="849">
        <f t="shared" si="180"/>
        <v>0</v>
      </c>
      <c r="H246" s="849">
        <f t="shared" si="180"/>
        <v>386</v>
      </c>
      <c r="I246" s="849">
        <f t="shared" si="180"/>
        <v>213.39999999999998</v>
      </c>
      <c r="J246" s="849">
        <f t="shared" si="180"/>
        <v>0</v>
      </c>
      <c r="K246" s="849">
        <f t="shared" si="180"/>
        <v>0</v>
      </c>
      <c r="L246" s="849">
        <f t="shared" si="180"/>
        <v>0</v>
      </c>
      <c r="M246" s="849">
        <f t="shared" si="180"/>
        <v>0</v>
      </c>
      <c r="N246" s="849">
        <f t="shared" si="180"/>
        <v>0</v>
      </c>
    </row>
    <row r="247" spans="2:14">
      <c r="B247" s="685" t="str">
        <f t="shared" si="179"/>
        <v>Bitstream capex</v>
      </c>
      <c r="C247" s="685">
        <f t="shared" si="179"/>
        <v>0</v>
      </c>
      <c r="D247" s="685">
        <f t="shared" si="179"/>
        <v>0</v>
      </c>
      <c r="E247" s="685">
        <f t="shared" si="179"/>
        <v>0</v>
      </c>
      <c r="F247" s="849">
        <f t="shared" si="180"/>
        <v>0</v>
      </c>
      <c r="G247" s="849">
        <f t="shared" si="180"/>
        <v>0</v>
      </c>
      <c r="H247" s="849">
        <f t="shared" si="180"/>
        <v>772</v>
      </c>
      <c r="I247" s="849">
        <f t="shared" si="180"/>
        <v>426.79999999999995</v>
      </c>
      <c r="J247" s="849">
        <f t="shared" si="180"/>
        <v>0</v>
      </c>
      <c r="K247" s="849">
        <f t="shared" si="180"/>
        <v>0</v>
      </c>
      <c r="L247" s="849">
        <f t="shared" si="180"/>
        <v>0</v>
      </c>
      <c r="M247" s="849">
        <f t="shared" si="180"/>
        <v>0</v>
      </c>
      <c r="N247" s="849">
        <f t="shared" si="180"/>
        <v>0</v>
      </c>
    </row>
    <row r="249" spans="2:14">
      <c r="B249" s="685" t="str">
        <f t="shared" ref="B249:E251" si="181">B137</f>
        <v>ULL capex/add</v>
      </c>
      <c r="C249" s="685">
        <f t="shared" si="181"/>
        <v>0</v>
      </c>
      <c r="D249" s="685">
        <f t="shared" si="181"/>
        <v>0</v>
      </c>
      <c r="E249" s="685">
        <f t="shared" si="181"/>
        <v>0</v>
      </c>
      <c r="F249" s="978">
        <f t="shared" ref="F249:N251" si="182">N137</f>
        <v>3000</v>
      </c>
      <c r="G249" s="848">
        <f t="shared" si="182"/>
        <v>3000</v>
      </c>
      <c r="H249" s="848">
        <f t="shared" si="182"/>
        <v>3000</v>
      </c>
      <c r="I249" s="848">
        <f t="shared" si="182"/>
        <v>3000</v>
      </c>
      <c r="J249" s="848">
        <f t="shared" si="182"/>
        <v>3000</v>
      </c>
      <c r="K249" s="848">
        <f t="shared" si="182"/>
        <v>3000</v>
      </c>
      <c r="L249" s="848">
        <f t="shared" si="182"/>
        <v>3000</v>
      </c>
      <c r="M249" s="848">
        <f t="shared" si="182"/>
        <v>3000</v>
      </c>
      <c r="N249" s="848">
        <f t="shared" si="182"/>
        <v>3000</v>
      </c>
    </row>
    <row r="250" spans="2:14">
      <c r="B250" s="685" t="str">
        <f t="shared" si="181"/>
        <v>Net FULL add</v>
      </c>
      <c r="C250" s="685">
        <f t="shared" si="181"/>
        <v>0</v>
      </c>
      <c r="D250" s="685">
        <f t="shared" si="181"/>
        <v>0</v>
      </c>
      <c r="E250" s="685">
        <f t="shared" si="181"/>
        <v>0</v>
      </c>
      <c r="F250" s="849">
        <f t="shared" si="182"/>
        <v>0</v>
      </c>
      <c r="G250" s="849">
        <f t="shared" si="182"/>
        <v>0</v>
      </c>
      <c r="H250" s="849">
        <f t="shared" si="182"/>
        <v>0</v>
      </c>
      <c r="I250" s="849">
        <f t="shared" si="182"/>
        <v>66.600000000000023</v>
      </c>
      <c r="J250" s="849">
        <f t="shared" si="182"/>
        <v>78.845199999999977</v>
      </c>
      <c r="K250" s="849">
        <f t="shared" si="182"/>
        <v>-17.386399999999981</v>
      </c>
      <c r="L250" s="849">
        <f t="shared" si="182"/>
        <v>-25.041000000000054</v>
      </c>
      <c r="M250" s="849">
        <f t="shared" si="182"/>
        <v>-5</v>
      </c>
      <c r="N250" s="849">
        <f t="shared" si="182"/>
        <v>-5</v>
      </c>
    </row>
    <row r="251" spans="2:14">
      <c r="B251" s="685" t="str">
        <f t="shared" si="181"/>
        <v>ULL capex</v>
      </c>
      <c r="C251" s="685">
        <f t="shared" si="181"/>
        <v>0</v>
      </c>
      <c r="D251" s="685">
        <f t="shared" si="181"/>
        <v>0</v>
      </c>
      <c r="E251" s="685">
        <f t="shared" si="181"/>
        <v>0</v>
      </c>
      <c r="F251" s="848">
        <f t="shared" si="182"/>
        <v>0</v>
      </c>
      <c r="G251" s="848">
        <f t="shared" si="182"/>
        <v>0</v>
      </c>
      <c r="H251" s="848">
        <f t="shared" si="182"/>
        <v>0</v>
      </c>
      <c r="I251" s="848">
        <f t="shared" si="182"/>
        <v>199.80000000000007</v>
      </c>
      <c r="J251" s="848">
        <f t="shared" si="182"/>
        <v>236.53559999999993</v>
      </c>
      <c r="K251" s="848">
        <f t="shared" si="182"/>
        <v>-52.159199999999942</v>
      </c>
      <c r="L251" s="848">
        <f t="shared" si="182"/>
        <v>-75.123000000000161</v>
      </c>
      <c r="M251" s="848">
        <f t="shared" si="182"/>
        <v>-15</v>
      </c>
      <c r="N251" s="848">
        <f t="shared" si="182"/>
        <v>-15</v>
      </c>
    </row>
    <row r="252" spans="2:14">
      <c r="G252" s="848"/>
    </row>
    <row r="253" spans="2:14">
      <c r="B253" s="1007" t="str">
        <f>B142</f>
        <v>SKY BB / voice capex</v>
      </c>
      <c r="C253" s="997"/>
      <c r="D253" s="997"/>
      <c r="E253" s="997"/>
      <c r="F253" s="1039"/>
      <c r="G253" s="1039">
        <f t="shared" ref="G253:N254" si="183">O142</f>
        <v>0</v>
      </c>
      <c r="H253" s="1039">
        <f t="shared" si="183"/>
        <v>772</v>
      </c>
      <c r="I253" s="1039">
        <f t="shared" si="183"/>
        <v>626.6</v>
      </c>
      <c r="J253" s="1039">
        <f t="shared" si="183"/>
        <v>236.53559999999993</v>
      </c>
      <c r="K253" s="1039">
        <f t="shared" si="183"/>
        <v>-52.159199999999942</v>
      </c>
      <c r="L253" s="1039">
        <f t="shared" si="183"/>
        <v>-75.123000000000161</v>
      </c>
      <c r="M253" s="1039">
        <f t="shared" si="183"/>
        <v>-15</v>
      </c>
      <c r="N253" s="1049">
        <f t="shared" si="183"/>
        <v>-15</v>
      </c>
    </row>
    <row r="254" spans="2:14">
      <c r="B254" s="685" t="str">
        <f>B143</f>
        <v>as % sales</v>
      </c>
      <c r="G254" s="807" t="e">
        <f t="shared" si="183"/>
        <v>#DIV/0!</v>
      </c>
      <c r="H254" s="807">
        <f t="shared" si="183"/>
        <v>1.3389031705227075</v>
      </c>
      <c r="I254" s="807">
        <f t="shared" si="183"/>
        <v>0.39874369137335008</v>
      </c>
      <c r="J254" s="807">
        <f t="shared" si="183"/>
        <v>0.11365645802672747</v>
      </c>
      <c r="K254" s="807">
        <f t="shared" si="183"/>
        <v>-2.5533856269717419E-2</v>
      </c>
      <c r="L254" s="807">
        <f t="shared" si="183"/>
        <v>-4.3527740532437111E-2</v>
      </c>
      <c r="M254" s="807">
        <f t="shared" si="183"/>
        <v>-9.9900453242314346E-3</v>
      </c>
      <c r="N254" s="807">
        <f t="shared" si="183"/>
        <v>-1.0512986876708116E-2</v>
      </c>
    </row>
    <row r="256" spans="2:14">
      <c r="B256" s="1007" t="str">
        <f>B145</f>
        <v>SKY BB / ULL OpFCF</v>
      </c>
      <c r="C256" s="997">
        <f>C145</f>
        <v>0</v>
      </c>
      <c r="D256" s="997">
        <f>D145</f>
        <v>0</v>
      </c>
      <c r="E256" s="997">
        <f>E145</f>
        <v>0</v>
      </c>
      <c r="F256" s="1039">
        <f t="shared" ref="F256:N256" si="184">N145</f>
        <v>0</v>
      </c>
      <c r="G256" s="1039">
        <f t="shared" si="184"/>
        <v>0</v>
      </c>
      <c r="H256" s="1039">
        <f t="shared" si="184"/>
        <v>-680.84224000000006</v>
      </c>
      <c r="I256" s="1039">
        <f t="shared" si="184"/>
        <v>-319.78819352808995</v>
      </c>
      <c r="J256" s="1039">
        <f t="shared" si="184"/>
        <v>224.34372985653329</v>
      </c>
      <c r="K256" s="1039">
        <f t="shared" si="184"/>
        <v>536.25081391359981</v>
      </c>
      <c r="L256" s="1039">
        <f t="shared" si="184"/>
        <v>495.58140687762966</v>
      </c>
      <c r="M256" s="1039">
        <f t="shared" si="184"/>
        <v>389.77135706416885</v>
      </c>
      <c r="N256" s="1049">
        <f t="shared" si="184"/>
        <v>378.80454345348556</v>
      </c>
    </row>
  </sheetData>
  <pageMargins left="0.70866141732283472" right="0.70866141732283472" top="0.74803149606299213" bottom="0.74803149606299213" header="0.31496062992125984" footer="0.31496062992125984"/>
  <pageSetup paperSize="9" scale="35" fitToHeight="2"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9D93D-4A1A-4366-8346-FCD8B1A15932}">
  <sheetPr>
    <tabColor theme="8" tint="0.59999389629810485"/>
  </sheetPr>
  <dimension ref="A2:N224"/>
  <sheetViews>
    <sheetView zoomScale="72" zoomScaleNormal="72" workbookViewId="0">
      <pane ySplit="2" topLeftCell="A162" activePane="bottomLeft" state="frozen"/>
      <selection activeCell="AF5" sqref="AF5"/>
      <selection pane="bottomLeft" activeCell="H196" sqref="H196"/>
    </sheetView>
  </sheetViews>
  <sheetFormatPr defaultColWidth="9.140625" defaultRowHeight="15" outlineLevelRow="1"/>
  <cols>
    <col min="1" max="1" width="3.42578125" style="685" customWidth="1"/>
    <col min="2" max="2" width="50" style="685" customWidth="1"/>
    <col min="3" max="4" width="8.85546875" style="685" customWidth="1"/>
    <col min="5" max="16384" width="9.140625" style="685"/>
  </cols>
  <sheetData>
    <row r="2" spans="2:14">
      <c r="B2" s="857" t="s">
        <v>6545</v>
      </c>
      <c r="C2" s="857">
        <v>2019</v>
      </c>
      <c r="D2" s="857">
        <v>2020</v>
      </c>
      <c r="E2" s="857">
        <v>2021</v>
      </c>
      <c r="F2" s="857">
        <f>E2+1</f>
        <v>2022</v>
      </c>
      <c r="G2" s="857">
        <f t="shared" ref="G2:N2" si="0">F2+1</f>
        <v>2023</v>
      </c>
      <c r="H2" s="857">
        <f t="shared" si="0"/>
        <v>2024</v>
      </c>
      <c r="I2" s="857">
        <f t="shared" si="0"/>
        <v>2025</v>
      </c>
      <c r="J2" s="857">
        <f t="shared" si="0"/>
        <v>2026</v>
      </c>
      <c r="K2" s="857">
        <f t="shared" si="0"/>
        <v>2027</v>
      </c>
      <c r="L2" s="857">
        <f t="shared" si="0"/>
        <v>2028</v>
      </c>
      <c r="M2" s="857">
        <f t="shared" si="0"/>
        <v>2029</v>
      </c>
      <c r="N2" s="857">
        <f t="shared" si="0"/>
        <v>2030</v>
      </c>
    </row>
    <row r="3" spans="2:14">
      <c r="B3" s="806"/>
      <c r="C3" s="876"/>
      <c r="D3" s="876"/>
      <c r="E3" s="876"/>
      <c r="F3" s="876"/>
      <c r="G3" s="876"/>
      <c r="H3" s="876"/>
      <c r="I3" s="876"/>
      <c r="J3" s="876"/>
      <c r="K3" s="876"/>
      <c r="L3" s="876"/>
      <c r="M3" s="876"/>
      <c r="N3" s="876"/>
    </row>
    <row r="4" spans="2:14">
      <c r="B4" s="806" t="s">
        <v>6523</v>
      </c>
      <c r="C4" s="874"/>
      <c r="D4" s="874"/>
      <c r="E4" s="874"/>
      <c r="F4" s="874"/>
      <c r="G4" s="874"/>
      <c r="H4" s="874"/>
      <c r="I4" s="874"/>
      <c r="J4" s="874"/>
      <c r="K4" s="874"/>
      <c r="L4" s="874"/>
      <c r="M4" s="874"/>
      <c r="N4" s="874"/>
    </row>
    <row r="5" spans="2:14">
      <c r="B5" s="685" t="s">
        <v>6486</v>
      </c>
      <c r="C5" s="978">
        <v>18800</v>
      </c>
      <c r="D5" s="978">
        <v>24100</v>
      </c>
      <c r="E5" s="848">
        <f t="shared" ref="E5:N5" si="1">AVERAGE(D9,E9)*E20*12</f>
        <v>28112.266784452295</v>
      </c>
      <c r="F5" s="848">
        <f t="shared" si="1"/>
        <v>31891.853604240285</v>
      </c>
      <c r="G5" s="848">
        <f t="shared" si="1"/>
        <v>34709.720215901063</v>
      </c>
      <c r="H5" s="848">
        <f t="shared" si="1"/>
        <v>37667.956156017666</v>
      </c>
      <c r="I5" s="848">
        <f t="shared" si="1"/>
        <v>40278.834338434775</v>
      </c>
      <c r="J5" s="848">
        <f t="shared" si="1"/>
        <v>42249.831709922153</v>
      </c>
      <c r="K5" s="848">
        <f t="shared" si="1"/>
        <v>44041.000868936055</v>
      </c>
      <c r="L5" s="848">
        <f t="shared" si="1"/>
        <v>45901.61532895187</v>
      </c>
      <c r="M5" s="848">
        <f t="shared" si="1"/>
        <v>47834.22975578659</v>
      </c>
      <c r="N5" s="848">
        <f t="shared" si="1"/>
        <v>49841.489594435348</v>
      </c>
    </row>
    <row r="6" spans="2:14">
      <c r="B6" s="685" t="s">
        <v>6506</v>
      </c>
      <c r="C6" s="979">
        <f>C5</f>
        <v>18800</v>
      </c>
      <c r="D6" s="979">
        <f>D5</f>
        <v>24100</v>
      </c>
      <c r="E6" s="980">
        <v>27000</v>
      </c>
      <c r="F6" s="980">
        <v>30000</v>
      </c>
      <c r="G6" s="980">
        <v>34000</v>
      </c>
      <c r="H6" s="980">
        <v>38000</v>
      </c>
      <c r="I6" s="980">
        <v>42000</v>
      </c>
      <c r="J6" s="981">
        <f>I6*1.05</f>
        <v>44100</v>
      </c>
      <c r="K6" s="981">
        <f>J6*1.05</f>
        <v>46305</v>
      </c>
      <c r="L6" s="981">
        <f>K6*1.05</f>
        <v>48620.25</v>
      </c>
      <c r="M6" s="981">
        <f>L6*1.05</f>
        <v>51051.262500000004</v>
      </c>
      <c r="N6" s="981">
        <f>M6*1.05</f>
        <v>53603.825625000005</v>
      </c>
    </row>
    <row r="7" spans="2:14">
      <c r="B7" s="685" t="s">
        <v>6501</v>
      </c>
      <c r="C7" s="902"/>
      <c r="D7" s="902"/>
      <c r="E7" s="902"/>
      <c r="F7" s="902"/>
      <c r="G7" s="902"/>
      <c r="H7" s="902"/>
      <c r="I7" s="902"/>
      <c r="J7" s="902"/>
      <c r="K7" s="902"/>
      <c r="L7" s="902"/>
      <c r="M7" s="902"/>
      <c r="N7" s="902"/>
    </row>
    <row r="8" spans="2:14">
      <c r="C8" s="902"/>
      <c r="D8" s="902"/>
      <c r="E8" s="902"/>
      <c r="F8" s="902"/>
      <c r="G8" s="902"/>
      <c r="H8" s="902"/>
      <c r="I8" s="902"/>
      <c r="J8" s="902"/>
      <c r="K8" s="902"/>
      <c r="L8" s="902"/>
      <c r="M8" s="902"/>
      <c r="N8" s="902"/>
    </row>
    <row r="9" spans="2:14">
      <c r="B9" s="685" t="s">
        <v>6500</v>
      </c>
      <c r="C9" s="848">
        <f>D9-D10</f>
        <v>268</v>
      </c>
      <c r="D9" s="978">
        <v>298</v>
      </c>
      <c r="E9" s="848">
        <f t="shared" ref="E9:N9" si="2">D9+E10</f>
        <v>343</v>
      </c>
      <c r="F9" s="848">
        <f t="shared" si="2"/>
        <v>363</v>
      </c>
      <c r="G9" s="848">
        <f t="shared" si="2"/>
        <v>383</v>
      </c>
      <c r="H9" s="848">
        <f t="shared" si="2"/>
        <v>403</v>
      </c>
      <c r="I9" s="848">
        <f t="shared" si="2"/>
        <v>413</v>
      </c>
      <c r="J9" s="848">
        <f t="shared" si="2"/>
        <v>418</v>
      </c>
      <c r="K9" s="848">
        <f t="shared" si="2"/>
        <v>423</v>
      </c>
      <c r="L9" s="848">
        <f t="shared" si="2"/>
        <v>428</v>
      </c>
      <c r="M9" s="848">
        <f t="shared" si="2"/>
        <v>433</v>
      </c>
      <c r="N9" s="848">
        <f t="shared" si="2"/>
        <v>438</v>
      </c>
    </row>
    <row r="10" spans="2:14">
      <c r="B10" s="685" t="s">
        <v>5592</v>
      </c>
      <c r="C10" s="848"/>
      <c r="D10" s="902">
        <v>30</v>
      </c>
      <c r="E10" s="902">
        <v>45</v>
      </c>
      <c r="F10" s="902">
        <v>20</v>
      </c>
      <c r="G10" s="902">
        <v>20</v>
      </c>
      <c r="H10" s="902">
        <v>20</v>
      </c>
      <c r="I10" s="902">
        <v>10</v>
      </c>
      <c r="J10" s="902">
        <v>5</v>
      </c>
      <c r="K10" s="902">
        <v>5</v>
      </c>
      <c r="L10" s="902">
        <v>5</v>
      </c>
      <c r="M10" s="902">
        <v>5</v>
      </c>
      <c r="N10" s="902">
        <v>5</v>
      </c>
    </row>
    <row r="11" spans="2:14">
      <c r="C11" s="848"/>
      <c r="D11" s="848"/>
      <c r="E11" s="848"/>
      <c r="F11" s="848"/>
      <c r="G11" s="848"/>
      <c r="H11" s="848"/>
      <c r="I11" s="848"/>
      <c r="J11" s="848"/>
      <c r="K11" s="848"/>
      <c r="L11" s="848"/>
      <c r="M11" s="848"/>
      <c r="N11" s="848"/>
    </row>
    <row r="12" spans="2:14">
      <c r="B12" s="685" t="s">
        <v>6503</v>
      </c>
      <c r="C12" s="848"/>
      <c r="D12" s="978">
        <v>330</v>
      </c>
      <c r="E12" s="848">
        <f t="shared" ref="E12:N12" si="3">(1+E13)*D12</f>
        <v>333.3</v>
      </c>
      <c r="F12" s="848">
        <f t="shared" si="3"/>
        <v>336.63300000000004</v>
      </c>
      <c r="G12" s="848">
        <f t="shared" si="3"/>
        <v>339.99933000000004</v>
      </c>
      <c r="H12" s="848">
        <f t="shared" si="3"/>
        <v>343.39932330000005</v>
      </c>
      <c r="I12" s="848">
        <f t="shared" si="3"/>
        <v>346.83331653300007</v>
      </c>
      <c r="J12" s="848">
        <f t="shared" si="3"/>
        <v>350.3016496983301</v>
      </c>
      <c r="K12" s="848">
        <f t="shared" si="3"/>
        <v>353.80466619531342</v>
      </c>
      <c r="L12" s="848">
        <f t="shared" si="3"/>
        <v>357.34271285726658</v>
      </c>
      <c r="M12" s="848">
        <f t="shared" si="3"/>
        <v>360.91613998583927</v>
      </c>
      <c r="N12" s="848">
        <f t="shared" si="3"/>
        <v>364.52530138569767</v>
      </c>
    </row>
    <row r="13" spans="2:14">
      <c r="B13" s="685" t="s">
        <v>6504</v>
      </c>
      <c r="C13" s="848"/>
      <c r="D13" s="848"/>
      <c r="E13" s="982">
        <v>0.01</v>
      </c>
      <c r="F13" s="982">
        <v>0.01</v>
      </c>
      <c r="G13" s="982">
        <v>0.01</v>
      </c>
      <c r="H13" s="982">
        <v>0.01</v>
      </c>
      <c r="I13" s="982">
        <v>0.01</v>
      </c>
      <c r="J13" s="982">
        <v>0.01</v>
      </c>
      <c r="K13" s="982">
        <v>0.01</v>
      </c>
      <c r="L13" s="982">
        <v>0.01</v>
      </c>
      <c r="M13" s="982">
        <v>0.01</v>
      </c>
      <c r="N13" s="982">
        <v>0.01</v>
      </c>
    </row>
    <row r="14" spans="2:14">
      <c r="B14" s="685" t="s">
        <v>6502</v>
      </c>
      <c r="C14" s="848"/>
      <c r="D14" s="867">
        <f t="shared" ref="D14:N14" si="4">D9/D12</f>
        <v>0.90303030303030307</v>
      </c>
      <c r="E14" s="867">
        <f t="shared" si="4"/>
        <v>1.029102910291029</v>
      </c>
      <c r="F14" s="867">
        <f t="shared" si="4"/>
        <v>1.078325654347613</v>
      </c>
      <c r="G14" s="867">
        <f t="shared" si="4"/>
        <v>1.1264728080493569</v>
      </c>
      <c r="H14" s="867">
        <f t="shared" si="4"/>
        <v>1.1735608449290149</v>
      </c>
      <c r="I14" s="867">
        <f t="shared" si="4"/>
        <v>1.1907737241866279</v>
      </c>
      <c r="J14" s="867">
        <f t="shared" si="4"/>
        <v>1.1932572979886615</v>
      </c>
      <c r="K14" s="867">
        <f t="shared" si="4"/>
        <v>1.1955749610336912</v>
      </c>
      <c r="L14" s="867">
        <f t="shared" si="4"/>
        <v>1.1977297552194832</v>
      </c>
      <c r="M14" s="867">
        <f t="shared" si="4"/>
        <v>1.1997246784723703</v>
      </c>
      <c r="N14" s="867">
        <f t="shared" si="4"/>
        <v>1.2015626853197772</v>
      </c>
    </row>
    <row r="15" spans="2:14">
      <c r="C15" s="848"/>
      <c r="D15" s="867"/>
      <c r="E15" s="867"/>
      <c r="F15" s="867"/>
      <c r="G15" s="867"/>
      <c r="H15" s="867"/>
      <c r="I15" s="867"/>
      <c r="J15" s="867"/>
      <c r="K15" s="867"/>
      <c r="L15" s="867"/>
      <c r="M15" s="867"/>
      <c r="N15" s="867"/>
    </row>
    <row r="16" spans="2:14">
      <c r="B16" s="685" t="s">
        <v>683</v>
      </c>
      <c r="C16" s="848"/>
      <c r="D16" s="978">
        <v>127</v>
      </c>
      <c r="E16" s="848">
        <f>E12/E17</f>
        <v>128.27000000000001</v>
      </c>
      <c r="F16" s="848">
        <f t="shared" ref="F16:N16" si="5">F12/F17</f>
        <v>129.55270000000002</v>
      </c>
      <c r="G16" s="848">
        <f t="shared" si="5"/>
        <v>130.84822700000004</v>
      </c>
      <c r="H16" s="848">
        <f t="shared" si="5"/>
        <v>132.15670927000002</v>
      </c>
      <c r="I16" s="848">
        <f t="shared" si="5"/>
        <v>133.47827636270003</v>
      </c>
      <c r="J16" s="848">
        <f t="shared" si="5"/>
        <v>134.81305912632703</v>
      </c>
      <c r="K16" s="848">
        <f t="shared" si="5"/>
        <v>136.16118971759033</v>
      </c>
      <c r="L16" s="848">
        <f t="shared" si="5"/>
        <v>137.52280161476622</v>
      </c>
      <c r="M16" s="848">
        <f t="shared" si="5"/>
        <v>138.8980296309139</v>
      </c>
      <c r="N16" s="848">
        <f t="shared" si="5"/>
        <v>140.28700992722307</v>
      </c>
    </row>
    <row r="17" spans="2:14">
      <c r="B17" s="685" t="s">
        <v>6521</v>
      </c>
      <c r="C17" s="848"/>
      <c r="D17" s="983">
        <f>D12/D16</f>
        <v>2.5984251968503935</v>
      </c>
      <c r="E17" s="984">
        <f t="shared" ref="E17:N17" si="6">D17</f>
        <v>2.5984251968503935</v>
      </c>
      <c r="F17" s="984">
        <f t="shared" si="6"/>
        <v>2.5984251968503935</v>
      </c>
      <c r="G17" s="984">
        <f t="shared" si="6"/>
        <v>2.5984251968503935</v>
      </c>
      <c r="H17" s="984">
        <f t="shared" si="6"/>
        <v>2.5984251968503935</v>
      </c>
      <c r="I17" s="984">
        <f t="shared" si="6"/>
        <v>2.5984251968503935</v>
      </c>
      <c r="J17" s="984">
        <f t="shared" si="6"/>
        <v>2.5984251968503935</v>
      </c>
      <c r="K17" s="984">
        <f t="shared" si="6"/>
        <v>2.5984251968503935</v>
      </c>
      <c r="L17" s="984">
        <f t="shared" si="6"/>
        <v>2.5984251968503935</v>
      </c>
      <c r="M17" s="984">
        <f t="shared" si="6"/>
        <v>2.5984251968503935</v>
      </c>
      <c r="N17" s="984">
        <f t="shared" si="6"/>
        <v>2.5984251968503935</v>
      </c>
    </row>
    <row r="18" spans="2:14">
      <c r="B18" s="685" t="s">
        <v>6520</v>
      </c>
      <c r="C18" s="848"/>
      <c r="D18" s="985">
        <f t="shared" ref="D18:N18" si="7">D9/D16</f>
        <v>2.3464566929133857</v>
      </c>
      <c r="E18" s="985">
        <f t="shared" si="7"/>
        <v>2.67404693225228</v>
      </c>
      <c r="F18" s="985">
        <f t="shared" si="7"/>
        <v>2.8019485506670256</v>
      </c>
      <c r="G18" s="985">
        <f t="shared" si="7"/>
        <v>2.9270553280022655</v>
      </c>
      <c r="H18" s="985">
        <f t="shared" si="7"/>
        <v>3.0494100695005897</v>
      </c>
      <c r="I18" s="985">
        <f t="shared" si="7"/>
        <v>3.0941364486739147</v>
      </c>
      <c r="J18" s="985">
        <f t="shared" si="7"/>
        <v>3.100589829419357</v>
      </c>
      <c r="K18" s="985">
        <f t="shared" si="7"/>
        <v>3.1066121034733709</v>
      </c>
      <c r="L18" s="985">
        <f t="shared" si="7"/>
        <v>3.1122111749797599</v>
      </c>
      <c r="M18" s="985">
        <f t="shared" si="7"/>
        <v>3.1173948338258439</v>
      </c>
      <c r="N18" s="985">
        <f t="shared" si="7"/>
        <v>3.1221707571301294</v>
      </c>
    </row>
    <row r="19" spans="2:14">
      <c r="C19" s="848"/>
      <c r="D19" s="848"/>
      <c r="E19" s="848"/>
      <c r="F19" s="848"/>
      <c r="G19" s="848"/>
      <c r="H19" s="848"/>
      <c r="I19" s="848"/>
      <c r="J19" s="848"/>
      <c r="K19" s="848"/>
      <c r="L19" s="848"/>
      <c r="M19" s="848"/>
      <c r="N19" s="848"/>
    </row>
    <row r="20" spans="2:14">
      <c r="B20" s="685" t="s">
        <v>6485</v>
      </c>
      <c r="C20" s="848"/>
      <c r="D20" s="983">
        <f>D5/AVERAGE(C9,D9)/12</f>
        <v>7.0965842167255593</v>
      </c>
      <c r="E20" s="983">
        <f t="shared" ref="E20:N20" si="8">(1+E21)*D20</f>
        <v>7.3094817432273267</v>
      </c>
      <c r="F20" s="983">
        <f t="shared" si="8"/>
        <v>7.5287661955241463</v>
      </c>
      <c r="G20" s="983">
        <f t="shared" si="8"/>
        <v>7.7546291813898707</v>
      </c>
      <c r="H20" s="983">
        <f t="shared" si="8"/>
        <v>7.9872680568315673</v>
      </c>
      <c r="I20" s="983">
        <f t="shared" si="8"/>
        <v>8.2268860985365144</v>
      </c>
      <c r="J20" s="983">
        <f t="shared" si="8"/>
        <v>8.4736926814926097</v>
      </c>
      <c r="K20" s="983">
        <f t="shared" si="8"/>
        <v>8.7279034619373874</v>
      </c>
      <c r="L20" s="983">
        <f t="shared" si="8"/>
        <v>8.9897405657955094</v>
      </c>
      <c r="M20" s="983">
        <f t="shared" si="8"/>
        <v>9.259432782769375</v>
      </c>
      <c r="N20" s="983">
        <f t="shared" si="8"/>
        <v>9.5372157662524568</v>
      </c>
    </row>
    <row r="21" spans="2:14">
      <c r="B21" s="685" t="s">
        <v>181</v>
      </c>
      <c r="C21" s="848"/>
      <c r="D21" s="983"/>
      <c r="E21" s="982">
        <v>0.03</v>
      </c>
      <c r="F21" s="982">
        <v>0.03</v>
      </c>
      <c r="G21" s="982">
        <v>0.03</v>
      </c>
      <c r="H21" s="982">
        <v>0.03</v>
      </c>
      <c r="I21" s="982">
        <v>0.03</v>
      </c>
      <c r="J21" s="982">
        <v>0.03</v>
      </c>
      <c r="K21" s="982">
        <v>0.03</v>
      </c>
      <c r="L21" s="982">
        <v>0.03</v>
      </c>
      <c r="M21" s="982">
        <v>0.03</v>
      </c>
      <c r="N21" s="982">
        <v>0.03</v>
      </c>
    </row>
    <row r="22" spans="2:14">
      <c r="C22" s="848"/>
      <c r="D22" s="848"/>
      <c r="E22" s="848"/>
      <c r="F22" s="848"/>
      <c r="G22" s="848"/>
      <c r="H22" s="848"/>
      <c r="I22" s="848"/>
      <c r="J22" s="848"/>
      <c r="K22" s="848"/>
      <c r="L22" s="848"/>
      <c r="M22" s="848"/>
      <c r="N22" s="848"/>
    </row>
    <row r="23" spans="2:14">
      <c r="B23" s="685" t="s">
        <v>6498</v>
      </c>
      <c r="C23" s="978">
        <v>15100</v>
      </c>
      <c r="D23" s="978">
        <v>19700</v>
      </c>
      <c r="E23" s="848"/>
      <c r="F23" s="848"/>
      <c r="G23" s="848"/>
      <c r="H23" s="848"/>
      <c r="I23" s="848"/>
      <c r="J23" s="848"/>
      <c r="K23" s="848"/>
      <c r="L23" s="848"/>
      <c r="M23" s="848"/>
      <c r="N23" s="848"/>
    </row>
    <row r="24" spans="2:14">
      <c r="C24" s="848"/>
      <c r="D24" s="848"/>
      <c r="E24" s="848"/>
      <c r="F24" s="848"/>
      <c r="G24" s="848"/>
      <c r="H24" s="848"/>
      <c r="I24" s="848"/>
      <c r="J24" s="848"/>
      <c r="K24" s="848"/>
      <c r="L24" s="848"/>
      <c r="M24" s="848"/>
      <c r="N24" s="848"/>
    </row>
    <row r="25" spans="2:14">
      <c r="B25" s="806" t="s">
        <v>6516</v>
      </c>
      <c r="C25" s="848"/>
      <c r="D25" s="848"/>
      <c r="E25" s="848"/>
      <c r="F25" s="848"/>
      <c r="G25" s="848"/>
      <c r="H25" s="848"/>
      <c r="I25" s="848"/>
      <c r="J25" s="848"/>
      <c r="K25" s="848"/>
      <c r="L25" s="848"/>
      <c r="M25" s="848"/>
      <c r="N25" s="848"/>
    </row>
    <row r="26" spans="2:14">
      <c r="B26" s="685" t="s">
        <v>6518</v>
      </c>
      <c r="C26" s="848"/>
      <c r="D26" s="848"/>
      <c r="E26" s="983">
        <f>E27*E9</f>
        <v>0</v>
      </c>
      <c r="F26" s="983">
        <f t="shared" ref="F26:N26" si="9">F27*F9</f>
        <v>0.36299999999999999</v>
      </c>
      <c r="G26" s="983">
        <f t="shared" si="9"/>
        <v>2.8725000000000001</v>
      </c>
      <c r="H26" s="983">
        <f t="shared" si="9"/>
        <v>3.4255000000000004</v>
      </c>
      <c r="I26" s="983">
        <f t="shared" si="9"/>
        <v>3.7169999999999996</v>
      </c>
      <c r="J26" s="983">
        <f t="shared" si="9"/>
        <v>3.9710000000000001</v>
      </c>
      <c r="K26" s="983">
        <f t="shared" si="9"/>
        <v>4.2300000000000004</v>
      </c>
      <c r="L26" s="983">
        <f t="shared" si="9"/>
        <v>4.28</v>
      </c>
      <c r="M26" s="983">
        <f t="shared" si="9"/>
        <v>4.33</v>
      </c>
      <c r="N26" s="983">
        <f t="shared" si="9"/>
        <v>4.38</v>
      </c>
    </row>
    <row r="27" spans="2:14">
      <c r="B27" s="685" t="s">
        <v>6519</v>
      </c>
      <c r="C27" s="848"/>
      <c r="D27" s="848"/>
      <c r="E27" s="982">
        <v>0</v>
      </c>
      <c r="F27" s="982">
        <v>1E-3</v>
      </c>
      <c r="G27" s="982">
        <v>7.4999999999999997E-3</v>
      </c>
      <c r="H27" s="982">
        <v>8.5000000000000006E-3</v>
      </c>
      <c r="I27" s="982">
        <v>8.9999999999999993E-3</v>
      </c>
      <c r="J27" s="982">
        <v>9.4999999999999998E-3</v>
      </c>
      <c r="K27" s="982">
        <v>0.01</v>
      </c>
      <c r="L27" s="982">
        <v>0.01</v>
      </c>
      <c r="M27" s="982">
        <v>0.01</v>
      </c>
      <c r="N27" s="982">
        <v>0.01</v>
      </c>
    </row>
    <row r="28" spans="2:14">
      <c r="C28" s="848"/>
      <c r="D28" s="848"/>
      <c r="E28" s="848"/>
      <c r="F28" s="848"/>
      <c r="G28" s="848"/>
      <c r="H28" s="848"/>
      <c r="I28" s="848"/>
      <c r="J28" s="848"/>
      <c r="K28" s="848"/>
      <c r="L28" s="848"/>
      <c r="M28" s="848"/>
      <c r="N28" s="848"/>
    </row>
    <row r="29" spans="2:14">
      <c r="B29" s="685" t="s">
        <v>507</v>
      </c>
      <c r="C29" s="848"/>
      <c r="D29" s="848"/>
      <c r="E29" s="983">
        <f>(1-E30)*E20</f>
        <v>6.5785335689045938</v>
      </c>
      <c r="F29" s="983">
        <f t="shared" ref="F29:N29" si="10">(1-F30)*F20</f>
        <v>6.7758895759717319</v>
      </c>
      <c r="G29" s="983">
        <f t="shared" si="10"/>
        <v>6.9791662632508835</v>
      </c>
      <c r="H29" s="983">
        <f t="shared" si="10"/>
        <v>7.1885412511484104</v>
      </c>
      <c r="I29" s="983">
        <f t="shared" si="10"/>
        <v>7.404197488682863</v>
      </c>
      <c r="J29" s="983">
        <f t="shared" si="10"/>
        <v>7.6263234133433491</v>
      </c>
      <c r="K29" s="983">
        <f t="shared" si="10"/>
        <v>7.8551131157436487</v>
      </c>
      <c r="L29" s="983">
        <f t="shared" si="10"/>
        <v>8.0907665092159586</v>
      </c>
      <c r="M29" s="983">
        <f t="shared" si="10"/>
        <v>8.3334895044924373</v>
      </c>
      <c r="N29" s="983">
        <f t="shared" si="10"/>
        <v>8.5834941896272117</v>
      </c>
    </row>
    <row r="30" spans="2:14">
      <c r="B30" s="685" t="s">
        <v>6517</v>
      </c>
      <c r="C30" s="848"/>
      <c r="D30" s="848"/>
      <c r="E30" s="986">
        <v>0.1</v>
      </c>
      <c r="F30" s="807">
        <f>E30</f>
        <v>0.1</v>
      </c>
      <c r="G30" s="807">
        <f t="shared" ref="G30:N30" si="11">F30</f>
        <v>0.1</v>
      </c>
      <c r="H30" s="807">
        <f t="shared" si="11"/>
        <v>0.1</v>
      </c>
      <c r="I30" s="807">
        <f t="shared" si="11"/>
        <v>0.1</v>
      </c>
      <c r="J30" s="807">
        <f t="shared" si="11"/>
        <v>0.1</v>
      </c>
      <c r="K30" s="807">
        <f t="shared" si="11"/>
        <v>0.1</v>
      </c>
      <c r="L30" s="807">
        <f t="shared" si="11"/>
        <v>0.1</v>
      </c>
      <c r="M30" s="807">
        <f t="shared" si="11"/>
        <v>0.1</v>
      </c>
      <c r="N30" s="807">
        <f t="shared" si="11"/>
        <v>0.1</v>
      </c>
    </row>
    <row r="31" spans="2:14">
      <c r="C31" s="848"/>
      <c r="D31" s="848"/>
      <c r="E31" s="848"/>
      <c r="F31" s="848"/>
      <c r="G31" s="848"/>
      <c r="H31" s="848"/>
      <c r="I31" s="848"/>
      <c r="J31" s="848"/>
      <c r="K31" s="848"/>
      <c r="L31" s="848"/>
      <c r="M31" s="848"/>
      <c r="N31" s="848"/>
    </row>
    <row r="32" spans="2:14">
      <c r="B32" s="685" t="s">
        <v>6488</v>
      </c>
      <c r="C32" s="848"/>
      <c r="D32" s="848"/>
      <c r="E32" s="848">
        <f t="shared" ref="E32:N32" si="12">E29*12*AVERAGE(D26,E26)</f>
        <v>0</v>
      </c>
      <c r="F32" s="848">
        <f t="shared" si="12"/>
        <v>14.757887496466431</v>
      </c>
      <c r="G32" s="848">
        <f t="shared" si="12"/>
        <v>135.48655466848942</v>
      </c>
      <c r="H32" s="848">
        <f t="shared" si="12"/>
        <v>271.64059679839613</v>
      </c>
      <c r="I32" s="848">
        <f t="shared" si="12"/>
        <v>317.30688337750411</v>
      </c>
      <c r="J32" s="848">
        <f t="shared" si="12"/>
        <v>351.78704641070198</v>
      </c>
      <c r="K32" s="848">
        <f t="shared" si="12"/>
        <v>386.51869597328198</v>
      </c>
      <c r="L32" s="848">
        <f t="shared" si="12"/>
        <v>413.11453796056691</v>
      </c>
      <c r="M32" s="848">
        <f t="shared" si="12"/>
        <v>430.50806780207927</v>
      </c>
      <c r="N32" s="848">
        <f t="shared" si="12"/>
        <v>448.57340634991817</v>
      </c>
    </row>
    <row r="33" spans="1:14">
      <c r="C33" s="848"/>
      <c r="D33" s="848"/>
      <c r="E33" s="848"/>
      <c r="F33" s="848"/>
      <c r="G33" s="848"/>
      <c r="H33" s="848"/>
      <c r="I33" s="848"/>
      <c r="J33" s="848"/>
      <c r="K33" s="848"/>
      <c r="L33" s="848"/>
      <c r="M33" s="848"/>
      <c r="N33" s="848"/>
    </row>
    <row r="34" spans="1:14">
      <c r="B34" s="806" t="s">
        <v>6455</v>
      </c>
      <c r="C34" s="848"/>
      <c r="D34" s="848"/>
      <c r="E34" s="848"/>
      <c r="F34" s="848"/>
      <c r="G34" s="848"/>
      <c r="H34" s="848"/>
      <c r="I34" s="848"/>
      <c r="J34" s="848"/>
      <c r="K34" s="848"/>
      <c r="L34" s="848"/>
      <c r="M34" s="848"/>
      <c r="N34" s="848"/>
    </row>
    <row r="35" spans="1:14">
      <c r="C35" s="848"/>
      <c r="D35" s="848"/>
      <c r="E35" s="848"/>
      <c r="F35" s="848"/>
      <c r="G35" s="848"/>
      <c r="H35" s="848"/>
      <c r="I35" s="848"/>
      <c r="J35" s="848"/>
      <c r="K35" s="848"/>
      <c r="L35" s="848"/>
      <c r="M35" s="848"/>
      <c r="N35" s="848"/>
    </row>
    <row r="36" spans="1:14">
      <c r="B36" s="805" t="s">
        <v>6540</v>
      </c>
      <c r="C36" s="848"/>
      <c r="D36" s="848"/>
      <c r="E36" s="848"/>
      <c r="F36" s="848"/>
      <c r="G36" s="848"/>
      <c r="H36" s="848"/>
      <c r="I36" s="848"/>
      <c r="J36" s="848"/>
      <c r="K36" s="848"/>
      <c r="L36" s="848"/>
      <c r="M36" s="848"/>
      <c r="N36" s="848"/>
    </row>
    <row r="37" spans="1:14">
      <c r="B37" s="805"/>
      <c r="C37" s="848"/>
      <c r="D37" s="848"/>
      <c r="E37" s="848"/>
      <c r="F37" s="848"/>
      <c r="G37" s="848"/>
      <c r="H37" s="848"/>
      <c r="I37" s="848"/>
      <c r="J37" s="848"/>
      <c r="K37" s="848"/>
      <c r="L37" s="848"/>
      <c r="M37" s="848"/>
      <c r="N37" s="848"/>
    </row>
    <row r="38" spans="1:14">
      <c r="B38" s="685" t="s">
        <v>6527</v>
      </c>
      <c r="C38" s="848"/>
      <c r="D38" s="848"/>
      <c r="E38" s="978">
        <v>5</v>
      </c>
      <c r="F38" s="848">
        <f t="shared" ref="F38:N38" si="13">E38+F39</f>
        <v>7</v>
      </c>
      <c r="G38" s="848">
        <f t="shared" si="13"/>
        <v>10</v>
      </c>
      <c r="H38" s="848">
        <f t="shared" si="13"/>
        <v>13</v>
      </c>
      <c r="I38" s="848">
        <f t="shared" si="13"/>
        <v>14</v>
      </c>
      <c r="J38" s="848">
        <f t="shared" si="13"/>
        <v>15</v>
      </c>
      <c r="K38" s="848">
        <f t="shared" si="13"/>
        <v>16</v>
      </c>
      <c r="L38" s="848">
        <f t="shared" si="13"/>
        <v>17</v>
      </c>
      <c r="M38" s="848">
        <f t="shared" si="13"/>
        <v>18</v>
      </c>
      <c r="N38" s="848">
        <f t="shared" si="13"/>
        <v>19</v>
      </c>
    </row>
    <row r="39" spans="1:14">
      <c r="B39" s="685" t="s">
        <v>5592</v>
      </c>
      <c r="C39" s="848"/>
      <c r="D39" s="848"/>
      <c r="E39" s="848"/>
      <c r="F39" s="902">
        <v>2</v>
      </c>
      <c r="G39" s="902">
        <v>3</v>
      </c>
      <c r="H39" s="902">
        <v>3</v>
      </c>
      <c r="I39" s="902">
        <v>1</v>
      </c>
      <c r="J39" s="902">
        <v>1</v>
      </c>
      <c r="K39" s="902">
        <v>1</v>
      </c>
      <c r="L39" s="902">
        <v>1</v>
      </c>
      <c r="M39" s="902">
        <v>1</v>
      </c>
      <c r="N39" s="902">
        <v>1</v>
      </c>
    </row>
    <row r="40" spans="1:14">
      <c r="B40" s="685" t="s">
        <v>6526</v>
      </c>
      <c r="C40" s="848" t="s">
        <v>84</v>
      </c>
      <c r="D40" s="848"/>
      <c r="E40" s="848"/>
      <c r="F40" s="848"/>
      <c r="G40" s="848"/>
      <c r="H40" s="848"/>
      <c r="I40" s="848"/>
      <c r="J40" s="848"/>
      <c r="K40" s="848"/>
      <c r="L40" s="848"/>
      <c r="M40" s="848"/>
      <c r="N40" s="848"/>
    </row>
    <row r="41" spans="1:14">
      <c r="B41" s="685" t="s">
        <v>6542</v>
      </c>
      <c r="C41" s="848"/>
      <c r="D41" s="848"/>
      <c r="E41" s="807">
        <f t="shared" ref="E41:N41" si="14">E38/E50</f>
        <v>2.2577996715927751E-2</v>
      </c>
      <c r="F41" s="807">
        <f t="shared" si="14"/>
        <v>2.7486256871564224E-2</v>
      </c>
      <c r="G41" s="807">
        <f t="shared" si="14"/>
        <v>3.5696437495537948E-2</v>
      </c>
      <c r="H41" s="807">
        <f t="shared" si="14"/>
        <v>4.4195589280189837E-2</v>
      </c>
      <c r="I41" s="807">
        <f t="shared" si="14"/>
        <v>4.5328809518143422E-2</v>
      </c>
      <c r="J41" s="807">
        <f t="shared" si="14"/>
        <v>4.6253887263411654E-2</v>
      </c>
      <c r="K41" s="807">
        <f t="shared" si="14"/>
        <v>4.698807595013247E-2</v>
      </c>
      <c r="L41" s="807">
        <f t="shared" si="14"/>
        <v>4.7547457806681667E-2</v>
      </c>
      <c r="M41" s="807">
        <f t="shared" si="14"/>
        <v>4.7947016275645377E-2</v>
      </c>
      <c r="N41" s="807">
        <f t="shared" si="14"/>
        <v>4.8200704192447735E-2</v>
      </c>
    </row>
    <row r="42" spans="1:14">
      <c r="C42" s="848"/>
      <c r="D42" s="848"/>
      <c r="E42" s="848"/>
      <c r="F42" s="848"/>
      <c r="G42" s="848"/>
      <c r="H42" s="848"/>
      <c r="I42" s="848"/>
      <c r="J42" s="848"/>
      <c r="K42" s="848"/>
      <c r="L42" s="848"/>
      <c r="M42" s="848"/>
      <c r="N42" s="848"/>
    </row>
    <row r="43" spans="1:14">
      <c r="B43" s="685" t="s">
        <v>6198</v>
      </c>
      <c r="C43" s="848"/>
      <c r="D43" s="848"/>
      <c r="E43" s="848"/>
      <c r="F43" s="848"/>
      <c r="G43" s="848"/>
      <c r="H43" s="848"/>
      <c r="I43" s="848"/>
      <c r="J43" s="848"/>
      <c r="K43" s="848"/>
      <c r="L43" s="848"/>
      <c r="M43" s="848"/>
      <c r="N43" s="848"/>
    </row>
    <row r="44" spans="1:14">
      <c r="B44" s="685" t="s">
        <v>6541</v>
      </c>
      <c r="C44" s="848"/>
      <c r="D44" s="848">
        <f>D38</f>
        <v>0</v>
      </c>
      <c r="E44" s="848">
        <f>E38</f>
        <v>5</v>
      </c>
      <c r="F44" s="848">
        <f t="shared" ref="F44:N44" si="15">F38</f>
        <v>7</v>
      </c>
      <c r="G44" s="848">
        <f t="shared" si="15"/>
        <v>10</v>
      </c>
      <c r="H44" s="848">
        <f t="shared" si="15"/>
        <v>13</v>
      </c>
      <c r="I44" s="848">
        <f t="shared" si="15"/>
        <v>14</v>
      </c>
      <c r="J44" s="848">
        <f t="shared" si="15"/>
        <v>15</v>
      </c>
      <c r="K44" s="848">
        <f t="shared" si="15"/>
        <v>16</v>
      </c>
      <c r="L44" s="848">
        <f t="shared" si="15"/>
        <v>17</v>
      </c>
      <c r="M44" s="848">
        <f t="shared" si="15"/>
        <v>18</v>
      </c>
      <c r="N44" s="848">
        <f t="shared" si="15"/>
        <v>19</v>
      </c>
    </row>
    <row r="45" spans="1:14">
      <c r="B45" s="685" t="s">
        <v>6539</v>
      </c>
      <c r="C45" s="848"/>
      <c r="D45" s="978">
        <v>43</v>
      </c>
      <c r="E45" s="848"/>
      <c r="F45" s="848"/>
      <c r="G45" s="848"/>
      <c r="H45" s="848"/>
      <c r="I45" s="848"/>
      <c r="J45" s="848"/>
      <c r="K45" s="848"/>
      <c r="L45" s="848"/>
      <c r="M45" s="848"/>
      <c r="N45" s="848"/>
    </row>
    <row r="46" spans="1:14">
      <c r="A46" s="685" t="s">
        <v>6529</v>
      </c>
      <c r="B46" s="685" t="s">
        <v>6167</v>
      </c>
      <c r="C46" s="848"/>
      <c r="D46" s="978">
        <v>44</v>
      </c>
      <c r="E46" s="902">
        <v>56</v>
      </c>
      <c r="F46" s="848"/>
      <c r="G46" s="848"/>
      <c r="H46" s="848"/>
      <c r="I46" s="848"/>
      <c r="J46" s="848"/>
      <c r="K46" s="848"/>
      <c r="L46" s="848"/>
      <c r="M46" s="848"/>
      <c r="N46" s="848"/>
    </row>
    <row r="47" spans="1:14">
      <c r="A47" s="685" t="s">
        <v>3816</v>
      </c>
      <c r="B47" s="685" t="s">
        <v>6524</v>
      </c>
      <c r="C47" s="848"/>
      <c r="D47" s="978">
        <v>33</v>
      </c>
      <c r="E47" s="848"/>
      <c r="F47" s="848"/>
      <c r="G47" s="848"/>
      <c r="H47" s="848"/>
      <c r="I47" s="848"/>
      <c r="J47" s="848"/>
      <c r="K47" s="848"/>
      <c r="L47" s="848"/>
      <c r="M47" s="848"/>
      <c r="N47" s="848"/>
    </row>
    <row r="48" spans="1:14">
      <c r="A48" s="685" t="s">
        <v>3814</v>
      </c>
      <c r="B48" s="685" t="s">
        <v>6530</v>
      </c>
      <c r="C48" s="848"/>
      <c r="D48" s="978">
        <v>24</v>
      </c>
      <c r="E48" s="848"/>
      <c r="F48" s="848"/>
      <c r="G48" s="848"/>
      <c r="H48" s="848"/>
      <c r="I48" s="848"/>
      <c r="J48" s="848"/>
      <c r="K48" s="848"/>
      <c r="L48" s="848"/>
      <c r="M48" s="848"/>
      <c r="N48" s="848"/>
    </row>
    <row r="49" spans="2:14">
      <c r="B49" s="743" t="s">
        <v>6537</v>
      </c>
      <c r="C49" s="901"/>
      <c r="D49" s="988">
        <v>30</v>
      </c>
      <c r="E49" s="901"/>
      <c r="F49" s="901"/>
      <c r="G49" s="901"/>
      <c r="H49" s="901"/>
      <c r="I49" s="901"/>
      <c r="J49" s="901"/>
      <c r="K49" s="901"/>
      <c r="L49" s="901"/>
      <c r="M49" s="901"/>
      <c r="N49" s="901"/>
    </row>
    <row r="50" spans="2:14">
      <c r="B50" s="685" t="s">
        <v>6538</v>
      </c>
      <c r="C50" s="848"/>
      <c r="D50" s="848">
        <f>SUM(D45:D49)</f>
        <v>174</v>
      </c>
      <c r="E50" s="902">
        <f>E46/D46*D50</f>
        <v>221.45454545454544</v>
      </c>
      <c r="F50" s="848">
        <f>(1+F51)*E50</f>
        <v>254.67272727272723</v>
      </c>
      <c r="G50" s="848">
        <f t="shared" ref="G50:N50" si="16">(1+G51)*F50</f>
        <v>280.14</v>
      </c>
      <c r="H50" s="848">
        <f t="shared" si="16"/>
        <v>294.14699999999999</v>
      </c>
      <c r="I50" s="848">
        <f t="shared" si="16"/>
        <v>308.85435000000001</v>
      </c>
      <c r="J50" s="848">
        <f t="shared" si="16"/>
        <v>324.29706750000003</v>
      </c>
      <c r="K50" s="848">
        <f t="shared" si="16"/>
        <v>340.51192087500004</v>
      </c>
      <c r="L50" s="848">
        <f t="shared" si="16"/>
        <v>357.53751691875004</v>
      </c>
      <c r="M50" s="848">
        <f t="shared" si="16"/>
        <v>375.41439276468753</v>
      </c>
      <c r="N50" s="848">
        <f t="shared" si="16"/>
        <v>394.1851124029219</v>
      </c>
    </row>
    <row r="51" spans="2:14">
      <c r="B51" s="685" t="s">
        <v>655</v>
      </c>
      <c r="C51" s="848"/>
      <c r="D51" s="848"/>
      <c r="E51" s="902"/>
      <c r="F51" s="986">
        <v>0.15</v>
      </c>
      <c r="G51" s="986">
        <v>0.1</v>
      </c>
      <c r="H51" s="986">
        <v>0.05</v>
      </c>
      <c r="I51" s="986">
        <v>0.05</v>
      </c>
      <c r="J51" s="986">
        <v>0.05</v>
      </c>
      <c r="K51" s="986">
        <v>0.05</v>
      </c>
      <c r="L51" s="986">
        <v>0.05</v>
      </c>
      <c r="M51" s="986">
        <v>0.05</v>
      </c>
      <c r="N51" s="986">
        <v>0.05</v>
      </c>
    </row>
    <row r="52" spans="2:14">
      <c r="C52" s="848"/>
      <c r="D52" s="848"/>
      <c r="E52" s="848"/>
      <c r="F52" s="848"/>
      <c r="G52" s="848"/>
      <c r="H52" s="848"/>
      <c r="I52" s="848"/>
      <c r="J52" s="848"/>
      <c r="K52" s="848"/>
      <c r="L52" s="848"/>
      <c r="M52" s="848"/>
      <c r="N52" s="848"/>
    </row>
    <row r="53" spans="2:14">
      <c r="B53" s="685" t="s">
        <v>6549</v>
      </c>
      <c r="C53" s="848"/>
      <c r="D53" s="848"/>
      <c r="E53" s="848">
        <f t="shared" ref="E53:N53" si="17">E59*12*AVERAGE(D50,E50)</f>
        <v>3796.3636363636369</v>
      </c>
      <c r="F53" s="848">
        <f t="shared" si="17"/>
        <v>5427.8509090909074</v>
      </c>
      <c r="G53" s="848">
        <f t="shared" si="17"/>
        <v>6279.7710436363623</v>
      </c>
      <c r="H53" s="848">
        <f t="shared" si="17"/>
        <v>6945.5762926199995</v>
      </c>
      <c r="I53" s="848">
        <f t="shared" si="17"/>
        <v>7511.6407604685301</v>
      </c>
      <c r="J53" s="848">
        <f t="shared" si="17"/>
        <v>8123.839482446715</v>
      </c>
      <c r="K53" s="848">
        <f t="shared" si="17"/>
        <v>8785.9324002661251</v>
      </c>
      <c r="L53" s="848">
        <f t="shared" si="17"/>
        <v>9501.9858908878123</v>
      </c>
      <c r="M53" s="848">
        <f t="shared" si="17"/>
        <v>10276.397740995169</v>
      </c>
      <c r="N53" s="848">
        <f t="shared" si="17"/>
        <v>11113.924156886276</v>
      </c>
    </row>
    <row r="54" spans="2:14">
      <c r="C54" s="848"/>
      <c r="D54" s="848"/>
      <c r="E54" s="848"/>
      <c r="F54" s="848"/>
      <c r="G54" s="848"/>
      <c r="H54" s="848"/>
      <c r="I54" s="848"/>
      <c r="J54" s="848"/>
      <c r="K54" s="848"/>
      <c r="L54" s="848"/>
      <c r="M54" s="848"/>
      <c r="N54" s="848"/>
    </row>
    <row r="55" spans="2:14">
      <c r="B55" s="685" t="s">
        <v>6525</v>
      </c>
      <c r="C55" s="848"/>
      <c r="D55" s="848"/>
      <c r="E55" s="987">
        <v>1</v>
      </c>
      <c r="F55" s="983">
        <f t="shared" ref="F55:N55" si="18">(1+F58)*F59</f>
        <v>1.1875</v>
      </c>
      <c r="G55" s="983">
        <f t="shared" si="18"/>
        <v>1.223125</v>
      </c>
      <c r="H55" s="983">
        <f t="shared" si="18"/>
        <v>1.25981875</v>
      </c>
      <c r="I55" s="983">
        <f t="shared" si="18"/>
        <v>1.2976133125</v>
      </c>
      <c r="J55" s="983">
        <f t="shared" si="18"/>
        <v>1.336541711875</v>
      </c>
      <c r="K55" s="983">
        <f t="shared" si="18"/>
        <v>1.37663796323125</v>
      </c>
      <c r="L55" s="983">
        <f t="shared" si="18"/>
        <v>1.4179371021281875</v>
      </c>
      <c r="M55" s="983">
        <f t="shared" si="18"/>
        <v>1.460475215192033</v>
      </c>
      <c r="N55" s="983">
        <f t="shared" si="18"/>
        <v>1.5042894716477941</v>
      </c>
    </row>
    <row r="56" spans="2:14">
      <c r="B56" s="685" t="s">
        <v>181</v>
      </c>
      <c r="C56" s="848"/>
      <c r="D56" s="848"/>
      <c r="E56" s="848"/>
      <c r="F56" s="807">
        <f>F55/E55-1</f>
        <v>0.1875</v>
      </c>
      <c r="G56" s="807">
        <f t="shared" ref="G56:N56" si="19">G55/F55-1</f>
        <v>3.0000000000000027E-2</v>
      </c>
      <c r="H56" s="807">
        <f t="shared" si="19"/>
        <v>3.0000000000000027E-2</v>
      </c>
      <c r="I56" s="807">
        <f t="shared" si="19"/>
        <v>3.0000000000000027E-2</v>
      </c>
      <c r="J56" s="807">
        <f t="shared" si="19"/>
        <v>3.0000000000000027E-2</v>
      </c>
      <c r="K56" s="807">
        <f t="shared" si="19"/>
        <v>3.0000000000000027E-2</v>
      </c>
      <c r="L56" s="807">
        <f t="shared" si="19"/>
        <v>3.0000000000000027E-2</v>
      </c>
      <c r="M56" s="807">
        <f t="shared" si="19"/>
        <v>3.0000000000000027E-2</v>
      </c>
      <c r="N56" s="807">
        <f t="shared" si="19"/>
        <v>3.0000000000000027E-2</v>
      </c>
    </row>
    <row r="57" spans="2:14">
      <c r="C57" s="848"/>
      <c r="D57" s="848"/>
      <c r="E57" s="848"/>
      <c r="F57" s="986"/>
      <c r="G57" s="848"/>
      <c r="H57" s="848"/>
      <c r="I57" s="848"/>
      <c r="J57" s="848"/>
      <c r="K57" s="848"/>
      <c r="L57" s="848"/>
      <c r="M57" s="848"/>
      <c r="N57" s="848"/>
    </row>
    <row r="58" spans="2:14">
      <c r="B58" s="685" t="s">
        <v>6543</v>
      </c>
      <c r="C58" s="848"/>
      <c r="D58" s="848"/>
      <c r="E58" s="986">
        <f>E55/E59-1</f>
        <v>-0.375</v>
      </c>
      <c r="F58" s="986">
        <f>E58</f>
        <v>-0.375</v>
      </c>
      <c r="G58" s="986">
        <f t="shared" ref="G58:N58" si="20">F58</f>
        <v>-0.375</v>
      </c>
      <c r="H58" s="986">
        <f t="shared" si="20"/>
        <v>-0.375</v>
      </c>
      <c r="I58" s="986">
        <f t="shared" si="20"/>
        <v>-0.375</v>
      </c>
      <c r="J58" s="986">
        <f t="shared" si="20"/>
        <v>-0.375</v>
      </c>
      <c r="K58" s="986">
        <f t="shared" si="20"/>
        <v>-0.375</v>
      </c>
      <c r="L58" s="986">
        <f t="shared" si="20"/>
        <v>-0.375</v>
      </c>
      <c r="M58" s="986">
        <f t="shared" si="20"/>
        <v>-0.375</v>
      </c>
      <c r="N58" s="986">
        <f t="shared" si="20"/>
        <v>-0.375</v>
      </c>
    </row>
    <row r="59" spans="2:14">
      <c r="B59" s="685" t="s">
        <v>6167</v>
      </c>
      <c r="C59" s="848"/>
      <c r="D59" s="848"/>
      <c r="E59" s="987">
        <v>1.6</v>
      </c>
      <c r="F59" s="984">
        <v>1.9</v>
      </c>
      <c r="G59" s="983">
        <f>(1+G60)*F59</f>
        <v>1.9569999999999999</v>
      </c>
      <c r="H59" s="983">
        <f t="shared" ref="H59:N59" si="21">(1+H60)*G59</f>
        <v>2.0157099999999999</v>
      </c>
      <c r="I59" s="983">
        <f t="shared" si="21"/>
        <v>2.0761813</v>
      </c>
      <c r="J59" s="983">
        <f t="shared" si="21"/>
        <v>2.1384667390000001</v>
      </c>
      <c r="K59" s="983">
        <f t="shared" si="21"/>
        <v>2.2026207411700001</v>
      </c>
      <c r="L59" s="983">
        <f t="shared" si="21"/>
        <v>2.2686993634051</v>
      </c>
      <c r="M59" s="983">
        <f t="shared" si="21"/>
        <v>2.3367603443072529</v>
      </c>
      <c r="N59" s="983">
        <f t="shared" si="21"/>
        <v>2.4068631546364707</v>
      </c>
    </row>
    <row r="60" spans="2:14">
      <c r="B60" s="685" t="s">
        <v>181</v>
      </c>
      <c r="C60" s="848"/>
      <c r="D60" s="848"/>
      <c r="E60" s="848"/>
      <c r="F60" s="989">
        <f>F59/E59-1</f>
        <v>0.18749999999999978</v>
      </c>
      <c r="G60" s="986">
        <v>0.03</v>
      </c>
      <c r="H60" s="986">
        <v>0.03</v>
      </c>
      <c r="I60" s="986">
        <v>0.03</v>
      </c>
      <c r="J60" s="986">
        <v>0.03</v>
      </c>
      <c r="K60" s="986">
        <v>0.03</v>
      </c>
      <c r="L60" s="986">
        <v>0.03</v>
      </c>
      <c r="M60" s="986">
        <v>0.03</v>
      </c>
      <c r="N60" s="986">
        <v>0.03</v>
      </c>
    </row>
    <row r="61" spans="2:14">
      <c r="C61" s="848"/>
      <c r="D61" s="848"/>
      <c r="E61" s="848"/>
      <c r="F61" s="986"/>
      <c r="G61" s="986"/>
      <c r="H61" s="848"/>
      <c r="I61" s="848"/>
      <c r="J61" s="848"/>
      <c r="K61" s="848"/>
      <c r="L61" s="848"/>
      <c r="M61" s="848"/>
      <c r="N61" s="848"/>
    </row>
    <row r="62" spans="2:14">
      <c r="B62" s="685" t="s">
        <v>6544</v>
      </c>
      <c r="C62" s="848"/>
      <c r="D62" s="848"/>
      <c r="E62" s="848">
        <f t="shared" ref="E62:N62" si="22">E55*AVERAGE(D44,E44)*12</f>
        <v>30</v>
      </c>
      <c r="F62" s="848">
        <f t="shared" si="22"/>
        <v>85.5</v>
      </c>
      <c r="G62" s="848">
        <f t="shared" si="22"/>
        <v>124.75874999999999</v>
      </c>
      <c r="H62" s="848">
        <f>H55*AVERAGE(G44,H44)*12</f>
        <v>173.85498749999999</v>
      </c>
      <c r="I62" s="848">
        <f t="shared" si="22"/>
        <v>210.21335662499999</v>
      </c>
      <c r="J62" s="848">
        <f t="shared" si="22"/>
        <v>232.55825786625002</v>
      </c>
      <c r="K62" s="848">
        <f t="shared" si="22"/>
        <v>256.05466116101252</v>
      </c>
      <c r="L62" s="848">
        <f t="shared" si="22"/>
        <v>280.75154622138109</v>
      </c>
      <c r="M62" s="848">
        <f t="shared" si="22"/>
        <v>306.69979519032694</v>
      </c>
      <c r="N62" s="848">
        <f t="shared" si="22"/>
        <v>333.95226270581031</v>
      </c>
    </row>
    <row r="63" spans="2:14">
      <c r="C63" s="848"/>
      <c r="D63" s="848"/>
      <c r="E63" s="848"/>
      <c r="F63" s="986"/>
      <c r="G63" s="986"/>
      <c r="H63" s="848"/>
      <c r="I63" s="848"/>
      <c r="J63" s="848"/>
      <c r="K63" s="848"/>
      <c r="L63" s="848"/>
      <c r="M63" s="848"/>
      <c r="N63" s="848"/>
    </row>
    <row r="64" spans="2:14">
      <c r="B64" s="857" t="s">
        <v>6546</v>
      </c>
      <c r="C64" s="857">
        <f t="shared" ref="C64:N64" si="23">C2</f>
        <v>2019</v>
      </c>
      <c r="D64" s="857">
        <f t="shared" si="23"/>
        <v>2020</v>
      </c>
      <c r="E64" s="857">
        <f t="shared" si="23"/>
        <v>2021</v>
      </c>
      <c r="F64" s="857">
        <f t="shared" si="23"/>
        <v>2022</v>
      </c>
      <c r="G64" s="857">
        <f t="shared" si="23"/>
        <v>2023</v>
      </c>
      <c r="H64" s="857">
        <f t="shared" si="23"/>
        <v>2024</v>
      </c>
      <c r="I64" s="857">
        <f t="shared" si="23"/>
        <v>2025</v>
      </c>
      <c r="J64" s="857">
        <f t="shared" si="23"/>
        <v>2026</v>
      </c>
      <c r="K64" s="857">
        <f t="shared" si="23"/>
        <v>2027</v>
      </c>
      <c r="L64" s="857">
        <f t="shared" si="23"/>
        <v>2028</v>
      </c>
      <c r="M64" s="857">
        <f t="shared" si="23"/>
        <v>2029</v>
      </c>
      <c r="N64" s="857">
        <f t="shared" si="23"/>
        <v>2030</v>
      </c>
    </row>
    <row r="65" spans="2:14" hidden="1" outlineLevel="1">
      <c r="B65" s="874" t="s">
        <v>6507</v>
      </c>
      <c r="C65" s="990"/>
      <c r="D65" s="978">
        <v>490</v>
      </c>
      <c r="E65" s="990">
        <f>(1+E66)*D65</f>
        <v>588</v>
      </c>
      <c r="F65" s="990">
        <f>(1+F66)*E65</f>
        <v>646.80000000000007</v>
      </c>
      <c r="G65" s="990">
        <f>(1+G66)*F65</f>
        <v>711.48000000000013</v>
      </c>
      <c r="H65" s="990">
        <f>(1+H66)*G65</f>
        <v>782.62800000000016</v>
      </c>
      <c r="I65" s="980">
        <v>850</v>
      </c>
      <c r="J65" s="990"/>
      <c r="K65" s="990"/>
      <c r="L65" s="990"/>
      <c r="M65" s="990"/>
      <c r="N65" s="990"/>
    </row>
    <row r="66" spans="2:14" hidden="1" outlineLevel="1">
      <c r="B66" s="685" t="s">
        <v>655</v>
      </c>
      <c r="C66" s="990"/>
      <c r="D66" s="990"/>
      <c r="E66" s="982">
        <v>0.2</v>
      </c>
      <c r="F66" s="982">
        <v>0.1</v>
      </c>
      <c r="G66" s="982">
        <v>0.1</v>
      </c>
      <c r="H66" s="982">
        <v>0.1</v>
      </c>
      <c r="I66" s="991">
        <f>I65/H65-1</f>
        <v>8.6084321031192124E-2</v>
      </c>
      <c r="J66" s="990"/>
      <c r="K66" s="990"/>
      <c r="L66" s="990"/>
      <c r="M66" s="990"/>
      <c r="N66" s="990"/>
    </row>
    <row r="67" spans="2:14" hidden="1" outlineLevel="1">
      <c r="B67" s="685" t="s">
        <v>6505</v>
      </c>
      <c r="C67" s="848"/>
      <c r="D67" s="848"/>
      <c r="E67" s="848"/>
      <c r="F67" s="848"/>
      <c r="G67" s="848"/>
      <c r="H67" s="848"/>
      <c r="I67" s="848"/>
      <c r="J67" s="848"/>
      <c r="K67" s="848"/>
      <c r="L67" s="848"/>
      <c r="M67" s="848"/>
      <c r="N67" s="848"/>
    </row>
    <row r="68" spans="2:14" hidden="1" outlineLevel="1">
      <c r="C68" s="848"/>
      <c r="D68" s="848"/>
      <c r="E68" s="848"/>
      <c r="F68" s="848"/>
      <c r="G68" s="848"/>
      <c r="H68" s="848"/>
      <c r="I68" s="848"/>
      <c r="J68" s="848"/>
      <c r="K68" s="848"/>
      <c r="L68" s="848"/>
      <c r="M68" s="848"/>
      <c r="N68" s="848"/>
    </row>
    <row r="69" spans="2:14" outlineLevel="1">
      <c r="C69" s="848"/>
      <c r="D69" s="848"/>
      <c r="E69" s="848"/>
      <c r="F69" s="848"/>
      <c r="G69" s="848"/>
      <c r="H69" s="848"/>
      <c r="I69" s="848"/>
      <c r="J69" s="848"/>
      <c r="K69" s="848"/>
      <c r="L69" s="848"/>
      <c r="M69" s="848"/>
      <c r="N69" s="848"/>
    </row>
    <row r="70" spans="2:14" outlineLevel="1">
      <c r="B70" s="806" t="s">
        <v>6523</v>
      </c>
      <c r="C70" s="848"/>
      <c r="D70" s="848"/>
      <c r="E70" s="848"/>
      <c r="F70" s="848"/>
      <c r="G70" s="848"/>
      <c r="H70" s="848"/>
      <c r="I70" s="848"/>
      <c r="J70" s="848"/>
      <c r="K70" s="848"/>
      <c r="L70" s="848"/>
      <c r="M70" s="848"/>
      <c r="N70" s="848"/>
    </row>
    <row r="71" spans="2:14">
      <c r="B71" s="685" t="s">
        <v>6515</v>
      </c>
      <c r="C71" s="848">
        <f>D71-D72</f>
        <v>45</v>
      </c>
      <c r="D71" s="978">
        <v>53</v>
      </c>
      <c r="E71" s="848">
        <f>(D71+F71)/2</f>
        <v>60.9</v>
      </c>
      <c r="F71" s="978">
        <v>68.8</v>
      </c>
      <c r="G71" s="848">
        <f>($J$71-$F$71)/4+F71</f>
        <v>84.35</v>
      </c>
      <c r="H71" s="848">
        <f>($J$71-$F$71)/4+G71</f>
        <v>99.899999999999991</v>
      </c>
      <c r="I71" s="848">
        <f>($J$71-$F$71)/4+H71</f>
        <v>115.44999999999999</v>
      </c>
      <c r="J71" s="978">
        <v>131</v>
      </c>
      <c r="K71" s="848">
        <f>J71+K72</f>
        <v>143</v>
      </c>
      <c r="L71" s="848">
        <f>K71+L72</f>
        <v>153</v>
      </c>
      <c r="M71" s="848">
        <f>L71+M72</f>
        <v>163</v>
      </c>
      <c r="N71" s="848">
        <f>M71+N72</f>
        <v>173</v>
      </c>
    </row>
    <row r="72" spans="2:14">
      <c r="B72" s="685" t="s">
        <v>519</v>
      </c>
      <c r="C72" s="848"/>
      <c r="D72" s="902">
        <v>8</v>
      </c>
      <c r="E72" s="848">
        <f t="shared" ref="E72:J72" si="24">E71-D71</f>
        <v>7.8999999999999986</v>
      </c>
      <c r="F72" s="848">
        <f t="shared" si="24"/>
        <v>7.8999999999999986</v>
      </c>
      <c r="G72" s="848">
        <f t="shared" si="24"/>
        <v>15.549999999999997</v>
      </c>
      <c r="H72" s="848">
        <f t="shared" si="24"/>
        <v>15.549999999999997</v>
      </c>
      <c r="I72" s="848">
        <f t="shared" si="24"/>
        <v>15.549999999999997</v>
      </c>
      <c r="J72" s="848">
        <f t="shared" si="24"/>
        <v>15.550000000000011</v>
      </c>
      <c r="K72" s="902">
        <v>12</v>
      </c>
      <c r="L72" s="902">
        <v>10</v>
      </c>
      <c r="M72" s="902">
        <v>10</v>
      </c>
      <c r="N72" s="902">
        <v>10</v>
      </c>
    </row>
    <row r="73" spans="2:14">
      <c r="B73" s="992" t="s">
        <v>6509</v>
      </c>
      <c r="C73" s="848"/>
      <c r="D73" s="848"/>
      <c r="E73" s="807"/>
      <c r="F73" s="807"/>
      <c r="G73" s="807"/>
      <c r="H73" s="807"/>
      <c r="I73" s="807"/>
      <c r="J73" s="848"/>
      <c r="K73" s="848"/>
      <c r="L73" s="848"/>
      <c r="M73" s="848"/>
      <c r="N73" s="848"/>
    </row>
    <row r="74" spans="2:14">
      <c r="C74" s="848"/>
      <c r="D74" s="848"/>
      <c r="E74" s="848"/>
      <c r="F74" s="848"/>
      <c r="G74" s="848"/>
      <c r="H74" s="848"/>
      <c r="I74" s="848"/>
      <c r="J74" s="848"/>
      <c r="K74" s="848"/>
      <c r="L74" s="848"/>
      <c r="M74" s="848"/>
      <c r="N74" s="848"/>
    </row>
    <row r="75" spans="2:14">
      <c r="B75" s="992" t="s">
        <v>6547</v>
      </c>
      <c r="C75" s="848"/>
      <c r="D75" s="848"/>
      <c r="E75" s="978">
        <v>36</v>
      </c>
      <c r="F75" s="848">
        <f>($J$75-$E$75)/5+E75</f>
        <v>38.494</v>
      </c>
      <c r="G75" s="848">
        <f>($J$75-$E$75)/5+F75</f>
        <v>40.988</v>
      </c>
      <c r="H75" s="848">
        <f>($J$75-$E$75)/5+G75</f>
        <v>43.481999999999999</v>
      </c>
      <c r="I75" s="848">
        <f>($J$75-$E$75)/5+H75</f>
        <v>45.975999999999999</v>
      </c>
      <c r="J75" s="848">
        <f>J76*J71</f>
        <v>48.47</v>
      </c>
      <c r="K75" s="848"/>
      <c r="L75" s="848"/>
      <c r="M75" s="848"/>
      <c r="N75" s="848"/>
    </row>
    <row r="76" spans="2:14">
      <c r="B76" s="992" t="s">
        <v>1613</v>
      </c>
      <c r="C76" s="848"/>
      <c r="D76" s="848"/>
      <c r="E76" s="807">
        <f>E75/E71</f>
        <v>0.59113300492610843</v>
      </c>
      <c r="F76" s="807">
        <f>F75/F71</f>
        <v>0.55950581395348842</v>
      </c>
      <c r="G76" s="807">
        <f>G75/G71</f>
        <v>0.48592768227623001</v>
      </c>
      <c r="H76" s="807">
        <f>H75/H71</f>
        <v>0.43525525525525527</v>
      </c>
      <c r="I76" s="807">
        <f>I75/I71</f>
        <v>0.39823300129926376</v>
      </c>
      <c r="J76" s="993">
        <v>0.37</v>
      </c>
      <c r="K76" s="848"/>
      <c r="L76" s="848"/>
      <c r="M76" s="848"/>
      <c r="N76" s="848"/>
    </row>
    <row r="77" spans="2:14">
      <c r="B77" s="992"/>
      <c r="C77" s="848"/>
      <c r="D77" s="848"/>
      <c r="E77" s="807"/>
      <c r="F77" s="807"/>
      <c r="G77" s="807"/>
      <c r="H77" s="807"/>
      <c r="I77" s="807"/>
      <c r="J77" s="993"/>
      <c r="K77" s="848"/>
      <c r="L77" s="848"/>
      <c r="M77" s="848"/>
      <c r="N77" s="848"/>
    </row>
    <row r="78" spans="2:14">
      <c r="B78" s="685" t="s">
        <v>6510</v>
      </c>
      <c r="C78" s="848">
        <f t="shared" ref="C78:N78" si="25">C79*C71</f>
        <v>33.75</v>
      </c>
      <c r="D78" s="848">
        <f t="shared" si="25"/>
        <v>39.75</v>
      </c>
      <c r="E78" s="848">
        <f t="shared" si="25"/>
        <v>45.674999999999997</v>
      </c>
      <c r="F78" s="848">
        <f t="shared" si="25"/>
        <v>51.599999999999994</v>
      </c>
      <c r="G78" s="848">
        <f t="shared" si="25"/>
        <v>63.262499999999996</v>
      </c>
      <c r="H78" s="848">
        <f t="shared" si="25"/>
        <v>74.924999999999997</v>
      </c>
      <c r="I78" s="848">
        <f t="shared" si="25"/>
        <v>86.587499999999991</v>
      </c>
      <c r="J78" s="848">
        <f t="shared" si="25"/>
        <v>98.25</v>
      </c>
      <c r="K78" s="848">
        <f t="shared" si="25"/>
        <v>107.25</v>
      </c>
      <c r="L78" s="848">
        <f t="shared" si="25"/>
        <v>114.75</v>
      </c>
      <c r="M78" s="848">
        <f t="shared" si="25"/>
        <v>122.25</v>
      </c>
      <c r="N78" s="848">
        <f t="shared" si="25"/>
        <v>129.75</v>
      </c>
    </row>
    <row r="79" spans="2:14">
      <c r="B79" s="685" t="s">
        <v>6512</v>
      </c>
      <c r="C79" s="807">
        <f>D79</f>
        <v>0.75</v>
      </c>
      <c r="D79" s="993">
        <v>0.75</v>
      </c>
      <c r="E79" s="986">
        <f t="shared" ref="E79:N79" si="26">D79</f>
        <v>0.75</v>
      </c>
      <c r="F79" s="986">
        <f t="shared" si="26"/>
        <v>0.75</v>
      </c>
      <c r="G79" s="986">
        <f t="shared" si="26"/>
        <v>0.75</v>
      </c>
      <c r="H79" s="986">
        <f t="shared" si="26"/>
        <v>0.75</v>
      </c>
      <c r="I79" s="986">
        <f t="shared" si="26"/>
        <v>0.75</v>
      </c>
      <c r="J79" s="986">
        <f t="shared" si="26"/>
        <v>0.75</v>
      </c>
      <c r="K79" s="986">
        <f t="shared" si="26"/>
        <v>0.75</v>
      </c>
      <c r="L79" s="986">
        <f t="shared" si="26"/>
        <v>0.75</v>
      </c>
      <c r="M79" s="986">
        <f t="shared" si="26"/>
        <v>0.75</v>
      </c>
      <c r="N79" s="986">
        <f t="shared" si="26"/>
        <v>0.75</v>
      </c>
    </row>
    <row r="80" spans="2:14">
      <c r="C80" s="848"/>
      <c r="D80" s="848"/>
      <c r="E80" s="848"/>
      <c r="F80" s="848"/>
      <c r="G80" s="848"/>
      <c r="H80" s="848"/>
      <c r="I80" s="848"/>
      <c r="J80" s="848"/>
      <c r="K80" s="848"/>
      <c r="L80" s="848"/>
      <c r="M80" s="848"/>
      <c r="N80" s="848"/>
    </row>
    <row r="81" spans="2:14">
      <c r="B81" s="685" t="s">
        <v>6513</v>
      </c>
      <c r="C81" s="848"/>
      <c r="D81" s="978">
        <f>660-220</f>
        <v>440</v>
      </c>
      <c r="E81" s="848">
        <f t="shared" ref="E81:N81" si="27">(1+E82)*D81</f>
        <v>448.8</v>
      </c>
      <c r="F81" s="848">
        <f t="shared" si="27"/>
        <v>457.77600000000001</v>
      </c>
      <c r="G81" s="848">
        <f t="shared" si="27"/>
        <v>466.93152000000003</v>
      </c>
      <c r="H81" s="848">
        <f t="shared" si="27"/>
        <v>476.27015040000003</v>
      </c>
      <c r="I81" s="848">
        <f t="shared" si="27"/>
        <v>485.79555340800005</v>
      </c>
      <c r="J81" s="848">
        <f t="shared" si="27"/>
        <v>495.51146447616003</v>
      </c>
      <c r="K81" s="848">
        <f t="shared" si="27"/>
        <v>505.42169376568324</v>
      </c>
      <c r="L81" s="848">
        <f t="shared" si="27"/>
        <v>515.53012764099697</v>
      </c>
      <c r="M81" s="848">
        <f t="shared" si="27"/>
        <v>525.84073019381697</v>
      </c>
      <c r="N81" s="848">
        <f t="shared" si="27"/>
        <v>536.35754479769332</v>
      </c>
    </row>
    <row r="82" spans="2:14">
      <c r="B82" s="685" t="s">
        <v>655</v>
      </c>
      <c r="C82" s="848"/>
      <c r="D82" s="848"/>
      <c r="E82" s="986">
        <v>0.02</v>
      </c>
      <c r="F82" s="986">
        <v>0.02</v>
      </c>
      <c r="G82" s="986">
        <v>0.02</v>
      </c>
      <c r="H82" s="986">
        <v>0.02</v>
      </c>
      <c r="I82" s="986">
        <v>0.02</v>
      </c>
      <c r="J82" s="986">
        <v>0.02</v>
      </c>
      <c r="K82" s="986">
        <v>0.02</v>
      </c>
      <c r="L82" s="986">
        <v>0.02</v>
      </c>
      <c r="M82" s="986">
        <v>0.02</v>
      </c>
      <c r="N82" s="986">
        <v>0.02</v>
      </c>
    </row>
    <row r="83" spans="2:14">
      <c r="C83" s="848"/>
      <c r="D83" s="848"/>
      <c r="E83" s="848"/>
      <c r="F83" s="848"/>
      <c r="G83" s="848"/>
      <c r="H83" s="848"/>
      <c r="I83" s="848"/>
      <c r="J83" s="848"/>
      <c r="K83" s="848"/>
      <c r="L83" s="848"/>
      <c r="M83" s="848"/>
      <c r="N83" s="848"/>
    </row>
    <row r="84" spans="2:14">
      <c r="B84" s="685" t="s">
        <v>6514</v>
      </c>
      <c r="C84" s="848"/>
      <c r="D84" s="867">
        <f t="shared" ref="D84:N84" si="28">D78/D81</f>
        <v>9.0340909090909097E-2</v>
      </c>
      <c r="E84" s="867">
        <f t="shared" si="28"/>
        <v>0.10177139037433154</v>
      </c>
      <c r="F84" s="867">
        <f t="shared" si="28"/>
        <v>0.1127188843451819</v>
      </c>
      <c r="G84" s="867">
        <f t="shared" si="28"/>
        <v>0.13548560611200544</v>
      </c>
      <c r="H84" s="867">
        <f t="shared" si="28"/>
        <v>0.15731617851144675</v>
      </c>
      <c r="I84" s="867">
        <f t="shared" si="28"/>
        <v>0.17823856021851778</v>
      </c>
      <c r="J84" s="867">
        <f t="shared" si="28"/>
        <v>0.19827997340862127</v>
      </c>
      <c r="K84" s="867">
        <f t="shared" si="28"/>
        <v>0.21219904353714147</v>
      </c>
      <c r="L84" s="867">
        <f t="shared" si="28"/>
        <v>0.22258640930469381</v>
      </c>
      <c r="M84" s="867">
        <f t="shared" si="28"/>
        <v>0.23248484375666467</v>
      </c>
      <c r="N84" s="867">
        <f t="shared" si="28"/>
        <v>0.24190952706545762</v>
      </c>
    </row>
    <row r="85" spans="2:14">
      <c r="C85" s="848"/>
      <c r="D85" s="848"/>
      <c r="E85" s="848"/>
      <c r="F85" s="848"/>
      <c r="G85" s="848"/>
      <c r="H85" s="848"/>
      <c r="I85" s="848"/>
      <c r="J85" s="848"/>
      <c r="K85" s="848"/>
      <c r="L85" s="848"/>
      <c r="M85" s="848"/>
      <c r="N85" s="848"/>
    </row>
    <row r="86" spans="2:14">
      <c r="B86" s="685" t="s">
        <v>6485</v>
      </c>
      <c r="C86" s="848"/>
      <c r="D86" s="983">
        <f t="shared" ref="D86:N86" si="29">(1-D87)*D20</f>
        <v>6.3869257950530036</v>
      </c>
      <c r="E86" s="983">
        <f t="shared" si="29"/>
        <v>6.5785335689045938</v>
      </c>
      <c r="F86" s="983">
        <f t="shared" si="29"/>
        <v>6.7758895759717319</v>
      </c>
      <c r="G86" s="983">
        <f t="shared" si="29"/>
        <v>6.9791662632508835</v>
      </c>
      <c r="H86" s="983">
        <f t="shared" si="29"/>
        <v>7.1885412511484104</v>
      </c>
      <c r="I86" s="983">
        <f t="shared" si="29"/>
        <v>7.404197488682863</v>
      </c>
      <c r="J86" s="983">
        <f t="shared" si="29"/>
        <v>7.6263234133433491</v>
      </c>
      <c r="K86" s="983">
        <f t="shared" si="29"/>
        <v>7.8551131157436487</v>
      </c>
      <c r="L86" s="983">
        <f t="shared" si="29"/>
        <v>8.0907665092159586</v>
      </c>
      <c r="M86" s="983">
        <f t="shared" si="29"/>
        <v>8.3334895044924373</v>
      </c>
      <c r="N86" s="983">
        <f t="shared" si="29"/>
        <v>8.5834941896272117</v>
      </c>
    </row>
    <row r="87" spans="2:14">
      <c r="B87" s="685" t="s">
        <v>6511</v>
      </c>
      <c r="C87" s="848"/>
      <c r="D87" s="986">
        <v>0.1</v>
      </c>
      <c r="E87" s="986">
        <f t="shared" ref="E87:N87" si="30">D87</f>
        <v>0.1</v>
      </c>
      <c r="F87" s="986">
        <f t="shared" si="30"/>
        <v>0.1</v>
      </c>
      <c r="G87" s="986">
        <f t="shared" si="30"/>
        <v>0.1</v>
      </c>
      <c r="H87" s="986">
        <f t="shared" si="30"/>
        <v>0.1</v>
      </c>
      <c r="I87" s="986">
        <f t="shared" si="30"/>
        <v>0.1</v>
      </c>
      <c r="J87" s="986">
        <f t="shared" si="30"/>
        <v>0.1</v>
      </c>
      <c r="K87" s="986">
        <f t="shared" si="30"/>
        <v>0.1</v>
      </c>
      <c r="L87" s="986">
        <f t="shared" si="30"/>
        <v>0.1</v>
      </c>
      <c r="M87" s="986">
        <f t="shared" si="30"/>
        <v>0.1</v>
      </c>
      <c r="N87" s="986">
        <f t="shared" si="30"/>
        <v>0.1</v>
      </c>
    </row>
    <row r="88" spans="2:14">
      <c r="C88" s="848"/>
      <c r="D88" s="848"/>
      <c r="E88" s="848"/>
      <c r="F88" s="848"/>
      <c r="G88" s="848"/>
      <c r="H88" s="848"/>
      <c r="I88" s="848"/>
      <c r="J88" s="848"/>
      <c r="K88" s="848"/>
      <c r="L88" s="848"/>
      <c r="M88" s="848"/>
      <c r="N88" s="848"/>
    </row>
    <row r="89" spans="2:14" collapsed="1">
      <c r="B89" s="685" t="s">
        <v>6508</v>
      </c>
      <c r="C89" s="848"/>
      <c r="D89" s="994">
        <f t="shared" ref="D89:N89" si="31">D86*AVERAGE(C78,D78)*12</f>
        <v>2816.6342756183744</v>
      </c>
      <c r="E89" s="994">
        <f t="shared" si="31"/>
        <v>3371.8273807420492</v>
      </c>
      <c r="F89" s="994">
        <f t="shared" si="31"/>
        <v>3954.747951015901</v>
      </c>
      <c r="G89" s="994">
        <f t="shared" si="31"/>
        <v>4809.8669094759261</v>
      </c>
      <c r="H89" s="994">
        <f t="shared" si="31"/>
        <v>5960.1992648584255</v>
      </c>
      <c r="I89" s="994">
        <f t="shared" si="31"/>
        <v>7175.2226813453453</v>
      </c>
      <c r="J89" s="994">
        <f t="shared" si="31"/>
        <v>8457.7833234831069</v>
      </c>
      <c r="K89" s="994">
        <f t="shared" si="31"/>
        <v>9685.3544717119184</v>
      </c>
      <c r="L89" s="994">
        <f t="shared" si="31"/>
        <v>10776.900990275657</v>
      </c>
      <c r="M89" s="994">
        <f t="shared" si="31"/>
        <v>11850.222075388245</v>
      </c>
      <c r="N89" s="994">
        <f t="shared" si="31"/>
        <v>12978.243214716344</v>
      </c>
    </row>
    <row r="90" spans="2:14">
      <c r="C90" s="848"/>
      <c r="D90" s="848"/>
      <c r="E90" s="848"/>
      <c r="F90" s="848"/>
      <c r="G90" s="848"/>
      <c r="H90" s="848"/>
      <c r="I90" s="848"/>
      <c r="J90" s="848"/>
      <c r="K90" s="848"/>
      <c r="L90" s="848"/>
      <c r="M90" s="848"/>
      <c r="N90" s="848"/>
    </row>
    <row r="91" spans="2:14">
      <c r="B91" s="806" t="s">
        <v>6516</v>
      </c>
      <c r="C91" s="848"/>
      <c r="D91" s="848"/>
      <c r="E91" s="848"/>
      <c r="F91" s="848"/>
      <c r="G91" s="848"/>
      <c r="H91" s="848"/>
      <c r="I91" s="848"/>
      <c r="J91" s="848"/>
      <c r="K91" s="848"/>
      <c r="L91" s="848"/>
      <c r="M91" s="848"/>
      <c r="N91" s="848"/>
    </row>
    <row r="92" spans="2:14">
      <c r="B92" s="685" t="s">
        <v>6518</v>
      </c>
      <c r="C92" s="848"/>
      <c r="D92" s="848"/>
      <c r="E92" s="983">
        <f t="shared" ref="E92:N92" si="32">E93*E78</f>
        <v>0</v>
      </c>
      <c r="F92" s="983">
        <f t="shared" si="32"/>
        <v>0.10319999999999999</v>
      </c>
      <c r="G92" s="983">
        <f t="shared" si="32"/>
        <v>2.5305</v>
      </c>
      <c r="H92" s="983">
        <f t="shared" si="32"/>
        <v>3.1468500000000001</v>
      </c>
      <c r="I92" s="983">
        <f t="shared" si="32"/>
        <v>3.80985</v>
      </c>
      <c r="J92" s="983">
        <f t="shared" si="32"/>
        <v>4.5195000000000007</v>
      </c>
      <c r="K92" s="983">
        <f t="shared" si="32"/>
        <v>5.1480000000000006</v>
      </c>
      <c r="L92" s="983">
        <f t="shared" si="32"/>
        <v>5.7375000000000007</v>
      </c>
      <c r="M92" s="983">
        <f t="shared" si="32"/>
        <v>6.3570000000000011</v>
      </c>
      <c r="N92" s="983">
        <f t="shared" si="32"/>
        <v>7.0065000000000017</v>
      </c>
    </row>
    <row r="93" spans="2:14">
      <c r="B93" s="685" t="s">
        <v>6522</v>
      </c>
      <c r="C93" s="848"/>
      <c r="D93" s="848"/>
      <c r="E93" s="982">
        <v>0</v>
      </c>
      <c r="F93" s="982">
        <v>2E-3</v>
      </c>
      <c r="G93" s="982">
        <v>0.04</v>
      </c>
      <c r="H93" s="982">
        <f>G93+0.2%</f>
        <v>4.2000000000000003E-2</v>
      </c>
      <c r="I93" s="982">
        <f>H93+0.2%</f>
        <v>4.4000000000000004E-2</v>
      </c>
      <c r="J93" s="982">
        <f t="shared" ref="J93:N93" si="33">I93+0.2%</f>
        <v>4.6000000000000006E-2</v>
      </c>
      <c r="K93" s="982">
        <f t="shared" si="33"/>
        <v>4.8000000000000008E-2</v>
      </c>
      <c r="L93" s="982">
        <f t="shared" si="33"/>
        <v>5.000000000000001E-2</v>
      </c>
      <c r="M93" s="982">
        <f t="shared" si="33"/>
        <v>5.2000000000000011E-2</v>
      </c>
      <c r="N93" s="982">
        <f t="shared" si="33"/>
        <v>5.4000000000000013E-2</v>
      </c>
    </row>
    <row r="94" spans="2:14">
      <c r="C94" s="848"/>
      <c r="D94" s="848"/>
      <c r="E94" s="848"/>
      <c r="F94" s="848"/>
      <c r="G94" s="848"/>
      <c r="H94" s="848"/>
      <c r="I94" s="848"/>
      <c r="J94" s="848"/>
      <c r="K94" s="848"/>
      <c r="L94" s="848"/>
      <c r="M94" s="848"/>
      <c r="N94" s="848"/>
    </row>
    <row r="95" spans="2:14">
      <c r="B95" s="685" t="s">
        <v>507</v>
      </c>
      <c r="C95" s="848"/>
      <c r="D95" s="848"/>
      <c r="E95" s="983">
        <f t="shared" ref="E95:N95" si="34">(1-E96)*E86</f>
        <v>5.9206802120141342</v>
      </c>
      <c r="F95" s="983">
        <f t="shared" si="34"/>
        <v>6.0983006183745587</v>
      </c>
      <c r="G95" s="983">
        <f t="shared" si="34"/>
        <v>5.5833330106007075</v>
      </c>
      <c r="H95" s="983">
        <f t="shared" si="34"/>
        <v>5.7508330009187283</v>
      </c>
      <c r="I95" s="983">
        <f t="shared" si="34"/>
        <v>5.9233579909462906</v>
      </c>
      <c r="J95" s="983">
        <f t="shared" si="34"/>
        <v>6.10105873067468</v>
      </c>
      <c r="K95" s="983">
        <f t="shared" si="34"/>
        <v>6.2840904925949195</v>
      </c>
      <c r="L95" s="983">
        <f t="shared" si="34"/>
        <v>6.4726132073727669</v>
      </c>
      <c r="M95" s="983">
        <f t="shared" si="34"/>
        <v>6.6667916035939498</v>
      </c>
      <c r="N95" s="983">
        <f t="shared" si="34"/>
        <v>6.8667953517017697</v>
      </c>
    </row>
    <row r="96" spans="2:14">
      <c r="B96" s="685" t="s">
        <v>6517</v>
      </c>
      <c r="C96" s="848"/>
      <c r="D96" s="848"/>
      <c r="E96" s="986">
        <v>0.1</v>
      </c>
      <c r="F96" s="807">
        <f>E96</f>
        <v>0.1</v>
      </c>
      <c r="G96" s="986">
        <v>0.2</v>
      </c>
      <c r="H96" s="986">
        <v>0.2</v>
      </c>
      <c r="I96" s="986">
        <v>0.2</v>
      </c>
      <c r="J96" s="986">
        <v>0.2</v>
      </c>
      <c r="K96" s="986">
        <v>0.2</v>
      </c>
      <c r="L96" s="986">
        <v>0.2</v>
      </c>
      <c r="M96" s="986">
        <v>0.2</v>
      </c>
      <c r="N96" s="986">
        <v>0.2</v>
      </c>
    </row>
    <row r="97" spans="2:14">
      <c r="C97" s="848"/>
      <c r="D97" s="848"/>
      <c r="E97" s="848"/>
      <c r="F97" s="848"/>
      <c r="G97" s="848"/>
      <c r="H97" s="848"/>
      <c r="I97" s="848"/>
      <c r="J97" s="848"/>
      <c r="K97" s="848"/>
      <c r="L97" s="848"/>
      <c r="M97" s="848"/>
      <c r="N97" s="848"/>
    </row>
    <row r="98" spans="2:14">
      <c r="B98" s="685" t="s">
        <v>6488</v>
      </c>
      <c r="C98" s="848"/>
      <c r="D98" s="848"/>
      <c r="E98" s="848">
        <f t="shared" ref="E98:N98" si="35">E95*12*AVERAGE(D92,E92)</f>
        <v>0</v>
      </c>
      <c r="F98" s="848">
        <f t="shared" si="35"/>
        <v>3.7760677428975264</v>
      </c>
      <c r="G98" s="848">
        <f t="shared" si="35"/>
        <v>88.228944900114499</v>
      </c>
      <c r="H98" s="848">
        <f t="shared" si="35"/>
        <v>195.89695042659568</v>
      </c>
      <c r="I98" s="848">
        <f t="shared" si="35"/>
        <v>247.24214721369637</v>
      </c>
      <c r="J98" s="848">
        <f t="shared" si="35"/>
        <v>304.90712123007091</v>
      </c>
      <c r="K98" s="848">
        <f t="shared" si="35"/>
        <v>364.50866902296832</v>
      </c>
      <c r="L98" s="848">
        <f t="shared" si="35"/>
        <v>422.74578641313752</v>
      </c>
      <c r="M98" s="848">
        <f t="shared" si="35"/>
        <v>483.78906629800224</v>
      </c>
      <c r="N98" s="848">
        <f t="shared" si="35"/>
        <v>550.58651809479977</v>
      </c>
    </row>
    <row r="100" spans="2:14">
      <c r="B100" s="806" t="s">
        <v>6455</v>
      </c>
    </row>
    <row r="102" spans="2:14">
      <c r="B102" s="685" t="s">
        <v>6548</v>
      </c>
      <c r="E102" s="978">
        <v>1</v>
      </c>
      <c r="F102" s="983">
        <f t="shared" ref="F102:N102" si="36">E102+F103</f>
        <v>3</v>
      </c>
      <c r="G102" s="983">
        <f t="shared" si="36"/>
        <v>28</v>
      </c>
      <c r="H102" s="983">
        <f t="shared" si="36"/>
        <v>33</v>
      </c>
      <c r="I102" s="983">
        <f t="shared" si="36"/>
        <v>38</v>
      </c>
      <c r="J102" s="983">
        <f t="shared" si="36"/>
        <v>43</v>
      </c>
      <c r="K102" s="983">
        <f t="shared" si="36"/>
        <v>47</v>
      </c>
      <c r="L102" s="983">
        <f t="shared" si="36"/>
        <v>50</v>
      </c>
      <c r="M102" s="983">
        <f t="shared" si="36"/>
        <v>52</v>
      </c>
      <c r="N102" s="983">
        <f t="shared" si="36"/>
        <v>54</v>
      </c>
    </row>
    <row r="103" spans="2:14">
      <c r="B103" s="685" t="s">
        <v>5592</v>
      </c>
      <c r="F103" s="984">
        <v>2</v>
      </c>
      <c r="G103" s="984">
        <v>25</v>
      </c>
      <c r="H103" s="984">
        <v>5</v>
      </c>
      <c r="I103" s="984">
        <v>5</v>
      </c>
      <c r="J103" s="984">
        <v>5</v>
      </c>
      <c r="K103" s="984">
        <v>4</v>
      </c>
      <c r="L103" s="984">
        <v>3</v>
      </c>
      <c r="M103" s="984">
        <v>2</v>
      </c>
      <c r="N103" s="984">
        <v>2</v>
      </c>
    </row>
    <row r="105" spans="2:14">
      <c r="B105" s="685" t="s">
        <v>6550</v>
      </c>
      <c r="E105" s="869">
        <f>E102/E81</f>
        <v>2.2281639928698753E-3</v>
      </c>
      <c r="F105" s="869">
        <f t="shared" ref="F105:N105" si="37">F102/F81</f>
        <v>6.5534235084408095E-3</v>
      </c>
      <c r="G105" s="869">
        <f t="shared" si="37"/>
        <v>5.9965966743902831E-2</v>
      </c>
      <c r="H105" s="869">
        <f t="shared" si="37"/>
        <v>6.9288406951988568E-2</v>
      </c>
      <c r="I105" s="869">
        <f t="shared" si="37"/>
        <v>7.8222206303492733E-2</v>
      </c>
      <c r="J105" s="869">
        <f t="shared" si="37"/>
        <v>8.677902144092331E-2</v>
      </c>
      <c r="K105" s="869">
        <f t="shared" si="37"/>
        <v>9.2991655442849874E-2</v>
      </c>
      <c r="L105" s="869">
        <f t="shared" si="37"/>
        <v>9.6987542180694469E-2</v>
      </c>
      <c r="M105" s="869">
        <f t="shared" si="37"/>
        <v>9.8889258694041415E-2</v>
      </c>
      <c r="N105" s="869">
        <f t="shared" si="37"/>
        <v>0.10067910953013266</v>
      </c>
    </row>
    <row r="107" spans="2:14">
      <c r="B107" s="685" t="s">
        <v>6552</v>
      </c>
      <c r="E107" s="986">
        <v>0.25</v>
      </c>
      <c r="F107" s="986">
        <v>0.25</v>
      </c>
      <c r="G107" s="986">
        <v>0.25</v>
      </c>
      <c r="H107" s="986">
        <v>0.25</v>
      </c>
      <c r="I107" s="986">
        <v>0.25</v>
      </c>
      <c r="J107" s="986">
        <v>0.25</v>
      </c>
      <c r="K107" s="986">
        <v>0.25</v>
      </c>
      <c r="L107" s="986">
        <v>0.25</v>
      </c>
      <c r="M107" s="986">
        <v>0.25</v>
      </c>
      <c r="N107" s="986">
        <v>0.25</v>
      </c>
    </row>
    <row r="108" spans="2:14">
      <c r="B108" s="685" t="s">
        <v>6551</v>
      </c>
      <c r="E108" s="808">
        <f>(1-E107)*E55</f>
        <v>0.75</v>
      </c>
      <c r="F108" s="808">
        <f t="shared" ref="F108:N108" si="38">(1-F107)*F55</f>
        <v>0.890625</v>
      </c>
      <c r="G108" s="808">
        <f t="shared" si="38"/>
        <v>0.91734375000000001</v>
      </c>
      <c r="H108" s="808">
        <f t="shared" si="38"/>
        <v>0.94486406249999999</v>
      </c>
      <c r="I108" s="808">
        <f t="shared" si="38"/>
        <v>0.97320998437499995</v>
      </c>
      <c r="J108" s="808">
        <f t="shared" si="38"/>
        <v>1.00240628390625</v>
      </c>
      <c r="K108" s="808">
        <f t="shared" si="38"/>
        <v>1.0324784724234375</v>
      </c>
      <c r="L108" s="808">
        <f t="shared" si="38"/>
        <v>1.0634528265961407</v>
      </c>
      <c r="M108" s="808">
        <f t="shared" si="38"/>
        <v>1.0953564113940248</v>
      </c>
      <c r="N108" s="808">
        <f t="shared" si="38"/>
        <v>1.1282171037358455</v>
      </c>
    </row>
    <row r="110" spans="2:14">
      <c r="B110" s="685" t="s">
        <v>6553</v>
      </c>
      <c r="E110" s="849">
        <f t="shared" ref="E110:N110" si="39">E108*12*AVERAGE(D102,E102)</f>
        <v>9</v>
      </c>
      <c r="F110" s="849">
        <f t="shared" si="39"/>
        <v>21.375</v>
      </c>
      <c r="G110" s="849">
        <f t="shared" si="39"/>
        <v>170.62593749999999</v>
      </c>
      <c r="H110" s="849">
        <f t="shared" si="39"/>
        <v>345.82024687500001</v>
      </c>
      <c r="I110" s="849">
        <f t="shared" si="39"/>
        <v>414.58745334374998</v>
      </c>
      <c r="J110" s="849">
        <f t="shared" si="39"/>
        <v>487.16945397843745</v>
      </c>
      <c r="K110" s="849">
        <f t="shared" si="39"/>
        <v>557.53837510865628</v>
      </c>
      <c r="L110" s="849">
        <f t="shared" si="39"/>
        <v>618.92954507895388</v>
      </c>
      <c r="M110" s="849">
        <f t="shared" si="39"/>
        <v>670.35812377314323</v>
      </c>
      <c r="N110" s="849">
        <f t="shared" si="39"/>
        <v>717.54607797599772</v>
      </c>
    </row>
    <row r="111" spans="2:14">
      <c r="E111" s="849"/>
      <c r="F111" s="849"/>
      <c r="G111" s="849"/>
      <c r="H111" s="849"/>
      <c r="I111" s="849"/>
      <c r="J111" s="849"/>
      <c r="K111" s="849"/>
      <c r="L111" s="849"/>
      <c r="M111" s="849"/>
      <c r="N111" s="849"/>
    </row>
    <row r="112" spans="2:14">
      <c r="B112" s="857" t="s">
        <v>6297</v>
      </c>
      <c r="C112" s="857"/>
      <c r="D112" s="857"/>
      <c r="E112" s="857">
        <f>E119</f>
        <v>2021</v>
      </c>
      <c r="F112" s="857">
        <f t="shared" ref="F112:N112" si="40">F119</f>
        <v>2022</v>
      </c>
      <c r="G112" s="857">
        <f t="shared" si="40"/>
        <v>2023</v>
      </c>
      <c r="H112" s="857">
        <f t="shared" si="40"/>
        <v>2024</v>
      </c>
      <c r="I112" s="857">
        <f t="shared" si="40"/>
        <v>2025</v>
      </c>
      <c r="J112" s="857">
        <f t="shared" si="40"/>
        <v>2026</v>
      </c>
      <c r="K112" s="857">
        <f t="shared" si="40"/>
        <v>2027</v>
      </c>
      <c r="L112" s="857">
        <f t="shared" si="40"/>
        <v>2028</v>
      </c>
      <c r="M112" s="857">
        <f t="shared" si="40"/>
        <v>2029</v>
      </c>
      <c r="N112" s="857">
        <f t="shared" si="40"/>
        <v>2030</v>
      </c>
    </row>
    <row r="113" spans="2:14">
      <c r="B113" s="685" t="s">
        <v>6554</v>
      </c>
      <c r="E113" s="983">
        <f>E26</f>
        <v>0</v>
      </c>
      <c r="F113" s="983">
        <f t="shared" ref="F113:N113" si="41">F26</f>
        <v>0.36299999999999999</v>
      </c>
      <c r="G113" s="983">
        <f t="shared" si="41"/>
        <v>2.8725000000000001</v>
      </c>
      <c r="H113" s="983">
        <f t="shared" si="41"/>
        <v>3.4255000000000004</v>
      </c>
      <c r="I113" s="983">
        <f t="shared" si="41"/>
        <v>3.7169999999999996</v>
      </c>
      <c r="J113" s="983">
        <f t="shared" si="41"/>
        <v>3.9710000000000001</v>
      </c>
      <c r="K113" s="983">
        <f t="shared" si="41"/>
        <v>4.2300000000000004</v>
      </c>
      <c r="L113" s="983">
        <f t="shared" si="41"/>
        <v>4.28</v>
      </c>
      <c r="M113" s="983">
        <f t="shared" si="41"/>
        <v>4.33</v>
      </c>
      <c r="N113" s="983">
        <f t="shared" si="41"/>
        <v>4.38</v>
      </c>
    </row>
    <row r="114" spans="2:14">
      <c r="B114" s="685" t="s">
        <v>6555</v>
      </c>
      <c r="E114" s="983">
        <f>E92</f>
        <v>0</v>
      </c>
      <c r="F114" s="983">
        <f t="shared" ref="F114:N114" si="42">F92</f>
        <v>0.10319999999999999</v>
      </c>
      <c r="G114" s="983">
        <f t="shared" si="42"/>
        <v>2.5305</v>
      </c>
      <c r="H114" s="983">
        <f t="shared" si="42"/>
        <v>3.1468500000000001</v>
      </c>
      <c r="I114" s="983">
        <f t="shared" si="42"/>
        <v>3.80985</v>
      </c>
      <c r="J114" s="983">
        <f t="shared" si="42"/>
        <v>4.5195000000000007</v>
      </c>
      <c r="K114" s="983">
        <f t="shared" si="42"/>
        <v>5.1480000000000006</v>
      </c>
      <c r="L114" s="983">
        <f t="shared" si="42"/>
        <v>5.7375000000000007</v>
      </c>
      <c r="M114" s="983">
        <f t="shared" si="42"/>
        <v>6.3570000000000011</v>
      </c>
      <c r="N114" s="983">
        <f t="shared" si="42"/>
        <v>7.0065000000000017</v>
      </c>
    </row>
    <row r="115" spans="2:14">
      <c r="B115" s="685" t="s">
        <v>6556</v>
      </c>
      <c r="E115" s="848">
        <f>E38</f>
        <v>5</v>
      </c>
      <c r="F115" s="848">
        <f t="shared" ref="F115:N115" si="43">F38</f>
        <v>7</v>
      </c>
      <c r="G115" s="848">
        <f t="shared" si="43"/>
        <v>10</v>
      </c>
      <c r="H115" s="848">
        <f t="shared" si="43"/>
        <v>13</v>
      </c>
      <c r="I115" s="848">
        <f t="shared" si="43"/>
        <v>14</v>
      </c>
      <c r="J115" s="848">
        <f t="shared" si="43"/>
        <v>15</v>
      </c>
      <c r="K115" s="848">
        <f t="shared" si="43"/>
        <v>16</v>
      </c>
      <c r="L115" s="848">
        <f t="shared" si="43"/>
        <v>17</v>
      </c>
      <c r="M115" s="848">
        <f t="shared" si="43"/>
        <v>18</v>
      </c>
      <c r="N115" s="848">
        <f t="shared" si="43"/>
        <v>19</v>
      </c>
    </row>
    <row r="116" spans="2:14">
      <c r="B116" s="743" t="s">
        <v>6557</v>
      </c>
      <c r="C116" s="743"/>
      <c r="D116" s="743"/>
      <c r="E116" s="995">
        <f>E102</f>
        <v>1</v>
      </c>
      <c r="F116" s="995">
        <f t="shared" ref="F116:N116" si="44">F102</f>
        <v>3</v>
      </c>
      <c r="G116" s="995">
        <f t="shared" si="44"/>
        <v>28</v>
      </c>
      <c r="H116" s="995">
        <f t="shared" si="44"/>
        <v>33</v>
      </c>
      <c r="I116" s="995">
        <f t="shared" si="44"/>
        <v>38</v>
      </c>
      <c r="J116" s="995">
        <f t="shared" si="44"/>
        <v>43</v>
      </c>
      <c r="K116" s="995">
        <f t="shared" si="44"/>
        <v>47</v>
      </c>
      <c r="L116" s="901">
        <f t="shared" si="44"/>
        <v>50</v>
      </c>
      <c r="M116" s="995">
        <f t="shared" si="44"/>
        <v>52</v>
      </c>
      <c r="N116" s="995">
        <f t="shared" si="44"/>
        <v>54</v>
      </c>
    </row>
    <row r="117" spans="2:14">
      <c r="B117" s="874" t="s">
        <v>6978</v>
      </c>
      <c r="C117" s="874"/>
      <c r="D117" s="874"/>
      <c r="E117" s="876">
        <f>E113+E114+E115+E116</f>
        <v>6</v>
      </c>
      <c r="F117" s="876">
        <f t="shared" ref="F117:N117" si="45">F113+F114+F115+F116</f>
        <v>10.466200000000001</v>
      </c>
      <c r="G117" s="876">
        <f t="shared" si="45"/>
        <v>43.402999999999999</v>
      </c>
      <c r="H117" s="876">
        <f t="shared" si="45"/>
        <v>52.57235</v>
      </c>
      <c r="I117" s="876">
        <f t="shared" si="45"/>
        <v>59.526849999999996</v>
      </c>
      <c r="J117" s="876">
        <f t="shared" si="45"/>
        <v>66.490499999999997</v>
      </c>
      <c r="K117" s="876">
        <f t="shared" si="45"/>
        <v>72.378</v>
      </c>
      <c r="L117" s="876">
        <f t="shared" si="45"/>
        <v>77.017499999999998</v>
      </c>
      <c r="M117" s="876">
        <f t="shared" si="45"/>
        <v>80.686999999999998</v>
      </c>
      <c r="N117" s="876">
        <f t="shared" si="45"/>
        <v>84.386499999999998</v>
      </c>
    </row>
    <row r="119" spans="2:14">
      <c r="B119" s="857" t="s">
        <v>6977</v>
      </c>
      <c r="C119" s="857"/>
      <c r="D119" s="857"/>
      <c r="E119" s="857">
        <f>E2</f>
        <v>2021</v>
      </c>
      <c r="F119" s="857">
        <f t="shared" ref="F119:N119" si="46">F2</f>
        <v>2022</v>
      </c>
      <c r="G119" s="857">
        <f t="shared" si="46"/>
        <v>2023</v>
      </c>
      <c r="H119" s="857">
        <f t="shared" si="46"/>
        <v>2024</v>
      </c>
      <c r="I119" s="857">
        <f t="shared" si="46"/>
        <v>2025</v>
      </c>
      <c r="J119" s="857">
        <f t="shared" si="46"/>
        <v>2026</v>
      </c>
      <c r="K119" s="857">
        <f t="shared" si="46"/>
        <v>2027</v>
      </c>
      <c r="L119" s="857">
        <f t="shared" si="46"/>
        <v>2028</v>
      </c>
      <c r="M119" s="857">
        <f t="shared" si="46"/>
        <v>2029</v>
      </c>
      <c r="N119" s="857">
        <f t="shared" si="46"/>
        <v>2030</v>
      </c>
    </row>
    <row r="120" spans="2:14">
      <c r="B120" s="685" t="s">
        <v>6554</v>
      </c>
      <c r="E120" s="848">
        <f>E32</f>
        <v>0</v>
      </c>
      <c r="F120" s="848">
        <f t="shared" ref="F120:N120" si="47">F32</f>
        <v>14.757887496466431</v>
      </c>
      <c r="G120" s="848">
        <f>G32</f>
        <v>135.48655466848942</v>
      </c>
      <c r="H120" s="848">
        <f t="shared" si="47"/>
        <v>271.64059679839613</v>
      </c>
      <c r="I120" s="848">
        <f t="shared" si="47"/>
        <v>317.30688337750411</v>
      </c>
      <c r="J120" s="848">
        <f t="shared" si="47"/>
        <v>351.78704641070198</v>
      </c>
      <c r="K120" s="848">
        <f t="shared" si="47"/>
        <v>386.51869597328198</v>
      </c>
      <c r="L120" s="848">
        <f t="shared" si="47"/>
        <v>413.11453796056691</v>
      </c>
      <c r="M120" s="848">
        <f t="shared" si="47"/>
        <v>430.50806780207927</v>
      </c>
      <c r="N120" s="848">
        <f t="shared" si="47"/>
        <v>448.57340634991817</v>
      </c>
    </row>
    <row r="121" spans="2:14">
      <c r="B121" s="685" t="s">
        <v>6555</v>
      </c>
      <c r="E121" s="848">
        <f>E98</f>
        <v>0</v>
      </c>
      <c r="F121" s="848">
        <f t="shared" ref="F121:N121" si="48">F98</f>
        <v>3.7760677428975264</v>
      </c>
      <c r="G121" s="848">
        <f>G98</f>
        <v>88.228944900114499</v>
      </c>
      <c r="H121" s="848">
        <f t="shared" si="48"/>
        <v>195.89695042659568</v>
      </c>
      <c r="I121" s="848">
        <f t="shared" si="48"/>
        <v>247.24214721369637</v>
      </c>
      <c r="J121" s="848">
        <f t="shared" si="48"/>
        <v>304.90712123007091</v>
      </c>
      <c r="K121" s="848">
        <f t="shared" si="48"/>
        <v>364.50866902296832</v>
      </c>
      <c r="L121" s="848">
        <f t="shared" si="48"/>
        <v>422.74578641313752</v>
      </c>
      <c r="M121" s="848">
        <f t="shared" si="48"/>
        <v>483.78906629800224</v>
      </c>
      <c r="N121" s="848">
        <f t="shared" si="48"/>
        <v>550.58651809479977</v>
      </c>
    </row>
    <row r="122" spans="2:14">
      <c r="B122" s="685" t="s">
        <v>6556</v>
      </c>
      <c r="E122" s="848">
        <f>E62</f>
        <v>30</v>
      </c>
      <c r="F122" s="848">
        <f t="shared" ref="F122:N122" si="49">F62</f>
        <v>85.5</v>
      </c>
      <c r="G122" s="848">
        <f t="shared" si="49"/>
        <v>124.75874999999999</v>
      </c>
      <c r="H122" s="848">
        <f t="shared" si="49"/>
        <v>173.85498749999999</v>
      </c>
      <c r="I122" s="848">
        <f t="shared" si="49"/>
        <v>210.21335662499999</v>
      </c>
      <c r="J122" s="848">
        <f t="shared" si="49"/>
        <v>232.55825786625002</v>
      </c>
      <c r="K122" s="848">
        <f t="shared" si="49"/>
        <v>256.05466116101252</v>
      </c>
      <c r="L122" s="848">
        <f t="shared" si="49"/>
        <v>280.75154622138109</v>
      </c>
      <c r="M122" s="848">
        <f t="shared" si="49"/>
        <v>306.69979519032694</v>
      </c>
      <c r="N122" s="848">
        <f t="shared" si="49"/>
        <v>333.95226270581031</v>
      </c>
    </row>
    <row r="123" spans="2:14">
      <c r="B123" s="743" t="s">
        <v>6557</v>
      </c>
      <c r="C123" s="743"/>
      <c r="D123" s="743"/>
      <c r="E123" s="995">
        <f>E110</f>
        <v>9</v>
      </c>
      <c r="F123" s="995">
        <f t="shared" ref="F123:N123" si="50">F110</f>
        <v>21.375</v>
      </c>
      <c r="G123" s="995">
        <f>G110</f>
        <v>170.62593749999999</v>
      </c>
      <c r="H123" s="995">
        <f t="shared" si="50"/>
        <v>345.82024687500001</v>
      </c>
      <c r="I123" s="995">
        <f t="shared" si="50"/>
        <v>414.58745334374998</v>
      </c>
      <c r="J123" s="995">
        <f t="shared" si="50"/>
        <v>487.16945397843745</v>
      </c>
      <c r="K123" s="995">
        <f t="shared" si="50"/>
        <v>557.53837510865628</v>
      </c>
      <c r="L123" s="995">
        <f t="shared" si="50"/>
        <v>618.92954507895388</v>
      </c>
      <c r="M123" s="995">
        <f t="shared" si="50"/>
        <v>670.35812377314323</v>
      </c>
      <c r="N123" s="995">
        <f t="shared" si="50"/>
        <v>717.54607797599772</v>
      </c>
    </row>
    <row r="124" spans="2:14">
      <c r="B124" s="874" t="s">
        <v>6705</v>
      </c>
      <c r="C124" s="874"/>
      <c r="D124" s="874"/>
      <c r="E124" s="876">
        <f>E120+E121+E122+E123</f>
        <v>39</v>
      </c>
      <c r="F124" s="876">
        <f t="shared" ref="F124:N124" si="51">F120+F121+F122+F123</f>
        <v>125.40895523936396</v>
      </c>
      <c r="G124" s="876">
        <f>G120+G121+G122+G123</f>
        <v>519.10018706860387</v>
      </c>
      <c r="H124" s="876">
        <f t="shared" si="51"/>
        <v>987.21278159999179</v>
      </c>
      <c r="I124" s="876">
        <f t="shared" si="51"/>
        <v>1189.3498405599503</v>
      </c>
      <c r="J124" s="876">
        <f t="shared" si="51"/>
        <v>1376.4218794854605</v>
      </c>
      <c r="K124" s="876">
        <f t="shared" si="51"/>
        <v>1564.6204012659191</v>
      </c>
      <c r="L124" s="876">
        <f t="shared" si="51"/>
        <v>1735.5414156740394</v>
      </c>
      <c r="M124" s="876">
        <f t="shared" si="51"/>
        <v>1891.3550530635516</v>
      </c>
      <c r="N124" s="876">
        <f t="shared" si="51"/>
        <v>2050.6582651265262</v>
      </c>
    </row>
    <row r="126" spans="2:14">
      <c r="B126" s="857" t="s">
        <v>6558</v>
      </c>
      <c r="C126" s="857"/>
      <c r="D126" s="857"/>
      <c r="E126" s="857">
        <f t="shared" ref="E126:N126" si="52">E119</f>
        <v>2021</v>
      </c>
      <c r="F126" s="857">
        <f t="shared" si="52"/>
        <v>2022</v>
      </c>
      <c r="G126" s="857">
        <f t="shared" si="52"/>
        <v>2023</v>
      </c>
      <c r="H126" s="857">
        <f t="shared" si="52"/>
        <v>2024</v>
      </c>
      <c r="I126" s="857">
        <f t="shared" si="52"/>
        <v>2025</v>
      </c>
      <c r="J126" s="857">
        <f t="shared" si="52"/>
        <v>2026</v>
      </c>
      <c r="K126" s="857">
        <f t="shared" si="52"/>
        <v>2027</v>
      </c>
      <c r="L126" s="857">
        <f t="shared" si="52"/>
        <v>2028</v>
      </c>
      <c r="M126" s="857">
        <f t="shared" si="52"/>
        <v>2029</v>
      </c>
      <c r="N126" s="857">
        <f t="shared" si="52"/>
        <v>2030</v>
      </c>
    </row>
    <row r="127" spans="2:14">
      <c r="B127" s="685" t="s">
        <v>6554</v>
      </c>
      <c r="E127" s="807">
        <f t="shared" ref="E127:N127" si="53">E120/E$124</f>
        <v>0</v>
      </c>
      <c r="F127" s="807">
        <f t="shared" si="53"/>
        <v>0.11767809936936748</v>
      </c>
      <c r="G127" s="807">
        <f t="shared" si="53"/>
        <v>0.2610027082317033</v>
      </c>
      <c r="H127" s="807">
        <f t="shared" si="53"/>
        <v>0.27515911651604003</v>
      </c>
      <c r="I127" s="807">
        <f t="shared" si="53"/>
        <v>0.26679020129864806</v>
      </c>
      <c r="J127" s="807">
        <f t="shared" si="53"/>
        <v>0.25558083001572773</v>
      </c>
      <c r="K127" s="807">
        <f t="shared" si="53"/>
        <v>0.247036722556189</v>
      </c>
      <c r="L127" s="807">
        <f t="shared" si="53"/>
        <v>0.23803208280116087</v>
      </c>
      <c r="M127" s="807">
        <f t="shared" si="53"/>
        <v>0.22761885300422952</v>
      </c>
      <c r="N127" s="807">
        <f t="shared" si="53"/>
        <v>0.21874605534152278</v>
      </c>
    </row>
    <row r="128" spans="2:14">
      <c r="B128" s="685" t="s">
        <v>6555</v>
      </c>
      <c r="E128" s="807">
        <f t="shared" ref="E128:N128" si="54">E121/E$124</f>
        <v>0</v>
      </c>
      <c r="F128" s="807">
        <f t="shared" si="54"/>
        <v>3.0110032698145595E-2</v>
      </c>
      <c r="G128" s="807">
        <f t="shared" si="54"/>
        <v>0.16996515720471939</v>
      </c>
      <c r="H128" s="807">
        <f t="shared" si="54"/>
        <v>0.19843437410636267</v>
      </c>
      <c r="I128" s="807">
        <f t="shared" si="54"/>
        <v>0.20788008606222527</v>
      </c>
      <c r="J128" s="807">
        <f t="shared" si="54"/>
        <v>0.22152155946841859</v>
      </c>
      <c r="K128" s="807">
        <f t="shared" si="54"/>
        <v>0.23296939547001172</v>
      </c>
      <c r="L128" s="807">
        <f t="shared" si="54"/>
        <v>0.24358150292193056</v>
      </c>
      <c r="M128" s="807">
        <f t="shared" si="54"/>
        <v>0.25578966017743598</v>
      </c>
      <c r="N128" s="807">
        <f t="shared" si="54"/>
        <v>0.26849257502240553</v>
      </c>
    </row>
    <row r="129" spans="2:14">
      <c r="B129" s="685" t="s">
        <v>6556</v>
      </c>
      <c r="E129" s="807">
        <f t="shared" ref="E129:N129" si="55">E122/E$124</f>
        <v>0.76923076923076927</v>
      </c>
      <c r="F129" s="807">
        <f t="shared" si="55"/>
        <v>0.68176949434598955</v>
      </c>
      <c r="G129" s="807">
        <f t="shared" si="55"/>
        <v>0.2403365537287159</v>
      </c>
      <c r="H129" s="807">
        <f t="shared" si="55"/>
        <v>0.17610690495541437</v>
      </c>
      <c r="I129" s="807">
        <f t="shared" si="55"/>
        <v>0.17674644537391182</v>
      </c>
      <c r="J129" s="807">
        <f t="shared" si="55"/>
        <v>0.16895855938673821</v>
      </c>
      <c r="K129" s="807">
        <f t="shared" si="55"/>
        <v>0.16365289686485054</v>
      </c>
      <c r="L129" s="807">
        <f t="shared" si="55"/>
        <v>0.16176597324953174</v>
      </c>
      <c r="M129" s="807">
        <f t="shared" si="55"/>
        <v>0.16215876267840096</v>
      </c>
      <c r="N129" s="807">
        <f t="shared" si="55"/>
        <v>0.16285125044235751</v>
      </c>
    </row>
    <row r="130" spans="2:14">
      <c r="B130" s="743" t="s">
        <v>6557</v>
      </c>
      <c r="C130" s="743"/>
      <c r="D130" s="743"/>
      <c r="E130" s="910">
        <f t="shared" ref="E130:N130" si="56">E123/E$124</f>
        <v>0.23076923076923078</v>
      </c>
      <c r="F130" s="910">
        <f t="shared" si="56"/>
        <v>0.17044237358649739</v>
      </c>
      <c r="G130" s="910">
        <f t="shared" si="56"/>
        <v>0.32869558083486144</v>
      </c>
      <c r="H130" s="910">
        <f t="shared" si="56"/>
        <v>0.35029960442218294</v>
      </c>
      <c r="I130" s="910">
        <f t="shared" si="56"/>
        <v>0.34858326726521499</v>
      </c>
      <c r="J130" s="910">
        <f t="shared" si="56"/>
        <v>0.35393905112911533</v>
      </c>
      <c r="K130" s="910">
        <f t="shared" si="56"/>
        <v>0.35634098510894874</v>
      </c>
      <c r="L130" s="910">
        <f t="shared" si="56"/>
        <v>0.35662044102737683</v>
      </c>
      <c r="M130" s="910">
        <f t="shared" si="56"/>
        <v>0.3544327241399336</v>
      </c>
      <c r="N130" s="910">
        <f t="shared" si="56"/>
        <v>0.34991011919371406</v>
      </c>
    </row>
    <row r="131" spans="2:14">
      <c r="B131" s="874" t="s">
        <v>6705</v>
      </c>
      <c r="C131" s="874"/>
      <c r="D131" s="874"/>
      <c r="E131" s="996">
        <f t="shared" ref="E131:N131" si="57">E124/E$124</f>
        <v>1</v>
      </c>
      <c r="F131" s="996">
        <f t="shared" si="57"/>
        <v>1</v>
      </c>
      <c r="G131" s="996">
        <f t="shared" si="57"/>
        <v>1</v>
      </c>
      <c r="H131" s="996">
        <f t="shared" si="57"/>
        <v>1</v>
      </c>
      <c r="I131" s="996">
        <f t="shared" si="57"/>
        <v>1</v>
      </c>
      <c r="J131" s="996">
        <f t="shared" si="57"/>
        <v>1</v>
      </c>
      <c r="K131" s="996">
        <f t="shared" si="57"/>
        <v>1</v>
      </c>
      <c r="L131" s="996">
        <f t="shared" si="57"/>
        <v>1</v>
      </c>
      <c r="M131" s="996">
        <f t="shared" si="57"/>
        <v>1</v>
      </c>
      <c r="N131" s="996">
        <f t="shared" si="57"/>
        <v>1</v>
      </c>
    </row>
    <row r="133" spans="2:14">
      <c r="B133" s="857" t="s">
        <v>6706</v>
      </c>
      <c r="C133" s="743"/>
      <c r="D133" s="857">
        <v>2020</v>
      </c>
      <c r="E133" s="857">
        <v>2021</v>
      </c>
      <c r="F133" s="857">
        <v>2022</v>
      </c>
      <c r="G133" s="857">
        <f t="shared" ref="G133:N133" si="58">F133+1</f>
        <v>2023</v>
      </c>
      <c r="H133" s="857">
        <f t="shared" si="58"/>
        <v>2024</v>
      </c>
      <c r="I133" s="857">
        <f t="shared" si="58"/>
        <v>2025</v>
      </c>
      <c r="J133" s="857">
        <f t="shared" si="58"/>
        <v>2026</v>
      </c>
      <c r="K133" s="857">
        <f t="shared" si="58"/>
        <v>2027</v>
      </c>
      <c r="L133" s="857">
        <f t="shared" si="58"/>
        <v>2028</v>
      </c>
      <c r="M133" s="857">
        <f t="shared" si="58"/>
        <v>2029</v>
      </c>
      <c r="N133" s="857">
        <f t="shared" si="58"/>
        <v>2030</v>
      </c>
    </row>
    <row r="134" spans="2:14">
      <c r="B134" s="685" t="s">
        <v>6696</v>
      </c>
    </row>
    <row r="135" spans="2:14">
      <c r="B135" s="992" t="s">
        <v>6560</v>
      </c>
      <c r="D135" s="848">
        <f>Content!N22/Master!S92-Content!N58</f>
        <v>1138.7960893854749</v>
      </c>
      <c r="E135" s="848">
        <f>Content!O22/Master!T92-Content!O58</f>
        <v>1354.0006780445976</v>
      </c>
      <c r="F135" s="978">
        <f>1519-0.5*F137</f>
        <v>1456.2955223803181</v>
      </c>
      <c r="G135" s="978">
        <f>1768.3-0.5*G137</f>
        <v>1508.7499064656981</v>
      </c>
      <c r="H135" s="902">
        <f>G135*0.97</f>
        <v>1463.4874092717271</v>
      </c>
      <c r="I135" s="902">
        <f>H135*1</f>
        <v>1463.4874092717271</v>
      </c>
      <c r="J135" s="902">
        <f>I135*1.02</f>
        <v>1492.7571574571616</v>
      </c>
      <c r="K135" s="902">
        <f>J135*0.97</f>
        <v>1447.9744427334467</v>
      </c>
      <c r="L135" s="902">
        <f>K135*0.97</f>
        <v>1404.5352094514433</v>
      </c>
      <c r="M135" s="902">
        <f>L135*0.97</f>
        <v>1362.3991531678998</v>
      </c>
      <c r="N135" s="902">
        <f>M135*0.97</f>
        <v>1321.5271785728628</v>
      </c>
    </row>
    <row r="136" spans="2:14">
      <c r="B136" s="992" t="s">
        <v>6561</v>
      </c>
      <c r="D136" s="848">
        <f>Univision!M5</f>
        <v>2541.9</v>
      </c>
      <c r="E136" s="848">
        <f>Univision!N5</f>
        <v>2859.6375000000003</v>
      </c>
      <c r="F136" s="978">
        <f>3193-0.5*F137</f>
        <v>3130.2955223803178</v>
      </c>
      <c r="G136" s="978">
        <f>3159.7-0.5*G137</f>
        <v>2900.1499064656978</v>
      </c>
      <c r="H136" s="902">
        <f>G136*0.97</f>
        <v>2813.1454092717267</v>
      </c>
      <c r="I136" s="902">
        <f>H136*1.03</f>
        <v>2897.5397715498784</v>
      </c>
      <c r="J136" s="902">
        <f t="shared" ref="J136:N136" si="59">I136*1.03</f>
        <v>2984.4659646963751</v>
      </c>
      <c r="K136" s="902">
        <f t="shared" si="59"/>
        <v>3073.9999436372664</v>
      </c>
      <c r="L136" s="902">
        <f t="shared" si="59"/>
        <v>3166.2199419463846</v>
      </c>
      <c r="M136" s="902">
        <f t="shared" si="59"/>
        <v>3261.206540204776</v>
      </c>
      <c r="N136" s="902">
        <f t="shared" si="59"/>
        <v>3359.0427364109196</v>
      </c>
    </row>
    <row r="137" spans="2:14">
      <c r="B137" s="999" t="s">
        <v>6559</v>
      </c>
      <c r="C137" s="743"/>
      <c r="D137" s="743">
        <v>0</v>
      </c>
      <c r="E137" s="743">
        <v>0</v>
      </c>
      <c r="F137" s="901">
        <f t="shared" ref="F137:N137" si="60">F124</f>
        <v>125.40895523936396</v>
      </c>
      <c r="G137" s="901">
        <f t="shared" si="60"/>
        <v>519.10018706860387</v>
      </c>
      <c r="H137" s="901">
        <f t="shared" si="60"/>
        <v>987.21278159999179</v>
      </c>
      <c r="I137" s="901">
        <f t="shared" si="60"/>
        <v>1189.3498405599503</v>
      </c>
      <c r="J137" s="901">
        <f t="shared" si="60"/>
        <v>1376.4218794854605</v>
      </c>
      <c r="K137" s="901">
        <f t="shared" si="60"/>
        <v>1564.6204012659191</v>
      </c>
      <c r="L137" s="901">
        <f t="shared" si="60"/>
        <v>1735.5414156740394</v>
      </c>
      <c r="M137" s="901">
        <f t="shared" si="60"/>
        <v>1891.3550530635516</v>
      </c>
      <c r="N137" s="901">
        <f t="shared" si="60"/>
        <v>2050.6582651265262</v>
      </c>
    </row>
    <row r="138" spans="2:14">
      <c r="B138" s="1000" t="s">
        <v>1084</v>
      </c>
      <c r="C138" s="874"/>
      <c r="D138" s="876">
        <f>SUM(D135:D137)</f>
        <v>3680.6960893854748</v>
      </c>
      <c r="E138" s="876">
        <f>SUM(E135:E137)</f>
        <v>4213.6381780445981</v>
      </c>
      <c r="F138" s="876">
        <f>SUM(F135:F137)</f>
        <v>4712</v>
      </c>
      <c r="G138" s="876">
        <f>SUM(G135:G137)</f>
        <v>4928</v>
      </c>
      <c r="H138" s="876">
        <f t="shared" ref="H138:N138" si="61">SUM(H135:H137)</f>
        <v>5263.8456001434461</v>
      </c>
      <c r="I138" s="876">
        <f t="shared" si="61"/>
        <v>5550.377021381556</v>
      </c>
      <c r="J138" s="876">
        <f t="shared" si="61"/>
        <v>5853.6450016389972</v>
      </c>
      <c r="K138" s="876">
        <f t="shared" si="61"/>
        <v>6086.5947876366326</v>
      </c>
      <c r="L138" s="876">
        <f t="shared" si="61"/>
        <v>6306.2965670718677</v>
      </c>
      <c r="M138" s="876">
        <f t="shared" si="61"/>
        <v>6514.9607464362271</v>
      </c>
      <c r="N138" s="876">
        <f t="shared" si="61"/>
        <v>6731.2281801103081</v>
      </c>
    </row>
    <row r="139" spans="2:14">
      <c r="B139" s="992" t="s">
        <v>655</v>
      </c>
      <c r="E139" s="869">
        <f>E138/D138-1</f>
        <v>0.14479383130708379</v>
      </c>
      <c r="F139" s="869">
        <f>F138/E138-1</f>
        <v>0.11827352062456242</v>
      </c>
      <c r="G139" s="869">
        <f>G138/F138-1</f>
        <v>4.5840407470288724E-2</v>
      </c>
      <c r="H139" s="869">
        <f t="shared" ref="H139:N139" si="62">H138/G138-1</f>
        <v>6.8150487042095476E-2</v>
      </c>
      <c r="I139" s="869">
        <f t="shared" si="62"/>
        <v>5.4433857488202397E-2</v>
      </c>
      <c r="J139" s="869">
        <f t="shared" si="62"/>
        <v>5.4639167589727755E-2</v>
      </c>
      <c r="K139" s="869">
        <f t="shared" si="62"/>
        <v>3.9795680457631155E-2</v>
      </c>
      <c r="L139" s="869">
        <f t="shared" si="62"/>
        <v>3.609600886878539E-2</v>
      </c>
      <c r="M139" s="869">
        <f t="shared" si="62"/>
        <v>3.3088228113770102E-2</v>
      </c>
      <c r="N139" s="869">
        <f t="shared" si="62"/>
        <v>3.3195508321731904E-2</v>
      </c>
    </row>
    <row r="140" spans="2:14">
      <c r="B140" s="992" t="s">
        <v>6680</v>
      </c>
      <c r="E140" s="869"/>
      <c r="F140" s="869">
        <f>F137/F138</f>
        <v>2.6614803743498294E-2</v>
      </c>
      <c r="G140" s="869">
        <f t="shared" ref="G140:N140" si="63">G137/G138</f>
        <v>0.10533688860970046</v>
      </c>
      <c r="H140" s="869">
        <f t="shared" si="63"/>
        <v>0.18754592299840425</v>
      </c>
      <c r="I140" s="869">
        <f t="shared" si="63"/>
        <v>0.21428271196321483</v>
      </c>
      <c r="J140" s="869">
        <f t="shared" si="63"/>
        <v>0.23513928143918325</v>
      </c>
      <c r="K140" s="869">
        <f t="shared" si="63"/>
        <v>0.25706005670757759</v>
      </c>
      <c r="L140" s="869">
        <f t="shared" si="63"/>
        <v>0.27520770664927419</v>
      </c>
      <c r="M140" s="869">
        <f t="shared" si="63"/>
        <v>0.29030950863336341</v>
      </c>
      <c r="N140" s="869">
        <f t="shared" si="63"/>
        <v>0.30464845497080162</v>
      </c>
    </row>
    <row r="141" spans="2:14">
      <c r="G141" s="869"/>
    </row>
    <row r="142" spans="2:14">
      <c r="B142" s="874" t="s">
        <v>6678</v>
      </c>
      <c r="C142" s="874"/>
      <c r="D142" s="874"/>
      <c r="E142" s="1003">
        <v>1650</v>
      </c>
      <c r="F142" s="1003">
        <v>1690</v>
      </c>
      <c r="G142" s="1003">
        <v>1615.2</v>
      </c>
      <c r="H142" s="876">
        <f t="shared" ref="H142:N142" si="64">H138-H145</f>
        <v>1652.8936001434454</v>
      </c>
      <c r="I142" s="876">
        <f t="shared" si="64"/>
        <v>1686.658381381555</v>
      </c>
      <c r="J142" s="876">
        <f t="shared" si="64"/>
        <v>1796.7404296389959</v>
      </c>
      <c r="K142" s="876">
        <f t="shared" si="64"/>
        <v>1867.4140327566311</v>
      </c>
      <c r="L142" s="876">
        <f t="shared" si="64"/>
        <v>1918.3485819966663</v>
      </c>
      <c r="M142" s="876">
        <f t="shared" si="64"/>
        <v>1951.4948419580178</v>
      </c>
      <c r="N142" s="876">
        <f t="shared" si="64"/>
        <v>1985.22363945297</v>
      </c>
    </row>
    <row r="143" spans="2:14">
      <c r="B143" s="685" t="s">
        <v>158</v>
      </c>
      <c r="E143" s="807">
        <f>E142/E138</f>
        <v>0.39158559189951786</v>
      </c>
      <c r="F143" s="807">
        <f>F142/F138</f>
        <v>0.35865874363327677</v>
      </c>
      <c r="G143" s="807">
        <f t="shared" ref="G143:N143" si="65">G142/G138</f>
        <v>0.32775974025974025</v>
      </c>
      <c r="H143" s="807">
        <f t="shared" si="65"/>
        <v>0.31400875437881426</v>
      </c>
      <c r="I143" s="807">
        <f t="shared" si="65"/>
        <v>0.30388176783020143</v>
      </c>
      <c r="J143" s="807">
        <f t="shared" si="65"/>
        <v>0.30694386645174343</v>
      </c>
      <c r="K143" s="807">
        <f t="shared" si="65"/>
        <v>0.30680768112735335</v>
      </c>
      <c r="L143" s="807">
        <f t="shared" si="65"/>
        <v>0.30419574493423984</v>
      </c>
      <c r="M143" s="807">
        <f t="shared" si="65"/>
        <v>0.29954053722050622</v>
      </c>
      <c r="N143" s="807">
        <f t="shared" si="65"/>
        <v>0.294927402003543</v>
      </c>
    </row>
    <row r="144" spans="2:14">
      <c r="E144" s="848">
        <f>4200-E142</f>
        <v>2550</v>
      </c>
      <c r="F144" s="848">
        <f>(E138*1.125)-F142</f>
        <v>3050.3429503001726</v>
      </c>
      <c r="G144" s="848"/>
    </row>
    <row r="145" spans="2:14">
      <c r="B145" s="685" t="s">
        <v>1654</v>
      </c>
      <c r="E145" s="848">
        <f>E138-E142</f>
        <v>2563.6381780445981</v>
      </c>
      <c r="F145" s="848">
        <f>F138-F142</f>
        <v>3022</v>
      </c>
      <c r="G145" s="848">
        <f>G138-G142</f>
        <v>3312.8</v>
      </c>
      <c r="H145" s="848">
        <f t="shared" ref="H145:N145" si="66">(1+H146)*G145</f>
        <v>3610.9520000000007</v>
      </c>
      <c r="I145" s="848">
        <f t="shared" si="66"/>
        <v>3863.718640000001</v>
      </c>
      <c r="J145" s="848">
        <f t="shared" si="66"/>
        <v>4056.9045720000013</v>
      </c>
      <c r="K145" s="848">
        <f t="shared" si="66"/>
        <v>4219.1807548800016</v>
      </c>
      <c r="L145" s="848">
        <f t="shared" si="66"/>
        <v>4387.9479850752014</v>
      </c>
      <c r="M145" s="848">
        <f t="shared" si="66"/>
        <v>4563.4659044782093</v>
      </c>
      <c r="N145" s="848">
        <f t="shared" si="66"/>
        <v>4746.0045406573381</v>
      </c>
    </row>
    <row r="146" spans="2:14">
      <c r="B146" s="685" t="s">
        <v>181</v>
      </c>
      <c r="F146" s="807">
        <f>F145/E145-1</f>
        <v>0.1787934919525247</v>
      </c>
      <c r="G146" s="807">
        <f>G145/F145-1</f>
        <v>9.6227663798808871E-2</v>
      </c>
      <c r="H146" s="1001">
        <v>0.09</v>
      </c>
      <c r="I146" s="1001">
        <v>7.0000000000000007E-2</v>
      </c>
      <c r="J146" s="1001">
        <v>0.05</v>
      </c>
      <c r="K146" s="1001">
        <v>0.04</v>
      </c>
      <c r="L146" s="1001">
        <v>0.04</v>
      </c>
      <c r="M146" s="1001">
        <v>0.04</v>
      </c>
      <c r="N146" s="1001">
        <v>0.04</v>
      </c>
    </row>
    <row r="147" spans="2:14">
      <c r="B147" s="992" t="s">
        <v>7490</v>
      </c>
      <c r="F147" s="978">
        <v>18</v>
      </c>
      <c r="G147" s="902">
        <f>F147*1.03</f>
        <v>18.54</v>
      </c>
      <c r="H147" s="902">
        <f>G147*1.03</f>
        <v>19.0962</v>
      </c>
      <c r="I147" s="902">
        <f t="shared" ref="I147:N147" si="67">H147*1.03</f>
        <v>19.669086</v>
      </c>
      <c r="J147" s="902">
        <f t="shared" si="67"/>
        <v>20.259158580000001</v>
      </c>
      <c r="K147" s="902">
        <f t="shared" si="67"/>
        <v>20.866933337400003</v>
      </c>
      <c r="L147" s="902">
        <f t="shared" si="67"/>
        <v>21.492941337522002</v>
      </c>
      <c r="M147" s="902">
        <f t="shared" si="67"/>
        <v>22.137729577647661</v>
      </c>
      <c r="N147" s="902">
        <f t="shared" si="67"/>
        <v>22.80186146497709</v>
      </c>
    </row>
    <row r="149" spans="2:14">
      <c r="B149" s="685" t="s">
        <v>7488</v>
      </c>
      <c r="F149" s="978">
        <v>109.7</v>
      </c>
      <c r="G149" s="978">
        <v>87.8</v>
      </c>
      <c r="H149" s="902">
        <f t="shared" ref="H149:N149" si="68">G149*1.02</f>
        <v>89.555999999999997</v>
      </c>
      <c r="I149" s="902">
        <f t="shared" si="68"/>
        <v>91.347120000000004</v>
      </c>
      <c r="J149" s="902">
        <f t="shared" si="68"/>
        <v>93.174062400000011</v>
      </c>
      <c r="K149" s="902">
        <f t="shared" si="68"/>
        <v>95.03754364800001</v>
      </c>
      <c r="L149" s="902">
        <f t="shared" si="68"/>
        <v>96.938294520960014</v>
      </c>
      <c r="M149" s="902">
        <f t="shared" si="68"/>
        <v>98.877060411379219</v>
      </c>
      <c r="N149" s="902">
        <f t="shared" si="68"/>
        <v>100.85460161960681</v>
      </c>
    </row>
    <row r="151" spans="2:14">
      <c r="B151" s="685" t="s">
        <v>533</v>
      </c>
      <c r="F151" s="978">
        <f>197+327</f>
        <v>524</v>
      </c>
      <c r="G151" s="978">
        <v>570.70000000000005</v>
      </c>
      <c r="H151" s="849">
        <f t="shared" ref="H151:N151" si="69">H152*H138</f>
        <v>631.66147201721355</v>
      </c>
      <c r="I151" s="849">
        <f t="shared" si="69"/>
        <v>610.54147235197115</v>
      </c>
      <c r="J151" s="849">
        <f t="shared" si="69"/>
        <v>585.36450016389972</v>
      </c>
      <c r="K151" s="849">
        <f t="shared" si="69"/>
        <v>608.65947876366329</v>
      </c>
      <c r="L151" s="849">
        <f t="shared" si="69"/>
        <v>630.62965670718677</v>
      </c>
      <c r="M151" s="849">
        <f t="shared" si="69"/>
        <v>651.49607464362271</v>
      </c>
      <c r="N151" s="849">
        <f t="shared" si="69"/>
        <v>673.12281801103086</v>
      </c>
    </row>
    <row r="152" spans="2:14">
      <c r="B152" s="685" t="s">
        <v>524</v>
      </c>
      <c r="F152" s="807">
        <f>F151/F138</f>
        <v>0.11120543293718166</v>
      </c>
      <c r="G152" s="807">
        <f>G151/G138</f>
        <v>0.11580762987012988</v>
      </c>
      <c r="H152" s="993">
        <v>0.12</v>
      </c>
      <c r="I152" s="993">
        <v>0.11</v>
      </c>
      <c r="J152" s="993">
        <v>0.1</v>
      </c>
      <c r="K152" s="993">
        <v>0.1</v>
      </c>
      <c r="L152" s="993">
        <v>0.1</v>
      </c>
      <c r="M152" s="993">
        <v>0.1</v>
      </c>
      <c r="N152" s="993">
        <v>0.1</v>
      </c>
    </row>
    <row r="154" spans="2:14">
      <c r="B154" s="685" t="s">
        <v>4748</v>
      </c>
      <c r="G154" s="978">
        <f>(-93.9-G142)+G149+G151</f>
        <v>-1050.6000000000001</v>
      </c>
      <c r="H154" s="987">
        <v>0</v>
      </c>
      <c r="I154" s="987">
        <v>0</v>
      </c>
      <c r="J154" s="987">
        <v>0</v>
      </c>
      <c r="K154" s="987">
        <v>0</v>
      </c>
      <c r="L154" s="987">
        <v>0</v>
      </c>
      <c r="M154" s="987">
        <v>0</v>
      </c>
      <c r="N154" s="987">
        <v>0</v>
      </c>
    </row>
    <row r="155" spans="2:14">
      <c r="B155" s="1152" t="s">
        <v>186</v>
      </c>
      <c r="C155" s="1152"/>
      <c r="D155" s="1152"/>
      <c r="E155" s="1152"/>
      <c r="F155" s="1153">
        <f t="shared" ref="F155" si="70">F142-F149-F151+F154</f>
        <v>1056.3</v>
      </c>
      <c r="G155" s="1153">
        <f>G142-G149-G151+G154</f>
        <v>-93.900000000000091</v>
      </c>
      <c r="H155" s="1153">
        <f t="shared" ref="H155:N155" si="71">H142-H149-H151+H154</f>
        <v>931.67612812623179</v>
      </c>
      <c r="I155" s="1153">
        <f t="shared" si="71"/>
        <v>984.76978902958399</v>
      </c>
      <c r="J155" s="1153">
        <f t="shared" si="71"/>
        <v>1118.2018670750963</v>
      </c>
      <c r="K155" s="1153">
        <f t="shared" si="71"/>
        <v>1163.7170103449675</v>
      </c>
      <c r="L155" s="1153">
        <f t="shared" si="71"/>
        <v>1190.7806307685196</v>
      </c>
      <c r="M155" s="1153">
        <f t="shared" si="71"/>
        <v>1201.1217069030158</v>
      </c>
      <c r="N155" s="1153">
        <f t="shared" si="71"/>
        <v>1211.2462198223323</v>
      </c>
    </row>
    <row r="157" spans="2:14">
      <c r="B157" s="685" t="s">
        <v>531</v>
      </c>
      <c r="F157" s="685">
        <v>700</v>
      </c>
      <c r="G157" s="1004">
        <f>680.4-19.8</f>
        <v>660.6</v>
      </c>
      <c r="H157" s="849">
        <f t="shared" ref="H157:N157" si="72">H158*G191</f>
        <v>695.42639999999994</v>
      </c>
      <c r="I157" s="849">
        <f t="shared" si="72"/>
        <v>697.48070988093309</v>
      </c>
      <c r="J157" s="849">
        <f t="shared" si="72"/>
        <v>673.57683668750042</v>
      </c>
      <c r="K157" s="849">
        <f t="shared" si="72"/>
        <v>630.53541712654885</v>
      </c>
      <c r="L157" s="849">
        <f t="shared" si="72"/>
        <v>592.25102832407401</v>
      </c>
      <c r="M157" s="849">
        <f t="shared" si="72"/>
        <v>558.3152274093693</v>
      </c>
      <c r="N157" s="849">
        <f t="shared" si="72"/>
        <v>523.24962897211628</v>
      </c>
    </row>
    <row r="158" spans="2:14">
      <c r="B158" s="685" t="s">
        <v>6062</v>
      </c>
      <c r="F158" s="869">
        <f>F157/F191</f>
        <v>7.3788290852360189E-2</v>
      </c>
      <c r="G158" s="869">
        <f>G157/F191</f>
        <v>6.9635064195813057E-2</v>
      </c>
      <c r="H158" s="1001">
        <v>7.1999999999999995E-2</v>
      </c>
      <c r="I158" s="1001">
        <f t="shared" ref="I158:N158" si="73">H158</f>
        <v>7.1999999999999995E-2</v>
      </c>
      <c r="J158" s="1001">
        <f t="shared" si="73"/>
        <v>7.1999999999999995E-2</v>
      </c>
      <c r="K158" s="1001">
        <f t="shared" si="73"/>
        <v>7.1999999999999995E-2</v>
      </c>
      <c r="L158" s="1001">
        <f t="shared" si="73"/>
        <v>7.1999999999999995E-2</v>
      </c>
      <c r="M158" s="1001">
        <f t="shared" si="73"/>
        <v>7.1999999999999995E-2</v>
      </c>
      <c r="N158" s="1001">
        <f t="shared" si="73"/>
        <v>7.1999999999999995E-2</v>
      </c>
    </row>
    <row r="160" spans="2:14">
      <c r="B160" s="685" t="s">
        <v>961</v>
      </c>
      <c r="F160" s="848">
        <f t="shared" ref="F160:N160" si="74">F155-F157</f>
        <v>356.29999999999995</v>
      </c>
      <c r="G160" s="848">
        <f t="shared" si="74"/>
        <v>-754.50000000000011</v>
      </c>
      <c r="H160" s="848">
        <f t="shared" si="74"/>
        <v>236.24972812623184</v>
      </c>
      <c r="I160" s="848">
        <f t="shared" si="74"/>
        <v>287.2890791486509</v>
      </c>
      <c r="J160" s="848">
        <f t="shared" si="74"/>
        <v>444.62503038759587</v>
      </c>
      <c r="K160" s="848">
        <f t="shared" si="74"/>
        <v>533.1815932184187</v>
      </c>
      <c r="L160" s="848">
        <f t="shared" si="74"/>
        <v>598.52960244444557</v>
      </c>
      <c r="M160" s="848">
        <f t="shared" si="74"/>
        <v>642.80647949364652</v>
      </c>
      <c r="N160" s="848">
        <f t="shared" si="74"/>
        <v>687.99659085021597</v>
      </c>
    </row>
    <row r="161" spans="2:14">
      <c r="F161" s="848"/>
      <c r="G161" s="848"/>
      <c r="H161" s="848"/>
      <c r="I161" s="848"/>
      <c r="J161" s="848"/>
      <c r="K161" s="848"/>
      <c r="L161" s="848"/>
      <c r="M161" s="848"/>
      <c r="N161" s="848"/>
    </row>
    <row r="162" spans="2:14">
      <c r="B162" s="685" t="s">
        <v>308</v>
      </c>
      <c r="F162" s="849">
        <f>F185-F181</f>
        <v>141</v>
      </c>
      <c r="G162" s="1002">
        <v>165.3</v>
      </c>
      <c r="H162" s="878">
        <f>G162</f>
        <v>165.3</v>
      </c>
      <c r="I162" s="878">
        <v>175</v>
      </c>
      <c r="J162" s="849">
        <f>J165</f>
        <v>124.49500850852685</v>
      </c>
      <c r="K162" s="849">
        <f>K165</f>
        <v>149.29084610115726</v>
      </c>
      <c r="L162" s="849">
        <f>L165</f>
        <v>167.58828868444476</v>
      </c>
      <c r="M162" s="849">
        <f>M165</f>
        <v>179.98581425822104</v>
      </c>
      <c r="N162" s="849">
        <f>N165</f>
        <v>192.63904543806049</v>
      </c>
    </row>
    <row r="163" spans="2:14">
      <c r="B163" s="685" t="s">
        <v>299</v>
      </c>
      <c r="F163" s="807">
        <f t="shared" ref="F163:N163" si="75">F162/F160</f>
        <v>0.39573393207970814</v>
      </c>
      <c r="G163" s="807">
        <f t="shared" si="75"/>
        <v>-0.21908548707753478</v>
      </c>
      <c r="H163" s="807">
        <f t="shared" si="75"/>
        <v>0.69968334487004236</v>
      </c>
      <c r="I163" s="807">
        <f t="shared" si="75"/>
        <v>0.60914254213419095</v>
      </c>
      <c r="J163" s="807">
        <f t="shared" si="75"/>
        <v>0.28000000000000003</v>
      </c>
      <c r="K163" s="807">
        <f t="shared" si="75"/>
        <v>0.28000000000000003</v>
      </c>
      <c r="L163" s="807">
        <f t="shared" si="75"/>
        <v>0.28000000000000003</v>
      </c>
      <c r="M163" s="807">
        <f t="shared" si="75"/>
        <v>0.28000000000000003</v>
      </c>
      <c r="N163" s="807">
        <f t="shared" si="75"/>
        <v>0.28000000000000003</v>
      </c>
    </row>
    <row r="164" spans="2:14">
      <c r="F164" s="807"/>
      <c r="G164" s="849"/>
      <c r="H164" s="849"/>
      <c r="I164" s="849"/>
      <c r="J164" s="849"/>
      <c r="K164" s="849"/>
      <c r="L164" s="849"/>
      <c r="M164" s="849"/>
      <c r="N164" s="849"/>
    </row>
    <row r="165" spans="2:14">
      <c r="B165" s="685" t="s">
        <v>6064</v>
      </c>
      <c r="F165" s="849">
        <f t="shared" ref="F165:N165" si="76">F166*F160</f>
        <v>99.763999999999996</v>
      </c>
      <c r="G165" s="849">
        <f t="shared" si="76"/>
        <v>-211.26000000000005</v>
      </c>
      <c r="H165" s="849">
        <f t="shared" si="76"/>
        <v>66.149923875344925</v>
      </c>
      <c r="I165" s="849">
        <f t="shared" si="76"/>
        <v>80.44094216162226</v>
      </c>
      <c r="J165" s="849">
        <f t="shared" si="76"/>
        <v>124.49500850852685</v>
      </c>
      <c r="K165" s="849">
        <f t="shared" si="76"/>
        <v>149.29084610115726</v>
      </c>
      <c r="L165" s="849">
        <f t="shared" si="76"/>
        <v>167.58828868444476</v>
      </c>
      <c r="M165" s="849">
        <f t="shared" si="76"/>
        <v>179.98581425822104</v>
      </c>
      <c r="N165" s="849">
        <f t="shared" si="76"/>
        <v>192.63904543806049</v>
      </c>
    </row>
    <row r="166" spans="2:14">
      <c r="B166" s="685" t="s">
        <v>6065</v>
      </c>
      <c r="F166" s="993">
        <v>0.28000000000000003</v>
      </c>
      <c r="G166" s="993">
        <v>0.28000000000000003</v>
      </c>
      <c r="H166" s="993">
        <v>0.28000000000000003</v>
      </c>
      <c r="I166" s="993">
        <v>0.28000000000000003</v>
      </c>
      <c r="J166" s="993">
        <v>0.28000000000000003</v>
      </c>
      <c r="K166" s="993">
        <v>0.28000000000000003</v>
      </c>
      <c r="L166" s="993">
        <v>0.28000000000000003</v>
      </c>
      <c r="M166" s="993">
        <v>0.28000000000000003</v>
      </c>
      <c r="N166" s="993">
        <v>0.28000000000000003</v>
      </c>
    </row>
    <row r="168" spans="2:14">
      <c r="B168" s="685" t="s">
        <v>6066</v>
      </c>
      <c r="F168" s="849">
        <f t="shared" ref="F168:N168" si="77">F165-F162</f>
        <v>-41.236000000000004</v>
      </c>
      <c r="G168" s="849">
        <f t="shared" si="77"/>
        <v>-376.56000000000006</v>
      </c>
      <c r="H168" s="849">
        <f t="shared" si="77"/>
        <v>-99.150076124655087</v>
      </c>
      <c r="I168" s="849">
        <f t="shared" si="77"/>
        <v>-94.55905783837774</v>
      </c>
      <c r="J168" s="849">
        <f t="shared" si="77"/>
        <v>0</v>
      </c>
      <c r="K168" s="849">
        <f t="shared" si="77"/>
        <v>0</v>
      </c>
      <c r="L168" s="849">
        <f t="shared" si="77"/>
        <v>0</v>
      </c>
      <c r="M168" s="849">
        <f t="shared" si="77"/>
        <v>0</v>
      </c>
      <c r="N168" s="849">
        <f t="shared" si="77"/>
        <v>0</v>
      </c>
    </row>
    <row r="169" spans="2:14">
      <c r="B169" s="685" t="s">
        <v>6067</v>
      </c>
      <c r="F169" s="849">
        <f>F168</f>
        <v>-41.236000000000004</v>
      </c>
      <c r="G169" s="849">
        <f t="shared" ref="G169:N169" si="78">F169+G168</f>
        <v>-417.79600000000005</v>
      </c>
      <c r="H169" s="849">
        <f t="shared" si="78"/>
        <v>-516.94607612465518</v>
      </c>
      <c r="I169" s="849">
        <f t="shared" si="78"/>
        <v>-611.5051339630329</v>
      </c>
      <c r="J169" s="849">
        <f t="shared" si="78"/>
        <v>-611.5051339630329</v>
      </c>
      <c r="K169" s="849">
        <f t="shared" si="78"/>
        <v>-611.5051339630329</v>
      </c>
      <c r="L169" s="849">
        <f t="shared" si="78"/>
        <v>-611.5051339630329</v>
      </c>
      <c r="M169" s="849">
        <f t="shared" si="78"/>
        <v>-611.5051339630329</v>
      </c>
      <c r="N169" s="849">
        <f t="shared" si="78"/>
        <v>-611.5051339630329</v>
      </c>
    </row>
    <row r="171" spans="2:14">
      <c r="B171" s="1152" t="s">
        <v>194</v>
      </c>
      <c r="C171" s="1152"/>
      <c r="D171" s="1152"/>
      <c r="E171" s="1152"/>
      <c r="F171" s="1154">
        <v>-1530</v>
      </c>
      <c r="G171" s="1154">
        <v>-873.6</v>
      </c>
      <c r="H171" s="1153">
        <f t="shared" ref="H171:N171" si="79">H160-H165</f>
        <v>170.0998042508869</v>
      </c>
      <c r="I171" s="1153">
        <f t="shared" si="79"/>
        <v>206.84813698702862</v>
      </c>
      <c r="J171" s="1153">
        <f t="shared" si="79"/>
        <v>320.13002187906903</v>
      </c>
      <c r="K171" s="1153">
        <f t="shared" si="79"/>
        <v>383.89074711726141</v>
      </c>
      <c r="L171" s="1153">
        <f t="shared" si="79"/>
        <v>430.94131376000081</v>
      </c>
      <c r="M171" s="1153">
        <f t="shared" si="79"/>
        <v>462.82066523542551</v>
      </c>
      <c r="N171" s="1153">
        <f t="shared" si="79"/>
        <v>495.35754541215545</v>
      </c>
    </row>
    <row r="172" spans="2:14">
      <c r="B172" s="685" t="s">
        <v>158</v>
      </c>
      <c r="F172" s="807">
        <f t="shared" ref="F172:N172" si="80">F171/F138</f>
        <v>-0.32470288624787774</v>
      </c>
      <c r="G172" s="807">
        <f t="shared" si="80"/>
        <v>-0.17727272727272728</v>
      </c>
      <c r="H172" s="807">
        <f t="shared" si="80"/>
        <v>3.2314740433543772E-2</v>
      </c>
      <c r="I172" s="807">
        <f t="shared" si="80"/>
        <v>3.7267402951221794E-2</v>
      </c>
      <c r="J172" s="807">
        <f t="shared" si="80"/>
        <v>5.4689005190686132E-2</v>
      </c>
      <c r="K172" s="807">
        <f t="shared" si="80"/>
        <v>6.3071513795700293E-2</v>
      </c>
      <c r="L172" s="807">
        <f t="shared" si="80"/>
        <v>6.8335085287638958E-2</v>
      </c>
      <c r="M172" s="807">
        <f t="shared" si="80"/>
        <v>7.1039670574929367E-2</v>
      </c>
      <c r="N172" s="807">
        <f t="shared" si="80"/>
        <v>7.3590960246431247E-2</v>
      </c>
    </row>
    <row r="174" spans="2:14">
      <c r="B174" s="685" t="s">
        <v>7491</v>
      </c>
      <c r="F174" s="978">
        <v>750</v>
      </c>
      <c r="G174" s="848">
        <f>F174</f>
        <v>750</v>
      </c>
      <c r="H174" s="848">
        <f t="shared" ref="H174:N174" si="81">G174</f>
        <v>750</v>
      </c>
      <c r="I174" s="848">
        <f t="shared" si="81"/>
        <v>750</v>
      </c>
      <c r="J174" s="848">
        <f t="shared" si="81"/>
        <v>750</v>
      </c>
      <c r="K174" s="848">
        <f t="shared" si="81"/>
        <v>750</v>
      </c>
      <c r="L174" s="848">
        <f t="shared" si="81"/>
        <v>750</v>
      </c>
      <c r="M174" s="848">
        <f t="shared" si="81"/>
        <v>750</v>
      </c>
      <c r="N174" s="848">
        <f t="shared" si="81"/>
        <v>750</v>
      </c>
    </row>
    <row r="175" spans="2:14">
      <c r="B175" s="685" t="s">
        <v>6873</v>
      </c>
      <c r="F175" s="1001">
        <v>5.5E-2</v>
      </c>
      <c r="G175" s="869">
        <f>F175</f>
        <v>5.5E-2</v>
      </c>
      <c r="H175" s="869">
        <f t="shared" ref="H175:N175" si="82">G175</f>
        <v>5.5E-2</v>
      </c>
      <c r="I175" s="869">
        <f t="shared" si="82"/>
        <v>5.5E-2</v>
      </c>
      <c r="J175" s="869">
        <f t="shared" si="82"/>
        <v>5.5E-2</v>
      </c>
      <c r="K175" s="869">
        <f t="shared" si="82"/>
        <v>5.5E-2</v>
      </c>
      <c r="L175" s="869">
        <f t="shared" si="82"/>
        <v>5.5E-2</v>
      </c>
      <c r="M175" s="869">
        <f t="shared" si="82"/>
        <v>5.5E-2</v>
      </c>
      <c r="N175" s="869">
        <f t="shared" si="82"/>
        <v>5.5E-2</v>
      </c>
    </row>
    <row r="176" spans="2:14">
      <c r="B176" s="685" t="s">
        <v>6873</v>
      </c>
      <c r="F176" s="848">
        <f>F175*F174</f>
        <v>41.25</v>
      </c>
      <c r="G176" s="848">
        <f t="shared" ref="G176:N176" si="83">G175*G174</f>
        <v>41.25</v>
      </c>
      <c r="H176" s="848">
        <f t="shared" si="83"/>
        <v>41.25</v>
      </c>
      <c r="I176" s="848">
        <f t="shared" si="83"/>
        <v>41.25</v>
      </c>
      <c r="J176" s="848">
        <f t="shared" si="83"/>
        <v>41.25</v>
      </c>
      <c r="K176" s="848">
        <f t="shared" si="83"/>
        <v>41.25</v>
      </c>
      <c r="L176" s="848">
        <f t="shared" si="83"/>
        <v>41.25</v>
      </c>
      <c r="M176" s="848">
        <f t="shared" si="83"/>
        <v>41.25</v>
      </c>
      <c r="N176" s="848">
        <f t="shared" si="83"/>
        <v>41.25</v>
      </c>
    </row>
    <row r="178" spans="2:14">
      <c r="B178" s="685" t="s">
        <v>6685</v>
      </c>
      <c r="F178" s="1001">
        <v>0</v>
      </c>
      <c r="G178" s="1001">
        <v>0</v>
      </c>
      <c r="H178" s="1001">
        <v>0</v>
      </c>
      <c r="I178" s="1001">
        <v>0.25</v>
      </c>
      <c r="J178" s="1001">
        <v>0.5</v>
      </c>
      <c r="K178" s="1001">
        <v>0.8</v>
      </c>
      <c r="L178" s="1001">
        <v>1</v>
      </c>
      <c r="M178" s="1001">
        <v>1</v>
      </c>
      <c r="N178" s="1001">
        <v>1</v>
      </c>
    </row>
    <row r="179" spans="2:14">
      <c r="B179" s="685" t="s">
        <v>6685</v>
      </c>
      <c r="F179" s="848">
        <f t="shared" ref="F179:N179" si="84">F178*F171</f>
        <v>0</v>
      </c>
      <c r="G179" s="848">
        <f t="shared" si="84"/>
        <v>0</v>
      </c>
      <c r="H179" s="848">
        <f t="shared" si="84"/>
        <v>0</v>
      </c>
      <c r="I179" s="848">
        <f t="shared" si="84"/>
        <v>51.712034246757156</v>
      </c>
      <c r="J179" s="848">
        <f t="shared" si="84"/>
        <v>160.06501093953452</v>
      </c>
      <c r="K179" s="848">
        <f t="shared" si="84"/>
        <v>307.11259769380916</v>
      </c>
      <c r="L179" s="848">
        <f t="shared" si="84"/>
        <v>430.94131376000081</v>
      </c>
      <c r="M179" s="848">
        <f t="shared" si="84"/>
        <v>462.82066523542551</v>
      </c>
      <c r="N179" s="848">
        <f t="shared" si="84"/>
        <v>495.35754541215545</v>
      </c>
    </row>
    <row r="181" spans="2:14">
      <c r="B181" s="685" t="s">
        <v>201</v>
      </c>
      <c r="E181" s="1004">
        <v>42</v>
      </c>
      <c r="F181" s="1004">
        <v>159</v>
      </c>
      <c r="G181" s="1004">
        <v>168</v>
      </c>
      <c r="H181" s="849">
        <f t="shared" ref="H181:N181" si="85">H182*H138</f>
        <v>179.449281823072</v>
      </c>
      <c r="I181" s="849">
        <f t="shared" si="85"/>
        <v>189.21739845618939</v>
      </c>
      <c r="J181" s="849">
        <f t="shared" si="85"/>
        <v>199.55607960132943</v>
      </c>
      <c r="K181" s="849">
        <f t="shared" si="85"/>
        <v>207.49754957852156</v>
      </c>
      <c r="L181" s="849">
        <f t="shared" si="85"/>
        <v>214.9873829683591</v>
      </c>
      <c r="M181" s="849">
        <f t="shared" si="85"/>
        <v>222.10093453759865</v>
      </c>
      <c r="N181" s="849">
        <f t="shared" si="85"/>
        <v>229.47368795830593</v>
      </c>
    </row>
    <row r="182" spans="2:14">
      <c r="B182" s="685" t="s">
        <v>202</v>
      </c>
      <c r="F182" s="869">
        <f>F181/F138</f>
        <v>3.3743633276740237E-2</v>
      </c>
      <c r="G182" s="869">
        <f>G181/G138</f>
        <v>3.4090909090909088E-2</v>
      </c>
      <c r="H182" s="1001">
        <f t="shared" ref="H182:N182" si="86">G182</f>
        <v>3.4090909090909088E-2</v>
      </c>
      <c r="I182" s="1001">
        <f t="shared" si="86"/>
        <v>3.4090909090909088E-2</v>
      </c>
      <c r="J182" s="1001">
        <f t="shared" si="86"/>
        <v>3.4090909090909088E-2</v>
      </c>
      <c r="K182" s="1001">
        <f t="shared" si="86"/>
        <v>3.4090909090909088E-2</v>
      </c>
      <c r="L182" s="1001">
        <f t="shared" si="86"/>
        <v>3.4090909090909088E-2</v>
      </c>
      <c r="M182" s="1001">
        <f t="shared" si="86"/>
        <v>3.4090909090909088E-2</v>
      </c>
      <c r="N182" s="1001">
        <f t="shared" si="86"/>
        <v>3.4090909090909088E-2</v>
      </c>
    </row>
    <row r="184" spans="2:14">
      <c r="B184" s="805" t="s">
        <v>6063</v>
      </c>
    </row>
    <row r="185" spans="2:14">
      <c r="B185" s="685" t="s">
        <v>6052</v>
      </c>
      <c r="F185" s="685">
        <v>300</v>
      </c>
      <c r="G185" s="849">
        <f t="shared" ref="G185:N185" si="87">G162+G181</f>
        <v>333.3</v>
      </c>
      <c r="H185" s="849">
        <f t="shared" si="87"/>
        <v>344.74928182307201</v>
      </c>
      <c r="I185" s="849">
        <f t="shared" si="87"/>
        <v>364.21739845618936</v>
      </c>
      <c r="J185" s="849">
        <f t="shared" si="87"/>
        <v>324.05108810985627</v>
      </c>
      <c r="K185" s="849">
        <f t="shared" si="87"/>
        <v>356.78839567967884</v>
      </c>
      <c r="L185" s="849">
        <f t="shared" si="87"/>
        <v>382.57567165280386</v>
      </c>
      <c r="M185" s="849">
        <f t="shared" si="87"/>
        <v>402.08674879581969</v>
      </c>
      <c r="N185" s="849">
        <f t="shared" si="87"/>
        <v>422.11273339636642</v>
      </c>
    </row>
    <row r="186" spans="2:14">
      <c r="B186" s="685" t="s">
        <v>1698</v>
      </c>
      <c r="F186" s="807">
        <f t="shared" ref="F186:N186" si="88">F185/F138</f>
        <v>6.3667232597623094E-2</v>
      </c>
      <c r="G186" s="807">
        <f t="shared" si="88"/>
        <v>6.7633928571428567E-2</v>
      </c>
      <c r="H186" s="807">
        <f t="shared" si="88"/>
        <v>6.5493805861949514E-2</v>
      </c>
      <c r="I186" s="807">
        <f t="shared" si="88"/>
        <v>6.5620298774862543E-2</v>
      </c>
      <c r="J186" s="807">
        <f t="shared" si="88"/>
        <v>5.5358855553953694E-2</v>
      </c>
      <c r="K186" s="807">
        <f t="shared" si="88"/>
        <v>5.8618720011459215E-2</v>
      </c>
      <c r="L186" s="807">
        <f t="shared" si="88"/>
        <v>6.0665664480546458E-2</v>
      </c>
      <c r="M186" s="807">
        <f t="shared" si="88"/>
        <v>6.1717447647826065E-2</v>
      </c>
      <c r="N186" s="807">
        <f t="shared" si="88"/>
        <v>6.2709615853410131E-2</v>
      </c>
    </row>
    <row r="188" spans="2:14">
      <c r="B188" s="685" t="s">
        <v>7480</v>
      </c>
      <c r="F188" s="1004">
        <v>-750</v>
      </c>
      <c r="G188" s="1002">
        <f>-181.3-1345.1-42-0.3+75.2+40.5-10.5</f>
        <v>-1463.4999999999998</v>
      </c>
      <c r="H188" s="1004">
        <v>-600</v>
      </c>
      <c r="I188" s="1004">
        <v>-200</v>
      </c>
      <c r="J188" s="1004">
        <v>0</v>
      </c>
      <c r="K188" s="1004">
        <v>0</v>
      </c>
      <c r="L188" s="1004">
        <v>0</v>
      </c>
      <c r="M188" s="1004">
        <v>0</v>
      </c>
      <c r="N188" s="1004">
        <v>0</v>
      </c>
    </row>
    <row r="189" spans="2:14">
      <c r="B189" s="874" t="s">
        <v>372</v>
      </c>
      <c r="C189" s="874"/>
      <c r="D189" s="874"/>
      <c r="E189" s="874"/>
      <c r="F189" s="1005">
        <f t="shared" ref="F189:N189" si="89">F142-F157-F162-F181+F188</f>
        <v>-60</v>
      </c>
      <c r="G189" s="1005">
        <f t="shared" si="89"/>
        <v>-842.19999999999982</v>
      </c>
      <c r="H189" s="1005">
        <f t="shared" si="89"/>
        <v>12.717918320373428</v>
      </c>
      <c r="I189" s="1005">
        <f t="shared" si="89"/>
        <v>424.9602730444326</v>
      </c>
      <c r="J189" s="1005">
        <f t="shared" si="89"/>
        <v>799.11250484163918</v>
      </c>
      <c r="K189" s="1005">
        <f t="shared" si="89"/>
        <v>880.09021995040325</v>
      </c>
      <c r="L189" s="1005">
        <f t="shared" si="89"/>
        <v>943.52188201978856</v>
      </c>
      <c r="M189" s="1005">
        <f t="shared" si="89"/>
        <v>991.09286575282874</v>
      </c>
      <c r="N189" s="1005">
        <f t="shared" si="89"/>
        <v>1039.8612770844875</v>
      </c>
    </row>
    <row r="190" spans="2:14">
      <c r="H190" s="849"/>
      <c r="I190" s="849"/>
      <c r="J190" s="849"/>
      <c r="K190" s="849"/>
      <c r="L190" s="849"/>
      <c r="M190" s="849"/>
      <c r="N190" s="849"/>
    </row>
    <row r="191" spans="2:14">
      <c r="B191" s="685" t="s">
        <v>224</v>
      </c>
      <c r="E191" s="978">
        <f>(9942+57.6)-(528.8)</f>
        <v>9470.8000000000011</v>
      </c>
      <c r="F191" s="978">
        <f>'VOD-quarts'!J66</f>
        <v>9486.5999999999985</v>
      </c>
      <c r="G191" s="978">
        <f>'VOD-quarts'!N66</f>
        <v>9658.7000000000007</v>
      </c>
      <c r="H191" s="848">
        <f t="shared" ref="H191:N191" si="90">G191-H189+H179+H176</f>
        <v>9687.2320816796273</v>
      </c>
      <c r="I191" s="848">
        <f t="shared" si="90"/>
        <v>9355.2338428819512</v>
      </c>
      <c r="J191" s="848">
        <f t="shared" si="90"/>
        <v>8757.4363489798452</v>
      </c>
      <c r="K191" s="848">
        <f t="shared" si="90"/>
        <v>8225.7087267232509</v>
      </c>
      <c r="L191" s="848">
        <f t="shared" si="90"/>
        <v>7754.3781584634626</v>
      </c>
      <c r="M191" s="848">
        <f t="shared" si="90"/>
        <v>7267.3559579460598</v>
      </c>
      <c r="N191" s="848">
        <f t="shared" si="90"/>
        <v>6764.1022262737279</v>
      </c>
    </row>
    <row r="192" spans="2:14">
      <c r="B192" s="685" t="s">
        <v>852</v>
      </c>
      <c r="E192" s="1006">
        <f t="shared" ref="E192:N192" si="91">E191/E142</f>
        <v>5.7398787878787889</v>
      </c>
      <c r="F192" s="1006">
        <f t="shared" si="91"/>
        <v>5.6133727810650882</v>
      </c>
      <c r="G192" s="1006">
        <f t="shared" si="91"/>
        <v>5.9798786527984156</v>
      </c>
      <c r="H192" s="1006">
        <f t="shared" si="91"/>
        <v>5.8607717283429048</v>
      </c>
      <c r="I192" s="1006">
        <f t="shared" si="91"/>
        <v>5.5466085759577499</v>
      </c>
      <c r="J192" s="1006">
        <f t="shared" si="91"/>
        <v>4.874068732754794</v>
      </c>
      <c r="K192" s="1006">
        <f t="shared" si="91"/>
        <v>4.4048660781351527</v>
      </c>
      <c r="L192" s="1006">
        <f t="shared" si="91"/>
        <v>4.0422153884006349</v>
      </c>
      <c r="M192" s="1006">
        <f t="shared" si="91"/>
        <v>3.7239944486117178</v>
      </c>
      <c r="N192" s="1006">
        <f t="shared" si="91"/>
        <v>3.4072243005012681</v>
      </c>
    </row>
    <row r="194" spans="2:14">
      <c r="B194" s="874" t="s">
        <v>469</v>
      </c>
      <c r="C194" s="874"/>
      <c r="D194" s="874"/>
      <c r="E194" s="874"/>
      <c r="F194" s="876">
        <f t="shared" ref="F194:N194" si="92">F142-F181-F162</f>
        <v>1390</v>
      </c>
      <c r="G194" s="876">
        <f t="shared" si="92"/>
        <v>1281.9000000000001</v>
      </c>
      <c r="H194" s="876">
        <f t="shared" si="92"/>
        <v>1308.1443183203735</v>
      </c>
      <c r="I194" s="876">
        <f t="shared" si="92"/>
        <v>1322.4409829253657</v>
      </c>
      <c r="J194" s="876">
        <f t="shared" si="92"/>
        <v>1472.6893415291397</v>
      </c>
      <c r="K194" s="876">
        <f t="shared" si="92"/>
        <v>1510.6256370769522</v>
      </c>
      <c r="L194" s="876">
        <f t="shared" si="92"/>
        <v>1535.7729103438626</v>
      </c>
      <c r="M194" s="876">
        <f t="shared" si="92"/>
        <v>1549.4080931621979</v>
      </c>
      <c r="N194" s="876">
        <f t="shared" si="92"/>
        <v>1563.1109060566037</v>
      </c>
    </row>
    <row r="196" spans="2:14">
      <c r="B196" s="685" t="s">
        <v>457</v>
      </c>
      <c r="F196" s="1001">
        <f>(8%+12%)/2</f>
        <v>0.1</v>
      </c>
    </row>
    <row r="197" spans="2:14">
      <c r="B197" s="685" t="s">
        <v>6057</v>
      </c>
      <c r="F197" s="848">
        <f>NPV(F196,I194:N194)</f>
        <v>6447.6225460734686</v>
      </c>
    </row>
    <row r="198" spans="2:14">
      <c r="B198" s="685" t="s">
        <v>1902</v>
      </c>
      <c r="F198" s="1001">
        <v>2.5000000000000001E-3</v>
      </c>
    </row>
    <row r="199" spans="2:14">
      <c r="B199" s="685" t="s">
        <v>861</v>
      </c>
      <c r="F199" s="808">
        <f>1/(F196-F198)</f>
        <v>10.256410256410255</v>
      </c>
    </row>
    <row r="200" spans="2:14">
      <c r="B200" s="685" t="s">
        <v>6058</v>
      </c>
      <c r="F200" s="848">
        <f>F199*N194</f>
        <v>16031.906728785678</v>
      </c>
    </row>
    <row r="201" spans="2:14">
      <c r="B201" s="685" t="s">
        <v>6059</v>
      </c>
      <c r="F201" s="848">
        <f>F200/(1+F196)^6</f>
        <v>9049.5933974532454</v>
      </c>
    </row>
    <row r="202" spans="2:14">
      <c r="B202" s="874" t="s">
        <v>456</v>
      </c>
      <c r="C202" s="874"/>
      <c r="D202" s="874"/>
      <c r="E202" s="874"/>
      <c r="F202" s="876">
        <f>F197+F201</f>
        <v>15497.215943526713</v>
      </c>
    </row>
    <row r="203" spans="2:14">
      <c r="B203" s="685" t="s">
        <v>224</v>
      </c>
      <c r="F203" s="848">
        <f>H191</f>
        <v>9687.2320816796273</v>
      </c>
    </row>
    <row r="204" spans="2:14">
      <c r="B204" s="874" t="s">
        <v>530</v>
      </c>
      <c r="C204" s="874"/>
      <c r="D204" s="874"/>
      <c r="E204" s="874"/>
      <c r="F204" s="876">
        <f>F202-F203</f>
        <v>5809.9838618470858</v>
      </c>
    </row>
    <row r="205" spans="2:14">
      <c r="F205" s="848"/>
    </row>
    <row r="206" spans="2:14">
      <c r="B206" s="685" t="s">
        <v>6068</v>
      </c>
      <c r="F206" s="848">
        <f>SOP!E13-SOP!F13</f>
        <v>5838.5159435267124</v>
      </c>
    </row>
    <row r="207" spans="2:14">
      <c r="B207" s="685" t="s">
        <v>483</v>
      </c>
      <c r="F207" s="848">
        <f>F204-F206</f>
        <v>-28.532081679626572</v>
      </c>
    </row>
    <row r="208" spans="2:14">
      <c r="B208" s="685" t="s">
        <v>6060</v>
      </c>
      <c r="F208" s="807">
        <f>SOP!C13</f>
        <v>0.45</v>
      </c>
    </row>
    <row r="209" spans="2:14">
      <c r="B209" s="685" t="s">
        <v>6061</v>
      </c>
      <c r="F209" s="848">
        <f>F207*F208</f>
        <v>-12.839436755831958</v>
      </c>
    </row>
    <row r="210" spans="2:14">
      <c r="B210" s="1007" t="s">
        <v>1906</v>
      </c>
      <c r="C210" s="997"/>
      <c r="D210" s="997"/>
      <c r="E210" s="997"/>
      <c r="F210" s="1008">
        <f>F209/SOP!G29</f>
        <v>-2.2392423621449942E-2</v>
      </c>
    </row>
    <row r="214" spans="2:14">
      <c r="B214" s="1009" t="s">
        <v>6706</v>
      </c>
      <c r="C214" s="1010"/>
      <c r="D214" s="1009">
        <v>2020</v>
      </c>
      <c r="E214" s="1009">
        <v>2021</v>
      </c>
      <c r="F214" s="1009">
        <v>2022</v>
      </c>
      <c r="G214" s="1009">
        <f t="shared" ref="G214:N214" si="93">F214+1</f>
        <v>2023</v>
      </c>
      <c r="H214" s="1009">
        <f t="shared" si="93"/>
        <v>2024</v>
      </c>
      <c r="I214" s="1009">
        <f t="shared" si="93"/>
        <v>2025</v>
      </c>
      <c r="J214" s="1009">
        <f t="shared" si="93"/>
        <v>2026</v>
      </c>
      <c r="K214" s="1009">
        <f t="shared" si="93"/>
        <v>2027</v>
      </c>
      <c r="L214" s="1009">
        <f t="shared" si="93"/>
        <v>2028</v>
      </c>
      <c r="M214" s="1009">
        <f t="shared" si="93"/>
        <v>2029</v>
      </c>
      <c r="N214" s="1009">
        <f t="shared" si="93"/>
        <v>2030</v>
      </c>
    </row>
    <row r="215" spans="2:14">
      <c r="B215" s="998" t="s">
        <v>6696</v>
      </c>
      <c r="C215" s="998"/>
      <c r="D215" s="998"/>
      <c r="E215" s="998"/>
      <c r="F215" s="998"/>
      <c r="G215" s="998"/>
      <c r="H215" s="998"/>
      <c r="I215" s="998"/>
      <c r="J215" s="998"/>
      <c r="K215" s="998"/>
      <c r="L215" s="998"/>
      <c r="M215" s="998"/>
      <c r="N215" s="998"/>
    </row>
    <row r="216" spans="2:14">
      <c r="B216" s="1011" t="s">
        <v>6560</v>
      </c>
      <c r="C216" s="1012"/>
      <c r="D216" s="994">
        <f t="shared" ref="D216:N216" si="94">D135</f>
        <v>1138.7960893854749</v>
      </c>
      <c r="E216" s="994">
        <f t="shared" si="94"/>
        <v>1354.0006780445976</v>
      </c>
      <c r="F216" s="994">
        <f t="shared" si="94"/>
        <v>1456.2955223803181</v>
      </c>
      <c r="G216" s="994">
        <f t="shared" si="94"/>
        <v>1508.7499064656981</v>
      </c>
      <c r="H216" s="994">
        <f t="shared" si="94"/>
        <v>1463.4874092717271</v>
      </c>
      <c r="I216" s="994">
        <f t="shared" si="94"/>
        <v>1463.4874092717271</v>
      </c>
      <c r="J216" s="994">
        <f t="shared" si="94"/>
        <v>1492.7571574571616</v>
      </c>
      <c r="K216" s="994">
        <f t="shared" si="94"/>
        <v>1447.9744427334467</v>
      </c>
      <c r="L216" s="994">
        <f t="shared" si="94"/>
        <v>1404.5352094514433</v>
      </c>
      <c r="M216" s="994">
        <f t="shared" si="94"/>
        <v>1362.3991531678998</v>
      </c>
      <c r="N216" s="994">
        <f t="shared" si="94"/>
        <v>1321.5271785728628</v>
      </c>
    </row>
    <row r="217" spans="2:14">
      <c r="B217" s="1013" t="s">
        <v>6561</v>
      </c>
      <c r="C217" s="998"/>
      <c r="D217" s="1014">
        <f t="shared" ref="D217:N217" si="95">D136</f>
        <v>2541.9</v>
      </c>
      <c r="E217" s="1014">
        <f t="shared" si="95"/>
        <v>2859.6375000000003</v>
      </c>
      <c r="F217" s="1014">
        <f t="shared" si="95"/>
        <v>3130.2955223803178</v>
      </c>
      <c r="G217" s="1014">
        <f t="shared" si="95"/>
        <v>2900.1499064656978</v>
      </c>
      <c r="H217" s="1014">
        <f t="shared" si="95"/>
        <v>2813.1454092717267</v>
      </c>
      <c r="I217" s="1014">
        <f t="shared" si="95"/>
        <v>2897.5397715498784</v>
      </c>
      <c r="J217" s="1014">
        <f t="shared" si="95"/>
        <v>2984.4659646963751</v>
      </c>
      <c r="K217" s="1014">
        <f t="shared" si="95"/>
        <v>3073.9999436372664</v>
      </c>
      <c r="L217" s="1014">
        <f t="shared" si="95"/>
        <v>3166.2199419463846</v>
      </c>
      <c r="M217" s="1014">
        <f t="shared" si="95"/>
        <v>3261.206540204776</v>
      </c>
      <c r="N217" s="1014">
        <f t="shared" si="95"/>
        <v>3359.0427364109196</v>
      </c>
    </row>
    <row r="218" spans="2:14">
      <c r="B218" s="1015" t="s">
        <v>6559</v>
      </c>
      <c r="C218" s="1010"/>
      <c r="D218" s="1010">
        <f t="shared" ref="D218:N218" si="96">D137</f>
        <v>0</v>
      </c>
      <c r="E218" s="1010">
        <f t="shared" si="96"/>
        <v>0</v>
      </c>
      <c r="F218" s="1016">
        <f t="shared" si="96"/>
        <v>125.40895523936396</v>
      </c>
      <c r="G218" s="1016">
        <f t="shared" si="96"/>
        <v>519.10018706860387</v>
      </c>
      <c r="H218" s="1016">
        <f t="shared" si="96"/>
        <v>987.21278159999179</v>
      </c>
      <c r="I218" s="1016">
        <f t="shared" si="96"/>
        <v>1189.3498405599503</v>
      </c>
      <c r="J218" s="1016">
        <f t="shared" si="96"/>
        <v>1376.4218794854605</v>
      </c>
      <c r="K218" s="1016">
        <f t="shared" si="96"/>
        <v>1564.6204012659191</v>
      </c>
      <c r="L218" s="1016">
        <f t="shared" si="96"/>
        <v>1735.5414156740394</v>
      </c>
      <c r="M218" s="1016">
        <f t="shared" si="96"/>
        <v>1891.3550530635516</v>
      </c>
      <c r="N218" s="1016">
        <f t="shared" si="96"/>
        <v>2050.6582651265262</v>
      </c>
    </row>
    <row r="219" spans="2:14">
      <c r="B219" s="1013" t="s">
        <v>1084</v>
      </c>
      <c r="C219" s="998"/>
      <c r="D219" s="1014">
        <f t="shared" ref="D219:N219" si="97">D138</f>
        <v>3680.6960893854748</v>
      </c>
      <c r="E219" s="1014">
        <f t="shared" si="97"/>
        <v>4213.6381780445981</v>
      </c>
      <c r="F219" s="1014">
        <f t="shared" si="97"/>
        <v>4712</v>
      </c>
      <c r="G219" s="1014">
        <f t="shared" si="97"/>
        <v>4928</v>
      </c>
      <c r="H219" s="1014">
        <f t="shared" si="97"/>
        <v>5263.8456001434461</v>
      </c>
      <c r="I219" s="1014">
        <f t="shared" si="97"/>
        <v>5550.377021381556</v>
      </c>
      <c r="J219" s="1014">
        <f t="shared" si="97"/>
        <v>5853.6450016389972</v>
      </c>
      <c r="K219" s="1014">
        <f t="shared" si="97"/>
        <v>6086.5947876366326</v>
      </c>
      <c r="L219" s="1014">
        <f t="shared" si="97"/>
        <v>6306.2965670718677</v>
      </c>
      <c r="M219" s="1014">
        <f t="shared" si="97"/>
        <v>6514.9607464362271</v>
      </c>
      <c r="N219" s="1014">
        <f t="shared" si="97"/>
        <v>6731.2281801103081</v>
      </c>
    </row>
    <row r="220" spans="2:14">
      <c r="B220" s="1011" t="s">
        <v>655</v>
      </c>
      <c r="C220" s="1012"/>
      <c r="D220" s="1012"/>
      <c r="E220" s="1017">
        <f>E139</f>
        <v>0.14479383130708379</v>
      </c>
      <c r="F220" s="1017">
        <f t="shared" ref="F220:N220" si="98">F139</f>
        <v>0.11827352062456242</v>
      </c>
      <c r="G220" s="1017">
        <f t="shared" si="98"/>
        <v>4.5840407470288724E-2</v>
      </c>
      <c r="H220" s="1017">
        <f t="shared" si="98"/>
        <v>6.8150487042095476E-2</v>
      </c>
      <c r="I220" s="1017">
        <f t="shared" si="98"/>
        <v>5.4433857488202397E-2</v>
      </c>
      <c r="J220" s="1017">
        <f t="shared" si="98"/>
        <v>5.4639167589727755E-2</v>
      </c>
      <c r="K220" s="1017">
        <f t="shared" si="98"/>
        <v>3.9795680457631155E-2</v>
      </c>
      <c r="L220" s="1017">
        <f t="shared" si="98"/>
        <v>3.609600886878539E-2</v>
      </c>
      <c r="M220" s="1017">
        <f t="shared" si="98"/>
        <v>3.3088228113770102E-2</v>
      </c>
      <c r="N220" s="1017">
        <f t="shared" si="98"/>
        <v>3.3195508321731904E-2</v>
      </c>
    </row>
    <row r="221" spans="2:14">
      <c r="B221" s="1013" t="s">
        <v>6680</v>
      </c>
      <c r="C221" s="998"/>
      <c r="D221" s="998"/>
      <c r="E221" s="1018"/>
      <c r="F221" s="1018">
        <f t="shared" ref="F221:N221" si="99">F140</f>
        <v>2.6614803743498294E-2</v>
      </c>
      <c r="G221" s="1018">
        <f t="shared" si="99"/>
        <v>0.10533688860970046</v>
      </c>
      <c r="H221" s="1018">
        <f t="shared" si="99"/>
        <v>0.18754592299840425</v>
      </c>
      <c r="I221" s="1018">
        <f t="shared" si="99"/>
        <v>0.21428271196321483</v>
      </c>
      <c r="J221" s="1018">
        <f t="shared" si="99"/>
        <v>0.23513928143918325</v>
      </c>
      <c r="K221" s="1018">
        <f t="shared" si="99"/>
        <v>0.25706005670757759</v>
      </c>
      <c r="L221" s="1018">
        <f t="shared" si="99"/>
        <v>0.27520770664927419</v>
      </c>
      <c r="M221" s="1018">
        <f t="shared" si="99"/>
        <v>0.29030950863336341</v>
      </c>
      <c r="N221" s="1018">
        <f t="shared" si="99"/>
        <v>0.30464845497080162</v>
      </c>
    </row>
    <row r="223" spans="2:14">
      <c r="B223" s="998" t="s">
        <v>6872</v>
      </c>
      <c r="C223" s="998"/>
      <c r="D223" s="998"/>
      <c r="E223" s="1014">
        <f>E142</f>
        <v>1650</v>
      </c>
      <c r="F223" s="1014">
        <f t="shared" ref="F223:N223" si="100">F142</f>
        <v>1690</v>
      </c>
      <c r="G223" s="1014">
        <f t="shared" si="100"/>
        <v>1615.2</v>
      </c>
      <c r="H223" s="1014">
        <f t="shared" si="100"/>
        <v>1652.8936001434454</v>
      </c>
      <c r="I223" s="1014">
        <f t="shared" si="100"/>
        <v>1686.658381381555</v>
      </c>
      <c r="J223" s="1014">
        <f t="shared" si="100"/>
        <v>1796.7404296389959</v>
      </c>
      <c r="K223" s="1014">
        <f t="shared" si="100"/>
        <v>1867.4140327566311</v>
      </c>
      <c r="L223" s="1014">
        <f t="shared" si="100"/>
        <v>1918.3485819966663</v>
      </c>
      <c r="M223" s="1014">
        <f t="shared" si="100"/>
        <v>1951.4948419580178</v>
      </c>
      <c r="N223" s="1014">
        <f t="shared" si="100"/>
        <v>1985.22363945297</v>
      </c>
    </row>
    <row r="224" spans="2:14">
      <c r="B224" s="743" t="s">
        <v>158</v>
      </c>
      <c r="C224" s="743"/>
      <c r="D224" s="743"/>
      <c r="E224" s="910">
        <f>E143</f>
        <v>0.39158559189951786</v>
      </c>
      <c r="F224" s="910">
        <f t="shared" ref="F224:N224" si="101">F143</f>
        <v>0.35865874363327677</v>
      </c>
      <c r="G224" s="910">
        <f t="shared" si="101"/>
        <v>0.32775974025974025</v>
      </c>
      <c r="H224" s="910">
        <f t="shared" si="101"/>
        <v>0.31400875437881426</v>
      </c>
      <c r="I224" s="910">
        <f t="shared" si="101"/>
        <v>0.30388176783020143</v>
      </c>
      <c r="J224" s="910">
        <f t="shared" si="101"/>
        <v>0.30694386645174343</v>
      </c>
      <c r="K224" s="910">
        <f t="shared" si="101"/>
        <v>0.30680768112735335</v>
      </c>
      <c r="L224" s="910">
        <f t="shared" si="101"/>
        <v>0.30419574493423984</v>
      </c>
      <c r="M224" s="910">
        <f t="shared" si="101"/>
        <v>0.29954053722050622</v>
      </c>
      <c r="N224" s="910">
        <f t="shared" si="101"/>
        <v>0.294927402003543</v>
      </c>
    </row>
  </sheetData>
  <pageMargins left="0.7" right="0.7" top="0.75" bottom="0.75" header="0.3" footer="0.3"/>
  <pageSetup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4</vt:i4>
      </vt:variant>
    </vt:vector>
  </HeadingPairs>
  <TitlesOfParts>
    <vt:vector size="30" baseType="lpstr">
      <vt:lpstr>Cover</vt:lpstr>
      <vt:lpstr>Summary I</vt:lpstr>
      <vt:lpstr>SOP</vt:lpstr>
      <vt:lpstr>Analysis</vt:lpstr>
      <vt:lpstr>Valuation</vt:lpstr>
      <vt:lpstr>Master</vt:lpstr>
      <vt:lpstr>Cable cos</vt:lpstr>
      <vt:lpstr>SKY Mex</vt:lpstr>
      <vt:lpstr>VOD</vt:lpstr>
      <vt:lpstr>VOD-quarts</vt:lpstr>
      <vt:lpstr>Content</vt:lpstr>
      <vt:lpstr>Mobile</vt:lpstr>
      <vt:lpstr>Interims</vt:lpstr>
      <vt:lpstr>Earnings Snaps</vt:lpstr>
      <vt:lpstr>Consensus</vt:lpstr>
      <vt:lpstr>Notes</vt:lpstr>
      <vt:lpstr>Questions</vt:lpstr>
      <vt:lpstr>Anna</vt:lpstr>
      <vt:lpstr>Pricing comps</vt:lpstr>
      <vt:lpstr>Iusacell</vt:lpstr>
      <vt:lpstr>Univision</vt:lpstr>
      <vt:lpstr>JER</vt:lpstr>
      <vt:lpstr>SEGMENTOS</vt:lpstr>
      <vt:lpstr>Shares</vt:lpstr>
      <vt:lpstr>export to DTV</vt:lpstr>
      <vt:lpstr>FKLink</vt:lpstr>
      <vt:lpstr>Analysis!Print_Area</vt:lpstr>
      <vt:lpstr>SOP!Print_Area</vt:lpstr>
      <vt:lpstr>Interims!Print_Titles</vt:lpstr>
      <vt:lpstr>SEGMENTOS!Print_Titles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Soomit Datta</dc:creator>
  <cp:lastModifiedBy>David-Mickael Lopes</cp:lastModifiedBy>
  <cp:lastPrinted>2024-04-29T17:00:31Z</cp:lastPrinted>
  <dcterms:created xsi:type="dcterms:W3CDTF">2012-07-16T14:32:22Z</dcterms:created>
  <dcterms:modified xsi:type="dcterms:W3CDTF">2024-04-30T13:20:28Z</dcterms:modified>
</cp:coreProperties>
</file>